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theme/themeOverride1.xml" ContentType="application/vnd.openxmlformats-officedocument.themeOverride+xml"/>
  <Override PartName="/xl/charts/chart32.xml" ContentType="application/vnd.openxmlformats-officedocument.drawingml.chart+xml"/>
  <Override PartName="/xl/theme/themeOverride2.xml" ContentType="application/vnd.openxmlformats-officedocument.themeOverride+xml"/>
  <Override PartName="/xl/charts/chart33.xml" ContentType="application/vnd.openxmlformats-officedocument.drawingml.chart+xml"/>
  <Override PartName="/xl/theme/themeOverride3.xml" ContentType="application/vnd.openxmlformats-officedocument.themeOverride+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D:\Dropbox\"/>
    </mc:Choice>
  </mc:AlternateContent>
  <bookViews>
    <workbookView xWindow="10188" yWindow="-12" windowWidth="6996" windowHeight="3168" tabRatio="644"/>
  </bookViews>
  <sheets>
    <sheet name="Readme" sheetId="6" r:id="rId1"/>
    <sheet name="Setup" sheetId="1" r:id="rId2"/>
    <sheet name="Summary" sheetId="9" r:id="rId3"/>
    <sheet name="Results" sheetId="5" r:id="rId4"/>
    <sheet name="Details" sheetId="2" r:id="rId5"/>
    <sheet name="Base" sheetId="3" r:id="rId6"/>
    <sheet name="Tax Tables" sheetId="4" r:id="rId7"/>
    <sheet name="ORP" sheetId="10" state="hidden" r:id="rId8"/>
  </sheets>
  <definedNames>
    <definedName name="Activity_End">Results!$C$325</definedName>
    <definedName name="Activity_Start">Results!$C$28</definedName>
    <definedName name="Adj_Expenses">Details!$B$143</definedName>
    <definedName name="Asset_Sale">Setup!$G$173</definedName>
    <definedName name="Asset_Sale_Age">Setup!$G$176</definedName>
    <definedName name="Asset_Sale_Age2">Setup!$H$176</definedName>
    <definedName name="Asset_Sale_Amt">Setup!$G$174</definedName>
    <definedName name="Asset_Sale_Amt2">Setup!$H$174</definedName>
    <definedName name="Asset_Sale2">Setup!$H$173</definedName>
    <definedName name="Auto_Spousal">Setup!$E$105</definedName>
    <definedName name="Auto_Spousal_Alt">Setup!$E$116</definedName>
    <definedName name="Automate">Setup!$I$14</definedName>
    <definedName name="Base_AGI">Base!$B$181</definedName>
    <definedName name="Base_MAGI">Base!$A$265</definedName>
    <definedName name="Base_Off">Setup!$AJ$3</definedName>
    <definedName name="BaseBalances">Base!$A$7</definedName>
    <definedName name="BaseCase">Results!$A$202</definedName>
    <definedName name="BaseChanges">Base!$A$73</definedName>
    <definedName name="BaseEarnings">Base!$A$21</definedName>
    <definedName name="BaseExpenses">Base!$A$141</definedName>
    <definedName name="BaseSummary">Base!$A$231</definedName>
    <definedName name="Bond_Alloc_Beg">Setup!$F$73</definedName>
    <definedName name="Bond_Alloc_BegTar">Setup!$F$74</definedName>
    <definedName name="Bond_Alloc_Chg">Setup!$F$86</definedName>
    <definedName name="Bond_Alloc_ChgTar">Setup!$F$87</definedName>
    <definedName name="Bond_Rate">Setup!$G$57</definedName>
    <definedName name="Bond_Roth">Setup!$F$69</definedName>
    <definedName name="Bond_Roth_2">Setup!$F$70</definedName>
    <definedName name="Bond_Roth2">Setup!$F$82</definedName>
    <definedName name="Bond_Roth22">Setup!$F$83</definedName>
    <definedName name="Bond_RothConv">Setup!$F$71</definedName>
    <definedName name="Bond_RothConv2">Setup!$F$84</definedName>
    <definedName name="Bond_Taxable">Setup!$F$66</definedName>
    <definedName name="Bond_Taxable2">Setup!$F$79</definedName>
    <definedName name="Bond_tIRA1">Setup!$F$67</definedName>
    <definedName name="Bond_tIRA12">Setup!$F$80</definedName>
    <definedName name="Bond_tIRA2">Setup!$F$68</definedName>
    <definedName name="Bond_tIRA22">Setup!$F$81</definedName>
    <definedName name="CaseData">Setup!$A$414</definedName>
    <definedName name="CaseResults">Results!$A$8</definedName>
    <definedName name="Cash_Rate">Setup!$G$59</definedName>
    <definedName name="Cash_Roth">Setup!$H$69</definedName>
    <definedName name="Cash_Roth_2">Setup!$H$70</definedName>
    <definedName name="Cash_Roth_22">Setup!$H$83</definedName>
    <definedName name="Cash_Roth2">Setup!$H$82</definedName>
    <definedName name="Cash_RothConv">Setup!$H$71</definedName>
    <definedName name="Cash_RothConv2">Setup!$H$84</definedName>
    <definedName name="Cash_Taxable">Setup!$H$66</definedName>
    <definedName name="Cash_Taxable2">Setup!$H$79</definedName>
    <definedName name="Cash_tIRA1">Setup!$H$67</definedName>
    <definedName name="Cash_tIRA12">Setup!$H$80</definedName>
    <definedName name="Cash_tIRA2">Setup!$H$68</definedName>
    <definedName name="Cash_tIRA22">Setup!$H$81</definedName>
    <definedName name="Change_Age">Setup!$E$77</definedName>
    <definedName name="Change_year">Setup!$J$77</definedName>
    <definedName name="CompBalances">Base!$AY$7</definedName>
    <definedName name="CompChanges">Base!$AY$73</definedName>
    <definedName name="CompEarnings">Base!$AY$21</definedName>
    <definedName name="CompExpenses">Base!$AY$141</definedName>
    <definedName name="CompSummary">Base!$AY$231</definedName>
    <definedName name="Conv_10">Setup!$C$267</definedName>
    <definedName name="Conv_11">Setup!$C$268</definedName>
    <definedName name="Conv_12">Setup!$C$269</definedName>
    <definedName name="Conv_13">Setup!$C$270</definedName>
    <definedName name="Conv_14">Setup!$C$271</definedName>
    <definedName name="Conv_15">Setup!$C$272</definedName>
    <definedName name="Conv_16">Setup!$C$273</definedName>
    <definedName name="Conv_17">Setup!$C$274</definedName>
    <definedName name="Conv_18">Setup!$C$275</definedName>
    <definedName name="Conv_19">Setup!$C$276</definedName>
    <definedName name="Conv_2">Setup!$C$259</definedName>
    <definedName name="Conv_20">Setup!$C$277</definedName>
    <definedName name="Conv_21">Setup!$C$278</definedName>
    <definedName name="Conv_22">Setup!$C$279</definedName>
    <definedName name="Conv_23">Setup!$C$280</definedName>
    <definedName name="Conv_24">Setup!$C$281</definedName>
    <definedName name="Conv_25">Setup!$C$282</definedName>
    <definedName name="Conv_26">Setup!$C$283</definedName>
    <definedName name="Conv_27">Setup!$C$284</definedName>
    <definedName name="Conv_28">Setup!$C$285</definedName>
    <definedName name="Conv_29">Setup!$C$286</definedName>
    <definedName name="Conv_3">Setup!$C$260</definedName>
    <definedName name="Conv_30">Setup!$C$287</definedName>
    <definedName name="Conv_31">Setup!$C$288</definedName>
    <definedName name="Conv_32">Setup!$C$289</definedName>
    <definedName name="Conv_33">Setup!$C$290</definedName>
    <definedName name="Conv_34">Setup!$C$291</definedName>
    <definedName name="Conv_35">Setup!$C$292</definedName>
    <definedName name="Conv_36">Setup!$C$293</definedName>
    <definedName name="Conv_37">Setup!$C$294</definedName>
    <definedName name="Conv_38">Setup!$C$295</definedName>
    <definedName name="Conv_39">Setup!$C$296</definedName>
    <definedName name="Conv_4">Setup!$C$261</definedName>
    <definedName name="Conv_5">Setup!$C$262</definedName>
    <definedName name="Conv_6">Setup!$C$263</definedName>
    <definedName name="Conv_7">Setup!$C$264</definedName>
    <definedName name="Conv_8">Setup!$C$265</definedName>
    <definedName name="Conv_9">Setup!$C$266</definedName>
    <definedName name="Conv_End_Amt">Setup!$C$297</definedName>
    <definedName name="Conv_Start_Amt">Setup!$C$258</definedName>
    <definedName name="Conversions">Setup!$C$258:$C$297</definedName>
    <definedName name="Correct_Start">Setup!$E$194</definedName>
    <definedName name="Current_Results">Setup!$E$411:$E$739</definedName>
    <definedName name="Description">Setup!$B$6</definedName>
    <definedName name="Discount_Rate">Setup!$I$15</definedName>
    <definedName name="ED_Rounding">'Tax Tables'!$D$16</definedName>
    <definedName name="End_Base1">Setup!$H$164</definedName>
    <definedName name="End_Base2">Setup!$H$165</definedName>
    <definedName name="End_Base3">Setup!$H$167</definedName>
    <definedName name="End_Compare1">Setup!$H$148</definedName>
    <definedName name="End_Compare2">Setup!$H$149</definedName>
    <definedName name="End_Compare3">Setup!$H$151</definedName>
    <definedName name="End_ExRoth">Setup!$H$154</definedName>
    <definedName name="End_ExRoth1_2">Setup!$H$155</definedName>
    <definedName name="End_ExRoth2">Setup!$H$156</definedName>
    <definedName name="End_InhIRA">Setup!$H$159</definedName>
    <definedName name="End_InhIRA2">Setup!$H$160</definedName>
    <definedName name="End_Itemized">Setup!$E$199</definedName>
    <definedName name="End_OInc_Long">Setup!$H$93</definedName>
    <definedName name="End_OInc_Long2">Setup!$H$94</definedName>
    <definedName name="End_OInc_Temp">Setup!$H$95</definedName>
    <definedName name="End_OInc_Temp2">Setup!$H$96</definedName>
    <definedName name="Error_Check">Setup!$AK$23</definedName>
    <definedName name="Esc_Base1">Setup!$F$164</definedName>
    <definedName name="Esc_Base2">Setup!$F$165</definedName>
    <definedName name="Esc_Base3">Setup!$F$167</definedName>
    <definedName name="Esc_Compare1">Setup!$F$148</definedName>
    <definedName name="Esc_Compare2">Setup!$F$149</definedName>
    <definedName name="Esc_Compare3">Setup!$F$151</definedName>
    <definedName name="Esc_ExRoth">Setup!$F$154</definedName>
    <definedName name="Esc_ExRoth1_2">Setup!$F$155</definedName>
    <definedName name="Esc_ExRoth2">Setup!$F$156</definedName>
    <definedName name="Esc_Fed_Ded">Setup!$E$227</definedName>
    <definedName name="Esc_InhIRA">Setup!$F$159</definedName>
    <definedName name="Esc_InhIRA2">Setup!$F$160</definedName>
    <definedName name="Esc_Itemized">Setup!$E$198</definedName>
    <definedName name="Esc_OInc_Long">Setup!$F$93</definedName>
    <definedName name="Esc_OInc_Long2">Setup!$F$94</definedName>
    <definedName name="Esc_OInc_Temp">Setup!$F$95</definedName>
    <definedName name="Esc_OInc_Temp2">Setup!$F$96</definedName>
    <definedName name="Exclude_Taxes">Setup!$E$16</definedName>
    <definedName name="Exemptions_Add">Setup!$H$192</definedName>
    <definedName name="Exemptions_End">Setup!$H$194</definedName>
    <definedName name="Exemptions_Start">Setup!$H$193</definedName>
    <definedName name="Expenditure">Setup!$I$173</definedName>
    <definedName name="Expenditure_Age">Setup!$I$176</definedName>
    <definedName name="Expenditure_Age2">Setup!$J$176</definedName>
    <definedName name="Expenditure_Amt">Setup!$I$174</definedName>
    <definedName name="Expenditure_Amt2">Setup!$J$174</definedName>
    <definedName name="Expenditure2">Setup!$J$173</definedName>
    <definedName name="Expense_Change">Setup!$H$131</definedName>
    <definedName name="Expense_Chg_Year">Setup!$G$131</definedName>
    <definedName name="Expense_Total">Setup!$I$131</definedName>
    <definedName name="Filing_Status">Setup!$E$192</definedName>
    <definedName name="FilingJoint">'Tax Tables'!$A$93</definedName>
    <definedName name="FilingSingle">'Tax Tables'!$A$172</definedName>
    <definedName name="Final_Year">Setup!$F$23</definedName>
    <definedName name="First_Year">Setup!$E$23</definedName>
    <definedName name="FRA_PIA">Setup!$AC$135</definedName>
    <definedName name="FRA_Spouse">Setup!$F$102</definedName>
    <definedName name="FRA_Spouse_Alt">Setup!$F$113</definedName>
    <definedName name="FRA_You">Setup!$F$101</definedName>
    <definedName name="FRA_You_Alt">Setup!$F$112</definedName>
    <definedName name="Full_AGI">Details!$B$181</definedName>
    <definedName name="Full_MAGI">Details!$B$269</definedName>
    <definedName name="FullBalances">Details!$A$7</definedName>
    <definedName name="FullChanges">Details!$A$73</definedName>
    <definedName name="FullEarnings">Details!$A$21</definedName>
    <definedName name="FullExpenses">Details!$A$141</definedName>
    <definedName name="FullSummary">Details!$A$231</definedName>
    <definedName name="FullvsBase">Results!$A$364</definedName>
    <definedName name="Graphs">Results!#REF!</definedName>
    <definedName name="Heir_benefit">Results!$L$185</definedName>
    <definedName name="iIRA_RMD_Age">Setup!$E$32</definedName>
    <definedName name="iIRA_RMD_Age2">Setup!$E$33</definedName>
    <definedName name="Include_Roth">Setup!$E$12</definedName>
    <definedName name="Include_Taxes">Setup!#REF!</definedName>
    <definedName name="Income_OInc_Long">Setup!$E$93</definedName>
    <definedName name="Income_OInc_Long2">Setup!$E$94</definedName>
    <definedName name="Income_OInc_Temp">Setup!$E$95</definedName>
    <definedName name="Income_OInc_Temp2">Setup!$E$96</definedName>
    <definedName name="Inflation">Setup!$F$131</definedName>
    <definedName name="Inherit_Age">Setup!$E$176</definedName>
    <definedName name="Inherit_Age2">Setup!$F$176</definedName>
    <definedName name="Inherit_Taxable">Setup!$E$174</definedName>
    <definedName name="Inherit_Taxable2">Setup!$F$174</definedName>
    <definedName name="Inherit_tIRA">Setup!$E$175</definedName>
    <definedName name="Inherit_tIRA2">Setup!$F$175</definedName>
    <definedName name="Inheritance">Setup!$E$173</definedName>
    <definedName name="Inheritance2">Setup!$F$173</definedName>
    <definedName name="Inheritor">Setup!$F$32</definedName>
    <definedName name="Inheritor2">Setup!$F$33</definedName>
    <definedName name="IRA_RMD_Age">Setup!$E$30</definedName>
    <definedName name="IRA_RMD_Age2">Setup!$E$31</definedName>
    <definedName name="IRA1_Owner">Setup!$F$30</definedName>
    <definedName name="IRA2_Owner">Setup!$F$31</definedName>
    <definedName name="IRMAA">Details!$A$274</definedName>
    <definedName name="Itemized">Setup!$E$197</definedName>
    <definedName name="Link1">Setup!$Q$234</definedName>
    <definedName name="Link2">Setup!$Q$242</definedName>
    <definedName name="Link3">Setup!$Q$250</definedName>
    <definedName name="Link4">Setup!$W$235</definedName>
    <definedName name="Link5">Setup!$Q$246</definedName>
    <definedName name="Link6">Setup!$X$243</definedName>
    <definedName name="Link7">Setup!$W$250</definedName>
    <definedName name="Links">Setup!$Y$245</definedName>
    <definedName name="Living_Expenses">Setup!$E$131</definedName>
    <definedName name="M_Tax_1">Setup!$E$233</definedName>
    <definedName name="M_Tax_2">Setup!$E$234</definedName>
    <definedName name="M_Tax_3">Setup!$E$235</definedName>
    <definedName name="M_Tax_4">Setup!$E$236</definedName>
    <definedName name="M_Tax_5">Setup!$E$237</definedName>
    <definedName name="M_Tax_6">Setup!$E$238</definedName>
    <definedName name="M_Tax_7">Setup!$E$239</definedName>
    <definedName name="M_Tax_8">Setup!$F$233</definedName>
    <definedName name="MCapGain_B1">'Tax Tables'!$D$139</definedName>
    <definedName name="MCapGain_B1_P">'Tax Tables'!$C$139</definedName>
    <definedName name="MCapGain_B2">'Tax Tables'!$D$144</definedName>
    <definedName name="MCapGain_B2_P">'Tax Tables'!$C$144</definedName>
    <definedName name="MCapGain_R1">'Tax Tables'!$D$140</definedName>
    <definedName name="MCapGain_R1_P">'Tax Tables'!$C$140</definedName>
    <definedName name="MCapGain_R2">'Tax Tables'!$D$145</definedName>
    <definedName name="MCapGain_R2_P">'Tax Tables'!$C$145</definedName>
    <definedName name="MCapGain_R3">'Tax Tables'!$D$150</definedName>
    <definedName name="MCapGain_R3_P">'Tax Tables'!$C$150</definedName>
    <definedName name="Medicare_B">Setup!$E$134</definedName>
    <definedName name="Medicare_D">Setup!$E$135</definedName>
    <definedName name="Medicare_MAGI_1">Setup!$E$136</definedName>
    <definedName name="Medicare_MAGI_2">Setup!$F$136</definedName>
    <definedName name="MM_Alloc_Beg">Setup!$H$73</definedName>
    <definedName name="MM_Alloc_BegTar">Setup!$H$74</definedName>
    <definedName name="MM_Alloc_Chg">Setup!$H$86</definedName>
    <definedName name="MM_Alloc_ChgTar">Setup!$H$87</definedName>
    <definedName name="negative_base">Base!$AT$20</definedName>
    <definedName name="Negative_Full">Details!$AT$20</definedName>
    <definedName name="OtherDataTables">'Tax Tables'!$A$330</definedName>
    <definedName name="P1_S">Setup!$G$411</definedName>
    <definedName name="P1_Top">Setup!$G$407</definedName>
    <definedName name="P2_S">Setup!$H$411</definedName>
    <definedName name="P2_Top">Setup!$H$407</definedName>
    <definedName name="P3_S">Setup!$I$411</definedName>
    <definedName name="P3_Top">Setup!$I$407</definedName>
    <definedName name="P4_E">Setup!$J$739</definedName>
    <definedName name="P4_S">Setup!$J$411</definedName>
    <definedName name="P4_Top">Setup!$J$407</definedName>
    <definedName name="P6_S">Results!$N$160</definedName>
    <definedName name="Pen_Tax_State">Setup!$E$214</definedName>
    <definedName name="Pen_Tax_State2">Setup!$G$214</definedName>
    <definedName name="PortfolioActivity">Results!$A$82</definedName>
    <definedName name="_xlnm.Print_Area" localSheetId="5">Base!$A$1:$AS$261</definedName>
    <definedName name="_xlnm.Print_Area" localSheetId="4">Details!$A$1:$AS$259</definedName>
    <definedName name="_xlnm.Print_Area" localSheetId="0">Readme!$A$1:$G$480</definedName>
    <definedName name="_xlnm.Print_Area" localSheetId="3">Results!$A$1:$AS$145</definedName>
    <definedName name="_xlnm.Print_Area" localSheetId="1">Setup!$A$1:$Y$345</definedName>
    <definedName name="_xlnm.Print_Area" localSheetId="2">Summary!$A$1:$BY$145</definedName>
    <definedName name="QCD_Age1">Setup!$E$182</definedName>
    <definedName name="QCD_Age2">Setup!$F$182</definedName>
    <definedName name="QCD_Amt1">Setup!$E$184</definedName>
    <definedName name="QCD_Amt2">Setup!$F$184</definedName>
    <definedName name="QCD_Src1">Setup!$E$181</definedName>
    <definedName name="QCD_Src2">Setup!$F$181</definedName>
    <definedName name="QCD_Tot1">Setup!$E$186</definedName>
    <definedName name="QCD_Tot2">Setup!$F$186</definedName>
    <definedName name="QCD1_Cnt">Setup!$E$185</definedName>
    <definedName name="QCD1_Name">Setup!$E$187</definedName>
    <definedName name="QCD2_Cnt">Setup!$F$185</definedName>
    <definedName name="QCD2_Name">Setup!$F$187</definedName>
    <definedName name="QR_1">Setup!$N$12</definedName>
    <definedName name="QR_2">Setup!$O$12</definedName>
    <definedName name="QR_3">Setup!$P$12</definedName>
    <definedName name="Qual1">Setup!$D$180</definedName>
    <definedName name="Quick_End">Setup!$M$20</definedName>
    <definedName name="Quick_Start">Setup!$M$12</definedName>
    <definedName name="Result1">Setup!$N$9</definedName>
    <definedName name="Result1a">Setup!$N$10</definedName>
    <definedName name="Result1b">Setup!$N$11</definedName>
    <definedName name="Result1e">Setup!$N$20</definedName>
    <definedName name="Result2">Setup!$O$9</definedName>
    <definedName name="Result2a">Setup!$O$10</definedName>
    <definedName name="Result2b">Setup!$O$11</definedName>
    <definedName name="Result2e">Setup!$O$20</definedName>
    <definedName name="Result3">Setup!$P$9</definedName>
    <definedName name="Result3a">Setup!$P$10</definedName>
    <definedName name="Result3b">Setup!$P$11</definedName>
    <definedName name="Result3e">Setup!$P$20</definedName>
    <definedName name="Results_End">Setup!$E$739</definedName>
    <definedName name="Results_Start">Setup!$E$411</definedName>
    <definedName name="RM_Change">Readme!$B$115</definedName>
    <definedName name="RM_Disclaimer">Readme!$B$98</definedName>
    <definedName name="RM_Feat">Readme!$B$7</definedName>
    <definedName name="RM_Key">Readme!$B$19</definedName>
    <definedName name="RM_Links">Readme!$B$46</definedName>
    <definedName name="RM_Macros">Readme!$B$17</definedName>
    <definedName name="RM_Quick">Readme!$B$12</definedName>
    <definedName name="RM_Sheets">Readme!$B$31</definedName>
    <definedName name="RMD_Est">Results!$N$181</definedName>
    <definedName name="RMD_Table">'Tax Tables'!$C$335</definedName>
    <definedName name="Roth_Begin">Setup!$E$43</definedName>
    <definedName name="Roth_Conversion">Setup!$C$254</definedName>
    <definedName name="Roth_Convert">Setup!$E$247</definedName>
    <definedName name="Roth_End">Setup!$E$250</definedName>
    <definedName name="Roth_Esc">Setup!$E$248</definedName>
    <definedName name="Roth_Method">Setup!$E$244</definedName>
    <definedName name="Roth_Rate">Setup!$E$59</definedName>
    <definedName name="Roth_Return">Setup!$I$59</definedName>
    <definedName name="Roth_Return2">Setup!$J$59</definedName>
    <definedName name="Roth_Start">Setup!$E$249</definedName>
    <definedName name="Roth_Total">Details!$E$133</definedName>
    <definedName name="Roth_W_End">Setup!$F$250</definedName>
    <definedName name="Roth_W_Esc">Setup!$F$248</definedName>
    <definedName name="Roth_W_Start">Setup!$F$249</definedName>
    <definedName name="Roth_With">Setup!$F$247</definedName>
    <definedName name="Roth_With_Total">Details!$E$134</definedName>
    <definedName name="Roth1_Add">Setup!$E$144</definedName>
    <definedName name="Roth1_End">Setup!$H$144</definedName>
    <definedName name="Roth1_Esc">Setup!$F$144</definedName>
    <definedName name="Roth1_Start">Setup!$G$144</definedName>
    <definedName name="Roth2_Begin">Setup!$E$44</definedName>
    <definedName name="Roth2_Rate">Setup!$E$60</definedName>
    <definedName name="Roth2_Return">Setup!$I$60</definedName>
    <definedName name="Roth2_Return2">Setup!$J$60</definedName>
    <definedName name="RothAnalysis">Results!$A$167</definedName>
    <definedName name="RothConv_Rate">Setup!$E$61</definedName>
    <definedName name="RothConv_Return">Setup!$I$61</definedName>
    <definedName name="RothConv_Return2">Setup!$J$61</definedName>
    <definedName name="RothSum_End">Results!$H$169</definedName>
    <definedName name="RothSum_Start">Results!$D$160</definedName>
    <definedName name="Round_To">Setup!$I$12</definedName>
    <definedName name="S_Tax_1">Setup!$H$233</definedName>
    <definedName name="S_Tax_2">Setup!$H$234</definedName>
    <definedName name="S_Tax_3">Setup!$H$235</definedName>
    <definedName name="S_Tax_4">Setup!$H$236</definedName>
    <definedName name="S_Tax_5">Setup!$H$237</definedName>
    <definedName name="S_Tax_6">Setup!$H$238</definedName>
    <definedName name="S_Tax_7">Setup!$H$239</definedName>
    <definedName name="S_Tax_8">Setup!$I$233</definedName>
    <definedName name="SCapGain_B1">'Tax Tables'!$D$218</definedName>
    <definedName name="SCapGain_B1_P">'Tax Tables'!$C$218</definedName>
    <definedName name="SCapGain_B2">'Tax Tables'!$D$223</definedName>
    <definedName name="SCapGain_B2_P">'Tax Tables'!$C$223</definedName>
    <definedName name="SCapGain_R1">'Tax Tables'!$D$219</definedName>
    <definedName name="SCapGain_R1_P">'Tax Tables'!$C$219</definedName>
    <definedName name="SCapGain_R2">'Tax Tables'!$D$224</definedName>
    <definedName name="SCapGain_R2_P">'Tax Tables'!$C$224</definedName>
    <definedName name="SCapGain_R3">'Tax Tables'!$D$229</definedName>
    <definedName name="SCapGain_R3_P">'Tax Tables'!$C$229</definedName>
    <definedName name="SE_Text1">Setup!$G$175</definedName>
    <definedName name="SE_Text2">Setup!$H$175</definedName>
    <definedName name="SE_Text3">Setup!$I$175</definedName>
    <definedName name="SE_Text4">Setup!$J$175</definedName>
    <definedName name="Setup_0">Setup!$A$9</definedName>
    <definedName name="Setup_1">Setup!$A$20</definedName>
    <definedName name="Setup_10">Setup!$A$242</definedName>
    <definedName name="Setup_2">Setup!$A$36</definedName>
    <definedName name="Setup_3">Setup!$A$50</definedName>
    <definedName name="Setup_4">Setup!$A$90</definedName>
    <definedName name="Setup_5">Setup!$A$128</definedName>
    <definedName name="Setup_6">Setup!$A$140</definedName>
    <definedName name="Setup_7">Setup!$A$169</definedName>
    <definedName name="Setup_8">Setup!$A$189</definedName>
    <definedName name="Setup_9">Setup!$A$229</definedName>
    <definedName name="Setup_Brackets">Setup!$A$323</definedName>
    <definedName name="Shape_Expenses">Setup!$AA$39</definedName>
    <definedName name="Shape_IRA_Conv">Setup!$AC$39</definedName>
    <definedName name="Shape_IRA_E">Setup!$AC$35</definedName>
    <definedName name="Shape_IRA_F">Setup!$AC$34</definedName>
    <definedName name="Shape_IRA_Inh">Setup!$AC$36</definedName>
    <definedName name="Shape_IRA_RMD">Setup!$AC$38</definedName>
    <definedName name="Shape_IRA_S">Setup!$AC$33</definedName>
    <definedName name="Shape_IRA_W">Setup!$AC$37</definedName>
    <definedName name="Shape_Other">Setup!$AA$37</definedName>
    <definedName name="Shape_Portfolio">Setup!$AE$42</definedName>
    <definedName name="Shape_Portfolio_S">Setup!$AE$41</definedName>
    <definedName name="Shape_Roth_E">Setup!$AE$35</definedName>
    <definedName name="Shape_Roth_F">Setup!$AE$34</definedName>
    <definedName name="Shape_Roth_S">Setup!$AE$33</definedName>
    <definedName name="Shape_Roth_W">Setup!$AE$37</definedName>
    <definedName name="Shape_Special">Setup!$AA$41</definedName>
    <definedName name="Shape_SS">Setup!$AA$36</definedName>
    <definedName name="Shape_Taxable_E">Setup!$AA$35</definedName>
    <definedName name="Shape_Taxable_F">Setup!$AA$34</definedName>
    <definedName name="Shape_Taxable_S">Setup!$AA$33</definedName>
    <definedName name="Shape_Taxes">Setup!$AA$40</definedName>
    <definedName name="Single_Rate_Start">Setup!$E$193</definedName>
    <definedName name="solver_cvg" localSheetId="5" hidden="1">0.0001</definedName>
    <definedName name="solver_cvg" localSheetId="4" hidden="1">0.0001</definedName>
    <definedName name="solver_drv" localSheetId="5" hidden="1">1</definedName>
    <definedName name="solver_drv" localSheetId="4" hidden="1">1</definedName>
    <definedName name="solver_est" localSheetId="5" hidden="1">1</definedName>
    <definedName name="solver_est" localSheetId="4" hidden="1">1</definedName>
    <definedName name="solver_itr" localSheetId="5" hidden="1">100</definedName>
    <definedName name="solver_itr" localSheetId="4" hidden="1">100</definedName>
    <definedName name="solver_lin" localSheetId="5" hidden="1">2</definedName>
    <definedName name="solver_lin" localSheetId="4" hidden="1">2</definedName>
    <definedName name="solver_neg" localSheetId="5" hidden="1">2</definedName>
    <definedName name="solver_neg" localSheetId="4" hidden="1">2</definedName>
    <definedName name="solver_num" localSheetId="5" hidden="1">0</definedName>
    <definedName name="solver_num" localSheetId="4" hidden="1">0</definedName>
    <definedName name="solver_nwt" localSheetId="5" hidden="1">1</definedName>
    <definedName name="solver_nwt" localSheetId="4" hidden="1">1</definedName>
    <definedName name="solver_opt" localSheetId="5" hidden="1">Base!$AE$89</definedName>
    <definedName name="solver_opt" localSheetId="4" hidden="1">Details!$F$201</definedName>
    <definedName name="solver_pre" localSheetId="5" hidden="1">0.000001</definedName>
    <definedName name="solver_pre" localSheetId="4" hidden="1">0.000001</definedName>
    <definedName name="solver_scl" localSheetId="5" hidden="1">2</definedName>
    <definedName name="solver_scl" localSheetId="4" hidden="1">2</definedName>
    <definedName name="solver_sho" localSheetId="5" hidden="1">2</definedName>
    <definedName name="solver_sho" localSheetId="4" hidden="1">2</definedName>
    <definedName name="solver_tim" localSheetId="5" hidden="1">100</definedName>
    <definedName name="solver_tim" localSheetId="4" hidden="1">100</definedName>
    <definedName name="solver_tol" localSheetId="5" hidden="1">0.05</definedName>
    <definedName name="solver_tol" localSheetId="4" hidden="1">0.05</definedName>
    <definedName name="solver_typ" localSheetId="5" hidden="1">1</definedName>
    <definedName name="solver_typ" localSheetId="4" hidden="1">1</definedName>
    <definedName name="solver_val" localSheetId="5" hidden="1">0</definedName>
    <definedName name="solver_val" localSheetId="4" hidden="1">0</definedName>
    <definedName name="SPIA_Age">Setup!$G$123</definedName>
    <definedName name="SPIA_Amt">Setup!$E$123</definedName>
    <definedName name="SPIA_End">Setup!$G$125</definedName>
    <definedName name="SPIA_Esc">Setup!$I$124</definedName>
    <definedName name="SPIA_Excl">Setup!$I$125</definedName>
    <definedName name="SPIA_From">Setup!$E$124</definedName>
    <definedName name="SPIA_Income">Setup!$I$123</definedName>
    <definedName name="SPIA_Start">Setup!$G$124</definedName>
    <definedName name="Spousal_CA">Setup!$I$105</definedName>
    <definedName name="Spousal_CA_Alt">Setup!$I$116</definedName>
    <definedName name="Spousal_SS">Setup!$AF$110</definedName>
    <definedName name="Spousal_SS_Alt">Setup!$AF$124</definedName>
    <definedName name="Spouse_Age">Setup!$E$26</definedName>
    <definedName name="Spouse_Age_End">Setup!$G$26</definedName>
    <definedName name="Spouse_End">Setup!$H$26</definedName>
    <definedName name="Spouse_End_Input">Setup!$F$26</definedName>
    <definedName name="Spouse_SB">Setup!$K$102</definedName>
    <definedName name="Spouse_SB_Alt">Setup!$K$113</definedName>
    <definedName name="Spouse_Spousal">Setup!$AF$109</definedName>
    <definedName name="Spouse_Spousal_Alt">Setup!$AF$123</definedName>
    <definedName name="Spouse_SS">Setup!$E$102</definedName>
    <definedName name="Spouse_SS_Add">Setup!$AH$109</definedName>
    <definedName name="Spouse_SS_Add_Alt">Setup!$AH$123</definedName>
    <definedName name="Spouse_SS_Alt">Setup!$E$113</definedName>
    <definedName name="Spouse_SS_Benefits">Setup!$E$102</definedName>
    <definedName name="Spouse_SS_CA">Setup!$I$102</definedName>
    <definedName name="Spouse_SS_CA_Alt">Setup!$I$113</definedName>
    <definedName name="Spouse_SS_Calc">Setup!$AD$109</definedName>
    <definedName name="Spouse_SS_Calc_Alt">Setup!$AD$123</definedName>
    <definedName name="Spouse_SS_End">Setup!$H$102</definedName>
    <definedName name="Spouse_SS_End_Alt">Setup!$H$113</definedName>
    <definedName name="Spouse_SS_Start">Setup!$G$102</definedName>
    <definedName name="Spouse_SS_Start_Alt">Setup!$G$113</definedName>
    <definedName name="Spouse_SS_Year">Setup!$AD$110</definedName>
    <definedName name="Spouse_SSAlt_Year">Setup!$AD$124</definedName>
    <definedName name="SS_Add">Setup!$E$106</definedName>
    <definedName name="SS_Add_Alt">Setup!$E$117</definedName>
    <definedName name="SS_Add_Alt_Sp">Setup!$E$118</definedName>
    <definedName name="SS_Add_End">Setup!$H$106</definedName>
    <definedName name="SS_Add_End_Alt">Setup!$H$117</definedName>
    <definedName name="SS_Add_End_Alt_Sp">Setup!$H$118</definedName>
    <definedName name="SS_Add_End_Sp">Setup!$H$107</definedName>
    <definedName name="SS_Add_Sp">Setup!$E$107</definedName>
    <definedName name="SS_Add_Start">Setup!$G$106</definedName>
    <definedName name="SS_Add_Start_Alt">Setup!$G$117</definedName>
    <definedName name="SS_Add_Start_Alt_Sp">Setup!$G$118</definedName>
    <definedName name="SS_Add_Start_Sp">Setup!$G$107</definedName>
    <definedName name="SS_COLA">Setup!$E$103</definedName>
    <definedName name="SS_COLA_Alt">Setup!$E$114</definedName>
    <definedName name="SS_Comparison">Setup!$E$13</definedName>
    <definedName name="SS_re_pc">Setup!$E$108</definedName>
    <definedName name="SS_re_pc_alt">Setup!$E$119</definedName>
    <definedName name="SS_re_yr">Setup!$F$108</definedName>
    <definedName name="SS_re_yr_alt">Setup!$F$119</definedName>
    <definedName name="SS_Started">Setup!$E$104</definedName>
    <definedName name="SS_Started_Alt">Setup!$E$115</definedName>
    <definedName name="SS_Tax_State">Setup!$E$213</definedName>
    <definedName name="SS_Tax_State2">Setup!$G$213</definedName>
    <definedName name="SSAnalysis">Results!$A$112</definedName>
    <definedName name="Start_Base1">Setup!$G$164</definedName>
    <definedName name="Start_Base2">Setup!$G$165</definedName>
    <definedName name="Start_Base3">Setup!$G$167</definedName>
    <definedName name="Start_Compare1">Setup!$G$148</definedName>
    <definedName name="Start_Compare2">Setup!$G$149</definedName>
    <definedName name="Start_Compare3">Setup!$G$151</definedName>
    <definedName name="Start_ExRoth">Setup!$G$154</definedName>
    <definedName name="Start_ExRoth1_2">Setup!$G$155</definedName>
    <definedName name="Start_ExRoth2">Setup!$G$156</definedName>
    <definedName name="Start_InhIRA">Setup!$G$159</definedName>
    <definedName name="Start_InhIRA2">Setup!$G$160</definedName>
    <definedName name="Start_OInc_Long">Setup!$G$93</definedName>
    <definedName name="Start_OInc_Long2">Setup!$G$94</definedName>
    <definedName name="Start_OInc_Temp">Setup!$G$95</definedName>
    <definedName name="Start_OInc_Temp2">Setup!$G$96</definedName>
    <definedName name="State_AGI">Details!$B$211</definedName>
    <definedName name="State_Br_Amt1">Setup!$F$221</definedName>
    <definedName name="State_Br_Amt2">Setup!$F$222</definedName>
    <definedName name="State_Br_Per1">Setup!$E$221</definedName>
    <definedName name="State_Br_Per2">Setup!$E$222</definedName>
    <definedName name="State_Br_Per3">Setup!$E$223</definedName>
    <definedName name="State_Deduct">Setup!$E$217</definedName>
    <definedName name="State_Method">Setup!$E$209</definedName>
    <definedName name="State_Move_Age">Setup!$H$213</definedName>
    <definedName name="State_PE">Setup!$E$219</definedName>
    <definedName name="State_Rate">Setup!$E$211</definedName>
    <definedName name="State_Rate2">Setup!$G$211</definedName>
    <definedName name="State_SD">Setup!$E$218</definedName>
    <definedName name="State2_Br_Amt1">Setup!$H$221</definedName>
    <definedName name="State2_Br_Amt2">Setup!$H$222</definedName>
    <definedName name="State2_Br_Amt3">Setup!$H$223</definedName>
    <definedName name="State2_Br_Per1">Setup!$G$221</definedName>
    <definedName name="State2_Br_Per2">Setup!$G$222</definedName>
    <definedName name="State2_Br_Per3">Setup!$G$223</definedName>
    <definedName name="State2_Deduct">Setup!$G$217</definedName>
    <definedName name="State2_PE">Setup!$G$219</definedName>
    <definedName name="State2_SD">Setup!$G$218</definedName>
    <definedName name="Status_ORP">Setup!$U$3</definedName>
    <definedName name="Status_Readme">Setup!$U$1</definedName>
    <definedName name="Status_Tax">Setup!$U$2</definedName>
    <definedName name="Stock_Alloc_Beg">Setup!$E$73</definedName>
    <definedName name="Stock_Alloc_BegTar">Setup!$E$74</definedName>
    <definedName name="Stock_Alloc_Chg">Setup!$E$86</definedName>
    <definedName name="Stock_Alloc_ChgTar">Setup!$E$87</definedName>
    <definedName name="Stock_Rate">Setup!$G$56</definedName>
    <definedName name="Stock_Roth">Setup!$E$69</definedName>
    <definedName name="Stock_Roth_2">Setup!$E$70</definedName>
    <definedName name="Stock_Roth2">Setup!$E$82</definedName>
    <definedName name="Stock_Roth22">Setup!$E$83</definedName>
    <definedName name="Stock_RothConv">Setup!$E$71</definedName>
    <definedName name="Stock_RothConv2">Setup!$E$84</definedName>
    <definedName name="Stock_Taxable">Setup!$E$66</definedName>
    <definedName name="Stock_Taxable2">Setup!$E$79</definedName>
    <definedName name="Stock_tIRA1">Setup!$E$67</definedName>
    <definedName name="Stock_tIRA12">Setup!$E$80</definedName>
    <definedName name="Stock_tIRA2">Setup!$E$68</definedName>
    <definedName name="Stock_tIRA22">Setup!$E$81</definedName>
    <definedName name="Store_10">Setup!$F$267</definedName>
    <definedName name="Store_11">Setup!$F$268</definedName>
    <definedName name="Store_12">Setup!$F$269</definedName>
    <definedName name="Store_13">Setup!$F$270</definedName>
    <definedName name="Store_14">Setup!$F$271</definedName>
    <definedName name="Store_15">Setup!$F$272</definedName>
    <definedName name="Store_16">Setup!$F$273</definedName>
    <definedName name="Store_17">Setup!$F$274</definedName>
    <definedName name="Store_18">Setup!$F$275</definedName>
    <definedName name="Store_19">Setup!$F$276</definedName>
    <definedName name="Store_2">Setup!$F$259</definedName>
    <definedName name="Store_20">Setup!$F$277</definedName>
    <definedName name="Store_21">Setup!$F$278</definedName>
    <definedName name="Store_22">Setup!$F$279</definedName>
    <definedName name="Store_23">Setup!$F$280</definedName>
    <definedName name="Store_24">Setup!$F$281</definedName>
    <definedName name="Store_25">Setup!$F$282</definedName>
    <definedName name="Store_26">Setup!$F$283</definedName>
    <definedName name="Store_27">Setup!$F$284</definedName>
    <definedName name="Store_28">Setup!$F$285</definedName>
    <definedName name="Store_29">Setup!$F$286</definedName>
    <definedName name="Store_3">Setup!$F$260</definedName>
    <definedName name="Store_30">Setup!$F$287</definedName>
    <definedName name="Store_31">Setup!$F$288</definedName>
    <definedName name="Store_32">Setup!$F$289</definedName>
    <definedName name="Store_33">Setup!$F$290</definedName>
    <definedName name="Store_34">Setup!$F$291</definedName>
    <definedName name="Store_35">Setup!$F$292</definedName>
    <definedName name="Store_36">Setup!$F$293</definedName>
    <definedName name="Store_37">Setup!$F$294</definedName>
    <definedName name="Store_38">Setup!$F$295</definedName>
    <definedName name="Store_39">Setup!$F$296</definedName>
    <definedName name="Store_4">Setup!$F$261</definedName>
    <definedName name="Store_5">Setup!$F$262</definedName>
    <definedName name="Store_6">Setup!$F$263</definedName>
    <definedName name="Store_7">Setup!$F$264</definedName>
    <definedName name="Store_8">Setup!$F$265</definedName>
    <definedName name="Store_9">Setup!$F$266</definedName>
    <definedName name="Store_End_Amt">Setup!$F$297</definedName>
    <definedName name="Store_Start_Amt">Setup!$F$258</definedName>
    <definedName name="Store1">Setup!$G$408</definedName>
    <definedName name="Store2">Setup!$H$408</definedName>
    <definedName name="Store3">Setup!$I$408</definedName>
    <definedName name="Store4">Setup!$J$408</definedName>
    <definedName name="Sum_Rnd">Summary!$W$2</definedName>
    <definedName name="Summary_End">Results!$H$359</definedName>
    <definedName name="Summary_SH">Summary!$T$2</definedName>
    <definedName name="Summary_Start">Results!$D$353</definedName>
    <definedName name="Tax_Calc_1">Setup!$U$193</definedName>
    <definedName name="Tax_Calc_10">Setup!$U$202</definedName>
    <definedName name="Tax_Calc_11">Setup!$T$203</definedName>
    <definedName name="Tax_Calc_12">Setup!$U$205</definedName>
    <definedName name="Tax_Calc_13">Setup!$U$207</definedName>
    <definedName name="Tax_Calc_14">Setup!$U$210</definedName>
    <definedName name="Tax_Calc_15">Setup!$U$211</definedName>
    <definedName name="Tax_Calc_16">Setup!$U$214</definedName>
    <definedName name="Tax_Calc_17">Setup!$U$215</definedName>
    <definedName name="Tax_Calc_18">Setup!$U$217</definedName>
    <definedName name="Tax_Calc_2">Setup!$U$194</definedName>
    <definedName name="Tax_Calc_3">Setup!$T$195</definedName>
    <definedName name="Tax_Calc_4">Setup!$U$196</definedName>
    <definedName name="Tax_Calc_5">Setup!$T$197</definedName>
    <definedName name="Tax_Calc_6">Setup!$U$198</definedName>
    <definedName name="Tax_Calc_7">Setup!$U$199</definedName>
    <definedName name="Tax_Calc_8">Setup!$U$200</definedName>
    <definedName name="Tax_Calc_9">Setup!$U$201</definedName>
    <definedName name="Tax_Calc_Year">Setup!$U$191</definedName>
    <definedName name="Tax_Calc9">Setup!$U$201</definedName>
    <definedName name="Tax_Esc">'Tax Tables'!$C$10</definedName>
    <definedName name="Tax_Esc_Input">'Tax Tables'!$D$10</definedName>
    <definedName name="Tax_Est">Results!$N$179</definedName>
    <definedName name="Tax_Rates_Alt">Setup!$E$17</definedName>
    <definedName name="Tax_Rates_Year">'Tax Tables'!$D$9</definedName>
    <definedName name="Tax_Rounding">'Tax Tables'!$D$15</definedName>
    <definedName name="Tax_View">Setup!$C$348</definedName>
    <definedName name="Tax_Year">Setup!$P$192</definedName>
    <definedName name="Tax_Yr_C">'Tax Tables'!$D$9</definedName>
    <definedName name="Tax_Yr_P">'Tax Tables'!$C$9</definedName>
    <definedName name="Taxable_Adj1">Setup!$F$202</definedName>
    <definedName name="Taxable_Adj2">Setup!$F$203</definedName>
    <definedName name="Taxable_Adj3">Setup!$E$205</definedName>
    <definedName name="Taxable_Adj4">Setup!$E$206</definedName>
    <definedName name="Taxable_Begin">Setup!$E$40</definedName>
    <definedName name="Taxable_LTCG_Adj">Setup!$F$206</definedName>
    <definedName name="Taxable_Min">Setup!$I$13</definedName>
    <definedName name="Taxable_Rate">Setup!$E$56</definedName>
    <definedName name="Taxable_Return">Setup!$I$56</definedName>
    <definedName name="Taxable_Return2">Setup!$J$56</definedName>
    <definedName name="Taxable_Tax_Rate">Setup!$F$207</definedName>
    <definedName name="TaxC_M_1A">'Tax Tables'!$F$141</definedName>
    <definedName name="TaxC_M_1E">'Tax Tables'!$F$139</definedName>
    <definedName name="TaxC_M_1R">'Tax Tables'!$F$140</definedName>
    <definedName name="TaxC_M_1S">'Tax Tables'!$F$138</definedName>
    <definedName name="TaxC_M_2A">'Tax Tables'!$F$146</definedName>
    <definedName name="TaxC_M_2E">'Tax Tables'!$F$144</definedName>
    <definedName name="TaxC_M_2R">'Tax Tables'!$F$145</definedName>
    <definedName name="TaxC_M_2S">'Tax Tables'!$F$143</definedName>
    <definedName name="TaxC_M_3A">'Tax Tables'!$F$151</definedName>
    <definedName name="TaxC_M_3E">'Tax Tables'!$F$149</definedName>
    <definedName name="TaxC_M_3R">'Tax Tables'!$F$150</definedName>
    <definedName name="TaxC_M_3S">'Tax Tables'!$F$148</definedName>
    <definedName name="TaxC_M_4A">'Tax Tables'!$F$156</definedName>
    <definedName name="TaxC_M_4E">'Tax Tables'!$F$154</definedName>
    <definedName name="TaxC_M_4R">'Tax Tables'!$F$155</definedName>
    <definedName name="TaxC_M_4S">'Tax Tables'!$F$153</definedName>
    <definedName name="TaxC_M_5A">'Tax Tables'!$F$161</definedName>
    <definedName name="TaxC_M_5E">'Tax Tables'!$F$159</definedName>
    <definedName name="TaxC_M_5R">'Tax Tables'!$F$160</definedName>
    <definedName name="TaxC_M_5S">'Tax Tables'!$F$158</definedName>
    <definedName name="TaxC_M_6A">'Tax Tables'!$F$166</definedName>
    <definedName name="TaxC_M_6E">'Tax Tables'!$F$164</definedName>
    <definedName name="TaxC_M_6R">'Tax Tables'!$F$165</definedName>
    <definedName name="TaxC_M_6S">'Tax Tables'!$F$163</definedName>
    <definedName name="TaxC_M_7R">'Tax Tables'!$F$169</definedName>
    <definedName name="TaxC_M_7S">'Tax Tables'!$F$168</definedName>
    <definedName name="TaxC_S_1A">'Tax Tables'!$F$220</definedName>
    <definedName name="TaxC_S_1E">'Tax Tables'!$F$218</definedName>
    <definedName name="TaxC_S_1R">'Tax Tables'!$F$219</definedName>
    <definedName name="TaxC_S_1S">'Tax Tables'!$F$217</definedName>
    <definedName name="TaxC_S_2A">'Tax Tables'!$F$225</definedName>
    <definedName name="TaxC_S_2E">'Tax Tables'!$F$223</definedName>
    <definedName name="TaxC_S_2R">'Tax Tables'!$F$224</definedName>
    <definedName name="TaxC_S_2S">'Tax Tables'!$F$222</definedName>
    <definedName name="TaxC_S_3A">'Tax Tables'!$F$230</definedName>
    <definedName name="TaxC_S_3E">'Tax Tables'!$F$228</definedName>
    <definedName name="TaxC_S_3R">'Tax Tables'!$F$229</definedName>
    <definedName name="TaxC_S_3S">'Tax Tables'!$F$227</definedName>
    <definedName name="TaxC_S_4A">'Tax Tables'!$F$235</definedName>
    <definedName name="TaxC_S_4E">'Tax Tables'!$F$233</definedName>
    <definedName name="TaxC_S_4R">'Tax Tables'!$F$234</definedName>
    <definedName name="TaxC_S_4S">'Tax Tables'!$F$232</definedName>
    <definedName name="TaxC_S_5A">'Tax Tables'!$F$240</definedName>
    <definedName name="TaxC_S_5E">'Tax Tables'!$F$238</definedName>
    <definedName name="TaxC_S_5R">'Tax Tables'!$F$239</definedName>
    <definedName name="TaxC_S_5S">'Tax Tables'!$F$237</definedName>
    <definedName name="TaxC_S_6A">'Tax Tables'!$F$245</definedName>
    <definedName name="TaxC_S_6E">'Tax Tables'!$F$243</definedName>
    <definedName name="TaxC_S_6R">'Tax Tables'!$F$244</definedName>
    <definedName name="TaxC_S_6S">'Tax Tables'!$F$242</definedName>
    <definedName name="TaxC_S_7R">'Tax Tables'!$F$248</definedName>
    <definedName name="TaxC_S_7S">'Tax Tables'!$F$247</definedName>
    <definedName name="TaxCalc_Status">Setup!$S$191</definedName>
    <definedName name="TaxCalc_Year">Setup!$T$192</definedName>
    <definedName name="Taxes">Results!$A$92</definedName>
    <definedName name="Taxes_End">Results!$A$96</definedName>
    <definedName name="Taxes_Start">Results!$A$83</definedName>
    <definedName name="TaxEx_Alloc_Beg">Setup!$G$73</definedName>
    <definedName name="TaxEx_Alloc_BegTar">Setup!$G$74</definedName>
    <definedName name="TaxEx_Alloc_Chg">Setup!$G$86</definedName>
    <definedName name="TaxEx_Alloc_ChgTar">Setup!$G$87</definedName>
    <definedName name="TaxEx_Rate">Setup!$G$58</definedName>
    <definedName name="TaxEx_State">Setup!$E$215</definedName>
    <definedName name="TaxEx_State2">Setup!$G$215</definedName>
    <definedName name="TaxEx_Taxable">Setup!$G$66</definedName>
    <definedName name="TaxEx_Taxable2">Setup!$G$79</definedName>
    <definedName name="TaxFactors">'Tax Tables'!$A$6</definedName>
    <definedName name="TaxP_M_1A">'Tax Tables'!$E$141</definedName>
    <definedName name="TaxP_M_1E">'Tax Tables'!$E$139</definedName>
    <definedName name="TaxP_M_1R">'Tax Tables'!$E$140</definedName>
    <definedName name="TaxP_M_1S">'Tax Tables'!$E$138</definedName>
    <definedName name="TaxP_M_2A">'Tax Tables'!$E$146</definedName>
    <definedName name="TaxP_M_2E">'Tax Tables'!$E$144</definedName>
    <definedName name="TaxP_M_2R">'Tax Tables'!$E$145</definedName>
    <definedName name="TaxP_M_2S">'Tax Tables'!$E$143</definedName>
    <definedName name="TaxP_M_3A">'Tax Tables'!$E$151</definedName>
    <definedName name="TaxP_M_3E">'Tax Tables'!$E$149</definedName>
    <definedName name="TaxP_M_3R">'Tax Tables'!$E$150</definedName>
    <definedName name="TaxP_M_3S">'Tax Tables'!$E$148</definedName>
    <definedName name="TaxP_M_4A">'Tax Tables'!$E$156</definedName>
    <definedName name="TaxP_M_4E">'Tax Tables'!$E$154</definedName>
    <definedName name="TaxP_M_4R">'Tax Tables'!$E$155</definedName>
    <definedName name="TaxP_M_4S">'Tax Tables'!$E$153</definedName>
    <definedName name="TaxP_M_5A">'Tax Tables'!$E$161</definedName>
    <definedName name="TaxP_M_5E">'Tax Tables'!$E$159</definedName>
    <definedName name="TaxP_M_5R">'Tax Tables'!$E$160</definedName>
    <definedName name="TaxP_M_5S">'Tax Tables'!$E$158</definedName>
    <definedName name="TaxP_M_6A">'Tax Tables'!$E$166</definedName>
    <definedName name="TaxP_M_6E">'Tax Tables'!$E$164</definedName>
    <definedName name="TaxP_M_6R">'Tax Tables'!$E$165</definedName>
    <definedName name="TaxP_M_6S">'Tax Tables'!$E$163</definedName>
    <definedName name="TaxP_M_7R">'Tax Tables'!$E$169</definedName>
    <definedName name="TaxP_M_7S">'Tax Tables'!$E$168</definedName>
    <definedName name="TaxP_S_1A">'Tax Tables'!$E$220</definedName>
    <definedName name="TaxP_S_1E">'Tax Tables'!$E$218</definedName>
    <definedName name="TaxP_S_1R">'Tax Tables'!$E$219</definedName>
    <definedName name="TaxP_S_1S">'Tax Tables'!$E$217</definedName>
    <definedName name="TaxP_S_2A">'Tax Tables'!$E$225</definedName>
    <definedName name="TaxP_S_2E">'Tax Tables'!$E$223</definedName>
    <definedName name="TaxP_S_2R">'Tax Tables'!$E$224</definedName>
    <definedName name="TaxP_S_2S">'Tax Tables'!$E$222</definedName>
    <definedName name="TaxP_S_3A">'Tax Tables'!$E$230</definedName>
    <definedName name="TaxP_S_3E">'Tax Tables'!$E$228</definedName>
    <definedName name="TaxP_S_3R">'Tax Tables'!$E$229</definedName>
    <definedName name="TaxP_S_3S">'Tax Tables'!$E$227</definedName>
    <definedName name="TaxP_S_4A">'Tax Tables'!$E$235</definedName>
    <definedName name="TaxP_S_4E">'Tax Tables'!$E$233</definedName>
    <definedName name="TaxP_S_4R">'Tax Tables'!$E$234</definedName>
    <definedName name="TaxP_S_4S">'Tax Tables'!$E$232</definedName>
    <definedName name="TaxP_S_5A">'Tax Tables'!$E$240</definedName>
    <definedName name="TaxP_S_5E">'Tax Tables'!$E$238</definedName>
    <definedName name="TaxP_S_5R">'Tax Tables'!$E$239</definedName>
    <definedName name="TaxP_S_5S">'Tax Tables'!$E$237</definedName>
    <definedName name="TaxP_S_6A">'Tax Tables'!$E$245</definedName>
    <definedName name="TaxP_S_6E">'Tax Tables'!$E$243</definedName>
    <definedName name="TaxP_S_6R">'Tax Tables'!$E$244</definedName>
    <definedName name="TaxP_S_6S">'Tax Tables'!$E$242</definedName>
    <definedName name="TaxP_S_7R">'Tax Tables'!$E$248</definedName>
    <definedName name="TaxP_S_7S">'Tax Tables'!$E$247</definedName>
    <definedName name="Test_Age_S">Setup!$R$103</definedName>
    <definedName name="Test_Age_Y">Setup!$R$102</definedName>
    <definedName name="Test_COLA">Setup!$U$102</definedName>
    <definedName name="Test_FRA_S">Setup!$S$103</definedName>
    <definedName name="Test_FRA_Y">Setup!$S$102</definedName>
    <definedName name="Test_PIA_S">Setup!$T$103</definedName>
    <definedName name="Test_PIA_Y">Setup!$T$102</definedName>
    <definedName name="tIRA_Begin">Setup!$E$41</definedName>
    <definedName name="tIRA_Begin2">Setup!$E$42</definedName>
    <definedName name="tIRA_Return">Setup!$I$57</definedName>
    <definedName name="tIRA_Return2">Setup!$J$57</definedName>
    <definedName name="tIRA_Withdr_Base1">Setup!$E$164</definedName>
    <definedName name="tIRA_Withdr_Base2">Setup!$E$165</definedName>
    <definedName name="tIRA_Withdr_Base3">Setup!$E$167</definedName>
    <definedName name="tIRA_Withdr_Compare1">Setup!$E$148</definedName>
    <definedName name="tIRA_Withdr_Compare2">Setup!$E$149</definedName>
    <definedName name="tIRA_Withdr_Compare3">Setup!$E$151</definedName>
    <definedName name="tIRA_Withdr_Roth1">Setup!$E$148</definedName>
    <definedName name="tIRA_Withdr_Roth2">Setup!$E$149</definedName>
    <definedName name="tIRA_Withdr_Special_Compare">Setup!$E$151</definedName>
    <definedName name="tIRA1_Add">Setup!$E$142</definedName>
    <definedName name="tIRA1_End">Setup!$H$142</definedName>
    <definedName name="tIRA1_Esc">Setup!$F$142</definedName>
    <definedName name="tIRA1_Rate">Setup!$E$57</definedName>
    <definedName name="tIRA1_Start">Setup!$G$142</definedName>
    <definedName name="tIRA2_Add">Setup!$E$143</definedName>
    <definedName name="tIRA2_End">Setup!$H$143</definedName>
    <definedName name="tIRA2_Esc">Setup!$F$143</definedName>
    <definedName name="tIRA2_Rate">Setup!$E$58</definedName>
    <definedName name="tIRA2_Return">Setup!$I$58</definedName>
    <definedName name="tIRA2_Return2">Setup!$J$58</definedName>
    <definedName name="tIRA2_Start">Setup!$G$143</definedName>
    <definedName name="Total_Years">Setup!$E$24</definedName>
    <definedName name="Use_Class">Setup!$E$53</definedName>
    <definedName name="Version">Readme!$E$1</definedName>
    <definedName name="With_10">Setup!$D$267</definedName>
    <definedName name="With_11">Setup!$D$268</definedName>
    <definedName name="With_12">Setup!$D$269</definedName>
    <definedName name="With_13">Setup!$D$270</definedName>
    <definedName name="With_14">Setup!$D$271</definedName>
    <definedName name="With_15">Setup!$D$272</definedName>
    <definedName name="With_16">Setup!$D$273</definedName>
    <definedName name="With_17">Setup!$D$274</definedName>
    <definedName name="With_18">Setup!$D$275</definedName>
    <definedName name="With_19">Setup!$D$276</definedName>
    <definedName name="With_2">Setup!$D$259</definedName>
    <definedName name="With_20">Setup!$D$277</definedName>
    <definedName name="With_21">Setup!$D$278</definedName>
    <definedName name="With_22">Setup!$D$279</definedName>
    <definedName name="With_23">Setup!$D$280</definedName>
    <definedName name="With_24">Setup!$D$281</definedName>
    <definedName name="With_25">Setup!$D$282</definedName>
    <definedName name="With_26">Setup!$D$283</definedName>
    <definedName name="With_27">Setup!$D$284</definedName>
    <definedName name="With_28">Setup!$D$285</definedName>
    <definedName name="With_29">Setup!$D$286</definedName>
    <definedName name="With_3">Setup!$D$260</definedName>
    <definedName name="With_30">Setup!$D$287</definedName>
    <definedName name="With_31">Setup!$D$288</definedName>
    <definedName name="With_32">Setup!$D$289</definedName>
    <definedName name="With_33">Setup!$D$290</definedName>
    <definedName name="With_34">Setup!$D$291</definedName>
    <definedName name="With_35">Setup!$D$292</definedName>
    <definedName name="With_36">Setup!$D$293</definedName>
    <definedName name="With_37">Setup!$D$294</definedName>
    <definedName name="With_38">Setup!$D$295</definedName>
    <definedName name="With_39">Setup!$D$296</definedName>
    <definedName name="With_4">Setup!$D$261</definedName>
    <definedName name="With_5">Setup!$D$262</definedName>
    <definedName name="With_6">Setup!$D$263</definedName>
    <definedName name="With_7">Setup!$D$264</definedName>
    <definedName name="With_8">Setup!$D$265</definedName>
    <definedName name="With_9">Setup!$D$266</definedName>
    <definedName name="With_End_Amt">Setup!$D$297</definedName>
    <definedName name="With_ExRoth">Setup!$E$154</definedName>
    <definedName name="With_ExRoth1_2">Setup!$E$155</definedName>
    <definedName name="With_ExRoth2">Setup!$E$156</definedName>
    <definedName name="With_InhIRA">Setup!$E$159</definedName>
    <definedName name="With_InhIRA2">Setup!$E$160</definedName>
    <definedName name="With_Start_Amt">Setup!$D$258</definedName>
    <definedName name="YearlyTaxRates">'Tax Tables'!$A$295</definedName>
    <definedName name="Your_Age">Setup!$E$25</definedName>
    <definedName name="Your_Age_End">Setup!$G$25</definedName>
    <definedName name="Your_End">Setup!$H$25</definedName>
    <definedName name="Your_End_Input">Setup!$F$25</definedName>
    <definedName name="Your_SB">Setup!$K$101</definedName>
    <definedName name="Your_SB_Alt">Setup!$K$112</definedName>
    <definedName name="Your_Spousal">Setup!$AE$109</definedName>
    <definedName name="Your_Spousal_Alt">Setup!$AE$123</definedName>
    <definedName name="Your_SS">Setup!$E$101</definedName>
    <definedName name="Your_SS_Add">Setup!$AG$109</definedName>
    <definedName name="Your_SS_Add_Alt">Setup!$AG$123</definedName>
    <definedName name="Your_SS_Alt">Setup!$E$112</definedName>
    <definedName name="Your_SS_Benefits">Setup!$E$101</definedName>
    <definedName name="Your_SS_CA">Setup!$I$101</definedName>
    <definedName name="Your_SS_CA_Alt">Setup!$I$112</definedName>
    <definedName name="Your_SS_Calc">Setup!$AC$109</definedName>
    <definedName name="Your_SS_Calc_Alt">Setup!$AC$123</definedName>
    <definedName name="Your_SS_End">Setup!$H$101</definedName>
    <definedName name="Your_SS_End_Alt">Setup!$H$112</definedName>
    <definedName name="Your_SS_Start">Setup!$G$101</definedName>
    <definedName name="Your_SS_Start_Alt">Setup!$G$112</definedName>
    <definedName name="Your_SS_Year">Setup!$AC$110</definedName>
    <definedName name="Your_SSAlt_Year">Setup!$AC$124</definedName>
  </definedNames>
  <calcPr calcId="152511"/>
</workbook>
</file>

<file path=xl/calcChain.xml><?xml version="1.0" encoding="utf-8"?>
<calcChain xmlns="http://schemas.openxmlformats.org/spreadsheetml/2006/main">
  <c r="AD124" i="1" l="1"/>
  <c r="AC124" i="1"/>
  <c r="K118" i="1"/>
  <c r="K117" i="1"/>
  <c r="F115" i="1"/>
  <c r="F104" i="1"/>
  <c r="F112" i="1" l="1"/>
  <c r="E177" i="1" l="1"/>
  <c r="F177" i="1"/>
  <c r="K160" i="1" l="1"/>
  <c r="K159" i="1"/>
  <c r="K156" i="1"/>
  <c r="K149" i="1"/>
  <c r="K148" i="1"/>
  <c r="J144" i="1"/>
  <c r="J143" i="1"/>
  <c r="E627" i="1"/>
  <c r="E626" i="1"/>
  <c r="E625" i="1"/>
  <c r="E624" i="1"/>
  <c r="AU155" i="3"/>
  <c r="AV155" i="3" s="1"/>
  <c r="AU359" i="2"/>
  <c r="AV359" i="2" s="1"/>
  <c r="AU357" i="2"/>
  <c r="AV357" i="2" s="1"/>
  <c r="AU274" i="2"/>
  <c r="AU273" i="2"/>
  <c r="I285" i="5" l="1"/>
  <c r="G285" i="5"/>
  <c r="F285" i="5"/>
  <c r="E285" i="5"/>
  <c r="D285" i="5"/>
  <c r="I316" i="5"/>
  <c r="H316" i="5"/>
  <c r="G316" i="5"/>
  <c r="F316" i="5"/>
  <c r="D316" i="5"/>
  <c r="D147" i="10" l="1"/>
  <c r="D145" i="10"/>
  <c r="D144" i="10"/>
  <c r="D143" i="10"/>
  <c r="D142" i="10"/>
  <c r="D125" i="10"/>
  <c r="D124" i="10"/>
  <c r="D121" i="10"/>
  <c r="D120" i="10"/>
  <c r="D119" i="10"/>
  <c r="D118" i="10"/>
  <c r="D117" i="10"/>
  <c r="D116" i="10"/>
  <c r="D115" i="10"/>
  <c r="D114" i="10"/>
  <c r="D113" i="10"/>
  <c r="D112" i="10"/>
  <c r="D111" i="10"/>
  <c r="D110" i="10"/>
  <c r="D107" i="10"/>
  <c r="D106" i="10"/>
  <c r="D105" i="10"/>
  <c r="D104" i="10"/>
  <c r="D103" i="10"/>
  <c r="D99" i="10"/>
  <c r="D98" i="10"/>
  <c r="D97" i="10"/>
  <c r="D96" i="10"/>
  <c r="D95" i="10"/>
  <c r="D94" i="10"/>
  <c r="D93" i="10"/>
  <c r="D92" i="10"/>
  <c r="D91" i="10"/>
  <c r="D90" i="10"/>
  <c r="D85" i="10"/>
  <c r="D84" i="10"/>
  <c r="D83" i="10"/>
  <c r="D78" i="10"/>
  <c r="D74" i="10"/>
  <c r="D68" i="10"/>
  <c r="D67" i="10"/>
  <c r="D66" i="10"/>
  <c r="D65" i="10"/>
  <c r="D64" i="10"/>
  <c r="D61" i="10"/>
  <c r="D60" i="10"/>
  <c r="BY58" i="10"/>
  <c r="BU58" i="10"/>
  <c r="BQ58" i="10"/>
  <c r="BM58" i="10"/>
  <c r="BI58" i="10"/>
  <c r="BE58" i="10"/>
  <c r="BA58" i="10"/>
  <c r="AW58" i="10"/>
  <c r="CD57" i="10"/>
  <c r="CC57" i="10"/>
  <c r="BY57" i="10"/>
  <c r="BU57" i="10"/>
  <c r="BQ57" i="10"/>
  <c r="BM57" i="10"/>
  <c r="BI57" i="10"/>
  <c r="BE57" i="10"/>
  <c r="BA57" i="10"/>
  <c r="AW57" i="10"/>
  <c r="AS57" i="10"/>
  <c r="AO57" i="10"/>
  <c r="AK57" i="10"/>
  <c r="AG57" i="10"/>
  <c r="AF57" i="10"/>
  <c r="AE57" i="10"/>
  <c r="CD56" i="10"/>
  <c r="CC56" i="10"/>
  <c r="BY56" i="10"/>
  <c r="BU56" i="10"/>
  <c r="BQ56" i="10"/>
  <c r="BM56" i="10"/>
  <c r="BI56" i="10"/>
  <c r="BE56" i="10"/>
  <c r="BA56" i="10"/>
  <c r="AW56" i="10"/>
  <c r="AS56" i="10"/>
  <c r="AO56" i="10"/>
  <c r="AK56" i="10"/>
  <c r="AG56" i="10"/>
  <c r="AF56" i="10"/>
  <c r="AE56" i="10"/>
  <c r="CD55" i="10"/>
  <c r="CC55" i="10"/>
  <c r="BY55" i="10"/>
  <c r="BU55" i="10"/>
  <c r="BQ55" i="10"/>
  <c r="BM55" i="10"/>
  <c r="BI55" i="10"/>
  <c r="BE55" i="10"/>
  <c r="BA55" i="10"/>
  <c r="AW55" i="10"/>
  <c r="AS55" i="10"/>
  <c r="AO55" i="10"/>
  <c r="AK55" i="10"/>
  <c r="AG55" i="10"/>
  <c r="AF55" i="10"/>
  <c r="AE55" i="10"/>
  <c r="D55" i="10"/>
  <c r="CD54" i="10"/>
  <c r="CC54" i="10"/>
  <c r="BY54" i="10"/>
  <c r="BU54" i="10"/>
  <c r="BQ54" i="10"/>
  <c r="BM54" i="10"/>
  <c r="BI54" i="10"/>
  <c r="BE54" i="10"/>
  <c r="BA54" i="10"/>
  <c r="AW54" i="10"/>
  <c r="AS54" i="10"/>
  <c r="AO54" i="10"/>
  <c r="AK54" i="10"/>
  <c r="AG54" i="10"/>
  <c r="AF54" i="10"/>
  <c r="AE54" i="10"/>
  <c r="D54" i="10"/>
  <c r="CD53" i="10"/>
  <c r="CC53" i="10"/>
  <c r="BY53" i="10"/>
  <c r="BU53" i="10"/>
  <c r="BQ53" i="10"/>
  <c r="BM53" i="10"/>
  <c r="BI53" i="10"/>
  <c r="BE53" i="10"/>
  <c r="BA53" i="10"/>
  <c r="AW53" i="10"/>
  <c r="AS53" i="10"/>
  <c r="AO53" i="10"/>
  <c r="AK53" i="10"/>
  <c r="AG53" i="10"/>
  <c r="AF53" i="10"/>
  <c r="AE53" i="10"/>
  <c r="CD52" i="10"/>
  <c r="CC52" i="10"/>
  <c r="BY52" i="10"/>
  <c r="BU52" i="10"/>
  <c r="BQ52" i="10"/>
  <c r="BM52" i="10"/>
  <c r="BI52" i="10"/>
  <c r="BE52" i="10"/>
  <c r="BA52" i="10"/>
  <c r="AW52" i="10"/>
  <c r="AS52" i="10"/>
  <c r="AO52" i="10"/>
  <c r="AK52" i="10"/>
  <c r="AG52" i="10"/>
  <c r="AF52" i="10"/>
  <c r="AE52" i="10"/>
  <c r="AD52" i="10"/>
  <c r="CD51" i="10"/>
  <c r="CC51" i="10"/>
  <c r="BY51" i="10"/>
  <c r="BU51" i="10"/>
  <c r="BQ51" i="10"/>
  <c r="BM51" i="10"/>
  <c r="BI51" i="10"/>
  <c r="BE51" i="10"/>
  <c r="BA51" i="10"/>
  <c r="AW51" i="10"/>
  <c r="AS51" i="10"/>
  <c r="AO51" i="10"/>
  <c r="AK51" i="10"/>
  <c r="AG51" i="10"/>
  <c r="AF51" i="10"/>
  <c r="AE51" i="10"/>
  <c r="AD51" i="10"/>
  <c r="CD50" i="10"/>
  <c r="CC50" i="10"/>
  <c r="BY50" i="10"/>
  <c r="BU50" i="10"/>
  <c r="BQ50" i="10"/>
  <c r="BM50" i="10"/>
  <c r="BI50" i="10"/>
  <c r="BE50" i="10"/>
  <c r="BA50" i="10"/>
  <c r="AW50" i="10"/>
  <c r="AS50" i="10"/>
  <c r="AO50" i="10"/>
  <c r="AK50" i="10"/>
  <c r="AG50" i="10"/>
  <c r="AF50" i="10"/>
  <c r="AE50" i="10"/>
  <c r="AD50" i="10"/>
  <c r="D50" i="10"/>
  <c r="CD49" i="10"/>
  <c r="CC49" i="10"/>
  <c r="BY49" i="10"/>
  <c r="BU49" i="10"/>
  <c r="BQ49" i="10"/>
  <c r="BM49" i="10"/>
  <c r="BI49" i="10"/>
  <c r="BE49" i="10"/>
  <c r="BA49" i="10"/>
  <c r="AW49" i="10"/>
  <c r="AS49" i="10"/>
  <c r="AO49" i="10"/>
  <c r="AK49" i="10"/>
  <c r="AG49" i="10"/>
  <c r="AF49" i="10"/>
  <c r="AE49" i="10"/>
  <c r="AD49" i="10"/>
  <c r="D49" i="10"/>
  <c r="CD48" i="10"/>
  <c r="CC48" i="10"/>
  <c r="BY48" i="10"/>
  <c r="BU48" i="10"/>
  <c r="BQ48" i="10"/>
  <c r="BM48" i="10"/>
  <c r="BI48" i="10"/>
  <c r="BE48" i="10"/>
  <c r="BA48" i="10"/>
  <c r="AW48" i="10"/>
  <c r="AS48" i="10"/>
  <c r="AO48" i="10"/>
  <c r="AK48" i="10"/>
  <c r="AG48" i="10"/>
  <c r="AF48" i="10"/>
  <c r="AE48" i="10"/>
  <c r="AD48" i="10"/>
  <c r="D48" i="10"/>
  <c r="CD47" i="10"/>
  <c r="CC47" i="10"/>
  <c r="BY47" i="10"/>
  <c r="BU47" i="10"/>
  <c r="BQ47" i="10"/>
  <c r="BM47" i="10"/>
  <c r="BI47" i="10"/>
  <c r="BE47" i="10"/>
  <c r="BA47" i="10"/>
  <c r="AW47" i="10"/>
  <c r="AS47" i="10"/>
  <c r="AO47" i="10"/>
  <c r="AK47" i="10"/>
  <c r="AG47" i="10"/>
  <c r="AF47" i="10"/>
  <c r="AE47" i="10"/>
  <c r="AD47" i="10"/>
  <c r="D47" i="10"/>
  <c r="CD46" i="10"/>
  <c r="CC46" i="10"/>
  <c r="BY46" i="10"/>
  <c r="BU46" i="10"/>
  <c r="BQ46" i="10"/>
  <c r="BM46" i="10"/>
  <c r="BI46" i="10"/>
  <c r="BE46" i="10"/>
  <c r="BA46" i="10"/>
  <c r="AW46" i="10"/>
  <c r="AS46" i="10"/>
  <c r="AO46" i="10"/>
  <c r="AK46" i="10"/>
  <c r="AG46" i="10"/>
  <c r="AF46" i="10"/>
  <c r="AE46" i="10"/>
  <c r="AD46" i="10"/>
  <c r="CD45" i="10"/>
  <c r="CC45" i="10"/>
  <c r="BY45" i="10"/>
  <c r="BU45" i="10"/>
  <c r="BQ45" i="10"/>
  <c r="BM45" i="10"/>
  <c r="BI45" i="10"/>
  <c r="BE45" i="10"/>
  <c r="BA45" i="10"/>
  <c r="AW45" i="10"/>
  <c r="AS45" i="10"/>
  <c r="AO45" i="10"/>
  <c r="AK45" i="10"/>
  <c r="AG45" i="10"/>
  <c r="AF45" i="10"/>
  <c r="AE45" i="10"/>
  <c r="AD45" i="10"/>
  <c r="CD44" i="10"/>
  <c r="CC44" i="10"/>
  <c r="BY44" i="10"/>
  <c r="BU44" i="10"/>
  <c r="BQ44" i="10"/>
  <c r="BM44" i="10"/>
  <c r="BI44" i="10"/>
  <c r="BE44" i="10"/>
  <c r="BA44" i="10"/>
  <c r="AW44" i="10"/>
  <c r="AS44" i="10"/>
  <c r="AO44" i="10"/>
  <c r="AK44" i="10"/>
  <c r="AG44" i="10"/>
  <c r="AF44" i="10"/>
  <c r="AE44" i="10"/>
  <c r="AD44" i="10"/>
  <c r="CD43" i="10"/>
  <c r="CC43" i="10"/>
  <c r="BY43" i="10"/>
  <c r="BU43" i="10"/>
  <c r="BQ43" i="10"/>
  <c r="BM43" i="10"/>
  <c r="BI43" i="10"/>
  <c r="BE43" i="10"/>
  <c r="BA43" i="10"/>
  <c r="AW43" i="10"/>
  <c r="AS43" i="10"/>
  <c r="AO43" i="10"/>
  <c r="AK43" i="10"/>
  <c r="AG43" i="10"/>
  <c r="AF43" i="10"/>
  <c r="AE43" i="10"/>
  <c r="AD43" i="10"/>
  <c r="D43" i="10"/>
  <c r="CD42" i="10"/>
  <c r="CC42" i="10"/>
  <c r="BY42" i="10"/>
  <c r="BU42" i="10"/>
  <c r="BQ42" i="10"/>
  <c r="BM42" i="10"/>
  <c r="BI42" i="10"/>
  <c r="BE42" i="10"/>
  <c r="BA42" i="10"/>
  <c r="AW42" i="10"/>
  <c r="AS42" i="10"/>
  <c r="AO42" i="10"/>
  <c r="AK42" i="10"/>
  <c r="AG42" i="10"/>
  <c r="AF42" i="10"/>
  <c r="AE42" i="10"/>
  <c r="AD42" i="10"/>
  <c r="D42" i="10"/>
  <c r="CD41" i="10"/>
  <c r="CC41" i="10"/>
  <c r="BY41" i="10"/>
  <c r="BU41" i="10"/>
  <c r="BQ41" i="10"/>
  <c r="BM41" i="10"/>
  <c r="BI41" i="10"/>
  <c r="BE41" i="10"/>
  <c r="BA41" i="10"/>
  <c r="AW41" i="10"/>
  <c r="AS41" i="10"/>
  <c r="AO41" i="10"/>
  <c r="AK41" i="10"/>
  <c r="AG41" i="10"/>
  <c r="AF41" i="10"/>
  <c r="AE41" i="10"/>
  <c r="AD41" i="10"/>
  <c r="CD40" i="10"/>
  <c r="CC40" i="10"/>
  <c r="BY40" i="10"/>
  <c r="BU40" i="10"/>
  <c r="BQ40" i="10"/>
  <c r="BM40" i="10"/>
  <c r="BI40" i="10"/>
  <c r="BE40" i="10"/>
  <c r="BA40" i="10"/>
  <c r="AW40" i="10"/>
  <c r="AS40" i="10"/>
  <c r="AO40" i="10"/>
  <c r="AK40" i="10"/>
  <c r="AG40" i="10"/>
  <c r="AF40" i="10"/>
  <c r="AE40" i="10"/>
  <c r="AD40" i="10"/>
  <c r="CD39" i="10"/>
  <c r="CC39" i="10"/>
  <c r="BY39" i="10"/>
  <c r="BU39" i="10"/>
  <c r="BQ39" i="10"/>
  <c r="BM39" i="10"/>
  <c r="BI39" i="10"/>
  <c r="BE39" i="10"/>
  <c r="BA39" i="10"/>
  <c r="AW39" i="10"/>
  <c r="AS39" i="10"/>
  <c r="AO39" i="10"/>
  <c r="AK39" i="10"/>
  <c r="AG39" i="10"/>
  <c r="AF39" i="10"/>
  <c r="AE39" i="10"/>
  <c r="AD39" i="10"/>
  <c r="CD38" i="10"/>
  <c r="CC38" i="10"/>
  <c r="BY38" i="10"/>
  <c r="BU38" i="10"/>
  <c r="BQ38" i="10"/>
  <c r="BM38" i="10"/>
  <c r="BI38" i="10"/>
  <c r="BE38" i="10"/>
  <c r="BA38" i="10"/>
  <c r="AW38" i="10"/>
  <c r="AS38" i="10"/>
  <c r="AO38" i="10"/>
  <c r="AK38" i="10"/>
  <c r="AG38" i="10"/>
  <c r="AF38" i="10"/>
  <c r="AE38" i="10"/>
  <c r="AD38" i="10"/>
  <c r="CD37" i="10"/>
  <c r="CC37" i="10"/>
  <c r="BY37" i="10"/>
  <c r="BU37" i="10"/>
  <c r="BQ37" i="10"/>
  <c r="BM37" i="10"/>
  <c r="BI37" i="10"/>
  <c r="BE37" i="10"/>
  <c r="BA37" i="10"/>
  <c r="AW37" i="10"/>
  <c r="AS37" i="10"/>
  <c r="AO37" i="10"/>
  <c r="AK37" i="10"/>
  <c r="AG37" i="10"/>
  <c r="AF37" i="10"/>
  <c r="AE37" i="10"/>
  <c r="AD37" i="10"/>
  <c r="D37" i="10"/>
  <c r="CD36" i="10"/>
  <c r="CC36" i="10"/>
  <c r="BY36" i="10"/>
  <c r="BU36" i="10"/>
  <c r="BQ36" i="10"/>
  <c r="BM36" i="10"/>
  <c r="BI36" i="10"/>
  <c r="BE36" i="10"/>
  <c r="BA36" i="10"/>
  <c r="AW36" i="10"/>
  <c r="AS36" i="10"/>
  <c r="AO36" i="10"/>
  <c r="AK36" i="10"/>
  <c r="AG36" i="10"/>
  <c r="AF36" i="10"/>
  <c r="AE36" i="10"/>
  <c r="AD36" i="10"/>
  <c r="D36" i="10"/>
  <c r="CD35" i="10"/>
  <c r="CC35" i="10"/>
  <c r="BY35" i="10"/>
  <c r="BU35" i="10"/>
  <c r="BQ35" i="10"/>
  <c r="BM35" i="10"/>
  <c r="BI35" i="10"/>
  <c r="BE35" i="10"/>
  <c r="BA35" i="10"/>
  <c r="AW35" i="10"/>
  <c r="AS35" i="10"/>
  <c r="AO35" i="10"/>
  <c r="AK35" i="10"/>
  <c r="AG35" i="10"/>
  <c r="AF35" i="10"/>
  <c r="AE35" i="10"/>
  <c r="AD35" i="10"/>
  <c r="CD34" i="10"/>
  <c r="CC34" i="10"/>
  <c r="BY34" i="10"/>
  <c r="BU34" i="10"/>
  <c r="BQ34" i="10"/>
  <c r="BM34" i="10"/>
  <c r="BI34" i="10"/>
  <c r="BE34" i="10"/>
  <c r="BA34" i="10"/>
  <c r="AW34" i="10"/>
  <c r="AS34" i="10"/>
  <c r="AO34" i="10"/>
  <c r="AK34" i="10"/>
  <c r="AG34" i="10"/>
  <c r="AF34" i="10"/>
  <c r="AE34" i="10"/>
  <c r="AD34" i="10"/>
  <c r="CD33" i="10"/>
  <c r="CC33" i="10"/>
  <c r="BY33" i="10"/>
  <c r="BU33" i="10"/>
  <c r="BQ33" i="10"/>
  <c r="BM33" i="10"/>
  <c r="BI33" i="10"/>
  <c r="BE33" i="10"/>
  <c r="BA33" i="10"/>
  <c r="AW33" i="10"/>
  <c r="AS33" i="10"/>
  <c r="AO33" i="10"/>
  <c r="AK33" i="10"/>
  <c r="AG33" i="10"/>
  <c r="AF33" i="10"/>
  <c r="AE33" i="10"/>
  <c r="AD33" i="10"/>
  <c r="CD32" i="10"/>
  <c r="CC32" i="10"/>
  <c r="BY32" i="10"/>
  <c r="BU32" i="10"/>
  <c r="BQ32" i="10"/>
  <c r="BM32" i="10"/>
  <c r="BI32" i="10"/>
  <c r="BE32" i="10"/>
  <c r="BA32" i="10"/>
  <c r="AW32" i="10"/>
  <c r="AS32" i="10"/>
  <c r="AO32" i="10"/>
  <c r="AK32" i="10"/>
  <c r="AG32" i="10"/>
  <c r="AF32" i="10"/>
  <c r="AE32" i="10"/>
  <c r="AD32" i="10"/>
  <c r="CD31" i="10"/>
  <c r="CC31" i="10"/>
  <c r="BY31" i="10"/>
  <c r="BU31" i="10"/>
  <c r="BQ31" i="10"/>
  <c r="BM31" i="10"/>
  <c r="BI31" i="10"/>
  <c r="BE31" i="10"/>
  <c r="BA31" i="10"/>
  <c r="AW31" i="10"/>
  <c r="AS31" i="10"/>
  <c r="AO31" i="10"/>
  <c r="AK31" i="10"/>
  <c r="AG31" i="10"/>
  <c r="AF31" i="10"/>
  <c r="AE31" i="10"/>
  <c r="AD31" i="10"/>
  <c r="D31" i="10"/>
  <c r="CD30" i="10"/>
  <c r="CC30" i="10"/>
  <c r="BY30" i="10"/>
  <c r="BU30" i="10"/>
  <c r="BQ30" i="10"/>
  <c r="BM30" i="10"/>
  <c r="BI30" i="10"/>
  <c r="BE30" i="10"/>
  <c r="BA30" i="10"/>
  <c r="AW30" i="10"/>
  <c r="AS30" i="10"/>
  <c r="AO30" i="10"/>
  <c r="AK30" i="10"/>
  <c r="AG30" i="10"/>
  <c r="AF30" i="10"/>
  <c r="AE30" i="10"/>
  <c r="AD30" i="10"/>
  <c r="CD29" i="10"/>
  <c r="CC29" i="10"/>
  <c r="BY29" i="10"/>
  <c r="BU29" i="10"/>
  <c r="BQ29" i="10"/>
  <c r="BM29" i="10"/>
  <c r="BI29" i="10"/>
  <c r="BE29" i="10"/>
  <c r="BA29" i="10"/>
  <c r="AW29" i="10"/>
  <c r="AS29" i="10"/>
  <c r="AO29" i="10"/>
  <c r="AK29" i="10"/>
  <c r="AG29" i="10"/>
  <c r="AF29" i="10"/>
  <c r="AE29" i="10"/>
  <c r="AD29" i="10"/>
  <c r="CD28" i="10"/>
  <c r="CC28" i="10"/>
  <c r="BY28" i="10"/>
  <c r="BU28" i="10"/>
  <c r="BQ28" i="10"/>
  <c r="BM28" i="10"/>
  <c r="BI28" i="10"/>
  <c r="BE28" i="10"/>
  <c r="BA28" i="10"/>
  <c r="AW28" i="10"/>
  <c r="AS28" i="10"/>
  <c r="AO28" i="10"/>
  <c r="AK28" i="10"/>
  <c r="AG28" i="10"/>
  <c r="AF28" i="10"/>
  <c r="AE28" i="10"/>
  <c r="AD28" i="10"/>
  <c r="CD27" i="10"/>
  <c r="CC27" i="10"/>
  <c r="BY27" i="10"/>
  <c r="BU27" i="10"/>
  <c r="BQ27" i="10"/>
  <c r="BM27" i="10"/>
  <c r="BI27" i="10"/>
  <c r="BE27" i="10"/>
  <c r="BA27" i="10"/>
  <c r="AW27" i="10"/>
  <c r="AS27" i="10"/>
  <c r="AO27" i="10"/>
  <c r="AK27" i="10"/>
  <c r="AG27" i="10"/>
  <c r="AF27" i="10"/>
  <c r="AE27" i="10"/>
  <c r="AD27" i="10"/>
  <c r="D27" i="10"/>
  <c r="CD26" i="10"/>
  <c r="CC26" i="10"/>
  <c r="BY26" i="10"/>
  <c r="BU26" i="10"/>
  <c r="BQ26" i="10"/>
  <c r="BM26" i="10"/>
  <c r="BI26" i="10"/>
  <c r="BE26" i="10"/>
  <c r="BA26" i="10"/>
  <c r="AW26" i="10"/>
  <c r="AS26" i="10"/>
  <c r="AO26" i="10"/>
  <c r="AK26" i="10"/>
  <c r="AG26" i="10"/>
  <c r="AF26" i="10"/>
  <c r="AE26" i="10"/>
  <c r="AD26" i="10"/>
  <c r="D26" i="10"/>
  <c r="CD25" i="10"/>
  <c r="CC25" i="10"/>
  <c r="BY25" i="10"/>
  <c r="BU25" i="10"/>
  <c r="BQ25" i="10"/>
  <c r="BM25" i="10"/>
  <c r="BI25" i="10"/>
  <c r="BE25" i="10"/>
  <c r="BA25" i="10"/>
  <c r="AW25" i="10"/>
  <c r="AS25" i="10"/>
  <c r="AO25" i="10"/>
  <c r="AK25" i="10"/>
  <c r="AG25" i="10"/>
  <c r="AF25" i="10"/>
  <c r="AE25" i="10"/>
  <c r="AD25" i="10"/>
  <c r="CD24" i="10"/>
  <c r="CC24" i="10"/>
  <c r="BY24" i="10"/>
  <c r="BU24" i="10"/>
  <c r="BQ24" i="10"/>
  <c r="BM24" i="10"/>
  <c r="BI24" i="10"/>
  <c r="BE24" i="10"/>
  <c r="BA24" i="10"/>
  <c r="AW24" i="10"/>
  <c r="AS24" i="10"/>
  <c r="AO24" i="10"/>
  <c r="AK24" i="10"/>
  <c r="AG24" i="10"/>
  <c r="AF24" i="10"/>
  <c r="AE24" i="10"/>
  <c r="AD24" i="10"/>
  <c r="CD23" i="10"/>
  <c r="CC23" i="10"/>
  <c r="BY23" i="10"/>
  <c r="BU23" i="10"/>
  <c r="BQ23" i="10"/>
  <c r="BM23" i="10"/>
  <c r="BI23" i="10"/>
  <c r="BE23" i="10"/>
  <c r="BA23" i="10"/>
  <c r="AW23" i="10"/>
  <c r="AS23" i="10"/>
  <c r="AO23" i="10"/>
  <c r="AK23" i="10"/>
  <c r="AG23" i="10"/>
  <c r="AF23" i="10"/>
  <c r="AE23" i="10"/>
  <c r="AD23" i="10"/>
  <c r="CD22" i="10"/>
  <c r="CC22" i="10"/>
  <c r="BY22" i="10"/>
  <c r="BU22" i="10"/>
  <c r="BQ22" i="10"/>
  <c r="BM22" i="10"/>
  <c r="BI22" i="10"/>
  <c r="BE22" i="10"/>
  <c r="BA22" i="10"/>
  <c r="AW22" i="10"/>
  <c r="AS22" i="10"/>
  <c r="AO22" i="10"/>
  <c r="AK22" i="10"/>
  <c r="AG22" i="10"/>
  <c r="AF22" i="10"/>
  <c r="AE22" i="10"/>
  <c r="AD22" i="10"/>
  <c r="CD21" i="10"/>
  <c r="CC21" i="10"/>
  <c r="BY21" i="10"/>
  <c r="BU21" i="10"/>
  <c r="BQ21" i="10"/>
  <c r="BM21" i="10"/>
  <c r="BI21" i="10"/>
  <c r="BE21" i="10"/>
  <c r="BA21" i="10"/>
  <c r="AW21" i="10"/>
  <c r="AS21" i="10"/>
  <c r="AO21" i="10"/>
  <c r="AK21" i="10"/>
  <c r="AG21" i="10"/>
  <c r="AF21" i="10"/>
  <c r="AE21" i="10"/>
  <c r="D21" i="10"/>
  <c r="CD20" i="10"/>
  <c r="CC20" i="10"/>
  <c r="BY20" i="10"/>
  <c r="BU20" i="10"/>
  <c r="BQ20" i="10"/>
  <c r="BM20" i="10"/>
  <c r="BI20" i="10"/>
  <c r="BE20" i="10"/>
  <c r="BA20" i="10"/>
  <c r="AW20" i="10"/>
  <c r="AS20" i="10"/>
  <c r="AO20" i="10"/>
  <c r="AK20" i="10"/>
  <c r="AG20" i="10"/>
  <c r="AF20" i="10"/>
  <c r="AE20" i="10"/>
  <c r="D20" i="10"/>
  <c r="CD19" i="10"/>
  <c r="CC19" i="10"/>
  <c r="BY19" i="10"/>
  <c r="BU19" i="10"/>
  <c r="BQ19" i="10"/>
  <c r="BM19" i="10"/>
  <c r="BI19" i="10"/>
  <c r="BE19" i="10"/>
  <c r="BA19" i="10"/>
  <c r="AW19" i="10"/>
  <c r="AS19" i="10"/>
  <c r="AO19" i="10"/>
  <c r="AK19" i="10"/>
  <c r="AG19" i="10"/>
  <c r="AF19" i="10"/>
  <c r="AE19" i="10"/>
  <c r="D19" i="10"/>
  <c r="CC18" i="10"/>
  <c r="BY18" i="10"/>
  <c r="BU18" i="10"/>
  <c r="BQ18" i="10"/>
  <c r="BM18" i="10"/>
  <c r="BI18" i="10"/>
  <c r="BE18" i="10"/>
  <c r="BA18" i="10"/>
  <c r="AW18" i="10"/>
  <c r="AS18" i="10"/>
  <c r="AO18" i="10"/>
  <c r="AK18" i="10"/>
  <c r="AG18" i="10"/>
  <c r="AF18" i="10"/>
  <c r="AE18" i="10"/>
  <c r="D18" i="10"/>
  <c r="AE17" i="10"/>
  <c r="AT57" i="10" s="1"/>
  <c r="AU57" i="10" s="1"/>
  <c r="H15" i="10"/>
  <c r="G15" i="10"/>
  <c r="AH10" i="10"/>
  <c r="AF10" i="10"/>
  <c r="AF9" i="10"/>
  <c r="AF8" i="10"/>
  <c r="AF7" i="10"/>
  <c r="AF6" i="10"/>
  <c r="AH5" i="10"/>
  <c r="AG5" i="10"/>
  <c r="AF5" i="10"/>
  <c r="AC458" i="4"/>
  <c r="AC457" i="4"/>
  <c r="AC456" i="4"/>
  <c r="AC455" i="4"/>
  <c r="AC454" i="4"/>
  <c r="AC453" i="4"/>
  <c r="AC452" i="4"/>
  <c r="AC451" i="4"/>
  <c r="AC450" i="4"/>
  <c r="AC449" i="4"/>
  <c r="AC448" i="4"/>
  <c r="AC447" i="4"/>
  <c r="AC446" i="4"/>
  <c r="AC445" i="4"/>
  <c r="AC444" i="4"/>
  <c r="AC443" i="4"/>
  <c r="AC442" i="4"/>
  <c r="AC441" i="4"/>
  <c r="AC440" i="4"/>
  <c r="AC439" i="4"/>
  <c r="AC438" i="4"/>
  <c r="AC437" i="4"/>
  <c r="H437" i="4"/>
  <c r="AC436" i="4"/>
  <c r="AC435" i="4"/>
  <c r="AC434" i="4"/>
  <c r="G434" i="4"/>
  <c r="AC433" i="4"/>
  <c r="G433" i="4"/>
  <c r="F433" i="4"/>
  <c r="AC432" i="4"/>
  <c r="G432" i="4"/>
  <c r="F432" i="4"/>
  <c r="AC431" i="4"/>
  <c r="G431" i="4"/>
  <c r="F431" i="4"/>
  <c r="AC430" i="4"/>
  <c r="G430" i="4"/>
  <c r="F430" i="4"/>
  <c r="AC429" i="4"/>
  <c r="G429" i="4"/>
  <c r="F429" i="4"/>
  <c r="AC428" i="4"/>
  <c r="G428" i="4"/>
  <c r="F428" i="4"/>
  <c r="E428" i="4"/>
  <c r="AC427" i="4"/>
  <c r="M427" i="4"/>
  <c r="AC426" i="4"/>
  <c r="AC425" i="4"/>
  <c r="AC424" i="4"/>
  <c r="AC423" i="4"/>
  <c r="H423" i="4"/>
  <c r="AC422" i="4"/>
  <c r="H422" i="4"/>
  <c r="AC421" i="4"/>
  <c r="P421" i="4"/>
  <c r="AC420" i="4"/>
  <c r="AC419" i="4"/>
  <c r="H419" i="4"/>
  <c r="AC418" i="4"/>
  <c r="N418" i="4"/>
  <c r="AC417" i="4"/>
  <c r="H417" i="4"/>
  <c r="AC416" i="4"/>
  <c r="AA416" i="4"/>
  <c r="AC415" i="4"/>
  <c r="G415" i="4"/>
  <c r="AC414" i="4"/>
  <c r="H414" i="4"/>
  <c r="AC413" i="4"/>
  <c r="H413" i="4"/>
  <c r="AC412" i="4"/>
  <c r="H412" i="4"/>
  <c r="AC411" i="4"/>
  <c r="N411" i="4"/>
  <c r="AC410" i="4"/>
  <c r="H410" i="4"/>
  <c r="AC409" i="4"/>
  <c r="G409" i="4"/>
  <c r="M404" i="4" s="1"/>
  <c r="AC408" i="4"/>
  <c r="H408" i="4"/>
  <c r="AC407" i="4"/>
  <c r="G407" i="4"/>
  <c r="AC406" i="4"/>
  <c r="H406" i="4"/>
  <c r="AC405" i="4"/>
  <c r="AA405" i="4"/>
  <c r="H405" i="4"/>
  <c r="AC404" i="4"/>
  <c r="T404" i="4"/>
  <c r="T403" i="4" s="1"/>
  <c r="S404" i="4"/>
  <c r="G404" i="4"/>
  <c r="AC403" i="4"/>
  <c r="AA403" i="4"/>
  <c r="AA404" i="4" s="1"/>
  <c r="S403" i="4"/>
  <c r="G403" i="4"/>
  <c r="AC402" i="4"/>
  <c r="AC401" i="4"/>
  <c r="AC400" i="4"/>
  <c r="H398" i="4"/>
  <c r="G398" i="4"/>
  <c r="E398" i="4"/>
  <c r="C398" i="4"/>
  <c r="H397" i="4"/>
  <c r="G397" i="4"/>
  <c r="E397" i="4"/>
  <c r="C397" i="4"/>
  <c r="H396" i="4"/>
  <c r="G396" i="4"/>
  <c r="E396" i="4"/>
  <c r="C396" i="4"/>
  <c r="H395" i="4"/>
  <c r="G395" i="4"/>
  <c r="E395" i="4"/>
  <c r="C395" i="4"/>
  <c r="H394" i="4"/>
  <c r="G394" i="4"/>
  <c r="E394" i="4"/>
  <c r="C394" i="4"/>
  <c r="H393" i="4"/>
  <c r="G393" i="4"/>
  <c r="E393" i="4"/>
  <c r="C393" i="4"/>
  <c r="H392" i="4"/>
  <c r="G392" i="4"/>
  <c r="E392" i="4"/>
  <c r="C392" i="4"/>
  <c r="H391" i="4"/>
  <c r="G391" i="4"/>
  <c r="E391" i="4"/>
  <c r="C391" i="4"/>
  <c r="H390" i="4"/>
  <c r="G390" i="4"/>
  <c r="E390" i="4"/>
  <c r="C390" i="4"/>
  <c r="AC389" i="4"/>
  <c r="H389" i="4"/>
  <c r="G389" i="4"/>
  <c r="E389" i="4"/>
  <c r="C389" i="4"/>
  <c r="AC388" i="4"/>
  <c r="H388" i="4"/>
  <c r="G388" i="4"/>
  <c r="E388" i="4"/>
  <c r="C388" i="4"/>
  <c r="AC387" i="4"/>
  <c r="H387" i="4"/>
  <c r="G387" i="4"/>
  <c r="E387" i="4"/>
  <c r="C387" i="4"/>
  <c r="AC386" i="4"/>
  <c r="AA386" i="4"/>
  <c r="Z386" i="4"/>
  <c r="Y386" i="4"/>
  <c r="V386" i="4"/>
  <c r="U386" i="4"/>
  <c r="T386" i="4"/>
  <c r="H386" i="4"/>
  <c r="G386" i="4"/>
  <c r="E386" i="4"/>
  <c r="C386" i="4"/>
  <c r="AC385" i="4"/>
  <c r="AA385" i="4"/>
  <c r="Z385" i="4"/>
  <c r="Y385" i="4"/>
  <c r="V385" i="4"/>
  <c r="U385" i="4"/>
  <c r="T385" i="4"/>
  <c r="S385" i="4"/>
  <c r="Q385" i="4"/>
  <c r="O385" i="4"/>
  <c r="H385" i="4"/>
  <c r="G385" i="4"/>
  <c r="E385" i="4"/>
  <c r="C385" i="4"/>
  <c r="AC384" i="4"/>
  <c r="AA384" i="4"/>
  <c r="Z384" i="4"/>
  <c r="Y384" i="4"/>
  <c r="V384" i="4"/>
  <c r="U384" i="4"/>
  <c r="T384" i="4"/>
  <c r="R384" i="4"/>
  <c r="P384" i="4"/>
  <c r="N384" i="4"/>
  <c r="H384" i="4"/>
  <c r="G384" i="4"/>
  <c r="E384" i="4"/>
  <c r="C384" i="4"/>
  <c r="AC383" i="4"/>
  <c r="V383" i="4"/>
  <c r="H383" i="4"/>
  <c r="G383" i="4"/>
  <c r="E383" i="4"/>
  <c r="C383" i="4"/>
  <c r="AC382" i="4"/>
  <c r="AA382" i="4"/>
  <c r="X382" i="4"/>
  <c r="V382" i="4"/>
  <c r="H382" i="4"/>
  <c r="G382" i="4"/>
  <c r="E382" i="4"/>
  <c r="C382" i="4"/>
  <c r="AC381" i="4"/>
  <c r="AA381" i="4"/>
  <c r="X381" i="4"/>
  <c r="V381" i="4"/>
  <c r="S381" i="4"/>
  <c r="Q381" i="4"/>
  <c r="O381" i="4"/>
  <c r="H381" i="4"/>
  <c r="G381" i="4"/>
  <c r="E381" i="4"/>
  <c r="C381" i="4"/>
  <c r="AC380" i="4"/>
  <c r="AA380" i="4"/>
  <c r="X380" i="4"/>
  <c r="V380" i="4"/>
  <c r="S380" i="4"/>
  <c r="Q380" i="4"/>
  <c r="O380" i="4"/>
  <c r="H380" i="4"/>
  <c r="G380" i="4"/>
  <c r="E380" i="4"/>
  <c r="C380" i="4"/>
  <c r="AC379" i="4"/>
  <c r="AA379" i="4"/>
  <c r="X379" i="4"/>
  <c r="V379" i="4"/>
  <c r="S379" i="4"/>
  <c r="Q379" i="4"/>
  <c r="O379" i="4"/>
  <c r="H379" i="4"/>
  <c r="G379" i="4"/>
  <c r="E379" i="4"/>
  <c r="C379" i="4"/>
  <c r="AC378" i="4"/>
  <c r="AA378" i="4"/>
  <c r="X378" i="4"/>
  <c r="V378" i="4"/>
  <c r="S378" i="4"/>
  <c r="Q378" i="4"/>
  <c r="O378" i="4"/>
  <c r="H378" i="4"/>
  <c r="G378" i="4"/>
  <c r="E378" i="4"/>
  <c r="C378" i="4"/>
  <c r="AC377" i="4"/>
  <c r="AA377" i="4"/>
  <c r="X377" i="4"/>
  <c r="V377" i="4"/>
  <c r="S377" i="4"/>
  <c r="Q377" i="4"/>
  <c r="O377" i="4"/>
  <c r="H377" i="4"/>
  <c r="G377" i="4"/>
  <c r="E377" i="4"/>
  <c r="C377" i="4"/>
  <c r="AC376" i="4"/>
  <c r="AA376" i="4"/>
  <c r="X376" i="4"/>
  <c r="V376" i="4"/>
  <c r="S376" i="4"/>
  <c r="Q376" i="4"/>
  <c r="O376" i="4"/>
  <c r="H376" i="4"/>
  <c r="G376" i="4"/>
  <c r="E376" i="4"/>
  <c r="C376" i="4"/>
  <c r="AC375" i="4"/>
  <c r="AA375" i="4"/>
  <c r="X375" i="4"/>
  <c r="V375" i="4"/>
  <c r="S375" i="4"/>
  <c r="Q375" i="4"/>
  <c r="O375" i="4"/>
  <c r="H375" i="4"/>
  <c r="G375" i="4"/>
  <c r="E375" i="4"/>
  <c r="C375" i="4"/>
  <c r="AC374" i="4"/>
  <c r="AA374" i="4"/>
  <c r="X374" i="4"/>
  <c r="V374" i="4"/>
  <c r="S374" i="4"/>
  <c r="Q374" i="4"/>
  <c r="O374" i="4"/>
  <c r="H374" i="4"/>
  <c r="G374" i="4"/>
  <c r="E374" i="4"/>
  <c r="C374" i="4"/>
  <c r="AC373" i="4"/>
  <c r="AA373" i="4"/>
  <c r="X373" i="4"/>
  <c r="V373" i="4"/>
  <c r="S373" i="4"/>
  <c r="Q373" i="4"/>
  <c r="O373" i="4"/>
  <c r="H373" i="4"/>
  <c r="G373" i="4"/>
  <c r="E373" i="4"/>
  <c r="C373" i="4"/>
  <c r="AC372" i="4"/>
  <c r="AA372" i="4"/>
  <c r="X372" i="4"/>
  <c r="V372" i="4"/>
  <c r="S372" i="4"/>
  <c r="Q372" i="4"/>
  <c r="O372" i="4"/>
  <c r="H372" i="4"/>
  <c r="G372" i="4"/>
  <c r="E372" i="4"/>
  <c r="C372" i="4"/>
  <c r="AC371" i="4"/>
  <c r="AA371" i="4"/>
  <c r="X371" i="4"/>
  <c r="V371" i="4"/>
  <c r="S371" i="4"/>
  <c r="Q371" i="4"/>
  <c r="O371" i="4"/>
  <c r="H371" i="4"/>
  <c r="G371" i="4"/>
  <c r="E371" i="4"/>
  <c r="C371" i="4"/>
  <c r="AC370" i="4"/>
  <c r="AA370" i="4"/>
  <c r="X370" i="4"/>
  <c r="V370" i="4"/>
  <c r="S370" i="4"/>
  <c r="O370" i="4"/>
  <c r="H370" i="4"/>
  <c r="G370" i="4"/>
  <c r="E370" i="4"/>
  <c r="C370" i="4"/>
  <c r="AC369" i="4"/>
  <c r="AA369" i="4"/>
  <c r="X369" i="4"/>
  <c r="V369" i="4"/>
  <c r="S369" i="4"/>
  <c r="O369" i="4"/>
  <c r="H369" i="4"/>
  <c r="G369" i="4"/>
  <c r="E369" i="4"/>
  <c r="C369" i="4"/>
  <c r="AC368" i="4"/>
  <c r="AA368" i="4"/>
  <c r="X368" i="4"/>
  <c r="V368" i="4"/>
  <c r="S368" i="4"/>
  <c r="O368" i="4"/>
  <c r="H368" i="4"/>
  <c r="G368" i="4"/>
  <c r="E368" i="4"/>
  <c r="C368" i="4"/>
  <c r="AC367" i="4"/>
  <c r="AA367" i="4"/>
  <c r="X367" i="4"/>
  <c r="V367" i="4"/>
  <c r="O367" i="4"/>
  <c r="H367" i="4"/>
  <c r="G367" i="4"/>
  <c r="E367" i="4"/>
  <c r="C367" i="4"/>
  <c r="AC366" i="4"/>
  <c r="AA366" i="4"/>
  <c r="X366" i="4"/>
  <c r="V366" i="4"/>
  <c r="O366" i="4"/>
  <c r="H366" i="4"/>
  <c r="G366" i="4"/>
  <c r="E366" i="4"/>
  <c r="C366" i="4"/>
  <c r="AC365" i="4"/>
  <c r="AA365" i="4"/>
  <c r="X365" i="4"/>
  <c r="V365" i="4"/>
  <c r="O365" i="4"/>
  <c r="H365" i="4"/>
  <c r="G365" i="4"/>
  <c r="E365" i="4"/>
  <c r="C365" i="4"/>
  <c r="AC364" i="4"/>
  <c r="AA364" i="4"/>
  <c r="X364" i="4"/>
  <c r="V364" i="4"/>
  <c r="O364" i="4"/>
  <c r="H364" i="4"/>
  <c r="G364" i="4"/>
  <c r="E364" i="4"/>
  <c r="C364" i="4"/>
  <c r="AC363" i="4"/>
  <c r="AA363" i="4"/>
  <c r="X363" i="4"/>
  <c r="V363" i="4"/>
  <c r="O363" i="4"/>
  <c r="H363" i="4"/>
  <c r="G363" i="4"/>
  <c r="E363" i="4"/>
  <c r="C363" i="4"/>
  <c r="AC362" i="4"/>
  <c r="AA362" i="4"/>
  <c r="X362" i="4"/>
  <c r="V362" i="4"/>
  <c r="O362" i="4"/>
  <c r="H362" i="4"/>
  <c r="G362" i="4"/>
  <c r="E362" i="4"/>
  <c r="C362" i="4"/>
  <c r="AC361" i="4"/>
  <c r="AA361" i="4"/>
  <c r="X361" i="4"/>
  <c r="V361" i="4"/>
  <c r="O361" i="4"/>
  <c r="H361" i="4"/>
  <c r="G361" i="4"/>
  <c r="E361" i="4"/>
  <c r="C361" i="4"/>
  <c r="AC360" i="4"/>
  <c r="AA360" i="4"/>
  <c r="X360" i="4"/>
  <c r="V360" i="4"/>
  <c r="O360" i="4"/>
  <c r="H360" i="4"/>
  <c r="G360" i="4"/>
  <c r="E360" i="4"/>
  <c r="C360" i="4"/>
  <c r="AC359" i="4"/>
  <c r="AA359" i="4"/>
  <c r="X359" i="4"/>
  <c r="V359" i="4"/>
  <c r="O359" i="4"/>
  <c r="H359" i="4"/>
  <c r="G359" i="4"/>
  <c r="E359" i="4"/>
  <c r="C359" i="4"/>
  <c r="AC358" i="4"/>
  <c r="AA358" i="4"/>
  <c r="X358" i="4"/>
  <c r="V358" i="4"/>
  <c r="O358" i="4"/>
  <c r="H358" i="4"/>
  <c r="G358" i="4"/>
  <c r="E358" i="4"/>
  <c r="AC357" i="4"/>
  <c r="AA357" i="4"/>
  <c r="X357" i="4"/>
  <c r="V357" i="4"/>
  <c r="O357" i="4"/>
  <c r="H357" i="4"/>
  <c r="G357" i="4"/>
  <c r="E357" i="4"/>
  <c r="C357" i="4"/>
  <c r="AC356" i="4"/>
  <c r="AA356" i="4"/>
  <c r="X356" i="4"/>
  <c r="V356" i="4"/>
  <c r="O356" i="4"/>
  <c r="H356" i="4"/>
  <c r="G356" i="4"/>
  <c r="E356" i="4"/>
  <c r="C356" i="4"/>
  <c r="AC355" i="4"/>
  <c r="AA355" i="4"/>
  <c r="X355" i="4"/>
  <c r="V355" i="4"/>
  <c r="O355" i="4"/>
  <c r="H355" i="4"/>
  <c r="G355" i="4"/>
  <c r="E355" i="4"/>
  <c r="C355" i="4"/>
  <c r="AC354" i="4"/>
  <c r="AA354" i="4"/>
  <c r="X354" i="4"/>
  <c r="V354" i="4"/>
  <c r="O354" i="4"/>
  <c r="H354" i="4"/>
  <c r="G354" i="4"/>
  <c r="E354" i="4"/>
  <c r="C354" i="4"/>
  <c r="AC353" i="4"/>
  <c r="AA353" i="4"/>
  <c r="X353" i="4"/>
  <c r="V353" i="4"/>
  <c r="O353" i="4"/>
  <c r="H353" i="4"/>
  <c r="G353" i="4"/>
  <c r="E353" i="4"/>
  <c r="C353" i="4"/>
  <c r="AC352" i="4"/>
  <c r="AA352" i="4"/>
  <c r="X352" i="4"/>
  <c r="V352" i="4"/>
  <c r="O352" i="4"/>
  <c r="H352" i="4"/>
  <c r="G352" i="4"/>
  <c r="E352" i="4"/>
  <c r="C352" i="4"/>
  <c r="AC351" i="4"/>
  <c r="AA351" i="4"/>
  <c r="X351" i="4"/>
  <c r="V351" i="4"/>
  <c r="H351" i="4"/>
  <c r="G351" i="4"/>
  <c r="E351" i="4"/>
  <c r="C351" i="4"/>
  <c r="AC350" i="4"/>
  <c r="AA350" i="4"/>
  <c r="X350" i="4"/>
  <c r="V350" i="4"/>
  <c r="H350" i="4"/>
  <c r="G350" i="4"/>
  <c r="E350" i="4"/>
  <c r="C350" i="4"/>
  <c r="AC349" i="4"/>
  <c r="AA349" i="4"/>
  <c r="X349" i="4"/>
  <c r="V349" i="4"/>
  <c r="H349" i="4"/>
  <c r="G349" i="4"/>
  <c r="E349" i="4"/>
  <c r="C349" i="4"/>
  <c r="AC348" i="4"/>
  <c r="AA348" i="4"/>
  <c r="X348" i="4"/>
  <c r="V348" i="4"/>
  <c r="H348" i="4"/>
  <c r="G348" i="4"/>
  <c r="E348" i="4"/>
  <c r="C348" i="4"/>
  <c r="AC347" i="4"/>
  <c r="AA347" i="4"/>
  <c r="X347" i="4"/>
  <c r="V347" i="4"/>
  <c r="H347" i="4"/>
  <c r="G347" i="4"/>
  <c r="E347" i="4"/>
  <c r="C347" i="4"/>
  <c r="AC346" i="4"/>
  <c r="AA346" i="4"/>
  <c r="X346" i="4"/>
  <c r="V346" i="4"/>
  <c r="H346" i="4"/>
  <c r="G346" i="4"/>
  <c r="E346" i="4"/>
  <c r="C346" i="4"/>
  <c r="AC345" i="4"/>
  <c r="AA345" i="4"/>
  <c r="X345" i="4"/>
  <c r="V345" i="4"/>
  <c r="H345" i="4"/>
  <c r="G345" i="4"/>
  <c r="E345" i="4"/>
  <c r="C345" i="4"/>
  <c r="AC344" i="4"/>
  <c r="AA344" i="4"/>
  <c r="X344" i="4"/>
  <c r="V344" i="4"/>
  <c r="H344" i="4"/>
  <c r="G344" i="4"/>
  <c r="E344" i="4"/>
  <c r="C344" i="4"/>
  <c r="AC343" i="4"/>
  <c r="AA343" i="4"/>
  <c r="X343" i="4"/>
  <c r="V343" i="4"/>
  <c r="H343" i="4"/>
  <c r="G343" i="4"/>
  <c r="E343" i="4"/>
  <c r="C343" i="4"/>
  <c r="AC342" i="4"/>
  <c r="AA342" i="4"/>
  <c r="X342" i="4"/>
  <c r="V342" i="4"/>
  <c r="H342" i="4"/>
  <c r="G342" i="4"/>
  <c r="E342" i="4"/>
  <c r="C342" i="4"/>
  <c r="AC341" i="4"/>
  <c r="AA341" i="4"/>
  <c r="X341" i="4"/>
  <c r="V341" i="4"/>
  <c r="H341" i="4"/>
  <c r="G341" i="4"/>
  <c r="E341" i="4"/>
  <c r="C341" i="4"/>
  <c r="AC340" i="4"/>
  <c r="AA340" i="4"/>
  <c r="X340" i="4"/>
  <c r="V340" i="4"/>
  <c r="H340" i="4"/>
  <c r="G340" i="4"/>
  <c r="E340" i="4"/>
  <c r="C340" i="4"/>
  <c r="AC339" i="4"/>
  <c r="AA339" i="4"/>
  <c r="X339" i="4"/>
  <c r="V339" i="4"/>
  <c r="H339" i="4"/>
  <c r="G339" i="4"/>
  <c r="E339" i="4"/>
  <c r="C339" i="4"/>
  <c r="X338" i="4"/>
  <c r="H338" i="4"/>
  <c r="G338" i="4"/>
  <c r="C338" i="4"/>
  <c r="H337" i="4"/>
  <c r="H335" i="4"/>
  <c r="F335" i="4"/>
  <c r="D335" i="4"/>
  <c r="E327" i="4"/>
  <c r="E319" i="4"/>
  <c r="E318" i="4"/>
  <c r="E326" i="4" s="1"/>
  <c r="E317" i="4"/>
  <c r="E325" i="4" s="1"/>
  <c r="E316" i="4"/>
  <c r="G304" i="1" s="1"/>
  <c r="E315" i="4"/>
  <c r="E323" i="4" s="1"/>
  <c r="E314" i="4"/>
  <c r="E322" i="4" s="1"/>
  <c r="E313" i="4"/>
  <c r="E321" i="4" s="1"/>
  <c r="B307" i="4"/>
  <c r="G296" i="4"/>
  <c r="H296" i="4" s="1"/>
  <c r="I296" i="4" s="1"/>
  <c r="J296" i="4" s="1"/>
  <c r="K296" i="4" s="1"/>
  <c r="L296" i="4" s="1"/>
  <c r="M296" i="4" s="1"/>
  <c r="N296" i="4" s="1"/>
  <c r="O296" i="4" s="1"/>
  <c r="P296" i="4" s="1"/>
  <c r="Q296" i="4" s="1"/>
  <c r="R296" i="4" s="1"/>
  <c r="S296" i="4" s="1"/>
  <c r="T296" i="4" s="1"/>
  <c r="U296" i="4" s="1"/>
  <c r="V296" i="4" s="1"/>
  <c r="W296" i="4" s="1"/>
  <c r="X296" i="4" s="1"/>
  <c r="Y296" i="4" s="1"/>
  <c r="Z296" i="4" s="1"/>
  <c r="AA296" i="4" s="1"/>
  <c r="AB296" i="4" s="1"/>
  <c r="AC296" i="4" s="1"/>
  <c r="AD296" i="4" s="1"/>
  <c r="AE296" i="4" s="1"/>
  <c r="AF296" i="4" s="1"/>
  <c r="AG296" i="4" s="1"/>
  <c r="AH296" i="4" s="1"/>
  <c r="AI296" i="4" s="1"/>
  <c r="AJ296" i="4" s="1"/>
  <c r="AK296" i="4" s="1"/>
  <c r="AL296" i="4" s="1"/>
  <c r="AM296" i="4" s="1"/>
  <c r="AN296" i="4" s="1"/>
  <c r="AO296" i="4" s="1"/>
  <c r="AP296" i="4" s="1"/>
  <c r="AQ296" i="4" s="1"/>
  <c r="AR296" i="4" s="1"/>
  <c r="AS296" i="4" s="1"/>
  <c r="D294" i="4"/>
  <c r="F292" i="4"/>
  <c r="G292" i="4" s="1"/>
  <c r="H292" i="4" s="1"/>
  <c r="I292" i="4" s="1"/>
  <c r="J292" i="4" s="1"/>
  <c r="K292" i="4" s="1"/>
  <c r="L292" i="4" s="1"/>
  <c r="M292" i="4" s="1"/>
  <c r="N292" i="4" s="1"/>
  <c r="O292" i="4" s="1"/>
  <c r="P292" i="4" s="1"/>
  <c r="Q292" i="4" s="1"/>
  <c r="R292" i="4" s="1"/>
  <c r="S292" i="4" s="1"/>
  <c r="T292" i="4" s="1"/>
  <c r="U292" i="4" s="1"/>
  <c r="V292" i="4" s="1"/>
  <c r="W292" i="4" s="1"/>
  <c r="X292" i="4" s="1"/>
  <c r="Y292" i="4" s="1"/>
  <c r="Z292" i="4" s="1"/>
  <c r="AA292" i="4" s="1"/>
  <c r="AB292" i="4" s="1"/>
  <c r="AC292" i="4" s="1"/>
  <c r="AD292" i="4" s="1"/>
  <c r="AE292" i="4" s="1"/>
  <c r="AF292" i="4" s="1"/>
  <c r="AG292" i="4" s="1"/>
  <c r="AH292" i="4" s="1"/>
  <c r="AI292" i="4" s="1"/>
  <c r="AJ292" i="4" s="1"/>
  <c r="AK292" i="4" s="1"/>
  <c r="AL292" i="4" s="1"/>
  <c r="AM292" i="4" s="1"/>
  <c r="AN292" i="4" s="1"/>
  <c r="AO292" i="4" s="1"/>
  <c r="AP292" i="4" s="1"/>
  <c r="AQ292" i="4" s="1"/>
  <c r="AR292" i="4" s="1"/>
  <c r="AS292" i="4" s="1"/>
  <c r="F288" i="4"/>
  <c r="G288" i="4" s="1"/>
  <c r="H288" i="4" s="1"/>
  <c r="I288" i="4" s="1"/>
  <c r="J288" i="4" s="1"/>
  <c r="K288" i="4" s="1"/>
  <c r="L288" i="4" s="1"/>
  <c r="M288" i="4" s="1"/>
  <c r="N288" i="4" s="1"/>
  <c r="O288" i="4" s="1"/>
  <c r="P288" i="4" s="1"/>
  <c r="Q288" i="4" s="1"/>
  <c r="R288" i="4" s="1"/>
  <c r="S288" i="4" s="1"/>
  <c r="T288" i="4" s="1"/>
  <c r="U288" i="4" s="1"/>
  <c r="V288" i="4" s="1"/>
  <c r="W288" i="4" s="1"/>
  <c r="X288" i="4" s="1"/>
  <c r="Y288" i="4" s="1"/>
  <c r="Z288" i="4" s="1"/>
  <c r="AA288" i="4" s="1"/>
  <c r="AB288" i="4" s="1"/>
  <c r="AC288" i="4" s="1"/>
  <c r="AD288" i="4" s="1"/>
  <c r="AE288" i="4" s="1"/>
  <c r="AF288" i="4" s="1"/>
  <c r="AG288" i="4" s="1"/>
  <c r="AH288" i="4" s="1"/>
  <c r="AI288" i="4" s="1"/>
  <c r="AJ288" i="4" s="1"/>
  <c r="AK288" i="4" s="1"/>
  <c r="AL288" i="4" s="1"/>
  <c r="AM288" i="4" s="1"/>
  <c r="AN288" i="4" s="1"/>
  <c r="AO288" i="4" s="1"/>
  <c r="AP288" i="4" s="1"/>
  <c r="AQ288" i="4" s="1"/>
  <c r="AR288" i="4" s="1"/>
  <c r="AS288" i="4" s="1"/>
  <c r="F287" i="4"/>
  <c r="F283" i="4"/>
  <c r="G283" i="4" s="1"/>
  <c r="H283" i="4" s="1"/>
  <c r="I283" i="4" s="1"/>
  <c r="J283" i="4" s="1"/>
  <c r="K283" i="4" s="1"/>
  <c r="L283" i="4" s="1"/>
  <c r="M283" i="4" s="1"/>
  <c r="N283" i="4" s="1"/>
  <c r="O283" i="4" s="1"/>
  <c r="P283" i="4" s="1"/>
  <c r="Q283" i="4" s="1"/>
  <c r="R283" i="4" s="1"/>
  <c r="S283" i="4" s="1"/>
  <c r="T283" i="4" s="1"/>
  <c r="U283" i="4" s="1"/>
  <c r="V283" i="4" s="1"/>
  <c r="W283" i="4" s="1"/>
  <c r="X283" i="4" s="1"/>
  <c r="Y283" i="4" s="1"/>
  <c r="Z283" i="4" s="1"/>
  <c r="AA283" i="4" s="1"/>
  <c r="AB283" i="4" s="1"/>
  <c r="AC283" i="4" s="1"/>
  <c r="AD283" i="4" s="1"/>
  <c r="AE283" i="4" s="1"/>
  <c r="AF283" i="4" s="1"/>
  <c r="AG283" i="4" s="1"/>
  <c r="AH283" i="4" s="1"/>
  <c r="AI283" i="4" s="1"/>
  <c r="AJ283" i="4" s="1"/>
  <c r="AK283" i="4" s="1"/>
  <c r="AL283" i="4" s="1"/>
  <c r="AM283" i="4" s="1"/>
  <c r="AN283" i="4" s="1"/>
  <c r="AO283" i="4" s="1"/>
  <c r="AP283" i="4" s="1"/>
  <c r="AQ283" i="4" s="1"/>
  <c r="AR283" i="4" s="1"/>
  <c r="AS283" i="4" s="1"/>
  <c r="F282" i="4"/>
  <c r="F278" i="4"/>
  <c r="G278" i="4" s="1"/>
  <c r="H278" i="4" s="1"/>
  <c r="I278" i="4" s="1"/>
  <c r="J278" i="4" s="1"/>
  <c r="K278" i="4" s="1"/>
  <c r="L278" i="4" s="1"/>
  <c r="M278" i="4" s="1"/>
  <c r="N278" i="4" s="1"/>
  <c r="O278" i="4" s="1"/>
  <c r="P278" i="4" s="1"/>
  <c r="Q278" i="4" s="1"/>
  <c r="R278" i="4" s="1"/>
  <c r="S278" i="4" s="1"/>
  <c r="T278" i="4" s="1"/>
  <c r="U278" i="4" s="1"/>
  <c r="V278" i="4" s="1"/>
  <c r="W278" i="4" s="1"/>
  <c r="X278" i="4" s="1"/>
  <c r="Y278" i="4" s="1"/>
  <c r="Z278" i="4" s="1"/>
  <c r="AA278" i="4" s="1"/>
  <c r="AB278" i="4" s="1"/>
  <c r="AC278" i="4" s="1"/>
  <c r="AD278" i="4" s="1"/>
  <c r="AE278" i="4" s="1"/>
  <c r="AF278" i="4" s="1"/>
  <c r="AG278" i="4" s="1"/>
  <c r="AH278" i="4" s="1"/>
  <c r="AI278" i="4" s="1"/>
  <c r="AJ278" i="4" s="1"/>
  <c r="AK278" i="4" s="1"/>
  <c r="AL278" i="4" s="1"/>
  <c r="AM278" i="4" s="1"/>
  <c r="AN278" i="4" s="1"/>
  <c r="AO278" i="4" s="1"/>
  <c r="AP278" i="4" s="1"/>
  <c r="AQ278" i="4" s="1"/>
  <c r="AR278" i="4" s="1"/>
  <c r="AS278" i="4" s="1"/>
  <c r="F274" i="4"/>
  <c r="G274" i="4" s="1"/>
  <c r="H274" i="4" s="1"/>
  <c r="I274" i="4" s="1"/>
  <c r="J274" i="4" s="1"/>
  <c r="K274" i="4" s="1"/>
  <c r="L274" i="4" s="1"/>
  <c r="M274" i="4" s="1"/>
  <c r="N274" i="4" s="1"/>
  <c r="O274" i="4" s="1"/>
  <c r="P274" i="4" s="1"/>
  <c r="Q274" i="4" s="1"/>
  <c r="R274" i="4" s="1"/>
  <c r="S274" i="4" s="1"/>
  <c r="T274" i="4" s="1"/>
  <c r="U274" i="4" s="1"/>
  <c r="V274" i="4" s="1"/>
  <c r="W274" i="4" s="1"/>
  <c r="X274" i="4" s="1"/>
  <c r="Y274" i="4" s="1"/>
  <c r="Z274" i="4" s="1"/>
  <c r="AA274" i="4" s="1"/>
  <c r="AB274" i="4" s="1"/>
  <c r="AC274" i="4" s="1"/>
  <c r="AD274" i="4" s="1"/>
  <c r="AE274" i="4" s="1"/>
  <c r="AF274" i="4" s="1"/>
  <c r="AG274" i="4" s="1"/>
  <c r="AH274" i="4" s="1"/>
  <c r="AI274" i="4" s="1"/>
  <c r="AJ274" i="4" s="1"/>
  <c r="AK274" i="4" s="1"/>
  <c r="AL274" i="4" s="1"/>
  <c r="AM274" i="4" s="1"/>
  <c r="AN274" i="4" s="1"/>
  <c r="AO274" i="4" s="1"/>
  <c r="AP274" i="4" s="1"/>
  <c r="AQ274" i="4" s="1"/>
  <c r="AR274" i="4" s="1"/>
  <c r="AS274" i="4" s="1"/>
  <c r="F273" i="4"/>
  <c r="F269" i="4"/>
  <c r="G269" i="4" s="1"/>
  <c r="H269" i="4" s="1"/>
  <c r="I269" i="4" s="1"/>
  <c r="J269" i="4" s="1"/>
  <c r="K269" i="4" s="1"/>
  <c r="L269" i="4" s="1"/>
  <c r="M269" i="4" s="1"/>
  <c r="N269" i="4" s="1"/>
  <c r="O269" i="4" s="1"/>
  <c r="P269" i="4" s="1"/>
  <c r="Q269" i="4" s="1"/>
  <c r="R269" i="4" s="1"/>
  <c r="S269" i="4" s="1"/>
  <c r="T269" i="4" s="1"/>
  <c r="U269" i="4" s="1"/>
  <c r="V269" i="4" s="1"/>
  <c r="W269" i="4" s="1"/>
  <c r="X269" i="4" s="1"/>
  <c r="Y269" i="4" s="1"/>
  <c r="Z269" i="4" s="1"/>
  <c r="AA269" i="4" s="1"/>
  <c r="AB269" i="4" s="1"/>
  <c r="AC269" i="4" s="1"/>
  <c r="AD269" i="4" s="1"/>
  <c r="AE269" i="4" s="1"/>
  <c r="AF269" i="4" s="1"/>
  <c r="AG269" i="4" s="1"/>
  <c r="AH269" i="4" s="1"/>
  <c r="AI269" i="4" s="1"/>
  <c r="AJ269" i="4" s="1"/>
  <c r="AK269" i="4" s="1"/>
  <c r="AL269" i="4" s="1"/>
  <c r="AM269" i="4" s="1"/>
  <c r="AN269" i="4" s="1"/>
  <c r="AO269" i="4" s="1"/>
  <c r="AP269" i="4" s="1"/>
  <c r="AQ269" i="4" s="1"/>
  <c r="AR269" i="4" s="1"/>
  <c r="AS269" i="4" s="1"/>
  <c r="F268" i="4"/>
  <c r="F272" i="4" s="1"/>
  <c r="D265" i="4"/>
  <c r="D264" i="4"/>
  <c r="F263" i="4"/>
  <c r="G263" i="4" s="1"/>
  <c r="D263" i="4"/>
  <c r="D262" i="4"/>
  <c r="D261" i="4"/>
  <c r="D260" i="4"/>
  <c r="D258" i="4"/>
  <c r="D257" i="4"/>
  <c r="F256" i="4"/>
  <c r="G256" i="4" s="1"/>
  <c r="H256" i="4" s="1"/>
  <c r="I256" i="4" s="1"/>
  <c r="J256" i="4" s="1"/>
  <c r="K256" i="4" s="1"/>
  <c r="L256" i="4" s="1"/>
  <c r="M256" i="4" s="1"/>
  <c r="N256" i="4" s="1"/>
  <c r="O256" i="4" s="1"/>
  <c r="P256" i="4" s="1"/>
  <c r="Q256" i="4" s="1"/>
  <c r="R256" i="4" s="1"/>
  <c r="S256" i="4" s="1"/>
  <c r="T256" i="4" s="1"/>
  <c r="U256" i="4" s="1"/>
  <c r="V256" i="4" s="1"/>
  <c r="W256" i="4" s="1"/>
  <c r="X256" i="4" s="1"/>
  <c r="Y256" i="4" s="1"/>
  <c r="Z256" i="4" s="1"/>
  <c r="AA256" i="4" s="1"/>
  <c r="AB256" i="4" s="1"/>
  <c r="AC256" i="4" s="1"/>
  <c r="AD256" i="4" s="1"/>
  <c r="AE256" i="4" s="1"/>
  <c r="AF256" i="4" s="1"/>
  <c r="AG256" i="4" s="1"/>
  <c r="AH256" i="4" s="1"/>
  <c r="AI256" i="4" s="1"/>
  <c r="AJ256" i="4" s="1"/>
  <c r="AK256" i="4" s="1"/>
  <c r="AL256" i="4" s="1"/>
  <c r="AM256" i="4" s="1"/>
  <c r="AN256" i="4" s="1"/>
  <c r="AO256" i="4" s="1"/>
  <c r="AP256" i="4" s="1"/>
  <c r="AQ256" i="4" s="1"/>
  <c r="AR256" i="4" s="1"/>
  <c r="AS256" i="4" s="1"/>
  <c r="D256" i="4"/>
  <c r="D255" i="4"/>
  <c r="D254" i="4"/>
  <c r="G248" i="4"/>
  <c r="H248" i="4" s="1"/>
  <c r="I248" i="4" s="1"/>
  <c r="J248" i="4" s="1"/>
  <c r="K248" i="4" s="1"/>
  <c r="L248" i="4" s="1"/>
  <c r="M248" i="4" s="1"/>
  <c r="N248" i="4" s="1"/>
  <c r="O248" i="4" s="1"/>
  <c r="P248" i="4" s="1"/>
  <c r="Q248" i="4" s="1"/>
  <c r="R248" i="4" s="1"/>
  <c r="S248" i="4" s="1"/>
  <c r="T248" i="4" s="1"/>
  <c r="U248" i="4" s="1"/>
  <c r="V248" i="4" s="1"/>
  <c r="W248" i="4" s="1"/>
  <c r="X248" i="4" s="1"/>
  <c r="Y248" i="4" s="1"/>
  <c r="Z248" i="4" s="1"/>
  <c r="AA248" i="4" s="1"/>
  <c r="AB248" i="4" s="1"/>
  <c r="AC248" i="4" s="1"/>
  <c r="AD248" i="4" s="1"/>
  <c r="AE248" i="4" s="1"/>
  <c r="AF248" i="4" s="1"/>
  <c r="AG248" i="4" s="1"/>
  <c r="AH248" i="4" s="1"/>
  <c r="AI248" i="4" s="1"/>
  <c r="AJ248" i="4" s="1"/>
  <c r="AK248" i="4" s="1"/>
  <c r="AL248" i="4" s="1"/>
  <c r="AM248" i="4" s="1"/>
  <c r="AN248" i="4" s="1"/>
  <c r="AO248" i="4" s="1"/>
  <c r="AP248" i="4" s="1"/>
  <c r="AQ248" i="4" s="1"/>
  <c r="AR248" i="4" s="1"/>
  <c r="AS248" i="4" s="1"/>
  <c r="F247" i="4"/>
  <c r="E247" i="4"/>
  <c r="F245" i="4"/>
  <c r="E245" i="4"/>
  <c r="G244" i="4"/>
  <c r="H244" i="4" s="1"/>
  <c r="I244" i="4" s="1"/>
  <c r="J244" i="4" s="1"/>
  <c r="K244" i="4" s="1"/>
  <c r="L244" i="4" s="1"/>
  <c r="M244" i="4" s="1"/>
  <c r="N244" i="4" s="1"/>
  <c r="O244" i="4" s="1"/>
  <c r="P244" i="4" s="1"/>
  <c r="Q244" i="4" s="1"/>
  <c r="R244" i="4" s="1"/>
  <c r="S244" i="4" s="1"/>
  <c r="T244" i="4" s="1"/>
  <c r="U244" i="4" s="1"/>
  <c r="V244" i="4" s="1"/>
  <c r="W244" i="4" s="1"/>
  <c r="X244" i="4" s="1"/>
  <c r="Y244" i="4" s="1"/>
  <c r="Z244" i="4" s="1"/>
  <c r="AA244" i="4" s="1"/>
  <c r="AB244" i="4" s="1"/>
  <c r="AC244" i="4" s="1"/>
  <c r="AD244" i="4" s="1"/>
  <c r="AE244" i="4" s="1"/>
  <c r="AF244" i="4" s="1"/>
  <c r="AG244" i="4" s="1"/>
  <c r="AH244" i="4" s="1"/>
  <c r="AI244" i="4" s="1"/>
  <c r="AJ244" i="4" s="1"/>
  <c r="AK244" i="4" s="1"/>
  <c r="AL244" i="4" s="1"/>
  <c r="AM244" i="4" s="1"/>
  <c r="AN244" i="4" s="1"/>
  <c r="AO244" i="4" s="1"/>
  <c r="AP244" i="4" s="1"/>
  <c r="AQ244" i="4" s="1"/>
  <c r="AR244" i="4" s="1"/>
  <c r="AS244" i="4" s="1"/>
  <c r="F242" i="4"/>
  <c r="E242" i="4"/>
  <c r="F240" i="4"/>
  <c r="E240" i="4"/>
  <c r="G239" i="4"/>
  <c r="H239" i="4" s="1"/>
  <c r="I239" i="4" s="1"/>
  <c r="J239" i="4" s="1"/>
  <c r="K239" i="4" s="1"/>
  <c r="L239" i="4" s="1"/>
  <c r="M239" i="4" s="1"/>
  <c r="N239" i="4" s="1"/>
  <c r="O239" i="4" s="1"/>
  <c r="P239" i="4" s="1"/>
  <c r="Q239" i="4" s="1"/>
  <c r="R239" i="4" s="1"/>
  <c r="S239" i="4" s="1"/>
  <c r="T239" i="4" s="1"/>
  <c r="U239" i="4" s="1"/>
  <c r="V239" i="4" s="1"/>
  <c r="W239" i="4" s="1"/>
  <c r="X239" i="4" s="1"/>
  <c r="Y239" i="4" s="1"/>
  <c r="Z239" i="4" s="1"/>
  <c r="AA239" i="4" s="1"/>
  <c r="AB239" i="4" s="1"/>
  <c r="AC239" i="4" s="1"/>
  <c r="AD239" i="4" s="1"/>
  <c r="AE239" i="4" s="1"/>
  <c r="AF239" i="4" s="1"/>
  <c r="AG239" i="4" s="1"/>
  <c r="AH239" i="4" s="1"/>
  <c r="AI239" i="4" s="1"/>
  <c r="AJ239" i="4" s="1"/>
  <c r="AK239" i="4" s="1"/>
  <c r="AL239" i="4" s="1"/>
  <c r="AM239" i="4" s="1"/>
  <c r="AN239" i="4" s="1"/>
  <c r="AO239" i="4" s="1"/>
  <c r="AP239" i="4" s="1"/>
  <c r="AQ239" i="4" s="1"/>
  <c r="AR239" i="4" s="1"/>
  <c r="AS239" i="4" s="1"/>
  <c r="F237" i="4"/>
  <c r="E237" i="4"/>
  <c r="F235" i="4"/>
  <c r="E235" i="4"/>
  <c r="G234" i="4"/>
  <c r="H234" i="4" s="1"/>
  <c r="I234" i="4" s="1"/>
  <c r="J234" i="4" s="1"/>
  <c r="K234" i="4" s="1"/>
  <c r="L234" i="4" s="1"/>
  <c r="M234" i="4" s="1"/>
  <c r="N234" i="4" s="1"/>
  <c r="O234" i="4" s="1"/>
  <c r="P234" i="4" s="1"/>
  <c r="Q234" i="4" s="1"/>
  <c r="R234" i="4" s="1"/>
  <c r="S234" i="4" s="1"/>
  <c r="T234" i="4" s="1"/>
  <c r="U234" i="4" s="1"/>
  <c r="V234" i="4" s="1"/>
  <c r="W234" i="4" s="1"/>
  <c r="X234" i="4" s="1"/>
  <c r="Y234" i="4" s="1"/>
  <c r="Z234" i="4" s="1"/>
  <c r="AA234" i="4" s="1"/>
  <c r="AB234" i="4" s="1"/>
  <c r="AC234" i="4" s="1"/>
  <c r="AD234" i="4" s="1"/>
  <c r="AE234" i="4" s="1"/>
  <c r="AF234" i="4" s="1"/>
  <c r="AG234" i="4" s="1"/>
  <c r="AH234" i="4" s="1"/>
  <c r="AI234" i="4" s="1"/>
  <c r="AJ234" i="4" s="1"/>
  <c r="AK234" i="4" s="1"/>
  <c r="AL234" i="4" s="1"/>
  <c r="AM234" i="4" s="1"/>
  <c r="AN234" i="4" s="1"/>
  <c r="AO234" i="4" s="1"/>
  <c r="AP234" i="4" s="1"/>
  <c r="AQ234" i="4" s="1"/>
  <c r="AR234" i="4" s="1"/>
  <c r="AS234" i="4" s="1"/>
  <c r="F232" i="4"/>
  <c r="E232" i="4"/>
  <c r="F230" i="4"/>
  <c r="E230" i="4"/>
  <c r="G229" i="4"/>
  <c r="H229" i="4" s="1"/>
  <c r="I229" i="4" s="1"/>
  <c r="J229" i="4" s="1"/>
  <c r="K229" i="4" s="1"/>
  <c r="L229" i="4" s="1"/>
  <c r="M229" i="4" s="1"/>
  <c r="N229" i="4" s="1"/>
  <c r="O229" i="4" s="1"/>
  <c r="P229" i="4" s="1"/>
  <c r="Q229" i="4" s="1"/>
  <c r="R229" i="4" s="1"/>
  <c r="S229" i="4" s="1"/>
  <c r="T229" i="4" s="1"/>
  <c r="U229" i="4" s="1"/>
  <c r="V229" i="4" s="1"/>
  <c r="W229" i="4" s="1"/>
  <c r="X229" i="4" s="1"/>
  <c r="Y229" i="4" s="1"/>
  <c r="Z229" i="4" s="1"/>
  <c r="AA229" i="4" s="1"/>
  <c r="AB229" i="4" s="1"/>
  <c r="AC229" i="4" s="1"/>
  <c r="AD229" i="4" s="1"/>
  <c r="AE229" i="4" s="1"/>
  <c r="AF229" i="4" s="1"/>
  <c r="AG229" i="4" s="1"/>
  <c r="AH229" i="4" s="1"/>
  <c r="AI229" i="4" s="1"/>
  <c r="AJ229" i="4" s="1"/>
  <c r="AK229" i="4" s="1"/>
  <c r="AL229" i="4" s="1"/>
  <c r="AM229" i="4" s="1"/>
  <c r="AN229" i="4" s="1"/>
  <c r="AO229" i="4" s="1"/>
  <c r="AP229" i="4" s="1"/>
  <c r="AQ229" i="4" s="1"/>
  <c r="AR229" i="4" s="1"/>
  <c r="AS229" i="4" s="1"/>
  <c r="F227" i="4"/>
  <c r="E227" i="4"/>
  <c r="D227" i="4"/>
  <c r="C227" i="4"/>
  <c r="F225" i="4"/>
  <c r="E225" i="4"/>
  <c r="D225" i="4"/>
  <c r="C225" i="4"/>
  <c r="G224" i="4"/>
  <c r="H224" i="4" s="1"/>
  <c r="I224" i="4" s="1"/>
  <c r="J224" i="4" s="1"/>
  <c r="K224" i="4" s="1"/>
  <c r="L224" i="4" s="1"/>
  <c r="M224" i="4" s="1"/>
  <c r="N224" i="4" s="1"/>
  <c r="O224" i="4" s="1"/>
  <c r="P224" i="4" s="1"/>
  <c r="Q224" i="4" s="1"/>
  <c r="R224" i="4" s="1"/>
  <c r="S224" i="4" s="1"/>
  <c r="T224" i="4" s="1"/>
  <c r="U224" i="4" s="1"/>
  <c r="V224" i="4" s="1"/>
  <c r="W224" i="4" s="1"/>
  <c r="X224" i="4" s="1"/>
  <c r="Y224" i="4" s="1"/>
  <c r="Z224" i="4" s="1"/>
  <c r="AA224" i="4" s="1"/>
  <c r="AB224" i="4" s="1"/>
  <c r="AC224" i="4" s="1"/>
  <c r="AD224" i="4" s="1"/>
  <c r="AE224" i="4" s="1"/>
  <c r="AF224" i="4" s="1"/>
  <c r="AG224" i="4" s="1"/>
  <c r="AH224" i="4" s="1"/>
  <c r="AI224" i="4" s="1"/>
  <c r="AJ224" i="4" s="1"/>
  <c r="AK224" i="4" s="1"/>
  <c r="AL224" i="4" s="1"/>
  <c r="AM224" i="4" s="1"/>
  <c r="AN224" i="4" s="1"/>
  <c r="AO224" i="4" s="1"/>
  <c r="AP224" i="4" s="1"/>
  <c r="AQ224" i="4" s="1"/>
  <c r="AR224" i="4" s="1"/>
  <c r="AS224" i="4" s="1"/>
  <c r="F222" i="4"/>
  <c r="E222" i="4"/>
  <c r="D222" i="4"/>
  <c r="C222" i="4"/>
  <c r="F220" i="4"/>
  <c r="E220" i="4"/>
  <c r="D220" i="4"/>
  <c r="C220" i="4"/>
  <c r="G219" i="4"/>
  <c r="H219" i="4" s="1"/>
  <c r="I219" i="4" s="1"/>
  <c r="J219" i="4" s="1"/>
  <c r="K219" i="4" s="1"/>
  <c r="L219" i="4" s="1"/>
  <c r="M219" i="4" s="1"/>
  <c r="N219" i="4" s="1"/>
  <c r="O219" i="4" s="1"/>
  <c r="P219" i="4" s="1"/>
  <c r="Q219" i="4" s="1"/>
  <c r="R219" i="4" s="1"/>
  <c r="S219" i="4" s="1"/>
  <c r="T219" i="4" s="1"/>
  <c r="U219" i="4" s="1"/>
  <c r="V219" i="4" s="1"/>
  <c r="W219" i="4" s="1"/>
  <c r="X219" i="4" s="1"/>
  <c r="Y219" i="4" s="1"/>
  <c r="Z219" i="4" s="1"/>
  <c r="AA219" i="4" s="1"/>
  <c r="AB219" i="4" s="1"/>
  <c r="AC219" i="4" s="1"/>
  <c r="AD219" i="4" s="1"/>
  <c r="AE219" i="4" s="1"/>
  <c r="AF219" i="4" s="1"/>
  <c r="AG219" i="4" s="1"/>
  <c r="AH219" i="4" s="1"/>
  <c r="AI219" i="4" s="1"/>
  <c r="AJ219" i="4" s="1"/>
  <c r="AK219" i="4" s="1"/>
  <c r="AL219" i="4" s="1"/>
  <c r="AM219" i="4" s="1"/>
  <c r="AN219" i="4" s="1"/>
  <c r="AO219" i="4" s="1"/>
  <c r="AP219" i="4" s="1"/>
  <c r="AQ219" i="4" s="1"/>
  <c r="AR219" i="4" s="1"/>
  <c r="AS219" i="4" s="1"/>
  <c r="AS216" i="4"/>
  <c r="AR216" i="4"/>
  <c r="AQ216" i="4"/>
  <c r="AP216" i="4"/>
  <c r="AO216" i="4"/>
  <c r="AN216" i="4"/>
  <c r="AM216" i="4"/>
  <c r="AL216" i="4"/>
  <c r="AK216" i="4"/>
  <c r="AJ216" i="4"/>
  <c r="AI216" i="4"/>
  <c r="AH216" i="4"/>
  <c r="AG216" i="4"/>
  <c r="AF216" i="4"/>
  <c r="AE216" i="4"/>
  <c r="AD216" i="4"/>
  <c r="AC216" i="4"/>
  <c r="AB216" i="4"/>
  <c r="AA216" i="4"/>
  <c r="Z216" i="4"/>
  <c r="Y216" i="4"/>
  <c r="X216" i="4"/>
  <c r="W216" i="4"/>
  <c r="V216" i="4"/>
  <c r="U216" i="4"/>
  <c r="T216" i="4"/>
  <c r="S216" i="4"/>
  <c r="R216" i="4"/>
  <c r="Q216" i="4"/>
  <c r="P216" i="4"/>
  <c r="O216" i="4"/>
  <c r="N216" i="4"/>
  <c r="M216" i="4"/>
  <c r="L216" i="4"/>
  <c r="K216" i="4"/>
  <c r="J216" i="4"/>
  <c r="I216" i="4"/>
  <c r="H216" i="4"/>
  <c r="G216" i="4"/>
  <c r="E216" i="4"/>
  <c r="D216" i="4"/>
  <c r="AS212" i="4"/>
  <c r="AR212" i="4"/>
  <c r="AQ212" i="4"/>
  <c r="AP212" i="4"/>
  <c r="AO212" i="4"/>
  <c r="AN212" i="4"/>
  <c r="AM212" i="4"/>
  <c r="AL212" i="4"/>
  <c r="AK212" i="4"/>
  <c r="AJ212" i="4"/>
  <c r="AI212" i="4"/>
  <c r="AH212" i="4"/>
  <c r="AG212" i="4"/>
  <c r="AF212" i="4"/>
  <c r="AE212" i="4"/>
  <c r="AD212" i="4"/>
  <c r="AC212" i="4"/>
  <c r="AB212" i="4"/>
  <c r="AA212" i="4"/>
  <c r="Z212" i="4"/>
  <c r="Y212" i="4"/>
  <c r="X212" i="4"/>
  <c r="W212" i="4"/>
  <c r="V212" i="4"/>
  <c r="U212" i="4"/>
  <c r="T212" i="4"/>
  <c r="S212" i="4"/>
  <c r="R212" i="4"/>
  <c r="Q212" i="4"/>
  <c r="P212" i="4"/>
  <c r="O212" i="4"/>
  <c r="N212" i="4"/>
  <c r="M212" i="4"/>
  <c r="L212" i="4"/>
  <c r="K212" i="4"/>
  <c r="J212" i="4"/>
  <c r="I212" i="4"/>
  <c r="H212" i="4"/>
  <c r="G212" i="4"/>
  <c r="F211" i="4"/>
  <c r="E211" i="4"/>
  <c r="F209" i="4"/>
  <c r="E209" i="4"/>
  <c r="AS208" i="4"/>
  <c r="AR208" i="4"/>
  <c r="AQ208" i="4"/>
  <c r="AP208" i="4"/>
  <c r="AO208" i="4"/>
  <c r="AN208" i="4"/>
  <c r="AM208" i="4"/>
  <c r="AL208" i="4"/>
  <c r="AK208" i="4"/>
  <c r="AJ208" i="4"/>
  <c r="AI208" i="4"/>
  <c r="AH208" i="4"/>
  <c r="AG208" i="4"/>
  <c r="AF208" i="4"/>
  <c r="AE208" i="4"/>
  <c r="AD208" i="4"/>
  <c r="AC208" i="4"/>
  <c r="AB208" i="4"/>
  <c r="AA208" i="4"/>
  <c r="Z208" i="4"/>
  <c r="Y208" i="4"/>
  <c r="X208" i="4"/>
  <c r="W208" i="4"/>
  <c r="V208" i="4"/>
  <c r="U208" i="4"/>
  <c r="T208" i="4"/>
  <c r="S208" i="4"/>
  <c r="R208" i="4"/>
  <c r="Q208" i="4"/>
  <c r="P208" i="4"/>
  <c r="O208" i="4"/>
  <c r="N208" i="4"/>
  <c r="M208" i="4"/>
  <c r="L208" i="4"/>
  <c r="K208" i="4"/>
  <c r="J208" i="4"/>
  <c r="I208" i="4"/>
  <c r="H208" i="4"/>
  <c r="G208" i="4"/>
  <c r="F206" i="4"/>
  <c r="E206" i="4"/>
  <c r="F204" i="4"/>
  <c r="E204" i="4"/>
  <c r="AS203" i="4"/>
  <c r="AR203" i="4"/>
  <c r="AQ203" i="4"/>
  <c r="AP203" i="4"/>
  <c r="AO203" i="4"/>
  <c r="AN203" i="4"/>
  <c r="AM203" i="4"/>
  <c r="AL203" i="4"/>
  <c r="AK203" i="4"/>
  <c r="AJ203" i="4"/>
  <c r="AI203" i="4"/>
  <c r="AH203" i="4"/>
  <c r="AG203" i="4"/>
  <c r="AF203" i="4"/>
  <c r="AE203" i="4"/>
  <c r="AD203" i="4"/>
  <c r="AC203" i="4"/>
  <c r="AB203" i="4"/>
  <c r="AA203" i="4"/>
  <c r="Z203" i="4"/>
  <c r="Y203" i="4"/>
  <c r="X203" i="4"/>
  <c r="W203" i="4"/>
  <c r="V203" i="4"/>
  <c r="U203" i="4"/>
  <c r="T203" i="4"/>
  <c r="S203" i="4"/>
  <c r="R203" i="4"/>
  <c r="Q203" i="4"/>
  <c r="P203" i="4"/>
  <c r="O203" i="4"/>
  <c r="N203" i="4"/>
  <c r="M203" i="4"/>
  <c r="L203" i="4"/>
  <c r="K203" i="4"/>
  <c r="J203" i="4"/>
  <c r="I203" i="4"/>
  <c r="H203" i="4"/>
  <c r="G203" i="4"/>
  <c r="F201" i="4"/>
  <c r="E201" i="4"/>
  <c r="F199" i="4"/>
  <c r="E199" i="4"/>
  <c r="AS198" i="4"/>
  <c r="AR198" i="4"/>
  <c r="AQ198" i="4"/>
  <c r="AP198" i="4"/>
  <c r="AO198" i="4"/>
  <c r="AN198" i="4"/>
  <c r="AM198" i="4"/>
  <c r="AL198" i="4"/>
  <c r="AK198" i="4"/>
  <c r="AJ198" i="4"/>
  <c r="AI198" i="4"/>
  <c r="AH198" i="4"/>
  <c r="AG198" i="4"/>
  <c r="AF198" i="4"/>
  <c r="AE198" i="4"/>
  <c r="AD198" i="4"/>
  <c r="AC198" i="4"/>
  <c r="AB198" i="4"/>
  <c r="AA198" i="4"/>
  <c r="Z198" i="4"/>
  <c r="Y198" i="4"/>
  <c r="X198" i="4"/>
  <c r="W198" i="4"/>
  <c r="V198" i="4"/>
  <c r="U198" i="4"/>
  <c r="T198" i="4"/>
  <c r="S198" i="4"/>
  <c r="R198" i="4"/>
  <c r="Q198" i="4"/>
  <c r="P198" i="4"/>
  <c r="O198" i="4"/>
  <c r="N198" i="4"/>
  <c r="M198" i="4"/>
  <c r="L198" i="4"/>
  <c r="K198" i="4"/>
  <c r="J198" i="4"/>
  <c r="I198" i="4"/>
  <c r="H198" i="4"/>
  <c r="G198" i="4"/>
  <c r="F196" i="4"/>
  <c r="E196" i="4"/>
  <c r="F194" i="4"/>
  <c r="E194" i="4"/>
  <c r="AS193" i="4"/>
  <c r="AR193" i="4"/>
  <c r="AQ193" i="4"/>
  <c r="AP193" i="4"/>
  <c r="AO193" i="4"/>
  <c r="AN193" i="4"/>
  <c r="AM193" i="4"/>
  <c r="AL193" i="4"/>
  <c r="AK193" i="4"/>
  <c r="AJ193" i="4"/>
  <c r="AI193" i="4"/>
  <c r="AH193" i="4"/>
  <c r="AG193" i="4"/>
  <c r="AF193" i="4"/>
  <c r="AE193" i="4"/>
  <c r="AD193" i="4"/>
  <c r="AC193" i="4"/>
  <c r="AB193" i="4"/>
  <c r="AA193" i="4"/>
  <c r="Z193" i="4"/>
  <c r="Y193" i="4"/>
  <c r="X193" i="4"/>
  <c r="W193" i="4"/>
  <c r="V193" i="4"/>
  <c r="U193" i="4"/>
  <c r="T193" i="4"/>
  <c r="S193" i="4"/>
  <c r="R193" i="4"/>
  <c r="Q193" i="4"/>
  <c r="P193" i="4"/>
  <c r="O193" i="4"/>
  <c r="N193" i="4"/>
  <c r="M193" i="4"/>
  <c r="L193" i="4"/>
  <c r="K193" i="4"/>
  <c r="J193" i="4"/>
  <c r="I193" i="4"/>
  <c r="H193" i="4"/>
  <c r="G193" i="4"/>
  <c r="F191" i="4"/>
  <c r="E191" i="4"/>
  <c r="F189" i="4"/>
  <c r="E189" i="4"/>
  <c r="AS188" i="4"/>
  <c r="AR188" i="4"/>
  <c r="AQ188" i="4"/>
  <c r="AP188" i="4"/>
  <c r="AO188" i="4"/>
  <c r="AN188" i="4"/>
  <c r="AM188" i="4"/>
  <c r="AL188" i="4"/>
  <c r="AK188" i="4"/>
  <c r="AJ188" i="4"/>
  <c r="AI188" i="4"/>
  <c r="AH188" i="4"/>
  <c r="AG188" i="4"/>
  <c r="AF188" i="4"/>
  <c r="AE188" i="4"/>
  <c r="AD188" i="4"/>
  <c r="AC188" i="4"/>
  <c r="AB188" i="4"/>
  <c r="AA188" i="4"/>
  <c r="Z188" i="4"/>
  <c r="Y188" i="4"/>
  <c r="X188" i="4"/>
  <c r="W188" i="4"/>
  <c r="V188" i="4"/>
  <c r="U188" i="4"/>
  <c r="T188" i="4"/>
  <c r="S188" i="4"/>
  <c r="R188" i="4"/>
  <c r="Q188" i="4"/>
  <c r="P188" i="4"/>
  <c r="O188" i="4"/>
  <c r="N188" i="4"/>
  <c r="M188" i="4"/>
  <c r="L188" i="4"/>
  <c r="K188" i="4"/>
  <c r="J188" i="4"/>
  <c r="I188" i="4"/>
  <c r="H188" i="4"/>
  <c r="G188" i="4"/>
  <c r="D180" i="4"/>
  <c r="F179" i="4"/>
  <c r="G179" i="4" s="1"/>
  <c r="H179" i="4" s="1"/>
  <c r="I179" i="4" s="1"/>
  <c r="J179" i="4" s="1"/>
  <c r="K179" i="4" s="1"/>
  <c r="L179" i="4" s="1"/>
  <c r="M179" i="4" s="1"/>
  <c r="N179" i="4" s="1"/>
  <c r="O179" i="4" s="1"/>
  <c r="P179" i="4" s="1"/>
  <c r="Q179" i="4" s="1"/>
  <c r="R179" i="4" s="1"/>
  <c r="S179" i="4" s="1"/>
  <c r="T179" i="4" s="1"/>
  <c r="U179" i="4" s="1"/>
  <c r="V179" i="4" s="1"/>
  <c r="W179" i="4" s="1"/>
  <c r="X179" i="4" s="1"/>
  <c r="Y179" i="4" s="1"/>
  <c r="Z179" i="4" s="1"/>
  <c r="AA179" i="4" s="1"/>
  <c r="AB179" i="4" s="1"/>
  <c r="AC179" i="4" s="1"/>
  <c r="AD179" i="4" s="1"/>
  <c r="AE179" i="4" s="1"/>
  <c r="AF179" i="4" s="1"/>
  <c r="AG179" i="4" s="1"/>
  <c r="AH179" i="4" s="1"/>
  <c r="AI179" i="4" s="1"/>
  <c r="AJ179" i="4" s="1"/>
  <c r="AK179" i="4" s="1"/>
  <c r="AL179" i="4" s="1"/>
  <c r="AM179" i="4" s="1"/>
  <c r="AN179" i="4" s="1"/>
  <c r="AO179" i="4" s="1"/>
  <c r="AP179" i="4" s="1"/>
  <c r="AQ179" i="4" s="1"/>
  <c r="AR179" i="4" s="1"/>
  <c r="AS179" i="4" s="1"/>
  <c r="D179" i="4"/>
  <c r="F177" i="4"/>
  <c r="D177" i="4"/>
  <c r="AS174" i="4"/>
  <c r="AR174" i="4"/>
  <c r="AQ174" i="4"/>
  <c r="AP174" i="4"/>
  <c r="AO174" i="4"/>
  <c r="AN174" i="4"/>
  <c r="AM174" i="4"/>
  <c r="AL174" i="4"/>
  <c r="AK174" i="4"/>
  <c r="AJ174" i="4"/>
  <c r="AI174" i="4"/>
  <c r="AH174" i="4"/>
  <c r="AG174" i="4"/>
  <c r="AF174" i="4"/>
  <c r="AE174" i="4"/>
  <c r="AD174" i="4"/>
  <c r="AC174" i="4"/>
  <c r="AB174" i="4"/>
  <c r="AA174" i="4"/>
  <c r="Z174" i="4"/>
  <c r="Y174" i="4"/>
  <c r="X174" i="4"/>
  <c r="W174" i="4"/>
  <c r="V174" i="4"/>
  <c r="U174" i="4"/>
  <c r="T174" i="4"/>
  <c r="S174" i="4"/>
  <c r="R174" i="4"/>
  <c r="Q174" i="4"/>
  <c r="P174" i="4"/>
  <c r="O174" i="4"/>
  <c r="N174" i="4"/>
  <c r="M174" i="4"/>
  <c r="L174" i="4"/>
  <c r="K174" i="4"/>
  <c r="J174" i="4"/>
  <c r="I174" i="4"/>
  <c r="H174" i="4"/>
  <c r="G174" i="4"/>
  <c r="F174" i="4"/>
  <c r="AS173" i="4"/>
  <c r="AR173" i="4"/>
  <c r="AQ173" i="4"/>
  <c r="AP173" i="4"/>
  <c r="AO173" i="4"/>
  <c r="AN173" i="4"/>
  <c r="AM173" i="4"/>
  <c r="AL173" i="4"/>
  <c r="AK173" i="4"/>
  <c r="AJ173" i="4"/>
  <c r="AI173" i="4"/>
  <c r="AH173" i="4"/>
  <c r="AG173" i="4"/>
  <c r="AF173" i="4"/>
  <c r="AE173" i="4"/>
  <c r="AD173" i="4"/>
  <c r="AC173" i="4"/>
  <c r="AB173" i="4"/>
  <c r="AA173" i="4"/>
  <c r="Z173" i="4"/>
  <c r="Y173" i="4"/>
  <c r="X173" i="4"/>
  <c r="W173" i="4"/>
  <c r="V173" i="4"/>
  <c r="U173" i="4"/>
  <c r="T173" i="4"/>
  <c r="S173" i="4"/>
  <c r="R173" i="4"/>
  <c r="Q173" i="4"/>
  <c r="P173" i="4"/>
  <c r="O173" i="4"/>
  <c r="N173" i="4"/>
  <c r="M173" i="4"/>
  <c r="L173" i="4"/>
  <c r="K173" i="4"/>
  <c r="J173" i="4"/>
  <c r="I173" i="4"/>
  <c r="H173" i="4"/>
  <c r="G173" i="4"/>
  <c r="F173" i="4"/>
  <c r="E172" i="4"/>
  <c r="D171" i="4"/>
  <c r="G169" i="4"/>
  <c r="H169" i="4" s="1"/>
  <c r="I169" i="4" s="1"/>
  <c r="J169" i="4" s="1"/>
  <c r="K169" i="4" s="1"/>
  <c r="L169" i="4" s="1"/>
  <c r="M169" i="4" s="1"/>
  <c r="N169" i="4" s="1"/>
  <c r="O169" i="4" s="1"/>
  <c r="P169" i="4" s="1"/>
  <c r="Q169" i="4" s="1"/>
  <c r="R169" i="4" s="1"/>
  <c r="S169" i="4" s="1"/>
  <c r="T169" i="4" s="1"/>
  <c r="U169" i="4" s="1"/>
  <c r="V169" i="4" s="1"/>
  <c r="W169" i="4" s="1"/>
  <c r="X169" i="4" s="1"/>
  <c r="Y169" i="4" s="1"/>
  <c r="Z169" i="4" s="1"/>
  <c r="AA169" i="4" s="1"/>
  <c r="AB169" i="4" s="1"/>
  <c r="AC169" i="4" s="1"/>
  <c r="AD169" i="4" s="1"/>
  <c r="AE169" i="4" s="1"/>
  <c r="AF169" i="4" s="1"/>
  <c r="AG169" i="4" s="1"/>
  <c r="AH169" i="4" s="1"/>
  <c r="AI169" i="4" s="1"/>
  <c r="AJ169" i="4" s="1"/>
  <c r="AK169" i="4" s="1"/>
  <c r="AL169" i="4" s="1"/>
  <c r="AM169" i="4" s="1"/>
  <c r="AN169" i="4" s="1"/>
  <c r="AO169" i="4" s="1"/>
  <c r="AP169" i="4" s="1"/>
  <c r="AQ169" i="4" s="1"/>
  <c r="AR169" i="4" s="1"/>
  <c r="AS169" i="4" s="1"/>
  <c r="F168" i="4"/>
  <c r="E168" i="4"/>
  <c r="F166" i="4"/>
  <c r="E166" i="4"/>
  <c r="G165" i="4"/>
  <c r="H165" i="4" s="1"/>
  <c r="I165" i="4" s="1"/>
  <c r="J165" i="4" s="1"/>
  <c r="K165" i="4" s="1"/>
  <c r="L165" i="4" s="1"/>
  <c r="M165" i="4" s="1"/>
  <c r="N165" i="4" s="1"/>
  <c r="O165" i="4" s="1"/>
  <c r="P165" i="4" s="1"/>
  <c r="Q165" i="4" s="1"/>
  <c r="R165" i="4" s="1"/>
  <c r="S165" i="4" s="1"/>
  <c r="T165" i="4" s="1"/>
  <c r="U165" i="4" s="1"/>
  <c r="V165" i="4" s="1"/>
  <c r="W165" i="4" s="1"/>
  <c r="X165" i="4" s="1"/>
  <c r="Y165" i="4" s="1"/>
  <c r="Z165" i="4" s="1"/>
  <c r="AA165" i="4" s="1"/>
  <c r="AB165" i="4" s="1"/>
  <c r="AC165" i="4" s="1"/>
  <c r="AD165" i="4" s="1"/>
  <c r="AE165" i="4" s="1"/>
  <c r="AF165" i="4" s="1"/>
  <c r="AG165" i="4" s="1"/>
  <c r="AH165" i="4" s="1"/>
  <c r="AI165" i="4" s="1"/>
  <c r="AJ165" i="4" s="1"/>
  <c r="AK165" i="4" s="1"/>
  <c r="AL165" i="4" s="1"/>
  <c r="AM165" i="4" s="1"/>
  <c r="AN165" i="4" s="1"/>
  <c r="AO165" i="4" s="1"/>
  <c r="AP165" i="4" s="1"/>
  <c r="AQ165" i="4" s="1"/>
  <c r="AR165" i="4" s="1"/>
  <c r="AS165" i="4" s="1"/>
  <c r="F163" i="4"/>
  <c r="E163" i="4"/>
  <c r="F161" i="4"/>
  <c r="E161" i="4"/>
  <c r="G160" i="4"/>
  <c r="H160" i="4" s="1"/>
  <c r="I160" i="4" s="1"/>
  <c r="J160" i="4" s="1"/>
  <c r="K160" i="4" s="1"/>
  <c r="L160" i="4" s="1"/>
  <c r="M160" i="4" s="1"/>
  <c r="N160" i="4" s="1"/>
  <c r="O160" i="4" s="1"/>
  <c r="P160" i="4" s="1"/>
  <c r="Q160" i="4" s="1"/>
  <c r="R160" i="4" s="1"/>
  <c r="S160" i="4" s="1"/>
  <c r="T160" i="4" s="1"/>
  <c r="U160" i="4" s="1"/>
  <c r="V160" i="4" s="1"/>
  <c r="W160" i="4" s="1"/>
  <c r="X160" i="4" s="1"/>
  <c r="Y160" i="4" s="1"/>
  <c r="Z160" i="4" s="1"/>
  <c r="AA160" i="4" s="1"/>
  <c r="AB160" i="4" s="1"/>
  <c r="AC160" i="4" s="1"/>
  <c r="AD160" i="4" s="1"/>
  <c r="AE160" i="4" s="1"/>
  <c r="AF160" i="4" s="1"/>
  <c r="AG160" i="4" s="1"/>
  <c r="AH160" i="4" s="1"/>
  <c r="AI160" i="4" s="1"/>
  <c r="AJ160" i="4" s="1"/>
  <c r="AK160" i="4" s="1"/>
  <c r="AL160" i="4" s="1"/>
  <c r="AM160" i="4" s="1"/>
  <c r="AN160" i="4" s="1"/>
  <c r="AO160" i="4" s="1"/>
  <c r="AP160" i="4" s="1"/>
  <c r="AQ160" i="4" s="1"/>
  <c r="AR160" i="4" s="1"/>
  <c r="AS160" i="4" s="1"/>
  <c r="F158" i="4"/>
  <c r="E158" i="4"/>
  <c r="F156" i="4"/>
  <c r="E156" i="4"/>
  <c r="G155" i="4"/>
  <c r="H155" i="4" s="1"/>
  <c r="I155" i="4" s="1"/>
  <c r="J155" i="4" s="1"/>
  <c r="K155" i="4" s="1"/>
  <c r="L155" i="4" s="1"/>
  <c r="M155" i="4" s="1"/>
  <c r="N155" i="4" s="1"/>
  <c r="O155" i="4" s="1"/>
  <c r="P155" i="4" s="1"/>
  <c r="Q155" i="4" s="1"/>
  <c r="R155" i="4" s="1"/>
  <c r="S155" i="4" s="1"/>
  <c r="T155" i="4" s="1"/>
  <c r="U155" i="4" s="1"/>
  <c r="V155" i="4" s="1"/>
  <c r="W155" i="4" s="1"/>
  <c r="X155" i="4" s="1"/>
  <c r="Y155" i="4" s="1"/>
  <c r="Z155" i="4" s="1"/>
  <c r="AA155" i="4" s="1"/>
  <c r="AB155" i="4" s="1"/>
  <c r="AC155" i="4" s="1"/>
  <c r="AD155" i="4" s="1"/>
  <c r="AE155" i="4" s="1"/>
  <c r="AF155" i="4" s="1"/>
  <c r="AG155" i="4" s="1"/>
  <c r="AH155" i="4" s="1"/>
  <c r="AI155" i="4" s="1"/>
  <c r="AJ155" i="4" s="1"/>
  <c r="AK155" i="4" s="1"/>
  <c r="AL155" i="4" s="1"/>
  <c r="AM155" i="4" s="1"/>
  <c r="AN155" i="4" s="1"/>
  <c r="AO155" i="4" s="1"/>
  <c r="AP155" i="4" s="1"/>
  <c r="AQ155" i="4" s="1"/>
  <c r="AR155" i="4" s="1"/>
  <c r="AS155" i="4" s="1"/>
  <c r="F153" i="4"/>
  <c r="E153" i="4"/>
  <c r="F151" i="4"/>
  <c r="E151" i="4"/>
  <c r="G150" i="4"/>
  <c r="H150" i="4" s="1"/>
  <c r="I150" i="4" s="1"/>
  <c r="J150" i="4" s="1"/>
  <c r="K150" i="4" s="1"/>
  <c r="L150" i="4" s="1"/>
  <c r="M150" i="4" s="1"/>
  <c r="N150" i="4" s="1"/>
  <c r="O150" i="4" s="1"/>
  <c r="P150" i="4" s="1"/>
  <c r="Q150" i="4" s="1"/>
  <c r="R150" i="4" s="1"/>
  <c r="S150" i="4" s="1"/>
  <c r="T150" i="4" s="1"/>
  <c r="U150" i="4" s="1"/>
  <c r="V150" i="4" s="1"/>
  <c r="W150" i="4" s="1"/>
  <c r="X150" i="4" s="1"/>
  <c r="Y150" i="4" s="1"/>
  <c r="Z150" i="4" s="1"/>
  <c r="AA150" i="4" s="1"/>
  <c r="AB150" i="4" s="1"/>
  <c r="AC150" i="4" s="1"/>
  <c r="AD150" i="4" s="1"/>
  <c r="AE150" i="4" s="1"/>
  <c r="AF150" i="4" s="1"/>
  <c r="AG150" i="4" s="1"/>
  <c r="AH150" i="4" s="1"/>
  <c r="AI150" i="4" s="1"/>
  <c r="AJ150" i="4" s="1"/>
  <c r="AK150" i="4" s="1"/>
  <c r="AL150" i="4" s="1"/>
  <c r="AM150" i="4" s="1"/>
  <c r="AN150" i="4" s="1"/>
  <c r="AO150" i="4" s="1"/>
  <c r="AP150" i="4" s="1"/>
  <c r="AQ150" i="4" s="1"/>
  <c r="AR150" i="4" s="1"/>
  <c r="AS150" i="4" s="1"/>
  <c r="F148" i="4"/>
  <c r="E148" i="4"/>
  <c r="D148" i="4"/>
  <c r="C148" i="4"/>
  <c r="F146" i="4"/>
  <c r="E146" i="4"/>
  <c r="D146" i="4"/>
  <c r="C146" i="4"/>
  <c r="G145" i="4"/>
  <c r="H145" i="4" s="1"/>
  <c r="I145" i="4" s="1"/>
  <c r="J145" i="4" s="1"/>
  <c r="K145" i="4" s="1"/>
  <c r="L145" i="4" s="1"/>
  <c r="M145" i="4" s="1"/>
  <c r="N145" i="4" s="1"/>
  <c r="O145" i="4" s="1"/>
  <c r="P145" i="4" s="1"/>
  <c r="Q145" i="4" s="1"/>
  <c r="R145" i="4" s="1"/>
  <c r="S145" i="4" s="1"/>
  <c r="T145" i="4" s="1"/>
  <c r="U145" i="4" s="1"/>
  <c r="V145" i="4" s="1"/>
  <c r="W145" i="4" s="1"/>
  <c r="X145" i="4" s="1"/>
  <c r="Y145" i="4" s="1"/>
  <c r="Z145" i="4" s="1"/>
  <c r="AA145" i="4" s="1"/>
  <c r="AB145" i="4" s="1"/>
  <c r="AC145" i="4" s="1"/>
  <c r="AD145" i="4" s="1"/>
  <c r="AE145" i="4" s="1"/>
  <c r="AF145" i="4" s="1"/>
  <c r="AG145" i="4" s="1"/>
  <c r="AH145" i="4" s="1"/>
  <c r="AI145" i="4" s="1"/>
  <c r="AJ145" i="4" s="1"/>
  <c r="AK145" i="4" s="1"/>
  <c r="AL145" i="4" s="1"/>
  <c r="AM145" i="4" s="1"/>
  <c r="AN145" i="4" s="1"/>
  <c r="AO145" i="4" s="1"/>
  <c r="AP145" i="4" s="1"/>
  <c r="AQ145" i="4" s="1"/>
  <c r="AR145" i="4" s="1"/>
  <c r="AS145" i="4" s="1"/>
  <c r="F143" i="4"/>
  <c r="E143" i="4"/>
  <c r="D143" i="4"/>
  <c r="C143" i="4"/>
  <c r="F141" i="4"/>
  <c r="E141" i="4"/>
  <c r="D141" i="4"/>
  <c r="C141" i="4"/>
  <c r="G140" i="4"/>
  <c r="H140" i="4" s="1"/>
  <c r="I140" i="4" s="1"/>
  <c r="J140" i="4" s="1"/>
  <c r="K140" i="4" s="1"/>
  <c r="L140" i="4" s="1"/>
  <c r="M140" i="4" s="1"/>
  <c r="N140" i="4" s="1"/>
  <c r="O140" i="4" s="1"/>
  <c r="P140" i="4" s="1"/>
  <c r="Q140" i="4" s="1"/>
  <c r="R140" i="4" s="1"/>
  <c r="S140" i="4" s="1"/>
  <c r="T140" i="4" s="1"/>
  <c r="U140" i="4" s="1"/>
  <c r="V140" i="4" s="1"/>
  <c r="W140" i="4" s="1"/>
  <c r="X140" i="4" s="1"/>
  <c r="Y140" i="4" s="1"/>
  <c r="Z140" i="4" s="1"/>
  <c r="AA140" i="4" s="1"/>
  <c r="AB140" i="4" s="1"/>
  <c r="AC140" i="4" s="1"/>
  <c r="AD140" i="4" s="1"/>
  <c r="AE140" i="4" s="1"/>
  <c r="AF140" i="4" s="1"/>
  <c r="AG140" i="4" s="1"/>
  <c r="AH140" i="4" s="1"/>
  <c r="AI140" i="4" s="1"/>
  <c r="AJ140" i="4" s="1"/>
  <c r="AK140" i="4" s="1"/>
  <c r="AL140" i="4" s="1"/>
  <c r="AM140" i="4" s="1"/>
  <c r="AN140" i="4" s="1"/>
  <c r="AO140" i="4" s="1"/>
  <c r="AP140" i="4" s="1"/>
  <c r="AQ140" i="4" s="1"/>
  <c r="AR140" i="4" s="1"/>
  <c r="AS140" i="4" s="1"/>
  <c r="AS137" i="4"/>
  <c r="AR137" i="4"/>
  <c r="AQ137" i="4"/>
  <c r="AP137" i="4"/>
  <c r="AO137" i="4"/>
  <c r="AN137" i="4"/>
  <c r="AM137" i="4"/>
  <c r="AL137" i="4"/>
  <c r="AK137" i="4"/>
  <c r="AJ137" i="4"/>
  <c r="AI137" i="4"/>
  <c r="AH137" i="4"/>
  <c r="AG137" i="4"/>
  <c r="AF137" i="4"/>
  <c r="AE137" i="4"/>
  <c r="AD137" i="4"/>
  <c r="AC137" i="4"/>
  <c r="AB137" i="4"/>
  <c r="AA137" i="4"/>
  <c r="Z137" i="4"/>
  <c r="Y137" i="4"/>
  <c r="X137" i="4"/>
  <c r="W137" i="4"/>
  <c r="V137" i="4"/>
  <c r="U137" i="4"/>
  <c r="T137" i="4"/>
  <c r="S137" i="4"/>
  <c r="R137" i="4"/>
  <c r="Q137" i="4"/>
  <c r="P137" i="4"/>
  <c r="O137" i="4"/>
  <c r="N137" i="4"/>
  <c r="M137" i="4"/>
  <c r="L137" i="4"/>
  <c r="K137" i="4"/>
  <c r="J137" i="4"/>
  <c r="I137" i="4"/>
  <c r="H137" i="4"/>
  <c r="G137" i="4"/>
  <c r="E137" i="4"/>
  <c r="D137" i="4"/>
  <c r="AS134" i="4"/>
  <c r="AR134" i="4"/>
  <c r="AQ134" i="4"/>
  <c r="AP134" i="4"/>
  <c r="AO134" i="4"/>
  <c r="AN134" i="4"/>
  <c r="AM134" i="4"/>
  <c r="AL134" i="4"/>
  <c r="AK134" i="4"/>
  <c r="AJ134" i="4"/>
  <c r="AI134" i="4"/>
  <c r="AH134" i="4"/>
  <c r="AG134" i="4"/>
  <c r="AF134" i="4"/>
  <c r="AE134" i="4"/>
  <c r="AD134" i="4"/>
  <c r="AC134" i="4"/>
  <c r="AB134" i="4"/>
  <c r="AA134" i="4"/>
  <c r="Z134" i="4"/>
  <c r="Y134" i="4"/>
  <c r="X134" i="4"/>
  <c r="W134" i="4"/>
  <c r="V134" i="4"/>
  <c r="U134" i="4"/>
  <c r="T134" i="4"/>
  <c r="S134" i="4"/>
  <c r="R134" i="4"/>
  <c r="Q134" i="4"/>
  <c r="P134" i="4"/>
  <c r="O134" i="4"/>
  <c r="N134" i="4"/>
  <c r="M134" i="4"/>
  <c r="L134" i="4"/>
  <c r="K134" i="4"/>
  <c r="J134" i="4"/>
  <c r="I134" i="4"/>
  <c r="H134" i="4"/>
  <c r="G134" i="4"/>
  <c r="F133" i="4"/>
  <c r="E133" i="4"/>
  <c r="F131" i="4"/>
  <c r="E131" i="4"/>
  <c r="AS130" i="4"/>
  <c r="AR130" i="4"/>
  <c r="AQ130" i="4"/>
  <c r="AP130" i="4"/>
  <c r="AO130" i="4"/>
  <c r="AN130" i="4"/>
  <c r="AM130" i="4"/>
  <c r="AL130" i="4"/>
  <c r="AK130" i="4"/>
  <c r="AJ130" i="4"/>
  <c r="AI130" i="4"/>
  <c r="AH130" i="4"/>
  <c r="AG130" i="4"/>
  <c r="AF130" i="4"/>
  <c r="AE130" i="4"/>
  <c r="AD130" i="4"/>
  <c r="AC130" i="4"/>
  <c r="AB130" i="4"/>
  <c r="AA130" i="4"/>
  <c r="Z130" i="4"/>
  <c r="Y130" i="4"/>
  <c r="X130" i="4"/>
  <c r="W130" i="4"/>
  <c r="V130" i="4"/>
  <c r="U130" i="4"/>
  <c r="T130" i="4"/>
  <c r="S130" i="4"/>
  <c r="R130" i="4"/>
  <c r="Q130" i="4"/>
  <c r="P130" i="4"/>
  <c r="O130" i="4"/>
  <c r="N130" i="4"/>
  <c r="M130" i="4"/>
  <c r="L130" i="4"/>
  <c r="K130" i="4"/>
  <c r="J130" i="4"/>
  <c r="I130" i="4"/>
  <c r="H130" i="4"/>
  <c r="G130" i="4"/>
  <c r="F128" i="4"/>
  <c r="E128" i="4"/>
  <c r="F126" i="4"/>
  <c r="E126" i="4"/>
  <c r="AS125" i="4"/>
  <c r="AR125" i="4"/>
  <c r="AQ125" i="4"/>
  <c r="AP125" i="4"/>
  <c r="AO125" i="4"/>
  <c r="AN125" i="4"/>
  <c r="AM125" i="4"/>
  <c r="AL125" i="4"/>
  <c r="AK125" i="4"/>
  <c r="AJ125" i="4"/>
  <c r="AI125" i="4"/>
  <c r="AH125" i="4"/>
  <c r="AG125" i="4"/>
  <c r="AF125" i="4"/>
  <c r="AE125" i="4"/>
  <c r="AD125" i="4"/>
  <c r="AC125" i="4"/>
  <c r="AB125" i="4"/>
  <c r="AA125" i="4"/>
  <c r="Z125" i="4"/>
  <c r="Y125" i="4"/>
  <c r="X125" i="4"/>
  <c r="W125" i="4"/>
  <c r="V125" i="4"/>
  <c r="U125" i="4"/>
  <c r="T125" i="4"/>
  <c r="S125" i="4"/>
  <c r="R125" i="4"/>
  <c r="Q125" i="4"/>
  <c r="P125" i="4"/>
  <c r="O125" i="4"/>
  <c r="N125" i="4"/>
  <c r="M125" i="4"/>
  <c r="L125" i="4"/>
  <c r="K125" i="4"/>
  <c r="J125" i="4"/>
  <c r="I125" i="4"/>
  <c r="H125" i="4"/>
  <c r="G125" i="4"/>
  <c r="F123" i="4"/>
  <c r="E123" i="4"/>
  <c r="F121" i="4"/>
  <c r="E121" i="4"/>
  <c r="AS120" i="4"/>
  <c r="AR120" i="4"/>
  <c r="AQ120" i="4"/>
  <c r="AP120" i="4"/>
  <c r="AO120" i="4"/>
  <c r="AN120" i="4"/>
  <c r="AM120" i="4"/>
  <c r="AL120" i="4"/>
  <c r="AK120" i="4"/>
  <c r="AJ120" i="4"/>
  <c r="AI120" i="4"/>
  <c r="AH120" i="4"/>
  <c r="AG120" i="4"/>
  <c r="AF120" i="4"/>
  <c r="AE120" i="4"/>
  <c r="AD120" i="4"/>
  <c r="AC120" i="4"/>
  <c r="AB120" i="4"/>
  <c r="AA120" i="4"/>
  <c r="Z120" i="4"/>
  <c r="Y120" i="4"/>
  <c r="X120" i="4"/>
  <c r="W120" i="4"/>
  <c r="V120" i="4"/>
  <c r="U120" i="4"/>
  <c r="T120" i="4"/>
  <c r="S120" i="4"/>
  <c r="R120" i="4"/>
  <c r="Q120" i="4"/>
  <c r="P120" i="4"/>
  <c r="O120" i="4"/>
  <c r="N120" i="4"/>
  <c r="M120" i="4"/>
  <c r="L120" i="4"/>
  <c r="K120" i="4"/>
  <c r="J120" i="4"/>
  <c r="I120" i="4"/>
  <c r="H120" i="4"/>
  <c r="G120" i="4"/>
  <c r="F118" i="4"/>
  <c r="E118" i="4"/>
  <c r="F116" i="4"/>
  <c r="E116" i="4"/>
  <c r="AS115" i="4"/>
  <c r="AR115" i="4"/>
  <c r="AQ115" i="4"/>
  <c r="AP115" i="4"/>
  <c r="AO115" i="4"/>
  <c r="AN115" i="4"/>
  <c r="AM115" i="4"/>
  <c r="AL115" i="4"/>
  <c r="AK115" i="4"/>
  <c r="AJ115" i="4"/>
  <c r="AI115" i="4"/>
  <c r="AH115" i="4"/>
  <c r="AG115" i="4"/>
  <c r="AF115" i="4"/>
  <c r="AE115" i="4"/>
  <c r="AD115" i="4"/>
  <c r="AC115" i="4"/>
  <c r="AB115" i="4"/>
  <c r="AA115" i="4"/>
  <c r="Z115" i="4"/>
  <c r="Y115" i="4"/>
  <c r="X115" i="4"/>
  <c r="W115" i="4"/>
  <c r="V115" i="4"/>
  <c r="U115" i="4"/>
  <c r="T115" i="4"/>
  <c r="S115" i="4"/>
  <c r="R115" i="4"/>
  <c r="Q115" i="4"/>
  <c r="P115" i="4"/>
  <c r="O115" i="4"/>
  <c r="N115" i="4"/>
  <c r="M115" i="4"/>
  <c r="L115" i="4"/>
  <c r="K115" i="4"/>
  <c r="J115" i="4"/>
  <c r="I115" i="4"/>
  <c r="H115" i="4"/>
  <c r="G115" i="4"/>
  <c r="F113" i="4"/>
  <c r="E113" i="4"/>
  <c r="F111" i="4"/>
  <c r="E111" i="4"/>
  <c r="AS110" i="4"/>
  <c r="AR110" i="4"/>
  <c r="AQ110" i="4"/>
  <c r="AP110" i="4"/>
  <c r="AO110" i="4"/>
  <c r="AN110" i="4"/>
  <c r="AM110" i="4"/>
  <c r="AL110" i="4"/>
  <c r="AK110" i="4"/>
  <c r="AJ110" i="4"/>
  <c r="AI110" i="4"/>
  <c r="AH110" i="4"/>
  <c r="AG110" i="4"/>
  <c r="AF110" i="4"/>
  <c r="AE110" i="4"/>
  <c r="AD110" i="4"/>
  <c r="AC110" i="4"/>
  <c r="AB110" i="4"/>
  <c r="AA110" i="4"/>
  <c r="Z110" i="4"/>
  <c r="Y110" i="4"/>
  <c r="X110" i="4"/>
  <c r="W110" i="4"/>
  <c r="V110" i="4"/>
  <c r="U110" i="4"/>
  <c r="T110" i="4"/>
  <c r="S110" i="4"/>
  <c r="R110" i="4"/>
  <c r="Q110" i="4"/>
  <c r="P110" i="4"/>
  <c r="O110" i="4"/>
  <c r="N110" i="4"/>
  <c r="M110" i="4"/>
  <c r="L110" i="4"/>
  <c r="K110" i="4"/>
  <c r="J110" i="4"/>
  <c r="I110" i="4"/>
  <c r="H110" i="4"/>
  <c r="G110" i="4"/>
  <c r="D102" i="4"/>
  <c r="F101" i="4"/>
  <c r="G101" i="4" s="1"/>
  <c r="H101" i="4" s="1"/>
  <c r="I101" i="4" s="1"/>
  <c r="J101" i="4" s="1"/>
  <c r="K101" i="4" s="1"/>
  <c r="L101" i="4" s="1"/>
  <c r="M101" i="4" s="1"/>
  <c r="N101" i="4" s="1"/>
  <c r="O101" i="4" s="1"/>
  <c r="P101" i="4" s="1"/>
  <c r="Q101" i="4" s="1"/>
  <c r="R101" i="4" s="1"/>
  <c r="S101" i="4" s="1"/>
  <c r="T101" i="4" s="1"/>
  <c r="U101" i="4" s="1"/>
  <c r="V101" i="4" s="1"/>
  <c r="W101" i="4" s="1"/>
  <c r="X101" i="4" s="1"/>
  <c r="Y101" i="4" s="1"/>
  <c r="Z101" i="4" s="1"/>
  <c r="AA101" i="4" s="1"/>
  <c r="AB101" i="4" s="1"/>
  <c r="AC101" i="4" s="1"/>
  <c r="AD101" i="4" s="1"/>
  <c r="AE101" i="4" s="1"/>
  <c r="AF101" i="4" s="1"/>
  <c r="AG101" i="4" s="1"/>
  <c r="AH101" i="4" s="1"/>
  <c r="AI101" i="4" s="1"/>
  <c r="AJ101" i="4" s="1"/>
  <c r="AK101" i="4" s="1"/>
  <c r="AL101" i="4" s="1"/>
  <c r="AM101" i="4" s="1"/>
  <c r="AN101" i="4" s="1"/>
  <c r="AO101" i="4" s="1"/>
  <c r="AP101" i="4" s="1"/>
  <c r="AQ101" i="4" s="1"/>
  <c r="AR101" i="4" s="1"/>
  <c r="AS101" i="4" s="1"/>
  <c r="D101" i="4"/>
  <c r="D98" i="4"/>
  <c r="F93" i="4"/>
  <c r="G93" i="4" s="1"/>
  <c r="E93" i="4"/>
  <c r="G92" i="4"/>
  <c r="F92" i="4"/>
  <c r="F100" i="4" s="1"/>
  <c r="F91" i="4"/>
  <c r="D91" i="4"/>
  <c r="E90" i="4"/>
  <c r="F81" i="4"/>
  <c r="G81" i="4" s="1"/>
  <c r="H81" i="4" s="1"/>
  <c r="I81" i="4" s="1"/>
  <c r="J81" i="4" s="1"/>
  <c r="K81" i="4" s="1"/>
  <c r="L81" i="4" s="1"/>
  <c r="M81" i="4" s="1"/>
  <c r="N81" i="4" s="1"/>
  <c r="O81" i="4" s="1"/>
  <c r="P81" i="4" s="1"/>
  <c r="Q81" i="4" s="1"/>
  <c r="R81" i="4" s="1"/>
  <c r="S81" i="4" s="1"/>
  <c r="T81" i="4" s="1"/>
  <c r="U81" i="4" s="1"/>
  <c r="V81" i="4" s="1"/>
  <c r="W81" i="4" s="1"/>
  <c r="X81" i="4" s="1"/>
  <c r="Y81" i="4" s="1"/>
  <c r="Z81" i="4" s="1"/>
  <c r="AA81" i="4" s="1"/>
  <c r="AB81" i="4" s="1"/>
  <c r="AC81" i="4" s="1"/>
  <c r="AD81" i="4" s="1"/>
  <c r="AE81" i="4" s="1"/>
  <c r="AF81" i="4" s="1"/>
  <c r="AG81" i="4" s="1"/>
  <c r="AH81" i="4" s="1"/>
  <c r="AI81" i="4" s="1"/>
  <c r="AJ81" i="4" s="1"/>
  <c r="AK81" i="4" s="1"/>
  <c r="AL81" i="4" s="1"/>
  <c r="AM81" i="4" s="1"/>
  <c r="AN81" i="4" s="1"/>
  <c r="AO81" i="4" s="1"/>
  <c r="AP81" i="4" s="1"/>
  <c r="AQ81" i="4" s="1"/>
  <c r="AR81" i="4" s="1"/>
  <c r="AS81" i="4" s="1"/>
  <c r="F80" i="4"/>
  <c r="G80" i="4" s="1"/>
  <c r="H80" i="4" s="1"/>
  <c r="I80" i="4" s="1"/>
  <c r="J80" i="4" s="1"/>
  <c r="K80" i="4" s="1"/>
  <c r="L80" i="4" s="1"/>
  <c r="M80" i="4" s="1"/>
  <c r="N80" i="4" s="1"/>
  <c r="O80" i="4" s="1"/>
  <c r="P80" i="4" s="1"/>
  <c r="Q80" i="4" s="1"/>
  <c r="R80" i="4" s="1"/>
  <c r="S80" i="4" s="1"/>
  <c r="T80" i="4" s="1"/>
  <c r="U80" i="4" s="1"/>
  <c r="V80" i="4" s="1"/>
  <c r="W80" i="4" s="1"/>
  <c r="X80" i="4" s="1"/>
  <c r="Y80" i="4" s="1"/>
  <c r="Z80" i="4" s="1"/>
  <c r="AA80" i="4" s="1"/>
  <c r="AB80" i="4" s="1"/>
  <c r="AC80" i="4" s="1"/>
  <c r="AD80" i="4" s="1"/>
  <c r="AE80" i="4" s="1"/>
  <c r="AF80" i="4" s="1"/>
  <c r="AG80" i="4" s="1"/>
  <c r="AH80" i="4" s="1"/>
  <c r="AI80" i="4" s="1"/>
  <c r="AJ80" i="4" s="1"/>
  <c r="AK80" i="4" s="1"/>
  <c r="AL80" i="4" s="1"/>
  <c r="AM80" i="4" s="1"/>
  <c r="AN80" i="4" s="1"/>
  <c r="AO80" i="4" s="1"/>
  <c r="AP80" i="4" s="1"/>
  <c r="AQ80" i="4" s="1"/>
  <c r="AR80" i="4" s="1"/>
  <c r="AS80" i="4" s="1"/>
  <c r="I78" i="4"/>
  <c r="F83" i="4" s="1"/>
  <c r="G83" i="4" s="1"/>
  <c r="H83" i="4" s="1"/>
  <c r="I83" i="4" s="1"/>
  <c r="J83" i="4" s="1"/>
  <c r="K83" i="4" s="1"/>
  <c r="L83" i="4" s="1"/>
  <c r="M83" i="4" s="1"/>
  <c r="N83" i="4" s="1"/>
  <c r="O83" i="4" s="1"/>
  <c r="P83" i="4" s="1"/>
  <c r="Q83" i="4" s="1"/>
  <c r="R83" i="4" s="1"/>
  <c r="S83" i="4" s="1"/>
  <c r="T83" i="4" s="1"/>
  <c r="U83" i="4" s="1"/>
  <c r="V83" i="4" s="1"/>
  <c r="W83" i="4" s="1"/>
  <c r="X83" i="4" s="1"/>
  <c r="Y83" i="4" s="1"/>
  <c r="Z83" i="4" s="1"/>
  <c r="AA83" i="4" s="1"/>
  <c r="AB83" i="4" s="1"/>
  <c r="AC83" i="4" s="1"/>
  <c r="AD83" i="4" s="1"/>
  <c r="AE83" i="4" s="1"/>
  <c r="AF83" i="4" s="1"/>
  <c r="AG83" i="4" s="1"/>
  <c r="AH83" i="4" s="1"/>
  <c r="AI83" i="4" s="1"/>
  <c r="AJ83" i="4" s="1"/>
  <c r="AK83" i="4" s="1"/>
  <c r="AL83" i="4" s="1"/>
  <c r="AM83" i="4" s="1"/>
  <c r="AN83" i="4" s="1"/>
  <c r="AO83" i="4" s="1"/>
  <c r="AP83" i="4" s="1"/>
  <c r="AQ83" i="4" s="1"/>
  <c r="AR83" i="4" s="1"/>
  <c r="AS83" i="4" s="1"/>
  <c r="H78" i="4"/>
  <c r="G78" i="4"/>
  <c r="F78" i="4"/>
  <c r="I77" i="4"/>
  <c r="F84" i="4" s="1"/>
  <c r="G84" i="4" s="1"/>
  <c r="H84" i="4" s="1"/>
  <c r="I84" i="4" s="1"/>
  <c r="J84" i="4" s="1"/>
  <c r="K84" i="4" s="1"/>
  <c r="L84" i="4" s="1"/>
  <c r="M84" i="4" s="1"/>
  <c r="N84" i="4" s="1"/>
  <c r="O84" i="4" s="1"/>
  <c r="P84" i="4" s="1"/>
  <c r="Q84" i="4" s="1"/>
  <c r="R84" i="4" s="1"/>
  <c r="S84" i="4" s="1"/>
  <c r="T84" i="4" s="1"/>
  <c r="U84" i="4" s="1"/>
  <c r="V84" i="4" s="1"/>
  <c r="W84" i="4" s="1"/>
  <c r="X84" i="4" s="1"/>
  <c r="Y84" i="4" s="1"/>
  <c r="Z84" i="4" s="1"/>
  <c r="AA84" i="4" s="1"/>
  <c r="AB84" i="4" s="1"/>
  <c r="AC84" i="4" s="1"/>
  <c r="AD84" i="4" s="1"/>
  <c r="AE84" i="4" s="1"/>
  <c r="AF84" i="4" s="1"/>
  <c r="AG84" i="4" s="1"/>
  <c r="AH84" i="4" s="1"/>
  <c r="AI84" i="4" s="1"/>
  <c r="AJ84" i="4" s="1"/>
  <c r="AK84" i="4" s="1"/>
  <c r="AL84" i="4" s="1"/>
  <c r="AM84" i="4" s="1"/>
  <c r="AN84" i="4" s="1"/>
  <c r="AO84" i="4" s="1"/>
  <c r="AP84" i="4" s="1"/>
  <c r="AQ84" i="4" s="1"/>
  <c r="AR84" i="4" s="1"/>
  <c r="AS84" i="4" s="1"/>
  <c r="H77" i="4"/>
  <c r="G77" i="4"/>
  <c r="F77" i="4"/>
  <c r="D76" i="4"/>
  <c r="F53" i="4"/>
  <c r="G53" i="4" s="1"/>
  <c r="H53" i="4" s="1"/>
  <c r="I53" i="4" s="1"/>
  <c r="J53" i="4" s="1"/>
  <c r="K53" i="4" s="1"/>
  <c r="L53" i="4" s="1"/>
  <c r="M53" i="4" s="1"/>
  <c r="N53" i="4" s="1"/>
  <c r="O53" i="4" s="1"/>
  <c r="P53" i="4" s="1"/>
  <c r="Q53" i="4" s="1"/>
  <c r="R53" i="4" s="1"/>
  <c r="S53" i="4" s="1"/>
  <c r="T53" i="4" s="1"/>
  <c r="U53" i="4" s="1"/>
  <c r="V53" i="4" s="1"/>
  <c r="W53" i="4" s="1"/>
  <c r="X53" i="4" s="1"/>
  <c r="Y53" i="4" s="1"/>
  <c r="Z53" i="4" s="1"/>
  <c r="AA53" i="4" s="1"/>
  <c r="AB53" i="4" s="1"/>
  <c r="AC53" i="4" s="1"/>
  <c r="AD53" i="4" s="1"/>
  <c r="AE53" i="4" s="1"/>
  <c r="AF53" i="4" s="1"/>
  <c r="AG53" i="4" s="1"/>
  <c r="AH53" i="4" s="1"/>
  <c r="AI53" i="4" s="1"/>
  <c r="AJ53" i="4" s="1"/>
  <c r="AK53" i="4" s="1"/>
  <c r="AL53" i="4" s="1"/>
  <c r="AM53" i="4" s="1"/>
  <c r="AN53" i="4" s="1"/>
  <c r="AO53" i="4" s="1"/>
  <c r="AP53" i="4" s="1"/>
  <c r="AQ53" i="4" s="1"/>
  <c r="AR53" i="4" s="1"/>
  <c r="AS53" i="4" s="1"/>
  <c r="E53" i="4"/>
  <c r="D53" i="4"/>
  <c r="F52" i="4"/>
  <c r="G52" i="4" s="1"/>
  <c r="H52" i="4" s="1"/>
  <c r="I52" i="4" s="1"/>
  <c r="J52" i="4" s="1"/>
  <c r="K52" i="4" s="1"/>
  <c r="L52" i="4" s="1"/>
  <c r="M52" i="4" s="1"/>
  <c r="N52" i="4" s="1"/>
  <c r="O52" i="4" s="1"/>
  <c r="P52" i="4" s="1"/>
  <c r="Q52" i="4" s="1"/>
  <c r="R52" i="4" s="1"/>
  <c r="S52" i="4" s="1"/>
  <c r="T52" i="4" s="1"/>
  <c r="U52" i="4" s="1"/>
  <c r="V52" i="4" s="1"/>
  <c r="W52" i="4" s="1"/>
  <c r="X52" i="4" s="1"/>
  <c r="Y52" i="4" s="1"/>
  <c r="Z52" i="4" s="1"/>
  <c r="AA52" i="4" s="1"/>
  <c r="AB52" i="4" s="1"/>
  <c r="AC52" i="4" s="1"/>
  <c r="AD52" i="4" s="1"/>
  <c r="AE52" i="4" s="1"/>
  <c r="AF52" i="4" s="1"/>
  <c r="AG52" i="4" s="1"/>
  <c r="AH52" i="4" s="1"/>
  <c r="AI52" i="4" s="1"/>
  <c r="AJ52" i="4" s="1"/>
  <c r="AK52" i="4" s="1"/>
  <c r="AL52" i="4" s="1"/>
  <c r="AM52" i="4" s="1"/>
  <c r="AN52" i="4" s="1"/>
  <c r="AO52" i="4" s="1"/>
  <c r="AP52" i="4" s="1"/>
  <c r="AQ52" i="4" s="1"/>
  <c r="AR52" i="4" s="1"/>
  <c r="AS52" i="4" s="1"/>
  <c r="E52" i="4"/>
  <c r="D52" i="4"/>
  <c r="F51" i="4"/>
  <c r="G51" i="4" s="1"/>
  <c r="H51" i="4" s="1"/>
  <c r="I51" i="4" s="1"/>
  <c r="J51" i="4" s="1"/>
  <c r="K51" i="4" s="1"/>
  <c r="L51" i="4" s="1"/>
  <c r="M51" i="4" s="1"/>
  <c r="N51" i="4" s="1"/>
  <c r="O51" i="4" s="1"/>
  <c r="P51" i="4" s="1"/>
  <c r="Q51" i="4" s="1"/>
  <c r="R51" i="4" s="1"/>
  <c r="S51" i="4" s="1"/>
  <c r="T51" i="4" s="1"/>
  <c r="U51" i="4" s="1"/>
  <c r="V51" i="4" s="1"/>
  <c r="W51" i="4" s="1"/>
  <c r="X51" i="4" s="1"/>
  <c r="Y51" i="4" s="1"/>
  <c r="Z51" i="4" s="1"/>
  <c r="AA51" i="4" s="1"/>
  <c r="AB51" i="4" s="1"/>
  <c r="AC51" i="4" s="1"/>
  <c r="AD51" i="4" s="1"/>
  <c r="AE51" i="4" s="1"/>
  <c r="AF51" i="4" s="1"/>
  <c r="AG51" i="4" s="1"/>
  <c r="AH51" i="4" s="1"/>
  <c r="AI51" i="4" s="1"/>
  <c r="AJ51" i="4" s="1"/>
  <c r="AK51" i="4" s="1"/>
  <c r="AL51" i="4" s="1"/>
  <c r="AM51" i="4" s="1"/>
  <c r="AN51" i="4" s="1"/>
  <c r="AO51" i="4" s="1"/>
  <c r="AP51" i="4" s="1"/>
  <c r="AQ51" i="4" s="1"/>
  <c r="AR51" i="4" s="1"/>
  <c r="AS51" i="4" s="1"/>
  <c r="E51" i="4"/>
  <c r="D51" i="4"/>
  <c r="F50" i="4"/>
  <c r="G50" i="4" s="1"/>
  <c r="H50" i="4" s="1"/>
  <c r="I50" i="4" s="1"/>
  <c r="J50" i="4" s="1"/>
  <c r="K50" i="4" s="1"/>
  <c r="L50" i="4" s="1"/>
  <c r="M50" i="4" s="1"/>
  <c r="N50" i="4" s="1"/>
  <c r="O50" i="4" s="1"/>
  <c r="P50" i="4" s="1"/>
  <c r="Q50" i="4" s="1"/>
  <c r="R50" i="4" s="1"/>
  <c r="S50" i="4" s="1"/>
  <c r="T50" i="4" s="1"/>
  <c r="U50" i="4" s="1"/>
  <c r="V50" i="4" s="1"/>
  <c r="W50" i="4" s="1"/>
  <c r="X50" i="4" s="1"/>
  <c r="Y50" i="4" s="1"/>
  <c r="Z50" i="4" s="1"/>
  <c r="AA50" i="4" s="1"/>
  <c r="AB50" i="4" s="1"/>
  <c r="AC50" i="4" s="1"/>
  <c r="AD50" i="4" s="1"/>
  <c r="AE50" i="4" s="1"/>
  <c r="AF50" i="4" s="1"/>
  <c r="AG50" i="4" s="1"/>
  <c r="AH50" i="4" s="1"/>
  <c r="AI50" i="4" s="1"/>
  <c r="AJ50" i="4" s="1"/>
  <c r="AK50" i="4" s="1"/>
  <c r="AL50" i="4" s="1"/>
  <c r="AM50" i="4" s="1"/>
  <c r="AN50" i="4" s="1"/>
  <c r="AO50" i="4" s="1"/>
  <c r="AP50" i="4" s="1"/>
  <c r="AQ50" i="4" s="1"/>
  <c r="AR50" i="4" s="1"/>
  <c r="AS50" i="4" s="1"/>
  <c r="E50" i="4"/>
  <c r="D50" i="4"/>
  <c r="F49" i="4"/>
  <c r="G49" i="4" s="1"/>
  <c r="H49" i="4" s="1"/>
  <c r="I49" i="4" s="1"/>
  <c r="J49" i="4" s="1"/>
  <c r="K49" i="4" s="1"/>
  <c r="L49" i="4" s="1"/>
  <c r="M49" i="4" s="1"/>
  <c r="N49" i="4" s="1"/>
  <c r="O49" i="4" s="1"/>
  <c r="P49" i="4" s="1"/>
  <c r="Q49" i="4" s="1"/>
  <c r="R49" i="4" s="1"/>
  <c r="S49" i="4" s="1"/>
  <c r="T49" i="4" s="1"/>
  <c r="U49" i="4" s="1"/>
  <c r="V49" i="4" s="1"/>
  <c r="W49" i="4" s="1"/>
  <c r="X49" i="4" s="1"/>
  <c r="Y49" i="4" s="1"/>
  <c r="Z49" i="4" s="1"/>
  <c r="AA49" i="4" s="1"/>
  <c r="AB49" i="4" s="1"/>
  <c r="AC49" i="4" s="1"/>
  <c r="AD49" i="4" s="1"/>
  <c r="AE49" i="4" s="1"/>
  <c r="AF49" i="4" s="1"/>
  <c r="AG49" i="4" s="1"/>
  <c r="AH49" i="4" s="1"/>
  <c r="AI49" i="4" s="1"/>
  <c r="AJ49" i="4" s="1"/>
  <c r="AK49" i="4" s="1"/>
  <c r="AL49" i="4" s="1"/>
  <c r="AM49" i="4" s="1"/>
  <c r="AN49" i="4" s="1"/>
  <c r="AO49" i="4" s="1"/>
  <c r="AP49" i="4" s="1"/>
  <c r="AQ49" i="4" s="1"/>
  <c r="AR49" i="4" s="1"/>
  <c r="AS49" i="4" s="1"/>
  <c r="D49" i="4"/>
  <c r="G48" i="4"/>
  <c r="H48" i="4" s="1"/>
  <c r="I48" i="4" s="1"/>
  <c r="J48" i="4" s="1"/>
  <c r="K48" i="4" s="1"/>
  <c r="L48" i="4" s="1"/>
  <c r="M48" i="4" s="1"/>
  <c r="N48" i="4" s="1"/>
  <c r="O48" i="4" s="1"/>
  <c r="P48" i="4" s="1"/>
  <c r="Q48" i="4" s="1"/>
  <c r="R48" i="4" s="1"/>
  <c r="S48" i="4" s="1"/>
  <c r="T48" i="4" s="1"/>
  <c r="U48" i="4" s="1"/>
  <c r="V48" i="4" s="1"/>
  <c r="W48" i="4" s="1"/>
  <c r="X48" i="4" s="1"/>
  <c r="Y48" i="4" s="1"/>
  <c r="Z48" i="4" s="1"/>
  <c r="AA48" i="4" s="1"/>
  <c r="AB48" i="4" s="1"/>
  <c r="AC48" i="4" s="1"/>
  <c r="AD48" i="4" s="1"/>
  <c r="AE48" i="4" s="1"/>
  <c r="AF48" i="4" s="1"/>
  <c r="AG48" i="4" s="1"/>
  <c r="AH48" i="4" s="1"/>
  <c r="AI48" i="4" s="1"/>
  <c r="AJ48" i="4" s="1"/>
  <c r="AK48" i="4" s="1"/>
  <c r="AL48" i="4" s="1"/>
  <c r="AM48" i="4" s="1"/>
  <c r="AN48" i="4" s="1"/>
  <c r="AO48" i="4" s="1"/>
  <c r="AP48" i="4" s="1"/>
  <c r="AQ48" i="4" s="1"/>
  <c r="AR48" i="4" s="1"/>
  <c r="AS48" i="4" s="1"/>
  <c r="F48" i="4"/>
  <c r="F47" i="4"/>
  <c r="G47" i="4" s="1"/>
  <c r="H47" i="4" s="1"/>
  <c r="I47" i="4" s="1"/>
  <c r="J47" i="4" s="1"/>
  <c r="K47" i="4" s="1"/>
  <c r="L47" i="4" s="1"/>
  <c r="M47" i="4" s="1"/>
  <c r="N47" i="4" s="1"/>
  <c r="O47" i="4" s="1"/>
  <c r="P47" i="4" s="1"/>
  <c r="Q47" i="4" s="1"/>
  <c r="R47" i="4" s="1"/>
  <c r="S47" i="4" s="1"/>
  <c r="T47" i="4" s="1"/>
  <c r="U47" i="4" s="1"/>
  <c r="V47" i="4" s="1"/>
  <c r="W47" i="4" s="1"/>
  <c r="X47" i="4" s="1"/>
  <c r="Y47" i="4" s="1"/>
  <c r="Z47" i="4" s="1"/>
  <c r="AA47" i="4" s="1"/>
  <c r="AB47" i="4" s="1"/>
  <c r="AC47" i="4" s="1"/>
  <c r="AD47" i="4" s="1"/>
  <c r="AE47" i="4" s="1"/>
  <c r="AF47" i="4" s="1"/>
  <c r="AG47" i="4" s="1"/>
  <c r="AH47" i="4" s="1"/>
  <c r="AI47" i="4" s="1"/>
  <c r="AJ47" i="4" s="1"/>
  <c r="AK47" i="4" s="1"/>
  <c r="AL47" i="4" s="1"/>
  <c r="AM47" i="4" s="1"/>
  <c r="AN47" i="4" s="1"/>
  <c r="AO47" i="4" s="1"/>
  <c r="AP47" i="4" s="1"/>
  <c r="AQ47" i="4" s="1"/>
  <c r="AR47" i="4" s="1"/>
  <c r="AS47" i="4" s="1"/>
  <c r="E46" i="4"/>
  <c r="F45" i="4"/>
  <c r="F46" i="4" s="1"/>
  <c r="E44" i="4"/>
  <c r="F43" i="4"/>
  <c r="F44" i="4" s="1"/>
  <c r="E42" i="4"/>
  <c r="F41" i="4"/>
  <c r="G41" i="4" s="1"/>
  <c r="E40" i="4"/>
  <c r="F39" i="4"/>
  <c r="G39" i="4" s="1"/>
  <c r="G40" i="4" s="1"/>
  <c r="E37" i="4"/>
  <c r="D37" i="4"/>
  <c r="C37" i="4"/>
  <c r="D36" i="4"/>
  <c r="G33" i="4"/>
  <c r="G65" i="4" s="1"/>
  <c r="F33" i="4"/>
  <c r="F65" i="4" s="1"/>
  <c r="F31" i="4"/>
  <c r="G31" i="4" s="1"/>
  <c r="H31" i="4" s="1"/>
  <c r="I31" i="4" s="1"/>
  <c r="J31" i="4" s="1"/>
  <c r="K31" i="4" s="1"/>
  <c r="L31" i="4" s="1"/>
  <c r="M31" i="4" s="1"/>
  <c r="N31" i="4" s="1"/>
  <c r="O31" i="4" s="1"/>
  <c r="P31" i="4" s="1"/>
  <c r="Q31" i="4" s="1"/>
  <c r="R31" i="4" s="1"/>
  <c r="S31" i="4" s="1"/>
  <c r="T31" i="4" s="1"/>
  <c r="U31" i="4" s="1"/>
  <c r="V31" i="4" s="1"/>
  <c r="W31" i="4" s="1"/>
  <c r="X31" i="4" s="1"/>
  <c r="Y31" i="4" s="1"/>
  <c r="Z31" i="4" s="1"/>
  <c r="AA31" i="4" s="1"/>
  <c r="AB31" i="4" s="1"/>
  <c r="AC31" i="4" s="1"/>
  <c r="AD31" i="4" s="1"/>
  <c r="AE31" i="4" s="1"/>
  <c r="AF31" i="4" s="1"/>
  <c r="AG31" i="4" s="1"/>
  <c r="AH31" i="4" s="1"/>
  <c r="AI31" i="4" s="1"/>
  <c r="AJ31" i="4" s="1"/>
  <c r="AK31" i="4" s="1"/>
  <c r="AL31" i="4" s="1"/>
  <c r="AM31" i="4" s="1"/>
  <c r="AN31" i="4" s="1"/>
  <c r="AO31" i="4" s="1"/>
  <c r="AP31" i="4" s="1"/>
  <c r="AQ31" i="4" s="1"/>
  <c r="AR31" i="4" s="1"/>
  <c r="AS31" i="4" s="1"/>
  <c r="D17" i="4"/>
  <c r="C15" i="4"/>
  <c r="F14" i="4"/>
  <c r="C14" i="4"/>
  <c r="F13" i="4"/>
  <c r="F12" i="4"/>
  <c r="F11" i="4"/>
  <c r="C11" i="4"/>
  <c r="C10" i="4"/>
  <c r="G128" i="4" s="1"/>
  <c r="H128" i="4" s="1"/>
  <c r="I128" i="4" s="1"/>
  <c r="J128" i="4" s="1"/>
  <c r="K128" i="4" s="1"/>
  <c r="L128" i="4" s="1"/>
  <c r="M128" i="4" s="1"/>
  <c r="N128" i="4" s="1"/>
  <c r="O128" i="4" s="1"/>
  <c r="P128" i="4" s="1"/>
  <c r="Q128" i="4" s="1"/>
  <c r="R128" i="4" s="1"/>
  <c r="S128" i="4" s="1"/>
  <c r="T128" i="4" s="1"/>
  <c r="U128" i="4" s="1"/>
  <c r="V128" i="4" s="1"/>
  <c r="W128" i="4" s="1"/>
  <c r="X128" i="4" s="1"/>
  <c r="Y128" i="4" s="1"/>
  <c r="Z128" i="4" s="1"/>
  <c r="AA128" i="4" s="1"/>
  <c r="AB128" i="4" s="1"/>
  <c r="AC128" i="4" s="1"/>
  <c r="AD128" i="4" s="1"/>
  <c r="AE128" i="4" s="1"/>
  <c r="AF128" i="4" s="1"/>
  <c r="AG128" i="4" s="1"/>
  <c r="AH128" i="4" s="1"/>
  <c r="AI128" i="4" s="1"/>
  <c r="AJ128" i="4" s="1"/>
  <c r="AK128" i="4" s="1"/>
  <c r="AL128" i="4" s="1"/>
  <c r="AM128" i="4" s="1"/>
  <c r="AN128" i="4" s="1"/>
  <c r="AO128" i="4" s="1"/>
  <c r="AP128" i="4" s="1"/>
  <c r="AQ128" i="4" s="1"/>
  <c r="AR128" i="4" s="1"/>
  <c r="AS128" i="4" s="1"/>
  <c r="C9" i="4"/>
  <c r="C137" i="4" s="1"/>
  <c r="D7" i="4"/>
  <c r="C508" i="3"/>
  <c r="C501" i="3"/>
  <c r="AS492" i="3"/>
  <c r="AR492" i="3"/>
  <c r="AQ492" i="3"/>
  <c r="AP492" i="3"/>
  <c r="AO492" i="3"/>
  <c r="AN492" i="3"/>
  <c r="AM492" i="3"/>
  <c r="AL492" i="3"/>
  <c r="AK492" i="3"/>
  <c r="AJ492" i="3"/>
  <c r="AI492" i="3"/>
  <c r="AH492" i="3"/>
  <c r="AG492" i="3"/>
  <c r="AF492" i="3"/>
  <c r="AE492" i="3"/>
  <c r="AD492" i="3"/>
  <c r="AC492" i="3"/>
  <c r="AB492" i="3"/>
  <c r="AA492" i="3"/>
  <c r="Z492" i="3"/>
  <c r="Y492" i="3"/>
  <c r="X492" i="3"/>
  <c r="W492" i="3"/>
  <c r="V492" i="3"/>
  <c r="U492" i="3"/>
  <c r="T492" i="3"/>
  <c r="S492" i="3"/>
  <c r="R492" i="3"/>
  <c r="Q492" i="3"/>
  <c r="P492" i="3"/>
  <c r="O492" i="3"/>
  <c r="N492" i="3"/>
  <c r="M492" i="3"/>
  <c r="L492" i="3"/>
  <c r="K492" i="3"/>
  <c r="J492" i="3"/>
  <c r="I492" i="3"/>
  <c r="H492" i="3"/>
  <c r="G492" i="3"/>
  <c r="F492" i="3"/>
  <c r="E492" i="3"/>
  <c r="CL487" i="3"/>
  <c r="CK487" i="3"/>
  <c r="CJ487" i="3"/>
  <c r="CI487" i="3"/>
  <c r="CH487" i="3"/>
  <c r="CG487" i="3"/>
  <c r="CF487" i="3"/>
  <c r="CE487" i="3"/>
  <c r="CD487" i="3"/>
  <c r="CC487" i="3"/>
  <c r="CB487" i="3"/>
  <c r="CA487" i="3"/>
  <c r="BZ487" i="3"/>
  <c r="BY487" i="3"/>
  <c r="BX487" i="3"/>
  <c r="BW487" i="3"/>
  <c r="BV487" i="3"/>
  <c r="BU487" i="3"/>
  <c r="BT487" i="3"/>
  <c r="BS487" i="3"/>
  <c r="BR487" i="3"/>
  <c r="BQ487" i="3"/>
  <c r="BP487" i="3"/>
  <c r="BO487" i="3"/>
  <c r="BN487" i="3"/>
  <c r="BM487" i="3"/>
  <c r="BL487" i="3"/>
  <c r="BK487" i="3"/>
  <c r="BJ487" i="3"/>
  <c r="BI487" i="3"/>
  <c r="BH487" i="3"/>
  <c r="BG487" i="3"/>
  <c r="BF487" i="3"/>
  <c r="BE487" i="3"/>
  <c r="BD487" i="3"/>
  <c r="BC487" i="3"/>
  <c r="BB487" i="3"/>
  <c r="BA487" i="3"/>
  <c r="AZ487" i="3"/>
  <c r="AY487" i="3"/>
  <c r="CL477" i="3"/>
  <c r="CK477" i="3"/>
  <c r="CJ477" i="3"/>
  <c r="CI477" i="3"/>
  <c r="CH477" i="3"/>
  <c r="CG477" i="3"/>
  <c r="CF477" i="3"/>
  <c r="CE477" i="3"/>
  <c r="CD477" i="3"/>
  <c r="CC477" i="3"/>
  <c r="CB477" i="3"/>
  <c r="CA477" i="3"/>
  <c r="BZ477" i="3"/>
  <c r="BY477" i="3"/>
  <c r="BX477" i="3"/>
  <c r="BW477" i="3"/>
  <c r="BV477" i="3"/>
  <c r="BU477" i="3"/>
  <c r="BT477" i="3"/>
  <c r="BS477" i="3"/>
  <c r="BR477" i="3"/>
  <c r="BQ477" i="3"/>
  <c r="BP477" i="3"/>
  <c r="BO477" i="3"/>
  <c r="BN477" i="3"/>
  <c r="BM477" i="3"/>
  <c r="BL477" i="3"/>
  <c r="BK477" i="3"/>
  <c r="BJ477" i="3"/>
  <c r="BI477" i="3"/>
  <c r="BH477" i="3"/>
  <c r="BG477" i="3"/>
  <c r="BF477" i="3"/>
  <c r="BE477" i="3"/>
  <c r="BD477" i="3"/>
  <c r="BC477" i="3"/>
  <c r="BB477" i="3"/>
  <c r="BA477" i="3"/>
  <c r="AZ477" i="3"/>
  <c r="AY477" i="3"/>
  <c r="AS469" i="3"/>
  <c r="AR469" i="3"/>
  <c r="AQ469" i="3"/>
  <c r="AP469" i="3"/>
  <c r="AO469" i="3"/>
  <c r="AN469" i="3"/>
  <c r="AM469" i="3"/>
  <c r="AL469" i="3"/>
  <c r="AK469" i="3"/>
  <c r="AJ469" i="3"/>
  <c r="AI469" i="3"/>
  <c r="AH469" i="3"/>
  <c r="AG469" i="3"/>
  <c r="AF469" i="3"/>
  <c r="AE469" i="3"/>
  <c r="AD469" i="3"/>
  <c r="AC469" i="3"/>
  <c r="AB469" i="3"/>
  <c r="AA469" i="3"/>
  <c r="Z469" i="3"/>
  <c r="Y469" i="3"/>
  <c r="X469" i="3"/>
  <c r="W469" i="3"/>
  <c r="V469" i="3"/>
  <c r="U469" i="3"/>
  <c r="T469" i="3"/>
  <c r="S469" i="3"/>
  <c r="R469" i="3"/>
  <c r="Q469" i="3"/>
  <c r="P469" i="3"/>
  <c r="O469" i="3"/>
  <c r="N469" i="3"/>
  <c r="M469" i="3"/>
  <c r="L469" i="3"/>
  <c r="K469" i="3"/>
  <c r="J469" i="3"/>
  <c r="I469" i="3"/>
  <c r="H469" i="3"/>
  <c r="G469" i="3"/>
  <c r="F469" i="3"/>
  <c r="E469" i="3"/>
  <c r="AS468" i="3"/>
  <c r="AR468" i="3"/>
  <c r="AQ468" i="3"/>
  <c r="AP468" i="3"/>
  <c r="AO468" i="3"/>
  <c r="AN468" i="3"/>
  <c r="AM468" i="3"/>
  <c r="AL468" i="3"/>
  <c r="AK468" i="3"/>
  <c r="AJ468" i="3"/>
  <c r="AI468" i="3"/>
  <c r="AH468" i="3"/>
  <c r="AG468" i="3"/>
  <c r="AF468" i="3"/>
  <c r="AE468" i="3"/>
  <c r="AD468" i="3"/>
  <c r="AC468" i="3"/>
  <c r="AB468" i="3"/>
  <c r="AA468" i="3"/>
  <c r="Z468" i="3"/>
  <c r="Y468" i="3"/>
  <c r="X468" i="3"/>
  <c r="W468" i="3"/>
  <c r="V468" i="3"/>
  <c r="U468" i="3"/>
  <c r="T468" i="3"/>
  <c r="S468" i="3"/>
  <c r="R468" i="3"/>
  <c r="Q468" i="3"/>
  <c r="P468" i="3"/>
  <c r="O468" i="3"/>
  <c r="N468" i="3"/>
  <c r="M468" i="3"/>
  <c r="L468" i="3"/>
  <c r="K468" i="3"/>
  <c r="J468" i="3"/>
  <c r="I468" i="3"/>
  <c r="H468" i="3"/>
  <c r="G468" i="3"/>
  <c r="F468" i="3"/>
  <c r="E468" i="3" s="1"/>
  <c r="D431" i="3"/>
  <c r="C418" i="3"/>
  <c r="C417" i="3"/>
  <c r="C416" i="3"/>
  <c r="C415" i="3"/>
  <c r="D393" i="3"/>
  <c r="C393" i="3"/>
  <c r="D392" i="3"/>
  <c r="C392" i="3"/>
  <c r="E391" i="3"/>
  <c r="D391" i="3"/>
  <c r="C391" i="3"/>
  <c r="AS388" i="3"/>
  <c r="AR388" i="3"/>
  <c r="AQ388" i="3"/>
  <c r="AP388" i="3"/>
  <c r="AO388" i="3"/>
  <c r="AN388" i="3"/>
  <c r="AM388" i="3"/>
  <c r="AL388" i="3"/>
  <c r="AK388" i="3"/>
  <c r="AJ388" i="3"/>
  <c r="AI388" i="3"/>
  <c r="AH388" i="3"/>
  <c r="AG388" i="3"/>
  <c r="AF388" i="3"/>
  <c r="AE388" i="3"/>
  <c r="AD388" i="3"/>
  <c r="AC388" i="3"/>
  <c r="AB388" i="3"/>
  <c r="AA388" i="3"/>
  <c r="Z388" i="3"/>
  <c r="Y388" i="3"/>
  <c r="X388" i="3"/>
  <c r="W388" i="3"/>
  <c r="V388" i="3"/>
  <c r="U388" i="3"/>
  <c r="T388" i="3"/>
  <c r="S388" i="3"/>
  <c r="R388" i="3"/>
  <c r="Q388" i="3"/>
  <c r="P388" i="3"/>
  <c r="O388" i="3"/>
  <c r="N388" i="3"/>
  <c r="M388" i="3"/>
  <c r="L388" i="3"/>
  <c r="K388" i="3"/>
  <c r="J388" i="3"/>
  <c r="I388" i="3"/>
  <c r="H388" i="3"/>
  <c r="G388" i="3"/>
  <c r="D386" i="3"/>
  <c r="D385" i="3"/>
  <c r="AU384" i="3"/>
  <c r="AV384" i="3" s="1"/>
  <c r="CL373" i="3"/>
  <c r="CK373" i="3"/>
  <c r="CJ373" i="3"/>
  <c r="CI373" i="3"/>
  <c r="CH373" i="3"/>
  <c r="CG373" i="3"/>
  <c r="CF373" i="3"/>
  <c r="CE373" i="3"/>
  <c r="CD373" i="3"/>
  <c r="CC373" i="3"/>
  <c r="CB373" i="3"/>
  <c r="CA373" i="3"/>
  <c r="BZ373" i="3"/>
  <c r="BY373" i="3"/>
  <c r="BX373" i="3"/>
  <c r="BW373" i="3"/>
  <c r="BV373" i="3"/>
  <c r="BU373" i="3"/>
  <c r="BT373" i="3"/>
  <c r="BS373" i="3"/>
  <c r="BR373" i="3"/>
  <c r="BQ373" i="3"/>
  <c r="BP373" i="3"/>
  <c r="BO373" i="3"/>
  <c r="BN373" i="3"/>
  <c r="BM373" i="3"/>
  <c r="BL373" i="3"/>
  <c r="BK373" i="3"/>
  <c r="BJ373" i="3"/>
  <c r="BI373" i="3"/>
  <c r="BH373" i="3"/>
  <c r="BG373" i="3"/>
  <c r="BF373" i="3"/>
  <c r="BE373" i="3"/>
  <c r="BD373" i="3"/>
  <c r="BC373" i="3"/>
  <c r="BB373" i="3"/>
  <c r="BA373" i="3"/>
  <c r="AZ373" i="3"/>
  <c r="AY373" i="3"/>
  <c r="E373" i="3"/>
  <c r="C371" i="3"/>
  <c r="CL370" i="3"/>
  <c r="CK370" i="3"/>
  <c r="CJ370" i="3"/>
  <c r="CI370" i="3"/>
  <c r="CH370" i="3"/>
  <c r="CG370" i="3"/>
  <c r="CF370" i="3"/>
  <c r="CE370" i="3"/>
  <c r="CD370" i="3"/>
  <c r="CC370" i="3"/>
  <c r="CB370" i="3"/>
  <c r="CA370" i="3"/>
  <c r="BZ370" i="3"/>
  <c r="BY370" i="3"/>
  <c r="BX370" i="3"/>
  <c r="BW370" i="3"/>
  <c r="BV370" i="3"/>
  <c r="BU370" i="3"/>
  <c r="BT370" i="3"/>
  <c r="BS370" i="3"/>
  <c r="BR370" i="3"/>
  <c r="BQ370" i="3"/>
  <c r="BP370" i="3"/>
  <c r="BO370" i="3"/>
  <c r="BN370" i="3"/>
  <c r="BM370" i="3"/>
  <c r="BL370" i="3"/>
  <c r="BK370" i="3"/>
  <c r="BJ370" i="3"/>
  <c r="BI370" i="3"/>
  <c r="BH370" i="3"/>
  <c r="BG370" i="3"/>
  <c r="BF370" i="3"/>
  <c r="BE370" i="3"/>
  <c r="BD370" i="3"/>
  <c r="BC370" i="3"/>
  <c r="BB370" i="3"/>
  <c r="BA370" i="3"/>
  <c r="AZ370" i="3"/>
  <c r="AY370" i="3"/>
  <c r="E370" i="3"/>
  <c r="CL368" i="3"/>
  <c r="CK368" i="3"/>
  <c r="CJ368" i="3"/>
  <c r="CI368" i="3"/>
  <c r="CH368" i="3"/>
  <c r="CG368" i="3"/>
  <c r="CF368" i="3"/>
  <c r="CE368" i="3"/>
  <c r="CD368" i="3"/>
  <c r="CC368" i="3"/>
  <c r="CB368" i="3"/>
  <c r="CA368" i="3"/>
  <c r="BZ368" i="3"/>
  <c r="BY368" i="3"/>
  <c r="BX368" i="3"/>
  <c r="BW368" i="3"/>
  <c r="BV368" i="3"/>
  <c r="BU368" i="3"/>
  <c r="BT368" i="3"/>
  <c r="BS368" i="3"/>
  <c r="BR368" i="3"/>
  <c r="BQ368" i="3"/>
  <c r="BP368" i="3"/>
  <c r="BO368" i="3"/>
  <c r="BN368" i="3"/>
  <c r="BM368" i="3"/>
  <c r="BL368" i="3"/>
  <c r="BK368" i="3"/>
  <c r="BJ368" i="3"/>
  <c r="BI368" i="3"/>
  <c r="BH368" i="3"/>
  <c r="BG368" i="3"/>
  <c r="BF368" i="3"/>
  <c r="BE368" i="3"/>
  <c r="BD368" i="3"/>
  <c r="BC368" i="3"/>
  <c r="BB368" i="3"/>
  <c r="BA368" i="3"/>
  <c r="AZ368" i="3"/>
  <c r="AY368" i="3"/>
  <c r="E368" i="3"/>
  <c r="C360" i="3"/>
  <c r="C358" i="3"/>
  <c r="C342" i="3"/>
  <c r="C341" i="3"/>
  <c r="C328" i="3"/>
  <c r="D327" i="3"/>
  <c r="C316" i="3"/>
  <c r="C312" i="3"/>
  <c r="AU307" i="3"/>
  <c r="AV307" i="3" s="1"/>
  <c r="D303" i="3"/>
  <c r="AY302" i="3"/>
  <c r="AS300" i="3"/>
  <c r="AR300" i="3"/>
  <c r="AQ300" i="3"/>
  <c r="AP300" i="3"/>
  <c r="AO300" i="3"/>
  <c r="AN300" i="3"/>
  <c r="AM300" i="3"/>
  <c r="AL300" i="3"/>
  <c r="AK300" i="3"/>
  <c r="AJ300" i="3"/>
  <c r="AI300" i="3"/>
  <c r="AH300" i="3"/>
  <c r="AG300" i="3"/>
  <c r="AF300" i="3"/>
  <c r="AE300" i="3"/>
  <c r="AD300" i="3"/>
  <c r="AC300" i="3"/>
  <c r="AB300" i="3"/>
  <c r="AA300" i="3"/>
  <c r="Z300" i="3"/>
  <c r="Y300" i="3"/>
  <c r="X300" i="3"/>
  <c r="W300" i="3"/>
  <c r="V300" i="3"/>
  <c r="U300" i="3"/>
  <c r="T300" i="3"/>
  <c r="S300" i="3"/>
  <c r="R300" i="3"/>
  <c r="Q300" i="3"/>
  <c r="P300" i="3"/>
  <c r="O300" i="3"/>
  <c r="N300" i="3"/>
  <c r="M300" i="3"/>
  <c r="L300" i="3"/>
  <c r="K300" i="3"/>
  <c r="J300" i="3"/>
  <c r="I300" i="3"/>
  <c r="H300" i="3"/>
  <c r="G300" i="3"/>
  <c r="E300" i="3" s="1"/>
  <c r="AU300" i="2" s="1"/>
  <c r="F300" i="3"/>
  <c r="E274" i="3"/>
  <c r="E273" i="3"/>
  <c r="CH269" i="3"/>
  <c r="BZ269" i="3"/>
  <c r="BR269" i="3"/>
  <c r="BJ269" i="3"/>
  <c r="BB269" i="3"/>
  <c r="AU269" i="3"/>
  <c r="AS269" i="3"/>
  <c r="CL269" i="3" s="1"/>
  <c r="AR269" i="3"/>
  <c r="CK269" i="3" s="1"/>
  <c r="AQ269" i="3"/>
  <c r="CJ269" i="3" s="1"/>
  <c r="AP269" i="3"/>
  <c r="CI269" i="3" s="1"/>
  <c r="AO269" i="3"/>
  <c r="AN269" i="3"/>
  <c r="CG269" i="3" s="1"/>
  <c r="AM269" i="3"/>
  <c r="CF269" i="3" s="1"/>
  <c r="AL269" i="3"/>
  <c r="CE269" i="3" s="1"/>
  <c r="AK269" i="3"/>
  <c r="CD269" i="3" s="1"/>
  <c r="AJ269" i="3"/>
  <c r="CC269" i="3" s="1"/>
  <c r="AI269" i="3"/>
  <c r="CB269" i="3" s="1"/>
  <c r="AH269" i="3"/>
  <c r="CA269" i="3" s="1"/>
  <c r="AG269" i="3"/>
  <c r="AF269" i="3"/>
  <c r="BY269" i="3" s="1"/>
  <c r="AE269" i="3"/>
  <c r="BX269" i="3" s="1"/>
  <c r="AD269" i="3"/>
  <c r="BW269" i="3" s="1"/>
  <c r="AC269" i="3"/>
  <c r="BV269" i="3" s="1"/>
  <c r="AB269" i="3"/>
  <c r="BU269" i="3" s="1"/>
  <c r="AA269" i="3"/>
  <c r="BT269" i="3" s="1"/>
  <c r="Z269" i="3"/>
  <c r="BS269" i="3" s="1"/>
  <c r="Y269" i="3"/>
  <c r="X269" i="3"/>
  <c r="BQ269" i="3" s="1"/>
  <c r="W269" i="3"/>
  <c r="BP269" i="3" s="1"/>
  <c r="V269" i="3"/>
  <c r="BO269" i="3" s="1"/>
  <c r="U269" i="3"/>
  <c r="BN269" i="3" s="1"/>
  <c r="T269" i="3"/>
  <c r="BM269" i="3" s="1"/>
  <c r="S269" i="3"/>
  <c r="BL269" i="3" s="1"/>
  <c r="R269" i="3"/>
  <c r="BK269" i="3" s="1"/>
  <c r="Q269" i="3"/>
  <c r="P269" i="3"/>
  <c r="BI269" i="3" s="1"/>
  <c r="O269" i="3"/>
  <c r="BH269" i="3" s="1"/>
  <c r="N269" i="3"/>
  <c r="BG269" i="3" s="1"/>
  <c r="M269" i="3"/>
  <c r="BF269" i="3" s="1"/>
  <c r="L269" i="3"/>
  <c r="BE269" i="3" s="1"/>
  <c r="K269" i="3"/>
  <c r="BD269" i="3" s="1"/>
  <c r="J269" i="3"/>
  <c r="BC269" i="3" s="1"/>
  <c r="I269" i="3"/>
  <c r="H269" i="3"/>
  <c r="BA269" i="3" s="1"/>
  <c r="G269" i="3"/>
  <c r="AZ269" i="3" s="1"/>
  <c r="F269" i="3"/>
  <c r="CL260" i="3"/>
  <c r="AS258" i="3"/>
  <c r="AR258" i="3"/>
  <c r="AQ258" i="3"/>
  <c r="AP258" i="3"/>
  <c r="AO258" i="3"/>
  <c r="AN258" i="3"/>
  <c r="AM258" i="3"/>
  <c r="AL258" i="3"/>
  <c r="AK258" i="3"/>
  <c r="AJ258" i="3"/>
  <c r="AI258" i="3"/>
  <c r="AH258" i="3"/>
  <c r="AG258" i="3"/>
  <c r="AF258" i="3"/>
  <c r="AE258" i="3"/>
  <c r="AD258" i="3"/>
  <c r="AC258" i="3"/>
  <c r="AB258" i="3"/>
  <c r="AA258" i="3"/>
  <c r="Z258" i="3"/>
  <c r="Y258" i="3"/>
  <c r="X258" i="3"/>
  <c r="W258" i="3"/>
  <c r="V258" i="3"/>
  <c r="U258" i="3"/>
  <c r="T258" i="3"/>
  <c r="S258" i="3"/>
  <c r="R258" i="3"/>
  <c r="Q258" i="3"/>
  <c r="P258" i="3"/>
  <c r="O258" i="3"/>
  <c r="N258" i="3"/>
  <c r="M258" i="3"/>
  <c r="L258" i="3"/>
  <c r="K258" i="3"/>
  <c r="J258" i="3"/>
  <c r="I258" i="3"/>
  <c r="H258" i="3"/>
  <c r="G258" i="3"/>
  <c r="F258" i="3"/>
  <c r="D227" i="3"/>
  <c r="D225" i="3"/>
  <c r="B225" i="3"/>
  <c r="D223" i="3"/>
  <c r="C222" i="3"/>
  <c r="B222" i="3"/>
  <c r="C221" i="3"/>
  <c r="B221" i="3"/>
  <c r="C220" i="3"/>
  <c r="B220" i="3"/>
  <c r="D219" i="3"/>
  <c r="C219" i="3"/>
  <c r="D217" i="3"/>
  <c r="D216" i="3"/>
  <c r="AS211" i="3"/>
  <c r="CL211" i="3" s="1"/>
  <c r="AR211" i="3"/>
  <c r="CK211" i="3" s="1"/>
  <c r="AQ211" i="3"/>
  <c r="CJ211" i="3" s="1"/>
  <c r="AP211" i="3"/>
  <c r="CI211" i="3" s="1"/>
  <c r="AO211" i="3"/>
  <c r="CH211" i="3" s="1"/>
  <c r="AN211" i="3"/>
  <c r="CG211" i="3" s="1"/>
  <c r="AM211" i="3"/>
  <c r="CF211" i="3" s="1"/>
  <c r="AL211" i="3"/>
  <c r="CE211" i="3" s="1"/>
  <c r="AK211" i="3"/>
  <c r="CD211" i="3" s="1"/>
  <c r="AJ211" i="3"/>
  <c r="CC211" i="3" s="1"/>
  <c r="AI211" i="3"/>
  <c r="CB211" i="3" s="1"/>
  <c r="AH211" i="3"/>
  <c r="CA211" i="3" s="1"/>
  <c r="AG211" i="3"/>
  <c r="BZ211" i="3" s="1"/>
  <c r="AF211" i="3"/>
  <c r="BY211" i="3" s="1"/>
  <c r="AE211" i="3"/>
  <c r="BX211" i="3" s="1"/>
  <c r="AD211" i="3"/>
  <c r="BW211" i="3" s="1"/>
  <c r="AC211" i="3"/>
  <c r="BV211" i="3" s="1"/>
  <c r="AB211" i="3"/>
  <c r="BU211" i="3" s="1"/>
  <c r="AA211" i="3"/>
  <c r="BT211" i="3" s="1"/>
  <c r="Z211" i="3"/>
  <c r="BS211" i="3" s="1"/>
  <c r="Y211" i="3"/>
  <c r="BR211" i="3" s="1"/>
  <c r="X211" i="3"/>
  <c r="BQ211" i="3" s="1"/>
  <c r="W211" i="3"/>
  <c r="BP211" i="3" s="1"/>
  <c r="V211" i="3"/>
  <c r="BO211" i="3" s="1"/>
  <c r="U211" i="3"/>
  <c r="BN211" i="3" s="1"/>
  <c r="T211" i="3"/>
  <c r="BM211" i="3" s="1"/>
  <c r="S211" i="3"/>
  <c r="BL211" i="3" s="1"/>
  <c r="R211" i="3"/>
  <c r="BK211" i="3" s="1"/>
  <c r="Q211" i="3"/>
  <c r="BJ211" i="3" s="1"/>
  <c r="P211" i="3"/>
  <c r="BI211" i="3" s="1"/>
  <c r="O211" i="3"/>
  <c r="BH211" i="3" s="1"/>
  <c r="N211" i="3"/>
  <c r="BG211" i="3" s="1"/>
  <c r="M211" i="3"/>
  <c r="BF211" i="3" s="1"/>
  <c r="L211" i="3"/>
  <c r="BE211" i="3" s="1"/>
  <c r="K211" i="3"/>
  <c r="BD211" i="3" s="1"/>
  <c r="J211" i="3"/>
  <c r="BC211" i="3" s="1"/>
  <c r="I211" i="3"/>
  <c r="BB211" i="3" s="1"/>
  <c r="H211" i="3"/>
  <c r="BA211" i="3" s="1"/>
  <c r="G211" i="3"/>
  <c r="AZ211" i="3" s="1"/>
  <c r="F211" i="3"/>
  <c r="D209" i="3"/>
  <c r="D208" i="3"/>
  <c r="AU204" i="3"/>
  <c r="AV204" i="3" s="1"/>
  <c r="C203" i="3"/>
  <c r="C201" i="3"/>
  <c r="C200" i="3"/>
  <c r="C199" i="3"/>
  <c r="C198" i="3"/>
  <c r="C197" i="3"/>
  <c r="C196" i="3"/>
  <c r="C195" i="3"/>
  <c r="D187" i="3"/>
  <c r="D186" i="3"/>
  <c r="AS181" i="3"/>
  <c r="CL181" i="3" s="1"/>
  <c r="AR181" i="3"/>
  <c r="CK181" i="3" s="1"/>
  <c r="AQ181" i="3"/>
  <c r="CJ181" i="3" s="1"/>
  <c r="AP181" i="3"/>
  <c r="CI181" i="3" s="1"/>
  <c r="AO181" i="3"/>
  <c r="CH181" i="3" s="1"/>
  <c r="AN181" i="3"/>
  <c r="CG181" i="3" s="1"/>
  <c r="AM181" i="3"/>
  <c r="CF181" i="3" s="1"/>
  <c r="AL181" i="3"/>
  <c r="CE181" i="3" s="1"/>
  <c r="AK181" i="3"/>
  <c r="CD181" i="3" s="1"/>
  <c r="AJ181" i="3"/>
  <c r="CC181" i="3" s="1"/>
  <c r="AI181" i="3"/>
  <c r="CB181" i="3" s="1"/>
  <c r="AH181" i="3"/>
  <c r="CA181" i="3" s="1"/>
  <c r="AG181" i="3"/>
  <c r="BZ181" i="3" s="1"/>
  <c r="AF181" i="3"/>
  <c r="BY181" i="3" s="1"/>
  <c r="AE181" i="3"/>
  <c r="BX181" i="3" s="1"/>
  <c r="AD181" i="3"/>
  <c r="BW181" i="3" s="1"/>
  <c r="AC181" i="3"/>
  <c r="BV181" i="3" s="1"/>
  <c r="AB181" i="3"/>
  <c r="BU181" i="3" s="1"/>
  <c r="AA181" i="3"/>
  <c r="BT181" i="3" s="1"/>
  <c r="Z181" i="3"/>
  <c r="BS181" i="3" s="1"/>
  <c r="Y181" i="3"/>
  <c r="BR181" i="3" s="1"/>
  <c r="X181" i="3"/>
  <c r="BQ181" i="3" s="1"/>
  <c r="W181" i="3"/>
  <c r="BP181" i="3" s="1"/>
  <c r="V181" i="3"/>
  <c r="BO181" i="3" s="1"/>
  <c r="U181" i="3"/>
  <c r="BN181" i="3" s="1"/>
  <c r="T181" i="3"/>
  <c r="BM181" i="3" s="1"/>
  <c r="S181" i="3"/>
  <c r="BL181" i="3" s="1"/>
  <c r="R181" i="3"/>
  <c r="BK181" i="3" s="1"/>
  <c r="Q181" i="3"/>
  <c r="BJ181" i="3" s="1"/>
  <c r="P181" i="3"/>
  <c r="BI181" i="3" s="1"/>
  <c r="O181" i="3"/>
  <c r="BH181" i="3" s="1"/>
  <c r="N181" i="3"/>
  <c r="BG181" i="3" s="1"/>
  <c r="M181" i="3"/>
  <c r="BF181" i="3" s="1"/>
  <c r="L181" i="3"/>
  <c r="BE181" i="3" s="1"/>
  <c r="K181" i="3"/>
  <c r="BD181" i="3" s="1"/>
  <c r="J181" i="3"/>
  <c r="BC181" i="3" s="1"/>
  <c r="I181" i="3"/>
  <c r="BB181" i="3" s="1"/>
  <c r="H181" i="3"/>
  <c r="BA181" i="3" s="1"/>
  <c r="G181" i="3"/>
  <c r="AZ181" i="3" s="1"/>
  <c r="F181" i="3"/>
  <c r="AS180" i="3"/>
  <c r="AS283" i="3" s="1"/>
  <c r="AR180" i="3"/>
  <c r="AR283" i="3" s="1"/>
  <c r="AQ180" i="3"/>
  <c r="AQ283" i="3" s="1"/>
  <c r="AP180" i="3"/>
  <c r="AP283" i="3" s="1"/>
  <c r="AO180" i="3"/>
  <c r="AO283" i="3" s="1"/>
  <c r="AN180" i="3"/>
  <c r="AN283" i="3" s="1"/>
  <c r="AM180" i="3"/>
  <c r="AM283" i="3" s="1"/>
  <c r="AL180" i="3"/>
  <c r="AL283" i="3" s="1"/>
  <c r="AK180" i="3"/>
  <c r="AK283" i="3" s="1"/>
  <c r="AJ180" i="3"/>
  <c r="AJ283" i="3" s="1"/>
  <c r="AI180" i="3"/>
  <c r="AI283" i="3" s="1"/>
  <c r="AH180" i="3"/>
  <c r="AH283" i="3" s="1"/>
  <c r="AG180" i="3"/>
  <c r="AG283" i="3" s="1"/>
  <c r="AF180" i="3"/>
  <c r="AF283" i="3" s="1"/>
  <c r="AE180" i="3"/>
  <c r="AE283" i="3" s="1"/>
  <c r="AD180" i="3"/>
  <c r="AD283" i="3" s="1"/>
  <c r="AC180" i="3"/>
  <c r="AC283" i="3" s="1"/>
  <c r="AB180" i="3"/>
  <c r="AB283" i="3" s="1"/>
  <c r="AA180" i="3"/>
  <c r="AA283" i="3" s="1"/>
  <c r="Z180" i="3"/>
  <c r="Z283" i="3" s="1"/>
  <c r="Y180" i="3"/>
  <c r="Y283" i="3" s="1"/>
  <c r="X180" i="3"/>
  <c r="X283" i="3" s="1"/>
  <c r="W180" i="3"/>
  <c r="W283" i="3" s="1"/>
  <c r="V180" i="3"/>
  <c r="V283" i="3" s="1"/>
  <c r="U180" i="3"/>
  <c r="U283" i="3" s="1"/>
  <c r="T180" i="3"/>
  <c r="T283" i="3" s="1"/>
  <c r="S180" i="3"/>
  <c r="S283" i="3" s="1"/>
  <c r="R180" i="3"/>
  <c r="R283" i="3" s="1"/>
  <c r="Q180" i="3"/>
  <c r="Q283" i="3" s="1"/>
  <c r="P180" i="3"/>
  <c r="P283" i="3" s="1"/>
  <c r="O180" i="3"/>
  <c r="O283" i="3" s="1"/>
  <c r="N180" i="3"/>
  <c r="N283" i="3" s="1"/>
  <c r="M180" i="3"/>
  <c r="M283" i="3" s="1"/>
  <c r="L180" i="3"/>
  <c r="L283" i="3" s="1"/>
  <c r="K180" i="3"/>
  <c r="K283" i="3" s="1"/>
  <c r="J180" i="3"/>
  <c r="J283" i="3" s="1"/>
  <c r="I180" i="3"/>
  <c r="I283" i="3" s="1"/>
  <c r="H180" i="3"/>
  <c r="H283" i="3" s="1"/>
  <c r="G180" i="3"/>
  <c r="G283" i="3" s="1"/>
  <c r="F180" i="3"/>
  <c r="F283" i="3" s="1"/>
  <c r="E180" i="3"/>
  <c r="C177" i="3"/>
  <c r="C175" i="3"/>
  <c r="D174" i="3"/>
  <c r="C173" i="3"/>
  <c r="AU166" i="3"/>
  <c r="AV166" i="3" s="1"/>
  <c r="AU157" i="3"/>
  <c r="AV157" i="3" s="1"/>
  <c r="AS143" i="3"/>
  <c r="CL143" i="3" s="1"/>
  <c r="AR143" i="3"/>
  <c r="CK143" i="3" s="1"/>
  <c r="AQ143" i="3"/>
  <c r="CJ143" i="3" s="1"/>
  <c r="AP143" i="3"/>
  <c r="CI143" i="3" s="1"/>
  <c r="AO143" i="3"/>
  <c r="CH143" i="3" s="1"/>
  <c r="AN143" i="3"/>
  <c r="CG143" i="3" s="1"/>
  <c r="AM143" i="3"/>
  <c r="CF143" i="3" s="1"/>
  <c r="AL143" i="3"/>
  <c r="CE143" i="3" s="1"/>
  <c r="AK143" i="3"/>
  <c r="CD143" i="3" s="1"/>
  <c r="AJ143" i="3"/>
  <c r="CC143" i="3" s="1"/>
  <c r="AI143" i="3"/>
  <c r="CB143" i="3" s="1"/>
  <c r="AH143" i="3"/>
  <c r="CA143" i="3" s="1"/>
  <c r="AG143" i="3"/>
  <c r="BZ143" i="3" s="1"/>
  <c r="AF143" i="3"/>
  <c r="BY143" i="3" s="1"/>
  <c r="AE143" i="3"/>
  <c r="BX143" i="3" s="1"/>
  <c r="AD143" i="3"/>
  <c r="BW143" i="3" s="1"/>
  <c r="AC143" i="3"/>
  <c r="BV143" i="3" s="1"/>
  <c r="AB143" i="3"/>
  <c r="BU143" i="3" s="1"/>
  <c r="AA143" i="3"/>
  <c r="BT143" i="3" s="1"/>
  <c r="Z143" i="3"/>
  <c r="BS143" i="3" s="1"/>
  <c r="Y143" i="3"/>
  <c r="BR143" i="3" s="1"/>
  <c r="X143" i="3"/>
  <c r="BQ143" i="3" s="1"/>
  <c r="W143" i="3"/>
  <c r="BP143" i="3" s="1"/>
  <c r="V143" i="3"/>
  <c r="BO143" i="3" s="1"/>
  <c r="U143" i="3"/>
  <c r="BN143" i="3" s="1"/>
  <c r="T143" i="3"/>
  <c r="BM143" i="3" s="1"/>
  <c r="S143" i="3"/>
  <c r="BL143" i="3" s="1"/>
  <c r="R143" i="3"/>
  <c r="BK143" i="3" s="1"/>
  <c r="Q143" i="3"/>
  <c r="BJ143" i="3" s="1"/>
  <c r="P143" i="3"/>
  <c r="BI143" i="3" s="1"/>
  <c r="O143" i="3"/>
  <c r="BH143" i="3" s="1"/>
  <c r="N143" i="3"/>
  <c r="BG143" i="3" s="1"/>
  <c r="M143" i="3"/>
  <c r="BF143" i="3" s="1"/>
  <c r="L143" i="3"/>
  <c r="BE143" i="3" s="1"/>
  <c r="K143" i="3"/>
  <c r="BD143" i="3" s="1"/>
  <c r="J143" i="3"/>
  <c r="BC143" i="3" s="1"/>
  <c r="I143" i="3"/>
  <c r="BB143" i="3" s="1"/>
  <c r="H143" i="3"/>
  <c r="BA143" i="3" s="1"/>
  <c r="G143" i="3"/>
  <c r="AZ143" i="3" s="1"/>
  <c r="F143" i="3"/>
  <c r="AY143" i="3" s="1"/>
  <c r="D142" i="3"/>
  <c r="D124" i="3"/>
  <c r="D122" i="3"/>
  <c r="D121" i="3"/>
  <c r="D120" i="3"/>
  <c r="D114" i="3"/>
  <c r="D113" i="3"/>
  <c r="D111" i="3"/>
  <c r="C111" i="3"/>
  <c r="D110" i="3"/>
  <c r="C110" i="3"/>
  <c r="AU109" i="3"/>
  <c r="AV109" i="3" s="1"/>
  <c r="AU108" i="3"/>
  <c r="AV108" i="3" s="1"/>
  <c r="D106" i="3"/>
  <c r="D105" i="3"/>
  <c r="D102" i="3"/>
  <c r="C102" i="3"/>
  <c r="AY101" i="3"/>
  <c r="C100" i="3"/>
  <c r="C99" i="3"/>
  <c r="D98" i="3"/>
  <c r="C98" i="3"/>
  <c r="D94" i="3"/>
  <c r="C94" i="3"/>
  <c r="AY93" i="3"/>
  <c r="C92" i="3"/>
  <c r="C91" i="3"/>
  <c r="D89" i="3"/>
  <c r="C89" i="3"/>
  <c r="D88" i="3"/>
  <c r="C88" i="3"/>
  <c r="D87" i="3"/>
  <c r="C87" i="3"/>
  <c r="D69" i="3"/>
  <c r="D68" i="3"/>
  <c r="D67" i="3"/>
  <c r="D66" i="3"/>
  <c r="D65" i="3"/>
  <c r="AS64" i="3"/>
  <c r="AS356" i="3" s="1"/>
  <c r="AR64" i="3"/>
  <c r="AQ64" i="3"/>
  <c r="AQ356" i="3" s="1"/>
  <c r="AP64" i="3"/>
  <c r="AP356" i="3" s="1"/>
  <c r="AO64" i="3"/>
  <c r="AO356" i="3" s="1"/>
  <c r="AN64" i="3"/>
  <c r="AM64" i="3"/>
  <c r="AM356" i="3" s="1"/>
  <c r="AL64" i="3"/>
  <c r="AL356" i="3" s="1"/>
  <c r="AK64" i="3"/>
  <c r="AK356" i="3" s="1"/>
  <c r="AJ64" i="3"/>
  <c r="AI64" i="3"/>
  <c r="AI356" i="3" s="1"/>
  <c r="AH64" i="3"/>
  <c r="AH356" i="3" s="1"/>
  <c r="AG64" i="3"/>
  <c r="AG356" i="3" s="1"/>
  <c r="AF64" i="3"/>
  <c r="AE64" i="3"/>
  <c r="AE356" i="3" s="1"/>
  <c r="AD64" i="3"/>
  <c r="AD356" i="3" s="1"/>
  <c r="AC64" i="3"/>
  <c r="AC356" i="3" s="1"/>
  <c r="AB64" i="3"/>
  <c r="AA64" i="3"/>
  <c r="AA356" i="3" s="1"/>
  <c r="Z64" i="3"/>
  <c r="Z356" i="3" s="1"/>
  <c r="Y64" i="3"/>
  <c r="Y356" i="3" s="1"/>
  <c r="X64" i="3"/>
  <c r="W64" i="3"/>
  <c r="W356" i="3" s="1"/>
  <c r="V64" i="3"/>
  <c r="V356" i="3" s="1"/>
  <c r="U64" i="3"/>
  <c r="U356" i="3" s="1"/>
  <c r="T64" i="3"/>
  <c r="S64" i="3"/>
  <c r="S356" i="3" s="1"/>
  <c r="R64" i="3"/>
  <c r="R356" i="3" s="1"/>
  <c r="Q64" i="3"/>
  <c r="Q356" i="3" s="1"/>
  <c r="P64" i="3"/>
  <c r="O64" i="3"/>
  <c r="O356" i="3" s="1"/>
  <c r="N64" i="3"/>
  <c r="N356" i="3" s="1"/>
  <c r="M64" i="3"/>
  <c r="M356" i="3" s="1"/>
  <c r="L64" i="3"/>
  <c r="K64" i="3"/>
  <c r="K356" i="3" s="1"/>
  <c r="J64" i="3"/>
  <c r="J356" i="3" s="1"/>
  <c r="I64" i="3"/>
  <c r="I356" i="3" s="1"/>
  <c r="H64" i="3"/>
  <c r="G64" i="3"/>
  <c r="G356" i="3" s="1"/>
  <c r="F64" i="3"/>
  <c r="F356" i="3" s="1"/>
  <c r="AS63" i="3"/>
  <c r="AS318" i="3" s="1"/>
  <c r="AR63" i="3"/>
  <c r="AR318" i="3" s="1"/>
  <c r="AQ63" i="3"/>
  <c r="AP63" i="3"/>
  <c r="AO63" i="3"/>
  <c r="AO318" i="3" s="1"/>
  <c r="AN63" i="3"/>
  <c r="AN318" i="3" s="1"/>
  <c r="AM63" i="3"/>
  <c r="AL63" i="3"/>
  <c r="AK63" i="3"/>
  <c r="AK318" i="3" s="1"/>
  <c r="AJ63" i="3"/>
  <c r="AJ318" i="3" s="1"/>
  <c r="AI63" i="3"/>
  <c r="AH63" i="3"/>
  <c r="AG63" i="3"/>
  <c r="AG318" i="3" s="1"/>
  <c r="AF63" i="3"/>
  <c r="AF318" i="3" s="1"/>
  <c r="AE63" i="3"/>
  <c r="AD63" i="3"/>
  <c r="AC63" i="3"/>
  <c r="AC318" i="3" s="1"/>
  <c r="AB63" i="3"/>
  <c r="AB318" i="3" s="1"/>
  <c r="AA63" i="3"/>
  <c r="Z63" i="3"/>
  <c r="Y63" i="3"/>
  <c r="Y318" i="3" s="1"/>
  <c r="X63" i="3"/>
  <c r="X318" i="3" s="1"/>
  <c r="W63" i="3"/>
  <c r="V63" i="3"/>
  <c r="U63" i="3"/>
  <c r="U318" i="3" s="1"/>
  <c r="T63" i="3"/>
  <c r="T318" i="3" s="1"/>
  <c r="S63" i="3"/>
  <c r="R63" i="3"/>
  <c r="Q63" i="3"/>
  <c r="Q318" i="3" s="1"/>
  <c r="P63" i="3"/>
  <c r="P318" i="3" s="1"/>
  <c r="O63" i="3"/>
  <c r="N63" i="3"/>
  <c r="M63" i="3"/>
  <c r="M318" i="3" s="1"/>
  <c r="L63" i="3"/>
  <c r="L318" i="3" s="1"/>
  <c r="K63" i="3"/>
  <c r="J63" i="3"/>
  <c r="I63" i="3"/>
  <c r="I318" i="3" s="1"/>
  <c r="H63" i="3"/>
  <c r="H318" i="3" s="1"/>
  <c r="G63" i="3"/>
  <c r="F63" i="3"/>
  <c r="C61" i="3"/>
  <c r="C50" i="3"/>
  <c r="C39" i="3"/>
  <c r="E38" i="3"/>
  <c r="AU38" i="2" s="1"/>
  <c r="D23" i="3"/>
  <c r="D22" i="3"/>
  <c r="AY18" i="3"/>
  <c r="F16" i="3"/>
  <c r="F367" i="3" s="1"/>
  <c r="F15" i="3"/>
  <c r="F14" i="3"/>
  <c r="H56" i="9" s="1"/>
  <c r="AY13" i="3"/>
  <c r="AY12" i="3"/>
  <c r="F10" i="3"/>
  <c r="F324" i="3" s="1"/>
  <c r="F9" i="3"/>
  <c r="F489" i="3" s="1"/>
  <c r="F8" i="3"/>
  <c r="F56" i="9" s="1"/>
  <c r="AY7" i="3"/>
  <c r="AZ7" i="3" s="1"/>
  <c r="BA7" i="3" s="1"/>
  <c r="BB7" i="3" s="1"/>
  <c r="BC7" i="3" s="1"/>
  <c r="BD7" i="3" s="1"/>
  <c r="BE7" i="3" s="1"/>
  <c r="BF7" i="3" s="1"/>
  <c r="BG7" i="3" s="1"/>
  <c r="BH7" i="3" s="1"/>
  <c r="BI7" i="3" s="1"/>
  <c r="BJ7" i="3" s="1"/>
  <c r="BK7" i="3" s="1"/>
  <c r="BL7" i="3" s="1"/>
  <c r="BM7" i="3" s="1"/>
  <c r="BN7" i="3" s="1"/>
  <c r="BO7" i="3" s="1"/>
  <c r="BP7" i="3" s="1"/>
  <c r="BQ7" i="3" s="1"/>
  <c r="BR7" i="3" s="1"/>
  <c r="BS7" i="3" s="1"/>
  <c r="BT7" i="3" s="1"/>
  <c r="BU7" i="3" s="1"/>
  <c r="BV7" i="3" s="1"/>
  <c r="BW7" i="3" s="1"/>
  <c r="BX7" i="3" s="1"/>
  <c r="BY7" i="3" s="1"/>
  <c r="BZ7" i="3" s="1"/>
  <c r="CA7" i="3" s="1"/>
  <c r="CB7" i="3" s="1"/>
  <c r="CC7" i="3" s="1"/>
  <c r="CD7" i="3" s="1"/>
  <c r="CE7" i="3" s="1"/>
  <c r="CF7" i="3" s="1"/>
  <c r="CG7" i="3" s="1"/>
  <c r="CH7" i="3" s="1"/>
  <c r="CI7" i="3" s="1"/>
  <c r="CJ7" i="3" s="1"/>
  <c r="CK7" i="3" s="1"/>
  <c r="CL7" i="3" s="1"/>
  <c r="F7" i="3"/>
  <c r="AY5" i="3"/>
  <c r="AZ5" i="3" s="1"/>
  <c r="BA5" i="3" s="1"/>
  <c r="BB5" i="3" s="1"/>
  <c r="BC5" i="3" s="1"/>
  <c r="BD5" i="3" s="1"/>
  <c r="BE5" i="3" s="1"/>
  <c r="BF5" i="3" s="1"/>
  <c r="BG5" i="3" s="1"/>
  <c r="BH5" i="3" s="1"/>
  <c r="BI5" i="3" s="1"/>
  <c r="BJ5" i="3" s="1"/>
  <c r="BK5" i="3" s="1"/>
  <c r="BL5" i="3" s="1"/>
  <c r="BM5" i="3" s="1"/>
  <c r="BN5" i="3" s="1"/>
  <c r="BO5" i="3" s="1"/>
  <c r="BP5" i="3" s="1"/>
  <c r="BQ5" i="3" s="1"/>
  <c r="BR5" i="3" s="1"/>
  <c r="BS5" i="3" s="1"/>
  <c r="BT5" i="3" s="1"/>
  <c r="BU5" i="3" s="1"/>
  <c r="BV5" i="3" s="1"/>
  <c r="BW5" i="3" s="1"/>
  <c r="BX5" i="3" s="1"/>
  <c r="BY5" i="3" s="1"/>
  <c r="BZ5" i="3" s="1"/>
  <c r="CA5" i="3" s="1"/>
  <c r="CB5" i="3" s="1"/>
  <c r="CC5" i="3" s="1"/>
  <c r="CD5" i="3" s="1"/>
  <c r="CE5" i="3" s="1"/>
  <c r="CF5" i="3" s="1"/>
  <c r="CG5" i="3" s="1"/>
  <c r="CH5" i="3" s="1"/>
  <c r="CI5" i="3" s="1"/>
  <c r="CJ5" i="3" s="1"/>
  <c r="CK5" i="3" s="1"/>
  <c r="CL5" i="3" s="1"/>
  <c r="F5" i="3"/>
  <c r="F106" i="3" s="1"/>
  <c r="AY4" i="3"/>
  <c r="AY21" i="3" s="1"/>
  <c r="F4" i="3"/>
  <c r="G4" i="3" s="1"/>
  <c r="C105" i="9" s="1"/>
  <c r="K1" i="3"/>
  <c r="C508" i="2"/>
  <c r="C501" i="2"/>
  <c r="D431" i="2"/>
  <c r="C418" i="2"/>
  <c r="C417" i="2"/>
  <c r="C416" i="2"/>
  <c r="C415" i="2"/>
  <c r="D393" i="2"/>
  <c r="C393" i="2"/>
  <c r="D392" i="2"/>
  <c r="C392" i="2"/>
  <c r="E391" i="2"/>
  <c r="D391" i="2"/>
  <c r="C391" i="2"/>
  <c r="AS388" i="2"/>
  <c r="AR388" i="2"/>
  <c r="AQ388" i="2"/>
  <c r="AP388" i="2"/>
  <c r="AO388" i="2"/>
  <c r="AN388" i="2"/>
  <c r="AM388" i="2"/>
  <c r="AL388" i="2"/>
  <c r="AK388" i="2"/>
  <c r="AJ388" i="2"/>
  <c r="AI388" i="2"/>
  <c r="AH388" i="2"/>
  <c r="AG388" i="2"/>
  <c r="AF388" i="2"/>
  <c r="AE388" i="2"/>
  <c r="AD388" i="2"/>
  <c r="AC388" i="2"/>
  <c r="AB388" i="2"/>
  <c r="AA388" i="2"/>
  <c r="Z388" i="2"/>
  <c r="Y388" i="2"/>
  <c r="X388" i="2"/>
  <c r="W388" i="2"/>
  <c r="V388" i="2"/>
  <c r="U388" i="2"/>
  <c r="T388" i="2"/>
  <c r="S388" i="2"/>
  <c r="R388" i="2"/>
  <c r="Q388" i="2"/>
  <c r="P388" i="2"/>
  <c r="O388" i="2"/>
  <c r="N388" i="2"/>
  <c r="M388" i="2"/>
  <c r="L388" i="2"/>
  <c r="K388" i="2"/>
  <c r="J388" i="2"/>
  <c r="I388" i="2"/>
  <c r="H388" i="2"/>
  <c r="G388" i="2"/>
  <c r="AS386" i="2"/>
  <c r="CL386" i="3" s="1"/>
  <c r="AR386" i="2"/>
  <c r="CK386" i="3" s="1"/>
  <c r="AQ386" i="2"/>
  <c r="AP386" i="2"/>
  <c r="CI386" i="3" s="1"/>
  <c r="AO386" i="2"/>
  <c r="CH386" i="3" s="1"/>
  <c r="AN386" i="2"/>
  <c r="AN129" i="2" s="1"/>
  <c r="CG129" i="3" s="1"/>
  <c r="AM386" i="2"/>
  <c r="AL386" i="2"/>
  <c r="CE386" i="3" s="1"/>
  <c r="AK386" i="2"/>
  <c r="CD386" i="3" s="1"/>
  <c r="AJ386" i="2"/>
  <c r="CC386" i="3" s="1"/>
  <c r="AI386" i="2"/>
  <c r="AH386" i="2"/>
  <c r="CA386" i="3" s="1"/>
  <c r="AG386" i="2"/>
  <c r="AG129" i="2" s="1"/>
  <c r="BZ129" i="3" s="1"/>
  <c r="AF386" i="2"/>
  <c r="BY386" i="3" s="1"/>
  <c r="AE386" i="2"/>
  <c r="AD386" i="2"/>
  <c r="BW386" i="3" s="1"/>
  <c r="AC386" i="2"/>
  <c r="BV386" i="3" s="1"/>
  <c r="AB386" i="2"/>
  <c r="BU386" i="3" s="1"/>
  <c r="AA386" i="2"/>
  <c r="Z386" i="2"/>
  <c r="BS386" i="3" s="1"/>
  <c r="Y386" i="2"/>
  <c r="BR386" i="3" s="1"/>
  <c r="X386" i="2"/>
  <c r="BQ386" i="3" s="1"/>
  <c r="W386" i="2"/>
  <c r="V386" i="2"/>
  <c r="BO386" i="3" s="1"/>
  <c r="U386" i="2"/>
  <c r="BN386" i="3" s="1"/>
  <c r="T386" i="2"/>
  <c r="BM386" i="3" s="1"/>
  <c r="S386" i="2"/>
  <c r="BL386" i="3" s="1"/>
  <c r="R386" i="2"/>
  <c r="BK386" i="3" s="1"/>
  <c r="Q386" i="2"/>
  <c r="BJ386" i="3" s="1"/>
  <c r="P386" i="2"/>
  <c r="BI386" i="3" s="1"/>
  <c r="O386" i="2"/>
  <c r="N386" i="2"/>
  <c r="BG386" i="3" s="1"/>
  <c r="M386" i="2"/>
  <c r="BF386" i="3" s="1"/>
  <c r="L386" i="2"/>
  <c r="L129" i="2" s="1"/>
  <c r="BE129" i="3" s="1"/>
  <c r="K386" i="2"/>
  <c r="J386" i="2"/>
  <c r="BC386" i="3" s="1"/>
  <c r="I386" i="2"/>
  <c r="BB386" i="3" s="1"/>
  <c r="H386" i="2"/>
  <c r="BA386" i="3" s="1"/>
  <c r="G386" i="2"/>
  <c r="F386" i="2"/>
  <c r="AY386" i="3" s="1"/>
  <c r="AS385" i="2"/>
  <c r="CL385" i="3" s="1"/>
  <c r="AR385" i="2"/>
  <c r="AQ385" i="2"/>
  <c r="CJ385" i="3" s="1"/>
  <c r="AP385" i="2"/>
  <c r="CI385" i="3" s="1"/>
  <c r="AO385" i="2"/>
  <c r="AO128" i="2" s="1"/>
  <c r="CH128" i="3" s="1"/>
  <c r="AN385" i="2"/>
  <c r="AM385" i="2"/>
  <c r="CF385" i="3" s="1"/>
  <c r="AL385" i="2"/>
  <c r="CE385" i="3" s="1"/>
  <c r="AK385" i="2"/>
  <c r="CD385" i="3" s="1"/>
  <c r="AJ385" i="2"/>
  <c r="AI385" i="2"/>
  <c r="CB385" i="3" s="1"/>
  <c r="AH385" i="2"/>
  <c r="CA385" i="3" s="1"/>
  <c r="AG385" i="2"/>
  <c r="BZ385" i="3" s="1"/>
  <c r="AF385" i="2"/>
  <c r="AE385" i="2"/>
  <c r="BX385" i="3" s="1"/>
  <c r="AD385" i="2"/>
  <c r="BW385" i="3" s="1"/>
  <c r="AC385" i="2"/>
  <c r="BV385" i="3" s="1"/>
  <c r="AB385" i="2"/>
  <c r="AA385" i="2"/>
  <c r="BT385" i="3" s="1"/>
  <c r="Z385" i="2"/>
  <c r="BS385" i="3" s="1"/>
  <c r="Y385" i="2"/>
  <c r="Y128" i="2" s="1"/>
  <c r="BR128" i="3" s="1"/>
  <c r="X385" i="2"/>
  <c r="W385" i="2"/>
  <c r="BP385" i="3" s="1"/>
  <c r="V385" i="2"/>
  <c r="BO385" i="3" s="1"/>
  <c r="U385" i="2"/>
  <c r="BN385" i="3" s="1"/>
  <c r="T385" i="2"/>
  <c r="S385" i="2"/>
  <c r="BL385" i="3" s="1"/>
  <c r="R385" i="2"/>
  <c r="BK385" i="3" s="1"/>
  <c r="Q385" i="2"/>
  <c r="BJ385" i="3" s="1"/>
  <c r="P385" i="2"/>
  <c r="O385" i="2"/>
  <c r="BH385" i="3" s="1"/>
  <c r="N385" i="2"/>
  <c r="BG385" i="3" s="1"/>
  <c r="M385" i="2"/>
  <c r="BF385" i="3" s="1"/>
  <c r="L385" i="2"/>
  <c r="BE385" i="3" s="1"/>
  <c r="K385" i="2"/>
  <c r="BD385" i="3" s="1"/>
  <c r="J385" i="2"/>
  <c r="BC385" i="3" s="1"/>
  <c r="I385" i="2"/>
  <c r="BB385" i="3" s="1"/>
  <c r="H385" i="2"/>
  <c r="G385" i="2"/>
  <c r="AZ385" i="3" s="1"/>
  <c r="F385" i="2"/>
  <c r="AY385" i="3" s="1"/>
  <c r="C380" i="2"/>
  <c r="C378" i="2"/>
  <c r="F377" i="2"/>
  <c r="AY377" i="3" s="1"/>
  <c r="C376" i="2"/>
  <c r="AU373" i="2"/>
  <c r="AV373" i="2" s="1"/>
  <c r="E373" i="2"/>
  <c r="AU373" i="3" s="1"/>
  <c r="AV373" i="3" s="1"/>
  <c r="AU372" i="2"/>
  <c r="AV372" i="2" s="1"/>
  <c r="C371" i="2"/>
  <c r="AU370" i="2"/>
  <c r="AV370" i="2" s="1"/>
  <c r="E370" i="2"/>
  <c r="AU370" i="3" s="1"/>
  <c r="AV370" i="3" s="1"/>
  <c r="AU368" i="2"/>
  <c r="E368" i="2"/>
  <c r="AU368" i="3" s="1"/>
  <c r="AV368" i="3" s="1"/>
  <c r="AU367" i="2"/>
  <c r="AV367" i="2" s="1"/>
  <c r="AU364" i="2"/>
  <c r="C360" i="2"/>
  <c r="C358" i="2"/>
  <c r="AU353" i="2"/>
  <c r="AV353" i="2" s="1"/>
  <c r="AU346" i="2"/>
  <c r="AV346" i="2" s="1"/>
  <c r="AU345" i="2"/>
  <c r="AV345" i="2" s="1"/>
  <c r="C342" i="2"/>
  <c r="C341" i="2"/>
  <c r="AV340" i="2"/>
  <c r="AU340" i="2"/>
  <c r="AU339" i="2"/>
  <c r="AV339" i="2" s="1"/>
  <c r="AU336" i="2"/>
  <c r="AV336" i="2" s="1"/>
  <c r="AU335" i="2"/>
  <c r="AV335" i="2" s="1"/>
  <c r="AU330" i="2"/>
  <c r="AV330" i="2" s="1"/>
  <c r="C328" i="2"/>
  <c r="AU327" i="2"/>
  <c r="AV327" i="2" s="1"/>
  <c r="AU324" i="2"/>
  <c r="AV324" i="2" s="1"/>
  <c r="AU319" i="2"/>
  <c r="AV319" i="2" s="1"/>
  <c r="C316" i="2"/>
  <c r="AU314" i="2"/>
  <c r="C314" i="2"/>
  <c r="AU313" i="2"/>
  <c r="AV313" i="2" s="1"/>
  <c r="C312" i="2"/>
  <c r="AU309" i="2"/>
  <c r="AV309" i="2" s="1"/>
  <c r="AU307" i="2"/>
  <c r="AV307" i="2" s="1"/>
  <c r="AU306" i="2"/>
  <c r="AV306" i="2" s="1"/>
  <c r="D303" i="2"/>
  <c r="E269" i="2"/>
  <c r="D227" i="2"/>
  <c r="D225" i="2"/>
  <c r="B225" i="2"/>
  <c r="D223" i="2"/>
  <c r="C222" i="2"/>
  <c r="B222" i="2"/>
  <c r="C221" i="2"/>
  <c r="B221" i="2"/>
  <c r="C220" i="2"/>
  <c r="B220" i="2"/>
  <c r="D219" i="2"/>
  <c r="C219" i="2"/>
  <c r="D217" i="2"/>
  <c r="D216" i="2"/>
  <c r="E211" i="2"/>
  <c r="AU211" i="3" s="1"/>
  <c r="D209" i="2"/>
  <c r="D208" i="2"/>
  <c r="AU204" i="2"/>
  <c r="AV204" i="2" s="1"/>
  <c r="C203" i="2"/>
  <c r="C201" i="2"/>
  <c r="C200" i="2"/>
  <c r="C199" i="2"/>
  <c r="C198" i="2"/>
  <c r="C197" i="2"/>
  <c r="C196" i="2"/>
  <c r="C195" i="2"/>
  <c r="D187" i="2"/>
  <c r="D186" i="2"/>
  <c r="E181" i="2"/>
  <c r="AU181" i="3" s="1"/>
  <c r="AU180" i="2"/>
  <c r="C177" i="2"/>
  <c r="C175" i="2"/>
  <c r="D174" i="2"/>
  <c r="C173" i="2"/>
  <c r="AU157" i="2"/>
  <c r="AV157" i="2" s="1"/>
  <c r="AU155" i="2"/>
  <c r="AV155" i="2" s="1"/>
  <c r="E143" i="2"/>
  <c r="AU143" i="3" s="1"/>
  <c r="F142" i="2"/>
  <c r="D142" i="2"/>
  <c r="AU135" i="2"/>
  <c r="AU134" i="2"/>
  <c r="AU133" i="2"/>
  <c r="C133" i="2"/>
  <c r="AU131" i="2"/>
  <c r="D131" i="2"/>
  <c r="C131" i="2"/>
  <c r="AU130" i="2"/>
  <c r="D130" i="2"/>
  <c r="C130" i="2"/>
  <c r="AU129" i="2"/>
  <c r="AL129" i="2"/>
  <c r="CE129" i="3" s="1"/>
  <c r="AD129" i="2"/>
  <c r="BW129" i="3" s="1"/>
  <c r="AU128" i="2"/>
  <c r="AP128" i="2"/>
  <c r="CI128" i="3" s="1"/>
  <c r="D124" i="2"/>
  <c r="D122" i="2"/>
  <c r="D121" i="2"/>
  <c r="D120" i="2"/>
  <c r="D114" i="2"/>
  <c r="D113" i="2"/>
  <c r="D111" i="2"/>
  <c r="C111" i="2"/>
  <c r="D110" i="2"/>
  <c r="C110" i="2"/>
  <c r="AU109" i="2"/>
  <c r="AV109" i="2" s="1"/>
  <c r="AU108" i="2"/>
  <c r="AV108" i="2" s="1"/>
  <c r="F106" i="2"/>
  <c r="D106" i="2"/>
  <c r="D105" i="2"/>
  <c r="D102" i="2"/>
  <c r="C102" i="2"/>
  <c r="C100" i="2"/>
  <c r="C99" i="2"/>
  <c r="D98" i="2"/>
  <c r="C98" i="2"/>
  <c r="D94" i="2"/>
  <c r="C94" i="2"/>
  <c r="C92" i="2"/>
  <c r="C91" i="2"/>
  <c r="D89" i="2"/>
  <c r="C89" i="2"/>
  <c r="D88" i="2"/>
  <c r="C88" i="2"/>
  <c r="D87" i="2"/>
  <c r="C87" i="2"/>
  <c r="D69" i="2"/>
  <c r="D68" i="2"/>
  <c r="D67" i="2"/>
  <c r="D66" i="2"/>
  <c r="D65" i="2"/>
  <c r="AS64" i="2"/>
  <c r="AR64" i="2"/>
  <c r="AQ64" i="2"/>
  <c r="AP64" i="2"/>
  <c r="AO64" i="2"/>
  <c r="AN64" i="2"/>
  <c r="AM64" i="2"/>
  <c r="AL64" i="2"/>
  <c r="AK64" i="2"/>
  <c r="AJ64" i="2"/>
  <c r="AI64" i="2"/>
  <c r="AH64" i="2"/>
  <c r="AG64" i="2"/>
  <c r="AF64" i="2"/>
  <c r="AE64" i="2"/>
  <c r="AD64" i="2"/>
  <c r="AC64" i="2"/>
  <c r="AB64" i="2"/>
  <c r="AA64" i="2"/>
  <c r="Z64" i="2"/>
  <c r="Y64" i="2"/>
  <c r="X64" i="2"/>
  <c r="W64" i="2"/>
  <c r="V64" i="2"/>
  <c r="U64" i="2"/>
  <c r="T64" i="2"/>
  <c r="S64" i="2"/>
  <c r="R64" i="2"/>
  <c r="Q64" i="2"/>
  <c r="P64" i="2"/>
  <c r="O64" i="2"/>
  <c r="N64" i="2"/>
  <c r="M64" i="2"/>
  <c r="L64" i="2"/>
  <c r="K64" i="2"/>
  <c r="J64" i="2"/>
  <c r="I64" i="2"/>
  <c r="H64" i="2"/>
  <c r="G64" i="2"/>
  <c r="F64" i="2"/>
  <c r="F356" i="2" s="1"/>
  <c r="AS63" i="2"/>
  <c r="AR63" i="2"/>
  <c r="AQ63" i="2"/>
  <c r="AP63" i="2"/>
  <c r="AO63" i="2"/>
  <c r="AN63" i="2"/>
  <c r="AM63" i="2"/>
  <c r="AL63" i="2"/>
  <c r="AK63" i="2"/>
  <c r="AJ63" i="2"/>
  <c r="AI63" i="2"/>
  <c r="AH63" i="2"/>
  <c r="AG63" i="2"/>
  <c r="AF63" i="2"/>
  <c r="AE63" i="2"/>
  <c r="AD63" i="2"/>
  <c r="AC63" i="2"/>
  <c r="AB63" i="2"/>
  <c r="AA63" i="2"/>
  <c r="Z63" i="2"/>
  <c r="Y63" i="2"/>
  <c r="X63" i="2"/>
  <c r="W63" i="2"/>
  <c r="V63" i="2"/>
  <c r="U63" i="2"/>
  <c r="T63" i="2"/>
  <c r="S63" i="2"/>
  <c r="R63" i="2"/>
  <c r="Q63" i="2"/>
  <c r="P63" i="2"/>
  <c r="O63" i="2"/>
  <c r="N63" i="2"/>
  <c r="M63" i="2"/>
  <c r="L63" i="2"/>
  <c r="K63" i="2"/>
  <c r="J63" i="2"/>
  <c r="I63" i="2"/>
  <c r="H63" i="2"/>
  <c r="G63" i="2"/>
  <c r="F63" i="2"/>
  <c r="F318" i="2" s="1"/>
  <c r="C61" i="2"/>
  <c r="AU59" i="2"/>
  <c r="D59" i="2"/>
  <c r="AU58" i="2"/>
  <c r="AU57" i="2"/>
  <c r="AU56" i="2"/>
  <c r="AU55" i="2"/>
  <c r="C55" i="2"/>
  <c r="C50" i="2"/>
  <c r="C49" i="2"/>
  <c r="AU48" i="2"/>
  <c r="D48" i="2"/>
  <c r="AU47" i="2"/>
  <c r="AU46" i="2"/>
  <c r="AU45" i="2"/>
  <c r="AU44" i="2"/>
  <c r="C44" i="2"/>
  <c r="C39" i="2"/>
  <c r="D23" i="2"/>
  <c r="D22" i="2"/>
  <c r="F16" i="2"/>
  <c r="F15" i="2"/>
  <c r="F353" i="2" s="1"/>
  <c r="E391" i="1" s="1"/>
  <c r="F14" i="2"/>
  <c r="F10" i="2"/>
  <c r="F9" i="2"/>
  <c r="F489" i="2" s="1"/>
  <c r="F8" i="2"/>
  <c r="E29" i="5" s="1"/>
  <c r="F7" i="2"/>
  <c r="F264" i="2" s="1"/>
  <c r="F5" i="2"/>
  <c r="F30" i="4" s="1"/>
  <c r="F4" i="2"/>
  <c r="K1" i="2"/>
  <c r="I357" i="5"/>
  <c r="I356" i="5"/>
  <c r="I355" i="5"/>
  <c r="I354" i="5"/>
  <c r="I353" i="5"/>
  <c r="I323" i="5"/>
  <c r="H323" i="5"/>
  <c r="G323" i="5"/>
  <c r="F323" i="5"/>
  <c r="D323" i="5"/>
  <c r="H322" i="5"/>
  <c r="G322" i="5"/>
  <c r="F322" i="5"/>
  <c r="E322" i="5"/>
  <c r="D322" i="5"/>
  <c r="H321" i="5"/>
  <c r="G321" i="5"/>
  <c r="F321" i="5"/>
  <c r="E321" i="5"/>
  <c r="D321" i="5"/>
  <c r="I320" i="5"/>
  <c r="H320" i="5"/>
  <c r="G320" i="5"/>
  <c r="E320" i="5"/>
  <c r="D320" i="5"/>
  <c r="I319" i="5"/>
  <c r="G319" i="5"/>
  <c r="F319" i="5"/>
  <c r="E319" i="5"/>
  <c r="D319" i="5"/>
  <c r="I318" i="5"/>
  <c r="G318" i="5"/>
  <c r="F318" i="5"/>
  <c r="E318" i="5"/>
  <c r="D318" i="5"/>
  <c r="I317" i="5"/>
  <c r="G317" i="5"/>
  <c r="F317" i="5"/>
  <c r="E317" i="5"/>
  <c r="D317" i="5"/>
  <c r="I315" i="5"/>
  <c r="H315" i="5"/>
  <c r="F315" i="5"/>
  <c r="E315" i="5"/>
  <c r="D315" i="5"/>
  <c r="I314" i="5"/>
  <c r="H314" i="5"/>
  <c r="F314" i="5"/>
  <c r="E314" i="5"/>
  <c r="D314" i="5"/>
  <c r="I313" i="5"/>
  <c r="H313" i="5"/>
  <c r="F313" i="5"/>
  <c r="E313" i="5"/>
  <c r="D313" i="5"/>
  <c r="I312" i="5"/>
  <c r="H312" i="5"/>
  <c r="G312" i="5"/>
  <c r="E312" i="5"/>
  <c r="D312" i="5"/>
  <c r="I311" i="5"/>
  <c r="H311" i="5"/>
  <c r="G311" i="5"/>
  <c r="E311" i="5"/>
  <c r="D311" i="5"/>
  <c r="I310" i="5"/>
  <c r="H310" i="5"/>
  <c r="G310" i="5"/>
  <c r="E310" i="5"/>
  <c r="D310" i="5"/>
  <c r="I309" i="5"/>
  <c r="H309" i="5"/>
  <c r="G309" i="5"/>
  <c r="E309" i="5"/>
  <c r="D309" i="5"/>
  <c r="I308" i="5"/>
  <c r="H308" i="5"/>
  <c r="G308" i="5"/>
  <c r="F308" i="5"/>
  <c r="D308" i="5"/>
  <c r="I307" i="5"/>
  <c r="H307" i="5"/>
  <c r="G307" i="5"/>
  <c r="F307" i="5"/>
  <c r="D307" i="5"/>
  <c r="H305" i="5"/>
  <c r="G305" i="5"/>
  <c r="F305" i="5"/>
  <c r="E305" i="5"/>
  <c r="D305" i="5"/>
  <c r="I304" i="5"/>
  <c r="G304" i="5"/>
  <c r="F304" i="5"/>
  <c r="E304" i="5"/>
  <c r="D304" i="5"/>
  <c r="I303" i="5"/>
  <c r="G303" i="5"/>
  <c r="F303" i="5"/>
  <c r="E303" i="5"/>
  <c r="D303" i="5"/>
  <c r="I302" i="5"/>
  <c r="G302" i="5"/>
  <c r="F302" i="5"/>
  <c r="E302" i="5"/>
  <c r="D302" i="5"/>
  <c r="I301" i="5"/>
  <c r="H301" i="5"/>
  <c r="F301" i="5"/>
  <c r="E301" i="5"/>
  <c r="D301" i="5"/>
  <c r="I300" i="5"/>
  <c r="H300" i="5"/>
  <c r="F300" i="5"/>
  <c r="E300" i="5"/>
  <c r="D300" i="5"/>
  <c r="I299" i="5"/>
  <c r="H299" i="5"/>
  <c r="G299" i="5"/>
  <c r="E299" i="5"/>
  <c r="D299" i="5"/>
  <c r="I298" i="5"/>
  <c r="H298" i="5"/>
  <c r="G298" i="5"/>
  <c r="E298" i="5"/>
  <c r="D298" i="5"/>
  <c r="I297" i="5"/>
  <c r="H297" i="5"/>
  <c r="G297" i="5"/>
  <c r="E297" i="5"/>
  <c r="D297" i="5"/>
  <c r="I296" i="5"/>
  <c r="H296" i="5"/>
  <c r="G296" i="5"/>
  <c r="F296" i="5"/>
  <c r="D296" i="5"/>
  <c r="I295" i="5"/>
  <c r="H295" i="5"/>
  <c r="G295" i="5"/>
  <c r="F295" i="5"/>
  <c r="D295" i="5"/>
  <c r="I294" i="5"/>
  <c r="H294" i="5"/>
  <c r="G294" i="5"/>
  <c r="F294" i="5"/>
  <c r="D294" i="5"/>
  <c r="I293" i="5"/>
  <c r="H293" i="5"/>
  <c r="G293" i="5"/>
  <c r="F293" i="5"/>
  <c r="D293" i="5"/>
  <c r="I291" i="5"/>
  <c r="H291" i="5"/>
  <c r="G291" i="5"/>
  <c r="F291" i="5"/>
  <c r="D291" i="5"/>
  <c r="I290" i="5"/>
  <c r="H290" i="5"/>
  <c r="G290" i="5"/>
  <c r="F290" i="5"/>
  <c r="D290" i="5"/>
  <c r="H289" i="5"/>
  <c r="G289" i="5"/>
  <c r="F289" i="5"/>
  <c r="E289" i="5"/>
  <c r="D289" i="5"/>
  <c r="I288" i="5"/>
  <c r="H288" i="5"/>
  <c r="G288" i="5"/>
  <c r="F288" i="5"/>
  <c r="E288" i="5"/>
  <c r="D288" i="5"/>
  <c r="I287" i="5"/>
  <c r="H287" i="5"/>
  <c r="G287" i="5"/>
  <c r="F287" i="5"/>
  <c r="D287" i="5"/>
  <c r="I286" i="5"/>
  <c r="H286" i="5"/>
  <c r="G286" i="5"/>
  <c r="F286" i="5"/>
  <c r="D286" i="5"/>
  <c r="I284" i="5"/>
  <c r="H284" i="5"/>
  <c r="G284" i="5"/>
  <c r="F284" i="5"/>
  <c r="D284" i="5"/>
  <c r="I283" i="5"/>
  <c r="H283" i="5"/>
  <c r="G283" i="5"/>
  <c r="F283" i="5"/>
  <c r="D283" i="5"/>
  <c r="I282" i="5"/>
  <c r="H282" i="5"/>
  <c r="G282" i="5"/>
  <c r="F282" i="5"/>
  <c r="D282" i="5"/>
  <c r="I281" i="5"/>
  <c r="H281" i="5"/>
  <c r="F281" i="5"/>
  <c r="E281" i="5"/>
  <c r="D281" i="5"/>
  <c r="I280" i="5"/>
  <c r="H280" i="5"/>
  <c r="G280" i="5"/>
  <c r="F280" i="5"/>
  <c r="D280" i="5"/>
  <c r="I279" i="5"/>
  <c r="H279" i="5"/>
  <c r="G279" i="5"/>
  <c r="F279" i="5"/>
  <c r="D279" i="5"/>
  <c r="I278" i="5"/>
  <c r="H278" i="5"/>
  <c r="G278" i="5"/>
  <c r="F278" i="5"/>
  <c r="D278" i="5"/>
  <c r="I277" i="5"/>
  <c r="H277" i="5"/>
  <c r="G277" i="5"/>
  <c r="E277" i="5"/>
  <c r="D277" i="5"/>
  <c r="I276" i="5"/>
  <c r="H276" i="5"/>
  <c r="G276" i="5"/>
  <c r="F276" i="5"/>
  <c r="D276" i="5"/>
  <c r="I271" i="5"/>
  <c r="I253" i="5"/>
  <c r="I239" i="5"/>
  <c r="G183" i="5"/>
  <c r="G182" i="5"/>
  <c r="G181" i="5"/>
  <c r="G180" i="5"/>
  <c r="B177" i="5"/>
  <c r="K153" i="5"/>
  <c r="K152" i="5"/>
  <c r="K151" i="5"/>
  <c r="K150" i="5"/>
  <c r="K149" i="5"/>
  <c r="B148" i="5"/>
  <c r="B140" i="5"/>
  <c r="B137" i="5"/>
  <c r="B132" i="5"/>
  <c r="M120" i="5"/>
  <c r="B120" i="5"/>
  <c r="M119" i="5"/>
  <c r="M118" i="5"/>
  <c r="M117" i="5"/>
  <c r="F117" i="5"/>
  <c r="M116" i="5"/>
  <c r="F116" i="5"/>
  <c r="B113" i="5"/>
  <c r="B105" i="5"/>
  <c r="F102" i="5"/>
  <c r="F101" i="5"/>
  <c r="B100" i="5"/>
  <c r="B98" i="5"/>
  <c r="I29" i="5"/>
  <c r="L5" i="5"/>
  <c r="F1" i="5"/>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D104" i="9"/>
  <c r="BX95" i="9"/>
  <c r="BO95" i="9"/>
  <c r="BN95" i="9"/>
  <c r="BP95" i="9" s="1"/>
  <c r="AO95" i="9"/>
  <c r="Q95" i="9"/>
  <c r="J95" i="9"/>
  <c r="B95" i="9"/>
  <c r="BX94" i="9"/>
  <c r="BO94" i="9"/>
  <c r="BN94" i="9"/>
  <c r="BP94" i="9" s="1"/>
  <c r="AO94" i="9"/>
  <c r="Q94" i="9"/>
  <c r="J94" i="9"/>
  <c r="B94" i="9"/>
  <c r="BX93" i="9"/>
  <c r="BO93" i="9"/>
  <c r="BN93" i="9"/>
  <c r="AO93" i="9"/>
  <c r="Q93" i="9"/>
  <c r="J93" i="9"/>
  <c r="B93" i="9"/>
  <c r="BX92" i="9"/>
  <c r="BO92" i="9"/>
  <c r="BN92" i="9"/>
  <c r="AO92" i="9"/>
  <c r="Q92" i="9"/>
  <c r="J92" i="9"/>
  <c r="B92" i="9"/>
  <c r="BX91" i="9"/>
  <c r="BO91" i="9"/>
  <c r="BN91" i="9"/>
  <c r="AO91" i="9"/>
  <c r="Q91" i="9"/>
  <c r="J91" i="9"/>
  <c r="B91" i="9"/>
  <c r="BX90" i="9"/>
  <c r="BO90" i="9"/>
  <c r="BN90" i="9"/>
  <c r="AO90" i="9"/>
  <c r="Q90" i="9"/>
  <c r="J90" i="9"/>
  <c r="B90" i="9"/>
  <c r="BX89" i="9"/>
  <c r="BO89" i="9"/>
  <c r="BN89" i="9"/>
  <c r="AO89" i="9"/>
  <c r="Q89" i="9"/>
  <c r="J89" i="9"/>
  <c r="B89" i="9"/>
  <c r="BX88" i="9"/>
  <c r="BO88" i="9"/>
  <c r="BN88" i="9"/>
  <c r="BP88" i="9" s="1"/>
  <c r="AO88" i="9"/>
  <c r="Q88" i="9"/>
  <c r="J88" i="9"/>
  <c r="B88" i="9"/>
  <c r="BX87" i="9"/>
  <c r="BO87" i="9"/>
  <c r="BN87" i="9"/>
  <c r="AO87" i="9"/>
  <c r="Q87" i="9"/>
  <c r="J87" i="9"/>
  <c r="B87" i="9"/>
  <c r="BX86" i="9"/>
  <c r="BO86" i="9"/>
  <c r="BN86" i="9"/>
  <c r="BP86" i="9" s="1"/>
  <c r="AO86" i="9"/>
  <c r="Q86" i="9"/>
  <c r="J86" i="9"/>
  <c r="B86" i="9"/>
  <c r="BX85" i="9"/>
  <c r="BO85" i="9"/>
  <c r="BN85" i="9"/>
  <c r="AO85" i="9"/>
  <c r="Q85" i="9"/>
  <c r="J85" i="9"/>
  <c r="B85" i="9"/>
  <c r="BX84" i="9"/>
  <c r="BO84" i="9"/>
  <c r="BN84" i="9"/>
  <c r="BP84" i="9" s="1"/>
  <c r="AO84" i="9"/>
  <c r="Q84" i="9"/>
  <c r="J84" i="9"/>
  <c r="B84" i="9"/>
  <c r="BX83" i="9"/>
  <c r="BO83" i="9"/>
  <c r="BN83" i="9"/>
  <c r="BP83" i="9" s="1"/>
  <c r="AO83" i="9"/>
  <c r="Q83" i="9"/>
  <c r="J83" i="9"/>
  <c r="B83" i="9"/>
  <c r="BX82" i="9"/>
  <c r="BO82" i="9"/>
  <c r="BN82" i="9"/>
  <c r="AO82" i="9"/>
  <c r="Q82" i="9"/>
  <c r="J82" i="9"/>
  <c r="B82" i="9"/>
  <c r="BX81" i="9"/>
  <c r="BO81" i="9"/>
  <c r="BP81" i="9" s="1"/>
  <c r="BN81" i="9"/>
  <c r="AO81" i="9"/>
  <c r="Q81" i="9"/>
  <c r="J81" i="9"/>
  <c r="B81" i="9"/>
  <c r="BX80" i="9"/>
  <c r="BO80" i="9"/>
  <c r="BN80" i="9"/>
  <c r="AO80" i="9"/>
  <c r="Q80" i="9"/>
  <c r="J80" i="9"/>
  <c r="B80" i="9"/>
  <c r="BX79" i="9"/>
  <c r="BO79" i="9"/>
  <c r="BN79" i="9"/>
  <c r="AO79" i="9"/>
  <c r="Q79" i="9"/>
  <c r="J79" i="9"/>
  <c r="B79" i="9"/>
  <c r="BX78" i="9"/>
  <c r="BO78" i="9"/>
  <c r="BN78" i="9"/>
  <c r="AO78" i="9"/>
  <c r="Q78" i="9"/>
  <c r="J78" i="9"/>
  <c r="B78" i="9"/>
  <c r="BX77" i="9"/>
  <c r="BO77" i="9"/>
  <c r="BP77" i="9" s="1"/>
  <c r="BN77" i="9"/>
  <c r="AO77" i="9"/>
  <c r="Q77" i="9"/>
  <c r="J77" i="9"/>
  <c r="B77" i="9"/>
  <c r="BX76" i="9"/>
  <c r="BO76" i="9"/>
  <c r="BN76" i="9"/>
  <c r="AO76" i="9"/>
  <c r="Q76" i="9"/>
  <c r="J76" i="9"/>
  <c r="B76" i="9"/>
  <c r="BX75" i="9"/>
  <c r="BO75" i="9"/>
  <c r="BN75" i="9"/>
  <c r="BP75" i="9" s="1"/>
  <c r="AO75" i="9"/>
  <c r="Q75" i="9"/>
  <c r="J75" i="9"/>
  <c r="B75" i="9"/>
  <c r="BX74" i="9"/>
  <c r="BO74" i="9"/>
  <c r="BN74" i="9"/>
  <c r="AO74" i="9"/>
  <c r="Q74" i="9"/>
  <c r="J74" i="9"/>
  <c r="B74" i="9"/>
  <c r="BX73" i="9"/>
  <c r="BO73" i="9"/>
  <c r="BN73" i="9"/>
  <c r="AO73" i="9"/>
  <c r="Q73" i="9"/>
  <c r="J73" i="9"/>
  <c r="B73" i="9"/>
  <c r="BX72" i="9"/>
  <c r="BO72" i="9"/>
  <c r="BN72" i="9"/>
  <c r="AO72" i="9"/>
  <c r="Q72" i="9"/>
  <c r="J72" i="9"/>
  <c r="B72" i="9"/>
  <c r="BX71" i="9"/>
  <c r="BO71" i="9"/>
  <c r="BN71" i="9"/>
  <c r="BP71" i="9" s="1"/>
  <c r="AO71" i="9"/>
  <c r="Q71" i="9"/>
  <c r="J71" i="9"/>
  <c r="B71" i="9"/>
  <c r="BX70" i="9"/>
  <c r="BO70" i="9"/>
  <c r="BN70" i="9"/>
  <c r="BP70" i="9" s="1"/>
  <c r="AO70" i="9"/>
  <c r="Q70" i="9"/>
  <c r="J70" i="9"/>
  <c r="B70" i="9"/>
  <c r="BX69" i="9"/>
  <c r="BO69" i="9"/>
  <c r="BN69" i="9"/>
  <c r="AO69" i="9"/>
  <c r="Q69" i="9"/>
  <c r="J69" i="9"/>
  <c r="B69" i="9"/>
  <c r="BX68" i="9"/>
  <c r="BO68" i="9"/>
  <c r="BN68" i="9"/>
  <c r="AO68" i="9"/>
  <c r="Q68" i="9"/>
  <c r="J68" i="9"/>
  <c r="B68" i="9"/>
  <c r="BX67" i="9"/>
  <c r="BO67" i="9"/>
  <c r="BN67" i="9"/>
  <c r="AO67" i="9"/>
  <c r="Q67" i="9"/>
  <c r="J67" i="9"/>
  <c r="B67" i="9"/>
  <c r="BX66" i="9"/>
  <c r="BO66" i="9"/>
  <c r="BN66" i="9"/>
  <c r="AO66" i="9"/>
  <c r="Q66" i="9"/>
  <c r="J66" i="9"/>
  <c r="B66" i="9"/>
  <c r="BX65" i="9"/>
  <c r="BO65" i="9"/>
  <c r="BN65" i="9"/>
  <c r="BP65" i="9" s="1"/>
  <c r="AO65" i="9"/>
  <c r="Q65" i="9"/>
  <c r="J65" i="9"/>
  <c r="B65" i="9"/>
  <c r="BX64" i="9"/>
  <c r="BO64" i="9"/>
  <c r="BN64" i="9"/>
  <c r="AO64" i="9"/>
  <c r="Q64" i="9"/>
  <c r="J64" i="9"/>
  <c r="B64" i="9"/>
  <c r="BX63" i="9"/>
  <c r="BO63" i="9"/>
  <c r="BN63" i="9"/>
  <c r="AO63" i="9"/>
  <c r="Q63" i="9"/>
  <c r="J63" i="9"/>
  <c r="B63" i="9"/>
  <c r="BX62" i="9"/>
  <c r="BO62" i="9"/>
  <c r="BN62" i="9"/>
  <c r="AO62" i="9"/>
  <c r="Q62" i="9"/>
  <c r="J62" i="9"/>
  <c r="B62" i="9"/>
  <c r="BX61" i="9"/>
  <c r="BO61" i="9"/>
  <c r="BN61" i="9"/>
  <c r="AO61" i="9"/>
  <c r="Q61" i="9"/>
  <c r="J61" i="9"/>
  <c r="B61" i="9"/>
  <c r="BX60" i="9"/>
  <c r="BO60" i="9"/>
  <c r="BN60" i="9"/>
  <c r="AO60" i="9"/>
  <c r="Q60" i="9"/>
  <c r="J60" i="9"/>
  <c r="B60" i="9"/>
  <c r="BX59" i="9"/>
  <c r="BO59" i="9"/>
  <c r="BN59" i="9"/>
  <c r="BP59" i="9" s="1"/>
  <c r="AO59" i="9"/>
  <c r="Q59" i="9"/>
  <c r="J59" i="9"/>
  <c r="B59" i="9"/>
  <c r="BX58" i="9"/>
  <c r="BO58" i="9"/>
  <c r="BN58" i="9"/>
  <c r="AO58" i="9"/>
  <c r="Q58" i="9"/>
  <c r="J58" i="9"/>
  <c r="B58" i="9"/>
  <c r="BX57" i="9"/>
  <c r="BO57" i="9"/>
  <c r="BN57" i="9"/>
  <c r="BP57" i="9" s="1"/>
  <c r="AO57" i="9"/>
  <c r="Q57" i="9"/>
  <c r="J57" i="9"/>
  <c r="B57" i="9"/>
  <c r="BX56" i="9"/>
  <c r="BO56" i="9"/>
  <c r="BN56" i="9"/>
  <c r="BP56" i="9" s="1"/>
  <c r="AO56" i="9"/>
  <c r="Q56" i="9"/>
  <c r="Q96" i="9" s="1"/>
  <c r="J56" i="9"/>
  <c r="C56"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J8" i="9"/>
  <c r="J104" i="9" s="1"/>
  <c r="F8" i="9"/>
  <c r="AA33" i="1" s="1"/>
  <c r="B4" i="9"/>
  <c r="E739" i="1"/>
  <c r="F739" i="1" s="1"/>
  <c r="E738" i="1"/>
  <c r="F738" i="1" s="1"/>
  <c r="E735" i="1"/>
  <c r="F735" i="1" s="1"/>
  <c r="E734" i="1"/>
  <c r="F734" i="1" s="1"/>
  <c r="E733" i="1"/>
  <c r="F733" i="1" s="1"/>
  <c r="E732" i="1"/>
  <c r="F732" i="1" s="1"/>
  <c r="E731" i="1"/>
  <c r="F731" i="1" s="1"/>
  <c r="E730" i="1"/>
  <c r="F730" i="1" s="1"/>
  <c r="E729" i="1"/>
  <c r="F729" i="1" s="1"/>
  <c r="E728" i="1"/>
  <c r="F728" i="1" s="1"/>
  <c r="E727" i="1"/>
  <c r="F727" i="1" s="1"/>
  <c r="F726" i="1"/>
  <c r="E725" i="1"/>
  <c r="F725" i="1" s="1"/>
  <c r="E724" i="1"/>
  <c r="F724" i="1" s="1"/>
  <c r="E723" i="1"/>
  <c r="F723" i="1" s="1"/>
  <c r="E722" i="1"/>
  <c r="F722" i="1" s="1"/>
  <c r="F721" i="1"/>
  <c r="E720" i="1"/>
  <c r="F720" i="1" s="1"/>
  <c r="E719" i="1"/>
  <c r="F719" i="1" s="1"/>
  <c r="E718" i="1"/>
  <c r="F718" i="1" s="1"/>
  <c r="E717" i="1"/>
  <c r="F717" i="1" s="1"/>
  <c r="E716" i="1"/>
  <c r="F716" i="1" s="1"/>
  <c r="E715" i="1"/>
  <c r="F715" i="1" s="1"/>
  <c r="E714" i="1"/>
  <c r="F714" i="1" s="1"/>
  <c r="E713" i="1"/>
  <c r="F713" i="1" s="1"/>
  <c r="E712" i="1"/>
  <c r="F712" i="1" s="1"/>
  <c r="E711" i="1"/>
  <c r="F711" i="1" s="1"/>
  <c r="E710" i="1"/>
  <c r="F710" i="1" s="1"/>
  <c r="E709" i="1"/>
  <c r="F709" i="1" s="1"/>
  <c r="E708" i="1"/>
  <c r="F708" i="1" s="1"/>
  <c r="E707" i="1"/>
  <c r="F707" i="1" s="1"/>
  <c r="E706" i="1"/>
  <c r="F706" i="1" s="1"/>
  <c r="E705" i="1"/>
  <c r="F705" i="1" s="1"/>
  <c r="E704" i="1"/>
  <c r="F704" i="1" s="1"/>
  <c r="E703" i="1"/>
  <c r="F703" i="1" s="1"/>
  <c r="E702" i="1"/>
  <c r="F702" i="1" s="1"/>
  <c r="E701" i="1"/>
  <c r="F701" i="1" s="1"/>
  <c r="E700" i="1"/>
  <c r="F700" i="1" s="1"/>
  <c r="E699" i="1"/>
  <c r="F699" i="1" s="1"/>
  <c r="E698" i="1"/>
  <c r="F698" i="1" s="1"/>
  <c r="E697" i="1"/>
  <c r="F697" i="1" s="1"/>
  <c r="E696" i="1"/>
  <c r="F696" i="1" s="1"/>
  <c r="E695" i="1"/>
  <c r="F695" i="1" s="1"/>
  <c r="E694" i="1"/>
  <c r="F694" i="1" s="1"/>
  <c r="E693" i="1"/>
  <c r="F693" i="1" s="1"/>
  <c r="E692" i="1"/>
  <c r="E691" i="1"/>
  <c r="E688" i="1"/>
  <c r="F688" i="1" s="1"/>
  <c r="E687" i="1"/>
  <c r="F687" i="1" s="1"/>
  <c r="E686" i="1"/>
  <c r="F686" i="1" s="1"/>
  <c r="E684" i="1"/>
  <c r="F684" i="1" s="1"/>
  <c r="F683" i="1"/>
  <c r="E682" i="1"/>
  <c r="F682" i="1" s="1"/>
  <c r="E681" i="1"/>
  <c r="F681" i="1" s="1"/>
  <c r="E680" i="1"/>
  <c r="F680" i="1" s="1"/>
  <c r="E679" i="1"/>
  <c r="F679" i="1" s="1"/>
  <c r="E678" i="1"/>
  <c r="F678" i="1" s="1"/>
  <c r="E677" i="1"/>
  <c r="F677" i="1" s="1"/>
  <c r="E676" i="1"/>
  <c r="F676" i="1" s="1"/>
  <c r="E675" i="1"/>
  <c r="F675" i="1" s="1"/>
  <c r="E674" i="1"/>
  <c r="F674" i="1" s="1"/>
  <c r="F673" i="1"/>
  <c r="E672" i="1"/>
  <c r="F672" i="1" s="1"/>
  <c r="E671" i="1"/>
  <c r="F671" i="1" s="1"/>
  <c r="E670" i="1"/>
  <c r="F670" i="1" s="1"/>
  <c r="E669" i="1"/>
  <c r="F669" i="1" s="1"/>
  <c r="E668" i="1"/>
  <c r="F668" i="1" s="1"/>
  <c r="E667" i="1"/>
  <c r="F667" i="1" s="1"/>
  <c r="E666" i="1"/>
  <c r="F666" i="1" s="1"/>
  <c r="E665" i="1"/>
  <c r="F665" i="1" s="1"/>
  <c r="E664" i="1"/>
  <c r="F664" i="1" s="1"/>
  <c r="E663" i="1"/>
  <c r="F663" i="1" s="1"/>
  <c r="E662" i="1"/>
  <c r="F662" i="1" s="1"/>
  <c r="E661" i="1"/>
  <c r="F661" i="1" s="1"/>
  <c r="E660" i="1"/>
  <c r="F660" i="1" s="1"/>
  <c r="E659" i="1"/>
  <c r="F659" i="1" s="1"/>
  <c r="E658" i="1"/>
  <c r="F658" i="1" s="1"/>
  <c r="E657" i="1"/>
  <c r="F657" i="1" s="1"/>
  <c r="E656" i="1"/>
  <c r="F656" i="1" s="1"/>
  <c r="E655" i="1"/>
  <c r="F655" i="1" s="1"/>
  <c r="E654" i="1"/>
  <c r="F654" i="1" s="1"/>
  <c r="E653" i="1"/>
  <c r="F653" i="1" s="1"/>
  <c r="F652" i="1"/>
  <c r="E651" i="1"/>
  <c r="F651" i="1" s="1"/>
  <c r="E650" i="1"/>
  <c r="F650" i="1" s="1"/>
  <c r="E649" i="1"/>
  <c r="F649" i="1" s="1"/>
  <c r="E648" i="1"/>
  <c r="F648" i="1" s="1"/>
  <c r="E647" i="1"/>
  <c r="F647" i="1" s="1"/>
  <c r="F646" i="1"/>
  <c r="E645" i="1"/>
  <c r="F645" i="1" s="1"/>
  <c r="E644" i="1"/>
  <c r="F644" i="1" s="1"/>
  <c r="E643" i="1"/>
  <c r="F643" i="1" s="1"/>
  <c r="E642" i="1"/>
  <c r="F642" i="1" s="1"/>
  <c r="F641" i="1"/>
  <c r="E640" i="1"/>
  <c r="F640" i="1" s="1"/>
  <c r="E639" i="1"/>
  <c r="F639" i="1" s="1"/>
  <c r="E638" i="1"/>
  <c r="F638" i="1" s="1"/>
  <c r="E637" i="1"/>
  <c r="F637" i="1" s="1"/>
  <c r="F636" i="1"/>
  <c r="E635" i="1"/>
  <c r="E634" i="1"/>
  <c r="E633" i="1"/>
  <c r="E632" i="1"/>
  <c r="E631" i="1"/>
  <c r="F631" i="1" s="1"/>
  <c r="E630" i="1"/>
  <c r="F630" i="1" s="1"/>
  <c r="E629" i="1"/>
  <c r="F629" i="1" s="1"/>
  <c r="E628" i="1"/>
  <c r="F628" i="1" s="1"/>
  <c r="F623" i="1"/>
  <c r="E619" i="1"/>
  <c r="F619" i="1" s="1"/>
  <c r="E618" i="1"/>
  <c r="F618" i="1" s="1"/>
  <c r="E617" i="1"/>
  <c r="F617" i="1" s="1"/>
  <c r="E616" i="1"/>
  <c r="F616" i="1" s="1"/>
  <c r="E615" i="1"/>
  <c r="F615" i="1" s="1"/>
  <c r="E614" i="1"/>
  <c r="F614" i="1" s="1"/>
  <c r="E613" i="1"/>
  <c r="F613" i="1" s="1"/>
  <c r="E612" i="1"/>
  <c r="F612" i="1" s="1"/>
  <c r="E611" i="1"/>
  <c r="F611" i="1" s="1"/>
  <c r="F610" i="1"/>
  <c r="E606" i="1"/>
  <c r="F606" i="1" s="1"/>
  <c r="E605" i="1"/>
  <c r="F605" i="1" s="1"/>
  <c r="E604" i="1"/>
  <c r="F604" i="1" s="1"/>
  <c r="E603" i="1"/>
  <c r="F603" i="1" s="1"/>
  <c r="E602" i="1"/>
  <c r="F602" i="1" s="1"/>
  <c r="E598" i="1"/>
  <c r="F598" i="1" s="1"/>
  <c r="E597" i="1"/>
  <c r="F597" i="1" s="1"/>
  <c r="E596" i="1"/>
  <c r="F596" i="1" s="1"/>
  <c r="E595" i="1"/>
  <c r="F595" i="1" s="1"/>
  <c r="E594" i="1"/>
  <c r="F594" i="1" s="1"/>
  <c r="E593" i="1"/>
  <c r="F593" i="1" s="1"/>
  <c r="E592" i="1"/>
  <c r="F592" i="1" s="1"/>
  <c r="E591" i="1"/>
  <c r="F591" i="1" s="1"/>
  <c r="E590" i="1"/>
  <c r="F590" i="1" s="1"/>
  <c r="F589" i="1"/>
  <c r="F588" i="1"/>
  <c r="E587" i="1"/>
  <c r="E586" i="1"/>
  <c r="E585" i="1"/>
  <c r="F585" i="1" s="1"/>
  <c r="E584" i="1"/>
  <c r="F584" i="1" s="1"/>
  <c r="E583" i="1"/>
  <c r="F583" i="1" s="1"/>
  <c r="E582" i="1"/>
  <c r="F582" i="1" s="1"/>
  <c r="F581" i="1"/>
  <c r="E580" i="1"/>
  <c r="E579" i="1"/>
  <c r="E578" i="1"/>
  <c r="F578" i="1" s="1"/>
  <c r="E577" i="1"/>
  <c r="F577" i="1" s="1"/>
  <c r="E576" i="1"/>
  <c r="F576" i="1" s="1"/>
  <c r="E575" i="1"/>
  <c r="F575" i="1" s="1"/>
  <c r="E574" i="1"/>
  <c r="F574" i="1" s="1"/>
  <c r="E573" i="1"/>
  <c r="F573" i="1" s="1"/>
  <c r="E572" i="1"/>
  <c r="F572" i="1" s="1"/>
  <c r="E571" i="1"/>
  <c r="F571" i="1" s="1"/>
  <c r="E570" i="1"/>
  <c r="F570" i="1" s="1"/>
  <c r="E568" i="1"/>
  <c r="F568" i="1" s="1"/>
  <c r="E567" i="1"/>
  <c r="F567" i="1" s="1"/>
  <c r="E565" i="1"/>
  <c r="F565" i="1" s="1"/>
  <c r="E564" i="1"/>
  <c r="F564" i="1" s="1"/>
  <c r="F563" i="1"/>
  <c r="E562" i="1"/>
  <c r="E561" i="1"/>
  <c r="E560" i="1"/>
  <c r="F560" i="1" s="1"/>
  <c r="E559" i="1"/>
  <c r="F559" i="1" s="1"/>
  <c r="E558" i="1"/>
  <c r="F558" i="1" s="1"/>
  <c r="E557" i="1"/>
  <c r="F557" i="1" s="1"/>
  <c r="E556" i="1"/>
  <c r="F556" i="1" s="1"/>
  <c r="E555" i="1"/>
  <c r="F555" i="1" s="1"/>
  <c r="E554" i="1"/>
  <c r="F554" i="1" s="1"/>
  <c r="E553" i="1"/>
  <c r="F553" i="1" s="1"/>
  <c r="E552" i="1"/>
  <c r="F552" i="1" s="1"/>
  <c r="E550" i="1"/>
  <c r="F550" i="1" s="1"/>
  <c r="E549" i="1"/>
  <c r="F549" i="1" s="1"/>
  <c r="E547" i="1"/>
  <c r="F547" i="1" s="1"/>
  <c r="E546" i="1"/>
  <c r="F546" i="1" s="1"/>
  <c r="F545" i="1"/>
  <c r="E544" i="1"/>
  <c r="F544" i="1" s="1"/>
  <c r="E543" i="1"/>
  <c r="F543" i="1" s="1"/>
  <c r="E542" i="1"/>
  <c r="F542" i="1" s="1"/>
  <c r="E541" i="1"/>
  <c r="F541" i="1" s="1"/>
  <c r="E540" i="1"/>
  <c r="F540" i="1" s="1"/>
  <c r="E539" i="1"/>
  <c r="F539" i="1" s="1"/>
  <c r="E538" i="1"/>
  <c r="F538" i="1" s="1"/>
  <c r="E537" i="1"/>
  <c r="F537" i="1" s="1"/>
  <c r="F536" i="1"/>
  <c r="E535" i="1"/>
  <c r="F535" i="1" s="1"/>
  <c r="E534" i="1"/>
  <c r="F534" i="1" s="1"/>
  <c r="E533" i="1"/>
  <c r="F533" i="1" s="1"/>
  <c r="E532" i="1"/>
  <c r="F532" i="1" s="1"/>
  <c r="E531" i="1"/>
  <c r="F531" i="1" s="1"/>
  <c r="E530" i="1"/>
  <c r="F530" i="1" s="1"/>
  <c r="E529" i="1"/>
  <c r="F529" i="1" s="1"/>
  <c r="E528" i="1"/>
  <c r="F528" i="1" s="1"/>
  <c r="E527" i="1"/>
  <c r="F527" i="1" s="1"/>
  <c r="E526" i="1"/>
  <c r="F526" i="1" s="1"/>
  <c r="E525" i="1"/>
  <c r="F525" i="1" s="1"/>
  <c r="E524" i="1"/>
  <c r="F524" i="1" s="1"/>
  <c r="E523" i="1"/>
  <c r="F523" i="1" s="1"/>
  <c r="E522" i="1"/>
  <c r="F522" i="1" s="1"/>
  <c r="E521" i="1"/>
  <c r="F521" i="1" s="1"/>
  <c r="E520" i="1"/>
  <c r="F520" i="1" s="1"/>
  <c r="F519" i="1"/>
  <c r="F512" i="1"/>
  <c r="E511" i="1"/>
  <c r="F511" i="1" s="1"/>
  <c r="E509" i="1"/>
  <c r="E508" i="1"/>
  <c r="E507" i="1"/>
  <c r="F507" i="1" s="1"/>
  <c r="E506" i="1"/>
  <c r="F506" i="1" s="1"/>
  <c r="E505" i="1"/>
  <c r="F505" i="1" s="1"/>
  <c r="E504" i="1"/>
  <c r="F504" i="1" s="1"/>
  <c r="E502" i="1"/>
  <c r="E501" i="1"/>
  <c r="E500" i="1"/>
  <c r="F500" i="1" s="1"/>
  <c r="E499" i="1"/>
  <c r="F499" i="1" s="1"/>
  <c r="E498" i="1"/>
  <c r="F498" i="1" s="1"/>
  <c r="E497" i="1"/>
  <c r="F497" i="1" s="1"/>
  <c r="E495" i="1"/>
  <c r="F495" i="1" s="1"/>
  <c r="E494" i="1"/>
  <c r="F494" i="1" s="1"/>
  <c r="E492" i="1"/>
  <c r="E491" i="1"/>
  <c r="E490" i="1"/>
  <c r="F490" i="1" s="1"/>
  <c r="E489" i="1"/>
  <c r="F489" i="1" s="1"/>
  <c r="E488" i="1"/>
  <c r="F488" i="1" s="1"/>
  <c r="E487" i="1"/>
  <c r="F487" i="1" s="1"/>
  <c r="E485" i="1"/>
  <c r="E484" i="1"/>
  <c r="E483" i="1"/>
  <c r="F483" i="1" s="1"/>
  <c r="E482" i="1"/>
  <c r="F482" i="1" s="1"/>
  <c r="E481" i="1"/>
  <c r="F481" i="1" s="1"/>
  <c r="E480" i="1"/>
  <c r="F480" i="1" s="1"/>
  <c r="E478" i="1"/>
  <c r="F478" i="1" s="1"/>
  <c r="E477" i="1"/>
  <c r="F477" i="1" s="1"/>
  <c r="E476" i="1"/>
  <c r="F476" i="1" s="1"/>
  <c r="E475" i="1"/>
  <c r="F475" i="1" s="1"/>
  <c r="F474" i="1"/>
  <c r="F467" i="1"/>
  <c r="E466" i="1"/>
  <c r="F466" i="1" s="1"/>
  <c r="F465" i="1"/>
  <c r="E464" i="1"/>
  <c r="F464" i="1" s="1"/>
  <c r="E463" i="1"/>
  <c r="F463" i="1" s="1"/>
  <c r="E462" i="1"/>
  <c r="F462" i="1" s="1"/>
  <c r="E461" i="1"/>
  <c r="F461" i="1" s="1"/>
  <c r="E460" i="1"/>
  <c r="F460" i="1" s="1"/>
  <c r="E458" i="1"/>
  <c r="F458" i="1" s="1"/>
  <c r="E457" i="1"/>
  <c r="F457" i="1" s="1"/>
  <c r="E456" i="1"/>
  <c r="F456" i="1" s="1"/>
  <c r="E455" i="1"/>
  <c r="F455" i="1" s="1"/>
  <c r="E454" i="1"/>
  <c r="F454" i="1" s="1"/>
  <c r="E453" i="1"/>
  <c r="F453" i="1" s="1"/>
  <c r="E452" i="1"/>
  <c r="F452" i="1" s="1"/>
  <c r="E451" i="1"/>
  <c r="F451" i="1" s="1"/>
  <c r="E449" i="1"/>
  <c r="F449" i="1" s="1"/>
  <c r="E448" i="1"/>
  <c r="F448" i="1" s="1"/>
  <c r="E446" i="1"/>
  <c r="F446" i="1" s="1"/>
  <c r="E445" i="1"/>
  <c r="F445" i="1" s="1"/>
  <c r="E444" i="1"/>
  <c r="F444" i="1" s="1"/>
  <c r="E442" i="1"/>
  <c r="F442" i="1" s="1"/>
  <c r="E439" i="1"/>
  <c r="F439" i="1" s="1"/>
  <c r="E438" i="1"/>
  <c r="F438" i="1" s="1"/>
  <c r="E437" i="1"/>
  <c r="F437" i="1" s="1"/>
  <c r="E436" i="1"/>
  <c r="F436" i="1" s="1"/>
  <c r="E435" i="1"/>
  <c r="F435" i="1" s="1"/>
  <c r="E434" i="1"/>
  <c r="F434" i="1" s="1"/>
  <c r="E433" i="1"/>
  <c r="F433" i="1" s="1"/>
  <c r="E432" i="1"/>
  <c r="AV382" i="1"/>
  <c r="AR381" i="1"/>
  <c r="AQ381" i="1"/>
  <c r="AP381" i="1"/>
  <c r="AO381" i="1"/>
  <c r="AN381" i="1"/>
  <c r="AM381" i="1"/>
  <c r="AL381" i="1"/>
  <c r="AK381" i="1"/>
  <c r="AJ381" i="1"/>
  <c r="AI381" i="1"/>
  <c r="AH381" i="1"/>
  <c r="AG381" i="1"/>
  <c r="AF381" i="1"/>
  <c r="AE381" i="1"/>
  <c r="AD381" i="1"/>
  <c r="AC381" i="1"/>
  <c r="AB381" i="1"/>
  <c r="AA381" i="1"/>
  <c r="Z381" i="1"/>
  <c r="Y381" i="1"/>
  <c r="X381" i="1"/>
  <c r="W381" i="1"/>
  <c r="V381" i="1"/>
  <c r="U381" i="1"/>
  <c r="T381" i="1"/>
  <c r="S381" i="1"/>
  <c r="R381" i="1"/>
  <c r="Q381" i="1"/>
  <c r="P381" i="1"/>
  <c r="O381" i="1"/>
  <c r="N381" i="1"/>
  <c r="M381" i="1"/>
  <c r="L381" i="1"/>
  <c r="K381" i="1"/>
  <c r="J381" i="1"/>
  <c r="I381" i="1"/>
  <c r="H381" i="1"/>
  <c r="G381" i="1"/>
  <c r="F381" i="1"/>
  <c r="E381" i="1"/>
  <c r="AV366" i="1"/>
  <c r="AV367" i="1" s="1"/>
  <c r="AS366" i="1"/>
  <c r="AS367" i="1" s="1"/>
  <c r="AR360" i="1"/>
  <c r="AQ360" i="1"/>
  <c r="AP360" i="1"/>
  <c r="AO360" i="1"/>
  <c r="AN360" i="1"/>
  <c r="AM360" i="1"/>
  <c r="AL360" i="1"/>
  <c r="AK360" i="1"/>
  <c r="AJ360" i="1"/>
  <c r="AI360" i="1"/>
  <c r="AH360" i="1"/>
  <c r="AG360" i="1"/>
  <c r="AF360" i="1"/>
  <c r="AE360" i="1"/>
  <c r="AD360" i="1"/>
  <c r="AC360" i="1"/>
  <c r="AB360" i="1"/>
  <c r="AA360" i="1"/>
  <c r="Z360" i="1"/>
  <c r="Y360" i="1"/>
  <c r="X360" i="1"/>
  <c r="W360" i="1"/>
  <c r="V360" i="1"/>
  <c r="U360" i="1"/>
  <c r="T360" i="1"/>
  <c r="S360" i="1"/>
  <c r="R360" i="1"/>
  <c r="Q360" i="1"/>
  <c r="P360" i="1"/>
  <c r="O360" i="1"/>
  <c r="N360" i="1"/>
  <c r="M360" i="1"/>
  <c r="L360" i="1"/>
  <c r="K360" i="1"/>
  <c r="J360" i="1"/>
  <c r="I360" i="1"/>
  <c r="H360" i="1"/>
  <c r="G360" i="1"/>
  <c r="F360" i="1"/>
  <c r="E360" i="1"/>
  <c r="BA352" i="1"/>
  <c r="BA353" i="1" s="1"/>
  <c r="BA354" i="1" s="1"/>
  <c r="BA355" i="1" s="1"/>
  <c r="BA356" i="1" s="1"/>
  <c r="BA357" i="1" s="1"/>
  <c r="BA358" i="1" s="1"/>
  <c r="BA359" i="1" s="1"/>
  <c r="BA360" i="1" s="1"/>
  <c r="BA361" i="1" s="1"/>
  <c r="BA362" i="1" s="1"/>
  <c r="BA363" i="1" s="1"/>
  <c r="BA364" i="1" s="1"/>
  <c r="BA365" i="1" s="1"/>
  <c r="BA366" i="1" s="1"/>
  <c r="BA367" i="1" s="1"/>
  <c r="BA368" i="1" s="1"/>
  <c r="BA369" i="1" s="1"/>
  <c r="BA370" i="1" s="1"/>
  <c r="BA371" i="1" s="1"/>
  <c r="BA372" i="1" s="1"/>
  <c r="BA373" i="1" s="1"/>
  <c r="BA374" i="1" s="1"/>
  <c r="BA375" i="1" s="1"/>
  <c r="BA376" i="1" s="1"/>
  <c r="BA377" i="1" s="1"/>
  <c r="BA378" i="1" s="1"/>
  <c r="BA379" i="1" s="1"/>
  <c r="BA380" i="1" s="1"/>
  <c r="BA381" i="1" s="1"/>
  <c r="BA382" i="1" s="1"/>
  <c r="BA383" i="1" s="1"/>
  <c r="BA384" i="1" s="1"/>
  <c r="BA385" i="1" s="1"/>
  <c r="F351" i="1"/>
  <c r="G351" i="1" s="1"/>
  <c r="H351" i="1" s="1"/>
  <c r="I351" i="1" s="1"/>
  <c r="J351" i="1" s="1"/>
  <c r="K351" i="1" s="1"/>
  <c r="L351" i="1" s="1"/>
  <c r="M351" i="1" s="1"/>
  <c r="N351" i="1" s="1"/>
  <c r="O351" i="1" s="1"/>
  <c r="P351" i="1" s="1"/>
  <c r="Q351" i="1" s="1"/>
  <c r="R351" i="1" s="1"/>
  <c r="S351" i="1" s="1"/>
  <c r="T351" i="1" s="1"/>
  <c r="U351" i="1" s="1"/>
  <c r="V351" i="1" s="1"/>
  <c r="W351" i="1" s="1"/>
  <c r="X351" i="1" s="1"/>
  <c r="Y351" i="1" s="1"/>
  <c r="Z351" i="1" s="1"/>
  <c r="AA351" i="1" s="1"/>
  <c r="AB351" i="1" s="1"/>
  <c r="AC351" i="1" s="1"/>
  <c r="AD351" i="1" s="1"/>
  <c r="AE351" i="1" s="1"/>
  <c r="E351" i="1"/>
  <c r="AX350" i="1"/>
  <c r="AX351" i="1" s="1"/>
  <c r="AX352" i="1" s="1"/>
  <c r="AX353" i="1" s="1"/>
  <c r="AX354" i="1" s="1"/>
  <c r="AX355" i="1" s="1"/>
  <c r="AX356" i="1" s="1"/>
  <c r="AX357" i="1" s="1"/>
  <c r="AX358" i="1" s="1"/>
  <c r="AX359" i="1" s="1"/>
  <c r="AX360" i="1" s="1"/>
  <c r="AX361" i="1" s="1"/>
  <c r="AX362" i="1" s="1"/>
  <c r="AX363" i="1" s="1"/>
  <c r="AX364" i="1" s="1"/>
  <c r="AX365" i="1" s="1"/>
  <c r="AX366" i="1" s="1"/>
  <c r="AX367" i="1" s="1"/>
  <c r="AX368" i="1" s="1"/>
  <c r="AX369" i="1" s="1"/>
  <c r="AX370" i="1" s="1"/>
  <c r="AX371" i="1" s="1"/>
  <c r="AX372" i="1" s="1"/>
  <c r="AX373" i="1" s="1"/>
  <c r="AX374" i="1" s="1"/>
  <c r="AX375" i="1" s="1"/>
  <c r="AX376" i="1" s="1"/>
  <c r="AX377" i="1" s="1"/>
  <c r="AX378" i="1" s="1"/>
  <c r="AX379" i="1" s="1"/>
  <c r="AX380" i="1" s="1"/>
  <c r="AX381" i="1" s="1"/>
  <c r="AX382" i="1" s="1"/>
  <c r="AX383" i="1" s="1"/>
  <c r="AX384" i="1" s="1"/>
  <c r="AX385" i="1" s="1"/>
  <c r="E350" i="1"/>
  <c r="F350" i="1" s="1"/>
  <c r="G350" i="1" s="1"/>
  <c r="H350" i="1" s="1"/>
  <c r="I350" i="1" s="1"/>
  <c r="J350" i="1" s="1"/>
  <c r="K350" i="1" s="1"/>
  <c r="L350" i="1" s="1"/>
  <c r="M350" i="1" s="1"/>
  <c r="N350" i="1" s="1"/>
  <c r="O350" i="1" s="1"/>
  <c r="P350" i="1" s="1"/>
  <c r="Q350" i="1" s="1"/>
  <c r="R350" i="1" s="1"/>
  <c r="S350" i="1" s="1"/>
  <c r="T350" i="1" s="1"/>
  <c r="U350" i="1" s="1"/>
  <c r="V350" i="1" s="1"/>
  <c r="W350" i="1" s="1"/>
  <c r="X350" i="1" s="1"/>
  <c r="Y350" i="1" s="1"/>
  <c r="Z350" i="1" s="1"/>
  <c r="AA350" i="1" s="1"/>
  <c r="AB350" i="1" s="1"/>
  <c r="AC350" i="1" s="1"/>
  <c r="AD350" i="1" s="1"/>
  <c r="AE350" i="1" s="1"/>
  <c r="E349" i="1"/>
  <c r="F349" i="1" s="1"/>
  <c r="G349" i="1" s="1"/>
  <c r="H349" i="1" s="1"/>
  <c r="I349" i="1" s="1"/>
  <c r="J349" i="1" s="1"/>
  <c r="K349" i="1" s="1"/>
  <c r="L349" i="1" s="1"/>
  <c r="M349" i="1" s="1"/>
  <c r="N349" i="1" s="1"/>
  <c r="O349" i="1" s="1"/>
  <c r="P349" i="1" s="1"/>
  <c r="Q349" i="1" s="1"/>
  <c r="R349" i="1" s="1"/>
  <c r="S349" i="1" s="1"/>
  <c r="T349" i="1" s="1"/>
  <c r="U349" i="1" s="1"/>
  <c r="V349" i="1" s="1"/>
  <c r="W349" i="1" s="1"/>
  <c r="X349" i="1" s="1"/>
  <c r="Y349" i="1" s="1"/>
  <c r="Z349" i="1" s="1"/>
  <c r="AA349" i="1" s="1"/>
  <c r="AB349" i="1" s="1"/>
  <c r="AC349" i="1" s="1"/>
  <c r="AD349" i="1" s="1"/>
  <c r="AE349" i="1" s="1"/>
  <c r="AR348" i="1"/>
  <c r="AQ348" i="1"/>
  <c r="AP348" i="1"/>
  <c r="AO348" i="1"/>
  <c r="AN348" i="1"/>
  <c r="AM348" i="1"/>
  <c r="AL348" i="1"/>
  <c r="AK348" i="1"/>
  <c r="AJ348" i="1"/>
  <c r="AI348" i="1"/>
  <c r="AH348" i="1"/>
  <c r="AG348" i="1"/>
  <c r="AF348" i="1"/>
  <c r="AE348" i="1"/>
  <c r="AD348" i="1"/>
  <c r="AC348" i="1"/>
  <c r="AB348" i="1"/>
  <c r="AA348" i="1"/>
  <c r="Z348" i="1"/>
  <c r="Y348" i="1"/>
  <c r="X348" i="1"/>
  <c r="W348" i="1"/>
  <c r="V348" i="1"/>
  <c r="U348" i="1"/>
  <c r="T348" i="1"/>
  <c r="S348" i="1"/>
  <c r="R348" i="1"/>
  <c r="Q348" i="1"/>
  <c r="P348" i="1"/>
  <c r="O348" i="1"/>
  <c r="N348" i="1"/>
  <c r="M348" i="1"/>
  <c r="L348" i="1"/>
  <c r="K348" i="1"/>
  <c r="J348" i="1"/>
  <c r="I348" i="1"/>
  <c r="H348" i="1"/>
  <c r="G348" i="1"/>
  <c r="F348" i="1"/>
  <c r="T304" i="1"/>
  <c r="S304" i="1"/>
  <c r="P304" i="1"/>
  <c r="O304" i="1"/>
  <c r="N304" i="1"/>
  <c r="J304" i="1"/>
  <c r="F304" i="1"/>
  <c r="Z261" i="1"/>
  <c r="Z260" i="1"/>
  <c r="B260" i="1"/>
  <c r="B307" i="1" s="1"/>
  <c r="Z259" i="1"/>
  <c r="B259" i="1"/>
  <c r="B306" i="1" s="1"/>
  <c r="E258" i="1"/>
  <c r="B258" i="1"/>
  <c r="B305" i="1" s="1"/>
  <c r="BX257" i="1"/>
  <c r="BW257" i="1"/>
  <c r="BU257" i="1"/>
  <c r="BQ257" i="1"/>
  <c r="BN257" i="1"/>
  <c r="BM257" i="1"/>
  <c r="U257" i="1"/>
  <c r="T257" i="1"/>
  <c r="M257" i="1"/>
  <c r="BL256" i="1"/>
  <c r="S256" i="1"/>
  <c r="K256" i="1"/>
  <c r="D254" i="1"/>
  <c r="C254" i="1"/>
  <c r="J253" i="1"/>
  <c r="F252" i="1"/>
  <c r="E252" i="1"/>
  <c r="F251" i="1"/>
  <c r="E737" i="1" s="1"/>
  <c r="F737" i="1" s="1"/>
  <c r="E251" i="1"/>
  <c r="E736" i="1" s="1"/>
  <c r="F736" i="1" s="1"/>
  <c r="F244" i="1"/>
  <c r="E242" i="1"/>
  <c r="I239" i="1"/>
  <c r="G239" i="1"/>
  <c r="F239" i="1"/>
  <c r="D239" i="1"/>
  <c r="I238" i="1"/>
  <c r="G238" i="1"/>
  <c r="F238" i="1"/>
  <c r="D238" i="1"/>
  <c r="I237" i="1"/>
  <c r="G237" i="1"/>
  <c r="F237" i="1"/>
  <c r="D237" i="1"/>
  <c r="D199" i="3" s="1"/>
  <c r="I236" i="1"/>
  <c r="G236" i="1"/>
  <c r="F236" i="1"/>
  <c r="D236" i="1"/>
  <c r="I235" i="1"/>
  <c r="G235" i="1"/>
  <c r="F235" i="1"/>
  <c r="D235" i="1"/>
  <c r="D197" i="3" s="1"/>
  <c r="I234" i="1"/>
  <c r="G234" i="1"/>
  <c r="F234" i="1"/>
  <c r="D234" i="1"/>
  <c r="G233" i="1"/>
  <c r="D233" i="1"/>
  <c r="G232" i="1"/>
  <c r="D232" i="1"/>
  <c r="E229" i="1"/>
  <c r="G227" i="1"/>
  <c r="F227" i="1"/>
  <c r="H217" i="1"/>
  <c r="F217" i="1"/>
  <c r="H214" i="1"/>
  <c r="AE213" i="1"/>
  <c r="I213" i="1"/>
  <c r="AE212" i="1"/>
  <c r="AG211" i="1"/>
  <c r="AE211" i="1"/>
  <c r="I211" i="1"/>
  <c r="AG209" i="1"/>
  <c r="AE209" i="1"/>
  <c r="H209" i="1"/>
  <c r="X208" i="1"/>
  <c r="AG207" i="1"/>
  <c r="E207" i="1"/>
  <c r="AG206" i="1"/>
  <c r="AG205" i="1"/>
  <c r="AG203" i="1"/>
  <c r="AE203" i="1"/>
  <c r="D203" i="1"/>
  <c r="AG202" i="1"/>
  <c r="AE202" i="1"/>
  <c r="AE201" i="1"/>
  <c r="AD200" i="1"/>
  <c r="AE199" i="1"/>
  <c r="AD199" i="1"/>
  <c r="F199" i="1"/>
  <c r="H198" i="1"/>
  <c r="AD197" i="1"/>
  <c r="H197" i="1"/>
  <c r="F197" i="1"/>
  <c r="D197" i="1"/>
  <c r="T196" i="1"/>
  <c r="I194" i="1"/>
  <c r="F194" i="1"/>
  <c r="I193" i="1"/>
  <c r="D193" i="1"/>
  <c r="S192" i="1"/>
  <c r="E190" i="1"/>
  <c r="AK191" i="1" s="1"/>
  <c r="F187" i="1"/>
  <c r="E187" i="1"/>
  <c r="F186" i="1"/>
  <c r="E186" i="1"/>
  <c r="J177" i="1"/>
  <c r="I177" i="1"/>
  <c r="H177" i="1"/>
  <c r="G177" i="1"/>
  <c r="L176" i="1"/>
  <c r="H167" i="1"/>
  <c r="E622" i="1" s="1"/>
  <c r="F622" i="1" s="1"/>
  <c r="G167" i="1"/>
  <c r="F167" i="1"/>
  <c r="E620" i="1" s="1"/>
  <c r="F620" i="1" s="1"/>
  <c r="C167" i="1"/>
  <c r="H165" i="1"/>
  <c r="G165" i="1"/>
  <c r="E608" i="1" s="1"/>
  <c r="F608" i="1" s="1"/>
  <c r="F165" i="1"/>
  <c r="E607" i="1" s="1"/>
  <c r="F607" i="1" s="1"/>
  <c r="C165" i="1"/>
  <c r="H164" i="1"/>
  <c r="E601" i="1" s="1"/>
  <c r="F601" i="1" s="1"/>
  <c r="G164" i="1"/>
  <c r="E600" i="1" s="1"/>
  <c r="F600" i="1" s="1"/>
  <c r="F164" i="1"/>
  <c r="E599" i="1" s="1"/>
  <c r="F599" i="1" s="1"/>
  <c r="C164" i="1"/>
  <c r="AK161" i="1"/>
  <c r="H161" i="1"/>
  <c r="G161" i="1"/>
  <c r="E158" i="1"/>
  <c r="H157" i="1"/>
  <c r="G157" i="1"/>
  <c r="AK157" i="1" s="1"/>
  <c r="C157" i="1"/>
  <c r="H152" i="1"/>
  <c r="G152" i="1"/>
  <c r="AK152" i="1" s="1"/>
  <c r="AJ151" i="1"/>
  <c r="AF151" i="1"/>
  <c r="C151" i="1"/>
  <c r="AK151" i="1" s="1"/>
  <c r="AJ150" i="1"/>
  <c r="AF150" i="1"/>
  <c r="AB150" i="1"/>
  <c r="S150" i="1"/>
  <c r="G150" i="1"/>
  <c r="E150" i="1"/>
  <c r="AF149" i="1"/>
  <c r="AB149" i="1"/>
  <c r="AB148" i="1" s="1"/>
  <c r="AF148" i="1"/>
  <c r="AH147" i="1"/>
  <c r="AF147" i="1"/>
  <c r="AD147" i="1"/>
  <c r="AC147" i="1"/>
  <c r="E147" i="1"/>
  <c r="AH146" i="1"/>
  <c r="AF146" i="1"/>
  <c r="AD146" i="1" s="1"/>
  <c r="AH145" i="1"/>
  <c r="AF145" i="1"/>
  <c r="AH144" i="1"/>
  <c r="AF144" i="1"/>
  <c r="AH143" i="1"/>
  <c r="AF143" i="1"/>
  <c r="AJ139" i="1"/>
  <c r="AG139" i="1"/>
  <c r="AF139" i="1"/>
  <c r="AG138" i="1"/>
  <c r="AF138" i="1"/>
  <c r="AB138" i="1"/>
  <c r="AB137" i="1" s="1"/>
  <c r="AJ137" i="1" s="1"/>
  <c r="AG137" i="1"/>
  <c r="AF137" i="1"/>
  <c r="AG136" i="1"/>
  <c r="AF136" i="1"/>
  <c r="AB136" i="1"/>
  <c r="AI135" i="1"/>
  <c r="AH135" i="1"/>
  <c r="AG135" i="1"/>
  <c r="AF135" i="1"/>
  <c r="AD135" i="1"/>
  <c r="AC135" i="1"/>
  <c r="AC132" i="1" s="1"/>
  <c r="AI134" i="1"/>
  <c r="AH134" i="1"/>
  <c r="AG134" i="1"/>
  <c r="AF134" i="1"/>
  <c r="AI133" i="1"/>
  <c r="AH133" i="1"/>
  <c r="AG133" i="1"/>
  <c r="AF133" i="1"/>
  <c r="I133" i="1"/>
  <c r="AI132" i="1"/>
  <c r="AH132" i="1"/>
  <c r="AG132" i="1"/>
  <c r="AF132" i="1"/>
  <c r="G132" i="1"/>
  <c r="C142" i="3" s="1"/>
  <c r="AI131" i="1"/>
  <c r="AH131" i="1"/>
  <c r="AG131" i="1"/>
  <c r="AF131" i="1"/>
  <c r="AD129" i="1"/>
  <c r="AD141" i="1" s="1"/>
  <c r="AC129" i="1"/>
  <c r="AC141" i="1" s="1"/>
  <c r="I126" i="1"/>
  <c r="AK125" i="1"/>
  <c r="M125" i="1"/>
  <c r="M124" i="1"/>
  <c r="M123" i="1"/>
  <c r="J121" i="1"/>
  <c r="G121" i="1"/>
  <c r="AK121" i="1" s="1"/>
  <c r="H120" i="1"/>
  <c r="E120" i="1"/>
  <c r="G119" i="1"/>
  <c r="AH118" i="1"/>
  <c r="AG118" i="1"/>
  <c r="AF118" i="1"/>
  <c r="AF121" i="1" s="1"/>
  <c r="AE118" i="1"/>
  <c r="AD118" i="1"/>
  <c r="AC118" i="1"/>
  <c r="B118" i="1"/>
  <c r="AH117" i="1"/>
  <c r="AH119" i="1" s="1"/>
  <c r="AG117" i="1"/>
  <c r="AG119" i="1" s="1"/>
  <c r="AF117" i="1"/>
  <c r="AF119" i="1" s="1"/>
  <c r="AE117" i="1"/>
  <c r="AD117" i="1"/>
  <c r="AD121" i="1" s="1"/>
  <c r="AC117" i="1"/>
  <c r="AC119" i="1" s="1"/>
  <c r="AC120" i="1" s="1"/>
  <c r="B117" i="1"/>
  <c r="AD116" i="1"/>
  <c r="AC116" i="1"/>
  <c r="G116" i="1"/>
  <c r="AH115" i="1"/>
  <c r="AH120" i="1" s="1"/>
  <c r="AH123" i="1" s="1"/>
  <c r="I118" i="1" s="1"/>
  <c r="AG115" i="1"/>
  <c r="AF115" i="1"/>
  <c r="AE115" i="1"/>
  <c r="AD115" i="1"/>
  <c r="AC115" i="1"/>
  <c r="Y115" i="1"/>
  <c r="X115" i="1"/>
  <c r="W115" i="1"/>
  <c r="V115" i="1"/>
  <c r="W114" i="1"/>
  <c r="V114" i="1"/>
  <c r="Q114" i="1"/>
  <c r="Y114" i="1" s="1"/>
  <c r="B114" i="1"/>
  <c r="AK114" i="1" s="1"/>
  <c r="W113" i="1"/>
  <c r="V113" i="1"/>
  <c r="Q113" i="1"/>
  <c r="Y113" i="1" s="1"/>
  <c r="F113" i="1"/>
  <c r="AI147" i="1" s="1"/>
  <c r="C113" i="1"/>
  <c r="AK113" i="1" s="1"/>
  <c r="W112" i="1"/>
  <c r="V112" i="1"/>
  <c r="Q112" i="1"/>
  <c r="C112" i="1"/>
  <c r="AK112" i="1" s="1"/>
  <c r="W111" i="1"/>
  <c r="V111" i="1"/>
  <c r="U111" i="1"/>
  <c r="T111" i="1"/>
  <c r="E111" i="1"/>
  <c r="W110" i="1"/>
  <c r="V110" i="1"/>
  <c r="G110" i="1"/>
  <c r="W109" i="1"/>
  <c r="V109" i="1"/>
  <c r="G109" i="1"/>
  <c r="W108" i="1"/>
  <c r="V108" i="1"/>
  <c r="T108" i="1" s="1"/>
  <c r="G108" i="1"/>
  <c r="W107" i="1"/>
  <c r="V107" i="1"/>
  <c r="K107" i="1"/>
  <c r="B107" i="1"/>
  <c r="K106" i="1"/>
  <c r="B106" i="1"/>
  <c r="G105" i="1"/>
  <c r="AH104" i="1"/>
  <c r="AG104" i="1"/>
  <c r="AF104" i="1"/>
  <c r="AF107" i="1" s="1"/>
  <c r="AE104" i="1"/>
  <c r="AD104" i="1"/>
  <c r="AC104" i="1"/>
  <c r="AH103" i="1"/>
  <c r="AG103" i="1"/>
  <c r="AF103" i="1"/>
  <c r="AE103" i="1"/>
  <c r="AD103" i="1"/>
  <c r="AC103" i="1"/>
  <c r="B103" i="1"/>
  <c r="AK103" i="1" s="1"/>
  <c r="AD102" i="1"/>
  <c r="AC102" i="1"/>
  <c r="C102" i="1"/>
  <c r="AH101" i="1"/>
  <c r="AH106" i="1" s="1"/>
  <c r="AG101" i="1"/>
  <c r="AG106" i="1" s="1"/>
  <c r="AF101" i="1"/>
  <c r="AE101" i="1"/>
  <c r="AD101" i="1"/>
  <c r="AC101" i="1"/>
  <c r="C101" i="1"/>
  <c r="AK98" i="1"/>
  <c r="H98" i="1"/>
  <c r="AK97" i="1"/>
  <c r="G97" i="1"/>
  <c r="J96" i="1"/>
  <c r="J95" i="1"/>
  <c r="J94" i="1"/>
  <c r="H87" i="1"/>
  <c r="I87" i="1" s="1"/>
  <c r="J87" i="1" s="1"/>
  <c r="H84" i="1"/>
  <c r="I84" i="1" s="1"/>
  <c r="I83" i="1"/>
  <c r="J60" i="1" s="1"/>
  <c r="H83" i="1"/>
  <c r="H82" i="1"/>
  <c r="I82" i="1" s="1"/>
  <c r="J59" i="1" s="1"/>
  <c r="H81" i="1"/>
  <c r="I81" i="1" s="1"/>
  <c r="J58" i="1" s="1"/>
  <c r="E515" i="1" s="1"/>
  <c r="F515" i="1" s="1"/>
  <c r="H80" i="1"/>
  <c r="I80" i="1" s="1"/>
  <c r="J57" i="1" s="1"/>
  <c r="E514" i="1" s="1"/>
  <c r="F514" i="1" s="1"/>
  <c r="I79" i="1"/>
  <c r="D419" i="2" s="1"/>
  <c r="H79" i="1"/>
  <c r="J77" i="1"/>
  <c r="G77" i="1"/>
  <c r="F77" i="1"/>
  <c r="H74" i="1"/>
  <c r="I74" i="1" s="1"/>
  <c r="J74" i="1" s="1"/>
  <c r="M71" i="1"/>
  <c r="L71" i="1"/>
  <c r="K71" i="1"/>
  <c r="H71" i="1"/>
  <c r="I71" i="1" s="1"/>
  <c r="I61" i="1" s="1"/>
  <c r="J70" i="1"/>
  <c r="H70" i="1"/>
  <c r="I70" i="1" s="1"/>
  <c r="I60" i="1" s="1"/>
  <c r="J69" i="1"/>
  <c r="M69" i="1" s="1"/>
  <c r="I69" i="1"/>
  <c r="H69" i="1"/>
  <c r="J68" i="1"/>
  <c r="H68" i="1"/>
  <c r="I68" i="1" s="1"/>
  <c r="I58" i="1" s="1"/>
  <c r="J67" i="1"/>
  <c r="H67" i="1"/>
  <c r="J66" i="1"/>
  <c r="G72" i="1" s="1"/>
  <c r="H66" i="1"/>
  <c r="I66" i="1" s="1"/>
  <c r="E62" i="1"/>
  <c r="J61" i="1"/>
  <c r="M60" i="1"/>
  <c r="L60" i="1"/>
  <c r="G60" i="1"/>
  <c r="I59" i="1"/>
  <c r="J55" i="1"/>
  <c r="F53" i="1"/>
  <c r="E47" i="1"/>
  <c r="AB44" i="1"/>
  <c r="F36" i="1"/>
  <c r="D35" i="1"/>
  <c r="AK35" i="1" s="1"/>
  <c r="C35" i="1"/>
  <c r="F34" i="1"/>
  <c r="E34" i="1"/>
  <c r="N33" i="1"/>
  <c r="N34" i="1" s="1"/>
  <c r="D33" i="1"/>
  <c r="N32" i="1"/>
  <c r="D32" i="1"/>
  <c r="C31" i="1"/>
  <c r="AK31" i="1" s="1"/>
  <c r="C30" i="1"/>
  <c r="AK30" i="1" s="1"/>
  <c r="E28" i="1"/>
  <c r="D28" i="1"/>
  <c r="F27" i="1"/>
  <c r="AK27" i="1" s="1"/>
  <c r="E27" i="1"/>
  <c r="I26" i="1"/>
  <c r="G26" i="1"/>
  <c r="D148" i="10" s="1"/>
  <c r="I25" i="1"/>
  <c r="H25" i="1"/>
  <c r="G25" i="1"/>
  <c r="B188" i="3" s="1"/>
  <c r="C25" i="1"/>
  <c r="AK25" i="1" s="1"/>
  <c r="F23" i="1"/>
  <c r="E6" i="3" s="1"/>
  <c r="C23" i="1"/>
  <c r="L17" i="1"/>
  <c r="F17" i="1"/>
  <c r="F16" i="1"/>
  <c r="M13" i="1"/>
  <c r="L13" i="1"/>
  <c r="F13" i="1"/>
  <c r="L12" i="1"/>
  <c r="F12" i="1"/>
  <c r="R7" i="1"/>
  <c r="J1" i="1"/>
  <c r="E258" i="3"/>
  <c r="AI144" i="1" l="1"/>
  <c r="AY16" i="3"/>
  <c r="N129" i="2"/>
  <c r="BG129" i="3" s="1"/>
  <c r="AD143" i="1"/>
  <c r="BL257" i="1"/>
  <c r="E8" i="9"/>
  <c r="Z128" i="2"/>
  <c r="BS128" i="3" s="1"/>
  <c r="V129" i="2"/>
  <c r="BO129" i="3" s="1"/>
  <c r="F131" i="2"/>
  <c r="AY131" i="3" s="1"/>
  <c r="AD138" i="1"/>
  <c r="AE128" i="2"/>
  <c r="BX128" i="3" s="1"/>
  <c r="G5" i="3"/>
  <c r="H5" i="3" s="1"/>
  <c r="T115" i="1"/>
  <c r="R115" i="1" s="1"/>
  <c r="K257" i="1"/>
  <c r="P257" i="1"/>
  <c r="W257" i="1"/>
  <c r="BT257" i="1"/>
  <c r="E304" i="1"/>
  <c r="I304" i="1"/>
  <c r="D56" i="9"/>
  <c r="F2" i="5"/>
  <c r="F373" i="5"/>
  <c r="V128" i="2"/>
  <c r="BO128" i="3" s="1"/>
  <c r="AL128" i="2"/>
  <c r="CE128" i="3" s="1"/>
  <c r="F129" i="2"/>
  <c r="AY129" i="3" s="1"/>
  <c r="AH129" i="2"/>
  <c r="CA129" i="3" s="1"/>
  <c r="G13" i="4"/>
  <c r="H13" i="4" s="1"/>
  <c r="I13" i="4" s="1"/>
  <c r="J13" i="4" s="1"/>
  <c r="K13" i="4" s="1"/>
  <c r="L13" i="4" s="1"/>
  <c r="M13" i="4" s="1"/>
  <c r="N13" i="4" s="1"/>
  <c r="O13" i="4" s="1"/>
  <c r="P13" i="4" s="1"/>
  <c r="Q13" i="4" s="1"/>
  <c r="R13" i="4" s="1"/>
  <c r="S13" i="4" s="1"/>
  <c r="T13" i="4" s="1"/>
  <c r="U13" i="4" s="1"/>
  <c r="V13" i="4" s="1"/>
  <c r="W13" i="4" s="1"/>
  <c r="X13" i="4" s="1"/>
  <c r="Y13" i="4" s="1"/>
  <c r="Z13" i="4" s="1"/>
  <c r="AA13" i="4" s="1"/>
  <c r="AB13" i="4" s="1"/>
  <c r="AC13" i="4" s="1"/>
  <c r="AD13" i="4" s="1"/>
  <c r="AE13" i="4" s="1"/>
  <c r="AF13" i="4" s="1"/>
  <c r="AG13" i="4" s="1"/>
  <c r="AH13" i="4" s="1"/>
  <c r="AI13" i="4" s="1"/>
  <c r="AJ13" i="4" s="1"/>
  <c r="AK13" i="4" s="1"/>
  <c r="AL13" i="4" s="1"/>
  <c r="AM13" i="4" s="1"/>
  <c r="AN13" i="4" s="1"/>
  <c r="AO13" i="4" s="1"/>
  <c r="AP13" i="4" s="1"/>
  <c r="AQ13" i="4" s="1"/>
  <c r="AR13" i="4" s="1"/>
  <c r="AS13" i="4" s="1"/>
  <c r="F37" i="4"/>
  <c r="G37" i="4" s="1"/>
  <c r="H37" i="4" s="1"/>
  <c r="I37" i="4" s="1"/>
  <c r="J37" i="4" s="1"/>
  <c r="K37" i="4" s="1"/>
  <c r="L37" i="4" s="1"/>
  <c r="M37" i="4" s="1"/>
  <c r="N37" i="4" s="1"/>
  <c r="O37" i="4" s="1"/>
  <c r="P37" i="4" s="1"/>
  <c r="Q37" i="4" s="1"/>
  <c r="R37" i="4" s="1"/>
  <c r="S37" i="4" s="1"/>
  <c r="T37" i="4" s="1"/>
  <c r="U37" i="4" s="1"/>
  <c r="V37" i="4" s="1"/>
  <c r="W37" i="4" s="1"/>
  <c r="X37" i="4" s="1"/>
  <c r="Y37" i="4" s="1"/>
  <c r="Z37" i="4" s="1"/>
  <c r="AA37" i="4" s="1"/>
  <c r="AB37" i="4" s="1"/>
  <c r="AC37" i="4" s="1"/>
  <c r="AD37" i="4" s="1"/>
  <c r="AE37" i="4" s="1"/>
  <c r="AF37" i="4" s="1"/>
  <c r="AG37" i="4" s="1"/>
  <c r="AH37" i="4" s="1"/>
  <c r="AI37" i="4" s="1"/>
  <c r="AJ37" i="4" s="1"/>
  <c r="AK37" i="4" s="1"/>
  <c r="AL37" i="4" s="1"/>
  <c r="AM37" i="4" s="1"/>
  <c r="AN37" i="4" s="1"/>
  <c r="AO37" i="4" s="1"/>
  <c r="AP37" i="4" s="1"/>
  <c r="AQ37" i="4" s="1"/>
  <c r="AR37" i="4" s="1"/>
  <c r="AS37" i="4" s="1"/>
  <c r="O257" i="1"/>
  <c r="BS257" i="1"/>
  <c r="D304" i="1"/>
  <c r="H304" i="1"/>
  <c r="O128" i="2"/>
  <c r="BH128" i="3" s="1"/>
  <c r="F80" i="3"/>
  <c r="G14" i="4"/>
  <c r="AD132" i="1"/>
  <c r="AE131" i="1"/>
  <c r="L257" i="1"/>
  <c r="S257" i="1"/>
  <c r="X257" i="1"/>
  <c r="BP257" i="1"/>
  <c r="R304" i="1"/>
  <c r="C104" i="9"/>
  <c r="W128" i="2"/>
  <c r="BP128" i="3" s="1"/>
  <c r="AM128" i="2"/>
  <c r="CF128" i="3" s="1"/>
  <c r="G11" i="4"/>
  <c r="AV368" i="2"/>
  <c r="BP73" i="9"/>
  <c r="F40" i="4"/>
  <c r="G45" i="4"/>
  <c r="G46" i="4" s="1"/>
  <c r="F42" i="4"/>
  <c r="G43" i="4"/>
  <c r="H43" i="4" s="1"/>
  <c r="C216" i="4"/>
  <c r="P411" i="4"/>
  <c r="H41" i="4"/>
  <c r="I41" i="4" s="1"/>
  <c r="G42" i="4"/>
  <c r="G178" i="1"/>
  <c r="D214" i="2"/>
  <c r="C160" i="1"/>
  <c r="AK160" i="1" s="1"/>
  <c r="K176" i="1"/>
  <c r="B353" i="5"/>
  <c r="C148" i="1"/>
  <c r="AK148" i="1" s="1"/>
  <c r="J93" i="1"/>
  <c r="C149" i="1"/>
  <c r="AK149" i="1" s="1"/>
  <c r="B425" i="1"/>
  <c r="B188" i="2"/>
  <c r="D214" i="3"/>
  <c r="D178" i="5"/>
  <c r="E6" i="2"/>
  <c r="G129" i="1"/>
  <c r="AK129" i="1" s="1"/>
  <c r="L19" i="1"/>
  <c r="E443" i="1"/>
  <c r="F443" i="1" s="1"/>
  <c r="H178" i="5"/>
  <c r="J178" i="1"/>
  <c r="E447" i="1"/>
  <c r="F447" i="1" s="1"/>
  <c r="D685" i="1"/>
  <c r="C154" i="1"/>
  <c r="AK154" i="1" s="1"/>
  <c r="B411" i="1"/>
  <c r="C156" i="1"/>
  <c r="AK156" i="1" s="1"/>
  <c r="B418" i="1"/>
  <c r="B160" i="5"/>
  <c r="F188" i="1"/>
  <c r="J178" i="5"/>
  <c r="K151" i="1"/>
  <c r="J142" i="1"/>
  <c r="K155" i="1"/>
  <c r="K154" i="1"/>
  <c r="C159" i="1"/>
  <c r="AK159" i="1" s="1"/>
  <c r="E178" i="1"/>
  <c r="E2" i="5"/>
  <c r="E283" i="3"/>
  <c r="AU283" i="2" s="1"/>
  <c r="BP85" i="9"/>
  <c r="BP68" i="9"/>
  <c r="BP79" i="9"/>
  <c r="AO133" i="2"/>
  <c r="AO43" i="9" s="1"/>
  <c r="AO139" i="9" s="1"/>
  <c r="BP63" i="9"/>
  <c r="BP66" i="9"/>
  <c r="BP87" i="9"/>
  <c r="AZ4" i="3"/>
  <c r="AZ21" i="3" s="1"/>
  <c r="E269" i="3"/>
  <c r="BP60" i="9"/>
  <c r="BP61" i="9"/>
  <c r="BP64" i="9"/>
  <c r="BP93" i="9"/>
  <c r="AU269" i="2"/>
  <c r="AV269" i="2" s="1"/>
  <c r="AV269" i="3"/>
  <c r="G7" i="2"/>
  <c r="E9" i="9" s="1"/>
  <c r="L134" i="2"/>
  <c r="L468" i="2" s="1"/>
  <c r="BE468" i="3" s="1"/>
  <c r="AY269" i="3"/>
  <c r="X192" i="1"/>
  <c r="D8" i="9"/>
  <c r="Z129" i="2"/>
  <c r="BS129" i="3" s="1"/>
  <c r="AP129" i="2"/>
  <c r="CI129" i="3" s="1"/>
  <c r="AG134" i="2"/>
  <c r="BN35" i="9" s="1"/>
  <c r="BN131" i="9" s="1"/>
  <c r="D35" i="2"/>
  <c r="D37" i="3"/>
  <c r="D37" i="2"/>
  <c r="D35" i="3"/>
  <c r="AD144" i="1"/>
  <c r="F137" i="2"/>
  <c r="E358" i="1" s="1"/>
  <c r="P197" i="1" s="1"/>
  <c r="D86" i="10"/>
  <c r="H26" i="1"/>
  <c r="D93" i="3" s="1"/>
  <c r="D38" i="3"/>
  <c r="D38" i="2"/>
  <c r="AD105" i="1"/>
  <c r="AD106" i="1" s="1"/>
  <c r="AH105" i="1"/>
  <c r="T109" i="1"/>
  <c r="T110" i="1"/>
  <c r="U114" i="1"/>
  <c r="AG120" i="1"/>
  <c r="AC146" i="1"/>
  <c r="E450" i="1"/>
  <c r="F450" i="1" s="1"/>
  <c r="F87" i="2"/>
  <c r="N128" i="2"/>
  <c r="BG128" i="3" s="1"/>
  <c r="AH128" i="2"/>
  <c r="CA128" i="3" s="1"/>
  <c r="R129" i="2"/>
  <c r="BK129" i="3" s="1"/>
  <c r="AB129" i="2"/>
  <c r="BU129" i="3" s="1"/>
  <c r="AJ129" i="2"/>
  <c r="CC129" i="3" s="1"/>
  <c r="AR129" i="2"/>
  <c r="CK129" i="3" s="1"/>
  <c r="F450" i="2"/>
  <c r="F113" i="3"/>
  <c r="AA406" i="4"/>
  <c r="D30" i="3"/>
  <c r="D33" i="3"/>
  <c r="D33" i="2"/>
  <c r="D30" i="2"/>
  <c r="CG386" i="3"/>
  <c r="G154" i="4"/>
  <c r="H154" i="4" s="1"/>
  <c r="AK34" i="1"/>
  <c r="D36" i="3"/>
  <c r="D36" i="2"/>
  <c r="AE105" i="1"/>
  <c r="T107" i="1"/>
  <c r="U109" i="1"/>
  <c r="AD145" i="1"/>
  <c r="R128" i="2"/>
  <c r="BK128" i="3" s="1"/>
  <c r="AD128" i="2"/>
  <c r="BW128" i="3" s="1"/>
  <c r="J129" i="2"/>
  <c r="BC129" i="3" s="1"/>
  <c r="X129" i="2"/>
  <c r="BQ129" i="3" s="1"/>
  <c r="AF129" i="2"/>
  <c r="BY129" i="3" s="1"/>
  <c r="H39" i="4"/>
  <c r="H40" i="4" s="1"/>
  <c r="G149" i="4"/>
  <c r="BZ20" i="10"/>
  <c r="CA20" i="10" s="1"/>
  <c r="F134" i="2"/>
  <c r="F174" i="5" s="1"/>
  <c r="D381" i="1"/>
  <c r="Y133" i="2"/>
  <c r="AO27" i="9" s="1"/>
  <c r="AO123" i="9" s="1"/>
  <c r="AH134" i="2"/>
  <c r="BN36" i="9" s="1"/>
  <c r="BN132" i="9" s="1"/>
  <c r="AL134" i="2"/>
  <c r="BN40" i="9" s="1"/>
  <c r="BN136" i="9" s="1"/>
  <c r="O133" i="2"/>
  <c r="O378" i="2" s="1"/>
  <c r="BH378" i="3" s="1"/>
  <c r="AD134" i="2"/>
  <c r="BN32" i="9" s="1"/>
  <c r="BN128" i="9" s="1"/>
  <c r="AM133" i="2"/>
  <c r="AM378" i="2" s="1"/>
  <c r="CF378" i="3" s="1"/>
  <c r="AN134" i="2"/>
  <c r="BN42" i="9" s="1"/>
  <c r="BN138" i="9" s="1"/>
  <c r="AP133" i="2"/>
  <c r="AP172" i="5" s="1"/>
  <c r="C419" i="3"/>
  <c r="I56" i="1"/>
  <c r="F22" i="3" s="1"/>
  <c r="F26" i="2"/>
  <c r="F434" i="2" s="1"/>
  <c r="AF108" i="1"/>
  <c r="F367" i="2"/>
  <c r="AY367" i="3" s="1"/>
  <c r="BP386" i="3"/>
  <c r="W129" i="2"/>
  <c r="BT386" i="3"/>
  <c r="AA129" i="2"/>
  <c r="BX386" i="3"/>
  <c r="AE129" i="2"/>
  <c r="CB386" i="3"/>
  <c r="AI129" i="2"/>
  <c r="CF386" i="3"/>
  <c r="AM129" i="2"/>
  <c r="CJ386" i="3"/>
  <c r="AQ129" i="2"/>
  <c r="AG105" i="1"/>
  <c r="AF105" i="1"/>
  <c r="AF106" i="1" s="1"/>
  <c r="AF109" i="1" s="1"/>
  <c r="U107" i="1"/>
  <c r="U108" i="1"/>
  <c r="AH109" i="1"/>
  <c r="I107" i="1" s="1"/>
  <c r="U110" i="1"/>
  <c r="U112" i="1"/>
  <c r="AG150" i="1"/>
  <c r="AD150" i="1" s="1"/>
  <c r="AG151" i="1"/>
  <c r="AD151" i="1" s="1"/>
  <c r="AG148" i="1"/>
  <c r="AD148" i="1" s="1"/>
  <c r="AG146" i="1"/>
  <c r="AI145" i="1"/>
  <c r="U115" i="1"/>
  <c r="S115" i="1" s="1"/>
  <c r="AD133" i="1"/>
  <c r="AG143" i="1"/>
  <c r="AC148" i="1"/>
  <c r="D195" i="2"/>
  <c r="D195" i="3"/>
  <c r="F62" i="2"/>
  <c r="F81" i="2"/>
  <c r="D100" i="3"/>
  <c r="AE106" i="1"/>
  <c r="AD107" i="1"/>
  <c r="AG123" i="1"/>
  <c r="I117" i="1" s="1"/>
  <c r="AE133" i="1"/>
  <c r="F105" i="2"/>
  <c r="F107" i="2" s="1"/>
  <c r="AF8" i="9" s="1"/>
  <c r="S128" i="2"/>
  <c r="AA128" i="2"/>
  <c r="AQ128" i="2"/>
  <c r="C394" i="3"/>
  <c r="C394" i="2"/>
  <c r="N71" i="1"/>
  <c r="AC143" i="1"/>
  <c r="AC150" i="1"/>
  <c r="AC151" i="1"/>
  <c r="AC145" i="1"/>
  <c r="AJ149" i="1"/>
  <c r="F99" i="3"/>
  <c r="AV56" i="9" s="1"/>
  <c r="E621" i="1"/>
  <c r="F621" i="1" s="1"/>
  <c r="F357" i="2"/>
  <c r="F120" i="2"/>
  <c r="F76" i="2" s="1"/>
  <c r="F465" i="2" s="1"/>
  <c r="F88" i="2"/>
  <c r="F312" i="2" s="1"/>
  <c r="F42" i="2"/>
  <c r="C8" i="9"/>
  <c r="F504" i="2"/>
  <c r="F359" i="2"/>
  <c r="F335" i="2"/>
  <c r="F315" i="2"/>
  <c r="F114" i="2"/>
  <c r="BE8" i="9" s="1"/>
  <c r="F98" i="2"/>
  <c r="F98" i="3" s="1"/>
  <c r="F325" i="3" s="1"/>
  <c r="F83" i="2"/>
  <c r="F66" i="2"/>
  <c r="F209" i="2" s="1"/>
  <c r="F39" i="2"/>
  <c r="F22" i="2"/>
  <c r="F430" i="2" s="1"/>
  <c r="F68" i="2"/>
  <c r="D100" i="2"/>
  <c r="AI128" i="2"/>
  <c r="D101" i="3"/>
  <c r="D92" i="3"/>
  <c r="AE107" i="1"/>
  <c r="AE108" i="1" s="1"/>
  <c r="T112" i="1"/>
  <c r="AF120" i="1"/>
  <c r="AD134" i="1"/>
  <c r="AJ138" i="1"/>
  <c r="D201" i="3"/>
  <c r="D201" i="2"/>
  <c r="F40" i="2"/>
  <c r="F341" i="3"/>
  <c r="BA56" i="9"/>
  <c r="Q304" i="1"/>
  <c r="BV257" i="1"/>
  <c r="V257" i="1"/>
  <c r="E324" i="4"/>
  <c r="BO257" i="1"/>
  <c r="N257" i="1"/>
  <c r="F50" i="2"/>
  <c r="I129" i="2"/>
  <c r="Q129" i="2"/>
  <c r="F21" i="3"/>
  <c r="F68" i="3"/>
  <c r="G68" i="3" s="1"/>
  <c r="F100" i="3"/>
  <c r="F102" i="3" s="1"/>
  <c r="F109" i="3"/>
  <c r="F111" i="3" s="1"/>
  <c r="F509" i="3" s="1"/>
  <c r="F122" i="3"/>
  <c r="G122" i="3" s="1"/>
  <c r="G144" i="4"/>
  <c r="H144" i="4" s="1"/>
  <c r="G227" i="4"/>
  <c r="H227" i="4" s="1"/>
  <c r="I227" i="4" s="1"/>
  <c r="J227" i="4" s="1"/>
  <c r="K227" i="4" s="1"/>
  <c r="L227" i="4" s="1"/>
  <c r="M227" i="4" s="1"/>
  <c r="N227" i="4" s="1"/>
  <c r="O227" i="4" s="1"/>
  <c r="P227" i="4" s="1"/>
  <c r="Q227" i="4" s="1"/>
  <c r="R227" i="4" s="1"/>
  <c r="S227" i="4" s="1"/>
  <c r="T227" i="4" s="1"/>
  <c r="U227" i="4" s="1"/>
  <c r="V227" i="4" s="1"/>
  <c r="W227" i="4" s="1"/>
  <c r="X227" i="4" s="1"/>
  <c r="Y227" i="4" s="1"/>
  <c r="Z227" i="4" s="1"/>
  <c r="AA227" i="4" s="1"/>
  <c r="AB227" i="4" s="1"/>
  <c r="AC227" i="4" s="1"/>
  <c r="AD227" i="4" s="1"/>
  <c r="AE227" i="4" s="1"/>
  <c r="AF227" i="4" s="1"/>
  <c r="AG227" i="4" s="1"/>
  <c r="AH227" i="4" s="1"/>
  <c r="AI227" i="4" s="1"/>
  <c r="AJ227" i="4" s="1"/>
  <c r="AK227" i="4" s="1"/>
  <c r="AL227" i="4" s="1"/>
  <c r="AM227" i="4" s="1"/>
  <c r="AN227" i="4" s="1"/>
  <c r="AO227" i="4" s="1"/>
  <c r="AP227" i="4" s="1"/>
  <c r="AQ227" i="4" s="1"/>
  <c r="AR227" i="4" s="1"/>
  <c r="AS227" i="4" s="1"/>
  <c r="H424" i="4"/>
  <c r="BZ386" i="3"/>
  <c r="F175" i="4"/>
  <c r="F176" i="4" s="1"/>
  <c r="F257" i="4"/>
  <c r="F258" i="4" s="1"/>
  <c r="F216" i="3" s="1"/>
  <c r="F270" i="4"/>
  <c r="F79" i="2"/>
  <c r="M129" i="2"/>
  <c r="U129" i="2"/>
  <c r="Y129" i="2"/>
  <c r="AC129" i="2"/>
  <c r="AK129" i="2"/>
  <c r="AO129" i="2"/>
  <c r="AS129" i="2"/>
  <c r="F96" i="3"/>
  <c r="AR56" i="9" s="1"/>
  <c r="F208" i="3"/>
  <c r="F306" i="3"/>
  <c r="G91" i="4"/>
  <c r="H91" i="4" s="1"/>
  <c r="H180" i="4" s="1"/>
  <c r="H181" i="4" s="1"/>
  <c r="F99" i="4"/>
  <c r="F102" i="4"/>
  <c r="F103" i="4" s="1"/>
  <c r="G114" i="4"/>
  <c r="H114" i="4" s="1"/>
  <c r="G118" i="4"/>
  <c r="H118" i="4" s="1"/>
  <c r="I118" i="4" s="1"/>
  <c r="J118" i="4" s="1"/>
  <c r="K118" i="4" s="1"/>
  <c r="L118" i="4" s="1"/>
  <c r="M118" i="4" s="1"/>
  <c r="N118" i="4" s="1"/>
  <c r="O118" i="4" s="1"/>
  <c r="P118" i="4" s="1"/>
  <c r="Q118" i="4" s="1"/>
  <c r="R118" i="4" s="1"/>
  <c r="S118" i="4" s="1"/>
  <c r="T118" i="4" s="1"/>
  <c r="U118" i="4" s="1"/>
  <c r="V118" i="4" s="1"/>
  <c r="W118" i="4" s="1"/>
  <c r="X118" i="4" s="1"/>
  <c r="Y118" i="4" s="1"/>
  <c r="Z118" i="4" s="1"/>
  <c r="AA118" i="4" s="1"/>
  <c r="AB118" i="4" s="1"/>
  <c r="AC118" i="4" s="1"/>
  <c r="AD118" i="4" s="1"/>
  <c r="AE118" i="4" s="1"/>
  <c r="AF118" i="4" s="1"/>
  <c r="AG118" i="4" s="1"/>
  <c r="AH118" i="4" s="1"/>
  <c r="AI118" i="4" s="1"/>
  <c r="AJ118" i="4" s="1"/>
  <c r="AK118" i="4" s="1"/>
  <c r="AL118" i="4" s="1"/>
  <c r="AM118" i="4" s="1"/>
  <c r="AN118" i="4" s="1"/>
  <c r="AO118" i="4" s="1"/>
  <c r="AP118" i="4" s="1"/>
  <c r="AQ118" i="4" s="1"/>
  <c r="AR118" i="4" s="1"/>
  <c r="AS118" i="4" s="1"/>
  <c r="G124" i="4"/>
  <c r="H124" i="4" s="1"/>
  <c r="F178" i="4"/>
  <c r="F180" i="4"/>
  <c r="F181" i="4" s="1"/>
  <c r="F264" i="4"/>
  <c r="F265" i="4" s="1"/>
  <c r="F284" i="4"/>
  <c r="F286" i="4"/>
  <c r="F289" i="4" s="1"/>
  <c r="AC110" i="1"/>
  <c r="AF349" i="1"/>
  <c r="AG349" i="1" s="1"/>
  <c r="AH349" i="1" s="1"/>
  <c r="AI349" i="1" s="1"/>
  <c r="AJ349" i="1" s="1"/>
  <c r="AK349" i="1" s="1"/>
  <c r="AL349" i="1" s="1"/>
  <c r="AM349" i="1" s="1"/>
  <c r="AN349" i="1" s="1"/>
  <c r="AO349" i="1" s="1"/>
  <c r="AP349" i="1" s="1"/>
  <c r="AQ349" i="1" s="1"/>
  <c r="AR349" i="1" s="1"/>
  <c r="E193" i="1"/>
  <c r="F155" i="2" s="1"/>
  <c r="AF351" i="1"/>
  <c r="AG351" i="1" s="1"/>
  <c r="AH351" i="1" s="1"/>
  <c r="AI351" i="1" s="1"/>
  <c r="AJ351" i="1" s="1"/>
  <c r="AK351" i="1" s="1"/>
  <c r="AL351" i="1" s="1"/>
  <c r="AM351" i="1" s="1"/>
  <c r="AN351" i="1" s="1"/>
  <c r="AO351" i="1" s="1"/>
  <c r="AP351" i="1" s="1"/>
  <c r="AQ351" i="1" s="1"/>
  <c r="AR351" i="1" s="1"/>
  <c r="P199" i="1"/>
  <c r="K113" i="1"/>
  <c r="AF350" i="1"/>
  <c r="AG350" i="1" s="1"/>
  <c r="AH350" i="1" s="1"/>
  <c r="AI350" i="1" s="1"/>
  <c r="AJ350" i="1" s="1"/>
  <c r="AK350" i="1" s="1"/>
  <c r="AL350" i="1" s="1"/>
  <c r="AM350" i="1" s="1"/>
  <c r="AN350" i="1" s="1"/>
  <c r="AO350" i="1" s="1"/>
  <c r="AP350" i="1" s="1"/>
  <c r="AQ350" i="1" s="1"/>
  <c r="AR350" i="1" s="1"/>
  <c r="AD110" i="1"/>
  <c r="K102" i="1" s="1"/>
  <c r="E470" i="1"/>
  <c r="F470" i="1" s="1"/>
  <c r="F24" i="2"/>
  <c r="AB135" i="1"/>
  <c r="AJ136" i="1"/>
  <c r="G479" i="3"/>
  <c r="G208" i="3"/>
  <c r="G81" i="3"/>
  <c r="G511" i="3"/>
  <c r="G82" i="3"/>
  <c r="G78" i="3"/>
  <c r="G62" i="3"/>
  <c r="G173" i="3" s="1"/>
  <c r="G279" i="3" s="1"/>
  <c r="G42" i="3"/>
  <c r="G27" i="3"/>
  <c r="G435" i="3" s="1"/>
  <c r="G26" i="3"/>
  <c r="G434" i="3" s="1"/>
  <c r="G25" i="3"/>
  <c r="G433" i="3" s="1"/>
  <c r="G24" i="3"/>
  <c r="G432" i="3" s="1"/>
  <c r="G504" i="3"/>
  <c r="G137" i="3"/>
  <c r="G80" i="3"/>
  <c r="G22" i="3"/>
  <c r="H4" i="3"/>
  <c r="H315" i="3" s="1"/>
  <c r="G108" i="3"/>
  <c r="G110" i="3" s="1"/>
  <c r="AZ57" i="9" s="1"/>
  <c r="G83" i="3"/>
  <c r="G105" i="3"/>
  <c r="G21" i="3"/>
  <c r="C57" i="9"/>
  <c r="G53" i="3"/>
  <c r="D105" i="9"/>
  <c r="L356" i="3"/>
  <c r="T356" i="3"/>
  <c r="AB356" i="3"/>
  <c r="AJ356" i="3"/>
  <c r="AR356" i="3"/>
  <c r="F27" i="2"/>
  <c r="J318" i="3"/>
  <c r="R318" i="3"/>
  <c r="Z318" i="3"/>
  <c r="AL318" i="3"/>
  <c r="C59" i="1"/>
  <c r="F25" i="2"/>
  <c r="E471" i="1"/>
  <c r="F471" i="1" s="1"/>
  <c r="C72" i="1"/>
  <c r="AG109" i="1"/>
  <c r="I106" i="1" s="1"/>
  <c r="S114" i="1"/>
  <c r="X112" i="1"/>
  <c r="Q111" i="1"/>
  <c r="Y112" i="1"/>
  <c r="S112" i="1" s="1"/>
  <c r="AE121" i="1"/>
  <c r="AE119" i="1"/>
  <c r="AE120" i="1" s="1"/>
  <c r="AC138" i="1"/>
  <c r="AC134" i="1"/>
  <c r="AE134" i="1"/>
  <c r="AE135" i="1"/>
  <c r="AE136" i="1" s="1"/>
  <c r="AE137" i="1" s="1"/>
  <c r="AE138" i="1" s="1"/>
  <c r="AE139" i="1" s="1"/>
  <c r="AC133" i="1"/>
  <c r="AE132" i="1"/>
  <c r="AC131" i="1"/>
  <c r="AC139" i="1"/>
  <c r="AC136" i="1"/>
  <c r="H150" i="1"/>
  <c r="AK150" i="1" s="1"/>
  <c r="C137" i="2"/>
  <c r="C137" i="3"/>
  <c r="E473" i="1"/>
  <c r="G1" i="5"/>
  <c r="D199" i="2"/>
  <c r="AZ386" i="3"/>
  <c r="G129" i="2"/>
  <c r="G134" i="2" s="1"/>
  <c r="G468" i="2" s="1"/>
  <c r="AZ468" i="3" s="1"/>
  <c r="BD386" i="3"/>
  <c r="K129" i="2"/>
  <c r="BH386" i="3"/>
  <c r="O129" i="2"/>
  <c r="BA4" i="3"/>
  <c r="F447" i="3"/>
  <c r="F84" i="3"/>
  <c r="F238" i="3" s="1"/>
  <c r="AD56" i="9" s="1"/>
  <c r="F450" i="3"/>
  <c r="F390" i="3"/>
  <c r="E221" i="5"/>
  <c r="M66" i="1"/>
  <c r="L66" i="1"/>
  <c r="K66" i="1"/>
  <c r="AC105" i="1"/>
  <c r="AC106" i="1" s="1"/>
  <c r="E609" i="1"/>
  <c r="F609" i="1" s="1"/>
  <c r="F315" i="3"/>
  <c r="F452" i="2"/>
  <c r="F174" i="2"/>
  <c r="F280" i="2" s="1"/>
  <c r="F65" i="2"/>
  <c r="T8" i="9" s="1"/>
  <c r="F264" i="3"/>
  <c r="G7" i="3"/>
  <c r="G357" i="3" s="1"/>
  <c r="E56" i="9"/>
  <c r="E104" i="9"/>
  <c r="F357" i="3"/>
  <c r="AY357" i="3" s="1"/>
  <c r="H356" i="3"/>
  <c r="E64" i="3"/>
  <c r="P356" i="3"/>
  <c r="X356" i="3"/>
  <c r="AF356" i="3"/>
  <c r="AN356" i="3"/>
  <c r="AC107" i="1"/>
  <c r="R112" i="1"/>
  <c r="B261" i="1"/>
  <c r="B308" i="1" s="1"/>
  <c r="Z262" i="1"/>
  <c r="AY106" i="3"/>
  <c r="E63" i="3"/>
  <c r="F318" i="3"/>
  <c r="AY318" i="3" s="1"/>
  <c r="N318" i="3"/>
  <c r="V318" i="3"/>
  <c r="AD318" i="3"/>
  <c r="AH318" i="3"/>
  <c r="AP318" i="3"/>
  <c r="AY63" i="3"/>
  <c r="G69" i="3"/>
  <c r="M70" i="1"/>
  <c r="K70" i="1"/>
  <c r="L70" i="1"/>
  <c r="D419" i="3"/>
  <c r="J56" i="1"/>
  <c r="E513" i="1" s="1"/>
  <c r="F513" i="1" s="1"/>
  <c r="E516" i="1"/>
  <c r="F516" i="1" s="1"/>
  <c r="E517" i="1"/>
  <c r="E518" i="1"/>
  <c r="AC137" i="1"/>
  <c r="AB147" i="1"/>
  <c r="AJ148" i="1"/>
  <c r="D196" i="3"/>
  <c r="D196" i="2"/>
  <c r="D198" i="3"/>
  <c r="D198" i="2"/>
  <c r="D200" i="3"/>
  <c r="D200" i="2"/>
  <c r="F3" i="5"/>
  <c r="F411" i="5" s="1"/>
  <c r="AY64" i="3"/>
  <c r="F142" i="3"/>
  <c r="F144" i="3" s="1"/>
  <c r="F144" i="2"/>
  <c r="F301" i="2" s="1"/>
  <c r="F173" i="2"/>
  <c r="F279" i="2" s="1"/>
  <c r="D197" i="2"/>
  <c r="BA385" i="3"/>
  <c r="E385" i="2"/>
  <c r="AU385" i="3" s="1"/>
  <c r="AV385" i="3" s="1"/>
  <c r="BI385" i="3"/>
  <c r="P128" i="2"/>
  <c r="T128" i="2"/>
  <c r="BM385" i="3"/>
  <c r="BQ385" i="3"/>
  <c r="X128" i="2"/>
  <c r="BU385" i="3"/>
  <c r="AB128" i="2"/>
  <c r="BY385" i="3"/>
  <c r="AF128" i="2"/>
  <c r="CC385" i="3"/>
  <c r="AJ128" i="2"/>
  <c r="CG385" i="3"/>
  <c r="AN128" i="2"/>
  <c r="CK385" i="3"/>
  <c r="AR128" i="2"/>
  <c r="H149" i="4"/>
  <c r="AC121" i="1"/>
  <c r="AD137" i="1"/>
  <c r="F307" i="2"/>
  <c r="F342" i="2"/>
  <c r="G318" i="3"/>
  <c r="O318" i="3"/>
  <c r="W318" i="3"/>
  <c r="AE318" i="3"/>
  <c r="AM318" i="3"/>
  <c r="G113" i="3"/>
  <c r="G341" i="3" s="1"/>
  <c r="BR385" i="3"/>
  <c r="G73" i="1"/>
  <c r="E493" i="1" s="1"/>
  <c r="F493" i="1" s="1"/>
  <c r="I67" i="1"/>
  <c r="I57" i="1" s="1"/>
  <c r="T113" i="1"/>
  <c r="X113" i="1"/>
  <c r="T114" i="1"/>
  <c r="X114" i="1"/>
  <c r="AD119" i="1"/>
  <c r="AD120" i="1" s="1"/>
  <c r="AD136" i="1"/>
  <c r="AD139" i="1"/>
  <c r="AI143" i="1"/>
  <c r="AC144" i="1"/>
  <c r="AG144" i="1"/>
  <c r="AI146" i="1"/>
  <c r="AG147" i="1"/>
  <c r="I258" i="1"/>
  <c r="D360" i="1"/>
  <c r="F29" i="4"/>
  <c r="F35" i="4" s="1"/>
  <c r="F511" i="2"/>
  <c r="F495" i="2"/>
  <c r="F479" i="2"/>
  <c r="F56" i="2"/>
  <c r="AY56" i="3" s="1"/>
  <c r="F58" i="2"/>
  <c r="AY58" i="3" s="1"/>
  <c r="F74" i="2"/>
  <c r="AS8" i="9" s="1"/>
  <c r="F78" i="2"/>
  <c r="F80" i="2"/>
  <c r="F82" i="2"/>
  <c r="F84" i="2"/>
  <c r="F238" i="2" s="1"/>
  <c r="D92" i="2"/>
  <c r="F100" i="2"/>
  <c r="F102" i="2" s="1"/>
  <c r="F109" i="2"/>
  <c r="F113" i="2"/>
  <c r="F122" i="2"/>
  <c r="F124" i="2"/>
  <c r="C142" i="2"/>
  <c r="F208" i="2"/>
  <c r="E378" i="1" s="1"/>
  <c r="E386" i="2"/>
  <c r="AU386" i="3" s="1"/>
  <c r="AV386" i="3" s="1"/>
  <c r="F53" i="3"/>
  <c r="G315" i="3"/>
  <c r="CH385" i="3"/>
  <c r="BE386" i="3"/>
  <c r="G177" i="4"/>
  <c r="H11" i="4"/>
  <c r="G100" i="4"/>
  <c r="H92" i="4"/>
  <c r="F390" i="2"/>
  <c r="AY8" i="3"/>
  <c r="F87" i="3"/>
  <c r="F74" i="3" s="1"/>
  <c r="F291" i="3" s="1"/>
  <c r="F490" i="2"/>
  <c r="K318" i="3"/>
  <c r="S318" i="3"/>
  <c r="AA318" i="3"/>
  <c r="AI318" i="3"/>
  <c r="AQ318" i="3"/>
  <c r="F360" i="3"/>
  <c r="D394" i="3"/>
  <c r="D394" i="2"/>
  <c r="C85" i="1"/>
  <c r="U113" i="1"/>
  <c r="S113" i="1" s="1"/>
  <c r="AD131" i="1"/>
  <c r="AG145" i="1"/>
  <c r="AC149" i="1"/>
  <c r="AG149" i="1"/>
  <c r="AD149" i="1" s="1"/>
  <c r="F88" i="3"/>
  <c r="F89" i="3"/>
  <c r="E389" i="1"/>
  <c r="E468" i="1"/>
  <c r="F468" i="1" s="1"/>
  <c r="E472" i="1"/>
  <c r="F372" i="5"/>
  <c r="G4" i="2"/>
  <c r="G5" i="2"/>
  <c r="F21" i="2"/>
  <c r="F47" i="2"/>
  <c r="AY47" i="3" s="1"/>
  <c r="F51" i="2"/>
  <c r="F53" i="2"/>
  <c r="F55" i="2"/>
  <c r="AY55" i="3" s="1"/>
  <c r="F67" i="2"/>
  <c r="F69" i="2"/>
  <c r="F75" i="2"/>
  <c r="F458" i="2" s="1"/>
  <c r="F89" i="2"/>
  <c r="F92" i="2"/>
  <c r="F94" i="2" s="1"/>
  <c r="F99" i="2"/>
  <c r="F328" i="2" s="1"/>
  <c r="D101" i="2"/>
  <c r="F108" i="2"/>
  <c r="F110" i="2" s="1"/>
  <c r="F121" i="2"/>
  <c r="Q128" i="2"/>
  <c r="U128" i="2"/>
  <c r="AC128" i="2"/>
  <c r="AG128" i="2"/>
  <c r="AK128" i="2"/>
  <c r="AS128" i="2"/>
  <c r="H129" i="2"/>
  <c r="P129" i="2"/>
  <c r="F336" i="2"/>
  <c r="C419" i="2"/>
  <c r="F447" i="2"/>
  <c r="F511" i="3"/>
  <c r="F137" i="3"/>
  <c r="F108" i="3"/>
  <c r="F110" i="3" s="1"/>
  <c r="F92" i="3"/>
  <c r="F94" i="3" s="1"/>
  <c r="F380" i="5" s="1"/>
  <c r="F82" i="3"/>
  <c r="F335" i="3"/>
  <c r="F359" i="3"/>
  <c r="F120" i="3"/>
  <c r="AY120" i="3" s="1"/>
  <c r="F114" i="3"/>
  <c r="F105" i="3"/>
  <c r="F83" i="3"/>
  <c r="F66" i="3"/>
  <c r="F209" i="3" s="1"/>
  <c r="F40" i="3"/>
  <c r="F81" i="3"/>
  <c r="F236" i="3" s="1"/>
  <c r="F78" i="3"/>
  <c r="F67" i="3"/>
  <c r="G67" i="3" s="1"/>
  <c r="F62" i="3"/>
  <c r="F42" i="3"/>
  <c r="F27" i="3"/>
  <c r="F435" i="3" s="1"/>
  <c r="F26" i="3"/>
  <c r="F434" i="3" s="1"/>
  <c r="F25" i="3"/>
  <c r="F433" i="3" s="1"/>
  <c r="F24" i="3"/>
  <c r="F432" i="3" s="1"/>
  <c r="F504" i="3"/>
  <c r="F79" i="3"/>
  <c r="F50" i="3"/>
  <c r="F336" i="3"/>
  <c r="F51" i="3"/>
  <c r="F39" i="3"/>
  <c r="F69" i="3"/>
  <c r="F121" i="3"/>
  <c r="F124" i="3"/>
  <c r="H102" i="4"/>
  <c r="H103" i="4" s="1"/>
  <c r="I39" i="4"/>
  <c r="H93" i="4"/>
  <c r="G295" i="4"/>
  <c r="G1" i="4"/>
  <c r="H14" i="4"/>
  <c r="G243" i="4"/>
  <c r="G238" i="4"/>
  <c r="G233" i="4"/>
  <c r="G228" i="4"/>
  <c r="G223" i="4"/>
  <c r="G218" i="4"/>
  <c r="G211" i="4"/>
  <c r="H211" i="4" s="1"/>
  <c r="I211" i="4" s="1"/>
  <c r="J211" i="4" s="1"/>
  <c r="K211" i="4" s="1"/>
  <c r="L211" i="4" s="1"/>
  <c r="M211" i="4" s="1"/>
  <c r="N211" i="4" s="1"/>
  <c r="O211" i="4" s="1"/>
  <c r="P211" i="4" s="1"/>
  <c r="Q211" i="4" s="1"/>
  <c r="R211" i="4" s="1"/>
  <c r="S211" i="4" s="1"/>
  <c r="T211" i="4" s="1"/>
  <c r="U211" i="4" s="1"/>
  <c r="V211" i="4" s="1"/>
  <c r="W211" i="4" s="1"/>
  <c r="X211" i="4" s="1"/>
  <c r="Y211" i="4" s="1"/>
  <c r="Z211" i="4" s="1"/>
  <c r="AA211" i="4" s="1"/>
  <c r="AB211" i="4" s="1"/>
  <c r="AC211" i="4" s="1"/>
  <c r="AD211" i="4" s="1"/>
  <c r="AE211" i="4" s="1"/>
  <c r="AF211" i="4" s="1"/>
  <c r="AG211" i="4" s="1"/>
  <c r="AH211" i="4" s="1"/>
  <c r="AI211" i="4" s="1"/>
  <c r="AJ211" i="4" s="1"/>
  <c r="AK211" i="4" s="1"/>
  <c r="AL211" i="4" s="1"/>
  <c r="AM211" i="4" s="1"/>
  <c r="AN211" i="4" s="1"/>
  <c r="AO211" i="4" s="1"/>
  <c r="AP211" i="4" s="1"/>
  <c r="AQ211" i="4" s="1"/>
  <c r="AR211" i="4" s="1"/>
  <c r="AS211" i="4" s="1"/>
  <c r="G206" i="4"/>
  <c r="H206" i="4" s="1"/>
  <c r="I206" i="4" s="1"/>
  <c r="J206" i="4" s="1"/>
  <c r="K206" i="4" s="1"/>
  <c r="L206" i="4" s="1"/>
  <c r="M206" i="4" s="1"/>
  <c r="N206" i="4" s="1"/>
  <c r="O206" i="4" s="1"/>
  <c r="P206" i="4" s="1"/>
  <c r="Q206" i="4" s="1"/>
  <c r="R206" i="4" s="1"/>
  <c r="S206" i="4" s="1"/>
  <c r="T206" i="4" s="1"/>
  <c r="U206" i="4" s="1"/>
  <c r="V206" i="4" s="1"/>
  <c r="W206" i="4" s="1"/>
  <c r="X206" i="4" s="1"/>
  <c r="Y206" i="4" s="1"/>
  <c r="Z206" i="4" s="1"/>
  <c r="AA206" i="4" s="1"/>
  <c r="AB206" i="4" s="1"/>
  <c r="AC206" i="4" s="1"/>
  <c r="AD206" i="4" s="1"/>
  <c r="AE206" i="4" s="1"/>
  <c r="AF206" i="4" s="1"/>
  <c r="AG206" i="4" s="1"/>
  <c r="AH206" i="4" s="1"/>
  <c r="AI206" i="4" s="1"/>
  <c r="AJ206" i="4" s="1"/>
  <c r="AK206" i="4" s="1"/>
  <c r="AL206" i="4" s="1"/>
  <c r="AM206" i="4" s="1"/>
  <c r="AN206" i="4" s="1"/>
  <c r="AO206" i="4" s="1"/>
  <c r="AP206" i="4" s="1"/>
  <c r="AQ206" i="4" s="1"/>
  <c r="AR206" i="4" s="1"/>
  <c r="AS206" i="4" s="1"/>
  <c r="G201" i="4"/>
  <c r="H201" i="4" s="1"/>
  <c r="I201" i="4" s="1"/>
  <c r="J201" i="4" s="1"/>
  <c r="K201" i="4" s="1"/>
  <c r="L201" i="4" s="1"/>
  <c r="M201" i="4" s="1"/>
  <c r="N201" i="4" s="1"/>
  <c r="O201" i="4" s="1"/>
  <c r="P201" i="4" s="1"/>
  <c r="Q201" i="4" s="1"/>
  <c r="R201" i="4" s="1"/>
  <c r="S201" i="4" s="1"/>
  <c r="T201" i="4" s="1"/>
  <c r="U201" i="4" s="1"/>
  <c r="V201" i="4" s="1"/>
  <c r="W201" i="4" s="1"/>
  <c r="X201" i="4" s="1"/>
  <c r="Y201" i="4" s="1"/>
  <c r="Z201" i="4" s="1"/>
  <c r="AA201" i="4" s="1"/>
  <c r="AB201" i="4" s="1"/>
  <c r="AC201" i="4" s="1"/>
  <c r="AD201" i="4" s="1"/>
  <c r="AE201" i="4" s="1"/>
  <c r="AF201" i="4" s="1"/>
  <c r="AG201" i="4" s="1"/>
  <c r="AH201" i="4" s="1"/>
  <c r="AI201" i="4" s="1"/>
  <c r="AJ201" i="4" s="1"/>
  <c r="AK201" i="4" s="1"/>
  <c r="AL201" i="4" s="1"/>
  <c r="AM201" i="4" s="1"/>
  <c r="AN201" i="4" s="1"/>
  <c r="AO201" i="4" s="1"/>
  <c r="AP201" i="4" s="1"/>
  <c r="AQ201" i="4" s="1"/>
  <c r="AR201" i="4" s="1"/>
  <c r="AS201" i="4" s="1"/>
  <c r="G196" i="4"/>
  <c r="H196" i="4" s="1"/>
  <c r="I196" i="4" s="1"/>
  <c r="J196" i="4" s="1"/>
  <c r="K196" i="4" s="1"/>
  <c r="L196" i="4" s="1"/>
  <c r="M196" i="4" s="1"/>
  <c r="N196" i="4" s="1"/>
  <c r="O196" i="4" s="1"/>
  <c r="P196" i="4" s="1"/>
  <c r="Q196" i="4" s="1"/>
  <c r="R196" i="4" s="1"/>
  <c r="S196" i="4" s="1"/>
  <c r="T196" i="4" s="1"/>
  <c r="U196" i="4" s="1"/>
  <c r="V196" i="4" s="1"/>
  <c r="W196" i="4" s="1"/>
  <c r="X196" i="4" s="1"/>
  <c r="Y196" i="4" s="1"/>
  <c r="Z196" i="4" s="1"/>
  <c r="AA196" i="4" s="1"/>
  <c r="AB196" i="4" s="1"/>
  <c r="AC196" i="4" s="1"/>
  <c r="AD196" i="4" s="1"/>
  <c r="AE196" i="4" s="1"/>
  <c r="AF196" i="4" s="1"/>
  <c r="AG196" i="4" s="1"/>
  <c r="AH196" i="4" s="1"/>
  <c r="AI196" i="4" s="1"/>
  <c r="AJ196" i="4" s="1"/>
  <c r="AK196" i="4" s="1"/>
  <c r="AL196" i="4" s="1"/>
  <c r="AM196" i="4" s="1"/>
  <c r="AN196" i="4" s="1"/>
  <c r="AO196" i="4" s="1"/>
  <c r="AP196" i="4" s="1"/>
  <c r="AQ196" i="4" s="1"/>
  <c r="AR196" i="4" s="1"/>
  <c r="AS196" i="4" s="1"/>
  <c r="G191" i="4"/>
  <c r="H191" i="4" s="1"/>
  <c r="I191" i="4" s="1"/>
  <c r="J191" i="4" s="1"/>
  <c r="K191" i="4" s="1"/>
  <c r="L191" i="4" s="1"/>
  <c r="M191" i="4" s="1"/>
  <c r="N191" i="4" s="1"/>
  <c r="O191" i="4" s="1"/>
  <c r="P191" i="4" s="1"/>
  <c r="Q191" i="4" s="1"/>
  <c r="R191" i="4" s="1"/>
  <c r="S191" i="4" s="1"/>
  <c r="T191" i="4" s="1"/>
  <c r="U191" i="4" s="1"/>
  <c r="V191" i="4" s="1"/>
  <c r="W191" i="4" s="1"/>
  <c r="X191" i="4" s="1"/>
  <c r="Y191" i="4" s="1"/>
  <c r="Z191" i="4" s="1"/>
  <c r="AA191" i="4" s="1"/>
  <c r="AB191" i="4" s="1"/>
  <c r="AC191" i="4" s="1"/>
  <c r="AD191" i="4" s="1"/>
  <c r="AE191" i="4" s="1"/>
  <c r="AF191" i="4" s="1"/>
  <c r="AG191" i="4" s="1"/>
  <c r="AH191" i="4" s="1"/>
  <c r="AI191" i="4" s="1"/>
  <c r="AJ191" i="4" s="1"/>
  <c r="AK191" i="4" s="1"/>
  <c r="AL191" i="4" s="1"/>
  <c r="AM191" i="4" s="1"/>
  <c r="AN191" i="4" s="1"/>
  <c r="AO191" i="4" s="1"/>
  <c r="AP191" i="4" s="1"/>
  <c r="AQ191" i="4" s="1"/>
  <c r="AR191" i="4" s="1"/>
  <c r="AS191" i="4" s="1"/>
  <c r="G242" i="4"/>
  <c r="H242" i="4" s="1"/>
  <c r="I242" i="4" s="1"/>
  <c r="J242" i="4" s="1"/>
  <c r="K242" i="4" s="1"/>
  <c r="L242" i="4" s="1"/>
  <c r="M242" i="4" s="1"/>
  <c r="N242" i="4" s="1"/>
  <c r="O242" i="4" s="1"/>
  <c r="P242" i="4" s="1"/>
  <c r="Q242" i="4" s="1"/>
  <c r="R242" i="4" s="1"/>
  <c r="S242" i="4" s="1"/>
  <c r="T242" i="4" s="1"/>
  <c r="U242" i="4" s="1"/>
  <c r="V242" i="4" s="1"/>
  <c r="W242" i="4" s="1"/>
  <c r="X242" i="4" s="1"/>
  <c r="Y242" i="4" s="1"/>
  <c r="Z242" i="4" s="1"/>
  <c r="AA242" i="4" s="1"/>
  <c r="AB242" i="4" s="1"/>
  <c r="AC242" i="4" s="1"/>
  <c r="AD242" i="4" s="1"/>
  <c r="AE242" i="4" s="1"/>
  <c r="AF242" i="4" s="1"/>
  <c r="AG242" i="4" s="1"/>
  <c r="AH242" i="4" s="1"/>
  <c r="AI242" i="4" s="1"/>
  <c r="AJ242" i="4" s="1"/>
  <c r="AK242" i="4" s="1"/>
  <c r="AL242" i="4" s="1"/>
  <c r="AM242" i="4" s="1"/>
  <c r="AN242" i="4" s="1"/>
  <c r="AO242" i="4" s="1"/>
  <c r="AP242" i="4" s="1"/>
  <c r="AQ242" i="4" s="1"/>
  <c r="AR242" i="4" s="1"/>
  <c r="AS242" i="4" s="1"/>
  <c r="G222" i="4"/>
  <c r="H222" i="4" s="1"/>
  <c r="I222" i="4" s="1"/>
  <c r="J222" i="4" s="1"/>
  <c r="K222" i="4" s="1"/>
  <c r="L222" i="4" s="1"/>
  <c r="M222" i="4" s="1"/>
  <c r="N222" i="4" s="1"/>
  <c r="O222" i="4" s="1"/>
  <c r="P222" i="4" s="1"/>
  <c r="Q222" i="4" s="1"/>
  <c r="R222" i="4" s="1"/>
  <c r="S222" i="4" s="1"/>
  <c r="T222" i="4" s="1"/>
  <c r="U222" i="4" s="1"/>
  <c r="V222" i="4" s="1"/>
  <c r="W222" i="4" s="1"/>
  <c r="X222" i="4" s="1"/>
  <c r="Y222" i="4" s="1"/>
  <c r="Z222" i="4" s="1"/>
  <c r="AA222" i="4" s="1"/>
  <c r="AB222" i="4" s="1"/>
  <c r="AC222" i="4" s="1"/>
  <c r="AD222" i="4" s="1"/>
  <c r="AE222" i="4" s="1"/>
  <c r="AF222" i="4" s="1"/>
  <c r="AG222" i="4" s="1"/>
  <c r="AH222" i="4" s="1"/>
  <c r="AI222" i="4" s="1"/>
  <c r="AJ222" i="4" s="1"/>
  <c r="AK222" i="4" s="1"/>
  <c r="AL222" i="4" s="1"/>
  <c r="AM222" i="4" s="1"/>
  <c r="AN222" i="4" s="1"/>
  <c r="AO222" i="4" s="1"/>
  <c r="AP222" i="4" s="1"/>
  <c r="AQ222" i="4" s="1"/>
  <c r="AR222" i="4" s="1"/>
  <c r="AS222" i="4" s="1"/>
  <c r="G202" i="4"/>
  <c r="G192" i="4"/>
  <c r="G282" i="4"/>
  <c r="G207" i="4"/>
  <c r="G197" i="4"/>
  <c r="G163" i="4"/>
  <c r="H163" i="4" s="1"/>
  <c r="I163" i="4" s="1"/>
  <c r="J163" i="4" s="1"/>
  <c r="K163" i="4" s="1"/>
  <c r="L163" i="4" s="1"/>
  <c r="M163" i="4" s="1"/>
  <c r="N163" i="4" s="1"/>
  <c r="O163" i="4" s="1"/>
  <c r="P163" i="4" s="1"/>
  <c r="Q163" i="4" s="1"/>
  <c r="R163" i="4" s="1"/>
  <c r="S163" i="4" s="1"/>
  <c r="T163" i="4" s="1"/>
  <c r="U163" i="4" s="1"/>
  <c r="V163" i="4" s="1"/>
  <c r="W163" i="4" s="1"/>
  <c r="X163" i="4" s="1"/>
  <c r="Y163" i="4" s="1"/>
  <c r="Z163" i="4" s="1"/>
  <c r="AA163" i="4" s="1"/>
  <c r="AB163" i="4" s="1"/>
  <c r="AC163" i="4" s="1"/>
  <c r="AD163" i="4" s="1"/>
  <c r="AE163" i="4" s="1"/>
  <c r="AF163" i="4" s="1"/>
  <c r="AG163" i="4" s="1"/>
  <c r="AH163" i="4" s="1"/>
  <c r="AI163" i="4" s="1"/>
  <c r="AJ163" i="4" s="1"/>
  <c r="AK163" i="4" s="1"/>
  <c r="AL163" i="4" s="1"/>
  <c r="AM163" i="4" s="1"/>
  <c r="AN163" i="4" s="1"/>
  <c r="AO163" i="4" s="1"/>
  <c r="AP163" i="4" s="1"/>
  <c r="AQ163" i="4" s="1"/>
  <c r="AR163" i="4" s="1"/>
  <c r="AS163" i="4" s="1"/>
  <c r="G159" i="4"/>
  <c r="G143" i="4"/>
  <c r="G139" i="4"/>
  <c r="G287" i="4"/>
  <c r="G272" i="4"/>
  <c r="H272" i="4" s="1"/>
  <c r="I272" i="4" s="1"/>
  <c r="J272" i="4" s="1"/>
  <c r="K272" i="4" s="1"/>
  <c r="L272" i="4" s="1"/>
  <c r="M272" i="4" s="1"/>
  <c r="N272" i="4" s="1"/>
  <c r="O272" i="4" s="1"/>
  <c r="P272" i="4" s="1"/>
  <c r="Q272" i="4" s="1"/>
  <c r="R272" i="4" s="1"/>
  <c r="S272" i="4" s="1"/>
  <c r="T272" i="4" s="1"/>
  <c r="U272" i="4" s="1"/>
  <c r="V272" i="4" s="1"/>
  <c r="W272" i="4" s="1"/>
  <c r="X272" i="4" s="1"/>
  <c r="Y272" i="4" s="1"/>
  <c r="Z272" i="4" s="1"/>
  <c r="AA272" i="4" s="1"/>
  <c r="AB272" i="4" s="1"/>
  <c r="AC272" i="4" s="1"/>
  <c r="AD272" i="4" s="1"/>
  <c r="AE272" i="4" s="1"/>
  <c r="AF272" i="4" s="1"/>
  <c r="AG272" i="4" s="1"/>
  <c r="AH272" i="4" s="1"/>
  <c r="AI272" i="4" s="1"/>
  <c r="AJ272" i="4" s="1"/>
  <c r="AK272" i="4" s="1"/>
  <c r="AL272" i="4" s="1"/>
  <c r="AM272" i="4" s="1"/>
  <c r="AN272" i="4" s="1"/>
  <c r="AO272" i="4" s="1"/>
  <c r="AP272" i="4" s="1"/>
  <c r="AQ272" i="4" s="1"/>
  <c r="AR272" i="4" s="1"/>
  <c r="AS272" i="4" s="1"/>
  <c r="G232" i="4"/>
  <c r="H232" i="4" s="1"/>
  <c r="I232" i="4" s="1"/>
  <c r="J232" i="4" s="1"/>
  <c r="K232" i="4" s="1"/>
  <c r="L232" i="4" s="1"/>
  <c r="M232" i="4" s="1"/>
  <c r="N232" i="4" s="1"/>
  <c r="O232" i="4" s="1"/>
  <c r="P232" i="4" s="1"/>
  <c r="Q232" i="4" s="1"/>
  <c r="R232" i="4" s="1"/>
  <c r="S232" i="4" s="1"/>
  <c r="T232" i="4" s="1"/>
  <c r="U232" i="4" s="1"/>
  <c r="V232" i="4" s="1"/>
  <c r="W232" i="4" s="1"/>
  <c r="X232" i="4" s="1"/>
  <c r="Y232" i="4" s="1"/>
  <c r="Z232" i="4" s="1"/>
  <c r="AA232" i="4" s="1"/>
  <c r="AB232" i="4" s="1"/>
  <c r="AC232" i="4" s="1"/>
  <c r="AD232" i="4" s="1"/>
  <c r="AE232" i="4" s="1"/>
  <c r="AF232" i="4" s="1"/>
  <c r="AG232" i="4" s="1"/>
  <c r="AH232" i="4" s="1"/>
  <c r="AI232" i="4" s="1"/>
  <c r="AJ232" i="4" s="1"/>
  <c r="AK232" i="4" s="1"/>
  <c r="AL232" i="4" s="1"/>
  <c r="AM232" i="4" s="1"/>
  <c r="AN232" i="4" s="1"/>
  <c r="AO232" i="4" s="1"/>
  <c r="AP232" i="4" s="1"/>
  <c r="AQ232" i="4" s="1"/>
  <c r="AR232" i="4" s="1"/>
  <c r="AS232" i="4" s="1"/>
  <c r="G268" i="4"/>
  <c r="G247" i="4"/>
  <c r="H247" i="4" s="1"/>
  <c r="I247" i="4" s="1"/>
  <c r="J247" i="4" s="1"/>
  <c r="K247" i="4" s="1"/>
  <c r="L247" i="4" s="1"/>
  <c r="M247" i="4" s="1"/>
  <c r="N247" i="4" s="1"/>
  <c r="O247" i="4" s="1"/>
  <c r="P247" i="4" s="1"/>
  <c r="Q247" i="4" s="1"/>
  <c r="R247" i="4" s="1"/>
  <c r="S247" i="4" s="1"/>
  <c r="T247" i="4" s="1"/>
  <c r="U247" i="4" s="1"/>
  <c r="V247" i="4" s="1"/>
  <c r="W247" i="4" s="1"/>
  <c r="X247" i="4" s="1"/>
  <c r="Y247" i="4" s="1"/>
  <c r="Z247" i="4" s="1"/>
  <c r="AA247" i="4" s="1"/>
  <c r="AB247" i="4" s="1"/>
  <c r="AC247" i="4" s="1"/>
  <c r="AD247" i="4" s="1"/>
  <c r="AE247" i="4" s="1"/>
  <c r="AF247" i="4" s="1"/>
  <c r="AG247" i="4" s="1"/>
  <c r="AH247" i="4" s="1"/>
  <c r="AI247" i="4" s="1"/>
  <c r="AJ247" i="4" s="1"/>
  <c r="AK247" i="4" s="1"/>
  <c r="AL247" i="4" s="1"/>
  <c r="AM247" i="4" s="1"/>
  <c r="AN247" i="4" s="1"/>
  <c r="AO247" i="4" s="1"/>
  <c r="AP247" i="4" s="1"/>
  <c r="AQ247" i="4" s="1"/>
  <c r="AR247" i="4" s="1"/>
  <c r="AS247" i="4" s="1"/>
  <c r="G164" i="4"/>
  <c r="G168" i="4"/>
  <c r="H168" i="4" s="1"/>
  <c r="I168" i="4" s="1"/>
  <c r="J168" i="4" s="1"/>
  <c r="K168" i="4" s="1"/>
  <c r="L168" i="4" s="1"/>
  <c r="M168" i="4" s="1"/>
  <c r="N168" i="4" s="1"/>
  <c r="O168" i="4" s="1"/>
  <c r="P168" i="4" s="1"/>
  <c r="Q168" i="4" s="1"/>
  <c r="R168" i="4" s="1"/>
  <c r="S168" i="4" s="1"/>
  <c r="T168" i="4" s="1"/>
  <c r="U168" i="4" s="1"/>
  <c r="V168" i="4" s="1"/>
  <c r="W168" i="4" s="1"/>
  <c r="X168" i="4" s="1"/>
  <c r="Y168" i="4" s="1"/>
  <c r="Z168" i="4" s="1"/>
  <c r="AA168" i="4" s="1"/>
  <c r="AB168" i="4" s="1"/>
  <c r="AC168" i="4" s="1"/>
  <c r="AD168" i="4" s="1"/>
  <c r="AE168" i="4" s="1"/>
  <c r="AF168" i="4" s="1"/>
  <c r="AG168" i="4" s="1"/>
  <c r="AH168" i="4" s="1"/>
  <c r="AI168" i="4" s="1"/>
  <c r="AJ168" i="4" s="1"/>
  <c r="AK168" i="4" s="1"/>
  <c r="AL168" i="4" s="1"/>
  <c r="AM168" i="4" s="1"/>
  <c r="AN168" i="4" s="1"/>
  <c r="AO168" i="4" s="1"/>
  <c r="AP168" i="4" s="1"/>
  <c r="AQ168" i="4" s="1"/>
  <c r="AR168" i="4" s="1"/>
  <c r="AS168" i="4" s="1"/>
  <c r="G158" i="4"/>
  <c r="H158" i="4" s="1"/>
  <c r="I158" i="4" s="1"/>
  <c r="J158" i="4" s="1"/>
  <c r="K158" i="4" s="1"/>
  <c r="L158" i="4" s="1"/>
  <c r="M158" i="4" s="1"/>
  <c r="N158" i="4" s="1"/>
  <c r="O158" i="4" s="1"/>
  <c r="P158" i="4" s="1"/>
  <c r="Q158" i="4" s="1"/>
  <c r="R158" i="4" s="1"/>
  <c r="S158" i="4" s="1"/>
  <c r="T158" i="4" s="1"/>
  <c r="U158" i="4" s="1"/>
  <c r="V158" i="4" s="1"/>
  <c r="W158" i="4" s="1"/>
  <c r="X158" i="4" s="1"/>
  <c r="Y158" i="4" s="1"/>
  <c r="Z158" i="4" s="1"/>
  <c r="AA158" i="4" s="1"/>
  <c r="AB158" i="4" s="1"/>
  <c r="AC158" i="4" s="1"/>
  <c r="AD158" i="4" s="1"/>
  <c r="AE158" i="4" s="1"/>
  <c r="AF158" i="4" s="1"/>
  <c r="AG158" i="4" s="1"/>
  <c r="AH158" i="4" s="1"/>
  <c r="AI158" i="4" s="1"/>
  <c r="AJ158" i="4" s="1"/>
  <c r="AK158" i="4" s="1"/>
  <c r="AL158" i="4" s="1"/>
  <c r="AM158" i="4" s="1"/>
  <c r="AN158" i="4" s="1"/>
  <c r="AO158" i="4" s="1"/>
  <c r="AP158" i="4" s="1"/>
  <c r="AQ158" i="4" s="1"/>
  <c r="AR158" i="4" s="1"/>
  <c r="AS158" i="4" s="1"/>
  <c r="G153" i="4"/>
  <c r="H153" i="4" s="1"/>
  <c r="I153" i="4" s="1"/>
  <c r="J153" i="4" s="1"/>
  <c r="K153" i="4" s="1"/>
  <c r="L153" i="4" s="1"/>
  <c r="M153" i="4" s="1"/>
  <c r="N153" i="4" s="1"/>
  <c r="O153" i="4" s="1"/>
  <c r="P153" i="4" s="1"/>
  <c r="Q153" i="4" s="1"/>
  <c r="R153" i="4" s="1"/>
  <c r="S153" i="4" s="1"/>
  <c r="T153" i="4" s="1"/>
  <c r="U153" i="4" s="1"/>
  <c r="V153" i="4" s="1"/>
  <c r="W153" i="4" s="1"/>
  <c r="X153" i="4" s="1"/>
  <c r="Y153" i="4" s="1"/>
  <c r="Z153" i="4" s="1"/>
  <c r="AA153" i="4" s="1"/>
  <c r="AB153" i="4" s="1"/>
  <c r="AC153" i="4" s="1"/>
  <c r="AD153" i="4" s="1"/>
  <c r="AE153" i="4" s="1"/>
  <c r="AF153" i="4" s="1"/>
  <c r="AG153" i="4" s="1"/>
  <c r="AH153" i="4" s="1"/>
  <c r="AI153" i="4" s="1"/>
  <c r="AJ153" i="4" s="1"/>
  <c r="AK153" i="4" s="1"/>
  <c r="AL153" i="4" s="1"/>
  <c r="AM153" i="4" s="1"/>
  <c r="AN153" i="4" s="1"/>
  <c r="AO153" i="4" s="1"/>
  <c r="AP153" i="4" s="1"/>
  <c r="AQ153" i="4" s="1"/>
  <c r="AR153" i="4" s="1"/>
  <c r="AS153" i="4" s="1"/>
  <c r="G148" i="4"/>
  <c r="H148" i="4" s="1"/>
  <c r="I148" i="4" s="1"/>
  <c r="J148" i="4" s="1"/>
  <c r="K148" i="4" s="1"/>
  <c r="L148" i="4" s="1"/>
  <c r="M148" i="4" s="1"/>
  <c r="N148" i="4" s="1"/>
  <c r="O148" i="4" s="1"/>
  <c r="P148" i="4" s="1"/>
  <c r="Q148" i="4" s="1"/>
  <c r="R148" i="4" s="1"/>
  <c r="S148" i="4" s="1"/>
  <c r="T148" i="4" s="1"/>
  <c r="U148" i="4" s="1"/>
  <c r="V148" i="4" s="1"/>
  <c r="W148" i="4" s="1"/>
  <c r="X148" i="4" s="1"/>
  <c r="Y148" i="4" s="1"/>
  <c r="Z148" i="4" s="1"/>
  <c r="AA148" i="4" s="1"/>
  <c r="AB148" i="4" s="1"/>
  <c r="AC148" i="4" s="1"/>
  <c r="AD148" i="4" s="1"/>
  <c r="AE148" i="4" s="1"/>
  <c r="AF148" i="4" s="1"/>
  <c r="AG148" i="4" s="1"/>
  <c r="AH148" i="4" s="1"/>
  <c r="AI148" i="4" s="1"/>
  <c r="AJ148" i="4" s="1"/>
  <c r="AK148" i="4" s="1"/>
  <c r="AL148" i="4" s="1"/>
  <c r="AM148" i="4" s="1"/>
  <c r="AN148" i="4" s="1"/>
  <c r="AO148" i="4" s="1"/>
  <c r="AP148" i="4" s="1"/>
  <c r="AQ148" i="4" s="1"/>
  <c r="AR148" i="4" s="1"/>
  <c r="AS148" i="4" s="1"/>
  <c r="G12" i="4"/>
  <c r="H12" i="4" s="1"/>
  <c r="I12" i="4" s="1"/>
  <c r="J12" i="4" s="1"/>
  <c r="K12" i="4" s="1"/>
  <c r="L12" i="4" s="1"/>
  <c r="M12" i="4" s="1"/>
  <c r="N12" i="4" s="1"/>
  <c r="O12" i="4" s="1"/>
  <c r="P12" i="4" s="1"/>
  <c r="Q12" i="4" s="1"/>
  <c r="R12" i="4" s="1"/>
  <c r="S12" i="4" s="1"/>
  <c r="T12" i="4" s="1"/>
  <c r="U12" i="4" s="1"/>
  <c r="V12" i="4" s="1"/>
  <c r="W12" i="4" s="1"/>
  <c r="X12" i="4" s="1"/>
  <c r="Y12" i="4" s="1"/>
  <c r="Z12" i="4" s="1"/>
  <c r="AA12" i="4" s="1"/>
  <c r="AB12" i="4" s="1"/>
  <c r="AC12" i="4" s="1"/>
  <c r="AD12" i="4" s="1"/>
  <c r="AE12" i="4" s="1"/>
  <c r="AF12" i="4" s="1"/>
  <c r="AG12" i="4" s="1"/>
  <c r="AH12" i="4" s="1"/>
  <c r="AI12" i="4" s="1"/>
  <c r="AJ12" i="4" s="1"/>
  <c r="AK12" i="4" s="1"/>
  <c r="AL12" i="4" s="1"/>
  <c r="AM12" i="4" s="1"/>
  <c r="AN12" i="4" s="1"/>
  <c r="AO12" i="4" s="1"/>
  <c r="AP12" i="4" s="1"/>
  <c r="AQ12" i="4" s="1"/>
  <c r="AR12" i="4" s="1"/>
  <c r="AS12" i="4" s="1"/>
  <c r="H45" i="4"/>
  <c r="G109" i="4"/>
  <c r="G113" i="4"/>
  <c r="G119" i="4"/>
  <c r="G123" i="4"/>
  <c r="G129" i="4"/>
  <c r="G133" i="4"/>
  <c r="H133" i="4" s="1"/>
  <c r="I133" i="4" s="1"/>
  <c r="J133" i="4" s="1"/>
  <c r="K133" i="4" s="1"/>
  <c r="L133" i="4" s="1"/>
  <c r="M133" i="4" s="1"/>
  <c r="N133" i="4" s="1"/>
  <c r="O133" i="4" s="1"/>
  <c r="P133" i="4" s="1"/>
  <c r="Q133" i="4" s="1"/>
  <c r="R133" i="4" s="1"/>
  <c r="S133" i="4" s="1"/>
  <c r="T133" i="4" s="1"/>
  <c r="U133" i="4" s="1"/>
  <c r="V133" i="4" s="1"/>
  <c r="W133" i="4" s="1"/>
  <c r="X133" i="4" s="1"/>
  <c r="Y133" i="4" s="1"/>
  <c r="Z133" i="4" s="1"/>
  <c r="AA133" i="4" s="1"/>
  <c r="AB133" i="4" s="1"/>
  <c r="AC133" i="4" s="1"/>
  <c r="AD133" i="4" s="1"/>
  <c r="AE133" i="4" s="1"/>
  <c r="AF133" i="4" s="1"/>
  <c r="AG133" i="4" s="1"/>
  <c r="AH133" i="4" s="1"/>
  <c r="AI133" i="4" s="1"/>
  <c r="AJ133" i="4" s="1"/>
  <c r="AK133" i="4" s="1"/>
  <c r="AL133" i="4" s="1"/>
  <c r="AM133" i="4" s="1"/>
  <c r="AN133" i="4" s="1"/>
  <c r="AO133" i="4" s="1"/>
  <c r="AP133" i="4" s="1"/>
  <c r="AQ133" i="4" s="1"/>
  <c r="AR133" i="4" s="1"/>
  <c r="AS133" i="4" s="1"/>
  <c r="G187" i="4"/>
  <c r="F277" i="4"/>
  <c r="G277" i="4" s="1"/>
  <c r="H277" i="4" s="1"/>
  <c r="I277" i="4" s="1"/>
  <c r="J277" i="4" s="1"/>
  <c r="K277" i="4" s="1"/>
  <c r="L277" i="4" s="1"/>
  <c r="M277" i="4" s="1"/>
  <c r="N277" i="4" s="1"/>
  <c r="O277" i="4" s="1"/>
  <c r="P277" i="4" s="1"/>
  <c r="Q277" i="4" s="1"/>
  <c r="R277" i="4" s="1"/>
  <c r="S277" i="4" s="1"/>
  <c r="T277" i="4" s="1"/>
  <c r="U277" i="4" s="1"/>
  <c r="V277" i="4" s="1"/>
  <c r="W277" i="4" s="1"/>
  <c r="X277" i="4" s="1"/>
  <c r="Y277" i="4" s="1"/>
  <c r="Z277" i="4" s="1"/>
  <c r="AA277" i="4" s="1"/>
  <c r="AB277" i="4" s="1"/>
  <c r="AC277" i="4" s="1"/>
  <c r="AD277" i="4" s="1"/>
  <c r="AE277" i="4" s="1"/>
  <c r="AF277" i="4" s="1"/>
  <c r="AG277" i="4" s="1"/>
  <c r="AH277" i="4" s="1"/>
  <c r="AI277" i="4" s="1"/>
  <c r="AJ277" i="4" s="1"/>
  <c r="AK277" i="4" s="1"/>
  <c r="AL277" i="4" s="1"/>
  <c r="AM277" i="4" s="1"/>
  <c r="AN277" i="4" s="1"/>
  <c r="AO277" i="4" s="1"/>
  <c r="AP277" i="4" s="1"/>
  <c r="AQ277" i="4" s="1"/>
  <c r="AR277" i="4" s="1"/>
  <c r="AS277" i="4" s="1"/>
  <c r="G273" i="4"/>
  <c r="F275" i="4"/>
  <c r="F295" i="4"/>
  <c r="F1" i="4"/>
  <c r="G237" i="4"/>
  <c r="H237" i="4" s="1"/>
  <c r="I237" i="4" s="1"/>
  <c r="J237" i="4" s="1"/>
  <c r="K237" i="4" s="1"/>
  <c r="L237" i="4" s="1"/>
  <c r="M237" i="4" s="1"/>
  <c r="N237" i="4" s="1"/>
  <c r="O237" i="4" s="1"/>
  <c r="P237" i="4" s="1"/>
  <c r="Q237" i="4" s="1"/>
  <c r="R237" i="4" s="1"/>
  <c r="S237" i="4" s="1"/>
  <c r="T237" i="4" s="1"/>
  <c r="U237" i="4" s="1"/>
  <c r="V237" i="4" s="1"/>
  <c r="W237" i="4" s="1"/>
  <c r="X237" i="4" s="1"/>
  <c r="Y237" i="4" s="1"/>
  <c r="Z237" i="4" s="1"/>
  <c r="AA237" i="4" s="1"/>
  <c r="AB237" i="4" s="1"/>
  <c r="AC237" i="4" s="1"/>
  <c r="AD237" i="4" s="1"/>
  <c r="AE237" i="4" s="1"/>
  <c r="AF237" i="4" s="1"/>
  <c r="AG237" i="4" s="1"/>
  <c r="AH237" i="4" s="1"/>
  <c r="AI237" i="4" s="1"/>
  <c r="AJ237" i="4" s="1"/>
  <c r="AK237" i="4" s="1"/>
  <c r="AL237" i="4" s="1"/>
  <c r="AM237" i="4" s="1"/>
  <c r="AN237" i="4" s="1"/>
  <c r="AO237" i="4" s="1"/>
  <c r="AP237" i="4" s="1"/>
  <c r="AQ237" i="4" s="1"/>
  <c r="AR237" i="4" s="1"/>
  <c r="AS237" i="4" s="1"/>
  <c r="H263" i="4"/>
  <c r="BZ55" i="10"/>
  <c r="CA55" i="10" s="1"/>
  <c r="BB53" i="10"/>
  <c r="BC53" i="10" s="1"/>
  <c r="BV52" i="10"/>
  <c r="BW52" i="10" s="1"/>
  <c r="AX52" i="10"/>
  <c r="AY52" i="10" s="1"/>
  <c r="BV48" i="10"/>
  <c r="BW48" i="10" s="1"/>
  <c r="AP36" i="10"/>
  <c r="AQ36" i="10" s="1"/>
  <c r="AL35" i="10"/>
  <c r="AM35" i="10" s="1"/>
  <c r="AH34" i="10"/>
  <c r="AI34" i="10" s="1"/>
  <c r="BF33" i="10"/>
  <c r="BG33" i="10" s="1"/>
  <c r="BZ32" i="10"/>
  <c r="CA32" i="10" s="1"/>
  <c r="BV30" i="10"/>
  <c r="BW30" i="10" s="1"/>
  <c r="BJ30" i="10"/>
  <c r="BK30" i="10" s="1"/>
  <c r="AX30" i="10"/>
  <c r="AY30" i="10" s="1"/>
  <c r="AP25" i="10"/>
  <c r="AQ25" i="10" s="1"/>
  <c r="AH23" i="10"/>
  <c r="AI23" i="10" s="1"/>
  <c r="BB20" i="10"/>
  <c r="BC20" i="10" s="1"/>
  <c r="AP20" i="10"/>
  <c r="AQ20" i="10" s="1"/>
  <c r="BR18" i="10"/>
  <c r="BS18" i="10" s="1"/>
  <c r="BR53" i="10"/>
  <c r="BS53" i="10" s="1"/>
  <c r="AX53" i="10"/>
  <c r="AY53" i="10" s="1"/>
  <c r="AP48" i="10"/>
  <c r="AQ48" i="10" s="1"/>
  <c r="BF39" i="10"/>
  <c r="BG39" i="10" s="1"/>
  <c r="BF53" i="10"/>
  <c r="BG53" i="10" s="1"/>
  <c r="AL53" i="10"/>
  <c r="AM53" i="10" s="1"/>
  <c r="AL52" i="10"/>
  <c r="AM52" i="10" s="1"/>
  <c r="BV50" i="10"/>
  <c r="BW50" i="10" s="1"/>
  <c r="AP49" i="10"/>
  <c r="AQ49" i="10" s="1"/>
  <c r="AX47" i="10"/>
  <c r="AY47" i="10" s="1"/>
  <c r="BR41" i="10"/>
  <c r="BS41" i="10" s="1"/>
  <c r="AT40" i="10"/>
  <c r="AU40" i="10" s="1"/>
  <c r="BV35" i="10"/>
  <c r="BW35" i="10" s="1"/>
  <c r="BN35" i="10"/>
  <c r="BO35" i="10" s="1"/>
  <c r="BR32" i="10"/>
  <c r="BS32" i="10" s="1"/>
  <c r="BF32" i="10"/>
  <c r="BG32" i="10" s="1"/>
  <c r="AT32" i="10"/>
  <c r="AU32" i="10" s="1"/>
  <c r="BR29" i="10"/>
  <c r="BS29" i="10" s="1"/>
  <c r="BR24" i="10"/>
  <c r="BS24" i="10" s="1"/>
  <c r="BF24" i="10"/>
  <c r="BG24" i="10" s="1"/>
  <c r="BN23" i="10"/>
  <c r="BO23" i="10" s="1"/>
  <c r="AP53" i="10"/>
  <c r="AQ53" i="10" s="1"/>
  <c r="AP50" i="10"/>
  <c r="AQ50" i="10" s="1"/>
  <c r="AX33" i="10"/>
  <c r="AY33" i="10" s="1"/>
  <c r="BB29" i="10"/>
  <c r="BC29" i="10" s="1"/>
  <c r="BZ28" i="10"/>
  <c r="CA28" i="10" s="1"/>
  <c r="BN28" i="10"/>
  <c r="BO28" i="10" s="1"/>
  <c r="AT28" i="10"/>
  <c r="AU28" i="10" s="1"/>
  <c r="AH28" i="10"/>
  <c r="AI28" i="10" s="1"/>
  <c r="BV25" i="10"/>
  <c r="BW25" i="10" s="1"/>
  <c r="AP24" i="10"/>
  <c r="AQ24" i="10" s="1"/>
  <c r="BB18" i="10"/>
  <c r="BC18" i="10" s="1"/>
  <c r="BJ51" i="10"/>
  <c r="BK51" i="10" s="1"/>
  <c r="BV38" i="10"/>
  <c r="BW38" i="10" s="1"/>
  <c r="BV36" i="10"/>
  <c r="BW36" i="10" s="1"/>
  <c r="BR35" i="10"/>
  <c r="BS35" i="10" s="1"/>
  <c r="BF35" i="10"/>
  <c r="BG35" i="10" s="1"/>
  <c r="BJ28" i="10"/>
  <c r="BK28" i="10" s="1"/>
  <c r="AX28" i="10"/>
  <c r="AY28" i="10" s="1"/>
  <c r="AL23" i="10"/>
  <c r="AM23" i="10" s="1"/>
  <c r="BF19" i="10"/>
  <c r="BG19" i="10" s="1"/>
  <c r="BN53" i="10"/>
  <c r="BO53" i="10" s="1"/>
  <c r="AH52" i="10"/>
  <c r="AI52" i="10" s="1"/>
  <c r="BR23" i="10"/>
  <c r="BS23" i="10" s="1"/>
  <c r="BF23" i="10"/>
  <c r="BG23" i="10" s="1"/>
  <c r="BV46" i="10"/>
  <c r="BW46" i="10" s="1"/>
  <c r="BB44" i="10"/>
  <c r="BC44" i="10" s="1"/>
  <c r="AP44" i="10"/>
  <c r="AQ44" i="10" s="1"/>
  <c r="AH35" i="10"/>
  <c r="AI35" i="10" s="1"/>
  <c r="AT33" i="10"/>
  <c r="AU33" i="10" s="1"/>
  <c r="AH33" i="10"/>
  <c r="AI33" i="10" s="1"/>
  <c r="BB23" i="10"/>
  <c r="BC23" i="10" s="1"/>
  <c r="AH53" i="10"/>
  <c r="AI53" i="10" s="1"/>
  <c r="BB52" i="10"/>
  <c r="BC52" i="10" s="1"/>
  <c r="AP52" i="10"/>
  <c r="AQ52" i="10" s="1"/>
  <c r="BB24" i="10"/>
  <c r="BC24" i="10" s="1"/>
  <c r="AP30" i="10"/>
  <c r="AQ30" i="10" s="1"/>
  <c r="BZ54" i="10"/>
  <c r="CA54" i="10" s="1"/>
  <c r="BZ57" i="10"/>
  <c r="CA57" i="10" s="1"/>
  <c r="G102" i="4"/>
  <c r="G103" i="4" s="1"/>
  <c r="F291" i="4"/>
  <c r="G291" i="4" s="1"/>
  <c r="H291" i="4" s="1"/>
  <c r="I291" i="4" s="1"/>
  <c r="J291" i="4" s="1"/>
  <c r="K291" i="4" s="1"/>
  <c r="L291" i="4" s="1"/>
  <c r="M291" i="4" s="1"/>
  <c r="N291" i="4" s="1"/>
  <c r="O291" i="4" s="1"/>
  <c r="P291" i="4" s="1"/>
  <c r="Q291" i="4" s="1"/>
  <c r="R291" i="4" s="1"/>
  <c r="S291" i="4" s="1"/>
  <c r="T291" i="4" s="1"/>
  <c r="U291" i="4" s="1"/>
  <c r="V291" i="4" s="1"/>
  <c r="W291" i="4" s="1"/>
  <c r="X291" i="4" s="1"/>
  <c r="Y291" i="4" s="1"/>
  <c r="Z291" i="4" s="1"/>
  <c r="AA291" i="4" s="1"/>
  <c r="AB291" i="4" s="1"/>
  <c r="AC291" i="4" s="1"/>
  <c r="AD291" i="4" s="1"/>
  <c r="AE291" i="4" s="1"/>
  <c r="AF291" i="4" s="1"/>
  <c r="AG291" i="4" s="1"/>
  <c r="AH291" i="4" s="1"/>
  <c r="AI291" i="4" s="1"/>
  <c r="AJ291" i="4" s="1"/>
  <c r="AK291" i="4" s="1"/>
  <c r="AL291" i="4" s="1"/>
  <c r="AM291" i="4" s="1"/>
  <c r="AN291" i="4" s="1"/>
  <c r="AO291" i="4" s="1"/>
  <c r="AP291" i="4" s="1"/>
  <c r="AQ291" i="4" s="1"/>
  <c r="AR291" i="4" s="1"/>
  <c r="AS291" i="4" s="1"/>
  <c r="BV32" i="10"/>
  <c r="BW32" i="10" s="1"/>
  <c r="BN34" i="10"/>
  <c r="BO34" i="10" s="1"/>
  <c r="BJ42" i="10"/>
  <c r="BK42" i="10" s="1"/>
  <c r="BF50" i="10"/>
  <c r="BG50" i="10" s="1"/>
  <c r="BF36" i="10"/>
  <c r="BG36" i="10" s="1"/>
  <c r="BZ23" i="10"/>
  <c r="CA23" i="10" s="1"/>
  <c r="BF25" i="10"/>
  <c r="BG25" i="10" s="1"/>
  <c r="BZ52" i="10"/>
  <c r="CA52" i="10" s="1"/>
  <c r="H411" i="4"/>
  <c r="BZ18" i="10"/>
  <c r="CA18" i="10" s="1"/>
  <c r="BZ29" i="10"/>
  <c r="CA29" i="10" s="1"/>
  <c r="BZ35" i="10"/>
  <c r="CA35" i="10" s="1"/>
  <c r="S405" i="4"/>
  <c r="M406" i="4" s="1"/>
  <c r="M407" i="4" s="1"/>
  <c r="N409" i="4" s="1"/>
  <c r="BZ24" i="10"/>
  <c r="CA24" i="10" s="1"/>
  <c r="AP39" i="10"/>
  <c r="AQ39" i="10" s="1"/>
  <c r="BZ41" i="10"/>
  <c r="CA41" i="10" s="1"/>
  <c r="AX48" i="10"/>
  <c r="AY48" i="10" s="1"/>
  <c r="AT55" i="10"/>
  <c r="AU55" i="10" s="1"/>
  <c r="BZ47" i="10"/>
  <c r="CA47" i="10" s="1"/>
  <c r="BZ30" i="10"/>
  <c r="CA30" i="10" s="1"/>
  <c r="BZ33" i="10"/>
  <c r="CA33" i="10" s="1"/>
  <c r="BN40" i="10"/>
  <c r="BO40" i="10" s="1"/>
  <c r="BV44" i="10"/>
  <c r="BW44" i="10" s="1"/>
  <c r="BN51" i="10"/>
  <c r="BO51" i="10" s="1"/>
  <c r="BZ53" i="10"/>
  <c r="CA53" i="10" s="1"/>
  <c r="F243" i="2"/>
  <c r="F471" i="2"/>
  <c r="G357" i="2"/>
  <c r="H7" i="2"/>
  <c r="E211" i="3"/>
  <c r="AY211" i="3"/>
  <c r="E143" i="3"/>
  <c r="E181" i="3"/>
  <c r="AY181" i="3"/>
  <c r="BC63" i="3"/>
  <c r="J318" i="2"/>
  <c r="BG63" i="3"/>
  <c r="N318" i="2"/>
  <c r="BK63" i="3"/>
  <c r="R318" i="2"/>
  <c r="BK318" i="3" s="1"/>
  <c r="BO63" i="3"/>
  <c r="V318" i="2"/>
  <c r="BS63" i="3"/>
  <c r="Z318" i="2"/>
  <c r="BW63" i="3"/>
  <c r="AD318" i="2"/>
  <c r="CA63" i="3"/>
  <c r="AH318" i="2"/>
  <c r="CE63" i="3"/>
  <c r="AL318" i="2"/>
  <c r="CI63" i="3"/>
  <c r="AP318" i="2"/>
  <c r="AZ64" i="3"/>
  <c r="G356" i="2"/>
  <c r="BD64" i="3"/>
  <c r="K356" i="2"/>
  <c r="BH64" i="3"/>
  <c r="O356" i="2"/>
  <c r="BL64" i="3"/>
  <c r="S356" i="2"/>
  <c r="BP64" i="3"/>
  <c r="W356" i="2"/>
  <c r="BT64" i="3"/>
  <c r="AA356" i="2"/>
  <c r="BX64" i="3"/>
  <c r="AE356" i="2"/>
  <c r="CB64" i="3"/>
  <c r="AI356" i="2"/>
  <c r="CF64" i="3"/>
  <c r="AM356" i="2"/>
  <c r="CJ64" i="3"/>
  <c r="AQ356" i="2"/>
  <c r="AZ63" i="3"/>
  <c r="G318" i="2"/>
  <c r="BD63" i="3"/>
  <c r="K318" i="2"/>
  <c r="BH63" i="3"/>
  <c r="O318" i="2"/>
  <c r="BL63" i="3"/>
  <c r="S318" i="2"/>
  <c r="BP63" i="3"/>
  <c r="W318" i="2"/>
  <c r="BT63" i="3"/>
  <c r="AA318" i="2"/>
  <c r="BX63" i="3"/>
  <c r="AE318" i="2"/>
  <c r="CB63" i="3"/>
  <c r="AI318" i="2"/>
  <c r="CF63" i="3"/>
  <c r="AM318" i="2"/>
  <c r="CJ63" i="3"/>
  <c r="AQ318" i="2"/>
  <c r="BA64" i="3"/>
  <c r="H356" i="2"/>
  <c r="BE64" i="3"/>
  <c r="L356" i="2"/>
  <c r="BI64" i="3"/>
  <c r="P356" i="2"/>
  <c r="BM64" i="3"/>
  <c r="T356" i="2"/>
  <c r="BQ64" i="3"/>
  <c r="X356" i="2"/>
  <c r="BU64" i="3"/>
  <c r="AB356" i="2"/>
  <c r="BY64" i="3"/>
  <c r="AF356" i="2"/>
  <c r="CC64" i="3"/>
  <c r="AJ356" i="2"/>
  <c r="CG64" i="3"/>
  <c r="AN356" i="2"/>
  <c r="CK64" i="3"/>
  <c r="AR356" i="2"/>
  <c r="BA63" i="3"/>
  <c r="H318" i="2"/>
  <c r="BA318" i="3" s="1"/>
  <c r="BE63" i="3"/>
  <c r="L318" i="2"/>
  <c r="BE318" i="3" s="1"/>
  <c r="BI63" i="3"/>
  <c r="P318" i="2"/>
  <c r="BI318" i="3" s="1"/>
  <c r="BM63" i="3"/>
  <c r="T318" i="2"/>
  <c r="BM318" i="3" s="1"/>
  <c r="BQ63" i="3"/>
  <c r="X318" i="2"/>
  <c r="BQ318" i="3" s="1"/>
  <c r="BU63" i="3"/>
  <c r="AB318" i="2"/>
  <c r="BU318" i="3" s="1"/>
  <c r="BY63" i="3"/>
  <c r="AF318" i="2"/>
  <c r="BY318" i="3" s="1"/>
  <c r="CC63" i="3"/>
  <c r="AJ318" i="2"/>
  <c r="CC318" i="3" s="1"/>
  <c r="CG63" i="3"/>
  <c r="AN318" i="2"/>
  <c r="CG318" i="3" s="1"/>
  <c r="CK63" i="3"/>
  <c r="AR318" i="2"/>
  <c r="CK318" i="3" s="1"/>
  <c r="E64" i="2"/>
  <c r="BB64" i="3"/>
  <c r="I356" i="2"/>
  <c r="BF64" i="3"/>
  <c r="M356" i="2"/>
  <c r="BJ64" i="3"/>
  <c r="Q356" i="2"/>
  <c r="BN64" i="3"/>
  <c r="U356" i="2"/>
  <c r="BR64" i="3"/>
  <c r="Y356" i="2"/>
  <c r="BV64" i="3"/>
  <c r="AC356" i="2"/>
  <c r="BZ64" i="3"/>
  <c r="AG356" i="2"/>
  <c r="CD64" i="3"/>
  <c r="AK356" i="2"/>
  <c r="CH64" i="3"/>
  <c r="AO356" i="2"/>
  <c r="CL64" i="3"/>
  <c r="AS356" i="2"/>
  <c r="E63" i="2"/>
  <c r="BB63" i="3"/>
  <c r="I318" i="2"/>
  <c r="BB318" i="3" s="1"/>
  <c r="BF63" i="3"/>
  <c r="M318" i="2"/>
  <c r="BF318" i="3" s="1"/>
  <c r="BJ63" i="3"/>
  <c r="Q318" i="2"/>
  <c r="BJ318" i="3" s="1"/>
  <c r="BN63" i="3"/>
  <c r="U318" i="2"/>
  <c r="BN318" i="3" s="1"/>
  <c r="BR63" i="3"/>
  <c r="Y318" i="2"/>
  <c r="BR318" i="3" s="1"/>
  <c r="BV63" i="3"/>
  <c r="AC318" i="2"/>
  <c r="BV318" i="3" s="1"/>
  <c r="BZ63" i="3"/>
  <c r="AG318" i="2"/>
  <c r="BZ318" i="3" s="1"/>
  <c r="CD63" i="3"/>
  <c r="AK318" i="2"/>
  <c r="CD318" i="3" s="1"/>
  <c r="CH63" i="3"/>
  <c r="AO318" i="2"/>
  <c r="CH318" i="3" s="1"/>
  <c r="CL63" i="3"/>
  <c r="AS318" i="2"/>
  <c r="CL318" i="3" s="1"/>
  <c r="BC64" i="3"/>
  <c r="J356" i="2"/>
  <c r="BG64" i="3"/>
  <c r="N356" i="2"/>
  <c r="BK64" i="3"/>
  <c r="R356" i="2"/>
  <c r="BO64" i="3"/>
  <c r="V356" i="2"/>
  <c r="BS64" i="3"/>
  <c r="Z356" i="2"/>
  <c r="BW64" i="3"/>
  <c r="AD356" i="2"/>
  <c r="CA64" i="3"/>
  <c r="AH356" i="2"/>
  <c r="CE64" i="3"/>
  <c r="AL356" i="2"/>
  <c r="CI64" i="3"/>
  <c r="AP356" i="2"/>
  <c r="G221" i="5"/>
  <c r="K68" i="1"/>
  <c r="AY10" i="3"/>
  <c r="L68" i="1"/>
  <c r="M68" i="1"/>
  <c r="F324" i="2"/>
  <c r="AY324" i="3" s="1"/>
  <c r="AY489" i="3"/>
  <c r="AY9" i="3"/>
  <c r="F11" i="2"/>
  <c r="E72" i="1"/>
  <c r="E73" i="1" s="1"/>
  <c r="E479" i="1" s="1"/>
  <c r="F479" i="1" s="1"/>
  <c r="L67" i="1"/>
  <c r="K67" i="1"/>
  <c r="G29" i="5"/>
  <c r="H8" i="9"/>
  <c r="H104" i="9" s="1"/>
  <c r="M67" i="1"/>
  <c r="J72" i="1"/>
  <c r="F20" i="2"/>
  <c r="F306" i="2"/>
  <c r="H72" i="1"/>
  <c r="F96" i="2"/>
  <c r="F11" i="3"/>
  <c r="F20" i="3"/>
  <c r="F72" i="1"/>
  <c r="F73" i="1" s="1"/>
  <c r="E486" i="1" s="1"/>
  <c r="F486" i="1" s="1"/>
  <c r="F17" i="3"/>
  <c r="K69" i="1"/>
  <c r="F17" i="2"/>
  <c r="F127" i="2"/>
  <c r="AY15" i="3"/>
  <c r="F127" i="3"/>
  <c r="F353" i="3"/>
  <c r="AY353" i="3" s="1"/>
  <c r="L69" i="1"/>
  <c r="BZ26" i="10"/>
  <c r="CA26" i="10" s="1"/>
  <c r="AX26" i="10"/>
  <c r="AY26" i="10" s="1"/>
  <c r="AP26" i="10"/>
  <c r="AQ26" i="10" s="1"/>
  <c r="AH26" i="10"/>
  <c r="AI26" i="10" s="1"/>
  <c r="BR26" i="10"/>
  <c r="BS26" i="10" s="1"/>
  <c r="BV26" i="10"/>
  <c r="BW26" i="10" s="1"/>
  <c r="BB26" i="10"/>
  <c r="BC26" i="10" s="1"/>
  <c r="AL26" i="10"/>
  <c r="AM26" i="10" s="1"/>
  <c r="BZ31" i="10"/>
  <c r="CA31" i="10" s="1"/>
  <c r="BV31" i="10"/>
  <c r="BW31" i="10" s="1"/>
  <c r="BN31" i="10"/>
  <c r="BO31" i="10" s="1"/>
  <c r="BF31" i="10"/>
  <c r="BG31" i="10" s="1"/>
  <c r="AP31" i="10"/>
  <c r="AQ31" i="10" s="1"/>
  <c r="AH31" i="10"/>
  <c r="AI31" i="10" s="1"/>
  <c r="AX31" i="10"/>
  <c r="AY31" i="10" s="1"/>
  <c r="BR31" i="10"/>
  <c r="BS31" i="10" s="1"/>
  <c r="AL31" i="10"/>
  <c r="AM31" i="10" s="1"/>
  <c r="BB31" i="10"/>
  <c r="BC31" i="10" s="1"/>
  <c r="BZ43" i="10"/>
  <c r="CA43" i="10" s="1"/>
  <c r="BN43" i="10"/>
  <c r="BO43" i="10" s="1"/>
  <c r="BF43" i="10"/>
  <c r="BG43" i="10" s="1"/>
  <c r="AX43" i="10"/>
  <c r="AY43" i="10" s="1"/>
  <c r="AP43" i="10"/>
  <c r="AQ43" i="10" s="1"/>
  <c r="AH43" i="10"/>
  <c r="AI43" i="10" s="1"/>
  <c r="BR43" i="10"/>
  <c r="BS43" i="10" s="1"/>
  <c r="BB43" i="10"/>
  <c r="BC43" i="10" s="1"/>
  <c r="AL43" i="10"/>
  <c r="AM43" i="10" s="1"/>
  <c r="AO96" i="9"/>
  <c r="BO96" i="9"/>
  <c r="BP74" i="9"/>
  <c r="BP78" i="9"/>
  <c r="BP82" i="9"/>
  <c r="BZ19" i="10"/>
  <c r="CA19" i="10" s="1"/>
  <c r="AH19" i="10"/>
  <c r="AI19" i="10" s="1"/>
  <c r="BR19" i="10"/>
  <c r="BS19" i="10" s="1"/>
  <c r="BB19" i="10"/>
  <c r="BC19" i="10" s="1"/>
  <c r="AL19" i="10"/>
  <c r="AM19" i="10" s="1"/>
  <c r="AX19" i="10"/>
  <c r="AY19" i="10" s="1"/>
  <c r="BN26" i="10"/>
  <c r="BO26" i="10" s="1"/>
  <c r="BJ27" i="10"/>
  <c r="BK27" i="10" s="1"/>
  <c r="BZ27" i="10"/>
  <c r="CA27" i="10" s="1"/>
  <c r="AT27" i="10"/>
  <c r="AU27" i="10" s="1"/>
  <c r="F104" i="9"/>
  <c r="BP58" i="9"/>
  <c r="AP19" i="10"/>
  <c r="AQ19" i="10" s="1"/>
  <c r="BV19" i="10"/>
  <c r="BW19" i="10" s="1"/>
  <c r="BF26" i="10"/>
  <c r="BG26" i="10" s="1"/>
  <c r="BZ37" i="10"/>
  <c r="CA37" i="10" s="1"/>
  <c r="BR37" i="10"/>
  <c r="BS37" i="10" s="1"/>
  <c r="AH37" i="10"/>
  <c r="AI37" i="10" s="1"/>
  <c r="BV37" i="10"/>
  <c r="BW37" i="10" s="1"/>
  <c r="BB37" i="10"/>
  <c r="BC37" i="10" s="1"/>
  <c r="BN37" i="10"/>
  <c r="BO37" i="10" s="1"/>
  <c r="BF37" i="10"/>
  <c r="BG37" i="10" s="1"/>
  <c r="AL37" i="10"/>
  <c r="AM37" i="10" s="1"/>
  <c r="AX37" i="10"/>
  <c r="AY37" i="10" s="1"/>
  <c r="BZ38" i="10"/>
  <c r="CA38" i="10" s="1"/>
  <c r="BB38" i="10"/>
  <c r="BC38" i="10" s="1"/>
  <c r="BR38" i="10"/>
  <c r="BS38" i="10" s="1"/>
  <c r="AP38" i="10"/>
  <c r="AQ38" i="10" s="1"/>
  <c r="BF38" i="10"/>
  <c r="BG38" i="10" s="1"/>
  <c r="AL38" i="10"/>
  <c r="AM38" i="10" s="1"/>
  <c r="BZ49" i="10"/>
  <c r="CA49" i="10" s="1"/>
  <c r="BR49" i="10"/>
  <c r="BS49" i="10" s="1"/>
  <c r="AH49" i="10"/>
  <c r="AI49" i="10" s="1"/>
  <c r="BV49" i="10"/>
  <c r="BW49" i="10" s="1"/>
  <c r="BB49" i="10"/>
  <c r="BC49" i="10" s="1"/>
  <c r="BN49" i="10"/>
  <c r="BO49" i="10" s="1"/>
  <c r="BF49" i="10"/>
  <c r="BG49" i="10" s="1"/>
  <c r="AL49" i="10"/>
  <c r="AM49" i="10" s="1"/>
  <c r="AX49" i="10"/>
  <c r="AY49" i="10" s="1"/>
  <c r="BP62" i="9"/>
  <c r="BP67" i="9"/>
  <c r="BP69" i="9"/>
  <c r="BP72" i="9"/>
  <c r="BP76" i="9"/>
  <c r="BP80" i="9"/>
  <c r="BP92" i="9"/>
  <c r="BN19" i="10"/>
  <c r="BO19" i="10" s="1"/>
  <c r="BV21" i="10"/>
  <c r="BW21" i="10" s="1"/>
  <c r="BF21" i="10"/>
  <c r="BG21" i="10" s="1"/>
  <c r="AP21" i="10"/>
  <c r="AQ21" i="10" s="1"/>
  <c r="AP37" i="10"/>
  <c r="AQ37" i="10" s="1"/>
  <c r="BV43" i="10"/>
  <c r="BW43" i="10" s="1"/>
  <c r="BJ45" i="10"/>
  <c r="BK45" i="10" s="1"/>
  <c r="AP45" i="10"/>
  <c r="AQ45" i="10" s="1"/>
  <c r="BP89" i="9"/>
  <c r="BP90" i="9"/>
  <c r="AH18" i="10"/>
  <c r="AI18" i="10" s="1"/>
  <c r="BV20" i="10"/>
  <c r="BW20" i="10" s="1"/>
  <c r="AP23" i="10"/>
  <c r="AQ23" i="10" s="1"/>
  <c r="AX23" i="10"/>
  <c r="AY23" i="10" s="1"/>
  <c r="AL24" i="10"/>
  <c r="AM24" i="10" s="1"/>
  <c r="BV24" i="10"/>
  <c r="BW24" i="10" s="1"/>
  <c r="AH29" i="10"/>
  <c r="AI29" i="10" s="1"/>
  <c r="AL30" i="10"/>
  <c r="AM30" i="10" s="1"/>
  <c r="AL32" i="10"/>
  <c r="AM32" i="10" s="1"/>
  <c r="BB35" i="10"/>
  <c r="BC35" i="10" s="1"/>
  <c r="BV39" i="10"/>
  <c r="BW39" i="10" s="1"/>
  <c r="BJ40" i="10"/>
  <c r="BK40" i="10" s="1"/>
  <c r="AH41" i="10"/>
  <c r="AI41" i="10" s="1"/>
  <c r="AP41" i="10"/>
  <c r="AQ41" i="10" s="1"/>
  <c r="AX41" i="10"/>
  <c r="AY41" i="10" s="1"/>
  <c r="BN44" i="10"/>
  <c r="BO44" i="10" s="1"/>
  <c r="AH47" i="10"/>
  <c r="AI47" i="10" s="1"/>
  <c r="AP47" i="10"/>
  <c r="AQ47" i="10" s="1"/>
  <c r="BF47" i="10"/>
  <c r="BG47" i="10" s="1"/>
  <c r="BN47" i="10"/>
  <c r="BO47" i="10" s="1"/>
  <c r="BV47" i="10"/>
  <c r="BW47" i="10" s="1"/>
  <c r="BZ51" i="10"/>
  <c r="CA51" i="10" s="1"/>
  <c r="BF52" i="10"/>
  <c r="BG52" i="10" s="1"/>
  <c r="BN52" i="10"/>
  <c r="BO52" i="10" s="1"/>
  <c r="AL54" i="10"/>
  <c r="AM54" i="10" s="1"/>
  <c r="BF54" i="10"/>
  <c r="BG54" i="10" s="1"/>
  <c r="BR54" i="10"/>
  <c r="BS54" i="10" s="1"/>
  <c r="AP18" i="10"/>
  <c r="AQ18" i="10" s="1"/>
  <c r="AX18" i="10"/>
  <c r="AY18" i="10" s="1"/>
  <c r="BF18" i="10"/>
  <c r="BG18" i="10" s="1"/>
  <c r="BN18" i="10"/>
  <c r="BO18" i="10" s="1"/>
  <c r="AL20" i="10"/>
  <c r="AM20" i="10" s="1"/>
  <c r="BF20" i="10"/>
  <c r="BG20" i="10" s="1"/>
  <c r="AP29" i="10"/>
  <c r="AQ29" i="10" s="1"/>
  <c r="AX29" i="10"/>
  <c r="AY29" i="10" s="1"/>
  <c r="BF29" i="10"/>
  <c r="BG29" i="10" s="1"/>
  <c r="BN29" i="10"/>
  <c r="BO29" i="10" s="1"/>
  <c r="BZ40" i="10"/>
  <c r="CA40" i="10" s="1"/>
  <c r="BF41" i="10"/>
  <c r="BG41" i="10" s="1"/>
  <c r="BN41" i="10"/>
  <c r="BO41" i="10" s="1"/>
  <c r="AL44" i="10"/>
  <c r="AM44" i="10" s="1"/>
  <c r="BF44" i="10"/>
  <c r="BG44" i="10" s="1"/>
  <c r="BB47" i="10"/>
  <c r="BC47" i="10" s="1"/>
  <c r="BP91" i="9"/>
  <c r="AL18" i="10"/>
  <c r="AM18" i="10" s="1"/>
  <c r="BV18" i="10"/>
  <c r="BW18" i="10" s="1"/>
  <c r="BR20" i="10"/>
  <c r="BS20" i="10" s="1"/>
  <c r="BV23" i="10"/>
  <c r="BW23" i="10" s="1"/>
  <c r="AL29" i="10"/>
  <c r="AM29" i="10" s="1"/>
  <c r="BV29" i="10"/>
  <c r="BW29" i="10" s="1"/>
  <c r="BN33" i="10"/>
  <c r="BO33" i="10" s="1"/>
  <c r="AP35" i="10"/>
  <c r="AQ35" i="10" s="1"/>
  <c r="AX35" i="10"/>
  <c r="AY35" i="10" s="1"/>
  <c r="AL41" i="10"/>
  <c r="AM41" i="10" s="1"/>
  <c r="BB41" i="10"/>
  <c r="BC41" i="10" s="1"/>
  <c r="BV41" i="10"/>
  <c r="BW41" i="10" s="1"/>
  <c r="AL47" i="10"/>
  <c r="AM47" i="10" s="1"/>
  <c r="BR47" i="10"/>
  <c r="BS47" i="10" s="1"/>
  <c r="AT51" i="10"/>
  <c r="AU51" i="10" s="1"/>
  <c r="BR52" i="10"/>
  <c r="BS52" i="10" s="1"/>
  <c r="BV53" i="10"/>
  <c r="BW53" i="10" s="1"/>
  <c r="AP54" i="10"/>
  <c r="AQ54" i="10" s="1"/>
  <c r="BB54" i="10"/>
  <c r="BC54" i="10" s="1"/>
  <c r="BV54" i="10"/>
  <c r="BW54" i="10" s="1"/>
  <c r="BR22" i="10"/>
  <c r="BS22" i="10" s="1"/>
  <c r="BB22" i="10"/>
  <c r="BC22" i="10" s="1"/>
  <c r="AL22" i="10"/>
  <c r="AM22" i="10" s="1"/>
  <c r="BV22" i="10"/>
  <c r="BW22" i="10" s="1"/>
  <c r="BF22" i="10"/>
  <c r="BG22" i="10" s="1"/>
  <c r="AP22" i="10"/>
  <c r="AQ22" i="10" s="1"/>
  <c r="BN22" i="10"/>
  <c r="BO22" i="10" s="1"/>
  <c r="AX22" i="10"/>
  <c r="AY22" i="10" s="1"/>
  <c r="AH22" i="10"/>
  <c r="AI22" i="10" s="1"/>
  <c r="BR34" i="10"/>
  <c r="BS34" i="10" s="1"/>
  <c r="BB34" i="10"/>
  <c r="BC34" i="10" s="1"/>
  <c r="AL34" i="10"/>
  <c r="AM34" i="10" s="1"/>
  <c r="BV34" i="10"/>
  <c r="BW34" i="10" s="1"/>
  <c r="BF34" i="10"/>
  <c r="BG34" i="10" s="1"/>
  <c r="AP34" i="10"/>
  <c r="AQ34" i="10" s="1"/>
  <c r="BZ34" i="10"/>
  <c r="CA34" i="10" s="1"/>
  <c r="BJ34" i="10"/>
  <c r="BK34" i="10" s="1"/>
  <c r="AT34" i="10"/>
  <c r="AU34" i="10" s="1"/>
  <c r="AX34" i="10"/>
  <c r="AY34" i="10" s="1"/>
  <c r="BN96" i="9"/>
  <c r="BN56" i="10"/>
  <c r="BO56" i="10" s="1"/>
  <c r="AX56" i="10"/>
  <c r="AY56" i="10" s="1"/>
  <c r="AH56" i="10"/>
  <c r="AI56" i="10" s="1"/>
  <c r="BR56" i="10"/>
  <c r="BS56" i="10" s="1"/>
  <c r="BB56" i="10"/>
  <c r="BC56" i="10" s="1"/>
  <c r="AL56" i="10"/>
  <c r="AM56" i="10" s="1"/>
  <c r="BV56" i="10"/>
  <c r="BW56" i="10" s="1"/>
  <c r="BF56" i="10"/>
  <c r="BG56" i="10" s="1"/>
  <c r="AP56" i="10"/>
  <c r="AQ56" i="10" s="1"/>
  <c r="BZ56" i="10"/>
  <c r="CA56" i="10" s="1"/>
  <c r="AT56" i="10"/>
  <c r="AU56" i="10" s="1"/>
  <c r="BJ56" i="10"/>
  <c r="BK56" i="10" s="1"/>
  <c r="BJ22" i="10"/>
  <c r="BK22" i="10" s="1"/>
  <c r="BN27" i="10"/>
  <c r="BO27" i="10" s="1"/>
  <c r="AX27" i="10"/>
  <c r="AY27" i="10" s="1"/>
  <c r="AH27" i="10"/>
  <c r="AI27" i="10" s="1"/>
  <c r="BR27" i="10"/>
  <c r="BS27" i="10" s="1"/>
  <c r="BB27" i="10"/>
  <c r="BC27" i="10" s="1"/>
  <c r="AL27" i="10"/>
  <c r="AM27" i="10" s="1"/>
  <c r="BV27" i="10"/>
  <c r="BW27" i="10" s="1"/>
  <c r="BF27" i="10"/>
  <c r="BG27" i="10" s="1"/>
  <c r="AP27" i="10"/>
  <c r="AQ27" i="10" s="1"/>
  <c r="BR46" i="10"/>
  <c r="BS46" i="10" s="1"/>
  <c r="BB46" i="10"/>
  <c r="BC46" i="10" s="1"/>
  <c r="AL46" i="10"/>
  <c r="AM46" i="10" s="1"/>
  <c r="BN46" i="10"/>
  <c r="BO46" i="10" s="1"/>
  <c r="AH46" i="10"/>
  <c r="AI46" i="10" s="1"/>
  <c r="BZ46" i="10"/>
  <c r="CA46" i="10" s="1"/>
  <c r="BF46" i="10"/>
  <c r="BG46" i="10" s="1"/>
  <c r="AT46" i="10"/>
  <c r="AU46" i="10" s="1"/>
  <c r="BJ46" i="10"/>
  <c r="BK46" i="10" s="1"/>
  <c r="AP46" i="10"/>
  <c r="AQ46" i="10" s="1"/>
  <c r="AX46" i="10"/>
  <c r="AY46" i="10" s="1"/>
  <c r="AT22" i="10"/>
  <c r="AU22" i="10" s="1"/>
  <c r="BZ22" i="10"/>
  <c r="CA22" i="10" s="1"/>
  <c r="BN42" i="10"/>
  <c r="BO42" i="10" s="1"/>
  <c r="AX42" i="10"/>
  <c r="AY42" i="10" s="1"/>
  <c r="AH42" i="10"/>
  <c r="AI42" i="10" s="1"/>
  <c r="BR42" i="10"/>
  <c r="BS42" i="10" s="1"/>
  <c r="BB42" i="10"/>
  <c r="BC42" i="10" s="1"/>
  <c r="AL42" i="10"/>
  <c r="AM42" i="10" s="1"/>
  <c r="BV42" i="10"/>
  <c r="BW42" i="10" s="1"/>
  <c r="BF42" i="10"/>
  <c r="BG42" i="10" s="1"/>
  <c r="AP42" i="10"/>
  <c r="AQ42" i="10" s="1"/>
  <c r="BZ42" i="10"/>
  <c r="CA42" i="10" s="1"/>
  <c r="AT42" i="10"/>
  <c r="AU42" i="10" s="1"/>
  <c r="BN25" i="10"/>
  <c r="BO25" i="10" s="1"/>
  <c r="AX25" i="10"/>
  <c r="AY25" i="10" s="1"/>
  <c r="AH25" i="10"/>
  <c r="AI25" i="10" s="1"/>
  <c r="BR25" i="10"/>
  <c r="BS25" i="10" s="1"/>
  <c r="BB25" i="10"/>
  <c r="BC25" i="10" s="1"/>
  <c r="AL25" i="10"/>
  <c r="AM25" i="10" s="1"/>
  <c r="AT25" i="10"/>
  <c r="AU25" i="10" s="1"/>
  <c r="BJ25" i="10"/>
  <c r="BK25" i="10" s="1"/>
  <c r="BZ25" i="10"/>
  <c r="CA25" i="10" s="1"/>
  <c r="BR28" i="10"/>
  <c r="BS28" i="10" s="1"/>
  <c r="BB28" i="10"/>
  <c r="BC28" i="10" s="1"/>
  <c r="AL28" i="10"/>
  <c r="AM28" i="10" s="1"/>
  <c r="BV28" i="10"/>
  <c r="BW28" i="10" s="1"/>
  <c r="BF28" i="10"/>
  <c r="BG28" i="10" s="1"/>
  <c r="AP28" i="10"/>
  <c r="AQ28" i="10" s="1"/>
  <c r="BN21" i="10"/>
  <c r="BO21" i="10" s="1"/>
  <c r="AX21" i="10"/>
  <c r="AY21" i="10" s="1"/>
  <c r="AH21" i="10"/>
  <c r="AI21" i="10" s="1"/>
  <c r="BR21" i="10"/>
  <c r="BS21" i="10" s="1"/>
  <c r="BB21" i="10"/>
  <c r="BC21" i="10" s="1"/>
  <c r="AL21" i="10"/>
  <c r="AM21" i="10" s="1"/>
  <c r="AT21" i="10"/>
  <c r="AU21" i="10" s="1"/>
  <c r="BJ21" i="10"/>
  <c r="BK21" i="10" s="1"/>
  <c r="BZ21" i="10"/>
  <c r="CA21" i="10" s="1"/>
  <c r="AT18" i="10"/>
  <c r="AU18" i="10" s="1"/>
  <c r="BJ18" i="10"/>
  <c r="AT19" i="10"/>
  <c r="AU19" i="10" s="1"/>
  <c r="BJ19" i="10"/>
  <c r="BK19" i="10" s="1"/>
  <c r="AH20" i="10"/>
  <c r="AI20" i="10" s="1"/>
  <c r="AX20" i="10"/>
  <c r="AY20" i="10" s="1"/>
  <c r="BN20" i="10"/>
  <c r="BO20" i="10" s="1"/>
  <c r="AT23" i="10"/>
  <c r="AU23" i="10" s="1"/>
  <c r="BJ23" i="10"/>
  <c r="BK23" i="10" s="1"/>
  <c r="AH24" i="10"/>
  <c r="AI24" i="10" s="1"/>
  <c r="AX24" i="10"/>
  <c r="AY24" i="10" s="1"/>
  <c r="BN24" i="10"/>
  <c r="BO24" i="10" s="1"/>
  <c r="AT26" i="10"/>
  <c r="AU26" i="10" s="1"/>
  <c r="BJ26" i="10"/>
  <c r="BK26" i="10" s="1"/>
  <c r="AT29" i="10"/>
  <c r="AU29" i="10" s="1"/>
  <c r="BJ29" i="10"/>
  <c r="BK29" i="10" s="1"/>
  <c r="AH30" i="10"/>
  <c r="AI30" i="10" s="1"/>
  <c r="AT30" i="10"/>
  <c r="AU30" i="10" s="1"/>
  <c r="BF30" i="10"/>
  <c r="BG30" i="10" s="1"/>
  <c r="AP32" i="10"/>
  <c r="AQ32" i="10" s="1"/>
  <c r="BB32" i="10"/>
  <c r="BC32" i="10" s="1"/>
  <c r="BR33" i="10"/>
  <c r="BS33" i="10" s="1"/>
  <c r="BB33" i="10"/>
  <c r="BC33" i="10" s="1"/>
  <c r="AL33" i="10"/>
  <c r="AM33" i="10" s="1"/>
  <c r="AP33" i="10"/>
  <c r="AQ33" i="10" s="1"/>
  <c r="BJ33" i="10"/>
  <c r="BK33" i="10" s="1"/>
  <c r="BV33" i="10"/>
  <c r="BW33" i="10" s="1"/>
  <c r="BN39" i="10"/>
  <c r="BO39" i="10" s="1"/>
  <c r="AX39" i="10"/>
  <c r="AY39" i="10" s="1"/>
  <c r="AH39" i="10"/>
  <c r="AI39" i="10" s="1"/>
  <c r="BR39" i="10"/>
  <c r="BS39" i="10" s="1"/>
  <c r="BB39" i="10"/>
  <c r="BC39" i="10" s="1"/>
  <c r="AL39" i="10"/>
  <c r="AM39" i="10" s="1"/>
  <c r="AT39" i="10"/>
  <c r="AU39" i="10" s="1"/>
  <c r="BJ39" i="10"/>
  <c r="BK39" i="10" s="1"/>
  <c r="BZ39" i="10"/>
  <c r="CA39" i="10" s="1"/>
  <c r="AH40" i="10"/>
  <c r="AI40" i="10" s="1"/>
  <c r="AX40" i="10"/>
  <c r="AY40" i="10" s="1"/>
  <c r="BN45" i="10"/>
  <c r="BO45" i="10" s="1"/>
  <c r="AX45" i="10"/>
  <c r="AY45" i="10" s="1"/>
  <c r="AH45" i="10"/>
  <c r="AI45" i="10" s="1"/>
  <c r="BZ45" i="10"/>
  <c r="CA45" i="10" s="1"/>
  <c r="AT45" i="10"/>
  <c r="AU45" i="10" s="1"/>
  <c r="BR45" i="10"/>
  <c r="BS45" i="10" s="1"/>
  <c r="BF45" i="10"/>
  <c r="BG45" i="10" s="1"/>
  <c r="AL45" i="10"/>
  <c r="AM45" i="10" s="1"/>
  <c r="BB45" i="10"/>
  <c r="BC45" i="10" s="1"/>
  <c r="BV45" i="10"/>
  <c r="BW45" i="10" s="1"/>
  <c r="BN55" i="10"/>
  <c r="BO55" i="10" s="1"/>
  <c r="AX55" i="10"/>
  <c r="AY55" i="10" s="1"/>
  <c r="AH55" i="10"/>
  <c r="AI55" i="10" s="1"/>
  <c r="BR55" i="10"/>
  <c r="BS55" i="10" s="1"/>
  <c r="BB55" i="10"/>
  <c r="BC55" i="10" s="1"/>
  <c r="AL55" i="10"/>
  <c r="AM55" i="10" s="1"/>
  <c r="BV55" i="10"/>
  <c r="BW55" i="10" s="1"/>
  <c r="BF55" i="10"/>
  <c r="BG55" i="10" s="1"/>
  <c r="AP55" i="10"/>
  <c r="AQ55" i="10" s="1"/>
  <c r="BJ55" i="10"/>
  <c r="BK55" i="10" s="1"/>
  <c r="BN57" i="10"/>
  <c r="BO57" i="10" s="1"/>
  <c r="AX57" i="10"/>
  <c r="AY57" i="10" s="1"/>
  <c r="AH57" i="10"/>
  <c r="AI57" i="10" s="1"/>
  <c r="BR57" i="10"/>
  <c r="BS57" i="10" s="1"/>
  <c r="BB57" i="10"/>
  <c r="BC57" i="10" s="1"/>
  <c r="AL57" i="10"/>
  <c r="AM57" i="10" s="1"/>
  <c r="BV57" i="10"/>
  <c r="BW57" i="10" s="1"/>
  <c r="BF57" i="10"/>
  <c r="BG57" i="10" s="1"/>
  <c r="AP57" i="10"/>
  <c r="AQ57" i="10" s="1"/>
  <c r="BJ57" i="10"/>
  <c r="BK57" i="10" s="1"/>
  <c r="AT20" i="10"/>
  <c r="AU20" i="10" s="1"/>
  <c r="BJ20" i="10"/>
  <c r="BK20" i="10" s="1"/>
  <c r="AT24" i="10"/>
  <c r="AU24" i="10" s="1"/>
  <c r="BJ24" i="10"/>
  <c r="BK24" i="10" s="1"/>
  <c r="BR30" i="10"/>
  <c r="BS30" i="10" s="1"/>
  <c r="BB30" i="10"/>
  <c r="BC30" i="10" s="1"/>
  <c r="BN30" i="10"/>
  <c r="BO30" i="10" s="1"/>
  <c r="BN32" i="10"/>
  <c r="BO32" i="10" s="1"/>
  <c r="AX32" i="10"/>
  <c r="AY32" i="10" s="1"/>
  <c r="AH32" i="10"/>
  <c r="AI32" i="10" s="1"/>
  <c r="BJ32" i="10"/>
  <c r="BK32" i="10" s="1"/>
  <c r="BN36" i="10"/>
  <c r="BO36" i="10" s="1"/>
  <c r="AX36" i="10"/>
  <c r="AY36" i="10" s="1"/>
  <c r="AH36" i="10"/>
  <c r="AI36" i="10" s="1"/>
  <c r="BR36" i="10"/>
  <c r="BS36" i="10" s="1"/>
  <c r="BB36" i="10"/>
  <c r="BC36" i="10" s="1"/>
  <c r="AL36" i="10"/>
  <c r="AM36" i="10" s="1"/>
  <c r="AT36" i="10"/>
  <c r="AU36" i="10" s="1"/>
  <c r="BJ36" i="10"/>
  <c r="BK36" i="10" s="1"/>
  <c r="BZ36" i="10"/>
  <c r="CA36" i="10" s="1"/>
  <c r="BR40" i="10"/>
  <c r="BS40" i="10" s="1"/>
  <c r="BB40" i="10"/>
  <c r="BC40" i="10" s="1"/>
  <c r="AL40" i="10"/>
  <c r="AM40" i="10" s="1"/>
  <c r="BV40" i="10"/>
  <c r="BW40" i="10" s="1"/>
  <c r="BF40" i="10"/>
  <c r="BG40" i="10" s="1"/>
  <c r="AP40" i="10"/>
  <c r="AQ40" i="10" s="1"/>
  <c r="BN48" i="10"/>
  <c r="BO48" i="10" s="1"/>
  <c r="BR48" i="10"/>
  <c r="BS48" i="10" s="1"/>
  <c r="BB48" i="10"/>
  <c r="BC48" i="10" s="1"/>
  <c r="AL48" i="10"/>
  <c r="AM48" i="10" s="1"/>
  <c r="BZ48" i="10"/>
  <c r="CA48" i="10" s="1"/>
  <c r="BJ48" i="10"/>
  <c r="BK48" i="10" s="1"/>
  <c r="AH48" i="10"/>
  <c r="AI48" i="10" s="1"/>
  <c r="AT48" i="10"/>
  <c r="AU48" i="10" s="1"/>
  <c r="BF48" i="10"/>
  <c r="BG48" i="10" s="1"/>
  <c r="AT31" i="10"/>
  <c r="AU31" i="10" s="1"/>
  <c r="BJ31" i="10"/>
  <c r="BK31" i="10" s="1"/>
  <c r="AT35" i="10"/>
  <c r="AU35" i="10" s="1"/>
  <c r="BJ35" i="10"/>
  <c r="BK35" i="10" s="1"/>
  <c r="AT37" i="10"/>
  <c r="AU37" i="10" s="1"/>
  <c r="BJ37" i="10"/>
  <c r="BK37" i="10" s="1"/>
  <c r="AH38" i="10"/>
  <c r="AI38" i="10" s="1"/>
  <c r="AX38" i="10"/>
  <c r="AY38" i="10" s="1"/>
  <c r="BN38" i="10"/>
  <c r="BO38" i="10" s="1"/>
  <c r="AT41" i="10"/>
  <c r="AU41" i="10" s="1"/>
  <c r="BJ41" i="10"/>
  <c r="BK41" i="10" s="1"/>
  <c r="AT43" i="10"/>
  <c r="AU43" i="10" s="1"/>
  <c r="BJ43" i="10"/>
  <c r="BK43" i="10" s="1"/>
  <c r="AH44" i="10"/>
  <c r="AI44" i="10" s="1"/>
  <c r="AX44" i="10"/>
  <c r="AY44" i="10" s="1"/>
  <c r="BN50" i="10"/>
  <c r="BO50" i="10" s="1"/>
  <c r="AX50" i="10"/>
  <c r="AY50" i="10" s="1"/>
  <c r="AH50" i="10"/>
  <c r="AI50" i="10" s="1"/>
  <c r="BR50" i="10"/>
  <c r="BS50" i="10" s="1"/>
  <c r="BB50" i="10"/>
  <c r="BC50" i="10" s="1"/>
  <c r="AL50" i="10"/>
  <c r="AM50" i="10" s="1"/>
  <c r="AT50" i="10"/>
  <c r="AU50" i="10" s="1"/>
  <c r="BJ50" i="10"/>
  <c r="BK50" i="10" s="1"/>
  <c r="BZ50" i="10"/>
  <c r="CA50" i="10" s="1"/>
  <c r="AH51" i="10"/>
  <c r="AI51" i="10" s="1"/>
  <c r="AX51" i="10"/>
  <c r="AY51" i="10" s="1"/>
  <c r="AT38" i="10"/>
  <c r="AU38" i="10" s="1"/>
  <c r="BJ38" i="10"/>
  <c r="BK38" i="10" s="1"/>
  <c r="BZ44" i="10"/>
  <c r="CA44" i="10" s="1"/>
  <c r="BJ44" i="10"/>
  <c r="BK44" i="10" s="1"/>
  <c r="AT44" i="10"/>
  <c r="AU44" i="10" s="1"/>
  <c r="BR44" i="10"/>
  <c r="BS44" i="10" s="1"/>
  <c r="BR51" i="10"/>
  <c r="BS51" i="10" s="1"/>
  <c r="BB51" i="10"/>
  <c r="BC51" i="10" s="1"/>
  <c r="AL51" i="10"/>
  <c r="AM51" i="10" s="1"/>
  <c r="BV51" i="10"/>
  <c r="BW51" i="10" s="1"/>
  <c r="BF51" i="10"/>
  <c r="BG51" i="10" s="1"/>
  <c r="AP51" i="10"/>
  <c r="AQ51" i="10" s="1"/>
  <c r="AT47" i="10"/>
  <c r="AU47" i="10" s="1"/>
  <c r="BJ47" i="10"/>
  <c r="BK47" i="10" s="1"/>
  <c r="AT49" i="10"/>
  <c r="AU49" i="10" s="1"/>
  <c r="BJ49" i="10"/>
  <c r="BK49" i="10" s="1"/>
  <c r="AT52" i="10"/>
  <c r="AU52" i="10" s="1"/>
  <c r="BJ52" i="10"/>
  <c r="BK52" i="10" s="1"/>
  <c r="AT53" i="10"/>
  <c r="AU53" i="10" s="1"/>
  <c r="BJ53" i="10"/>
  <c r="BK53" i="10" s="1"/>
  <c r="AH54" i="10"/>
  <c r="AI54" i="10" s="1"/>
  <c r="AX54" i="10"/>
  <c r="AY54" i="10" s="1"/>
  <c r="BN54" i="10"/>
  <c r="BO54" i="10" s="1"/>
  <c r="AT54" i="10"/>
  <c r="AU54" i="10" s="1"/>
  <c r="BJ54" i="10"/>
  <c r="BK54" i="10" s="1"/>
  <c r="AY14" i="3"/>
  <c r="I272" i="5"/>
  <c r="F121" i="5"/>
  <c r="F122" i="5"/>
  <c r="F374" i="5"/>
  <c r="E275" i="5"/>
  <c r="I275" i="5"/>
  <c r="E18" i="3"/>
  <c r="AU258" i="2"/>
  <c r="AL133" i="2" l="1"/>
  <c r="AL492" i="2" s="1"/>
  <c r="CE492" i="3" s="1"/>
  <c r="W133" i="2"/>
  <c r="AO25" i="9" s="1"/>
  <c r="AO121" i="9" s="1"/>
  <c r="Z133" i="2"/>
  <c r="BS133" i="3" s="1"/>
  <c r="V134" i="2"/>
  <c r="BN24" i="9" s="1"/>
  <c r="BN120" i="9" s="1"/>
  <c r="V133" i="2"/>
  <c r="AO24" i="9" s="1"/>
  <c r="AO120" i="9" s="1"/>
  <c r="N134" i="2"/>
  <c r="BN16" i="9" s="1"/>
  <c r="BN112" i="9" s="1"/>
  <c r="AE133" i="2"/>
  <c r="AE378" i="2" s="1"/>
  <c r="BX378" i="3" s="1"/>
  <c r="Z134" i="2"/>
  <c r="Z300" i="2" s="1"/>
  <c r="BS300" i="3" s="1"/>
  <c r="AG380" i="2"/>
  <c r="BZ380" i="3" s="1"/>
  <c r="G99" i="4"/>
  <c r="G264" i="4"/>
  <c r="G265" i="4" s="1"/>
  <c r="H175" i="4"/>
  <c r="H99" i="4"/>
  <c r="D57" i="9"/>
  <c r="G106" i="3"/>
  <c r="BH318" i="3"/>
  <c r="G178" i="4"/>
  <c r="G180" i="4"/>
  <c r="G181" i="4" s="1"/>
  <c r="H178" i="4"/>
  <c r="F459" i="3"/>
  <c r="G2" i="5"/>
  <c r="G79" i="3"/>
  <c r="AY142" i="3"/>
  <c r="G175" i="4"/>
  <c r="G176" i="4" s="1"/>
  <c r="G257" i="4"/>
  <c r="G258" i="4" s="1"/>
  <c r="G216" i="3" s="1"/>
  <c r="I91" i="4"/>
  <c r="H257" i="4"/>
  <c r="H258" i="4" s="1"/>
  <c r="G109" i="3"/>
  <c r="G111" i="3" s="1"/>
  <c r="G509" i="3" s="1"/>
  <c r="H122" i="3"/>
  <c r="H360" i="3" s="1"/>
  <c r="AE144" i="1"/>
  <c r="AE143" i="1"/>
  <c r="F157" i="2"/>
  <c r="F157" i="3"/>
  <c r="F155" i="3"/>
  <c r="G44" i="4"/>
  <c r="F325" i="2"/>
  <c r="G286" i="4"/>
  <c r="H286" i="4" s="1"/>
  <c r="I286" i="4" s="1"/>
  <c r="J286" i="4" s="1"/>
  <c r="K286" i="4" s="1"/>
  <c r="L286" i="4" s="1"/>
  <c r="M286" i="4" s="1"/>
  <c r="N286" i="4" s="1"/>
  <c r="O286" i="4" s="1"/>
  <c r="P286" i="4" s="1"/>
  <c r="Q286" i="4" s="1"/>
  <c r="R286" i="4" s="1"/>
  <c r="S286" i="4" s="1"/>
  <c r="T286" i="4" s="1"/>
  <c r="U286" i="4" s="1"/>
  <c r="V286" i="4" s="1"/>
  <c r="W286" i="4" s="1"/>
  <c r="X286" i="4" s="1"/>
  <c r="Y286" i="4" s="1"/>
  <c r="Z286" i="4" s="1"/>
  <c r="AA286" i="4" s="1"/>
  <c r="AB286" i="4" s="1"/>
  <c r="AC286" i="4" s="1"/>
  <c r="AD286" i="4" s="1"/>
  <c r="AE286" i="4" s="1"/>
  <c r="AF286" i="4" s="1"/>
  <c r="AG286" i="4" s="1"/>
  <c r="AH286" i="4" s="1"/>
  <c r="AI286" i="4" s="1"/>
  <c r="AJ286" i="4" s="1"/>
  <c r="AK286" i="4" s="1"/>
  <c r="AL286" i="4" s="1"/>
  <c r="AM286" i="4" s="1"/>
  <c r="AN286" i="4" s="1"/>
  <c r="AO286" i="4" s="1"/>
  <c r="AP286" i="4" s="1"/>
  <c r="AQ286" i="4" s="1"/>
  <c r="AR286" i="4" s="1"/>
  <c r="AS286" i="4" s="1"/>
  <c r="H42" i="4"/>
  <c r="AY504" i="3"/>
  <c r="AY88" i="3"/>
  <c r="F75" i="3"/>
  <c r="AX56" i="9" s="1"/>
  <c r="F239" i="2"/>
  <c r="F310" i="3"/>
  <c r="AE56" i="9"/>
  <c r="F328" i="3"/>
  <c r="AY328" i="3" s="1"/>
  <c r="F459" i="2"/>
  <c r="F479" i="3"/>
  <c r="F91" i="2"/>
  <c r="G258" i="1" s="1"/>
  <c r="AH8" i="9"/>
  <c r="BQ8" i="9" s="1"/>
  <c r="F295" i="3"/>
  <c r="AK177" i="1"/>
  <c r="AE148" i="1"/>
  <c r="AE149" i="1" s="1"/>
  <c r="AE150" i="1" s="1"/>
  <c r="AE151" i="1" s="1"/>
  <c r="BG318" i="3"/>
  <c r="AO180" i="2"/>
  <c r="AO283" i="2" s="1"/>
  <c r="CH283" i="3" s="1"/>
  <c r="AO378" i="2"/>
  <c r="CH378" i="3" s="1"/>
  <c r="CH133" i="3"/>
  <c r="AY459" i="3"/>
  <c r="AY144" i="3"/>
  <c r="G359" i="2"/>
  <c r="AY74" i="3"/>
  <c r="F38" i="4"/>
  <c r="F62" i="4"/>
  <c r="F75" i="4"/>
  <c r="F380" i="2"/>
  <c r="AY380" i="3" s="1"/>
  <c r="F338" i="3"/>
  <c r="F340" i="3" s="1"/>
  <c r="AO314" i="2"/>
  <c r="CH314" i="3" s="1"/>
  <c r="AO492" i="2"/>
  <c r="CH492" i="3" s="1"/>
  <c r="AO172" i="5"/>
  <c r="BL318" i="3"/>
  <c r="F216" i="2"/>
  <c r="CE318" i="3"/>
  <c r="D93" i="2"/>
  <c r="CI318" i="3"/>
  <c r="CF318" i="3"/>
  <c r="V180" i="2"/>
  <c r="V283" i="2" s="1"/>
  <c r="BO283" i="3" s="1"/>
  <c r="L380" i="2"/>
  <c r="BE380" i="3" s="1"/>
  <c r="V314" i="2"/>
  <c r="BO314" i="3" s="1"/>
  <c r="W172" i="5"/>
  <c r="F293" i="3"/>
  <c r="AG300" i="2"/>
  <c r="BZ300" i="3" s="1"/>
  <c r="BO133" i="3"/>
  <c r="Y172" i="5"/>
  <c r="AG174" i="5"/>
  <c r="AD133" i="2"/>
  <c r="AD492" i="2" s="1"/>
  <c r="BW492" i="3" s="1"/>
  <c r="X134" i="2"/>
  <c r="BN26" i="9" s="1"/>
  <c r="BN122" i="9" s="1"/>
  <c r="BZ134" i="3"/>
  <c r="Y492" i="2"/>
  <c r="BR492" i="3" s="1"/>
  <c r="J134" i="2"/>
  <c r="BN12" i="9" s="1"/>
  <c r="BN108" i="9" s="1"/>
  <c r="AH133" i="2"/>
  <c r="AO36" i="9" s="1"/>
  <c r="AO132" i="9" s="1"/>
  <c r="N133" i="2"/>
  <c r="N492" i="2" s="1"/>
  <c r="BG492" i="3" s="1"/>
  <c r="AD380" i="2"/>
  <c r="BW380" i="3" s="1"/>
  <c r="Y378" i="2"/>
  <c r="BR378" i="3" s="1"/>
  <c r="AD468" i="2"/>
  <c r="BW468" i="3" s="1"/>
  <c r="AJ134" i="2"/>
  <c r="AJ380" i="2" s="1"/>
  <c r="CC380" i="3" s="1"/>
  <c r="Y314" i="2"/>
  <c r="BR314" i="3" s="1"/>
  <c r="BJ8" i="9"/>
  <c r="AB134" i="2"/>
  <c r="AB174" i="5" s="1"/>
  <c r="AP134" i="2"/>
  <c r="BN44" i="9" s="1"/>
  <c r="BN140" i="9" s="1"/>
  <c r="BP96" i="9"/>
  <c r="BP318" i="3"/>
  <c r="F354" i="3"/>
  <c r="F312" i="3"/>
  <c r="AY312" i="3" s="1"/>
  <c r="AY53" i="3"/>
  <c r="CJ318" i="3"/>
  <c r="CB318" i="3"/>
  <c r="BT318" i="3"/>
  <c r="BD318" i="3"/>
  <c r="CA318" i="3"/>
  <c r="BS318" i="3"/>
  <c r="BC318" i="3"/>
  <c r="AY98" i="3"/>
  <c r="AL180" i="2"/>
  <c r="CE180" i="3" s="1"/>
  <c r="AN300" i="2"/>
  <c r="CG300" i="3" s="1"/>
  <c r="BE134" i="3"/>
  <c r="AD174" i="5"/>
  <c r="V380" i="2"/>
  <c r="BO380" i="3" s="1"/>
  <c r="L174" i="5"/>
  <c r="F468" i="2"/>
  <c r="AY468" i="3" s="1"/>
  <c r="AY109" i="3"/>
  <c r="F33" i="3"/>
  <c r="F344" i="3" s="1"/>
  <c r="R133" i="2"/>
  <c r="R378" i="2" s="1"/>
  <c r="BK378" i="3" s="1"/>
  <c r="R134" i="2"/>
  <c r="AN380" i="2"/>
  <c r="CG380" i="3" s="1"/>
  <c r="CE133" i="3"/>
  <c r="AD300" i="2"/>
  <c r="BW300" i="3" s="1"/>
  <c r="V174" i="5"/>
  <c r="BN14" i="9"/>
  <c r="BN110" i="9" s="1"/>
  <c r="G89" i="2"/>
  <c r="G316" i="2" s="1"/>
  <c r="AY134" i="3"/>
  <c r="F307" i="3"/>
  <c r="AY307" i="3" s="1"/>
  <c r="F291" i="2"/>
  <c r="F294" i="2"/>
  <c r="G142" i="2"/>
  <c r="G142" i="3" s="1"/>
  <c r="AY40" i="3"/>
  <c r="AY114" i="3"/>
  <c r="F179" i="2"/>
  <c r="G114" i="2"/>
  <c r="BE9" i="9" s="1"/>
  <c r="BD56" i="9"/>
  <c r="AF134" i="2"/>
  <c r="AF468" i="2" s="1"/>
  <c r="BY468" i="3" s="1"/>
  <c r="F308" i="3"/>
  <c r="AL314" i="2"/>
  <c r="CE314" i="3" s="1"/>
  <c r="CG134" i="3"/>
  <c r="L300" i="2"/>
  <c r="BE300" i="3" s="1"/>
  <c r="AG468" i="2"/>
  <c r="BZ468" i="3" s="1"/>
  <c r="Y180" i="2"/>
  <c r="BR180" i="3" s="1"/>
  <c r="BR133" i="3"/>
  <c r="BW134" i="3"/>
  <c r="F354" i="2"/>
  <c r="AN174" i="5"/>
  <c r="V492" i="2"/>
  <c r="BO492" i="3" s="1"/>
  <c r="AY89" i="3"/>
  <c r="F300" i="2"/>
  <c r="AY300" i="3" s="1"/>
  <c r="F235" i="2"/>
  <c r="F490" i="3"/>
  <c r="AY490" i="3" s="1"/>
  <c r="F454" i="2"/>
  <c r="G264" i="2"/>
  <c r="BN8" i="9"/>
  <c r="BN104" i="9" s="1"/>
  <c r="AY450" i="3"/>
  <c r="AR134" i="2"/>
  <c r="BN46" i="9" s="1"/>
  <c r="BN142" i="9" s="1"/>
  <c r="D34" i="3"/>
  <c r="D29" i="2"/>
  <c r="D31" i="2"/>
  <c r="D29" i="3"/>
  <c r="D32" i="3"/>
  <c r="D32" i="2"/>
  <c r="D31" i="3"/>
  <c r="D34" i="2"/>
  <c r="AY81" i="3"/>
  <c r="G107" i="3"/>
  <c r="G235" i="3" s="1"/>
  <c r="G188" i="2"/>
  <c r="X193" i="1"/>
  <c r="N70" i="1"/>
  <c r="AY434" i="3"/>
  <c r="D28" i="2"/>
  <c r="D28" i="3"/>
  <c r="F292" i="2"/>
  <c r="AP8" i="9"/>
  <c r="F455" i="2"/>
  <c r="W492" i="2"/>
  <c r="BP492" i="3" s="1"/>
  <c r="G360" i="3"/>
  <c r="AO40" i="9"/>
  <c r="AO136" i="9" s="1"/>
  <c r="BA57" i="9"/>
  <c r="W180" i="2"/>
  <c r="BP180" i="3" s="1"/>
  <c r="AL380" i="2"/>
  <c r="CE380" i="3" s="1"/>
  <c r="AO41" i="9"/>
  <c r="AO137" i="9" s="1"/>
  <c r="AM492" i="2"/>
  <c r="CF492" i="3" s="1"/>
  <c r="AH380" i="2"/>
  <c r="CA380" i="3" s="1"/>
  <c r="BH133" i="3"/>
  <c r="W378" i="2"/>
  <c r="BP378" i="3" s="1"/>
  <c r="O314" i="2"/>
  <c r="BH314" i="3" s="1"/>
  <c r="AM314" i="2"/>
  <c r="CF314" i="3" s="1"/>
  <c r="O172" i="5"/>
  <c r="G337" i="3"/>
  <c r="CF133" i="3"/>
  <c r="O492" i="2"/>
  <c r="BH492" i="3" s="1"/>
  <c r="AH174" i="5"/>
  <c r="CA134" i="3"/>
  <c r="AM180" i="2"/>
  <c r="AM283" i="2" s="1"/>
  <c r="CF283" i="3" s="1"/>
  <c r="AH468" i="2"/>
  <c r="CA468" i="3" s="1"/>
  <c r="F77" i="2"/>
  <c r="AH300" i="2"/>
  <c r="CA300" i="3" s="1"/>
  <c r="O180" i="2"/>
  <c r="BH180" i="3" s="1"/>
  <c r="AM172" i="5"/>
  <c r="AO17" i="9"/>
  <c r="AO113" i="9" s="1"/>
  <c r="G380" i="2"/>
  <c r="AZ380" i="3" s="1"/>
  <c r="BN9" i="9"/>
  <c r="BN105" i="9" s="1"/>
  <c r="AY315" i="3"/>
  <c r="G300" i="2"/>
  <c r="AZ300" i="3" s="1"/>
  <c r="AZ134" i="3"/>
  <c r="AZ129" i="3"/>
  <c r="G174" i="5"/>
  <c r="AY360" i="3"/>
  <c r="AL300" i="2"/>
  <c r="CE300" i="3" s="1"/>
  <c r="AL174" i="5"/>
  <c r="AY208" i="3"/>
  <c r="CE134" i="3"/>
  <c r="AL468" i="2"/>
  <c r="CE468" i="3" s="1"/>
  <c r="BN129" i="3"/>
  <c r="U134" i="2"/>
  <c r="AP378" i="2"/>
  <c r="CI378" i="3" s="1"/>
  <c r="BD129" i="3"/>
  <c r="K134" i="2"/>
  <c r="CH129" i="3"/>
  <c r="AO134" i="2"/>
  <c r="BB129" i="3"/>
  <c r="I134" i="2"/>
  <c r="BT128" i="3"/>
  <c r="AA133" i="2"/>
  <c r="AP314" i="2"/>
  <c r="CI314" i="3" s="1"/>
  <c r="AP180" i="2"/>
  <c r="AP283" i="2" s="1"/>
  <c r="CI283" i="3" s="1"/>
  <c r="AP492" i="2"/>
  <c r="CI492" i="3" s="1"/>
  <c r="CI133" i="3"/>
  <c r="AO44" i="9"/>
  <c r="AO140" i="9" s="1"/>
  <c r="CD128" i="3"/>
  <c r="AK133" i="2"/>
  <c r="BJ128" i="3"/>
  <c r="Q133" i="2"/>
  <c r="CK128" i="3"/>
  <c r="AR133" i="2"/>
  <c r="CC128" i="3"/>
  <c r="AJ133" i="2"/>
  <c r="BU128" i="3"/>
  <c r="AB133" i="2"/>
  <c r="BI129" i="3"/>
  <c r="P134" i="2"/>
  <c r="BZ128" i="3"/>
  <c r="AG133" i="2"/>
  <c r="BM128" i="3"/>
  <c r="T133" i="2"/>
  <c r="CD129" i="3"/>
  <c r="AK134" i="2"/>
  <c r="BF129" i="3"/>
  <c r="M134" i="2"/>
  <c r="BL128" i="3"/>
  <c r="S133" i="2"/>
  <c r="CJ129" i="3"/>
  <c r="AQ134" i="2"/>
  <c r="CB129" i="3"/>
  <c r="AI134" i="2"/>
  <c r="BT129" i="3"/>
  <c r="AA134" i="2"/>
  <c r="AL378" i="2"/>
  <c r="CE378" i="3" s="1"/>
  <c r="V378" i="2"/>
  <c r="BO378" i="3" s="1"/>
  <c r="AN468" i="2"/>
  <c r="CG468" i="3" s="1"/>
  <c r="AL172" i="5"/>
  <c r="BA129" i="3"/>
  <c r="H134" i="2"/>
  <c r="BV128" i="3"/>
  <c r="AC133" i="2"/>
  <c r="CG128" i="3"/>
  <c r="AN133" i="2"/>
  <c r="BY128" i="3"/>
  <c r="AF133" i="2"/>
  <c r="BQ128" i="3"/>
  <c r="X133" i="2"/>
  <c r="BI128" i="3"/>
  <c r="P133" i="2"/>
  <c r="BH129" i="3"/>
  <c r="O134" i="2"/>
  <c r="BV129" i="3"/>
  <c r="AC134" i="2"/>
  <c r="V172" i="5"/>
  <c r="CL128" i="3"/>
  <c r="AS133" i="2"/>
  <c r="BN128" i="3"/>
  <c r="U133" i="2"/>
  <c r="CL129" i="3"/>
  <c r="AS134" i="2"/>
  <c r="BR129" i="3"/>
  <c r="Y134" i="2"/>
  <c r="BJ129" i="3"/>
  <c r="Q134" i="2"/>
  <c r="CB128" i="3"/>
  <c r="AI133" i="2"/>
  <c r="CJ128" i="3"/>
  <c r="AQ133" i="2"/>
  <c r="CF129" i="3"/>
  <c r="AM134" i="2"/>
  <c r="BX129" i="3"/>
  <c r="AE134" i="2"/>
  <c r="BP129" i="3"/>
  <c r="W134" i="2"/>
  <c r="AY100" i="3"/>
  <c r="AY306" i="3"/>
  <c r="AZ357" i="3"/>
  <c r="AY26" i="3"/>
  <c r="E379" i="1"/>
  <c r="E376" i="1"/>
  <c r="F456" i="3"/>
  <c r="F405" i="5"/>
  <c r="F406" i="5" s="1"/>
  <c r="AY92" i="3"/>
  <c r="F91" i="3"/>
  <c r="F455" i="3" s="1"/>
  <c r="AY455" i="3" s="1"/>
  <c r="F442" i="2"/>
  <c r="G214" i="2"/>
  <c r="G251" i="4"/>
  <c r="AY66" i="3"/>
  <c r="H113" i="3"/>
  <c r="AY68" i="3"/>
  <c r="F188" i="3"/>
  <c r="AE147" i="1"/>
  <c r="F206" i="3"/>
  <c r="R114" i="1"/>
  <c r="AE146" i="1"/>
  <c r="F188" i="2"/>
  <c r="X210" i="1" s="1"/>
  <c r="AN56" i="9"/>
  <c r="AY209" i="3"/>
  <c r="X202" i="1"/>
  <c r="AY84" i="3"/>
  <c r="AE145" i="1"/>
  <c r="AE109" i="1"/>
  <c r="H287" i="4"/>
  <c r="H192" i="4"/>
  <c r="G194" i="4"/>
  <c r="AY82" i="3"/>
  <c r="F237" i="2"/>
  <c r="F15" i="5"/>
  <c r="I149" i="4"/>
  <c r="H151" i="4"/>
  <c r="H123" i="4"/>
  <c r="I123" i="4" s="1"/>
  <c r="J123" i="4" s="1"/>
  <c r="K123" i="4" s="1"/>
  <c r="L123" i="4" s="1"/>
  <c r="M123" i="4" s="1"/>
  <c r="N123" i="4" s="1"/>
  <c r="O123" i="4" s="1"/>
  <c r="P123" i="4" s="1"/>
  <c r="Q123" i="4" s="1"/>
  <c r="R123" i="4" s="1"/>
  <c r="S123" i="4" s="1"/>
  <c r="T123" i="4" s="1"/>
  <c r="U123" i="4" s="1"/>
  <c r="V123" i="4" s="1"/>
  <c r="W123" i="4" s="1"/>
  <c r="X123" i="4" s="1"/>
  <c r="Y123" i="4" s="1"/>
  <c r="Z123" i="4" s="1"/>
  <c r="AA123" i="4" s="1"/>
  <c r="AB123" i="4" s="1"/>
  <c r="AC123" i="4" s="1"/>
  <c r="AD123" i="4" s="1"/>
  <c r="AE123" i="4" s="1"/>
  <c r="AF123" i="4" s="1"/>
  <c r="AG123" i="4" s="1"/>
  <c r="AH123" i="4" s="1"/>
  <c r="AI123" i="4" s="1"/>
  <c r="AJ123" i="4" s="1"/>
  <c r="AK123" i="4" s="1"/>
  <c r="AL123" i="4" s="1"/>
  <c r="AM123" i="4" s="1"/>
  <c r="AN123" i="4" s="1"/>
  <c r="AO123" i="4" s="1"/>
  <c r="AP123" i="4" s="1"/>
  <c r="AQ123" i="4" s="1"/>
  <c r="AR123" i="4" s="1"/>
  <c r="AS123" i="4" s="1"/>
  <c r="G126" i="4"/>
  <c r="H46" i="4"/>
  <c r="I45" i="4"/>
  <c r="G235" i="4"/>
  <c r="H233" i="4"/>
  <c r="I144" i="4"/>
  <c r="F123" i="3"/>
  <c r="F358" i="3"/>
  <c r="AY358" i="3" s="1"/>
  <c r="G121" i="3"/>
  <c r="AB56" i="9"/>
  <c r="AY83" i="3"/>
  <c r="AY336" i="3"/>
  <c r="AY335" i="3"/>
  <c r="F430" i="3"/>
  <c r="AY430" i="3" s="1"/>
  <c r="F407" i="5"/>
  <c r="AY22" i="3"/>
  <c r="F174" i="3"/>
  <c r="AY174" i="3" s="1"/>
  <c r="F452" i="3"/>
  <c r="F65" i="3"/>
  <c r="AY62" i="3"/>
  <c r="F173" i="3"/>
  <c r="AY173" i="3" s="1"/>
  <c r="G156" i="4"/>
  <c r="E318" i="3"/>
  <c r="AU318" i="2" s="1"/>
  <c r="H176" i="4"/>
  <c r="I14" i="4"/>
  <c r="F112" i="3"/>
  <c r="F337" i="3"/>
  <c r="F339" i="3" s="1"/>
  <c r="F32" i="3"/>
  <c r="AZ56" i="9"/>
  <c r="F311" i="4"/>
  <c r="F309" i="4"/>
  <c r="F307" i="4"/>
  <c r="F306" i="4"/>
  <c r="F310" i="4"/>
  <c r="F297" i="4"/>
  <c r="F308" i="4"/>
  <c r="F301" i="4"/>
  <c r="F299" i="4"/>
  <c r="F305" i="4"/>
  <c r="F298" i="4"/>
  <c r="F302" i="4"/>
  <c r="F300" i="4"/>
  <c r="G56" i="9"/>
  <c r="F221" i="5"/>
  <c r="F111" i="2"/>
  <c r="F33" i="2" s="1"/>
  <c r="I263" i="4"/>
  <c r="J263" i="4" s="1"/>
  <c r="K263" i="4" s="1"/>
  <c r="L263" i="4" s="1"/>
  <c r="M263" i="4" s="1"/>
  <c r="N263" i="4" s="1"/>
  <c r="O263" i="4" s="1"/>
  <c r="P263" i="4" s="1"/>
  <c r="Q263" i="4" s="1"/>
  <c r="R263" i="4" s="1"/>
  <c r="S263" i="4" s="1"/>
  <c r="T263" i="4" s="1"/>
  <c r="U263" i="4" s="1"/>
  <c r="V263" i="4" s="1"/>
  <c r="W263" i="4" s="1"/>
  <c r="X263" i="4" s="1"/>
  <c r="Y263" i="4" s="1"/>
  <c r="Z263" i="4" s="1"/>
  <c r="AA263" i="4" s="1"/>
  <c r="AB263" i="4" s="1"/>
  <c r="AC263" i="4" s="1"/>
  <c r="AD263" i="4" s="1"/>
  <c r="AE263" i="4" s="1"/>
  <c r="AF263" i="4" s="1"/>
  <c r="AG263" i="4" s="1"/>
  <c r="AH263" i="4" s="1"/>
  <c r="AI263" i="4" s="1"/>
  <c r="AJ263" i="4" s="1"/>
  <c r="AK263" i="4" s="1"/>
  <c r="AL263" i="4" s="1"/>
  <c r="AM263" i="4" s="1"/>
  <c r="AN263" i="4" s="1"/>
  <c r="AO263" i="4" s="1"/>
  <c r="AP263" i="4" s="1"/>
  <c r="AQ263" i="4" s="1"/>
  <c r="AR263" i="4" s="1"/>
  <c r="AS263" i="4" s="1"/>
  <c r="H264" i="4"/>
  <c r="H265" i="4" s="1"/>
  <c r="H113" i="4"/>
  <c r="I113" i="4" s="1"/>
  <c r="J113" i="4" s="1"/>
  <c r="K113" i="4" s="1"/>
  <c r="L113" i="4" s="1"/>
  <c r="M113" i="4" s="1"/>
  <c r="N113" i="4" s="1"/>
  <c r="O113" i="4" s="1"/>
  <c r="P113" i="4" s="1"/>
  <c r="Q113" i="4" s="1"/>
  <c r="R113" i="4" s="1"/>
  <c r="S113" i="4" s="1"/>
  <c r="T113" i="4" s="1"/>
  <c r="U113" i="4" s="1"/>
  <c r="V113" i="4" s="1"/>
  <c r="W113" i="4" s="1"/>
  <c r="X113" i="4" s="1"/>
  <c r="Y113" i="4" s="1"/>
  <c r="Z113" i="4" s="1"/>
  <c r="AA113" i="4" s="1"/>
  <c r="AB113" i="4" s="1"/>
  <c r="AC113" i="4" s="1"/>
  <c r="AD113" i="4" s="1"/>
  <c r="AE113" i="4" s="1"/>
  <c r="AF113" i="4" s="1"/>
  <c r="AG113" i="4" s="1"/>
  <c r="AH113" i="4" s="1"/>
  <c r="AI113" i="4" s="1"/>
  <c r="AJ113" i="4" s="1"/>
  <c r="AK113" i="4" s="1"/>
  <c r="AL113" i="4" s="1"/>
  <c r="AM113" i="4" s="1"/>
  <c r="AN113" i="4" s="1"/>
  <c r="AO113" i="4" s="1"/>
  <c r="AP113" i="4" s="1"/>
  <c r="AQ113" i="4" s="1"/>
  <c r="AR113" i="4" s="1"/>
  <c r="AS113" i="4" s="1"/>
  <c r="G116" i="4"/>
  <c r="H143" i="4"/>
  <c r="I143" i="4" s="1"/>
  <c r="J143" i="4" s="1"/>
  <c r="K143" i="4" s="1"/>
  <c r="L143" i="4" s="1"/>
  <c r="M143" i="4" s="1"/>
  <c r="N143" i="4" s="1"/>
  <c r="O143" i="4" s="1"/>
  <c r="P143" i="4" s="1"/>
  <c r="Q143" i="4" s="1"/>
  <c r="R143" i="4" s="1"/>
  <c r="S143" i="4" s="1"/>
  <c r="T143" i="4" s="1"/>
  <c r="U143" i="4" s="1"/>
  <c r="V143" i="4" s="1"/>
  <c r="W143" i="4" s="1"/>
  <c r="X143" i="4" s="1"/>
  <c r="Y143" i="4" s="1"/>
  <c r="Z143" i="4" s="1"/>
  <c r="AA143" i="4" s="1"/>
  <c r="AB143" i="4" s="1"/>
  <c r="AC143" i="4" s="1"/>
  <c r="AD143" i="4" s="1"/>
  <c r="AE143" i="4" s="1"/>
  <c r="AF143" i="4" s="1"/>
  <c r="AG143" i="4" s="1"/>
  <c r="AH143" i="4" s="1"/>
  <c r="AI143" i="4" s="1"/>
  <c r="AJ143" i="4" s="1"/>
  <c r="AK143" i="4" s="1"/>
  <c r="AL143" i="4" s="1"/>
  <c r="AM143" i="4" s="1"/>
  <c r="AN143" i="4" s="1"/>
  <c r="AO143" i="4" s="1"/>
  <c r="AP143" i="4" s="1"/>
  <c r="AQ143" i="4" s="1"/>
  <c r="AR143" i="4" s="1"/>
  <c r="AS143" i="4" s="1"/>
  <c r="G146" i="4"/>
  <c r="H207" i="4"/>
  <c r="G209" i="4"/>
  <c r="G305" i="4"/>
  <c r="G308" i="4"/>
  <c r="G297" i="4"/>
  <c r="G311" i="4"/>
  <c r="G301" i="4"/>
  <c r="G300" i="4"/>
  <c r="G310" i="4"/>
  <c r="G307" i="4"/>
  <c r="G298" i="4"/>
  <c r="G309" i="4"/>
  <c r="G306" i="4"/>
  <c r="G299" i="4"/>
  <c r="G302" i="4"/>
  <c r="AY39" i="3"/>
  <c r="AY79" i="3"/>
  <c r="AY216" i="3"/>
  <c r="AX8" i="9"/>
  <c r="E469" i="1"/>
  <c r="F469" i="1" s="1"/>
  <c r="F23" i="2"/>
  <c r="G495" i="3"/>
  <c r="F23" i="3"/>
  <c r="F431" i="3" s="1"/>
  <c r="F495" i="3"/>
  <c r="AY495" i="3" s="1"/>
  <c r="G23" i="3"/>
  <c r="G431" i="3" s="1"/>
  <c r="N66" i="1"/>
  <c r="V57" i="9"/>
  <c r="G234" i="3"/>
  <c r="AA57" i="9" s="1"/>
  <c r="G194" i="5"/>
  <c r="AJ135" i="1"/>
  <c r="AB134" i="1"/>
  <c r="C56" i="2"/>
  <c r="F57" i="2"/>
  <c r="AA409" i="4"/>
  <c r="B298" i="4"/>
  <c r="AA407" i="4"/>
  <c r="AA408" i="4" s="1"/>
  <c r="B306" i="4"/>
  <c r="G252" i="4"/>
  <c r="F172" i="4"/>
  <c r="B92" i="4"/>
  <c r="G90" i="4"/>
  <c r="F251" i="4"/>
  <c r="F90" i="4"/>
  <c r="F252" i="4"/>
  <c r="B171" i="4"/>
  <c r="G172" i="4"/>
  <c r="C191" i="3"/>
  <c r="E685" i="1"/>
  <c r="F685" i="1" s="1"/>
  <c r="F214" i="2"/>
  <c r="F193" i="1"/>
  <c r="C191" i="2"/>
  <c r="AY206" i="3"/>
  <c r="F206" i="2"/>
  <c r="E353" i="1" s="1"/>
  <c r="M72" i="1"/>
  <c r="F316" i="2"/>
  <c r="N68" i="1"/>
  <c r="BX318" i="3"/>
  <c r="BW318" i="3"/>
  <c r="BO318" i="3"/>
  <c r="G206" i="2"/>
  <c r="F353" i="1" s="1"/>
  <c r="G96" i="4"/>
  <c r="H187" i="4"/>
  <c r="G189" i="4"/>
  <c r="H119" i="4"/>
  <c r="G121" i="4"/>
  <c r="H268" i="4"/>
  <c r="G270" i="4"/>
  <c r="G141" i="4"/>
  <c r="H139" i="4"/>
  <c r="H197" i="4"/>
  <c r="G199" i="4"/>
  <c r="H202" i="4"/>
  <c r="G204" i="4"/>
  <c r="G220" i="4"/>
  <c r="H218" i="4"/>
  <c r="G240" i="4"/>
  <c r="H238" i="4"/>
  <c r="J39" i="4"/>
  <c r="I40" i="4"/>
  <c r="I264" i="4"/>
  <c r="I265" i="4" s="1"/>
  <c r="I178" i="4"/>
  <c r="I102" i="4"/>
  <c r="I103" i="4" s="1"/>
  <c r="J91" i="4"/>
  <c r="I99" i="4"/>
  <c r="I257" i="4"/>
  <c r="I258" i="4" s="1"/>
  <c r="I180" i="4"/>
  <c r="I181" i="4" s="1"/>
  <c r="F107" i="3"/>
  <c r="F179" i="3"/>
  <c r="AY179" i="3" s="1"/>
  <c r="F239" i="3"/>
  <c r="AY239" i="3" s="1"/>
  <c r="AH56" i="9"/>
  <c r="AY337" i="3"/>
  <c r="AY99" i="3"/>
  <c r="AV8" i="9"/>
  <c r="AV104" i="9" s="1"/>
  <c r="F295" i="2"/>
  <c r="AY295" i="3" s="1"/>
  <c r="AY69" i="3"/>
  <c r="AY51" i="3"/>
  <c r="G30" i="4"/>
  <c r="G109" i="2"/>
  <c r="G58" i="2"/>
  <c r="D9" i="9"/>
  <c r="G106" i="2"/>
  <c r="G79" i="2"/>
  <c r="G53" i="2"/>
  <c r="H5" i="2"/>
  <c r="F454" i="3"/>
  <c r="AS56" i="9"/>
  <c r="AS104" i="9" s="1"/>
  <c r="AY390" i="3"/>
  <c r="I92" i="4"/>
  <c r="H100" i="4"/>
  <c r="AY124" i="3"/>
  <c r="F371" i="2"/>
  <c r="G124" i="2"/>
  <c r="BM8" i="9"/>
  <c r="AY80" i="3"/>
  <c r="F236" i="2"/>
  <c r="AY511" i="3"/>
  <c r="R113" i="1"/>
  <c r="G151" i="4"/>
  <c r="AU63" i="2"/>
  <c r="AV63" i="2" s="1"/>
  <c r="F245" i="5"/>
  <c r="AY87" i="3"/>
  <c r="E356" i="3"/>
  <c r="H7" i="3"/>
  <c r="H206" i="3" s="1"/>
  <c r="G188" i="3"/>
  <c r="G214" i="3"/>
  <c r="E105" i="9"/>
  <c r="G264" i="3"/>
  <c r="G3" i="5"/>
  <c r="G411" i="5" s="1"/>
  <c r="E57" i="9"/>
  <c r="AC108" i="1"/>
  <c r="AC109" i="1" s="1"/>
  <c r="I101" i="1" s="1"/>
  <c r="BA206" i="3"/>
  <c r="BB4" i="3"/>
  <c r="BA21" i="3"/>
  <c r="H109" i="3"/>
  <c r="H111" i="3" s="1"/>
  <c r="H53" i="3"/>
  <c r="I5" i="3"/>
  <c r="H106" i="3"/>
  <c r="D58" i="9"/>
  <c r="H2" i="5"/>
  <c r="D106" i="9"/>
  <c r="H79" i="3"/>
  <c r="G66" i="3"/>
  <c r="G236" i="3"/>
  <c r="AB57" i="9" s="1"/>
  <c r="G237" i="3"/>
  <c r="AC57" i="9" s="1"/>
  <c r="G359" i="3"/>
  <c r="AY24" i="3"/>
  <c r="F432" i="2"/>
  <c r="AY432" i="3" s="1"/>
  <c r="G225" i="4"/>
  <c r="H223" i="4"/>
  <c r="G245" i="4"/>
  <c r="H243" i="4"/>
  <c r="H295" i="4"/>
  <c r="I93" i="4"/>
  <c r="I175" i="4" s="1"/>
  <c r="H1" i="4"/>
  <c r="F96" i="4"/>
  <c r="F234" i="3"/>
  <c r="F85" i="3"/>
  <c r="F194" i="5"/>
  <c r="G114" i="3"/>
  <c r="F342" i="3"/>
  <c r="BE56" i="9"/>
  <c r="BE104" i="9" s="1"/>
  <c r="F237" i="3"/>
  <c r="F195" i="5"/>
  <c r="AY121" i="3"/>
  <c r="F358" i="2"/>
  <c r="AY359" i="3" s="1"/>
  <c r="G121" i="2"/>
  <c r="F123" i="2"/>
  <c r="AY67" i="3"/>
  <c r="U8" i="9"/>
  <c r="F70" i="2"/>
  <c r="G504" i="2"/>
  <c r="G495" i="2"/>
  <c r="G208" i="2"/>
  <c r="G82" i="2"/>
  <c r="G80" i="2"/>
  <c r="G78" i="2"/>
  <c r="G105" i="2"/>
  <c r="G81" i="2"/>
  <c r="G68" i="2"/>
  <c r="G62" i="2"/>
  <c r="G22" i="2"/>
  <c r="G29" i="4"/>
  <c r="G511" i="2"/>
  <c r="AZ511" i="3" s="1"/>
  <c r="G389" i="2"/>
  <c r="G315" i="2"/>
  <c r="AZ315" i="3" s="1"/>
  <c r="G137" i="2"/>
  <c r="G83" i="2"/>
  <c r="G66" i="2"/>
  <c r="G209" i="2" s="1"/>
  <c r="G27" i="2"/>
  <c r="G26" i="2"/>
  <c r="G25" i="2"/>
  <c r="G24" i="2"/>
  <c r="G23" i="2"/>
  <c r="G479" i="2"/>
  <c r="AZ479" i="3" s="1"/>
  <c r="G42" i="2"/>
  <c r="G69" i="2"/>
  <c r="G67" i="2"/>
  <c r="AZ67" i="3" s="1"/>
  <c r="H4" i="2"/>
  <c r="H359" i="2" s="1"/>
  <c r="C9" i="9"/>
  <c r="G108" i="2"/>
  <c r="G47" i="2"/>
  <c r="AZ47" i="3" s="1"/>
  <c r="G21" i="2"/>
  <c r="AY137" i="3"/>
  <c r="F115" i="3"/>
  <c r="AY325" i="3"/>
  <c r="AY122" i="3"/>
  <c r="G122" i="2"/>
  <c r="F360" i="2"/>
  <c r="AY78" i="3"/>
  <c r="F234" i="2"/>
  <c r="F14" i="5"/>
  <c r="F36" i="2"/>
  <c r="Y8" i="9"/>
  <c r="E369" i="1"/>
  <c r="P210" i="1" s="1"/>
  <c r="F16" i="5"/>
  <c r="AB146" i="1"/>
  <c r="AJ147" i="1"/>
  <c r="AY105" i="3"/>
  <c r="V8" i="9"/>
  <c r="B262" i="1"/>
  <c r="B309" i="1" s="1"/>
  <c r="Z263" i="1"/>
  <c r="V56" i="9"/>
  <c r="AZ206" i="3"/>
  <c r="Y111" i="1"/>
  <c r="S111" i="1" s="1"/>
  <c r="X111" i="1"/>
  <c r="R111" i="1" s="1"/>
  <c r="Q110" i="1"/>
  <c r="H80" i="3"/>
  <c r="H479" i="3"/>
  <c r="H504" i="3"/>
  <c r="H495" i="3"/>
  <c r="H137" i="3"/>
  <c r="H81" i="3"/>
  <c r="H68" i="3"/>
  <c r="H22" i="3"/>
  <c r="I4" i="3"/>
  <c r="H69" i="3"/>
  <c r="H21" i="3"/>
  <c r="H105" i="3"/>
  <c r="H82" i="3"/>
  <c r="H78" i="3"/>
  <c r="H67" i="3"/>
  <c r="H42" i="3"/>
  <c r="H27" i="3"/>
  <c r="H435" i="3" s="1"/>
  <c r="H26" i="3"/>
  <c r="H434" i="3" s="1"/>
  <c r="H25" i="3"/>
  <c r="H433" i="3" s="1"/>
  <c r="H24" i="3"/>
  <c r="H432" i="3" s="1"/>
  <c r="H23" i="3"/>
  <c r="H431" i="3" s="1"/>
  <c r="H208" i="3"/>
  <c r="H511" i="3"/>
  <c r="H216" i="3"/>
  <c r="H83" i="3"/>
  <c r="C58" i="9"/>
  <c r="H1" i="5"/>
  <c r="H108" i="3"/>
  <c r="H110" i="3" s="1"/>
  <c r="C106" i="9"/>
  <c r="H62" i="3"/>
  <c r="G239" i="3"/>
  <c r="G179" i="3"/>
  <c r="AH57" i="9"/>
  <c r="BQ57" i="9" s="1"/>
  <c r="G174" i="3"/>
  <c r="G280" i="3" s="1"/>
  <c r="G65" i="3"/>
  <c r="G452" i="3"/>
  <c r="C51" i="3"/>
  <c r="C51" i="2"/>
  <c r="F52" i="3"/>
  <c r="F52" i="2"/>
  <c r="K112" i="1"/>
  <c r="AF124" i="1"/>
  <c r="H273" i="4"/>
  <c r="G275" i="4"/>
  <c r="H129" i="4"/>
  <c r="G131" i="4"/>
  <c r="H109" i="4"/>
  <c r="G111" i="4"/>
  <c r="G166" i="4"/>
  <c r="H164" i="4"/>
  <c r="G161" i="4"/>
  <c r="H159" i="4"/>
  <c r="H282" i="4"/>
  <c r="G284" i="4"/>
  <c r="G230" i="4"/>
  <c r="H228" i="4"/>
  <c r="I124" i="4"/>
  <c r="I42" i="4"/>
  <c r="J41" i="4"/>
  <c r="H96" i="4"/>
  <c r="H44" i="4"/>
  <c r="I43" i="4"/>
  <c r="F371" i="3"/>
  <c r="G124" i="3"/>
  <c r="BM56" i="9"/>
  <c r="F36" i="3"/>
  <c r="F70" i="3"/>
  <c r="U56" i="9"/>
  <c r="F76" i="3"/>
  <c r="F465" i="3" s="1"/>
  <c r="AY447" i="3"/>
  <c r="F391" i="2"/>
  <c r="F392" i="2"/>
  <c r="F394" i="2"/>
  <c r="F393" i="2"/>
  <c r="AY108" i="3"/>
  <c r="G89" i="3"/>
  <c r="F316" i="3"/>
  <c r="I154" i="4"/>
  <c r="H156" i="4"/>
  <c r="H177" i="4"/>
  <c r="I11" i="4"/>
  <c r="AY113" i="3"/>
  <c r="F341" i="2"/>
  <c r="AY342" i="3" s="1"/>
  <c r="F115" i="2"/>
  <c r="G113" i="2"/>
  <c r="BA8" i="9"/>
  <c r="BA104" i="9" s="1"/>
  <c r="F85" i="2"/>
  <c r="AY479" i="3"/>
  <c r="AD108" i="1"/>
  <c r="AD109" i="1" s="1"/>
  <c r="I102" i="1" s="1"/>
  <c r="I114" i="4"/>
  <c r="AU64" i="2"/>
  <c r="AV64" i="2" s="1"/>
  <c r="H251" i="5"/>
  <c r="F214" i="3"/>
  <c r="AY50" i="3"/>
  <c r="F393" i="3"/>
  <c r="F392" i="3"/>
  <c r="F391" i="3"/>
  <c r="F394" i="3"/>
  <c r="AY42" i="3"/>
  <c r="AY25" i="3"/>
  <c r="F433" i="2"/>
  <c r="AY433" i="3" s="1"/>
  <c r="AY27" i="3"/>
  <c r="F435" i="2"/>
  <c r="AY435" i="3" s="1"/>
  <c r="G206" i="3"/>
  <c r="G430" i="3"/>
  <c r="G407" i="5"/>
  <c r="K101" i="1"/>
  <c r="AF110" i="1"/>
  <c r="G275" i="5"/>
  <c r="E356" i="2"/>
  <c r="AU356" i="3" s="1"/>
  <c r="AV181" i="3"/>
  <c r="AU181" i="2"/>
  <c r="AV181" i="2" s="1"/>
  <c r="AV211" i="3"/>
  <c r="AU211" i="2"/>
  <c r="AV211" i="2" s="1"/>
  <c r="AY238" i="3"/>
  <c r="AD8" i="9"/>
  <c r="AD104" i="9" s="1"/>
  <c r="BD8" i="9"/>
  <c r="H188" i="2"/>
  <c r="H264" i="2"/>
  <c r="H214" i="2"/>
  <c r="I7" i="2"/>
  <c r="E10" i="9"/>
  <c r="F471" i="3"/>
  <c r="F301" i="3"/>
  <c r="AY301" i="3" s="1"/>
  <c r="F243" i="3"/>
  <c r="AY243" i="3" s="1"/>
  <c r="F196" i="5"/>
  <c r="Y56" i="9"/>
  <c r="AV143" i="3"/>
  <c r="AU143" i="2"/>
  <c r="AV143" i="2" s="1"/>
  <c r="AY291" i="3"/>
  <c r="G144" i="2"/>
  <c r="AU64" i="3"/>
  <c r="AV64" i="3" s="1"/>
  <c r="H59" i="5"/>
  <c r="AY110" i="3"/>
  <c r="F337" i="2"/>
  <c r="F112" i="2"/>
  <c r="F32" i="2"/>
  <c r="AZ8" i="9"/>
  <c r="AU63" i="3"/>
  <c r="AV63" i="3" s="1"/>
  <c r="F53" i="5"/>
  <c r="AZ318" i="3"/>
  <c r="E318" i="2"/>
  <c r="F19" i="3"/>
  <c r="F232" i="3" s="1"/>
  <c r="AY11" i="3"/>
  <c r="G8" i="9"/>
  <c r="F19" i="2"/>
  <c r="F10" i="5" s="1"/>
  <c r="F29" i="5"/>
  <c r="N67" i="1"/>
  <c r="AE8" i="9"/>
  <c r="AE104" i="9" s="1"/>
  <c r="AY96" i="3"/>
  <c r="AR8" i="9"/>
  <c r="AR104" i="9" s="1"/>
  <c r="F310" i="2"/>
  <c r="AY310" i="3" s="1"/>
  <c r="L72" i="1"/>
  <c r="K72" i="1"/>
  <c r="AP56" i="9"/>
  <c r="AP104" i="9" s="1"/>
  <c r="BK56" i="9"/>
  <c r="F355" i="3"/>
  <c r="AG56" i="9"/>
  <c r="N69" i="1"/>
  <c r="H73" i="1"/>
  <c r="I73" i="1" s="1"/>
  <c r="AY17" i="3"/>
  <c r="I8" i="9"/>
  <c r="H29" i="5"/>
  <c r="I56" i="9"/>
  <c r="H221" i="5"/>
  <c r="AY127" i="3"/>
  <c r="AG8" i="9"/>
  <c r="BK8" i="9"/>
  <c r="F355" i="2"/>
  <c r="AY58" i="10"/>
  <c r="BW58" i="10"/>
  <c r="BG58" i="10"/>
  <c r="BO58" i="10"/>
  <c r="BJ58" i="10"/>
  <c r="BK18" i="10"/>
  <c r="BK58" i="10" s="1"/>
  <c r="CA58" i="10"/>
  <c r="AX58" i="10"/>
  <c r="BZ58" i="10"/>
  <c r="AG7" i="10" s="1"/>
  <c r="AH7" i="10" s="1"/>
  <c r="BV58" i="10"/>
  <c r="AG8" i="10" s="1"/>
  <c r="AH8" i="10" s="1"/>
  <c r="BS58" i="10"/>
  <c r="BB58" i="10"/>
  <c r="BF58" i="10"/>
  <c r="BN58" i="10"/>
  <c r="BR58" i="10"/>
  <c r="BC58" i="10"/>
  <c r="CH180" i="3"/>
  <c r="F502" i="3"/>
  <c r="F460" i="3"/>
  <c r="F326" i="3"/>
  <c r="F296" i="3"/>
  <c r="G101" i="3"/>
  <c r="F30" i="3"/>
  <c r="G100" i="3"/>
  <c r="F382" i="5"/>
  <c r="F381" i="5"/>
  <c r="AU56" i="9"/>
  <c r="AY102" i="3"/>
  <c r="F326" i="2"/>
  <c r="F502" i="2"/>
  <c r="F460" i="2"/>
  <c r="G101" i="2"/>
  <c r="G100" i="2"/>
  <c r="F30" i="2"/>
  <c r="F296" i="2"/>
  <c r="F378" i="5"/>
  <c r="AU8" i="9"/>
  <c r="F491" i="2"/>
  <c r="AY94" i="3"/>
  <c r="F293" i="2"/>
  <c r="G92" i="2"/>
  <c r="F308" i="2"/>
  <c r="F176" i="2"/>
  <c r="G93" i="2"/>
  <c r="F456" i="2"/>
  <c r="AN8" i="9"/>
  <c r="F379" i="5"/>
  <c r="F377" i="5"/>
  <c r="F176" i="3"/>
  <c r="AU18" i="2"/>
  <c r="J96" i="9"/>
  <c r="I273" i="5"/>
  <c r="E183" i="5"/>
  <c r="I183" i="5" s="1"/>
  <c r="M183" i="5" s="1"/>
  <c r="BD57" i="9" l="1"/>
  <c r="Z492" i="2"/>
  <c r="BS492" i="3" s="1"/>
  <c r="Z174" i="5"/>
  <c r="BS134" i="3"/>
  <c r="BO134" i="3"/>
  <c r="V300" i="2"/>
  <c r="BO300" i="3" s="1"/>
  <c r="Z380" i="2"/>
  <c r="BS380" i="3" s="1"/>
  <c r="V468" i="2"/>
  <c r="BO468" i="3" s="1"/>
  <c r="Z468" i="2"/>
  <c r="BS468" i="3" s="1"/>
  <c r="BN28" i="9"/>
  <c r="BN124" i="9" s="1"/>
  <c r="Z378" i="2"/>
  <c r="BS378" i="3" s="1"/>
  <c r="AO28" i="9"/>
  <c r="AO124" i="9" s="1"/>
  <c r="AE314" i="2"/>
  <c r="BX314" i="3" s="1"/>
  <c r="N380" i="2"/>
  <c r="BG380" i="3" s="1"/>
  <c r="W314" i="2"/>
  <c r="BP314" i="3" s="1"/>
  <c r="BP133" i="3"/>
  <c r="Z180" i="2"/>
  <c r="Z283" i="2" s="1"/>
  <c r="BS283" i="3" s="1"/>
  <c r="AO33" i="9"/>
  <c r="AO129" i="9" s="1"/>
  <c r="Z314" i="2"/>
  <c r="BS314" i="3" s="1"/>
  <c r="Z172" i="5"/>
  <c r="BG134" i="3"/>
  <c r="BX133" i="3"/>
  <c r="AE172" i="5"/>
  <c r="N174" i="5"/>
  <c r="AE492" i="2"/>
  <c r="BX492" i="3" s="1"/>
  <c r="AE180" i="2"/>
  <c r="AE283" i="2" s="1"/>
  <c r="BX283" i="3" s="1"/>
  <c r="N300" i="2"/>
  <c r="BG300" i="3" s="1"/>
  <c r="N468" i="2"/>
  <c r="BG468" i="3" s="1"/>
  <c r="G338" i="3"/>
  <c r="G112" i="3"/>
  <c r="G463" i="3" s="1"/>
  <c r="I122" i="3"/>
  <c r="I360" i="3" s="1"/>
  <c r="G216" i="2"/>
  <c r="G35" i="4"/>
  <c r="H157" i="2"/>
  <c r="H155" i="2"/>
  <c r="G120" i="3"/>
  <c r="G157" i="3"/>
  <c r="G155" i="3"/>
  <c r="AY75" i="3"/>
  <c r="G289" i="4"/>
  <c r="G120" i="2"/>
  <c r="G354" i="2" s="1"/>
  <c r="G157" i="2"/>
  <c r="G155" i="2"/>
  <c r="AX104" i="9"/>
  <c r="G92" i="3"/>
  <c r="AZ92" i="3" s="1"/>
  <c r="H116" i="4"/>
  <c r="F458" i="3"/>
  <c r="F294" i="3"/>
  <c r="AY294" i="3" s="1"/>
  <c r="BO180" i="3"/>
  <c r="AZ360" i="3"/>
  <c r="AY188" i="3"/>
  <c r="G87" i="2"/>
  <c r="G74" i="2" s="1"/>
  <c r="G98" i="2"/>
  <c r="H304" i="5"/>
  <c r="H66" i="3"/>
  <c r="H209" i="3" s="1"/>
  <c r="G209" i="3"/>
  <c r="J468" i="2"/>
  <c r="BC468" i="3" s="1"/>
  <c r="AH378" i="2"/>
  <c r="CA378" i="3" s="1"/>
  <c r="Y283" i="2"/>
  <c r="BR283" i="3" s="1"/>
  <c r="AP380" i="2"/>
  <c r="CI380" i="3" s="1"/>
  <c r="AP300" i="2"/>
  <c r="CI300" i="3" s="1"/>
  <c r="AF380" i="2"/>
  <c r="BY380" i="3" s="1"/>
  <c r="AP174" i="5"/>
  <c r="H120" i="2"/>
  <c r="H76" i="2" s="1"/>
  <c r="AH180" i="2"/>
  <c r="CA180" i="3" s="1"/>
  <c r="R492" i="2"/>
  <c r="BK492" i="3" s="1"/>
  <c r="CF180" i="3"/>
  <c r="R180" i="2"/>
  <c r="R283" i="2" s="1"/>
  <c r="BK283" i="3" s="1"/>
  <c r="X380" i="2"/>
  <c r="BQ380" i="3" s="1"/>
  <c r="AH172" i="5"/>
  <c r="CA133" i="3"/>
  <c r="X468" i="2"/>
  <c r="BQ468" i="3" s="1"/>
  <c r="AH492" i="2"/>
  <c r="CA492" i="3" s="1"/>
  <c r="X174" i="5"/>
  <c r="AO16" i="9"/>
  <c r="AO112" i="9" s="1"/>
  <c r="BQ134" i="3"/>
  <c r="N314" i="2"/>
  <c r="BG314" i="3" s="1"/>
  <c r="N180" i="2"/>
  <c r="BG180" i="3" s="1"/>
  <c r="AH314" i="2"/>
  <c r="CA314" i="3" s="1"/>
  <c r="X300" i="2"/>
  <c r="BQ300" i="3" s="1"/>
  <c r="AO32" i="9"/>
  <c r="AO128" i="9" s="1"/>
  <c r="BG133" i="3"/>
  <c r="AD378" i="2"/>
  <c r="BW378" i="3" s="1"/>
  <c r="AD180" i="2"/>
  <c r="BW180" i="3" s="1"/>
  <c r="AD314" i="2"/>
  <c r="BW314" i="3" s="1"/>
  <c r="BW133" i="3"/>
  <c r="AD172" i="5"/>
  <c r="N378" i="2"/>
  <c r="BG378" i="3" s="1"/>
  <c r="AB300" i="2"/>
  <c r="BU300" i="3" s="1"/>
  <c r="AL283" i="2"/>
  <c r="CE283" i="3" s="1"/>
  <c r="W283" i="2"/>
  <c r="BP283" i="3" s="1"/>
  <c r="AB380" i="2"/>
  <c r="BU380" i="3" s="1"/>
  <c r="BU134" i="3"/>
  <c r="AF174" i="5"/>
  <c r="H89" i="2"/>
  <c r="H316" i="2" s="1"/>
  <c r="AZ89" i="3"/>
  <c r="BN30" i="9"/>
  <c r="BN126" i="9" s="1"/>
  <c r="AB468" i="2"/>
  <c r="BU468" i="3" s="1"/>
  <c r="AP468" i="2"/>
  <c r="CI468" i="3" s="1"/>
  <c r="BC134" i="3"/>
  <c r="AF300" i="2"/>
  <c r="BY300" i="3" s="1"/>
  <c r="BN34" i="9"/>
  <c r="BN130" i="9" s="1"/>
  <c r="BS180" i="3"/>
  <c r="J380" i="2"/>
  <c r="BC380" i="3" s="1"/>
  <c r="CC134" i="3"/>
  <c r="J300" i="2"/>
  <c r="BC300" i="3" s="1"/>
  <c r="J174" i="5"/>
  <c r="N172" i="5"/>
  <c r="BY134" i="3"/>
  <c r="CI134" i="3"/>
  <c r="AJ174" i="5"/>
  <c r="BN38" i="9"/>
  <c r="BN134" i="9" s="1"/>
  <c r="CK134" i="3"/>
  <c r="AJ300" i="2"/>
  <c r="CC300" i="3" s="1"/>
  <c r="AJ468" i="2"/>
  <c r="CC468" i="3" s="1"/>
  <c r="AY392" i="3"/>
  <c r="AF57" i="9"/>
  <c r="AY354" i="3"/>
  <c r="AY91" i="3"/>
  <c r="F292" i="3"/>
  <c r="AY292" i="3" s="1"/>
  <c r="AZ104" i="9"/>
  <c r="F346" i="3"/>
  <c r="F311" i="3"/>
  <c r="AZ214" i="3"/>
  <c r="AR468" i="2"/>
  <c r="CK468" i="3" s="1"/>
  <c r="BN20" i="9"/>
  <c r="BN116" i="9" s="1"/>
  <c r="R300" i="2"/>
  <c r="BK300" i="3" s="1"/>
  <c r="BK134" i="3"/>
  <c r="R174" i="5"/>
  <c r="R468" i="2"/>
  <c r="BK468" i="3" s="1"/>
  <c r="R380" i="2"/>
  <c r="BK380" i="3" s="1"/>
  <c r="CI180" i="3"/>
  <c r="BD104" i="9"/>
  <c r="G342" i="2"/>
  <c r="AR174" i="5"/>
  <c r="AR380" i="2"/>
  <c r="CK380" i="3" s="1"/>
  <c r="R314" i="2"/>
  <c r="BK314" i="3" s="1"/>
  <c r="AO20" i="9"/>
  <c r="AO116" i="9" s="1"/>
  <c r="BK133" i="3"/>
  <c r="R172" i="5"/>
  <c r="F309" i="3"/>
  <c r="AR300" i="2"/>
  <c r="CK300" i="3" s="1"/>
  <c r="F190" i="5"/>
  <c r="F206" i="5" s="1"/>
  <c r="H206" i="2"/>
  <c r="G353" i="1" s="1"/>
  <c r="V104" i="9"/>
  <c r="V58" i="9"/>
  <c r="O283" i="2"/>
  <c r="BH283" i="3" s="1"/>
  <c r="AQ314" i="2"/>
  <c r="CJ314" i="3" s="1"/>
  <c r="AQ172" i="5"/>
  <c r="AQ180" i="2"/>
  <c r="AQ378" i="2"/>
  <c r="CJ378" i="3" s="1"/>
  <c r="CJ133" i="3"/>
  <c r="AQ492" i="2"/>
  <c r="CJ492" i="3" s="1"/>
  <c r="AO45" i="9"/>
  <c r="AO141" i="9" s="1"/>
  <c r="Q300" i="2"/>
  <c r="BJ300" i="3" s="1"/>
  <c r="Q468" i="2"/>
  <c r="BJ468" i="3" s="1"/>
  <c r="BN19" i="9"/>
  <c r="BN115" i="9" s="1"/>
  <c r="Q380" i="2"/>
  <c r="BJ380" i="3" s="1"/>
  <c r="Q174" i="5"/>
  <c r="BJ134" i="3"/>
  <c r="AO47" i="9"/>
  <c r="AO143" i="9" s="1"/>
  <c r="AS314" i="2"/>
  <c r="CL314" i="3" s="1"/>
  <c r="AS180" i="2"/>
  <c r="AS492" i="2"/>
  <c r="CL492" i="3" s="1"/>
  <c r="AS378" i="2"/>
  <c r="CL378" i="3" s="1"/>
  <c r="AS172" i="5"/>
  <c r="CL133" i="3"/>
  <c r="BN31" i="9"/>
  <c r="BN127" i="9" s="1"/>
  <c r="AC174" i="5"/>
  <c r="AC380" i="2"/>
  <c r="BV380" i="3" s="1"/>
  <c r="AC300" i="2"/>
  <c r="BV300" i="3" s="1"/>
  <c r="AC468" i="2"/>
  <c r="BV468" i="3" s="1"/>
  <c r="BV134" i="3"/>
  <c r="P180" i="2"/>
  <c r="AO18" i="9"/>
  <c r="AO114" i="9" s="1"/>
  <c r="P172" i="5"/>
  <c r="BI133" i="3"/>
  <c r="P378" i="2"/>
  <c r="BI378" i="3" s="1"/>
  <c r="P314" i="2"/>
  <c r="BI314" i="3" s="1"/>
  <c r="P492" i="2"/>
  <c r="BI492" i="3" s="1"/>
  <c r="AO31" i="9"/>
  <c r="AO127" i="9" s="1"/>
  <c r="AC492" i="2"/>
  <c r="BV492" i="3" s="1"/>
  <c r="AC172" i="5"/>
  <c r="AC314" i="2"/>
  <c r="BV314" i="3" s="1"/>
  <c r="BV133" i="3"/>
  <c r="AC180" i="2"/>
  <c r="AC378" i="2"/>
  <c r="BV378" i="3" s="1"/>
  <c r="AA300" i="2"/>
  <c r="BT300" i="3" s="1"/>
  <c r="AA468" i="2"/>
  <c r="BT468" i="3" s="1"/>
  <c r="BN29" i="9"/>
  <c r="BN125" i="9" s="1"/>
  <c r="BT134" i="3"/>
  <c r="AA174" i="5"/>
  <c r="AA380" i="2"/>
  <c r="BT380" i="3" s="1"/>
  <c r="AQ300" i="2"/>
  <c r="CJ300" i="3" s="1"/>
  <c r="BN45" i="9"/>
  <c r="BN141" i="9" s="1"/>
  <c r="AQ174" i="5"/>
  <c r="AQ468" i="2"/>
  <c r="CJ468" i="3" s="1"/>
  <c r="CJ134" i="3"/>
  <c r="AQ380" i="2"/>
  <c r="CJ380" i="3" s="1"/>
  <c r="BN15" i="9"/>
  <c r="BN111" i="9" s="1"/>
  <c r="BF134" i="3"/>
  <c r="M174" i="5"/>
  <c r="M380" i="2"/>
  <c r="BF380" i="3" s="1"/>
  <c r="M468" i="2"/>
  <c r="BF468" i="3" s="1"/>
  <c r="M300" i="2"/>
  <c r="BF300" i="3" s="1"/>
  <c r="P468" i="2"/>
  <c r="BI468" i="3" s="1"/>
  <c r="BI134" i="3"/>
  <c r="P380" i="2"/>
  <c r="BI380" i="3" s="1"/>
  <c r="BN18" i="9"/>
  <c r="BN114" i="9" s="1"/>
  <c r="P174" i="5"/>
  <c r="P300" i="2"/>
  <c r="BI300" i="3" s="1"/>
  <c r="AO38" i="9"/>
  <c r="AO134" i="9" s="1"/>
  <c r="AJ172" i="5"/>
  <c r="AJ492" i="2"/>
  <c r="CC492" i="3" s="1"/>
  <c r="AJ314" i="2"/>
  <c r="CC314" i="3" s="1"/>
  <c r="CC133" i="3"/>
  <c r="AJ180" i="2"/>
  <c r="AJ378" i="2"/>
  <c r="CC378" i="3" s="1"/>
  <c r="AO19" i="9"/>
  <c r="AO115" i="9" s="1"/>
  <c r="Q314" i="2"/>
  <c r="BJ314" i="3" s="1"/>
  <c r="Q378" i="2"/>
  <c r="BJ378" i="3" s="1"/>
  <c r="BJ133" i="3"/>
  <c r="Q492" i="2"/>
  <c r="BJ492" i="3" s="1"/>
  <c r="Q172" i="5"/>
  <c r="Q180" i="2"/>
  <c r="I174" i="5"/>
  <c r="BN11" i="9"/>
  <c r="BN107" i="9" s="1"/>
  <c r="BB134" i="3"/>
  <c r="I468" i="2"/>
  <c r="BB468" i="3" s="1"/>
  <c r="I300" i="2"/>
  <c r="BB300" i="3" s="1"/>
  <c r="I380" i="2"/>
  <c r="BB380" i="3" s="1"/>
  <c r="K300" i="2"/>
  <c r="BD300" i="3" s="1"/>
  <c r="K174" i="5"/>
  <c r="BD134" i="3"/>
  <c r="BN13" i="9"/>
  <c r="BN109" i="9" s="1"/>
  <c r="K468" i="2"/>
  <c r="BD468" i="3" s="1"/>
  <c r="K380" i="2"/>
  <c r="BD380" i="3" s="1"/>
  <c r="W468" i="2"/>
  <c r="BP468" i="3" s="1"/>
  <c r="BN25" i="9"/>
  <c r="BN121" i="9" s="1"/>
  <c r="BP134" i="3"/>
  <c r="W380" i="2"/>
  <c r="BP380" i="3" s="1"/>
  <c r="W300" i="2"/>
  <c r="BP300" i="3" s="1"/>
  <c r="W174" i="5"/>
  <c r="AM468" i="2"/>
  <c r="CF468" i="3" s="1"/>
  <c r="CF134" i="3"/>
  <c r="AM380" i="2"/>
  <c r="CF380" i="3" s="1"/>
  <c r="AM300" i="2"/>
  <c r="CF300" i="3" s="1"/>
  <c r="AM174" i="5"/>
  <c r="BN41" i="9"/>
  <c r="BN137" i="9" s="1"/>
  <c r="AI172" i="5"/>
  <c r="AI492" i="2"/>
  <c r="CB492" i="3" s="1"/>
  <c r="AI180" i="2"/>
  <c r="AI378" i="2"/>
  <c r="CB378" i="3" s="1"/>
  <c r="CB133" i="3"/>
  <c r="AI314" i="2"/>
  <c r="CB314" i="3" s="1"/>
  <c r="AO37" i="9"/>
  <c r="AO133" i="9" s="1"/>
  <c r="Y174" i="5"/>
  <c r="BN27" i="9"/>
  <c r="BN123" i="9" s="1"/>
  <c r="Y468" i="2"/>
  <c r="BR468" i="3" s="1"/>
  <c r="Y300" i="2"/>
  <c r="BR300" i="3" s="1"/>
  <c r="Y380" i="2"/>
  <c r="BR380" i="3" s="1"/>
  <c r="BR134" i="3"/>
  <c r="AO23" i="9"/>
  <c r="AO119" i="9" s="1"/>
  <c r="BN133" i="3"/>
  <c r="U172" i="5"/>
  <c r="U492" i="2"/>
  <c r="BN492" i="3" s="1"/>
  <c r="U378" i="2"/>
  <c r="BN378" i="3" s="1"/>
  <c r="U314" i="2"/>
  <c r="BN314" i="3" s="1"/>
  <c r="U180" i="2"/>
  <c r="O174" i="5"/>
  <c r="O300" i="2"/>
  <c r="BH300" i="3" s="1"/>
  <c r="BH134" i="3"/>
  <c r="O380" i="2"/>
  <c r="BH380" i="3" s="1"/>
  <c r="BN17" i="9"/>
  <c r="BN113" i="9" s="1"/>
  <c r="O468" i="2"/>
  <c r="BH468" i="3" s="1"/>
  <c r="X172" i="5"/>
  <c r="BQ133" i="3"/>
  <c r="X378" i="2"/>
  <c r="BQ378" i="3" s="1"/>
  <c r="X492" i="2"/>
  <c r="BQ492" i="3" s="1"/>
  <c r="X314" i="2"/>
  <c r="BQ314" i="3" s="1"/>
  <c r="AO26" i="9"/>
  <c r="AO122" i="9" s="1"/>
  <c r="X180" i="2"/>
  <c r="AN172" i="5"/>
  <c r="CG133" i="3"/>
  <c r="AN378" i="2"/>
  <c r="CG378" i="3" s="1"/>
  <c r="AO42" i="9"/>
  <c r="AO138" i="9" s="1"/>
  <c r="AN492" i="2"/>
  <c r="CG492" i="3" s="1"/>
  <c r="AN180" i="2"/>
  <c r="AN314" i="2"/>
  <c r="CG314" i="3" s="1"/>
  <c r="H300" i="2"/>
  <c r="H468" i="2"/>
  <c r="BN10" i="9"/>
  <c r="H174" i="5"/>
  <c r="BA134" i="3"/>
  <c r="H380" i="2"/>
  <c r="AI174" i="5"/>
  <c r="AI468" i="2"/>
  <c r="CB468" i="3" s="1"/>
  <c r="AI380" i="2"/>
  <c r="CB380" i="3" s="1"/>
  <c r="AI300" i="2"/>
  <c r="CB300" i="3" s="1"/>
  <c r="BN37" i="9"/>
  <c r="BN133" i="9" s="1"/>
  <c r="CB134" i="3"/>
  <c r="S314" i="2"/>
  <c r="BL314" i="3" s="1"/>
  <c r="AO21" i="9"/>
  <c r="AO117" i="9" s="1"/>
  <c r="S172" i="5"/>
  <c r="S180" i="2"/>
  <c r="S492" i="2"/>
  <c r="BL492" i="3" s="1"/>
  <c r="BL133" i="3"/>
  <c r="S378" i="2"/>
  <c r="BL378" i="3" s="1"/>
  <c r="AK174" i="5"/>
  <c r="AK300" i="2"/>
  <c r="CD300" i="3" s="1"/>
  <c r="AK468" i="2"/>
  <c r="CD468" i="3" s="1"/>
  <c r="BN39" i="9"/>
  <c r="BN135" i="9" s="1"/>
  <c r="AK380" i="2"/>
  <c r="CD380" i="3" s="1"/>
  <c r="CD134" i="3"/>
  <c r="AO35" i="9"/>
  <c r="AO131" i="9" s="1"/>
  <c r="AG378" i="2"/>
  <c r="BZ378" i="3" s="1"/>
  <c r="BZ133" i="3"/>
  <c r="AG180" i="2"/>
  <c r="AG314" i="2"/>
  <c r="BZ314" i="3" s="1"/>
  <c r="AG172" i="5"/>
  <c r="AG492" i="2"/>
  <c r="BZ492" i="3" s="1"/>
  <c r="AB378" i="2"/>
  <c r="BU378" i="3" s="1"/>
  <c r="AO30" i="9"/>
  <c r="AO126" i="9" s="1"/>
  <c r="AB492" i="2"/>
  <c r="BU492" i="3" s="1"/>
  <c r="AB172" i="5"/>
  <c r="AB314" i="2"/>
  <c r="BU314" i="3" s="1"/>
  <c r="BU133" i="3"/>
  <c r="AB180" i="2"/>
  <c r="AO46" i="9"/>
  <c r="AO142" i="9" s="1"/>
  <c r="CK133" i="3"/>
  <c r="AR492" i="2"/>
  <c r="CK492" i="3" s="1"/>
  <c r="AR172" i="5"/>
  <c r="AR180" i="2"/>
  <c r="AR378" i="2"/>
  <c r="CK378" i="3" s="1"/>
  <c r="AR314" i="2"/>
  <c r="CK314" i="3" s="1"/>
  <c r="AK378" i="2"/>
  <c r="CD378" i="3" s="1"/>
  <c r="AK492" i="2"/>
  <c r="CD492" i="3" s="1"/>
  <c r="AK314" i="2"/>
  <c r="CD314" i="3" s="1"/>
  <c r="AK172" i="5"/>
  <c r="AO39" i="9"/>
  <c r="AO135" i="9" s="1"/>
  <c r="AK180" i="2"/>
  <c r="CD133" i="3"/>
  <c r="BN23" i="9"/>
  <c r="BN119" i="9" s="1"/>
  <c r="U174" i="5"/>
  <c r="U468" i="2"/>
  <c r="BN468" i="3" s="1"/>
  <c r="U380" i="2"/>
  <c r="BN380" i="3" s="1"/>
  <c r="BN134" i="3"/>
  <c r="U300" i="2"/>
  <c r="BN300" i="3" s="1"/>
  <c r="AE300" i="2"/>
  <c r="BX300" i="3" s="1"/>
  <c r="BX134" i="3"/>
  <c r="AE174" i="5"/>
  <c r="BN33" i="9"/>
  <c r="BN129" i="9" s="1"/>
  <c r="AE380" i="2"/>
  <c r="BX380" i="3" s="1"/>
  <c r="AE468" i="2"/>
  <c r="BX468" i="3" s="1"/>
  <c r="AS300" i="2"/>
  <c r="CL300" i="3" s="1"/>
  <c r="AS468" i="2"/>
  <c r="CL468" i="3" s="1"/>
  <c r="BN47" i="9"/>
  <c r="BN143" i="9" s="1"/>
  <c r="CL134" i="3"/>
  <c r="AS380" i="2"/>
  <c r="CL380" i="3" s="1"/>
  <c r="AS174" i="5"/>
  <c r="AF172" i="5"/>
  <c r="BY133" i="3"/>
  <c r="AO34" i="9"/>
  <c r="AO130" i="9" s="1"/>
  <c r="AF378" i="2"/>
  <c r="BY378" i="3" s="1"/>
  <c r="AF492" i="2"/>
  <c r="BY492" i="3" s="1"/>
  <c r="AF180" i="2"/>
  <c r="AF314" i="2"/>
  <c r="BY314" i="3" s="1"/>
  <c r="T172" i="5"/>
  <c r="T314" i="2"/>
  <c r="BM314" i="3" s="1"/>
  <c r="T378" i="2"/>
  <c r="BM378" i="3" s="1"/>
  <c r="T492" i="2"/>
  <c r="BM492" i="3" s="1"/>
  <c r="T180" i="2"/>
  <c r="AO22" i="9"/>
  <c r="AO118" i="9" s="1"/>
  <c r="BM133" i="3"/>
  <c r="F275" i="5"/>
  <c r="AA314" i="2"/>
  <c r="BT314" i="3" s="1"/>
  <c r="AA378" i="2"/>
  <c r="BT378" i="3" s="1"/>
  <c r="AA172" i="5"/>
  <c r="BT133" i="3"/>
  <c r="AA180" i="2"/>
  <c r="AO29" i="9"/>
  <c r="AO125" i="9" s="1"/>
  <c r="AA492" i="2"/>
  <c r="BT492" i="3" s="1"/>
  <c r="BN43" i="9"/>
  <c r="BN139" i="9" s="1"/>
  <c r="AO300" i="2"/>
  <c r="CH300" i="3" s="1"/>
  <c r="AO380" i="2"/>
  <c r="CH380" i="3" s="1"/>
  <c r="AO174" i="5"/>
  <c r="CH134" i="3"/>
  <c r="AO468" i="2"/>
  <c r="CH468" i="3" s="1"/>
  <c r="AY316" i="3"/>
  <c r="BA58" i="9"/>
  <c r="H341" i="3"/>
  <c r="H126" i="4"/>
  <c r="F364" i="5"/>
  <c r="H357" i="2"/>
  <c r="F491" i="3"/>
  <c r="F493" i="3" s="1"/>
  <c r="F494" i="3" s="1"/>
  <c r="F496" i="3" s="1"/>
  <c r="G93" i="3"/>
  <c r="BA360" i="3"/>
  <c r="BM104" i="9"/>
  <c r="K56" i="9"/>
  <c r="F408" i="5"/>
  <c r="AY355" i="3"/>
  <c r="H142" i="2"/>
  <c r="H142" i="3" s="1"/>
  <c r="AY343" i="3"/>
  <c r="AY393" i="3"/>
  <c r="AY214" i="3"/>
  <c r="G354" i="3"/>
  <c r="G76" i="3"/>
  <c r="BA9" i="9"/>
  <c r="BA105" i="9" s="1"/>
  <c r="G341" i="2"/>
  <c r="AZ342" i="3" s="1"/>
  <c r="H113" i="2"/>
  <c r="AZ113" i="3"/>
  <c r="G115" i="2"/>
  <c r="H34" i="4"/>
  <c r="H186" i="3"/>
  <c r="H186" i="2"/>
  <c r="C45" i="2"/>
  <c r="J116" i="1"/>
  <c r="H65" i="3"/>
  <c r="H452" i="3"/>
  <c r="H174" i="3"/>
  <c r="H280" i="3" s="1"/>
  <c r="H173" i="3"/>
  <c r="H279" i="3" s="1"/>
  <c r="AZ69" i="3"/>
  <c r="AZ504" i="3"/>
  <c r="F35" i="2"/>
  <c r="F125" i="2"/>
  <c r="AY123" i="3"/>
  <c r="BH8" i="9"/>
  <c r="BD58" i="9"/>
  <c r="H338" i="3"/>
  <c r="H509" i="3"/>
  <c r="AB133" i="1"/>
  <c r="AJ134" i="1"/>
  <c r="N72" i="1"/>
  <c r="I156" i="4"/>
  <c r="J154" i="4"/>
  <c r="J42" i="4"/>
  <c r="K41" i="4"/>
  <c r="I159" i="4"/>
  <c r="H161" i="4"/>
  <c r="H237" i="3"/>
  <c r="AC58" i="9" s="1"/>
  <c r="H122" i="2"/>
  <c r="G360" i="2"/>
  <c r="AZ122" i="3"/>
  <c r="F358" i="1"/>
  <c r="AZ137" i="3"/>
  <c r="AH9" i="9"/>
  <c r="G239" i="2"/>
  <c r="G179" i="2"/>
  <c r="AZ81" i="3"/>
  <c r="G123" i="2"/>
  <c r="H121" i="2"/>
  <c r="AZ121" i="3"/>
  <c r="G358" i="2"/>
  <c r="AZ359" i="3" s="1"/>
  <c r="AC56" i="9"/>
  <c r="AA56" i="9"/>
  <c r="I295" i="4"/>
  <c r="J93" i="4"/>
  <c r="J175" i="4" s="1"/>
  <c r="I1" i="4"/>
  <c r="H124" i="2"/>
  <c r="AZ124" i="3"/>
  <c r="BM9" i="9"/>
  <c r="G371" i="2"/>
  <c r="AY452" i="3"/>
  <c r="BH56" i="9"/>
  <c r="F35" i="3"/>
  <c r="F125" i="3"/>
  <c r="I151" i="4"/>
  <c r="J149" i="4"/>
  <c r="H194" i="4"/>
  <c r="I192" i="4"/>
  <c r="I105" i="1"/>
  <c r="K105" i="1" s="1"/>
  <c r="AY85" i="3"/>
  <c r="F470" i="2"/>
  <c r="F290" i="2"/>
  <c r="I177" i="4"/>
  <c r="J11" i="4"/>
  <c r="AY394" i="3"/>
  <c r="BJ56" i="9"/>
  <c r="BJ104" i="9" s="1"/>
  <c r="AY76" i="3"/>
  <c r="F77" i="3"/>
  <c r="AY77" i="3" s="1"/>
  <c r="F453" i="3"/>
  <c r="F172" i="3"/>
  <c r="F443" i="3"/>
  <c r="F289" i="3"/>
  <c r="G16" i="3"/>
  <c r="F369" i="3"/>
  <c r="F372" i="3" s="1"/>
  <c r="F374" i="3" s="1"/>
  <c r="G367" i="3" s="1"/>
  <c r="F256" i="3"/>
  <c r="J43" i="4"/>
  <c r="I44" i="4"/>
  <c r="I109" i="4"/>
  <c r="H111" i="4"/>
  <c r="H275" i="4"/>
  <c r="I273" i="4"/>
  <c r="AY52" i="3"/>
  <c r="F54" i="2"/>
  <c r="AZ58" i="9"/>
  <c r="H337" i="3"/>
  <c r="H112" i="3"/>
  <c r="H357" i="3"/>
  <c r="BA357" i="3" s="1"/>
  <c r="H107" i="3"/>
  <c r="B263" i="1"/>
  <c r="B310" i="1" s="1"/>
  <c r="Z264" i="1"/>
  <c r="H504" i="2"/>
  <c r="BA504" i="3" s="1"/>
  <c r="H511" i="2"/>
  <c r="BA511" i="3" s="1"/>
  <c r="H389" i="2"/>
  <c r="H315" i="2"/>
  <c r="BA315" i="3" s="1"/>
  <c r="H137" i="2"/>
  <c r="H83" i="2"/>
  <c r="BA83" i="3" s="1"/>
  <c r="H27" i="2"/>
  <c r="H26" i="2"/>
  <c r="H25" i="2"/>
  <c r="H24" i="2"/>
  <c r="H23" i="2"/>
  <c r="H108" i="2"/>
  <c r="H67" i="2"/>
  <c r="BA67" i="3" s="1"/>
  <c r="H21" i="2"/>
  <c r="H479" i="2"/>
  <c r="BA479" i="3" s="1"/>
  <c r="H105" i="2"/>
  <c r="H81" i="2"/>
  <c r="BA81" i="3" s="1"/>
  <c r="H62" i="2"/>
  <c r="H42" i="2"/>
  <c r="BA42" i="3" s="1"/>
  <c r="H22" i="2"/>
  <c r="H216" i="2"/>
  <c r="H69" i="2"/>
  <c r="BA69" i="3" s="1"/>
  <c r="I4" i="2"/>
  <c r="I359" i="2" s="1"/>
  <c r="H495" i="2"/>
  <c r="BA495" i="3" s="1"/>
  <c r="H208" i="2"/>
  <c r="H78" i="2"/>
  <c r="H82" i="2"/>
  <c r="C10" i="9"/>
  <c r="H80" i="2"/>
  <c r="H114" i="2"/>
  <c r="H68" i="2"/>
  <c r="H47" i="2"/>
  <c r="BA47" i="3" s="1"/>
  <c r="AZ23" i="3"/>
  <c r="G431" i="2"/>
  <c r="AZ431" i="3" s="1"/>
  <c r="AZ27" i="3"/>
  <c r="G435" i="2"/>
  <c r="AZ435" i="3" s="1"/>
  <c r="AZ22" i="3"/>
  <c r="G430" i="2"/>
  <c r="AZ430" i="3" s="1"/>
  <c r="AZ105" i="3"/>
  <c r="G107" i="2"/>
  <c r="F378" i="1"/>
  <c r="AZ208" i="3"/>
  <c r="U104" i="9"/>
  <c r="F98" i="4"/>
  <c r="F186" i="3"/>
  <c r="F186" i="2"/>
  <c r="F34" i="4"/>
  <c r="F97" i="4"/>
  <c r="H29" i="4"/>
  <c r="G70" i="3"/>
  <c r="U57" i="9"/>
  <c r="I106" i="3"/>
  <c r="I109" i="3"/>
  <c r="I111" i="3" s="1"/>
  <c r="I79" i="3"/>
  <c r="I53" i="3"/>
  <c r="I2" i="5"/>
  <c r="D59" i="9"/>
  <c r="J5" i="3"/>
  <c r="D107" i="9"/>
  <c r="D39" i="3"/>
  <c r="H102" i="1"/>
  <c r="I103" i="1"/>
  <c r="D39" i="2"/>
  <c r="AY371" i="3"/>
  <c r="AZ53" i="3"/>
  <c r="AZ58" i="3"/>
  <c r="F235" i="3"/>
  <c r="F240" i="3" s="1"/>
  <c r="AI56" i="9" s="1"/>
  <c r="AF56" i="9"/>
  <c r="AY107" i="3"/>
  <c r="J40" i="4"/>
  <c r="K39" i="4"/>
  <c r="H199" i="4"/>
  <c r="I197" i="4"/>
  <c r="H270" i="4"/>
  <c r="I268" i="4"/>
  <c r="H189" i="4"/>
  <c r="I187" i="4"/>
  <c r="AY57" i="3"/>
  <c r="F59" i="2"/>
  <c r="AZ188" i="3"/>
  <c r="I176" i="4"/>
  <c r="J14" i="4"/>
  <c r="F192" i="5"/>
  <c r="F280" i="3"/>
  <c r="H146" i="4"/>
  <c r="J45" i="4"/>
  <c r="I46" i="4"/>
  <c r="AY237" i="3"/>
  <c r="AC8" i="9"/>
  <c r="I287" i="4"/>
  <c r="H289" i="4"/>
  <c r="D50" i="2"/>
  <c r="D50" i="3"/>
  <c r="H101" i="1"/>
  <c r="AY391" i="3"/>
  <c r="F395" i="2"/>
  <c r="G371" i="3"/>
  <c r="BM57" i="9"/>
  <c r="H124" i="3"/>
  <c r="H284" i="4"/>
  <c r="I282" i="4"/>
  <c r="I129" i="4"/>
  <c r="H131" i="4"/>
  <c r="H234" i="3"/>
  <c r="AA58" i="9" s="1"/>
  <c r="H194" i="5"/>
  <c r="H407" i="5"/>
  <c r="H430" i="3"/>
  <c r="AJ146" i="1"/>
  <c r="AB145" i="1"/>
  <c r="F211" i="5"/>
  <c r="F298" i="3"/>
  <c r="F462" i="3"/>
  <c r="AZ108" i="3"/>
  <c r="G110" i="2"/>
  <c r="AZ25" i="3"/>
  <c r="G433" i="2"/>
  <c r="AZ433" i="3" s="1"/>
  <c r="AZ83" i="3"/>
  <c r="AZ68" i="3"/>
  <c r="V9" i="9"/>
  <c r="V105" i="9" s="1"/>
  <c r="AZ80" i="3"/>
  <c r="G236" i="2"/>
  <c r="BE57" i="9"/>
  <c r="BE105" i="9" s="1"/>
  <c r="G342" i="3"/>
  <c r="G115" i="3"/>
  <c r="AZ114" i="3"/>
  <c r="H114" i="3"/>
  <c r="F470" i="3"/>
  <c r="F290" i="3"/>
  <c r="H310" i="4"/>
  <c r="H308" i="4"/>
  <c r="H311" i="4"/>
  <c r="H305" i="4"/>
  <c r="H307" i="4"/>
  <c r="H302" i="4"/>
  <c r="H300" i="4"/>
  <c r="H298" i="4"/>
  <c r="H299" i="4"/>
  <c r="H309" i="4"/>
  <c r="H306" i="4"/>
  <c r="H301" i="4"/>
  <c r="H297" i="4"/>
  <c r="AZ106" i="3"/>
  <c r="H204" i="4"/>
  <c r="I202" i="4"/>
  <c r="I119" i="4"/>
  <c r="H121" i="4"/>
  <c r="H252" i="4"/>
  <c r="AY23" i="3"/>
  <c r="F431" i="2"/>
  <c r="AY431" i="3" s="1"/>
  <c r="F29" i="3"/>
  <c r="F317" i="3" s="1"/>
  <c r="F319" i="3" s="1"/>
  <c r="F395" i="3"/>
  <c r="J114" i="4"/>
  <c r="I116" i="4"/>
  <c r="F462" i="2"/>
  <c r="AY115" i="3"/>
  <c r="F298" i="2"/>
  <c r="H98" i="4"/>
  <c r="I228" i="4"/>
  <c r="H230" i="4"/>
  <c r="H236" i="3"/>
  <c r="AB58" i="9" s="1"/>
  <c r="AY234" i="3"/>
  <c r="AA8" i="9"/>
  <c r="F240" i="2"/>
  <c r="AZ216" i="3"/>
  <c r="AZ26" i="3"/>
  <c r="G434" i="2"/>
  <c r="AZ434" i="3" s="1"/>
  <c r="AZ82" i="3"/>
  <c r="G237" i="2"/>
  <c r="F12" i="5"/>
  <c r="F453" i="2"/>
  <c r="F443" i="2"/>
  <c r="F289" i="2"/>
  <c r="AY70" i="3"/>
  <c r="F172" i="2"/>
  <c r="H245" i="4"/>
  <c r="I243" i="4"/>
  <c r="H214" i="3"/>
  <c r="H188" i="3"/>
  <c r="BA188" i="3" s="1"/>
  <c r="H264" i="3"/>
  <c r="H3" i="5"/>
  <c r="H411" i="5" s="1"/>
  <c r="E106" i="9"/>
  <c r="I7" i="3"/>
  <c r="I206" i="3" s="1"/>
  <c r="E58" i="9"/>
  <c r="AY236" i="3"/>
  <c r="AB8" i="9"/>
  <c r="I100" i="4"/>
  <c r="J92" i="4"/>
  <c r="H53" i="2"/>
  <c r="BA53" i="3" s="1"/>
  <c r="H106" i="2"/>
  <c r="BA106" i="3" s="1"/>
  <c r="H79" i="2"/>
  <c r="BA79" i="3" s="1"/>
  <c r="I5" i="2"/>
  <c r="D10" i="9"/>
  <c r="H58" i="2"/>
  <c r="BA58" i="3" s="1"/>
  <c r="H109" i="2"/>
  <c r="BQ56" i="9"/>
  <c r="J264" i="4"/>
  <c r="J265" i="4" s="1"/>
  <c r="J257" i="4"/>
  <c r="J258" i="4" s="1"/>
  <c r="J180" i="4"/>
  <c r="J181" i="4" s="1"/>
  <c r="J178" i="4"/>
  <c r="J102" i="4"/>
  <c r="J103" i="4" s="1"/>
  <c r="K91" i="4"/>
  <c r="J99" i="4"/>
  <c r="H220" i="4"/>
  <c r="I218" i="4"/>
  <c r="H90" i="4"/>
  <c r="H172" i="4"/>
  <c r="F254" i="4"/>
  <c r="F261" i="4"/>
  <c r="G261" i="4" s="1"/>
  <c r="F262" i="4"/>
  <c r="G262" i="4" s="1"/>
  <c r="F255" i="4"/>
  <c r="F463" i="3"/>
  <c r="F178" i="3"/>
  <c r="F297" i="3"/>
  <c r="D221" i="5"/>
  <c r="F298" i="5"/>
  <c r="C40" i="2"/>
  <c r="F41" i="3"/>
  <c r="F41" i="2"/>
  <c r="J105" i="1"/>
  <c r="C40" i="3"/>
  <c r="G316" i="3"/>
  <c r="AZ316" i="3" s="1"/>
  <c r="H89" i="3"/>
  <c r="J124" i="4"/>
  <c r="I126" i="4"/>
  <c r="I164" i="4"/>
  <c r="H166" i="4"/>
  <c r="I116" i="1"/>
  <c r="K116" i="1" s="1"/>
  <c r="F54" i="3"/>
  <c r="G442" i="3"/>
  <c r="T57" i="9"/>
  <c r="H359" i="3"/>
  <c r="I504" i="3"/>
  <c r="I216" i="3"/>
  <c r="I105" i="3"/>
  <c r="I83" i="3"/>
  <c r="I80" i="3"/>
  <c r="I69" i="3"/>
  <c r="I21" i="3"/>
  <c r="I511" i="3"/>
  <c r="I208" i="3"/>
  <c r="I108" i="3"/>
  <c r="I110" i="3" s="1"/>
  <c r="I66" i="3"/>
  <c r="I209" i="3" s="1"/>
  <c r="I479" i="3"/>
  <c r="I22" i="3"/>
  <c r="I62" i="3"/>
  <c r="J4" i="3"/>
  <c r="I495" i="3"/>
  <c r="I82" i="3"/>
  <c r="I137" i="3"/>
  <c r="I68" i="3"/>
  <c r="I1" i="5"/>
  <c r="C59" i="9"/>
  <c r="I81" i="3"/>
  <c r="I67" i="3"/>
  <c r="I27" i="3"/>
  <c r="I435" i="3" s="1"/>
  <c r="I25" i="3"/>
  <c r="I433" i="3" s="1"/>
  <c r="I23" i="3"/>
  <c r="I431" i="3" s="1"/>
  <c r="I26" i="3"/>
  <c r="I434" i="3" s="1"/>
  <c r="I24" i="3"/>
  <c r="I432" i="3" s="1"/>
  <c r="I42" i="3"/>
  <c r="I78" i="3"/>
  <c r="C107" i="9"/>
  <c r="I315" i="3"/>
  <c r="I113" i="3"/>
  <c r="H239" i="3"/>
  <c r="H179" i="3"/>
  <c r="AH58" i="9"/>
  <c r="BQ58" i="9" s="1"/>
  <c r="Y110" i="1"/>
  <c r="S110" i="1" s="1"/>
  <c r="Q109" i="1"/>
  <c r="X110" i="1"/>
  <c r="R110" i="1" s="1"/>
  <c r="F256" i="2"/>
  <c r="G16" i="2"/>
  <c r="AY36" i="3"/>
  <c r="F369" i="2"/>
  <c r="AZ42" i="3"/>
  <c r="AZ24" i="3"/>
  <c r="G432" i="2"/>
  <c r="AZ432" i="3" s="1"/>
  <c r="H66" i="2"/>
  <c r="H209" i="2" s="1"/>
  <c r="F376" i="1"/>
  <c r="U9" i="9"/>
  <c r="G70" i="2"/>
  <c r="AZ66" i="3"/>
  <c r="G65" i="2"/>
  <c r="G452" i="2"/>
  <c r="AZ452" i="3" s="1"/>
  <c r="G173" i="2"/>
  <c r="AZ62" i="3"/>
  <c r="G174" i="2"/>
  <c r="AZ78" i="3"/>
  <c r="G234" i="2"/>
  <c r="G14" i="5"/>
  <c r="G211" i="5" s="1"/>
  <c r="AZ495" i="3"/>
  <c r="H251" i="4"/>
  <c r="H30" i="4"/>
  <c r="H225" i="4"/>
  <c r="I223" i="4"/>
  <c r="BB206" i="3"/>
  <c r="BB21" i="3"/>
  <c r="BC4" i="3"/>
  <c r="AU356" i="2"/>
  <c r="AV356" i="2" s="1"/>
  <c r="AU361" i="2"/>
  <c r="AZ79" i="3"/>
  <c r="AZ109" i="3"/>
  <c r="G111" i="2"/>
  <c r="I96" i="4"/>
  <c r="I98" i="4" s="1"/>
  <c r="I238" i="4"/>
  <c r="H240" i="4"/>
  <c r="I139" i="4"/>
  <c r="H141" i="4"/>
  <c r="G34" i="4"/>
  <c r="G186" i="3"/>
  <c r="G97" i="4"/>
  <c r="G186" i="2"/>
  <c r="G98" i="4"/>
  <c r="AA411" i="4"/>
  <c r="AA412" i="4" s="1"/>
  <c r="AA413" i="4" s="1"/>
  <c r="AA410" i="4"/>
  <c r="AA414" i="4" s="1"/>
  <c r="G297" i="3"/>
  <c r="H209" i="4"/>
  <c r="I207" i="4"/>
  <c r="F509" i="2"/>
  <c r="AY509" i="3" s="1"/>
  <c r="F338" i="2"/>
  <c r="AY111" i="3"/>
  <c r="F34" i="3"/>
  <c r="O56" i="9" s="1"/>
  <c r="F343" i="3"/>
  <c r="F345" i="3" s="1"/>
  <c r="F442" i="3"/>
  <c r="T56" i="9"/>
  <c r="AY65" i="3"/>
  <c r="AH104" i="9"/>
  <c r="H121" i="3"/>
  <c r="G358" i="3"/>
  <c r="AZ358" i="3" s="1"/>
  <c r="G123" i="3"/>
  <c r="J144" i="4"/>
  <c r="I146" i="4"/>
  <c r="H97" i="4"/>
  <c r="H187" i="2" s="1"/>
  <c r="H189" i="2" s="1"/>
  <c r="F279" i="3"/>
  <c r="H235" i="4"/>
  <c r="I233" i="4"/>
  <c r="F212" i="5"/>
  <c r="G307" i="2"/>
  <c r="Y104" i="9"/>
  <c r="F344" i="2"/>
  <c r="AY33" i="3"/>
  <c r="G471" i="2"/>
  <c r="G243" i="2"/>
  <c r="G301" i="2"/>
  <c r="Y9" i="9"/>
  <c r="G16" i="5"/>
  <c r="F369" i="1"/>
  <c r="G98" i="3"/>
  <c r="G325" i="2"/>
  <c r="G75" i="2"/>
  <c r="H98" i="2"/>
  <c r="F210" i="5"/>
  <c r="AY471" i="3"/>
  <c r="G144" i="3"/>
  <c r="AZ144" i="3" s="1"/>
  <c r="I188" i="2"/>
  <c r="I264" i="2"/>
  <c r="I214" i="2"/>
  <c r="J7" i="2"/>
  <c r="E11" i="9"/>
  <c r="AZ142" i="3"/>
  <c r="AU318" i="3"/>
  <c r="AV318" i="3" s="1"/>
  <c r="AV318" i="2"/>
  <c r="AY32" i="3"/>
  <c r="F343" i="2"/>
  <c r="F34" i="2"/>
  <c r="AY112" i="3"/>
  <c r="F463" i="2"/>
  <c r="F297" i="2"/>
  <c r="F178" i="2"/>
  <c r="AY338" i="3"/>
  <c r="F339" i="2"/>
  <c r="AY340" i="3" s="1"/>
  <c r="F232" i="2"/>
  <c r="AY232" i="3" s="1"/>
  <c r="F365" i="5"/>
  <c r="AD11" i="1"/>
  <c r="AC11" i="1"/>
  <c r="AY19" i="3"/>
  <c r="AG104" i="9"/>
  <c r="G104" i="9"/>
  <c r="AC33" i="1"/>
  <c r="BK104" i="9"/>
  <c r="D29" i="5"/>
  <c r="H275" i="5"/>
  <c r="I104" i="9"/>
  <c r="K8" i="9"/>
  <c r="AE33" i="1"/>
  <c r="AG6" i="10"/>
  <c r="H354" i="2"/>
  <c r="AY326" i="3"/>
  <c r="F327" i="2"/>
  <c r="AY456" i="3"/>
  <c r="AY308" i="3"/>
  <c r="F313" i="2"/>
  <c r="F311" i="2"/>
  <c r="F309" i="2"/>
  <c r="AZ101" i="3"/>
  <c r="F383" i="5"/>
  <c r="G94" i="2"/>
  <c r="AY30" i="3"/>
  <c r="F329" i="2"/>
  <c r="F330" i="2" s="1"/>
  <c r="AY460" i="3"/>
  <c r="F329" i="3"/>
  <c r="F327" i="3"/>
  <c r="AY296" i="3"/>
  <c r="G102" i="3"/>
  <c r="AN104" i="9"/>
  <c r="AY176" i="3"/>
  <c r="AY293" i="3"/>
  <c r="AU104" i="9"/>
  <c r="AZ100" i="3"/>
  <c r="G102" i="2"/>
  <c r="AY502" i="3"/>
  <c r="BX180" i="3" l="1"/>
  <c r="G178" i="3"/>
  <c r="I206" i="2"/>
  <c r="H353" i="1" s="1"/>
  <c r="G490" i="2"/>
  <c r="H35" i="4"/>
  <c r="AZ120" i="3"/>
  <c r="G94" i="3"/>
  <c r="G405" i="5" s="1"/>
  <c r="G406" i="5" s="1"/>
  <c r="G76" i="2"/>
  <c r="I120" i="2"/>
  <c r="I157" i="2"/>
  <c r="I155" i="2"/>
  <c r="H87" i="2"/>
  <c r="G87" i="3"/>
  <c r="AZ87" i="3" s="1"/>
  <c r="I357" i="3"/>
  <c r="BB357" i="3" s="1"/>
  <c r="AY289" i="3"/>
  <c r="H120" i="3"/>
  <c r="H157" i="3"/>
  <c r="H155" i="3"/>
  <c r="AZ354" i="3"/>
  <c r="U105" i="9"/>
  <c r="G38" i="4"/>
  <c r="G75" i="4"/>
  <c r="G62" i="4"/>
  <c r="U58" i="9"/>
  <c r="H70" i="3"/>
  <c r="F366" i="5"/>
  <c r="AY178" i="3"/>
  <c r="AH283" i="2"/>
  <c r="CA283" i="3" s="1"/>
  <c r="BK180" i="3"/>
  <c r="AD283" i="2"/>
  <c r="BW283" i="3" s="1"/>
  <c r="BJ57" i="9"/>
  <c r="G465" i="3"/>
  <c r="BJ10" i="9"/>
  <c r="H465" i="2"/>
  <c r="N283" i="2"/>
  <c r="BG283" i="3" s="1"/>
  <c r="BA89" i="3"/>
  <c r="AZ343" i="3"/>
  <c r="AY311" i="3"/>
  <c r="I359" i="3"/>
  <c r="AY463" i="3"/>
  <c r="AZ93" i="3"/>
  <c r="I89" i="2"/>
  <c r="I316" i="2" s="1"/>
  <c r="I357" i="2"/>
  <c r="AZ76" i="3"/>
  <c r="D275" i="5"/>
  <c r="H144" i="2"/>
  <c r="H301" i="2" s="1"/>
  <c r="H262" i="4"/>
  <c r="F208" i="5"/>
  <c r="AF283" i="2"/>
  <c r="BY283" i="3" s="1"/>
  <c r="BY180" i="3"/>
  <c r="AS283" i="2"/>
  <c r="CL283" i="3" s="1"/>
  <c r="CL180" i="3"/>
  <c r="CD180" i="3"/>
  <c r="AK283" i="2"/>
  <c r="CD283" i="3" s="1"/>
  <c r="CK180" i="3"/>
  <c r="AR283" i="2"/>
  <c r="CK283" i="3" s="1"/>
  <c r="S283" i="2"/>
  <c r="BL283" i="3" s="1"/>
  <c r="BL180" i="3"/>
  <c r="X283" i="2"/>
  <c r="BQ283" i="3" s="1"/>
  <c r="BQ180" i="3"/>
  <c r="AC283" i="2"/>
  <c r="BV283" i="3" s="1"/>
  <c r="BV180" i="3"/>
  <c r="AY462" i="3"/>
  <c r="BT180" i="3"/>
  <c r="AA283" i="2"/>
  <c r="BT283" i="3" s="1"/>
  <c r="BM180" i="3"/>
  <c r="T283" i="2"/>
  <c r="BM283" i="3" s="1"/>
  <c r="BU180" i="3"/>
  <c r="AB283" i="2"/>
  <c r="BU283" i="3" s="1"/>
  <c r="BN180" i="3"/>
  <c r="U283" i="2"/>
  <c r="BN283" i="3" s="1"/>
  <c r="BJ180" i="3"/>
  <c r="Q283" i="2"/>
  <c r="BJ283" i="3" s="1"/>
  <c r="AJ283" i="2"/>
  <c r="CC283" i="3" s="1"/>
  <c r="CC180" i="3"/>
  <c r="AG283" i="2"/>
  <c r="BZ283" i="3" s="1"/>
  <c r="BZ180" i="3"/>
  <c r="BA468" i="3"/>
  <c r="BA300" i="3"/>
  <c r="BI180" i="3"/>
  <c r="P283" i="2"/>
  <c r="BI283" i="3" s="1"/>
  <c r="CJ180" i="3"/>
  <c r="AQ283" i="2"/>
  <c r="CJ283" i="3" s="1"/>
  <c r="BA380" i="3"/>
  <c r="BN106" i="9"/>
  <c r="AN283" i="2"/>
  <c r="CG283" i="3" s="1"/>
  <c r="CG180" i="3"/>
  <c r="CB180" i="3"/>
  <c r="AI283" i="2"/>
  <c r="CB283" i="3" s="1"/>
  <c r="H144" i="3"/>
  <c r="H196" i="5" s="1"/>
  <c r="BA142" i="3"/>
  <c r="G293" i="3"/>
  <c r="I236" i="3"/>
  <c r="AB59" i="9" s="1"/>
  <c r="AY491" i="3"/>
  <c r="I142" i="2"/>
  <c r="I142" i="3" s="1"/>
  <c r="I144" i="3" s="1"/>
  <c r="H261" i="4"/>
  <c r="I97" i="4"/>
  <c r="I187" i="2" s="1"/>
  <c r="I189" i="2" s="1"/>
  <c r="BH104" i="9"/>
  <c r="AY443" i="3"/>
  <c r="AY298" i="3"/>
  <c r="BA186" i="3"/>
  <c r="F31" i="3"/>
  <c r="N56" i="9" s="1"/>
  <c r="G77" i="2"/>
  <c r="AY186" i="3"/>
  <c r="H354" i="3"/>
  <c r="BA354" i="3" s="1"/>
  <c r="H76" i="3"/>
  <c r="BA120" i="3"/>
  <c r="AI8" i="9"/>
  <c r="AI104" i="9" s="1"/>
  <c r="AY240" i="3"/>
  <c r="I204" i="4"/>
  <c r="J202" i="4"/>
  <c r="BM58" i="9"/>
  <c r="H371" i="3"/>
  <c r="I124" i="3"/>
  <c r="J197" i="4"/>
  <c r="I199" i="4"/>
  <c r="E551" i="1"/>
  <c r="F551" i="1" s="1"/>
  <c r="G51" i="3"/>
  <c r="G50" i="3"/>
  <c r="H50" i="3" s="1"/>
  <c r="G50" i="2"/>
  <c r="H50" i="2" s="1"/>
  <c r="I50" i="2" s="1"/>
  <c r="I52" i="2" s="1"/>
  <c r="G51" i="2"/>
  <c r="J109" i="3"/>
  <c r="J111" i="3" s="1"/>
  <c r="J79" i="3"/>
  <c r="J106" i="3"/>
  <c r="D60" i="9"/>
  <c r="K5" i="3"/>
  <c r="D108" i="9"/>
  <c r="J53" i="3"/>
  <c r="J2" i="5"/>
  <c r="F187" i="3"/>
  <c r="F187" i="2"/>
  <c r="BA80" i="3"/>
  <c r="H236" i="2"/>
  <c r="H173" i="2"/>
  <c r="H174" i="2"/>
  <c r="H65" i="2"/>
  <c r="BA62" i="3"/>
  <c r="H452" i="2"/>
  <c r="BA452" i="3" s="1"/>
  <c r="BA23" i="3"/>
  <c r="H431" i="2"/>
  <c r="BA431" i="3" s="1"/>
  <c r="H435" i="2"/>
  <c r="BA435" i="3" s="1"/>
  <c r="BA27" i="3"/>
  <c r="K144" i="4"/>
  <c r="J146" i="4"/>
  <c r="AA415" i="4"/>
  <c r="AA417" i="4" s="1"/>
  <c r="G338" i="2"/>
  <c r="AZ339" i="3" s="1"/>
  <c r="AZ111" i="3"/>
  <c r="G509" i="2"/>
  <c r="AZ509" i="3" s="1"/>
  <c r="BD9" i="9"/>
  <c r="BD105" i="9" s="1"/>
  <c r="AZ209" i="3"/>
  <c r="F379" i="1"/>
  <c r="X109" i="1"/>
  <c r="R109" i="1" s="1"/>
  <c r="Y109" i="1"/>
  <c r="S109" i="1" s="1"/>
  <c r="Q108" i="1"/>
  <c r="V59" i="9"/>
  <c r="I70" i="3"/>
  <c r="I192" i="5" s="1"/>
  <c r="U59" i="9"/>
  <c r="J243" i="4"/>
  <c r="I245" i="4"/>
  <c r="J129" i="4"/>
  <c r="I131" i="4"/>
  <c r="F70" i="4"/>
  <c r="F68" i="4"/>
  <c r="F58" i="4"/>
  <c r="F56" i="4"/>
  <c r="F54" i="4"/>
  <c r="F71" i="4"/>
  <c r="F67" i="4"/>
  <c r="F55" i="4"/>
  <c r="F69" i="4"/>
  <c r="F57" i="4"/>
  <c r="I124" i="2"/>
  <c r="BM10" i="9"/>
  <c r="H371" i="2"/>
  <c r="BA124" i="3"/>
  <c r="AH105" i="9"/>
  <c r="BQ9" i="9"/>
  <c r="J122" i="3"/>
  <c r="AY297" i="3"/>
  <c r="BA214" i="3"/>
  <c r="G125" i="3"/>
  <c r="BH57" i="9"/>
  <c r="G70" i="4"/>
  <c r="G67" i="4"/>
  <c r="G58" i="4"/>
  <c r="G55" i="4"/>
  <c r="G56" i="4"/>
  <c r="G69" i="4"/>
  <c r="G57" i="4"/>
  <c r="G68" i="4"/>
  <c r="G54" i="4"/>
  <c r="G71" i="4"/>
  <c r="J238" i="4"/>
  <c r="I240" i="4"/>
  <c r="AZ234" i="3"/>
  <c r="AA9" i="9"/>
  <c r="AA105" i="9" s="1"/>
  <c r="G279" i="2"/>
  <c r="AZ279" i="3" s="1"/>
  <c r="AZ173" i="3"/>
  <c r="U10" i="9"/>
  <c r="U106" i="9" s="1"/>
  <c r="BA66" i="3"/>
  <c r="G376" i="1"/>
  <c r="H70" i="2"/>
  <c r="H12" i="5" s="1"/>
  <c r="BA59" i="9"/>
  <c r="I341" i="3"/>
  <c r="J113" i="3"/>
  <c r="I239" i="3"/>
  <c r="I179" i="3"/>
  <c r="AH59" i="9"/>
  <c r="I237" i="3"/>
  <c r="I430" i="3"/>
  <c r="I407" i="5"/>
  <c r="I337" i="3"/>
  <c r="I112" i="3"/>
  <c r="AZ59" i="9"/>
  <c r="J126" i="4"/>
  <c r="K124" i="4"/>
  <c r="G254" i="4"/>
  <c r="F217" i="3"/>
  <c r="F217" i="2"/>
  <c r="BQ104" i="9"/>
  <c r="AB104" i="9"/>
  <c r="I264" i="3"/>
  <c r="I214" i="3"/>
  <c r="BB214" i="3" s="1"/>
  <c r="I3" i="5"/>
  <c r="I411" i="5" s="1"/>
  <c r="I188" i="3"/>
  <c r="BB188" i="3" s="1"/>
  <c r="J7" i="3"/>
  <c r="J359" i="3" s="1"/>
  <c r="E107" i="9"/>
  <c r="E59" i="9"/>
  <c r="AA104" i="9"/>
  <c r="F405" i="3"/>
  <c r="F396" i="3"/>
  <c r="AB144" i="1"/>
  <c r="AJ145" i="1"/>
  <c r="I284" i="4"/>
  <c r="J282" i="4"/>
  <c r="I289" i="4"/>
  <c r="J287" i="4"/>
  <c r="AY280" i="3"/>
  <c r="J176" i="4"/>
  <c r="K14" i="4"/>
  <c r="AY59" i="3"/>
  <c r="AY60" i="3"/>
  <c r="I270" i="4"/>
  <c r="J268" i="4"/>
  <c r="L39" i="4"/>
  <c r="K40" i="4"/>
  <c r="BD59" i="9"/>
  <c r="I338" i="3"/>
  <c r="I509" i="3"/>
  <c r="G443" i="3"/>
  <c r="G453" i="3"/>
  <c r="G172" i="3"/>
  <c r="G278" i="3" s="1"/>
  <c r="G289" i="3"/>
  <c r="G192" i="5"/>
  <c r="AF9" i="9"/>
  <c r="G235" i="2"/>
  <c r="AZ107" i="3"/>
  <c r="BA82" i="3"/>
  <c r="H237" i="2"/>
  <c r="I511" i="2"/>
  <c r="I495" i="2"/>
  <c r="BB495" i="3" s="1"/>
  <c r="I479" i="2"/>
  <c r="BB479" i="3" s="1"/>
  <c r="I105" i="2"/>
  <c r="I81" i="2"/>
  <c r="I62" i="2"/>
  <c r="I42" i="2"/>
  <c r="I22" i="2"/>
  <c r="I82" i="2"/>
  <c r="I80" i="2"/>
  <c r="I504" i="2"/>
  <c r="I216" i="2"/>
  <c r="I108" i="2"/>
  <c r="I69" i="2"/>
  <c r="BB69" i="3" s="1"/>
  <c r="I21" i="2"/>
  <c r="J4" i="2"/>
  <c r="J29" i="4" s="1"/>
  <c r="I208" i="2"/>
  <c r="I78" i="2"/>
  <c r="I25" i="2"/>
  <c r="I23" i="2"/>
  <c r="I83" i="2"/>
  <c r="I315" i="2"/>
  <c r="BB315" i="3" s="1"/>
  <c r="I27" i="2"/>
  <c r="C11" i="9"/>
  <c r="I26" i="2"/>
  <c r="I24" i="2"/>
  <c r="I389" i="2"/>
  <c r="I137" i="2"/>
  <c r="I67" i="2"/>
  <c r="BB67" i="3" s="1"/>
  <c r="I68" i="2"/>
  <c r="I66" i="2"/>
  <c r="I209" i="2" s="1"/>
  <c r="I47" i="2"/>
  <c r="BB47" i="3" s="1"/>
  <c r="BA22" i="3"/>
  <c r="H430" i="2"/>
  <c r="BA430" i="3" s="1"/>
  <c r="BA105" i="3"/>
  <c r="H107" i="2"/>
  <c r="BA25" i="3"/>
  <c r="H433" i="2"/>
  <c r="BA433" i="3" s="1"/>
  <c r="AH10" i="9"/>
  <c r="BA137" i="3"/>
  <c r="H239" i="2"/>
  <c r="BA239" i="3" s="1"/>
  <c r="H179" i="2"/>
  <c r="BA179" i="3" s="1"/>
  <c r="G358" i="1"/>
  <c r="AY54" i="3"/>
  <c r="F60" i="2"/>
  <c r="AY256" i="3"/>
  <c r="AY470" i="3"/>
  <c r="J151" i="4"/>
  <c r="K149" i="4"/>
  <c r="AZ371" i="3"/>
  <c r="I29" i="4"/>
  <c r="I121" i="2"/>
  <c r="BA121" i="3"/>
  <c r="H358" i="2"/>
  <c r="BA359" i="3" s="1"/>
  <c r="H123" i="2"/>
  <c r="I122" i="2"/>
  <c r="H360" i="2"/>
  <c r="BA122" i="3"/>
  <c r="K42" i="4"/>
  <c r="L41" i="4"/>
  <c r="F466" i="2"/>
  <c r="AY125" i="3"/>
  <c r="F299" i="2"/>
  <c r="G462" i="2"/>
  <c r="G298" i="2"/>
  <c r="AZ115" i="3"/>
  <c r="AZ236" i="3"/>
  <c r="AB9" i="9"/>
  <c r="AB105" i="9" s="1"/>
  <c r="AZ9" i="9"/>
  <c r="AZ105" i="9" s="1"/>
  <c r="G112" i="2"/>
  <c r="AZ110" i="3"/>
  <c r="G337" i="2"/>
  <c r="AZ338" i="3" s="1"/>
  <c r="AC104" i="9"/>
  <c r="I189" i="4"/>
  <c r="J187" i="4"/>
  <c r="BA68" i="3"/>
  <c r="V10" i="9"/>
  <c r="V106" i="9" s="1"/>
  <c r="G378" i="1"/>
  <c r="BA208" i="3"/>
  <c r="BA216" i="3"/>
  <c r="AY442" i="3"/>
  <c r="AY339" i="3"/>
  <c r="F340" i="2"/>
  <c r="AY341" i="3" s="1"/>
  <c r="G36" i="2"/>
  <c r="H16" i="2" s="1"/>
  <c r="AZ16" i="3"/>
  <c r="I194" i="5"/>
  <c r="I234" i="3"/>
  <c r="I452" i="3"/>
  <c r="I174" i="3"/>
  <c r="I173" i="3"/>
  <c r="I279" i="3" s="1"/>
  <c r="I65" i="3"/>
  <c r="F60" i="3"/>
  <c r="F43" i="3"/>
  <c r="I220" i="4"/>
  <c r="J218" i="4"/>
  <c r="K257" i="4"/>
  <c r="K258" i="4" s="1"/>
  <c r="K180" i="4"/>
  <c r="K181" i="4" s="1"/>
  <c r="K99" i="4"/>
  <c r="L91" i="4"/>
  <c r="K178" i="4"/>
  <c r="K264" i="4"/>
  <c r="K265" i="4" s="1"/>
  <c r="K102" i="4"/>
  <c r="K103" i="4" s="1"/>
  <c r="BA109" i="3"/>
  <c r="H111" i="2"/>
  <c r="AZ237" i="3"/>
  <c r="AC9" i="9"/>
  <c r="AC105" i="9" s="1"/>
  <c r="J116" i="4"/>
  <c r="K114" i="4"/>
  <c r="G462" i="3"/>
  <c r="G298" i="3"/>
  <c r="E548" i="1"/>
  <c r="F548" i="1" s="1"/>
  <c r="G39" i="3"/>
  <c r="G40" i="3"/>
  <c r="H40" i="3" s="1"/>
  <c r="I40" i="3" s="1"/>
  <c r="G40" i="2"/>
  <c r="G39" i="2"/>
  <c r="AF104" i="9"/>
  <c r="BE10" i="9"/>
  <c r="H342" i="2"/>
  <c r="I114" i="2"/>
  <c r="BA114" i="3"/>
  <c r="BA24" i="3"/>
  <c r="H432" i="2"/>
  <c r="BA432" i="3" s="1"/>
  <c r="H235" i="3"/>
  <c r="AF58" i="9"/>
  <c r="K43" i="4"/>
  <c r="J44" i="4"/>
  <c r="AY290" i="3"/>
  <c r="F361" i="3"/>
  <c r="F37" i="3"/>
  <c r="J1" i="4"/>
  <c r="J295" i="4"/>
  <c r="K93" i="4"/>
  <c r="I161" i="4"/>
  <c r="J159" i="4"/>
  <c r="T104" i="9"/>
  <c r="J207" i="4"/>
  <c r="I209" i="4"/>
  <c r="AZ186" i="3"/>
  <c r="I34" i="4"/>
  <c r="I186" i="3"/>
  <c r="I186" i="2"/>
  <c r="I225" i="4"/>
  <c r="J223" i="4"/>
  <c r="G289" i="2"/>
  <c r="G453" i="2"/>
  <c r="G12" i="5"/>
  <c r="AZ70" i="3"/>
  <c r="G172" i="2"/>
  <c r="G443" i="2"/>
  <c r="AY369" i="3"/>
  <c r="F372" i="2"/>
  <c r="H316" i="3"/>
  <c r="BA316" i="3" s="1"/>
  <c r="I89" i="3"/>
  <c r="G255" i="4"/>
  <c r="F215" i="2"/>
  <c r="F215" i="3"/>
  <c r="J96" i="4"/>
  <c r="J97" i="4" s="1"/>
  <c r="J187" i="2" s="1"/>
  <c r="H187" i="3"/>
  <c r="AY172" i="3"/>
  <c r="F278" i="2"/>
  <c r="AY453" i="3"/>
  <c r="I230" i="4"/>
  <c r="J228" i="4"/>
  <c r="J119" i="4"/>
  <c r="I121" i="4"/>
  <c r="H115" i="3"/>
  <c r="H342" i="3"/>
  <c r="I114" i="3"/>
  <c r="BE58" i="9"/>
  <c r="AY395" i="3"/>
  <c r="F396" i="2"/>
  <c r="F405" i="2"/>
  <c r="K45" i="4"/>
  <c r="J46" i="4"/>
  <c r="AY235" i="3"/>
  <c r="BA78" i="3"/>
  <c r="H234" i="2"/>
  <c r="H14" i="5"/>
  <c r="H211" i="5" s="1"/>
  <c r="BA108" i="3"/>
  <c r="H110" i="2"/>
  <c r="BA26" i="3"/>
  <c r="H434" i="2"/>
  <c r="BA434" i="3" s="1"/>
  <c r="B264" i="1"/>
  <c r="B311" i="1" s="1"/>
  <c r="Z265" i="1"/>
  <c r="H297" i="3"/>
  <c r="H178" i="3"/>
  <c r="H463" i="3"/>
  <c r="J109" i="4"/>
  <c r="I111" i="4"/>
  <c r="J177" i="4"/>
  <c r="K11" i="4"/>
  <c r="BM105" i="9"/>
  <c r="I311" i="4"/>
  <c r="I310" i="4"/>
  <c r="I309" i="4"/>
  <c r="I308" i="4"/>
  <c r="I307" i="4"/>
  <c r="I306" i="4"/>
  <c r="I302" i="4"/>
  <c r="I301" i="4"/>
  <c r="I300" i="4"/>
  <c r="I299" i="4"/>
  <c r="I298" i="4"/>
  <c r="I305" i="4"/>
  <c r="I297" i="4"/>
  <c r="I252" i="4"/>
  <c r="I261" i="4" s="1"/>
  <c r="I172" i="4"/>
  <c r="I90" i="4"/>
  <c r="I251" i="4"/>
  <c r="G125" i="2"/>
  <c r="BH9" i="9"/>
  <c r="AZ123" i="3"/>
  <c r="AZ179" i="3"/>
  <c r="F361" i="2"/>
  <c r="F37" i="2"/>
  <c r="AY35" i="3"/>
  <c r="I235" i="4"/>
  <c r="J233" i="4"/>
  <c r="AY279" i="3"/>
  <c r="H358" i="3"/>
  <c r="BA358" i="3" s="1"/>
  <c r="I121" i="3"/>
  <c r="H123" i="3"/>
  <c r="G187" i="2"/>
  <c r="G187" i="3"/>
  <c r="G189" i="3" s="1"/>
  <c r="I141" i="4"/>
  <c r="J139" i="4"/>
  <c r="BC21" i="3"/>
  <c r="BC206" i="3"/>
  <c r="BD4" i="3"/>
  <c r="AZ174" i="3"/>
  <c r="G280" i="2"/>
  <c r="AZ280" i="3" s="1"/>
  <c r="T9" i="9"/>
  <c r="T105" i="9" s="1"/>
  <c r="AZ65" i="3"/>
  <c r="G442" i="2"/>
  <c r="AZ442" i="3" s="1"/>
  <c r="J511" i="3"/>
  <c r="J137" i="3"/>
  <c r="J108" i="3"/>
  <c r="J110" i="3" s="1"/>
  <c r="J82" i="3"/>
  <c r="J504" i="3"/>
  <c r="J208" i="3"/>
  <c r="J66" i="3"/>
  <c r="J209" i="3" s="1"/>
  <c r="J216" i="3"/>
  <c r="J105" i="3"/>
  <c r="J83" i="3"/>
  <c r="J78" i="3"/>
  <c r="J67" i="3"/>
  <c r="J62" i="3"/>
  <c r="J42" i="3"/>
  <c r="J27" i="3"/>
  <c r="J435" i="3" s="1"/>
  <c r="J26" i="3"/>
  <c r="J434" i="3" s="1"/>
  <c r="J25" i="3"/>
  <c r="J433" i="3" s="1"/>
  <c r="J24" i="3"/>
  <c r="J432" i="3" s="1"/>
  <c r="J23" i="3"/>
  <c r="J431" i="3" s="1"/>
  <c r="J80" i="3"/>
  <c r="J68" i="3"/>
  <c r="J21" i="3"/>
  <c r="J1" i="5"/>
  <c r="J495" i="3"/>
  <c r="J81" i="3"/>
  <c r="K4" i="3"/>
  <c r="C60" i="9"/>
  <c r="J69" i="3"/>
  <c r="J479" i="3"/>
  <c r="J22" i="3"/>
  <c r="C108" i="9"/>
  <c r="J315" i="3"/>
  <c r="I107" i="3"/>
  <c r="H453" i="3"/>
  <c r="H443" i="3"/>
  <c r="H289" i="3"/>
  <c r="H172" i="3"/>
  <c r="H278" i="3" s="1"/>
  <c r="I166" i="4"/>
  <c r="J164" i="4"/>
  <c r="AY41" i="3"/>
  <c r="F43" i="2"/>
  <c r="I106" i="2"/>
  <c r="BB106" i="3" s="1"/>
  <c r="I79" i="2"/>
  <c r="BB79" i="3" s="1"/>
  <c r="I109" i="2"/>
  <c r="D11" i="9"/>
  <c r="I53" i="2"/>
  <c r="BB53" i="3" s="1"/>
  <c r="J5" i="2"/>
  <c r="I58" i="2"/>
  <c r="J100" i="4"/>
  <c r="K92" i="4"/>
  <c r="I275" i="4"/>
  <c r="J273" i="4"/>
  <c r="G36" i="3"/>
  <c r="G369" i="3" s="1"/>
  <c r="G372" i="3" s="1"/>
  <c r="G374" i="3" s="1"/>
  <c r="H367" i="3" s="1"/>
  <c r="F278" i="3"/>
  <c r="I194" i="4"/>
  <c r="J192" i="4"/>
  <c r="F466" i="3"/>
  <c r="F299" i="3"/>
  <c r="I30" i="4"/>
  <c r="AZ239" i="3"/>
  <c r="K154" i="4"/>
  <c r="J156" i="4"/>
  <c r="AB132" i="1"/>
  <c r="AJ133" i="1"/>
  <c r="H192" i="5"/>
  <c r="H442" i="3"/>
  <c r="T58" i="9"/>
  <c r="BA10" i="9"/>
  <c r="BA106" i="9" s="1"/>
  <c r="H341" i="2"/>
  <c r="BA342" i="3" s="1"/>
  <c r="BA113" i="3"/>
  <c r="H115" i="2"/>
  <c r="I113" i="2"/>
  <c r="G325" i="3"/>
  <c r="AZ325" i="3" s="1"/>
  <c r="G75" i="3"/>
  <c r="AZ75" i="3" s="1"/>
  <c r="AY345" i="3"/>
  <c r="F346" i="2"/>
  <c r="AY347" i="3" s="1"/>
  <c r="H490" i="2"/>
  <c r="H87" i="3"/>
  <c r="BA87" i="3" s="1"/>
  <c r="H307" i="2"/>
  <c r="I87" i="2"/>
  <c r="H74" i="2"/>
  <c r="J357" i="2"/>
  <c r="J264" i="2"/>
  <c r="J214" i="2"/>
  <c r="J188" i="2"/>
  <c r="K7" i="2"/>
  <c r="E12" i="9"/>
  <c r="G365" i="1"/>
  <c r="G294" i="2"/>
  <c r="G458" i="2"/>
  <c r="AX9" i="9"/>
  <c r="G454" i="2"/>
  <c r="G291" i="2"/>
  <c r="AS9" i="9"/>
  <c r="G471" i="3"/>
  <c r="AZ471" i="3" s="1"/>
  <c r="G243" i="3"/>
  <c r="G301" i="3"/>
  <c r="AZ301" i="3" s="1"/>
  <c r="G196" i="5"/>
  <c r="G210" i="5" s="1"/>
  <c r="Y57" i="9"/>
  <c r="Y105" i="9" s="1"/>
  <c r="G490" i="3"/>
  <c r="G307" i="3"/>
  <c r="G74" i="3"/>
  <c r="AZ74" i="3" s="1"/>
  <c r="H98" i="3"/>
  <c r="H325" i="2"/>
  <c r="H75" i="2"/>
  <c r="I98" i="2"/>
  <c r="AZ98" i="3"/>
  <c r="AZ307" i="3"/>
  <c r="F345" i="2"/>
  <c r="AY346" i="3" s="1"/>
  <c r="AY344" i="3"/>
  <c r="O8" i="9"/>
  <c r="O104" i="9" s="1"/>
  <c r="AY34" i="3"/>
  <c r="E357" i="1"/>
  <c r="P196" i="1" s="1"/>
  <c r="AE41" i="1"/>
  <c r="K104" i="9"/>
  <c r="AG9" i="10"/>
  <c r="AH9" i="10" s="1"/>
  <c r="AH6" i="10"/>
  <c r="I76" i="2"/>
  <c r="I354" i="2"/>
  <c r="AY327" i="3"/>
  <c r="AZ102" i="3"/>
  <c r="G502" i="2"/>
  <c r="G460" i="2"/>
  <c r="G326" i="2"/>
  <c r="G378" i="5"/>
  <c r="G296" i="2"/>
  <c r="AU9" i="9"/>
  <c r="G293" i="2"/>
  <c r="G456" i="2"/>
  <c r="G308" i="2"/>
  <c r="G176" i="2"/>
  <c r="G377" i="5"/>
  <c r="AN9" i="9"/>
  <c r="G379" i="5"/>
  <c r="F497" i="3"/>
  <c r="AY309" i="3"/>
  <c r="E390" i="1"/>
  <c r="BB360" i="3"/>
  <c r="G502" i="3"/>
  <c r="G460" i="3"/>
  <c r="G326" i="3"/>
  <c r="G296" i="3"/>
  <c r="AU57" i="9"/>
  <c r="G381" i="5"/>
  <c r="F130" i="2"/>
  <c r="F128" i="2"/>
  <c r="F133" i="2" s="1"/>
  <c r="A258" i="1"/>
  <c r="AY329" i="3"/>
  <c r="F330" i="3"/>
  <c r="AY330" i="3" s="1"/>
  <c r="H243" i="3" l="1"/>
  <c r="J357" i="3"/>
  <c r="BC357" i="3" s="1"/>
  <c r="F439" i="3"/>
  <c r="J40" i="3"/>
  <c r="G380" i="5"/>
  <c r="J157" i="2"/>
  <c r="J155" i="2"/>
  <c r="AZ94" i="3"/>
  <c r="AN57" i="9"/>
  <c r="G456" i="3"/>
  <c r="AZ456" i="3" s="1"/>
  <c r="G382" i="5"/>
  <c r="I35" i="4"/>
  <c r="I120" i="3"/>
  <c r="I157" i="3"/>
  <c r="I155" i="3"/>
  <c r="G176" i="3"/>
  <c r="AZ176" i="3" s="1"/>
  <c r="G308" i="3"/>
  <c r="AZ308" i="3" s="1"/>
  <c r="BJ9" i="9"/>
  <c r="BJ105" i="9" s="1"/>
  <c r="G465" i="2"/>
  <c r="H471" i="2"/>
  <c r="H38" i="4"/>
  <c r="H75" i="4"/>
  <c r="H62" i="4"/>
  <c r="AZ289" i="3"/>
  <c r="H243" i="2"/>
  <c r="I187" i="3"/>
  <c r="BB187" i="3" s="1"/>
  <c r="G369" i="1"/>
  <c r="Y10" i="9"/>
  <c r="H16" i="5"/>
  <c r="J98" i="4"/>
  <c r="BH105" i="9"/>
  <c r="BJ58" i="9"/>
  <c r="BJ106" i="9" s="1"/>
  <c r="H465" i="3"/>
  <c r="BJ11" i="9"/>
  <c r="I465" i="2"/>
  <c r="H301" i="3"/>
  <c r="BA301" i="3" s="1"/>
  <c r="BA144" i="3"/>
  <c r="J107" i="3"/>
  <c r="AF60" i="9" s="1"/>
  <c r="Y58" i="9"/>
  <c r="H471" i="3"/>
  <c r="J206" i="3"/>
  <c r="AY396" i="3"/>
  <c r="K122" i="3"/>
  <c r="K360" i="3" s="1"/>
  <c r="J360" i="3"/>
  <c r="I144" i="2"/>
  <c r="BA76" i="3"/>
  <c r="I262" i="4"/>
  <c r="V60" i="9"/>
  <c r="AZ51" i="3"/>
  <c r="F172" i="5"/>
  <c r="AY133" i="3"/>
  <c r="F180" i="2"/>
  <c r="F314" i="2"/>
  <c r="F38" i="2"/>
  <c r="F440" i="2" s="1"/>
  <c r="F378" i="2"/>
  <c r="F492" i="2"/>
  <c r="AO8" i="9"/>
  <c r="F29" i="2"/>
  <c r="H16" i="3"/>
  <c r="H36" i="3" s="1"/>
  <c r="H256" i="3" s="1"/>
  <c r="J236" i="3"/>
  <c r="AB60" i="9" s="1"/>
  <c r="BB186" i="3"/>
  <c r="F59" i="4"/>
  <c r="H77" i="2"/>
  <c r="G256" i="3"/>
  <c r="BE106" i="9"/>
  <c r="AZ40" i="3"/>
  <c r="H208" i="5"/>
  <c r="AY466" i="3"/>
  <c r="G59" i="4"/>
  <c r="G272" i="2" s="1"/>
  <c r="BM106" i="9"/>
  <c r="AZ462" i="3"/>
  <c r="H52" i="3"/>
  <c r="H54" i="3" s="1"/>
  <c r="H60" i="3" s="1"/>
  <c r="I50" i="3"/>
  <c r="J88" i="4"/>
  <c r="J273" i="2" s="1"/>
  <c r="K46" i="4"/>
  <c r="L45" i="4"/>
  <c r="H462" i="3"/>
  <c r="H298" i="3"/>
  <c r="AF10" i="9"/>
  <c r="AF106" i="9" s="1"/>
  <c r="BA107" i="3"/>
  <c r="H235" i="2"/>
  <c r="BA235" i="3" s="1"/>
  <c r="BA174" i="3"/>
  <c r="H280" i="2"/>
  <c r="BA280" i="3" s="1"/>
  <c r="AY187" i="3"/>
  <c r="X211" i="1"/>
  <c r="F189" i="2"/>
  <c r="J124" i="3"/>
  <c r="I371" i="3"/>
  <c r="BM59" i="9"/>
  <c r="H298" i="2"/>
  <c r="BA115" i="3"/>
  <c r="H462" i="2"/>
  <c r="AJ132" i="1"/>
  <c r="AB131" i="1"/>
  <c r="AJ131" i="1" s="1"/>
  <c r="J194" i="4"/>
  <c r="K192" i="4"/>
  <c r="J234" i="3"/>
  <c r="AA60" i="9" s="1"/>
  <c r="J194" i="5"/>
  <c r="K233" i="4"/>
  <c r="J235" i="4"/>
  <c r="K228" i="4"/>
  <c r="J230" i="4"/>
  <c r="AY215" i="3"/>
  <c r="AZ172" i="3"/>
  <c r="G278" i="2"/>
  <c r="AZ278" i="3" s="1"/>
  <c r="H36" i="2"/>
  <c r="H256" i="2" s="1"/>
  <c r="H125" i="2"/>
  <c r="BH10" i="9"/>
  <c r="BA123" i="3"/>
  <c r="F107" i="5"/>
  <c r="S8" i="9"/>
  <c r="BB137" i="3"/>
  <c r="I239" i="2"/>
  <c r="BB239" i="3" s="1"/>
  <c r="I179" i="2"/>
  <c r="AH11" i="9"/>
  <c r="H358" i="1"/>
  <c r="J511" i="2"/>
  <c r="BC511" i="3" s="1"/>
  <c r="J495" i="2"/>
  <c r="BC495" i="3" s="1"/>
  <c r="J479" i="2"/>
  <c r="BC479" i="3" s="1"/>
  <c r="J389" i="2"/>
  <c r="J504" i="2"/>
  <c r="BC504" i="3" s="1"/>
  <c r="J216" i="2"/>
  <c r="J108" i="2"/>
  <c r="J69" i="2"/>
  <c r="J21" i="2"/>
  <c r="K4" i="2"/>
  <c r="K206" i="2" s="1"/>
  <c r="J353" i="1" s="1"/>
  <c r="J83" i="2"/>
  <c r="BC83" i="3" s="1"/>
  <c r="J27" i="2"/>
  <c r="J25" i="2"/>
  <c r="J24" i="2"/>
  <c r="J23" i="2"/>
  <c r="J208" i="2"/>
  <c r="J82" i="2"/>
  <c r="J80" i="2"/>
  <c r="J78" i="2"/>
  <c r="J315" i="2"/>
  <c r="BC315" i="3" s="1"/>
  <c r="J137" i="2"/>
  <c r="J26" i="2"/>
  <c r="J81" i="2"/>
  <c r="BC81" i="3" s="1"/>
  <c r="J42" i="2"/>
  <c r="BC42" i="3" s="1"/>
  <c r="C12" i="9"/>
  <c r="J105" i="2"/>
  <c r="J62" i="2"/>
  <c r="J22" i="2"/>
  <c r="J66" i="2"/>
  <c r="J209" i="2" s="1"/>
  <c r="J67" i="2"/>
  <c r="BC67" i="3" s="1"/>
  <c r="J68" i="2"/>
  <c r="J47" i="2"/>
  <c r="BC47" i="3" s="1"/>
  <c r="BB82" i="3"/>
  <c r="I237" i="2"/>
  <c r="J270" i="4"/>
  <c r="K268" i="4"/>
  <c r="AY217" i="3"/>
  <c r="E383" i="1"/>
  <c r="I297" i="3"/>
  <c r="I463" i="3"/>
  <c r="I178" i="3"/>
  <c r="G72" i="4"/>
  <c r="X108" i="1"/>
  <c r="R108" i="1" s="1"/>
  <c r="Q107" i="1"/>
  <c r="Y108" i="1"/>
  <c r="S108" i="1" s="1"/>
  <c r="J199" i="4"/>
  <c r="K197" i="4"/>
  <c r="I76" i="3"/>
  <c r="I354" i="3"/>
  <c r="BB354" i="3" s="1"/>
  <c r="J89" i="2"/>
  <c r="J316" i="2" s="1"/>
  <c r="J50" i="2"/>
  <c r="J52" i="2" s="1"/>
  <c r="J359" i="2"/>
  <c r="BB109" i="3"/>
  <c r="I111" i="2"/>
  <c r="F49" i="2"/>
  <c r="AY43" i="3"/>
  <c r="P8" i="9"/>
  <c r="AY37" i="3"/>
  <c r="J111" i="4"/>
  <c r="K109" i="4"/>
  <c r="AZ10" i="9"/>
  <c r="AZ106" i="9" s="1"/>
  <c r="H112" i="2"/>
  <c r="BA110" i="3"/>
  <c r="H337" i="2"/>
  <c r="BA338" i="3" s="1"/>
  <c r="BA234" i="3"/>
  <c r="AA10" i="9"/>
  <c r="AA106" i="9" s="1"/>
  <c r="H255" i="4"/>
  <c r="G215" i="3"/>
  <c r="G215" i="2"/>
  <c r="AZ39" i="3"/>
  <c r="G41" i="2"/>
  <c r="I442" i="3"/>
  <c r="T59" i="9"/>
  <c r="BB66" i="3"/>
  <c r="I70" i="2"/>
  <c r="U11" i="9"/>
  <c r="U107" i="9" s="1"/>
  <c r="H376" i="1"/>
  <c r="I435" i="2"/>
  <c r="BB435" i="3" s="1"/>
  <c r="BB27" i="3"/>
  <c r="BB22" i="3"/>
  <c r="I430" i="2"/>
  <c r="BB430" i="3" s="1"/>
  <c r="BB105" i="3"/>
  <c r="I107" i="2"/>
  <c r="AC59" i="9"/>
  <c r="BQ105" i="9"/>
  <c r="I443" i="3"/>
  <c r="I289" i="3"/>
  <c r="I172" i="3"/>
  <c r="I278" i="3" s="1"/>
  <c r="I453" i="3"/>
  <c r="U204" i="1"/>
  <c r="U206" i="1" s="1"/>
  <c r="U209" i="1" s="1"/>
  <c r="U212" i="1" s="1"/>
  <c r="AA418" i="4"/>
  <c r="H416" i="4"/>
  <c r="H418" i="4" s="1"/>
  <c r="H420" i="4" s="1"/>
  <c r="H426" i="4" s="1"/>
  <c r="BB120" i="3"/>
  <c r="J206" i="2"/>
  <c r="I353" i="1" s="1"/>
  <c r="J142" i="2"/>
  <c r="J144" i="2" s="1"/>
  <c r="L154" i="4"/>
  <c r="K156" i="4"/>
  <c r="J53" i="2"/>
  <c r="K5" i="2"/>
  <c r="D12" i="9"/>
  <c r="J109" i="2"/>
  <c r="J58" i="2"/>
  <c r="BC58" i="3" s="1"/>
  <c r="J106" i="2"/>
  <c r="BC106" i="3" s="1"/>
  <c r="J79" i="2"/>
  <c r="I235" i="3"/>
  <c r="AF59" i="9"/>
  <c r="K495" i="3"/>
  <c r="K479" i="3"/>
  <c r="K208" i="3"/>
  <c r="K81" i="3"/>
  <c r="K511" i="3"/>
  <c r="K216" i="3"/>
  <c r="K108" i="3"/>
  <c r="K110" i="3" s="1"/>
  <c r="K105" i="3"/>
  <c r="K83" i="3"/>
  <c r="K78" i="3"/>
  <c r="K67" i="3"/>
  <c r="K62" i="3"/>
  <c r="K42" i="3"/>
  <c r="K27" i="3"/>
  <c r="K435" i="3" s="1"/>
  <c r="K26" i="3"/>
  <c r="K434" i="3" s="1"/>
  <c r="K25" i="3"/>
  <c r="K433" i="3" s="1"/>
  <c r="K24" i="3"/>
  <c r="K432" i="3" s="1"/>
  <c r="K23" i="3"/>
  <c r="K431" i="3" s="1"/>
  <c r="K82" i="3"/>
  <c r="K68" i="3"/>
  <c r="K22" i="3"/>
  <c r="L4" i="3"/>
  <c r="K137" i="3"/>
  <c r="K66" i="3"/>
  <c r="K209" i="3" s="1"/>
  <c r="K80" i="3"/>
  <c r="K504" i="3"/>
  <c r="K69" i="3"/>
  <c r="C61" i="9"/>
  <c r="K1" i="5"/>
  <c r="K21" i="3"/>
  <c r="C109" i="9"/>
  <c r="K315" i="3"/>
  <c r="J452" i="3"/>
  <c r="J65" i="3"/>
  <c r="J174" i="3"/>
  <c r="J280" i="3" s="1"/>
  <c r="J173" i="3"/>
  <c r="AZ187" i="3"/>
  <c r="G189" i="2"/>
  <c r="F362" i="2"/>
  <c r="AY356" i="3"/>
  <c r="AY278" i="3"/>
  <c r="J186" i="3"/>
  <c r="J34" i="4"/>
  <c r="J186" i="2"/>
  <c r="H51" i="2"/>
  <c r="G208" i="5"/>
  <c r="K223" i="4"/>
  <c r="J225" i="4"/>
  <c r="J209" i="4"/>
  <c r="K207" i="4"/>
  <c r="K295" i="4"/>
  <c r="L93" i="4"/>
  <c r="L96" i="4" s="1"/>
  <c r="K1" i="4"/>
  <c r="J30" i="4"/>
  <c r="J89" i="4" s="1"/>
  <c r="J274" i="2" s="1"/>
  <c r="I342" i="2"/>
  <c r="BE11" i="9"/>
  <c r="J114" i="2"/>
  <c r="BB114" i="3"/>
  <c r="K175" i="4"/>
  <c r="K176" i="4" s="1"/>
  <c r="F127" i="5"/>
  <c r="S56" i="9"/>
  <c r="AA59" i="9"/>
  <c r="G256" i="2"/>
  <c r="AZ36" i="3"/>
  <c r="G369" i="2"/>
  <c r="AZ369" i="3" s="1"/>
  <c r="K187" i="4"/>
  <c r="J189" i="4"/>
  <c r="G463" i="2"/>
  <c r="AZ463" i="3" s="1"/>
  <c r="AZ112" i="3"/>
  <c r="G178" i="2"/>
  <c r="AZ178" i="3" s="1"/>
  <c r="G297" i="2"/>
  <c r="AZ297" i="3" s="1"/>
  <c r="AY299" i="3"/>
  <c r="M41" i="4"/>
  <c r="L42" i="4"/>
  <c r="J122" i="2"/>
  <c r="I360" i="2"/>
  <c r="BB122" i="3"/>
  <c r="BQ10" i="9"/>
  <c r="BQ106" i="9" s="1"/>
  <c r="AH106" i="9"/>
  <c r="BB68" i="3"/>
  <c r="V11" i="9"/>
  <c r="V107" i="9" s="1"/>
  <c r="I432" i="2"/>
  <c r="BB432" i="3" s="1"/>
  <c r="BB24" i="3"/>
  <c r="I14" i="5"/>
  <c r="I211" i="5" s="1"/>
  <c r="BB78" i="3"/>
  <c r="I234" i="2"/>
  <c r="BB504" i="3"/>
  <c r="BB42" i="3"/>
  <c r="BA237" i="3"/>
  <c r="AC10" i="9"/>
  <c r="AC106" i="9" s="1"/>
  <c r="AB143" i="1"/>
  <c r="AJ143" i="1" s="1"/>
  <c r="AJ144" i="1"/>
  <c r="AC122" i="1"/>
  <c r="AC123" i="1" s="1"/>
  <c r="J264" i="3"/>
  <c r="J188" i="3"/>
  <c r="BC188" i="3" s="1"/>
  <c r="J214" i="3"/>
  <c r="K7" i="3"/>
  <c r="K359" i="3" s="1"/>
  <c r="J187" i="3"/>
  <c r="E108" i="9"/>
  <c r="E60" i="9"/>
  <c r="J3" i="5"/>
  <c r="J411" i="5" s="1"/>
  <c r="H254" i="4"/>
  <c r="G217" i="3"/>
  <c r="G217" i="2"/>
  <c r="H453" i="2"/>
  <c r="BA453" i="3" s="1"/>
  <c r="H443" i="2"/>
  <c r="BA443" i="3" s="1"/>
  <c r="H289" i="2"/>
  <c r="BA289" i="3" s="1"/>
  <c r="BA70" i="3"/>
  <c r="H172" i="2"/>
  <c r="J124" i="2"/>
  <c r="I371" i="2"/>
  <c r="BM11" i="9"/>
  <c r="BB124" i="3"/>
  <c r="F72" i="4"/>
  <c r="K243" i="4"/>
  <c r="J245" i="4"/>
  <c r="H279" i="2"/>
  <c r="BA279" i="3" s="1"/>
  <c r="BA173" i="3"/>
  <c r="F189" i="3"/>
  <c r="BD60" i="9"/>
  <c r="J338" i="3"/>
  <c r="J509" i="3"/>
  <c r="H51" i="3"/>
  <c r="I51" i="3" s="1"/>
  <c r="J51" i="3" s="1"/>
  <c r="BA371" i="3"/>
  <c r="J337" i="3"/>
  <c r="AZ60" i="9"/>
  <c r="J112" i="3"/>
  <c r="BE4" i="3"/>
  <c r="BD206" i="3"/>
  <c r="BD21" i="3"/>
  <c r="J121" i="3"/>
  <c r="I358" i="3"/>
  <c r="BB358" i="3" s="1"/>
  <c r="I123" i="3"/>
  <c r="G466" i="2"/>
  <c r="AZ125" i="3"/>
  <c r="G299" i="2"/>
  <c r="H189" i="3"/>
  <c r="BA189" i="3" s="1"/>
  <c r="BA187" i="3"/>
  <c r="K159" i="4"/>
  <c r="J161" i="4"/>
  <c r="J306" i="4"/>
  <c r="J309" i="4"/>
  <c r="J297" i="4"/>
  <c r="J311" i="4"/>
  <c r="J310" i="4"/>
  <c r="J302" i="4"/>
  <c r="J307" i="4"/>
  <c r="J299" i="4"/>
  <c r="J308" i="4"/>
  <c r="J300" i="4"/>
  <c r="J305" i="4"/>
  <c r="J301" i="4"/>
  <c r="J298" i="4"/>
  <c r="J172" i="4"/>
  <c r="J90" i="4"/>
  <c r="J252" i="4"/>
  <c r="J261" i="4" s="1"/>
  <c r="J251" i="4"/>
  <c r="F362" i="3"/>
  <c r="AY362" i="3" s="1"/>
  <c r="AY361" i="3"/>
  <c r="K44" i="4"/>
  <c r="L43" i="4"/>
  <c r="G41" i="3"/>
  <c r="L114" i="4"/>
  <c r="K116" i="4"/>
  <c r="H338" i="2"/>
  <c r="BA339" i="3" s="1"/>
  <c r="BA111" i="3"/>
  <c r="BD10" i="9"/>
  <c r="BD106" i="9" s="1"/>
  <c r="H509" i="2"/>
  <c r="BA509" i="3" s="1"/>
  <c r="K218" i="4"/>
  <c r="J220" i="4"/>
  <c r="F49" i="3"/>
  <c r="I431" i="2"/>
  <c r="BB431" i="3" s="1"/>
  <c r="BB23" i="3"/>
  <c r="BB216" i="3"/>
  <c r="BB81" i="3"/>
  <c r="BA209" i="3"/>
  <c r="G379" i="1"/>
  <c r="AF105" i="9"/>
  <c r="L14" i="4"/>
  <c r="T10" i="9"/>
  <c r="T106" i="9" s="1"/>
  <c r="BA65" i="3"/>
  <c r="H442" i="2"/>
  <c r="BA442" i="3" s="1"/>
  <c r="K106" i="3"/>
  <c r="K53" i="3"/>
  <c r="L5" i="3"/>
  <c r="K109" i="3"/>
  <c r="K111" i="3" s="1"/>
  <c r="D61" i="9"/>
  <c r="K2" i="5"/>
  <c r="D109" i="9"/>
  <c r="K79" i="3"/>
  <c r="G52" i="3"/>
  <c r="J204" i="4"/>
  <c r="K202" i="4"/>
  <c r="J120" i="2"/>
  <c r="K100" i="4"/>
  <c r="L92" i="4"/>
  <c r="BB58" i="3"/>
  <c r="J430" i="3"/>
  <c r="J407" i="5"/>
  <c r="J179" i="3"/>
  <c r="J239" i="3"/>
  <c r="AH60" i="9"/>
  <c r="BQ60" i="9" s="1"/>
  <c r="B265" i="1"/>
  <c r="B312" i="1" s="1"/>
  <c r="Z266" i="1"/>
  <c r="F374" i="2"/>
  <c r="AY372" i="3"/>
  <c r="I88" i="4"/>
  <c r="I273" i="2" s="1"/>
  <c r="I433" i="2"/>
  <c r="BB433" i="3" s="1"/>
  <c r="BB25" i="3"/>
  <c r="BB511" i="3"/>
  <c r="J289" i="4"/>
  <c r="K287" i="4"/>
  <c r="I341" i="2"/>
  <c r="BB342" i="3" s="1"/>
  <c r="BA11" i="9"/>
  <c r="BA107" i="9" s="1"/>
  <c r="I115" i="2"/>
  <c r="J113" i="2"/>
  <c r="BB113" i="3"/>
  <c r="K273" i="4"/>
  <c r="J275" i="4"/>
  <c r="J166" i="4"/>
  <c r="K164" i="4"/>
  <c r="J70" i="3"/>
  <c r="J192" i="5" s="1"/>
  <c r="U60" i="9"/>
  <c r="J237" i="3"/>
  <c r="AC60" i="9" s="1"/>
  <c r="J141" i="4"/>
  <c r="K139" i="4"/>
  <c r="BH58" i="9"/>
  <c r="H125" i="3"/>
  <c r="H39" i="2"/>
  <c r="L11" i="4"/>
  <c r="K177" i="4"/>
  <c r="AY405" i="3"/>
  <c r="I115" i="3"/>
  <c r="I342" i="3"/>
  <c r="BE59" i="9"/>
  <c r="J114" i="3"/>
  <c r="J121" i="4"/>
  <c r="K119" i="4"/>
  <c r="G60" i="4"/>
  <c r="J89" i="3"/>
  <c r="I316" i="3"/>
  <c r="BB316" i="3" s="1"/>
  <c r="AZ443" i="3"/>
  <c r="AZ453" i="3"/>
  <c r="BB89" i="3"/>
  <c r="F440" i="3"/>
  <c r="P56" i="9"/>
  <c r="BA343" i="3"/>
  <c r="H39" i="3"/>
  <c r="K96" i="4"/>
  <c r="K97" i="4" s="1"/>
  <c r="K187" i="2" s="1"/>
  <c r="L264" i="4"/>
  <c r="L265" i="4" s="1"/>
  <c r="L178" i="4"/>
  <c r="L102" i="4"/>
  <c r="L103" i="4" s="1"/>
  <c r="L257" i="4"/>
  <c r="L258" i="4" s="1"/>
  <c r="L180" i="4"/>
  <c r="L181" i="4" s="1"/>
  <c r="L99" i="4"/>
  <c r="M91" i="4"/>
  <c r="I280" i="3"/>
  <c r="AZ298" i="3"/>
  <c r="I358" i="2"/>
  <c r="BB359" i="3" s="1"/>
  <c r="BB121" i="3"/>
  <c r="I123" i="2"/>
  <c r="J121" i="2"/>
  <c r="K151" i="4"/>
  <c r="L149" i="4"/>
  <c r="I434" i="2"/>
  <c r="BB434" i="3" s="1"/>
  <c r="BB26" i="3"/>
  <c r="BB83" i="3"/>
  <c r="H378" i="1"/>
  <c r="BB208" i="3"/>
  <c r="BB108" i="3"/>
  <c r="I110" i="2"/>
  <c r="I236" i="2"/>
  <c r="BB80" i="3"/>
  <c r="BB62" i="3"/>
  <c r="I452" i="2"/>
  <c r="BB452" i="3" s="1"/>
  <c r="I173" i="2"/>
  <c r="I174" i="2"/>
  <c r="I65" i="2"/>
  <c r="AZ235" i="3"/>
  <c r="L40" i="4"/>
  <c r="M39" i="4"/>
  <c r="K282" i="4"/>
  <c r="J284" i="4"/>
  <c r="L124" i="4"/>
  <c r="K126" i="4"/>
  <c r="BQ59" i="9"/>
  <c r="J341" i="3"/>
  <c r="BA60" i="9"/>
  <c r="K113" i="3"/>
  <c r="K238" i="4"/>
  <c r="J240" i="4"/>
  <c r="G466" i="3"/>
  <c r="G299" i="3"/>
  <c r="J131" i="4"/>
  <c r="K129" i="4"/>
  <c r="K146" i="4"/>
  <c r="L144" i="4"/>
  <c r="BA236" i="3"/>
  <c r="AB10" i="9"/>
  <c r="AB106" i="9" s="1"/>
  <c r="BA50" i="3"/>
  <c r="H52" i="2"/>
  <c r="AZ50" i="3"/>
  <c r="G52" i="2"/>
  <c r="H40" i="2"/>
  <c r="H458" i="2"/>
  <c r="H294" i="2"/>
  <c r="AX10" i="9"/>
  <c r="K214" i="2"/>
  <c r="K188" i="2"/>
  <c r="K264" i="2"/>
  <c r="L7" i="2"/>
  <c r="E13" i="9"/>
  <c r="I471" i="3"/>
  <c r="I243" i="3"/>
  <c r="I301" i="3"/>
  <c r="Y59" i="9"/>
  <c r="I196" i="5"/>
  <c r="I87" i="3"/>
  <c r="BB87" i="3" s="1"/>
  <c r="I490" i="2"/>
  <c r="I307" i="2"/>
  <c r="I74" i="2"/>
  <c r="J87" i="2"/>
  <c r="AZ243" i="3"/>
  <c r="H365" i="1"/>
  <c r="J189" i="2"/>
  <c r="BA243" i="3"/>
  <c r="H325" i="3"/>
  <c r="BA325" i="3" s="1"/>
  <c r="H75" i="3"/>
  <c r="BA75" i="3" s="1"/>
  <c r="I54" i="2"/>
  <c r="G454" i="3"/>
  <c r="G291" i="3"/>
  <c r="AS57" i="9"/>
  <c r="G77" i="3"/>
  <c r="AZ77" i="3" s="1"/>
  <c r="BB144" i="3"/>
  <c r="I301" i="2"/>
  <c r="I471" i="2"/>
  <c r="I243" i="2"/>
  <c r="I16" i="5"/>
  <c r="Y11" i="9"/>
  <c r="H369" i="1"/>
  <c r="AZ490" i="3"/>
  <c r="H490" i="3"/>
  <c r="BA490" i="3" s="1"/>
  <c r="H307" i="3"/>
  <c r="BA307" i="3" s="1"/>
  <c r="H74" i="3"/>
  <c r="BA471" i="3"/>
  <c r="I98" i="3"/>
  <c r="I325" i="2"/>
  <c r="J98" i="2"/>
  <c r="I75" i="2"/>
  <c r="BA98" i="3"/>
  <c r="BB142" i="3"/>
  <c r="H454" i="2"/>
  <c r="H291" i="2"/>
  <c r="AS10" i="9"/>
  <c r="G294" i="3"/>
  <c r="G458" i="3"/>
  <c r="AX57" i="9"/>
  <c r="AX105" i="9" s="1"/>
  <c r="H210" i="5"/>
  <c r="F498" i="3"/>
  <c r="AU105" i="9"/>
  <c r="AZ460" i="3"/>
  <c r="AZ296" i="3"/>
  <c r="AZ502" i="3"/>
  <c r="AY130" i="3"/>
  <c r="AZ293" i="3"/>
  <c r="AN105" i="9"/>
  <c r="AY128" i="3"/>
  <c r="G408" i="5"/>
  <c r="G383" i="5"/>
  <c r="AZ326" i="3"/>
  <c r="K157" i="2" l="1"/>
  <c r="K155" i="2"/>
  <c r="J120" i="3"/>
  <c r="J155" i="3"/>
  <c r="J157" i="3"/>
  <c r="J35" i="4"/>
  <c r="Y106" i="9"/>
  <c r="I189" i="3"/>
  <c r="BB189" i="3" s="1"/>
  <c r="F272" i="3"/>
  <c r="F74" i="4"/>
  <c r="G61" i="4"/>
  <c r="I38" i="4"/>
  <c r="I75" i="4"/>
  <c r="I62" i="4"/>
  <c r="G272" i="3"/>
  <c r="G74" i="4"/>
  <c r="F60" i="4"/>
  <c r="F272" i="2"/>
  <c r="F61" i="4"/>
  <c r="BC360" i="3"/>
  <c r="J235" i="3"/>
  <c r="BJ59" i="9"/>
  <c r="BJ107" i="9" s="1"/>
  <c r="I465" i="3"/>
  <c r="BA16" i="3"/>
  <c r="L122" i="3"/>
  <c r="L360" i="3" s="1"/>
  <c r="I16" i="3"/>
  <c r="I36" i="3" s="1"/>
  <c r="I369" i="3" s="1"/>
  <c r="BC89" i="3"/>
  <c r="AZ256" i="3"/>
  <c r="K89" i="2"/>
  <c r="K316" i="2" s="1"/>
  <c r="K50" i="2"/>
  <c r="K52" i="2" s="1"/>
  <c r="K120" i="2"/>
  <c r="I77" i="2"/>
  <c r="AY492" i="3"/>
  <c r="F493" i="2"/>
  <c r="F494" i="2"/>
  <c r="AY494" i="3" s="1"/>
  <c r="BA256" i="3"/>
  <c r="F31" i="2"/>
  <c r="F317" i="2"/>
  <c r="AY29" i="3"/>
  <c r="AY378" i="3"/>
  <c r="I16" i="2"/>
  <c r="I36" i="2" s="1"/>
  <c r="J16" i="2" s="1"/>
  <c r="F173" i="5"/>
  <c r="AY38" i="3"/>
  <c r="Q8" i="9"/>
  <c r="Q104" i="9" s="1"/>
  <c r="F379" i="2"/>
  <c r="AY379" i="3" s="1"/>
  <c r="F283" i="2"/>
  <c r="AY180" i="3"/>
  <c r="H369" i="3"/>
  <c r="H372" i="3" s="1"/>
  <c r="H374" i="3" s="1"/>
  <c r="I367" i="3" s="1"/>
  <c r="F357" i="1"/>
  <c r="AO104" i="9"/>
  <c r="AY314" i="3"/>
  <c r="AD122" i="1"/>
  <c r="AD123" i="1" s="1"/>
  <c r="I113" i="1" s="1"/>
  <c r="S104" i="9"/>
  <c r="BA462" i="3"/>
  <c r="BB371" i="3"/>
  <c r="BM107" i="9"/>
  <c r="AZ466" i="3"/>
  <c r="J76" i="2"/>
  <c r="L175" i="4"/>
  <c r="J189" i="3"/>
  <c r="BC189" i="3" s="1"/>
  <c r="AE122" i="1"/>
  <c r="AE123" i="1" s="1"/>
  <c r="F45" i="2" s="1"/>
  <c r="AY45" i="3" s="1"/>
  <c r="K40" i="3"/>
  <c r="F134" i="5"/>
  <c r="AF122" i="1"/>
  <c r="AF123" i="1" s="1"/>
  <c r="BE107" i="9"/>
  <c r="K30" i="4"/>
  <c r="K89" i="4" s="1"/>
  <c r="K274" i="2" s="1"/>
  <c r="AZ215" i="3"/>
  <c r="BA298" i="3"/>
  <c r="J354" i="3"/>
  <c r="J76" i="3"/>
  <c r="I442" i="2"/>
  <c r="BB442" i="3" s="1"/>
  <c r="BB65" i="3"/>
  <c r="T11" i="9"/>
  <c r="T107" i="9" s="1"/>
  <c r="BD61" i="9"/>
  <c r="K338" i="3"/>
  <c r="K509" i="3"/>
  <c r="L34" i="4"/>
  <c r="L186" i="2"/>
  <c r="L186" i="3"/>
  <c r="H41" i="2"/>
  <c r="BA39" i="3"/>
  <c r="I39" i="2"/>
  <c r="B266" i="1"/>
  <c r="B313" i="1" s="1"/>
  <c r="Z267" i="1"/>
  <c r="J371" i="2"/>
  <c r="BM12" i="9"/>
  <c r="K124" i="2"/>
  <c r="BC124" i="3"/>
  <c r="I254" i="4"/>
  <c r="H217" i="3"/>
  <c r="H217" i="2"/>
  <c r="M42" i="4"/>
  <c r="N41" i="4"/>
  <c r="J442" i="3"/>
  <c r="T60" i="9"/>
  <c r="K430" i="3"/>
  <c r="K407" i="5"/>
  <c r="M154" i="4"/>
  <c r="L156" i="4"/>
  <c r="BA112" i="3"/>
  <c r="H297" i="2"/>
  <c r="BA297" i="3" s="1"/>
  <c r="H463" i="2"/>
  <c r="BA463" i="3" s="1"/>
  <c r="H178" i="2"/>
  <c r="BA178" i="3" s="1"/>
  <c r="BB237" i="3"/>
  <c r="AC11" i="9"/>
  <c r="AC107" i="9" s="1"/>
  <c r="J70" i="2"/>
  <c r="J12" i="5" s="1"/>
  <c r="J208" i="5" s="1"/>
  <c r="BC66" i="3"/>
  <c r="U12" i="9"/>
  <c r="U108" i="9" s="1"/>
  <c r="I376" i="1"/>
  <c r="BC26" i="3"/>
  <c r="J434" i="2"/>
  <c r="BC434" i="3" s="1"/>
  <c r="BC80" i="3"/>
  <c r="J236" i="2"/>
  <c r="BC24" i="3"/>
  <c r="J432" i="2"/>
  <c r="BC432" i="3" s="1"/>
  <c r="K504" i="2"/>
  <c r="K479" i="2"/>
  <c r="BD479" i="3" s="1"/>
  <c r="K208" i="2"/>
  <c r="K82" i="2"/>
  <c r="K80" i="2"/>
  <c r="K78" i="2"/>
  <c r="K495" i="2"/>
  <c r="BD495" i="3" s="1"/>
  <c r="K389" i="2"/>
  <c r="K42" i="2"/>
  <c r="K315" i="2"/>
  <c r="BD315" i="3" s="1"/>
  <c r="K137" i="2"/>
  <c r="K83" i="2"/>
  <c r="K27" i="2"/>
  <c r="K26" i="2"/>
  <c r="K25" i="2"/>
  <c r="K24" i="2"/>
  <c r="K23" i="2"/>
  <c r="K105" i="2"/>
  <c r="K81" i="2"/>
  <c r="K62" i="2"/>
  <c r="K22" i="2"/>
  <c r="K108" i="2"/>
  <c r="K511" i="2"/>
  <c r="K216" i="2"/>
  <c r="K69" i="2"/>
  <c r="BD69" i="3" s="1"/>
  <c r="L4" i="2"/>
  <c r="L206" i="2" s="1"/>
  <c r="K353" i="1" s="1"/>
  <c r="K21" i="2"/>
  <c r="C13" i="9"/>
  <c r="K66" i="2"/>
  <c r="K209" i="2" s="1"/>
  <c r="K68" i="2"/>
  <c r="K67" i="2"/>
  <c r="BD67" i="3" s="1"/>
  <c r="K47" i="2"/>
  <c r="BD47" i="3" s="1"/>
  <c r="BC216" i="3"/>
  <c r="AH107" i="9"/>
  <c r="BQ11" i="9"/>
  <c r="BQ107" i="9" s="1"/>
  <c r="H466" i="2"/>
  <c r="H299" i="2"/>
  <c r="K230" i="4"/>
  <c r="L228" i="4"/>
  <c r="BC120" i="3"/>
  <c r="L113" i="3"/>
  <c r="K341" i="3"/>
  <c r="BA61" i="9"/>
  <c r="L282" i="4"/>
  <c r="K284" i="4"/>
  <c r="I280" i="2"/>
  <c r="BB280" i="3" s="1"/>
  <c r="BB174" i="3"/>
  <c r="K186" i="3"/>
  <c r="K34" i="4"/>
  <c r="K186" i="2"/>
  <c r="G54" i="3"/>
  <c r="L109" i="3"/>
  <c r="L111" i="3" s="1"/>
  <c r="L53" i="3"/>
  <c r="M5" i="3"/>
  <c r="D62" i="9"/>
  <c r="L106" i="3"/>
  <c r="L79" i="3"/>
  <c r="L2" i="5"/>
  <c r="D110" i="9"/>
  <c r="L97" i="4"/>
  <c r="L176" i="4"/>
  <c r="M14" i="4"/>
  <c r="F61" i="3"/>
  <c r="R56" i="9"/>
  <c r="F126" i="5"/>
  <c r="L44" i="4"/>
  <c r="M43" i="4"/>
  <c r="I125" i="3"/>
  <c r="BH59" i="9"/>
  <c r="BA51" i="3"/>
  <c r="I51" i="2"/>
  <c r="V61" i="9"/>
  <c r="AF11" i="9"/>
  <c r="BB107" i="3"/>
  <c r="I235" i="2"/>
  <c r="BB235" i="3" s="1"/>
  <c r="BC137" i="3"/>
  <c r="J239" i="2"/>
  <c r="J179" i="2"/>
  <c r="BC179" i="3" s="1"/>
  <c r="AH12" i="9"/>
  <c r="I358" i="1"/>
  <c r="BC25" i="3"/>
  <c r="J433" i="2"/>
  <c r="BC433" i="3" s="1"/>
  <c r="BB179" i="3"/>
  <c r="L192" i="4"/>
  <c r="K194" i="4"/>
  <c r="J142" i="3"/>
  <c r="J144" i="3" s="1"/>
  <c r="BC144" i="3" s="1"/>
  <c r="K357" i="2"/>
  <c r="BA40" i="3"/>
  <c r="I40" i="2"/>
  <c r="M144" i="4"/>
  <c r="L146" i="4"/>
  <c r="K131" i="4"/>
  <c r="L129" i="4"/>
  <c r="M40" i="4"/>
  <c r="N39" i="4"/>
  <c r="BB173" i="3"/>
  <c r="I279" i="2"/>
  <c r="BB279" i="3" s="1"/>
  <c r="BB236" i="3"/>
  <c r="AB11" i="9"/>
  <c r="AB107" i="9" s="1"/>
  <c r="I125" i="2"/>
  <c r="BH11" i="9"/>
  <c r="BB123" i="3"/>
  <c r="K121" i="4"/>
  <c r="L119" i="4"/>
  <c r="BB343" i="3"/>
  <c r="L98" i="4"/>
  <c r="L177" i="4"/>
  <c r="M11" i="4"/>
  <c r="BB209" i="3"/>
  <c r="H379" i="1"/>
  <c r="L202" i="4"/>
  <c r="K204" i="4"/>
  <c r="M114" i="4"/>
  <c r="L116" i="4"/>
  <c r="AZ299" i="3"/>
  <c r="BE206" i="3"/>
  <c r="BF4" i="3"/>
  <c r="BE21" i="3"/>
  <c r="J262" i="4"/>
  <c r="AZ217" i="3"/>
  <c r="F383" i="1"/>
  <c r="J360" i="2"/>
  <c r="K122" i="2"/>
  <c r="BC122" i="3"/>
  <c r="L295" i="4"/>
  <c r="M93" i="4"/>
  <c r="M96" i="4" s="1"/>
  <c r="L1" i="4"/>
  <c r="L29" i="4"/>
  <c r="BC186" i="3"/>
  <c r="K179" i="3"/>
  <c r="K239" i="3"/>
  <c r="AH61" i="9"/>
  <c r="K237" i="3"/>
  <c r="AC61" i="9" s="1"/>
  <c r="AZ61" i="9"/>
  <c r="K112" i="3"/>
  <c r="K337" i="3"/>
  <c r="BC109" i="3"/>
  <c r="J111" i="2"/>
  <c r="G43" i="2"/>
  <c r="AZ41" i="3"/>
  <c r="I255" i="4"/>
  <c r="H215" i="3"/>
  <c r="H215" i="2"/>
  <c r="BA215" i="3" s="1"/>
  <c r="K111" i="4"/>
  <c r="L109" i="4"/>
  <c r="AY440" i="3"/>
  <c r="L197" i="4"/>
  <c r="K199" i="4"/>
  <c r="G73" i="4"/>
  <c r="V12" i="9"/>
  <c r="V108" i="9" s="1"/>
  <c r="BC68" i="3"/>
  <c r="J173" i="2"/>
  <c r="BC62" i="3"/>
  <c r="J174" i="2"/>
  <c r="J65" i="2"/>
  <c r="J452" i="2"/>
  <c r="BC452" i="3" s="1"/>
  <c r="I378" i="1"/>
  <c r="BC208" i="3"/>
  <c r="BC27" i="3"/>
  <c r="J435" i="2"/>
  <c r="BC435" i="3" s="1"/>
  <c r="BC69" i="3"/>
  <c r="H369" i="2"/>
  <c r="BA36" i="3"/>
  <c r="K235" i="4"/>
  <c r="L233" i="4"/>
  <c r="J371" i="3"/>
  <c r="K124" i="3"/>
  <c r="BM60" i="9"/>
  <c r="L46" i="4"/>
  <c r="M45" i="4"/>
  <c r="K240" i="4"/>
  <c r="L238" i="4"/>
  <c r="J342" i="3"/>
  <c r="J115" i="3"/>
  <c r="K114" i="3"/>
  <c r="BE60" i="9"/>
  <c r="L164" i="4"/>
  <c r="K166" i="4"/>
  <c r="I298" i="2"/>
  <c r="I462" i="2"/>
  <c r="BB115" i="3"/>
  <c r="L287" i="4"/>
  <c r="K289" i="4"/>
  <c r="L218" i="4"/>
  <c r="K220" i="4"/>
  <c r="F73" i="4"/>
  <c r="L187" i="4"/>
  <c r="K189" i="4"/>
  <c r="L207" i="4"/>
  <c r="K209" i="4"/>
  <c r="K109" i="2"/>
  <c r="K58" i="2"/>
  <c r="BD58" i="3" s="1"/>
  <c r="K106" i="2"/>
  <c r="BD106" i="3" s="1"/>
  <c r="K79" i="2"/>
  <c r="BD79" i="3" s="1"/>
  <c r="D13" i="9"/>
  <c r="K53" i="2"/>
  <c r="BD53" i="3" s="1"/>
  <c r="L5" i="2"/>
  <c r="L30" i="4" s="1"/>
  <c r="L89" i="4" s="1"/>
  <c r="L274" i="2" s="1"/>
  <c r="Q409" i="4"/>
  <c r="N403" i="4"/>
  <c r="W420" i="4"/>
  <c r="R8" i="9"/>
  <c r="AY49" i="3"/>
  <c r="F106" i="5"/>
  <c r="F61" i="2"/>
  <c r="I52" i="3"/>
  <c r="BB50" i="3"/>
  <c r="J50" i="3"/>
  <c r="K50" i="3" s="1"/>
  <c r="K52" i="3" s="1"/>
  <c r="K54" i="3" s="1"/>
  <c r="K60" i="3" s="1"/>
  <c r="J354" i="2"/>
  <c r="K142" i="2"/>
  <c r="BC187" i="3"/>
  <c r="BA52" i="3"/>
  <c r="H54" i="2"/>
  <c r="J123" i="2"/>
  <c r="J358" i="2"/>
  <c r="BC359" i="3" s="1"/>
  <c r="BC121" i="3"/>
  <c r="K121" i="2"/>
  <c r="BA125" i="3"/>
  <c r="H466" i="3"/>
  <c r="H299" i="3"/>
  <c r="M92" i="4"/>
  <c r="L100" i="4"/>
  <c r="H278" i="2"/>
  <c r="BA278" i="3" s="1"/>
  <c r="BA172" i="3"/>
  <c r="K264" i="3"/>
  <c r="K214" i="3"/>
  <c r="BD214" i="3" s="1"/>
  <c r="L7" i="3"/>
  <c r="L206" i="3" s="1"/>
  <c r="K187" i="3"/>
  <c r="BD187" i="3" s="1"/>
  <c r="K188" i="3"/>
  <c r="BD188" i="3" s="1"/>
  <c r="K3" i="5"/>
  <c r="K411" i="5" s="1"/>
  <c r="E109" i="9"/>
  <c r="E61" i="9"/>
  <c r="K29" i="4"/>
  <c r="K35" i="4" s="1"/>
  <c r="F365" i="1"/>
  <c r="AZ189" i="3"/>
  <c r="J279" i="3"/>
  <c r="K70" i="3"/>
  <c r="U61" i="9"/>
  <c r="K452" i="3"/>
  <c r="K174" i="3"/>
  <c r="K65" i="3"/>
  <c r="K173" i="3"/>
  <c r="K279" i="3" s="1"/>
  <c r="K107" i="3"/>
  <c r="BC53" i="3"/>
  <c r="I453" i="2"/>
  <c r="BB453" i="3" s="1"/>
  <c r="I172" i="2"/>
  <c r="I443" i="2"/>
  <c r="BB443" i="3" s="1"/>
  <c r="I289" i="2"/>
  <c r="BB289" i="3" s="1"/>
  <c r="BB70" i="3"/>
  <c r="P104" i="9"/>
  <c r="I338" i="2"/>
  <c r="BB339" i="3" s="1"/>
  <c r="BD11" i="9"/>
  <c r="BD107" i="9" s="1"/>
  <c r="BB111" i="3"/>
  <c r="I509" i="2"/>
  <c r="BB509" i="3" s="1"/>
  <c r="X107" i="1"/>
  <c r="R107" i="1" s="1"/>
  <c r="Y107" i="1"/>
  <c r="S107" i="1" s="1"/>
  <c r="L268" i="4"/>
  <c r="K270" i="4"/>
  <c r="J430" i="2"/>
  <c r="BC430" i="3" s="1"/>
  <c r="BC22" i="3"/>
  <c r="BC82" i="3"/>
  <c r="J237" i="2"/>
  <c r="H127" i="5"/>
  <c r="S58" i="9"/>
  <c r="BB76" i="3"/>
  <c r="K359" i="2"/>
  <c r="BD360" i="3" s="1"/>
  <c r="G54" i="2"/>
  <c r="AZ52" i="3"/>
  <c r="M124" i="4"/>
  <c r="L126" i="4"/>
  <c r="I12" i="5"/>
  <c r="I208" i="5" s="1"/>
  <c r="I337" i="2"/>
  <c r="BB338" i="3" s="1"/>
  <c r="AZ11" i="9"/>
  <c r="AZ107" i="9" s="1"/>
  <c r="I112" i="2"/>
  <c r="BB110" i="3"/>
  <c r="M149" i="4"/>
  <c r="L151" i="4"/>
  <c r="M264" i="4"/>
  <c r="M257" i="4"/>
  <c r="M178" i="4"/>
  <c r="M102" i="4"/>
  <c r="N91" i="4"/>
  <c r="M99" i="4"/>
  <c r="M180" i="4"/>
  <c r="H41" i="3"/>
  <c r="H43" i="3" s="1"/>
  <c r="H49" i="3" s="1"/>
  <c r="I39" i="3"/>
  <c r="J316" i="3"/>
  <c r="BC316" i="3" s="1"/>
  <c r="K89" i="3"/>
  <c r="I462" i="3"/>
  <c r="I298" i="3"/>
  <c r="K98" i="4"/>
  <c r="K141" i="4"/>
  <c r="L139" i="4"/>
  <c r="J443" i="3"/>
  <c r="J289" i="3"/>
  <c r="J453" i="3"/>
  <c r="J172" i="3"/>
  <c r="J278" i="3" s="1"/>
  <c r="L273" i="4"/>
  <c r="K275" i="4"/>
  <c r="J341" i="2"/>
  <c r="BC342" i="3" s="1"/>
  <c r="J115" i="2"/>
  <c r="BA12" i="9"/>
  <c r="BA108" i="9" s="1"/>
  <c r="K113" i="2"/>
  <c r="BC113" i="3"/>
  <c r="G367" i="2"/>
  <c r="AY374" i="3"/>
  <c r="BC214" i="3"/>
  <c r="K51" i="3"/>
  <c r="G43" i="3"/>
  <c r="K161" i="4"/>
  <c r="L159" i="4"/>
  <c r="J358" i="3"/>
  <c r="BC358" i="3" s="1"/>
  <c r="K121" i="3"/>
  <c r="J123" i="3"/>
  <c r="J178" i="3"/>
  <c r="J297" i="3"/>
  <c r="J463" i="3"/>
  <c r="K245" i="4"/>
  <c r="L243" i="4"/>
  <c r="I112" i="1"/>
  <c r="F44" i="2"/>
  <c r="BB234" i="3"/>
  <c r="AA11" i="9"/>
  <c r="AA107" i="9" s="1"/>
  <c r="K114" i="2"/>
  <c r="BC114" i="3"/>
  <c r="J342" i="2"/>
  <c r="BE12" i="9"/>
  <c r="K311" i="4"/>
  <c r="K309" i="4"/>
  <c r="K307" i="4"/>
  <c r="K305" i="4"/>
  <c r="K310" i="4"/>
  <c r="K306" i="4"/>
  <c r="K301" i="4"/>
  <c r="K299" i="4"/>
  <c r="K300" i="4"/>
  <c r="K297" i="4"/>
  <c r="K298" i="4"/>
  <c r="K302" i="4"/>
  <c r="K308" i="4"/>
  <c r="K252" i="4"/>
  <c r="K261" i="4" s="1"/>
  <c r="K172" i="4"/>
  <c r="K90" i="4"/>
  <c r="K251" i="4"/>
  <c r="L223" i="4"/>
  <c r="K225" i="4"/>
  <c r="K236" i="3"/>
  <c r="L80" i="3"/>
  <c r="L511" i="3"/>
  <c r="L495" i="3"/>
  <c r="L82" i="3"/>
  <c r="L68" i="3"/>
  <c r="L22" i="3"/>
  <c r="M4" i="3"/>
  <c r="L479" i="3"/>
  <c r="L137" i="3"/>
  <c r="L81" i="3"/>
  <c r="L69" i="3"/>
  <c r="L21" i="3"/>
  <c r="L504" i="3"/>
  <c r="L216" i="3"/>
  <c r="L83" i="3"/>
  <c r="L108" i="3"/>
  <c r="L110" i="3" s="1"/>
  <c r="L78" i="3"/>
  <c r="L67" i="3"/>
  <c r="L27" i="3"/>
  <c r="L435" i="3" s="1"/>
  <c r="L26" i="3"/>
  <c r="L434" i="3" s="1"/>
  <c r="L25" i="3"/>
  <c r="L433" i="3" s="1"/>
  <c r="L24" i="3"/>
  <c r="L432" i="3" s="1"/>
  <c r="L1" i="5"/>
  <c r="L105" i="3"/>
  <c r="L208" i="3"/>
  <c r="L62" i="3"/>
  <c r="C62" i="9"/>
  <c r="L42" i="3"/>
  <c r="L23" i="3"/>
  <c r="L431" i="3" s="1"/>
  <c r="L66" i="3"/>
  <c r="L209" i="3" s="1"/>
  <c r="C110" i="9"/>
  <c r="L315" i="3"/>
  <c r="K234" i="3"/>
  <c r="K194" i="5"/>
  <c r="K206" i="3"/>
  <c r="K357" i="3"/>
  <c r="BD357" i="3" s="1"/>
  <c r="BC79" i="3"/>
  <c r="BC105" i="3"/>
  <c r="J107" i="2"/>
  <c r="BC78" i="3"/>
  <c r="J234" i="2"/>
  <c r="J14" i="5"/>
  <c r="BC23" i="3"/>
  <c r="J431" i="2"/>
  <c r="BC431" i="3" s="1"/>
  <c r="BC108" i="3"/>
  <c r="J110" i="2"/>
  <c r="BH106" i="9"/>
  <c r="AY189" i="3"/>
  <c r="E365" i="1"/>
  <c r="P204" i="1" s="1"/>
  <c r="J54" i="2"/>
  <c r="H454" i="3"/>
  <c r="H291" i="3"/>
  <c r="BA291" i="3" s="1"/>
  <c r="AS58" i="9"/>
  <c r="AS106" i="9" s="1"/>
  <c r="H77" i="3"/>
  <c r="BA77" i="3" s="1"/>
  <c r="BB471" i="3"/>
  <c r="I60" i="2"/>
  <c r="I325" i="3"/>
  <c r="BB325" i="3" s="1"/>
  <c r="I75" i="3"/>
  <c r="BB75" i="3" s="1"/>
  <c r="Y107" i="9"/>
  <c r="BB301" i="3"/>
  <c r="J87" i="3"/>
  <c r="BC87" i="3" s="1"/>
  <c r="J490" i="2"/>
  <c r="J307" i="2"/>
  <c r="J74" i="2"/>
  <c r="K87" i="2"/>
  <c r="I490" i="3"/>
  <c r="BB490" i="3" s="1"/>
  <c r="I307" i="3"/>
  <c r="BB307" i="3" s="1"/>
  <c r="I74" i="3"/>
  <c r="BB74" i="3" s="1"/>
  <c r="L188" i="2"/>
  <c r="L187" i="2"/>
  <c r="L357" i="2"/>
  <c r="L264" i="2"/>
  <c r="L214" i="2"/>
  <c r="M7" i="2"/>
  <c r="E14" i="9"/>
  <c r="BA74" i="3"/>
  <c r="I458" i="2"/>
  <c r="I294" i="2"/>
  <c r="AX11" i="9"/>
  <c r="BB98" i="3"/>
  <c r="I210" i="5"/>
  <c r="H458" i="3"/>
  <c r="H294" i="3"/>
  <c r="BA294" i="3" s="1"/>
  <c r="AX58" i="9"/>
  <c r="AX106" i="9" s="1"/>
  <c r="I454" i="2"/>
  <c r="I291" i="2"/>
  <c r="AS11" i="9"/>
  <c r="K189" i="2"/>
  <c r="AZ294" i="3"/>
  <c r="J98" i="3"/>
  <c r="BC98" i="3" s="1"/>
  <c r="J325" i="2"/>
  <c r="K98" i="2"/>
  <c r="J75" i="2"/>
  <c r="BB243" i="3"/>
  <c r="AZ291" i="3"/>
  <c r="J301" i="2"/>
  <c r="J471" i="2"/>
  <c r="J243" i="2"/>
  <c r="Y12" i="9"/>
  <c r="J16" i="5"/>
  <c r="I369" i="1"/>
  <c r="I365" i="1"/>
  <c r="AS105" i="9"/>
  <c r="K354" i="2"/>
  <c r="K76" i="2"/>
  <c r="K465" i="2" s="1"/>
  <c r="L35" i="4" l="1"/>
  <c r="K120" i="3"/>
  <c r="K157" i="3"/>
  <c r="K155" i="3"/>
  <c r="L120" i="2"/>
  <c r="L157" i="2"/>
  <c r="L155" i="2"/>
  <c r="J38" i="4"/>
  <c r="J75" i="4"/>
  <c r="J62" i="4"/>
  <c r="M122" i="3"/>
  <c r="M360" i="3" s="1"/>
  <c r="BD89" i="3"/>
  <c r="L89" i="2"/>
  <c r="L316" i="2" s="1"/>
  <c r="BJ60" i="9"/>
  <c r="J465" i="3"/>
  <c r="I372" i="3"/>
  <c r="I374" i="3" s="1"/>
  <c r="J367" i="3" s="1"/>
  <c r="BJ12" i="9"/>
  <c r="J465" i="2"/>
  <c r="J16" i="3"/>
  <c r="J36" i="3" s="1"/>
  <c r="K16" i="3" s="1"/>
  <c r="J77" i="2"/>
  <c r="I256" i="3"/>
  <c r="R104" i="9"/>
  <c r="L359" i="3"/>
  <c r="BC354" i="3"/>
  <c r="BM108" i="9"/>
  <c r="I256" i="2"/>
  <c r="L359" i="2"/>
  <c r="BE360" i="3" s="1"/>
  <c r="L142" i="2"/>
  <c r="L144" i="2" s="1"/>
  <c r="BC76" i="3"/>
  <c r="BC371" i="3"/>
  <c r="K144" i="2"/>
  <c r="K243" i="2" s="1"/>
  <c r="M175" i="4"/>
  <c r="M176" i="4" s="1"/>
  <c r="BA299" i="3"/>
  <c r="BD50" i="3"/>
  <c r="L107" i="3"/>
  <c r="AF62" i="9" s="1"/>
  <c r="BA466" i="3"/>
  <c r="BC142" i="3"/>
  <c r="BA369" i="3"/>
  <c r="AY283" i="3"/>
  <c r="F381" i="2"/>
  <c r="AY381" i="3" s="1"/>
  <c r="F319" i="2"/>
  <c r="AY319" i="3" s="1"/>
  <c r="AY317" i="3"/>
  <c r="AY493" i="3"/>
  <c r="F496" i="2"/>
  <c r="I369" i="2"/>
  <c r="BB369" i="3" s="1"/>
  <c r="J36" i="2"/>
  <c r="K16" i="2" s="1"/>
  <c r="K36" i="2" s="1"/>
  <c r="K369" i="2" s="1"/>
  <c r="N8" i="9"/>
  <c r="N104" i="9" s="1"/>
  <c r="AY31" i="3"/>
  <c r="F439" i="2"/>
  <c r="AY439" i="3" s="1"/>
  <c r="BB36" i="3"/>
  <c r="BB16" i="3"/>
  <c r="L50" i="2"/>
  <c r="L52" i="2" s="1"/>
  <c r="K189" i="3"/>
  <c r="BE186" i="3"/>
  <c r="BB462" i="3"/>
  <c r="BH107" i="9"/>
  <c r="BD186" i="3"/>
  <c r="K354" i="3"/>
  <c r="BD354" i="3" s="1"/>
  <c r="K76" i="3"/>
  <c r="K465" i="3" s="1"/>
  <c r="BD120" i="3"/>
  <c r="BD511" i="3"/>
  <c r="BD81" i="3"/>
  <c r="BD24" i="3"/>
  <c r="K432" i="2"/>
  <c r="BD432" i="3" s="1"/>
  <c r="BD83" i="3"/>
  <c r="BD82" i="3"/>
  <c r="K237" i="2"/>
  <c r="N42" i="4"/>
  <c r="O41" i="4"/>
  <c r="J254" i="4"/>
  <c r="I217" i="3"/>
  <c r="I217" i="2"/>
  <c r="AZ12" i="9"/>
  <c r="AZ108" i="9" s="1"/>
  <c r="J337" i="2"/>
  <c r="BC338" i="3" s="1"/>
  <c r="BC110" i="3"/>
  <c r="J112" i="2"/>
  <c r="AF12" i="9"/>
  <c r="AF108" i="9" s="1"/>
  <c r="J235" i="2"/>
  <c r="BC107" i="3"/>
  <c r="AZ62" i="9"/>
  <c r="L337" i="3"/>
  <c r="L112" i="3"/>
  <c r="V62" i="9"/>
  <c r="D44" i="2"/>
  <c r="I114" i="1"/>
  <c r="H113" i="1"/>
  <c r="G49" i="3"/>
  <c r="J462" i="2"/>
  <c r="J298" i="2"/>
  <c r="BC115" i="3"/>
  <c r="I178" i="2"/>
  <c r="BB178" i="3" s="1"/>
  <c r="BB112" i="3"/>
  <c r="I463" i="2"/>
  <c r="BB463" i="3" s="1"/>
  <c r="I297" i="2"/>
  <c r="BB297" i="3" s="1"/>
  <c r="AZ54" i="3"/>
  <c r="G60" i="2"/>
  <c r="K453" i="3"/>
  <c r="K172" i="3"/>
  <c r="K278" i="3" s="1"/>
  <c r="K289" i="3"/>
  <c r="K443" i="3"/>
  <c r="R418" i="4"/>
  <c r="R414" i="4"/>
  <c r="Q424" i="4"/>
  <c r="Q416" i="4"/>
  <c r="H432" i="4" s="1"/>
  <c r="Q412" i="4"/>
  <c r="R422" i="4"/>
  <c r="Q422" i="4"/>
  <c r="R426" i="4"/>
  <c r="R424" i="4"/>
  <c r="R415" i="4"/>
  <c r="Q425" i="4"/>
  <c r="Q417" i="4"/>
  <c r="H433" i="4" s="1"/>
  <c r="Q413" i="4"/>
  <c r="H429" i="4" s="1"/>
  <c r="Q423" i="4"/>
  <c r="Q427" i="4"/>
  <c r="Q426" i="4"/>
  <c r="R417" i="4"/>
  <c r="R413" i="4"/>
  <c r="R423" i="4"/>
  <c r="Q415" i="4"/>
  <c r="H431" i="4" s="1"/>
  <c r="R428" i="4"/>
  <c r="Q428" i="4"/>
  <c r="R425" i="4"/>
  <c r="R416" i="4"/>
  <c r="R412" i="4"/>
  <c r="Q418" i="4"/>
  <c r="H434" i="4" s="1"/>
  <c r="Q414" i="4"/>
  <c r="H430" i="4" s="1"/>
  <c r="R427" i="4"/>
  <c r="L209" i="4"/>
  <c r="M207" i="4"/>
  <c r="L199" i="4"/>
  <c r="M197" i="4"/>
  <c r="K360" i="2"/>
  <c r="L122" i="2"/>
  <c r="BD122" i="3"/>
  <c r="L194" i="4"/>
  <c r="M192" i="4"/>
  <c r="BC239" i="3"/>
  <c r="M106" i="3"/>
  <c r="M79" i="3"/>
  <c r="N5" i="3"/>
  <c r="M2" i="5"/>
  <c r="D63" i="9"/>
  <c r="D111" i="9"/>
  <c r="M53" i="3"/>
  <c r="M109" i="3"/>
  <c r="M111" i="3" s="1"/>
  <c r="G60" i="3"/>
  <c r="BD216" i="3"/>
  <c r="BD23" i="3"/>
  <c r="K431" i="2"/>
  <c r="BD431" i="3" s="1"/>
  <c r="BD504" i="3"/>
  <c r="J211" i="5"/>
  <c r="AA61" i="9"/>
  <c r="L239" i="3"/>
  <c r="L179" i="3"/>
  <c r="AH62" i="9"/>
  <c r="BQ62" i="9" s="1"/>
  <c r="L237" i="3"/>
  <c r="L225" i="4"/>
  <c r="M223" i="4"/>
  <c r="L245" i="4"/>
  <c r="M243" i="4"/>
  <c r="M159" i="4"/>
  <c r="L161" i="4"/>
  <c r="M139" i="4"/>
  <c r="L141" i="4"/>
  <c r="H61" i="3"/>
  <c r="H126" i="5"/>
  <c r="R58" i="9"/>
  <c r="AF61" i="9"/>
  <c r="K235" i="3"/>
  <c r="K88" i="4"/>
  <c r="K273" i="2" s="1"/>
  <c r="BD109" i="3"/>
  <c r="K111" i="2"/>
  <c r="BB298" i="3"/>
  <c r="BC174" i="3"/>
  <c r="J280" i="2"/>
  <c r="BC280" i="3" s="1"/>
  <c r="L88" i="4"/>
  <c r="L273" i="2" s="1"/>
  <c r="M146" i="4"/>
  <c r="N144" i="4"/>
  <c r="K142" i="3"/>
  <c r="K144" i="3" s="1"/>
  <c r="K196" i="5" s="1"/>
  <c r="BC234" i="3"/>
  <c r="AA12" i="9"/>
  <c r="AA108" i="9" s="1"/>
  <c r="L40" i="3"/>
  <c r="L174" i="3"/>
  <c r="L280" i="3" s="1"/>
  <c r="L65" i="3"/>
  <c r="L452" i="3"/>
  <c r="L173" i="3"/>
  <c r="M504" i="3"/>
  <c r="M105" i="3"/>
  <c r="M83" i="3"/>
  <c r="M479" i="3"/>
  <c r="M137" i="3"/>
  <c r="M81" i="3"/>
  <c r="M69" i="3"/>
  <c r="M21" i="3"/>
  <c r="M495" i="3"/>
  <c r="M80" i="3"/>
  <c r="M66" i="3"/>
  <c r="M209" i="3" s="1"/>
  <c r="M208" i="3"/>
  <c r="M62" i="3"/>
  <c r="N4" i="3"/>
  <c r="M511" i="3"/>
  <c r="M82" i="3"/>
  <c r="M237" i="3" s="1"/>
  <c r="AC63" i="9" s="1"/>
  <c r="M108" i="3"/>
  <c r="M110" i="3" s="1"/>
  <c r="M78" i="3"/>
  <c r="M67" i="3"/>
  <c r="M42" i="3"/>
  <c r="M27" i="3"/>
  <c r="M435" i="3" s="1"/>
  <c r="M26" i="3"/>
  <c r="M434" i="3" s="1"/>
  <c r="M25" i="3"/>
  <c r="M433" i="3" s="1"/>
  <c r="M24" i="3"/>
  <c r="M432" i="3" s="1"/>
  <c r="M23" i="3"/>
  <c r="M431" i="3" s="1"/>
  <c r="M1" i="5"/>
  <c r="C63" i="9"/>
  <c r="M22" i="3"/>
  <c r="M315" i="3"/>
  <c r="M68" i="3"/>
  <c r="C111" i="9"/>
  <c r="L357" i="3"/>
  <c r="BE357" i="3" s="1"/>
  <c r="K342" i="2"/>
  <c r="BE13" i="9"/>
  <c r="L114" i="2"/>
  <c r="BD114" i="3"/>
  <c r="J125" i="3"/>
  <c r="BH60" i="9"/>
  <c r="K127" i="5"/>
  <c r="S61" i="9"/>
  <c r="G372" i="2"/>
  <c r="AZ367" i="3"/>
  <c r="K341" i="2"/>
  <c r="BD342" i="3" s="1"/>
  <c r="BD113" i="3"/>
  <c r="BA13" i="9"/>
  <c r="BA109" i="9" s="1"/>
  <c r="K115" i="2"/>
  <c r="L113" i="2"/>
  <c r="K316" i="3"/>
  <c r="BD316" i="3" s="1"/>
  <c r="L89" i="3"/>
  <c r="M151" i="4"/>
  <c r="N149" i="4"/>
  <c r="N124" i="4"/>
  <c r="M126" i="4"/>
  <c r="J125" i="2"/>
  <c r="BH12" i="9"/>
  <c r="BC123" i="3"/>
  <c r="F242" i="2"/>
  <c r="F287" i="2"/>
  <c r="F451" i="2"/>
  <c r="E362" i="1"/>
  <c r="O201" i="1" s="1"/>
  <c r="AY61" i="3"/>
  <c r="F13" i="5"/>
  <c r="F288" i="2"/>
  <c r="F151" i="2"/>
  <c r="F441" i="2"/>
  <c r="W424" i="4"/>
  <c r="W428" i="4"/>
  <c r="V428" i="4"/>
  <c r="V426" i="4"/>
  <c r="V423" i="4"/>
  <c r="V425" i="4"/>
  <c r="W427" i="4"/>
  <c r="V427" i="4"/>
  <c r="V424" i="4"/>
  <c r="W426" i="4"/>
  <c r="W425" i="4"/>
  <c r="W423" i="4"/>
  <c r="W422" i="4"/>
  <c r="V422" i="4"/>
  <c r="L189" i="4"/>
  <c r="M187" i="4"/>
  <c r="L289" i="4"/>
  <c r="M287" i="4"/>
  <c r="J462" i="3"/>
  <c r="J298" i="3"/>
  <c r="N45" i="4"/>
  <c r="M46" i="4"/>
  <c r="BC209" i="3"/>
  <c r="I379" i="1"/>
  <c r="M109" i="4"/>
  <c r="L111" i="4"/>
  <c r="J255" i="4"/>
  <c r="I215" i="3"/>
  <c r="I215" i="2"/>
  <c r="L310" i="4"/>
  <c r="L307" i="4"/>
  <c r="L297" i="4"/>
  <c r="L309" i="4"/>
  <c r="L308" i="4"/>
  <c r="L298" i="4"/>
  <c r="L311" i="4"/>
  <c r="L306" i="4"/>
  <c r="L302" i="4"/>
  <c r="L305" i="4"/>
  <c r="L301" i="4"/>
  <c r="L299" i="4"/>
  <c r="L300" i="4"/>
  <c r="L252" i="4"/>
  <c r="L261" i="4" s="1"/>
  <c r="L172" i="4"/>
  <c r="L90" i="4"/>
  <c r="L251" i="4"/>
  <c r="L204" i="4"/>
  <c r="M202" i="4"/>
  <c r="I299" i="2"/>
  <c r="I466" i="2"/>
  <c r="M129" i="4"/>
  <c r="L131" i="4"/>
  <c r="BB40" i="3"/>
  <c r="J40" i="2"/>
  <c r="BQ12" i="9"/>
  <c r="BQ108" i="9" s="1"/>
  <c r="AH108" i="9"/>
  <c r="BB51" i="3"/>
  <c r="J51" i="2"/>
  <c r="BB125" i="3"/>
  <c r="I466" i="3"/>
  <c r="I299" i="3"/>
  <c r="BD62" i="9"/>
  <c r="L338" i="3"/>
  <c r="L509" i="3"/>
  <c r="BA62" i="9"/>
  <c r="L341" i="3"/>
  <c r="M113" i="3"/>
  <c r="K70" i="2"/>
  <c r="BD66" i="3"/>
  <c r="U13" i="9"/>
  <c r="U109" i="9" s="1"/>
  <c r="J376" i="1"/>
  <c r="L504" i="2"/>
  <c r="BE504" i="3" s="1"/>
  <c r="L315" i="2"/>
  <c r="BE315" i="3" s="1"/>
  <c r="L137" i="2"/>
  <c r="L83" i="2"/>
  <c r="BE83" i="3" s="1"/>
  <c r="L27" i="2"/>
  <c r="L26" i="2"/>
  <c r="L25" i="2"/>
  <c r="L24" i="2"/>
  <c r="L23" i="2"/>
  <c r="L216" i="2"/>
  <c r="L69" i="2"/>
  <c r="M4" i="2"/>
  <c r="M29" i="4" s="1"/>
  <c r="C14" i="9"/>
  <c r="L495" i="2"/>
  <c r="BE495" i="3" s="1"/>
  <c r="L389" i="2"/>
  <c r="L105" i="2"/>
  <c r="L81" i="2"/>
  <c r="BE81" i="3" s="1"/>
  <c r="L62" i="2"/>
  <c r="L42" i="2"/>
  <c r="BE42" i="3" s="1"/>
  <c r="L22" i="2"/>
  <c r="L511" i="2"/>
  <c r="BE511" i="3" s="1"/>
  <c r="L108" i="2"/>
  <c r="L21" i="2"/>
  <c r="L80" i="2"/>
  <c r="L208" i="2"/>
  <c r="L82" i="2"/>
  <c r="L479" i="2"/>
  <c r="BE479" i="3" s="1"/>
  <c r="L78" i="2"/>
  <c r="L67" i="2"/>
  <c r="BE67" i="3" s="1"/>
  <c r="L66" i="2"/>
  <c r="L209" i="2" s="1"/>
  <c r="L68" i="2"/>
  <c r="L47" i="2"/>
  <c r="BE47" i="3" s="1"/>
  <c r="BD108" i="3"/>
  <c r="K110" i="2"/>
  <c r="BD105" i="3"/>
  <c r="K107" i="2"/>
  <c r="BD25" i="3"/>
  <c r="K433" i="2"/>
  <c r="BD433" i="3" s="1"/>
  <c r="BD137" i="3"/>
  <c r="AH13" i="9"/>
  <c r="J358" i="1"/>
  <c r="K179" i="2"/>
  <c r="K239" i="2"/>
  <c r="BD239" i="3" s="1"/>
  <c r="J378" i="1"/>
  <c r="BD208" i="3"/>
  <c r="J172" i="2"/>
  <c r="J453" i="2"/>
  <c r="BC453" i="3" s="1"/>
  <c r="J443" i="2"/>
  <c r="BC443" i="3" s="1"/>
  <c r="BC70" i="3"/>
  <c r="J289" i="2"/>
  <c r="BC289" i="3" s="1"/>
  <c r="B267" i="1"/>
  <c r="B314" i="1" s="1"/>
  <c r="Z268" i="1"/>
  <c r="BA41" i="3"/>
  <c r="H43" i="2"/>
  <c r="I41" i="3"/>
  <c r="I43" i="3" s="1"/>
  <c r="I49" i="3" s="1"/>
  <c r="J39" i="3"/>
  <c r="L270" i="4"/>
  <c r="M268" i="4"/>
  <c r="T61" i="9"/>
  <c r="K442" i="3"/>
  <c r="L214" i="3"/>
  <c r="BE214" i="3" s="1"/>
  <c r="L187" i="3"/>
  <c r="BE187" i="3" s="1"/>
  <c r="L188" i="3"/>
  <c r="BE188" i="3" s="1"/>
  <c r="L264" i="3"/>
  <c r="M7" i="3"/>
  <c r="L3" i="5"/>
  <c r="L411" i="5" s="1"/>
  <c r="E110" i="9"/>
  <c r="E62" i="9"/>
  <c r="L220" i="4"/>
  <c r="M218" i="4"/>
  <c r="L240" i="4"/>
  <c r="M238" i="4"/>
  <c r="BC65" i="3"/>
  <c r="J442" i="2"/>
  <c r="BC442" i="3" s="1"/>
  <c r="T12" i="9"/>
  <c r="T108" i="9" s="1"/>
  <c r="AZ43" i="3"/>
  <c r="G49" i="2"/>
  <c r="N40" i="4"/>
  <c r="O39" i="4"/>
  <c r="AF107" i="9"/>
  <c r="K65" i="2"/>
  <c r="K173" i="2"/>
  <c r="K174" i="2"/>
  <c r="K452" i="2"/>
  <c r="BD452" i="3" s="1"/>
  <c r="BD62" i="3"/>
  <c r="BD27" i="3"/>
  <c r="K435" i="2"/>
  <c r="BD435" i="3" s="1"/>
  <c r="BD42" i="3"/>
  <c r="BD80" i="3"/>
  <c r="K236" i="2"/>
  <c r="I41" i="2"/>
  <c r="BB39" i="3"/>
  <c r="J39" i="2"/>
  <c r="L70" i="3"/>
  <c r="L192" i="5" s="1"/>
  <c r="U62" i="9"/>
  <c r="L236" i="3"/>
  <c r="AB62" i="9" s="1"/>
  <c r="M34" i="4"/>
  <c r="M186" i="3"/>
  <c r="M186" i="2"/>
  <c r="K280" i="3"/>
  <c r="BA54" i="3"/>
  <c r="H60" i="2"/>
  <c r="I54" i="3"/>
  <c r="BB52" i="3"/>
  <c r="K115" i="3"/>
  <c r="K342" i="3"/>
  <c r="L114" i="3"/>
  <c r="BE61" i="9"/>
  <c r="L124" i="3"/>
  <c r="BM61" i="9"/>
  <c r="K371" i="3"/>
  <c r="K262" i="4"/>
  <c r="M177" i="4"/>
  <c r="M181" i="4" s="1"/>
  <c r="N11" i="4"/>
  <c r="M98" i="4"/>
  <c r="M119" i="4"/>
  <c r="L121" i="4"/>
  <c r="M97" i="4"/>
  <c r="M187" i="2" s="1"/>
  <c r="N14" i="4"/>
  <c r="BD68" i="3"/>
  <c r="V13" i="9"/>
  <c r="V109" i="9" s="1"/>
  <c r="L234" i="3"/>
  <c r="AA62" i="9" s="1"/>
  <c r="L194" i="5"/>
  <c r="L430" i="3"/>
  <c r="L407" i="5"/>
  <c r="AB61" i="9"/>
  <c r="BE108" i="9"/>
  <c r="AY44" i="3"/>
  <c r="F46" i="2"/>
  <c r="L121" i="3"/>
  <c r="K358" i="3"/>
  <c r="BD358" i="3" s="1"/>
  <c r="K123" i="3"/>
  <c r="L275" i="4"/>
  <c r="M273" i="4"/>
  <c r="N99" i="4"/>
  <c r="N257" i="4"/>
  <c r="N264" i="4"/>
  <c r="N180" i="4"/>
  <c r="N102" i="4"/>
  <c r="O91" i="4"/>
  <c r="N178" i="4"/>
  <c r="BC237" i="3"/>
  <c r="AC12" i="9"/>
  <c r="AC108" i="9" s="1"/>
  <c r="BB172" i="3"/>
  <c r="I278" i="2"/>
  <c r="BB278" i="3" s="1"/>
  <c r="K192" i="5"/>
  <c r="N92" i="4"/>
  <c r="M100" i="4"/>
  <c r="L121" i="2"/>
  <c r="K358" i="2"/>
  <c r="BD359" i="3" s="1"/>
  <c r="K123" i="2"/>
  <c r="BD121" i="3"/>
  <c r="J52" i="3"/>
  <c r="BC50" i="3"/>
  <c r="F108" i="5"/>
  <c r="F110" i="5" s="1"/>
  <c r="F133" i="5"/>
  <c r="F135" i="5" s="1"/>
  <c r="N412" i="4"/>
  <c r="N415" i="4"/>
  <c r="N410" i="4"/>
  <c r="N419" i="4"/>
  <c r="M5" i="2"/>
  <c r="M30" i="4" s="1"/>
  <c r="M89" i="4" s="1"/>
  <c r="M274" i="2" s="1"/>
  <c r="L106" i="2"/>
  <c r="BE106" i="3" s="1"/>
  <c r="L79" i="2"/>
  <c r="D14" i="9"/>
  <c r="L53" i="2"/>
  <c r="BE53" i="3" s="1"/>
  <c r="L58" i="2"/>
  <c r="L109" i="2"/>
  <c r="M164" i="4"/>
  <c r="L166" i="4"/>
  <c r="BC343" i="3"/>
  <c r="M233" i="4"/>
  <c r="L235" i="4"/>
  <c r="J279" i="2"/>
  <c r="BC279" i="3" s="1"/>
  <c r="BC173" i="3"/>
  <c r="J509" i="2"/>
  <c r="BC509" i="3" s="1"/>
  <c r="BD12" i="9"/>
  <c r="BD108" i="9" s="1"/>
  <c r="BC111" i="3"/>
  <c r="J338" i="2"/>
  <c r="BC339" i="3" s="1"/>
  <c r="K297" i="3"/>
  <c r="K463" i="3"/>
  <c r="K178" i="3"/>
  <c r="BQ61" i="9"/>
  <c r="M295" i="4"/>
  <c r="N93" i="4"/>
  <c r="N175" i="4" s="1"/>
  <c r="M1" i="4"/>
  <c r="BF21" i="3"/>
  <c r="BF206" i="3"/>
  <c r="BG4" i="3"/>
  <c r="N114" i="4"/>
  <c r="M116" i="4"/>
  <c r="M44" i="4"/>
  <c r="N43" i="4"/>
  <c r="F451" i="3"/>
  <c r="F288" i="3"/>
  <c r="F441" i="3"/>
  <c r="F166" i="3"/>
  <c r="F128" i="5"/>
  <c r="F242" i="3"/>
  <c r="F151" i="3"/>
  <c r="F193" i="5"/>
  <c r="F287" i="3"/>
  <c r="L50" i="3"/>
  <c r="L52" i="3" s="1"/>
  <c r="L54" i="3" s="1"/>
  <c r="L60" i="3" s="1"/>
  <c r="L51" i="3"/>
  <c r="L284" i="4"/>
  <c r="M282" i="4"/>
  <c r="M228" i="4"/>
  <c r="L230" i="4"/>
  <c r="BD209" i="3"/>
  <c r="J379" i="1"/>
  <c r="BD22" i="3"/>
  <c r="K430" i="2"/>
  <c r="BD430" i="3" s="1"/>
  <c r="BD26" i="3"/>
  <c r="K434" i="2"/>
  <c r="BD434" i="3" s="1"/>
  <c r="BD78" i="3"/>
  <c r="K14" i="5"/>
  <c r="K211" i="5" s="1"/>
  <c r="K234" i="2"/>
  <c r="BC236" i="3"/>
  <c r="AB12" i="9"/>
  <c r="M156" i="4"/>
  <c r="N154" i="4"/>
  <c r="BA217" i="3"/>
  <c r="G383" i="1"/>
  <c r="L124" i="2"/>
  <c r="K371" i="2"/>
  <c r="BM13" i="9"/>
  <c r="BD124" i="3"/>
  <c r="H112" i="1"/>
  <c r="D55" i="2"/>
  <c r="K98" i="3"/>
  <c r="BD98" i="3" s="1"/>
  <c r="K325" i="2"/>
  <c r="K75" i="2"/>
  <c r="L98" i="2"/>
  <c r="BD189" i="3"/>
  <c r="J365" i="1"/>
  <c r="K471" i="2"/>
  <c r="K16" i="5"/>
  <c r="M264" i="2"/>
  <c r="M214" i="2"/>
  <c r="E15" i="9"/>
  <c r="N7" i="2"/>
  <c r="J471" i="3"/>
  <c r="J301" i="3"/>
  <c r="BC301" i="3" s="1"/>
  <c r="J243" i="3"/>
  <c r="BC243" i="3" s="1"/>
  <c r="Y60" i="9"/>
  <c r="Y108" i="9" s="1"/>
  <c r="J196" i="5"/>
  <c r="I458" i="3"/>
  <c r="I294" i="3"/>
  <c r="BB294" i="3" s="1"/>
  <c r="AX59" i="9"/>
  <c r="AX107" i="9" s="1"/>
  <c r="BD52" i="3"/>
  <c r="K54" i="2"/>
  <c r="J60" i="2"/>
  <c r="I454" i="3"/>
  <c r="I291" i="3"/>
  <c r="AS59" i="9"/>
  <c r="AS107" i="9" s="1"/>
  <c r="I77" i="3"/>
  <c r="BB77" i="3" s="1"/>
  <c r="K87" i="3"/>
  <c r="BD87" i="3" s="1"/>
  <c r="K490" i="2"/>
  <c r="K307" i="2"/>
  <c r="K74" i="2"/>
  <c r="L87" i="2"/>
  <c r="J458" i="2"/>
  <c r="J294" i="2"/>
  <c r="AX12" i="9"/>
  <c r="J325" i="3"/>
  <c r="BC325" i="3" s="1"/>
  <c r="J75" i="3"/>
  <c r="L189" i="2"/>
  <c r="J454" i="2"/>
  <c r="J291" i="2"/>
  <c r="AS12" i="9"/>
  <c r="J490" i="3"/>
  <c r="BC490" i="3" s="1"/>
  <c r="J307" i="3"/>
  <c r="BC307" i="3" s="1"/>
  <c r="J74" i="3"/>
  <c r="BC74" i="3" s="1"/>
  <c r="S11" i="9"/>
  <c r="I107" i="5"/>
  <c r="BJ13" i="9"/>
  <c r="L354" i="2"/>
  <c r="L76" i="2"/>
  <c r="M157" i="2" l="1"/>
  <c r="M155" i="2"/>
  <c r="L120" i="3"/>
  <c r="L157" i="3"/>
  <c r="L155" i="3"/>
  <c r="M35" i="4"/>
  <c r="BE89" i="3"/>
  <c r="BJ108" i="9"/>
  <c r="K38" i="4"/>
  <c r="K62" i="4"/>
  <c r="K75" i="4"/>
  <c r="L38" i="4"/>
  <c r="L62" i="4"/>
  <c r="L75" i="4"/>
  <c r="BB256" i="3"/>
  <c r="M107" i="3"/>
  <c r="L235" i="3"/>
  <c r="K36" i="3"/>
  <c r="K369" i="3" s="1"/>
  <c r="BD369" i="3" s="1"/>
  <c r="BC36" i="3"/>
  <c r="BC16" i="3"/>
  <c r="J369" i="3"/>
  <c r="J372" i="3" s="1"/>
  <c r="J374" i="3" s="1"/>
  <c r="K367" i="3" s="1"/>
  <c r="J256" i="3"/>
  <c r="J256" i="2"/>
  <c r="BJ14" i="9"/>
  <c r="L465" i="2"/>
  <c r="BD16" i="3"/>
  <c r="BB299" i="3"/>
  <c r="K256" i="2"/>
  <c r="L16" i="2"/>
  <c r="L36" i="2" s="1"/>
  <c r="L256" i="2" s="1"/>
  <c r="J369" i="2"/>
  <c r="L142" i="3"/>
  <c r="BE142" i="3" s="1"/>
  <c r="K243" i="3"/>
  <c r="BD243" i="3" s="1"/>
  <c r="K301" i="2"/>
  <c r="Y13" i="9"/>
  <c r="BD144" i="3"/>
  <c r="K301" i="3"/>
  <c r="J369" i="1"/>
  <c r="K77" i="2"/>
  <c r="M103" i="4"/>
  <c r="M188" i="2" s="1"/>
  <c r="V63" i="9"/>
  <c r="F497" i="2"/>
  <c r="AY496" i="3"/>
  <c r="BC462" i="3"/>
  <c r="BM109" i="9"/>
  <c r="BH108" i="9"/>
  <c r="M50" i="2"/>
  <c r="F303" i="3"/>
  <c r="M357" i="2"/>
  <c r="BE50" i="3"/>
  <c r="M50" i="3"/>
  <c r="M52" i="3" s="1"/>
  <c r="M54" i="3" s="1"/>
  <c r="M60" i="3" s="1"/>
  <c r="M120" i="2"/>
  <c r="M354" i="2" s="1"/>
  <c r="M359" i="2"/>
  <c r="BF360" i="3" s="1"/>
  <c r="BD371" i="3"/>
  <c r="BF186" i="3"/>
  <c r="AY441" i="3"/>
  <c r="AY242" i="3"/>
  <c r="L354" i="3"/>
  <c r="BE354" i="3" s="1"/>
  <c r="L76" i="3"/>
  <c r="BE120" i="3"/>
  <c r="M88" i="4"/>
  <c r="M273" i="2" s="1"/>
  <c r="BC51" i="3"/>
  <c r="K51" i="2"/>
  <c r="J299" i="2"/>
  <c r="J466" i="2"/>
  <c r="BC125" i="3"/>
  <c r="N511" i="3"/>
  <c r="N137" i="3"/>
  <c r="N108" i="3"/>
  <c r="N110" i="3" s="1"/>
  <c r="N82" i="3"/>
  <c r="N495" i="3"/>
  <c r="N479" i="3"/>
  <c r="N80" i="3"/>
  <c r="N66" i="3"/>
  <c r="N209" i="3" s="1"/>
  <c r="N504" i="3"/>
  <c r="N208" i="3"/>
  <c r="N78" i="3"/>
  <c r="N67" i="3"/>
  <c r="N62" i="3"/>
  <c r="N42" i="3"/>
  <c r="N27" i="3"/>
  <c r="N435" i="3" s="1"/>
  <c r="N26" i="3"/>
  <c r="N434" i="3" s="1"/>
  <c r="N25" i="3"/>
  <c r="N433" i="3" s="1"/>
  <c r="N24" i="3"/>
  <c r="N432" i="3" s="1"/>
  <c r="N23" i="3"/>
  <c r="N431" i="3" s="1"/>
  <c r="N81" i="3"/>
  <c r="N69" i="3"/>
  <c r="N1" i="5"/>
  <c r="N105" i="3"/>
  <c r="N68" i="3"/>
  <c r="N21" i="3"/>
  <c r="N83" i="3"/>
  <c r="N22" i="3"/>
  <c r="C64" i="9"/>
  <c r="O4" i="3"/>
  <c r="C112" i="9"/>
  <c r="M199" i="4"/>
  <c r="N197" i="4"/>
  <c r="M141" i="4"/>
  <c r="N139" i="4"/>
  <c r="G127" i="5"/>
  <c r="S57" i="9"/>
  <c r="N106" i="3"/>
  <c r="N79" i="3"/>
  <c r="N109" i="3"/>
  <c r="N111" i="3" s="1"/>
  <c r="D64" i="9"/>
  <c r="N53" i="3"/>
  <c r="D112" i="9"/>
  <c r="N2" i="5"/>
  <c r="O5" i="3"/>
  <c r="Q429" i="4"/>
  <c r="S9" i="9"/>
  <c r="G107" i="5"/>
  <c r="AZ60" i="3"/>
  <c r="L297" i="3"/>
  <c r="L178" i="3"/>
  <c r="L463" i="3"/>
  <c r="BC235" i="3"/>
  <c r="K254" i="4"/>
  <c r="J217" i="3"/>
  <c r="J217" i="2"/>
  <c r="E566" i="1"/>
  <c r="F566" i="1" s="1"/>
  <c r="G44" i="2"/>
  <c r="G45" i="2"/>
  <c r="AZ45" i="3" s="1"/>
  <c r="BD234" i="3"/>
  <c r="AA13" i="9"/>
  <c r="BE79" i="3"/>
  <c r="N413" i="4"/>
  <c r="N414" i="4" s="1"/>
  <c r="S409" i="4"/>
  <c r="N177" i="4"/>
  <c r="N181" i="4" s="1"/>
  <c r="O11" i="4"/>
  <c r="BB41" i="3"/>
  <c r="I43" i="2"/>
  <c r="G61" i="2"/>
  <c r="R9" i="9"/>
  <c r="G106" i="5"/>
  <c r="AZ49" i="3"/>
  <c r="L234" i="2"/>
  <c r="BE78" i="3"/>
  <c r="L14" i="5"/>
  <c r="L211" i="5" s="1"/>
  <c r="BE22" i="3"/>
  <c r="L430" i="2"/>
  <c r="BE430" i="3" s="1"/>
  <c r="M189" i="4"/>
  <c r="N187" i="4"/>
  <c r="N243" i="4"/>
  <c r="M245" i="4"/>
  <c r="AC62" i="9"/>
  <c r="E569" i="1"/>
  <c r="F569" i="1" s="1"/>
  <c r="G56" i="2"/>
  <c r="AZ56" i="3" s="1"/>
  <c r="G55" i="2"/>
  <c r="H55" i="2" s="1"/>
  <c r="BD237" i="3"/>
  <c r="AC13" i="9"/>
  <c r="F130" i="5"/>
  <c r="F137" i="5" s="1"/>
  <c r="N116" i="4"/>
  <c r="O114" i="4"/>
  <c r="BE58" i="3"/>
  <c r="K125" i="2"/>
  <c r="BH13" i="9"/>
  <c r="BD123" i="3"/>
  <c r="K125" i="3"/>
  <c r="BH61" i="9"/>
  <c r="S10" i="9"/>
  <c r="S106" i="9" s="1"/>
  <c r="H107" i="5"/>
  <c r="H134" i="5" s="1"/>
  <c r="BA60" i="3"/>
  <c r="BD236" i="3"/>
  <c r="AB13" i="9"/>
  <c r="AB109" i="9" s="1"/>
  <c r="N238" i="4"/>
  <c r="M240" i="4"/>
  <c r="BA43" i="3"/>
  <c r="H49" i="2"/>
  <c r="J278" i="2"/>
  <c r="BC278" i="3" s="1"/>
  <c r="BC172" i="3"/>
  <c r="V14" i="9"/>
  <c r="BE68" i="3"/>
  <c r="K443" i="2"/>
  <c r="BD443" i="3" s="1"/>
  <c r="K289" i="2"/>
  <c r="BD289" i="3" s="1"/>
  <c r="BD70" i="3"/>
  <c r="K453" i="2"/>
  <c r="BD453" i="3" s="1"/>
  <c r="K172" i="2"/>
  <c r="K255" i="4"/>
  <c r="J215" i="3"/>
  <c r="J215" i="2"/>
  <c r="AY151" i="3"/>
  <c r="F164" i="2"/>
  <c r="F152" i="2"/>
  <c r="X203" i="1"/>
  <c r="M337" i="3"/>
  <c r="AZ63" i="9"/>
  <c r="M112" i="3"/>
  <c r="M452" i="3"/>
  <c r="M174" i="3"/>
  <c r="M280" i="3" s="1"/>
  <c r="M65" i="3"/>
  <c r="M173" i="3"/>
  <c r="M279" i="3" s="1"/>
  <c r="M40" i="3"/>
  <c r="M359" i="3"/>
  <c r="L279" i="3"/>
  <c r="N146" i="4"/>
  <c r="O144" i="4"/>
  <c r="M142" i="2"/>
  <c r="Y61" i="9"/>
  <c r="K471" i="3"/>
  <c r="BD471" i="3" s="1"/>
  <c r="M206" i="2"/>
  <c r="L353" i="1" s="1"/>
  <c r="AB108" i="9"/>
  <c r="N228" i="4"/>
  <c r="M230" i="4"/>
  <c r="F152" i="3"/>
  <c r="F164" i="3"/>
  <c r="N44" i="4"/>
  <c r="O43" i="4"/>
  <c r="BG206" i="3"/>
  <c r="BG21" i="3"/>
  <c r="BH4" i="3"/>
  <c r="M235" i="4"/>
  <c r="N233" i="4"/>
  <c r="M106" i="2"/>
  <c r="BF106" i="3" s="1"/>
  <c r="M79" i="2"/>
  <c r="BF79" i="3" s="1"/>
  <c r="M109" i="2"/>
  <c r="M58" i="2"/>
  <c r="BF58" i="3" s="1"/>
  <c r="M53" i="2"/>
  <c r="N5" i="2"/>
  <c r="D15" i="9"/>
  <c r="N273" i="4"/>
  <c r="M275" i="4"/>
  <c r="N176" i="4"/>
  <c r="O14" i="4"/>
  <c r="N119" i="4"/>
  <c r="M121" i="4"/>
  <c r="L262" i="4"/>
  <c r="L371" i="3"/>
  <c r="M124" i="3"/>
  <c r="BM62" i="9"/>
  <c r="K462" i="3"/>
  <c r="K298" i="3"/>
  <c r="BC39" i="3"/>
  <c r="J41" i="2"/>
  <c r="K39" i="2"/>
  <c r="K280" i="2"/>
  <c r="BD280" i="3" s="1"/>
  <c r="BD174" i="3"/>
  <c r="BD179" i="3"/>
  <c r="BE209" i="3"/>
  <c r="K379" i="1"/>
  <c r="L70" i="2"/>
  <c r="L12" i="5" s="1"/>
  <c r="L208" i="5" s="1"/>
  <c r="BE66" i="3"/>
  <c r="U14" i="9"/>
  <c r="U110" i="9" s="1"/>
  <c r="K376" i="1"/>
  <c r="L237" i="2"/>
  <c r="BE82" i="3"/>
  <c r="BE108" i="3"/>
  <c r="L110" i="2"/>
  <c r="BE62" i="3"/>
  <c r="L452" i="2"/>
  <c r="BE452" i="3" s="1"/>
  <c r="L174" i="2"/>
  <c r="L65" i="2"/>
  <c r="L173" i="2"/>
  <c r="BE69" i="3"/>
  <c r="L432" i="2"/>
  <c r="BE432" i="3" s="1"/>
  <c r="BE24" i="3"/>
  <c r="N113" i="3"/>
  <c r="M341" i="3"/>
  <c r="BA63" i="9"/>
  <c r="BB466" i="3"/>
  <c r="M204" i="4"/>
  <c r="N202" i="4"/>
  <c r="M289" i="4"/>
  <c r="N287" i="4"/>
  <c r="V429" i="4"/>
  <c r="AY288" i="3"/>
  <c r="AY451" i="3"/>
  <c r="N126" i="4"/>
  <c r="O124" i="4"/>
  <c r="L341" i="2"/>
  <c r="BE342" i="3" s="1"/>
  <c r="M113" i="2"/>
  <c r="BA14" i="9"/>
  <c r="BA110" i="9" s="1"/>
  <c r="L115" i="2"/>
  <c r="BE113" i="3"/>
  <c r="L342" i="2"/>
  <c r="M114" i="2"/>
  <c r="BE14" i="9"/>
  <c r="BE114" i="3"/>
  <c r="M430" i="3"/>
  <c r="M407" i="5"/>
  <c r="M206" i="3"/>
  <c r="U63" i="9"/>
  <c r="M70" i="3"/>
  <c r="M239" i="3"/>
  <c r="M179" i="3"/>
  <c r="AH63" i="9"/>
  <c r="BD13" i="9"/>
  <c r="BD109" i="9" s="1"/>
  <c r="BD111" i="3"/>
  <c r="K509" i="2"/>
  <c r="BD509" i="3" s="1"/>
  <c r="K338" i="2"/>
  <c r="BD339" i="3" s="1"/>
  <c r="M225" i="4"/>
  <c r="N223" i="4"/>
  <c r="L360" i="2"/>
  <c r="M122" i="2"/>
  <c r="BE122" i="3"/>
  <c r="M209" i="4"/>
  <c r="N207" i="4"/>
  <c r="H441" i="4"/>
  <c r="U221" i="1" s="1"/>
  <c r="R429" i="4"/>
  <c r="P41" i="4"/>
  <c r="O42" i="4"/>
  <c r="BD142" i="3"/>
  <c r="L371" i="2"/>
  <c r="BM14" i="9"/>
  <c r="M124" i="2"/>
  <c r="BE124" i="3"/>
  <c r="BE109" i="3"/>
  <c r="L111" i="2"/>
  <c r="AY46" i="3"/>
  <c r="F48" i="2"/>
  <c r="AY48" i="3" s="1"/>
  <c r="M114" i="3"/>
  <c r="L115" i="3"/>
  <c r="BE62" i="9"/>
  <c r="L342" i="3"/>
  <c r="I60" i="3"/>
  <c r="I61" i="3" s="1"/>
  <c r="BB54" i="3"/>
  <c r="T13" i="9"/>
  <c r="T109" i="9" s="1"/>
  <c r="BD65" i="3"/>
  <c r="K442" i="2"/>
  <c r="BD442" i="3" s="1"/>
  <c r="M188" i="3"/>
  <c r="BF188" i="3" s="1"/>
  <c r="M187" i="3"/>
  <c r="M3" i="5"/>
  <c r="M411" i="5" s="1"/>
  <c r="M214" i="3"/>
  <c r="BF214" i="3" s="1"/>
  <c r="E111" i="9"/>
  <c r="M264" i="3"/>
  <c r="E63" i="9"/>
  <c r="N7" i="3"/>
  <c r="R59" i="9"/>
  <c r="I126" i="5"/>
  <c r="BQ13" i="9"/>
  <c r="BQ109" i="9" s="1"/>
  <c r="AH109" i="9"/>
  <c r="BE80" i="3"/>
  <c r="L236" i="2"/>
  <c r="BE105" i="3"/>
  <c r="L107" i="2"/>
  <c r="L434" i="2"/>
  <c r="BE434" i="3" s="1"/>
  <c r="BE26" i="3"/>
  <c r="BC40" i="3"/>
  <c r="K40" i="2"/>
  <c r="AZ372" i="3"/>
  <c r="G374" i="2"/>
  <c r="J466" i="3"/>
  <c r="J299" i="3"/>
  <c r="M234" i="3"/>
  <c r="AA63" i="9" s="1"/>
  <c r="M194" i="5"/>
  <c r="M357" i="3"/>
  <c r="BF357" i="3" s="1"/>
  <c r="M235" i="3"/>
  <c r="AF63" i="9"/>
  <c r="BD63" i="9"/>
  <c r="M338" i="3"/>
  <c r="M509" i="3"/>
  <c r="BC298" i="3"/>
  <c r="BJ61" i="9"/>
  <c r="BJ109" i="9" s="1"/>
  <c r="BD76" i="3"/>
  <c r="M311" i="4"/>
  <c r="M310" i="4"/>
  <c r="M309" i="4"/>
  <c r="M308" i="4"/>
  <c r="M307" i="4"/>
  <c r="M305" i="4"/>
  <c r="M302" i="4"/>
  <c r="M301" i="4"/>
  <c r="M300" i="4"/>
  <c r="M299" i="4"/>
  <c r="M298" i="4"/>
  <c r="M306" i="4"/>
  <c r="M297" i="4"/>
  <c r="M90" i="4"/>
  <c r="M252" i="4"/>
  <c r="M261" i="4" s="1"/>
  <c r="M172" i="4"/>
  <c r="M251" i="4"/>
  <c r="M166" i="4"/>
  <c r="N164" i="4"/>
  <c r="N100" i="4"/>
  <c r="O92" i="4"/>
  <c r="O264" i="4"/>
  <c r="O257" i="4"/>
  <c r="O180" i="4"/>
  <c r="O99" i="4"/>
  <c r="O178" i="4"/>
  <c r="O102" i="4"/>
  <c r="P91" i="4"/>
  <c r="BD343" i="3"/>
  <c r="L453" i="3"/>
  <c r="L443" i="3"/>
  <c r="L172" i="3"/>
  <c r="L289" i="3"/>
  <c r="O40" i="4"/>
  <c r="P39" i="4"/>
  <c r="AF13" i="9"/>
  <c r="K235" i="2"/>
  <c r="BD235" i="3" s="1"/>
  <c r="BD107" i="3"/>
  <c r="M511" i="2"/>
  <c r="M495" i="2"/>
  <c r="BF495" i="3" s="1"/>
  <c r="M479" i="2"/>
  <c r="BF479" i="3" s="1"/>
  <c r="M389" i="2"/>
  <c r="M105" i="2"/>
  <c r="M81" i="2"/>
  <c r="BF81" i="3" s="1"/>
  <c r="M62" i="2"/>
  <c r="M42" i="2"/>
  <c r="BF42" i="3" s="1"/>
  <c r="M22" i="2"/>
  <c r="M208" i="2"/>
  <c r="M78" i="2"/>
  <c r="M108" i="2"/>
  <c r="M69" i="2"/>
  <c r="BF69" i="3" s="1"/>
  <c r="M21" i="2"/>
  <c r="N4" i="2"/>
  <c r="N359" i="2" s="1"/>
  <c r="M82" i="2"/>
  <c r="M80" i="2"/>
  <c r="C15" i="9"/>
  <c r="M504" i="2"/>
  <c r="BF504" i="3" s="1"/>
  <c r="M26" i="2"/>
  <c r="M137" i="2"/>
  <c r="M23" i="2"/>
  <c r="M83" i="2"/>
  <c r="BF83" i="3" s="1"/>
  <c r="M24" i="2"/>
  <c r="M315" i="2"/>
  <c r="BF315" i="3" s="1"/>
  <c r="M27" i="2"/>
  <c r="M25" i="2"/>
  <c r="M68" i="2"/>
  <c r="M67" i="2"/>
  <c r="BF67" i="3" s="1"/>
  <c r="M66" i="2"/>
  <c r="M209" i="2" s="1"/>
  <c r="M47" i="2"/>
  <c r="BE23" i="3"/>
  <c r="L431" i="2"/>
  <c r="BE431" i="3" s="1"/>
  <c r="L435" i="2"/>
  <c r="BE435" i="3" s="1"/>
  <c r="BE27" i="3"/>
  <c r="N122" i="3"/>
  <c r="N360" i="3" s="1"/>
  <c r="M89" i="2"/>
  <c r="M316" i="2" s="1"/>
  <c r="N156" i="4"/>
  <c r="O154" i="4"/>
  <c r="M284" i="4"/>
  <c r="N282" i="4"/>
  <c r="L127" i="5"/>
  <c r="S62" i="9"/>
  <c r="N30" i="4"/>
  <c r="N89" i="4" s="1"/>
  <c r="N274" i="2" s="1"/>
  <c r="N29" i="4"/>
  <c r="N35" i="4" s="1"/>
  <c r="O93" i="4"/>
  <c r="O175" i="4" s="1"/>
  <c r="N1" i="4"/>
  <c r="N295" i="4"/>
  <c r="J54" i="3"/>
  <c r="BC52" i="3"/>
  <c r="M121" i="2"/>
  <c r="L358" i="2"/>
  <c r="BE359" i="3" s="1"/>
  <c r="L123" i="2"/>
  <c r="N96" i="4"/>
  <c r="N98" i="4" s="1"/>
  <c r="BE121" i="3"/>
  <c r="L358" i="3"/>
  <c r="BE358" i="3" s="1"/>
  <c r="M121" i="3"/>
  <c r="L123" i="3"/>
  <c r="K12" i="5"/>
  <c r="K208" i="5" s="1"/>
  <c r="K279" i="2"/>
  <c r="BD279" i="3" s="1"/>
  <c r="BD173" i="3"/>
  <c r="M220" i="4"/>
  <c r="N218" i="4"/>
  <c r="L189" i="3"/>
  <c r="BE189" i="3" s="1"/>
  <c r="N268" i="4"/>
  <c r="M270" i="4"/>
  <c r="J41" i="3"/>
  <c r="K39" i="3"/>
  <c r="B268" i="1"/>
  <c r="B315" i="1" s="1"/>
  <c r="Z269" i="1"/>
  <c r="K337" i="2"/>
  <c r="BD338" i="3" s="1"/>
  <c r="BD110" i="3"/>
  <c r="AZ13" i="9"/>
  <c r="AZ109" i="9" s="1"/>
  <c r="K112" i="2"/>
  <c r="K378" i="1"/>
  <c r="BE208" i="3"/>
  <c r="BE216" i="3"/>
  <c r="BE25" i="3"/>
  <c r="L433" i="2"/>
  <c r="BE433" i="3" s="1"/>
  <c r="AH14" i="9"/>
  <c r="L239" i="2"/>
  <c r="BE239" i="3" s="1"/>
  <c r="L179" i="2"/>
  <c r="BE179" i="3" s="1"/>
  <c r="BE137" i="3"/>
  <c r="K358" i="1"/>
  <c r="N129" i="4"/>
  <c r="M131" i="4"/>
  <c r="BB215" i="3"/>
  <c r="N109" i="4"/>
  <c r="M111" i="4"/>
  <c r="O45" i="4"/>
  <c r="N46" i="4"/>
  <c r="W429" i="4"/>
  <c r="F209" i="5"/>
  <c r="AY287" i="3"/>
  <c r="F303" i="2"/>
  <c r="N151" i="4"/>
  <c r="O149" i="4"/>
  <c r="L316" i="3"/>
  <c r="BE316" i="3" s="1"/>
  <c r="M89" i="3"/>
  <c r="M316" i="3" s="1"/>
  <c r="BD115" i="3"/>
  <c r="K462" i="2"/>
  <c r="K298" i="2"/>
  <c r="BE109" i="9"/>
  <c r="M236" i="3"/>
  <c r="AB63" i="9" s="1"/>
  <c r="L442" i="3"/>
  <c r="T62" i="9"/>
  <c r="H451" i="3"/>
  <c r="H288" i="3"/>
  <c r="H166" i="3"/>
  <c r="H242" i="3"/>
  <c r="H128" i="5"/>
  <c r="H130" i="5" s="1"/>
  <c r="H151" i="3"/>
  <c r="H193" i="5"/>
  <c r="H441" i="3"/>
  <c r="M161" i="4"/>
  <c r="N159" i="4"/>
  <c r="M51" i="3"/>
  <c r="M194" i="4"/>
  <c r="N192" i="4"/>
  <c r="R419" i="4"/>
  <c r="Q419" i="4"/>
  <c r="H428" i="4"/>
  <c r="H435" i="4" s="1"/>
  <c r="N429" i="4" s="1"/>
  <c r="G61" i="3"/>
  <c r="R57" i="9"/>
  <c r="G126" i="5"/>
  <c r="J297" i="2"/>
  <c r="BC297" i="3" s="1"/>
  <c r="BC112" i="3"/>
  <c r="J463" i="2"/>
  <c r="BC463" i="3" s="1"/>
  <c r="J178" i="2"/>
  <c r="BC178" i="3" s="1"/>
  <c r="BB217" i="3"/>
  <c r="H383" i="1"/>
  <c r="L471" i="2"/>
  <c r="L243" i="2"/>
  <c r="L301" i="2"/>
  <c r="L16" i="5"/>
  <c r="Y14" i="9"/>
  <c r="K369" i="1"/>
  <c r="K210" i="5"/>
  <c r="K458" i="2"/>
  <c r="K294" i="2"/>
  <c r="AX13" i="9"/>
  <c r="BC471" i="3"/>
  <c r="M142" i="3"/>
  <c r="M144" i="3" s="1"/>
  <c r="M144" i="2"/>
  <c r="J458" i="3"/>
  <c r="J294" i="3"/>
  <c r="BC294" i="3" s="1"/>
  <c r="AX60" i="9"/>
  <c r="AX108" i="9" s="1"/>
  <c r="L87" i="3"/>
  <c r="BE87" i="3" s="1"/>
  <c r="L490" i="2"/>
  <c r="L307" i="2"/>
  <c r="M87" i="2"/>
  <c r="L74" i="2"/>
  <c r="M189" i="2"/>
  <c r="J210" i="5"/>
  <c r="K365" i="1"/>
  <c r="BC75" i="3"/>
  <c r="K454" i="2"/>
  <c r="K291" i="2"/>
  <c r="AS13" i="9"/>
  <c r="K490" i="3"/>
  <c r="BD490" i="3" s="1"/>
  <c r="K307" i="3"/>
  <c r="BD307" i="3" s="1"/>
  <c r="K74" i="3"/>
  <c r="BD74" i="3" s="1"/>
  <c r="BB291" i="3"/>
  <c r="S12" i="9"/>
  <c r="J107" i="5"/>
  <c r="BD54" i="3"/>
  <c r="K60" i="2"/>
  <c r="N357" i="2"/>
  <c r="N264" i="2"/>
  <c r="N206" i="2"/>
  <c r="M353" i="1" s="1"/>
  <c r="N214" i="2"/>
  <c r="O7" i="2"/>
  <c r="E16" i="9"/>
  <c r="L144" i="3"/>
  <c r="J454" i="3"/>
  <c r="J291" i="3"/>
  <c r="BC291" i="3" s="1"/>
  <c r="AS60" i="9"/>
  <c r="AS108" i="9" s="1"/>
  <c r="J77" i="3"/>
  <c r="BC77" i="3" s="1"/>
  <c r="M52" i="2"/>
  <c r="BE52" i="3"/>
  <c r="L54" i="2"/>
  <c r="L98" i="3"/>
  <c r="L325" i="2"/>
  <c r="L75" i="2"/>
  <c r="M98" i="2"/>
  <c r="K325" i="3"/>
  <c r="BD325" i="3" s="1"/>
  <c r="K75" i="3"/>
  <c r="BD75" i="3" s="1"/>
  <c r="BE76" i="3"/>
  <c r="N157" i="2" l="1"/>
  <c r="N155" i="2"/>
  <c r="M120" i="3"/>
  <c r="M157" i="3"/>
  <c r="M155" i="3"/>
  <c r="L16" i="3"/>
  <c r="F95" i="3"/>
  <c r="F103" i="3" s="1"/>
  <c r="K256" i="3"/>
  <c r="BD256" i="3" s="1"/>
  <c r="BD36" i="3"/>
  <c r="BF50" i="3"/>
  <c r="M38" i="4"/>
  <c r="M62" i="4"/>
  <c r="M75" i="4"/>
  <c r="K372" i="3"/>
  <c r="K374" i="3" s="1"/>
  <c r="L367" i="3" s="1"/>
  <c r="N50" i="2"/>
  <c r="BD301" i="3"/>
  <c r="BC256" i="3"/>
  <c r="BC369" i="3"/>
  <c r="N40" i="3"/>
  <c r="BJ62" i="9"/>
  <c r="BJ110" i="9" s="1"/>
  <c r="L465" i="3"/>
  <c r="M76" i="2"/>
  <c r="M465" i="2" s="1"/>
  <c r="M16" i="2"/>
  <c r="M36" i="2" s="1"/>
  <c r="M369" i="2" s="1"/>
  <c r="L369" i="2"/>
  <c r="Y109" i="9"/>
  <c r="N236" i="3"/>
  <c r="AB64" i="9" s="1"/>
  <c r="N103" i="4"/>
  <c r="N188" i="2" s="1"/>
  <c r="L77" i="2"/>
  <c r="BD462" i="3"/>
  <c r="BF316" i="3"/>
  <c r="BE110" i="9"/>
  <c r="F498" i="2"/>
  <c r="AY498" i="3" s="1"/>
  <c r="AY497" i="3"/>
  <c r="BG360" i="3"/>
  <c r="BE371" i="3"/>
  <c r="BD298" i="3"/>
  <c r="AY152" i="3"/>
  <c r="H45" i="2"/>
  <c r="V64" i="9"/>
  <c r="O122" i="3"/>
  <c r="O360" i="3" s="1"/>
  <c r="M189" i="3"/>
  <c r="BF142" i="3"/>
  <c r="S105" i="9"/>
  <c r="N107" i="3"/>
  <c r="N235" i="3" s="1"/>
  <c r="L379" i="1"/>
  <c r="BF209" i="3"/>
  <c r="M76" i="3"/>
  <c r="M354" i="3"/>
  <c r="BF354" i="3" s="1"/>
  <c r="BF120" i="3"/>
  <c r="O151" i="4"/>
  <c r="P149" i="4"/>
  <c r="K463" i="2"/>
  <c r="BD463" i="3" s="1"/>
  <c r="BD112" i="3"/>
  <c r="K297" i="2"/>
  <c r="BD297" i="3" s="1"/>
  <c r="K178" i="2"/>
  <c r="BD178" i="3" s="1"/>
  <c r="O218" i="4"/>
  <c r="N220" i="4"/>
  <c r="L125" i="3"/>
  <c r="BH62" i="9"/>
  <c r="N121" i="2"/>
  <c r="M358" i="2"/>
  <c r="BF359" i="3" s="1"/>
  <c r="M123" i="2"/>
  <c r="BF121" i="3"/>
  <c r="N88" i="4"/>
  <c r="N273" i="2" s="1"/>
  <c r="O156" i="4"/>
  <c r="P154" i="4"/>
  <c r="BF137" i="3"/>
  <c r="AH15" i="9"/>
  <c r="M239" i="2"/>
  <c r="BF239" i="3" s="1"/>
  <c r="M179" i="2"/>
  <c r="L358" i="1"/>
  <c r="BF80" i="3"/>
  <c r="M236" i="2"/>
  <c r="M14" i="5"/>
  <c r="M211" i="5" s="1"/>
  <c r="BF78" i="3"/>
  <c r="M234" i="2"/>
  <c r="M452" i="2"/>
  <c r="BF452" i="3" s="1"/>
  <c r="M173" i="2"/>
  <c r="BF62" i="3"/>
  <c r="M65" i="2"/>
  <c r="M174" i="2"/>
  <c r="Q39" i="4"/>
  <c r="P40" i="4"/>
  <c r="L278" i="3"/>
  <c r="N166" i="4"/>
  <c r="O164" i="4"/>
  <c r="I451" i="3"/>
  <c r="I242" i="3"/>
  <c r="I151" i="3"/>
  <c r="I288" i="3"/>
  <c r="I193" i="5"/>
  <c r="I441" i="3"/>
  <c r="I166" i="3"/>
  <c r="I128" i="5"/>
  <c r="I130" i="5" s="1"/>
  <c r="M443" i="3"/>
  <c r="M289" i="3"/>
  <c r="M172" i="3"/>
  <c r="M278" i="3" s="1"/>
  <c r="M453" i="3"/>
  <c r="M115" i="2"/>
  <c r="BF113" i="3"/>
  <c r="BA15" i="9"/>
  <c r="BA111" i="9" s="1"/>
  <c r="M341" i="2"/>
  <c r="BF342" i="3" s="1"/>
  <c r="N113" i="2"/>
  <c r="L279" i="2"/>
  <c r="BE279" i="3" s="1"/>
  <c r="BE173" i="3"/>
  <c r="L39" i="2"/>
  <c r="K41" i="2"/>
  <c r="BD39" i="3"/>
  <c r="M262" i="4"/>
  <c r="P14" i="4"/>
  <c r="O176" i="4"/>
  <c r="BF53" i="3"/>
  <c r="BI4" i="3"/>
  <c r="BH206" i="3"/>
  <c r="BH21" i="3"/>
  <c r="K278" i="2"/>
  <c r="BD278" i="3" s="1"/>
  <c r="BD172" i="3"/>
  <c r="O238" i="4"/>
  <c r="N240" i="4"/>
  <c r="BD125" i="3"/>
  <c r="K466" i="3"/>
  <c r="K299" i="3"/>
  <c r="BA55" i="3"/>
  <c r="H57" i="2"/>
  <c r="N189" i="4"/>
  <c r="O187" i="4"/>
  <c r="BB43" i="3"/>
  <c r="I49" i="2"/>
  <c r="T428" i="4"/>
  <c r="S428" i="4"/>
  <c r="S426" i="4"/>
  <c r="T417" i="4"/>
  <c r="T413" i="4"/>
  <c r="S418" i="4"/>
  <c r="T423" i="4"/>
  <c r="T426" i="4"/>
  <c r="T415" i="4"/>
  <c r="S416" i="4"/>
  <c r="T418" i="4"/>
  <c r="S412" i="4"/>
  <c r="T427" i="4"/>
  <c r="S427" i="4"/>
  <c r="T425" i="4"/>
  <c r="T416" i="4"/>
  <c r="T412" i="4"/>
  <c r="S417" i="4"/>
  <c r="S413" i="4"/>
  <c r="S423" i="4"/>
  <c r="T424" i="4"/>
  <c r="S415" i="4"/>
  <c r="S414" i="4"/>
  <c r="T422" i="4"/>
  <c r="S422" i="4"/>
  <c r="T414" i="4"/>
  <c r="S425" i="4"/>
  <c r="S424" i="4"/>
  <c r="AZ44" i="3"/>
  <c r="G46" i="2"/>
  <c r="L254" i="4"/>
  <c r="K217" i="3"/>
  <c r="K217" i="2"/>
  <c r="O106" i="3"/>
  <c r="O109" i="3"/>
  <c r="O111" i="3" s="1"/>
  <c r="O53" i="3"/>
  <c r="P5" i="3"/>
  <c r="O79" i="3"/>
  <c r="D65" i="9"/>
  <c r="D113" i="9"/>
  <c r="O2" i="5"/>
  <c r="N359" i="3"/>
  <c r="N357" i="3"/>
  <c r="BG357" i="3" s="1"/>
  <c r="BD51" i="3"/>
  <c r="L51" i="2"/>
  <c r="N120" i="2"/>
  <c r="N311" i="2"/>
  <c r="BF187" i="3"/>
  <c r="N142" i="2"/>
  <c r="N111" i="4"/>
  <c r="O109" i="4"/>
  <c r="BQ14" i="9"/>
  <c r="AH110" i="9"/>
  <c r="N270" i="4"/>
  <c r="O268" i="4"/>
  <c r="N121" i="3"/>
  <c r="N123" i="3" s="1"/>
  <c r="BH64" i="9" s="1"/>
  <c r="M358" i="3"/>
  <c r="BF358" i="3" s="1"/>
  <c r="M123" i="3"/>
  <c r="N34" i="4"/>
  <c r="N186" i="3"/>
  <c r="N186" i="2"/>
  <c r="BF68" i="3"/>
  <c r="V15" i="9"/>
  <c r="V111" i="9" s="1"/>
  <c r="M432" i="2"/>
  <c r="BF432" i="3" s="1"/>
  <c r="BF24" i="3"/>
  <c r="M434" i="2"/>
  <c r="BF434" i="3" s="1"/>
  <c r="BF26" i="3"/>
  <c r="BF82" i="3"/>
  <c r="M237" i="2"/>
  <c r="BF108" i="3"/>
  <c r="M110" i="2"/>
  <c r="L378" i="1"/>
  <c r="BF208" i="3"/>
  <c r="P264" i="4"/>
  <c r="P180" i="4"/>
  <c r="Q91" i="4"/>
  <c r="P178" i="4"/>
  <c r="P102" i="4"/>
  <c r="P99" i="4"/>
  <c r="P257" i="4"/>
  <c r="AZ374" i="3"/>
  <c r="H367" i="2"/>
  <c r="BE236" i="3"/>
  <c r="AB14" i="9"/>
  <c r="L298" i="3"/>
  <c r="L462" i="3"/>
  <c r="M371" i="2"/>
  <c r="BM15" i="9"/>
  <c r="BF124" i="3"/>
  <c r="M360" i="2"/>
  <c r="N122" i="2"/>
  <c r="BF122" i="3"/>
  <c r="BQ63" i="9"/>
  <c r="O202" i="4"/>
  <c r="N204" i="4"/>
  <c r="L442" i="2"/>
  <c r="BE442" i="3" s="1"/>
  <c r="BE65" i="3"/>
  <c r="T14" i="9"/>
  <c r="T110" i="9" s="1"/>
  <c r="AZ14" i="9"/>
  <c r="AZ110" i="9" s="1"/>
  <c r="L112" i="2"/>
  <c r="BE110" i="3"/>
  <c r="L337" i="2"/>
  <c r="BE338" i="3" s="1"/>
  <c r="BE237" i="3"/>
  <c r="AC14" i="9"/>
  <c r="AC110" i="9" s="1"/>
  <c r="L289" i="2"/>
  <c r="BE289" i="3" s="1"/>
  <c r="BE70" i="3"/>
  <c r="L172" i="2"/>
  <c r="L443" i="2"/>
  <c r="BE443" i="3" s="1"/>
  <c r="L453" i="2"/>
  <c r="BE453" i="3" s="1"/>
  <c r="J43" i="2"/>
  <c r="BC41" i="3"/>
  <c r="BM110" i="9"/>
  <c r="O228" i="4"/>
  <c r="N230" i="4"/>
  <c r="M192" i="5"/>
  <c r="BC215" i="3"/>
  <c r="H106" i="5"/>
  <c r="H61" i="2"/>
  <c r="R10" i="9"/>
  <c r="R106" i="9" s="1"/>
  <c r="BA49" i="3"/>
  <c r="AZ55" i="3"/>
  <c r="G57" i="2"/>
  <c r="H56" i="2"/>
  <c r="G133" i="5"/>
  <c r="G108" i="5"/>
  <c r="G110" i="5" s="1"/>
  <c r="AA109" i="9"/>
  <c r="H44" i="2"/>
  <c r="N51" i="3"/>
  <c r="O197" i="4"/>
  <c r="N199" i="4"/>
  <c r="N311" i="3"/>
  <c r="N452" i="3"/>
  <c r="N174" i="3"/>
  <c r="N280" i="3" s="1"/>
  <c r="N65" i="3"/>
  <c r="N173" i="3"/>
  <c r="N279" i="3" s="1"/>
  <c r="N237" i="3"/>
  <c r="I127" i="5"/>
  <c r="I134" i="5" s="1"/>
  <c r="S59" i="9"/>
  <c r="S107" i="9" s="1"/>
  <c r="BB60" i="3"/>
  <c r="BD14" i="9"/>
  <c r="BD110" i="9" s="1"/>
  <c r="L338" i="2"/>
  <c r="BE339" i="3" s="1"/>
  <c r="BE111" i="3"/>
  <c r="L509" i="2"/>
  <c r="BE509" i="3" s="1"/>
  <c r="O126" i="4"/>
  <c r="P124" i="4"/>
  <c r="M371" i="3"/>
  <c r="BM63" i="9"/>
  <c r="N121" i="4"/>
  <c r="O119" i="4"/>
  <c r="O116" i="4"/>
  <c r="P114" i="4"/>
  <c r="BD64" i="9"/>
  <c r="N338" i="3"/>
  <c r="N509" i="3"/>
  <c r="N141" i="4"/>
  <c r="O139" i="4"/>
  <c r="N206" i="3"/>
  <c r="AF64" i="9"/>
  <c r="N337" i="3"/>
  <c r="AZ64" i="9"/>
  <c r="N112" i="3"/>
  <c r="BC466" i="3"/>
  <c r="N131" i="4"/>
  <c r="O129" i="4"/>
  <c r="B269" i="1"/>
  <c r="B316" i="1" s="1"/>
  <c r="Z270" i="1"/>
  <c r="F95" i="2"/>
  <c r="F103" i="2" s="1"/>
  <c r="AY303" i="3"/>
  <c r="K41" i="3"/>
  <c r="K43" i="3" s="1"/>
  <c r="K49" i="3" s="1"/>
  <c r="L39" i="3"/>
  <c r="BH14" i="9"/>
  <c r="L125" i="2"/>
  <c r="BE123" i="3"/>
  <c r="J60" i="3"/>
  <c r="BC54" i="3"/>
  <c r="N310" i="4"/>
  <c r="N308" i="4"/>
  <c r="N306" i="4"/>
  <c r="N297" i="4"/>
  <c r="N309" i="4"/>
  <c r="N302" i="4"/>
  <c r="N300" i="4"/>
  <c r="N298" i="4"/>
  <c r="N311" i="4"/>
  <c r="N301" i="4"/>
  <c r="N305" i="4"/>
  <c r="N307" i="4"/>
  <c r="N299" i="4"/>
  <c r="N252" i="4"/>
  <c r="N261" i="4" s="1"/>
  <c r="N172" i="4"/>
  <c r="N90" i="4"/>
  <c r="N251" i="4"/>
  <c r="O282" i="4"/>
  <c r="N284" i="4"/>
  <c r="BF47" i="3"/>
  <c r="M433" i="2"/>
  <c r="BF433" i="3" s="1"/>
  <c r="BF25" i="3"/>
  <c r="N511" i="2"/>
  <c r="BG511" i="3" s="1"/>
  <c r="N495" i="2"/>
  <c r="BG495" i="3" s="1"/>
  <c r="N479" i="2"/>
  <c r="BG479" i="3" s="1"/>
  <c r="N389" i="2"/>
  <c r="N108" i="2"/>
  <c r="N69" i="2"/>
  <c r="BG69" i="3" s="1"/>
  <c r="N21" i="2"/>
  <c r="O4" i="2"/>
  <c r="O206" i="2" s="1"/>
  <c r="N353" i="1" s="1"/>
  <c r="N137" i="2"/>
  <c r="N47" i="2"/>
  <c r="BG47" i="3" s="1"/>
  <c r="N26" i="2"/>
  <c r="N208" i="2"/>
  <c r="N82" i="2"/>
  <c r="N80" i="2"/>
  <c r="N78" i="2"/>
  <c r="N504" i="2"/>
  <c r="BG504" i="3" s="1"/>
  <c r="N83" i="2"/>
  <c r="N27" i="2"/>
  <c r="N25" i="2"/>
  <c r="N24" i="2"/>
  <c r="N23" i="2"/>
  <c r="C16" i="9"/>
  <c r="N105" i="2"/>
  <c r="N42" i="2"/>
  <c r="N62" i="2"/>
  <c r="N22" i="2"/>
  <c r="N81" i="2"/>
  <c r="BG81" i="3" s="1"/>
  <c r="N66" i="2"/>
  <c r="N209" i="2" s="1"/>
  <c r="N67" i="2"/>
  <c r="BG67" i="3" s="1"/>
  <c r="N68" i="2"/>
  <c r="BF22" i="3"/>
  <c r="M430" i="2"/>
  <c r="BF430" i="3" s="1"/>
  <c r="BF105" i="3"/>
  <c r="M107" i="2"/>
  <c r="O100" i="4"/>
  <c r="P92" i="4"/>
  <c r="N264" i="3"/>
  <c r="N188" i="3"/>
  <c r="BG188" i="3" s="1"/>
  <c r="O7" i="3"/>
  <c r="N214" i="3"/>
  <c r="BG214" i="3" s="1"/>
  <c r="E112" i="9"/>
  <c r="N3" i="5"/>
  <c r="N411" i="5" s="1"/>
  <c r="E64" i="9"/>
  <c r="BF114" i="3"/>
  <c r="BE63" i="9"/>
  <c r="M342" i="3"/>
  <c r="M115" i="3"/>
  <c r="N114" i="3"/>
  <c r="F116" i="3"/>
  <c r="F461" i="3"/>
  <c r="F331" i="3"/>
  <c r="F332" i="3" s="1"/>
  <c r="G324" i="3" s="1"/>
  <c r="G327" i="3" s="1"/>
  <c r="G99" i="3" s="1"/>
  <c r="F501" i="3"/>
  <c r="F503" i="3" s="1"/>
  <c r="F505" i="3" s="1"/>
  <c r="F506" i="3" s="1"/>
  <c r="G10" i="3"/>
  <c r="AW56" i="9"/>
  <c r="AY56" i="9" s="1"/>
  <c r="F250" i="3"/>
  <c r="P42" i="4"/>
  <c r="Q41" i="4"/>
  <c r="O207" i="4"/>
  <c r="N209" i="4"/>
  <c r="O223" i="4"/>
  <c r="N225" i="4"/>
  <c r="L462" i="2"/>
  <c r="L298" i="2"/>
  <c r="BE115" i="3"/>
  <c r="N341" i="3"/>
  <c r="O113" i="3"/>
  <c r="BA64" i="9"/>
  <c r="L280" i="2"/>
  <c r="BE280" i="3" s="1"/>
  <c r="BE174" i="3"/>
  <c r="BF109" i="3"/>
  <c r="M111" i="2"/>
  <c r="O233" i="4"/>
  <c r="N235" i="4"/>
  <c r="M297" i="3"/>
  <c r="M178" i="3"/>
  <c r="M463" i="3"/>
  <c r="V110" i="9"/>
  <c r="AC109" i="9"/>
  <c r="I55" i="2"/>
  <c r="R105" i="9"/>
  <c r="BC217" i="3"/>
  <c r="I383" i="1"/>
  <c r="BF89" i="3"/>
  <c r="G441" i="3"/>
  <c r="G242" i="3"/>
  <c r="G166" i="3"/>
  <c r="G151" i="3"/>
  <c r="G451" i="3"/>
  <c r="G288" i="3"/>
  <c r="G193" i="5"/>
  <c r="G128" i="5"/>
  <c r="O192" i="4"/>
  <c r="N194" i="4"/>
  <c r="N161" i="4"/>
  <c r="O159" i="4"/>
  <c r="H164" i="3"/>
  <c r="H152" i="3"/>
  <c r="O46" i="4"/>
  <c r="P45" i="4"/>
  <c r="J43" i="3"/>
  <c r="P93" i="4"/>
  <c r="P96" i="4" s="1"/>
  <c r="O295" i="4"/>
  <c r="O1" i="4"/>
  <c r="BF66" i="3"/>
  <c r="U15" i="9"/>
  <c r="U111" i="9" s="1"/>
  <c r="L376" i="1"/>
  <c r="M70" i="2"/>
  <c r="M12" i="5" s="1"/>
  <c r="M435" i="2"/>
  <c r="BF435" i="3" s="1"/>
  <c r="BF27" i="3"/>
  <c r="M431" i="2"/>
  <c r="BF431" i="3" s="1"/>
  <c r="BF23" i="3"/>
  <c r="BF511" i="3"/>
  <c r="AF109" i="9"/>
  <c r="O96" i="4"/>
  <c r="O98" i="4" s="1"/>
  <c r="O103" i="4" s="1"/>
  <c r="O188" i="2" s="1"/>
  <c r="BD40" i="3"/>
  <c r="L40" i="2"/>
  <c r="AF14" i="9"/>
  <c r="AF110" i="9" s="1"/>
  <c r="L235" i="2"/>
  <c r="BE235" i="3" s="1"/>
  <c r="BE107" i="3"/>
  <c r="BE343" i="3"/>
  <c r="F320" i="3"/>
  <c r="F321" i="3" s="1"/>
  <c r="G306" i="3" s="1"/>
  <c r="AQ56" i="9"/>
  <c r="AT56" i="9" s="1"/>
  <c r="F249" i="3"/>
  <c r="G9" i="3"/>
  <c r="F457" i="3"/>
  <c r="F175" i="3"/>
  <c r="F281" i="3" s="1"/>
  <c r="N114" i="2"/>
  <c r="M342" i="2"/>
  <c r="BE15" i="9"/>
  <c r="N289" i="4"/>
  <c r="O287" i="4"/>
  <c r="N97" i="4"/>
  <c r="N187" i="2" s="1"/>
  <c r="N275" i="4"/>
  <c r="O273" i="4"/>
  <c r="N416" i="4"/>
  <c r="N417" i="4" s="1"/>
  <c r="N53" i="2"/>
  <c r="BG53" i="3" s="1"/>
  <c r="O5" i="2"/>
  <c r="N109" i="2"/>
  <c r="N58" i="2"/>
  <c r="D16" i="9"/>
  <c r="N106" i="2"/>
  <c r="BG106" i="3" s="1"/>
  <c r="N79" i="2"/>
  <c r="BG79" i="3" s="1"/>
  <c r="P43" i="4"/>
  <c r="O44" i="4"/>
  <c r="O146" i="4"/>
  <c r="P144" i="4"/>
  <c r="M442" i="3"/>
  <c r="T63" i="9"/>
  <c r="AY164" i="3"/>
  <c r="L255" i="4"/>
  <c r="K215" i="3"/>
  <c r="K215" i="2"/>
  <c r="BH109" i="9"/>
  <c r="K299" i="2"/>
  <c r="K466" i="2"/>
  <c r="O243" i="4"/>
  <c r="N245" i="4"/>
  <c r="BE234" i="3"/>
  <c r="AA14" i="9"/>
  <c r="AA110" i="9" s="1"/>
  <c r="G288" i="2"/>
  <c r="G151" i="2"/>
  <c r="G451" i="2"/>
  <c r="F362" i="1"/>
  <c r="AZ61" i="3"/>
  <c r="G242" i="2"/>
  <c r="AZ242" i="3" s="1"/>
  <c r="G441" i="2"/>
  <c r="G13" i="5"/>
  <c r="O177" i="4"/>
  <c r="O181" i="4" s="1"/>
  <c r="P11" i="4"/>
  <c r="N420" i="4"/>
  <c r="N421" i="4" s="1"/>
  <c r="G134" i="5"/>
  <c r="N50" i="3"/>
  <c r="N52" i="3" s="1"/>
  <c r="O495" i="3"/>
  <c r="O479" i="3"/>
  <c r="O359" i="3"/>
  <c r="O208" i="3"/>
  <c r="O81" i="3"/>
  <c r="O504" i="3"/>
  <c r="O78" i="3"/>
  <c r="O67" i="3"/>
  <c r="O62" i="3"/>
  <c r="O42" i="3"/>
  <c r="O27" i="3"/>
  <c r="O435" i="3" s="1"/>
  <c r="O26" i="3"/>
  <c r="O434" i="3" s="1"/>
  <c r="O25" i="3"/>
  <c r="O433" i="3" s="1"/>
  <c r="O24" i="3"/>
  <c r="O432" i="3" s="1"/>
  <c r="O23" i="3"/>
  <c r="O431" i="3" s="1"/>
  <c r="O108" i="3"/>
  <c r="O110" i="3" s="1"/>
  <c r="O105" i="3"/>
  <c r="O83" i="3"/>
  <c r="O68" i="3"/>
  <c r="O22" i="3"/>
  <c r="P4" i="3"/>
  <c r="O80" i="3"/>
  <c r="O236" i="3" s="1"/>
  <c r="AB65" i="9" s="1"/>
  <c r="O66" i="3"/>
  <c r="O209" i="3" s="1"/>
  <c r="O137" i="3"/>
  <c r="O511" i="3"/>
  <c r="O82" i="3"/>
  <c r="O237" i="3" s="1"/>
  <c r="AC65" i="9" s="1"/>
  <c r="O21" i="3"/>
  <c r="C65" i="9"/>
  <c r="O69" i="3"/>
  <c r="O1" i="5"/>
  <c r="C113" i="9"/>
  <c r="N430" i="3"/>
  <c r="N407" i="5"/>
  <c r="N234" i="3"/>
  <c r="AA64" i="9" s="1"/>
  <c r="N194" i="5"/>
  <c r="N70" i="3"/>
  <c r="N192" i="5" s="1"/>
  <c r="U64" i="9"/>
  <c r="N239" i="3"/>
  <c r="N179" i="3"/>
  <c r="AH64" i="9"/>
  <c r="BQ64" i="9" s="1"/>
  <c r="BC299" i="3"/>
  <c r="M127" i="5"/>
  <c r="S63" i="9"/>
  <c r="L325" i="3"/>
  <c r="BE325" i="3" s="1"/>
  <c r="L75" i="3"/>
  <c r="BE75" i="3" s="1"/>
  <c r="BE54" i="3"/>
  <c r="L60" i="2"/>
  <c r="L471" i="3"/>
  <c r="BE471" i="3" s="1"/>
  <c r="L243" i="3"/>
  <c r="BE243" i="3" s="1"/>
  <c r="L301" i="3"/>
  <c r="BE301" i="3" s="1"/>
  <c r="L196" i="5"/>
  <c r="L210" i="5" s="1"/>
  <c r="Y62" i="9"/>
  <c r="Y110" i="9" s="1"/>
  <c r="N52" i="2"/>
  <c r="M87" i="3"/>
  <c r="BF87" i="3" s="1"/>
  <c r="M490" i="2"/>
  <c r="M307" i="2"/>
  <c r="M74" i="2"/>
  <c r="N87" i="2"/>
  <c r="M471" i="3"/>
  <c r="M301" i="3"/>
  <c r="M243" i="3"/>
  <c r="Y63" i="9"/>
  <c r="M196" i="5"/>
  <c r="BE144" i="3"/>
  <c r="M98" i="3"/>
  <c r="BF98" i="3" s="1"/>
  <c r="M325" i="2"/>
  <c r="N98" i="2"/>
  <c r="M75" i="2"/>
  <c r="BE98" i="3"/>
  <c r="O311" i="2"/>
  <c r="O214" i="2"/>
  <c r="O264" i="2"/>
  <c r="P7" i="2"/>
  <c r="E17" i="9"/>
  <c r="O50" i="2"/>
  <c r="N142" i="3"/>
  <c r="N144" i="3" s="1"/>
  <c r="N144" i="2"/>
  <c r="L458" i="2"/>
  <c r="L294" i="2"/>
  <c r="AX14" i="9"/>
  <c r="K454" i="3"/>
  <c r="K291" i="3"/>
  <c r="BD291" i="3" s="1"/>
  <c r="AS61" i="9"/>
  <c r="AS109" i="9" s="1"/>
  <c r="K77" i="3"/>
  <c r="BD77" i="3" s="1"/>
  <c r="BF189" i="3"/>
  <c r="L365" i="1"/>
  <c r="BF144" i="3"/>
  <c r="M471" i="2"/>
  <c r="M301" i="2"/>
  <c r="M243" i="2"/>
  <c r="M16" i="5"/>
  <c r="Y15" i="9"/>
  <c r="L369" i="1"/>
  <c r="K458" i="3"/>
  <c r="K294" i="3"/>
  <c r="BD294" i="3" s="1"/>
  <c r="AX61" i="9"/>
  <c r="AX109" i="9" s="1"/>
  <c r="BF52" i="3"/>
  <c r="M54" i="2"/>
  <c r="BD60" i="3"/>
  <c r="K107" i="5"/>
  <c r="K134" i="5" s="1"/>
  <c r="S13" i="9"/>
  <c r="S109" i="9" s="1"/>
  <c r="L454" i="2"/>
  <c r="L291" i="2"/>
  <c r="AS14" i="9"/>
  <c r="L490" i="3"/>
  <c r="BE490" i="3" s="1"/>
  <c r="L307" i="3"/>
  <c r="BE307" i="3" s="1"/>
  <c r="L74" i="3"/>
  <c r="BE74" i="3" s="1"/>
  <c r="BJ15" i="9"/>
  <c r="L36" i="3"/>
  <c r="L256" i="3" s="1"/>
  <c r="BE256" i="3" s="1"/>
  <c r="BE16" i="3"/>
  <c r="N120" i="3" l="1"/>
  <c r="N155" i="3"/>
  <c r="N157" i="3"/>
  <c r="O157" i="2"/>
  <c r="O155" i="2"/>
  <c r="O40" i="3"/>
  <c r="M256" i="2"/>
  <c r="AZ288" i="3"/>
  <c r="N38" i="4"/>
  <c r="N75" i="4"/>
  <c r="N62" i="4"/>
  <c r="N189" i="2"/>
  <c r="N16" i="2"/>
  <c r="BJ63" i="9"/>
  <c r="BJ111" i="9" s="1"/>
  <c r="M465" i="3"/>
  <c r="BF76" i="3"/>
  <c r="BH110" i="9"/>
  <c r="BF301" i="3"/>
  <c r="O107" i="3"/>
  <c r="AF65" i="9" s="1"/>
  <c r="O29" i="4"/>
  <c r="O357" i="2"/>
  <c r="AZ441" i="3"/>
  <c r="O142" i="2"/>
  <c r="O144" i="2" s="1"/>
  <c r="O359" i="2"/>
  <c r="BH360" i="3" s="1"/>
  <c r="G209" i="5"/>
  <c r="BF471" i="3"/>
  <c r="N422" i="4"/>
  <c r="N423" i="4" s="1"/>
  <c r="T429" i="4"/>
  <c r="F251" i="3"/>
  <c r="BU56" i="9" s="1"/>
  <c r="BM111" i="9"/>
  <c r="BF371" i="3"/>
  <c r="BE111" i="9"/>
  <c r="BA45" i="3"/>
  <c r="I45" i="2"/>
  <c r="M77" i="2"/>
  <c r="BG120" i="3"/>
  <c r="M210" i="5"/>
  <c r="BF343" i="3"/>
  <c r="BG186" i="3"/>
  <c r="P34" i="4"/>
  <c r="P186" i="3"/>
  <c r="P186" i="2"/>
  <c r="N76" i="2"/>
  <c r="P80" i="3"/>
  <c r="P504" i="3"/>
  <c r="P208" i="3"/>
  <c r="P108" i="3"/>
  <c r="P110" i="3" s="1"/>
  <c r="P105" i="3"/>
  <c r="P83" i="3"/>
  <c r="P68" i="3"/>
  <c r="P22" i="3"/>
  <c r="Q4" i="3"/>
  <c r="P511" i="3"/>
  <c r="P82" i="3"/>
  <c r="P69" i="3"/>
  <c r="P21" i="3"/>
  <c r="P479" i="3"/>
  <c r="P78" i="3"/>
  <c r="P67" i="3"/>
  <c r="P42" i="3"/>
  <c r="P27" i="3"/>
  <c r="P435" i="3" s="1"/>
  <c r="P26" i="3"/>
  <c r="P434" i="3" s="1"/>
  <c r="P25" i="3"/>
  <c r="P433" i="3" s="1"/>
  <c r="P24" i="3"/>
  <c r="P432" i="3" s="1"/>
  <c r="P23" i="3"/>
  <c r="P431" i="3" s="1"/>
  <c r="P137" i="3"/>
  <c r="P495" i="3"/>
  <c r="P66" i="3"/>
  <c r="P209" i="3" s="1"/>
  <c r="C66" i="9"/>
  <c r="P1" i="5"/>
  <c r="P81" i="3"/>
  <c r="C114" i="9"/>
  <c r="P62" i="3"/>
  <c r="O194" i="5"/>
  <c r="O234" i="3"/>
  <c r="AA65" i="9" s="1"/>
  <c r="Q11" i="4"/>
  <c r="P177" i="4"/>
  <c r="P98" i="4"/>
  <c r="BG109" i="3"/>
  <c r="N111" i="2"/>
  <c r="P287" i="4"/>
  <c r="O289" i="4"/>
  <c r="BE40" i="3"/>
  <c r="M40" i="2"/>
  <c r="O161" i="4"/>
  <c r="P159" i="4"/>
  <c r="P113" i="3"/>
  <c r="BA65" i="9"/>
  <c r="O341" i="3"/>
  <c r="P207" i="4"/>
  <c r="O209" i="4"/>
  <c r="P7" i="3"/>
  <c r="P359" i="3" s="1"/>
  <c r="O264" i="3"/>
  <c r="O214" i="3"/>
  <c r="BH214" i="3" s="1"/>
  <c r="O188" i="3"/>
  <c r="BH188" i="3" s="1"/>
  <c r="E113" i="9"/>
  <c r="O3" i="5"/>
  <c r="O411" i="5" s="1"/>
  <c r="E65" i="9"/>
  <c r="Q92" i="4"/>
  <c r="P100" i="4"/>
  <c r="BG25" i="3"/>
  <c r="N433" i="2"/>
  <c r="BG433" i="3" s="1"/>
  <c r="BG26" i="3"/>
  <c r="N434" i="2"/>
  <c r="BG434" i="3" s="1"/>
  <c r="F116" i="2"/>
  <c r="F250" i="2"/>
  <c r="AY250" i="3" s="1"/>
  <c r="AW8" i="9"/>
  <c r="F501" i="2"/>
  <c r="AY103" i="3"/>
  <c r="F331" i="2"/>
  <c r="G10" i="2"/>
  <c r="AZ10" i="3" s="1"/>
  <c r="F461" i="2"/>
  <c r="AY461" i="3" s="1"/>
  <c r="O131" i="4"/>
  <c r="P129" i="4"/>
  <c r="AZ57" i="3"/>
  <c r="G59" i="2"/>
  <c r="AZ59" i="3" s="1"/>
  <c r="L278" i="2"/>
  <c r="BE278" i="3" s="1"/>
  <c r="BE172" i="3"/>
  <c r="BE462" i="3"/>
  <c r="Q264" i="4"/>
  <c r="Q178" i="4"/>
  <c r="Q102" i="4"/>
  <c r="R91" i="4"/>
  <c r="Q257" i="4"/>
  <c r="Q180" i="4"/>
  <c r="Q99" i="4"/>
  <c r="O120" i="2"/>
  <c r="O76" i="2" s="1"/>
  <c r="Y111" i="9"/>
  <c r="N443" i="3"/>
  <c r="N289" i="3"/>
  <c r="N172" i="3"/>
  <c r="N278" i="3" s="1"/>
  <c r="N453" i="3"/>
  <c r="O337" i="3"/>
  <c r="AZ65" i="9"/>
  <c r="O112" i="3"/>
  <c r="AZ451" i="3"/>
  <c r="Q144" i="4"/>
  <c r="P146" i="4"/>
  <c r="O109" i="2"/>
  <c r="O58" i="2"/>
  <c r="BH58" i="3" s="1"/>
  <c r="D17" i="9"/>
  <c r="O106" i="2"/>
  <c r="BH106" i="3" s="1"/>
  <c r="O79" i="2"/>
  <c r="BH79" i="3" s="1"/>
  <c r="P5" i="2"/>
  <c r="O53" i="2"/>
  <c r="BH53" i="3" s="1"/>
  <c r="Q42" i="4"/>
  <c r="R41" i="4"/>
  <c r="F252" i="3"/>
  <c r="G12" i="3"/>
  <c r="BB56" i="9"/>
  <c r="BC56" i="9" s="1"/>
  <c r="F347" i="3"/>
  <c r="F349" i="3" s="1"/>
  <c r="G335" i="3" s="1"/>
  <c r="G339" i="3" s="1"/>
  <c r="BG27" i="3"/>
  <c r="N435" i="2"/>
  <c r="BG435" i="3" s="1"/>
  <c r="Q114" i="4"/>
  <c r="P116" i="4"/>
  <c r="BA44" i="3"/>
  <c r="H46" i="2"/>
  <c r="I44" i="2"/>
  <c r="O230" i="4"/>
  <c r="P228" i="4"/>
  <c r="P181" i="4"/>
  <c r="BE51" i="3"/>
  <c r="M51" i="2"/>
  <c r="BD65" i="9"/>
  <c r="O338" i="3"/>
  <c r="O509" i="3"/>
  <c r="BA57" i="3"/>
  <c r="H59" i="2"/>
  <c r="BA59" i="3" s="1"/>
  <c r="P97" i="4"/>
  <c r="P187" i="2" s="1"/>
  <c r="Q14" i="4"/>
  <c r="Q154" i="4"/>
  <c r="P156" i="4"/>
  <c r="N354" i="3"/>
  <c r="N76" i="3"/>
  <c r="N354" i="2"/>
  <c r="BG50" i="3"/>
  <c r="O70" i="3"/>
  <c r="O192" i="5" s="1"/>
  <c r="U65" i="9"/>
  <c r="V65" i="9"/>
  <c r="O206" i="3"/>
  <c r="O452" i="3"/>
  <c r="O65" i="3"/>
  <c r="O174" i="3"/>
  <c r="O280" i="3" s="1"/>
  <c r="O173" i="3"/>
  <c r="O279" i="3" s="1"/>
  <c r="G152" i="2"/>
  <c r="AZ151" i="3"/>
  <c r="G164" i="2"/>
  <c r="O186" i="3"/>
  <c r="O34" i="4"/>
  <c r="O186" i="2"/>
  <c r="O235" i="4"/>
  <c r="P233" i="4"/>
  <c r="P223" i="4"/>
  <c r="O225" i="4"/>
  <c r="BG114" i="3"/>
  <c r="BE64" i="9"/>
  <c r="N115" i="3"/>
  <c r="N342" i="3"/>
  <c r="O114" i="3"/>
  <c r="O115" i="3" s="1"/>
  <c r="O462" i="3" s="1"/>
  <c r="N187" i="3"/>
  <c r="BG209" i="3"/>
  <c r="M379" i="1"/>
  <c r="M376" i="1"/>
  <c r="BG66" i="3"/>
  <c r="U16" i="9"/>
  <c r="U112" i="9" s="1"/>
  <c r="N70" i="2"/>
  <c r="BG62" i="3"/>
  <c r="N65" i="2"/>
  <c r="N452" i="2"/>
  <c r="BG452" i="3" s="1"/>
  <c r="N173" i="2"/>
  <c r="N174" i="2"/>
  <c r="BG23" i="3"/>
  <c r="N431" i="2"/>
  <c r="BG431" i="3" s="1"/>
  <c r="BG83" i="3"/>
  <c r="BG82" i="3"/>
  <c r="N237" i="2"/>
  <c r="BG137" i="3"/>
  <c r="N239" i="2"/>
  <c r="BG239" i="3" s="1"/>
  <c r="N179" i="2"/>
  <c r="BG179" i="3" s="1"/>
  <c r="AH16" i="9"/>
  <c r="M358" i="1"/>
  <c r="BG108" i="3"/>
  <c r="N110" i="2"/>
  <c r="J127" i="5"/>
  <c r="J134" i="5" s="1"/>
  <c r="S60" i="9"/>
  <c r="BC60" i="3"/>
  <c r="L41" i="3"/>
  <c r="M39" i="3"/>
  <c r="AQ8" i="9"/>
  <c r="F249" i="2"/>
  <c r="G9" i="2"/>
  <c r="F457" i="2"/>
  <c r="AY457" i="3" s="1"/>
  <c r="AY95" i="3"/>
  <c r="F175" i="2"/>
  <c r="F320" i="2"/>
  <c r="B270" i="1"/>
  <c r="B317" i="1" s="1"/>
  <c r="Z271" i="1"/>
  <c r="H133" i="5"/>
  <c r="H135" i="5" s="1"/>
  <c r="H108" i="5"/>
  <c r="H110" i="5" s="1"/>
  <c r="H137" i="5" s="1"/>
  <c r="P202" i="4"/>
  <c r="O204" i="4"/>
  <c r="O122" i="2"/>
  <c r="N360" i="2"/>
  <c r="BG122" i="3"/>
  <c r="AB110" i="9"/>
  <c r="O121" i="3"/>
  <c r="N358" i="3"/>
  <c r="BG358" i="3" s="1"/>
  <c r="BQ110" i="9"/>
  <c r="BG311" i="3"/>
  <c r="P109" i="3"/>
  <c r="P111" i="3" s="1"/>
  <c r="P53" i="3"/>
  <c r="Q5" i="3"/>
  <c r="D66" i="9"/>
  <c r="P2" i="5"/>
  <c r="P106" i="3"/>
  <c r="D114" i="9"/>
  <c r="P79" i="3"/>
  <c r="G48" i="2"/>
  <c r="AZ48" i="3" s="1"/>
  <c r="AZ46" i="3"/>
  <c r="N262" i="4"/>
  <c r="M265" i="4"/>
  <c r="I164" i="3"/>
  <c r="I152" i="3"/>
  <c r="M442" i="2"/>
  <c r="BF442" i="3" s="1"/>
  <c r="T15" i="9"/>
  <c r="T111" i="9" s="1"/>
  <c r="BF65" i="3"/>
  <c r="BF234" i="3"/>
  <c r="AA15" i="9"/>
  <c r="AA111" i="9" s="1"/>
  <c r="BH15" i="9"/>
  <c r="M125" i="2"/>
  <c r="BF123" i="3"/>
  <c r="L299" i="3"/>
  <c r="L466" i="3"/>
  <c r="N54" i="3"/>
  <c r="N60" i="3" s="1"/>
  <c r="BE16" i="9"/>
  <c r="O114" i="2"/>
  <c r="N342" i="2"/>
  <c r="G96" i="3"/>
  <c r="G11" i="3"/>
  <c r="G57" i="9" s="1"/>
  <c r="G489" i="3"/>
  <c r="O305" i="4"/>
  <c r="O311" i="4"/>
  <c r="O308" i="4"/>
  <c r="O306" i="4"/>
  <c r="O307" i="4"/>
  <c r="O299" i="4"/>
  <c r="O310" i="4"/>
  <c r="O309" i="4"/>
  <c r="O301" i="4"/>
  <c r="O297" i="4"/>
  <c r="O300" i="4"/>
  <c r="O298" i="4"/>
  <c r="O302" i="4"/>
  <c r="O90" i="4"/>
  <c r="O252" i="4"/>
  <c r="O261" i="4" s="1"/>
  <c r="O172" i="4"/>
  <c r="O251" i="4"/>
  <c r="P46" i="4"/>
  <c r="Q45" i="4"/>
  <c r="I57" i="2"/>
  <c r="BB55" i="3"/>
  <c r="J55" i="2"/>
  <c r="V16" i="9"/>
  <c r="BG68" i="3"/>
  <c r="BG105" i="3"/>
  <c r="N107" i="2"/>
  <c r="BG78" i="3"/>
  <c r="N234" i="2"/>
  <c r="N14" i="5"/>
  <c r="N211" i="5" s="1"/>
  <c r="L299" i="2"/>
  <c r="L466" i="2"/>
  <c r="BE125" i="3"/>
  <c r="BA367" i="3"/>
  <c r="H372" i="2"/>
  <c r="M125" i="3"/>
  <c r="BH63" i="9"/>
  <c r="P122" i="3"/>
  <c r="O179" i="3"/>
  <c r="O239" i="3"/>
  <c r="AH65" i="9"/>
  <c r="BQ65" i="9" s="1"/>
  <c r="O407" i="5"/>
  <c r="O430" i="3"/>
  <c r="M255" i="4"/>
  <c r="L215" i="3"/>
  <c r="L215" i="2"/>
  <c r="P44" i="4"/>
  <c r="Q43" i="4"/>
  <c r="P273" i="4"/>
  <c r="O275" i="4"/>
  <c r="O88" i="4"/>
  <c r="O273" i="2" s="1"/>
  <c r="G130" i="5"/>
  <c r="G137" i="5" s="1"/>
  <c r="G164" i="3"/>
  <c r="G152" i="3"/>
  <c r="G30" i="3"/>
  <c r="G329" i="3" s="1"/>
  <c r="H100" i="3"/>
  <c r="H101" i="3"/>
  <c r="AF15" i="9"/>
  <c r="AF111" i="9" s="1"/>
  <c r="BF107" i="3"/>
  <c r="M235" i="2"/>
  <c r="N430" i="2"/>
  <c r="BG430" i="3" s="1"/>
  <c r="BG22" i="3"/>
  <c r="BG80" i="3"/>
  <c r="N236" i="2"/>
  <c r="N297" i="3"/>
  <c r="N178" i="3"/>
  <c r="N463" i="3"/>
  <c r="AC64" i="9"/>
  <c r="P197" i="4"/>
  <c r="O199" i="4"/>
  <c r="G135" i="5"/>
  <c r="H441" i="2"/>
  <c r="BA441" i="3" s="1"/>
  <c r="BA61" i="3"/>
  <c r="H451" i="2"/>
  <c r="BA451" i="3" s="1"/>
  <c r="H242" i="2"/>
  <c r="BA242" i="3" s="1"/>
  <c r="G362" i="1"/>
  <c r="H288" i="2"/>
  <c r="BA288" i="3" s="1"/>
  <c r="H13" i="5"/>
  <c r="H209" i="5" s="1"/>
  <c r="H151" i="2"/>
  <c r="BC43" i="3"/>
  <c r="J49" i="2"/>
  <c r="BF237" i="3"/>
  <c r="AC15" i="9"/>
  <c r="AC111" i="9" s="1"/>
  <c r="M254" i="4"/>
  <c r="L217" i="3"/>
  <c r="L217" i="2"/>
  <c r="L41" i="2"/>
  <c r="M39" i="2"/>
  <c r="BE39" i="3"/>
  <c r="O166" i="4"/>
  <c r="P164" i="4"/>
  <c r="BF174" i="3"/>
  <c r="M280" i="2"/>
  <c r="BF280" i="3" s="1"/>
  <c r="BF236" i="3"/>
  <c r="AB15" i="9"/>
  <c r="AB111" i="9" s="1"/>
  <c r="BF179" i="3"/>
  <c r="Q149" i="4"/>
  <c r="P151" i="4"/>
  <c r="BG142" i="3"/>
  <c r="O311" i="3"/>
  <c r="BH311" i="3" s="1"/>
  <c r="O357" i="3"/>
  <c r="BH357" i="3" s="1"/>
  <c r="O245" i="4"/>
  <c r="P243" i="4"/>
  <c r="BD215" i="3"/>
  <c r="BG58" i="3"/>
  <c r="G309" i="3"/>
  <c r="M453" i="2"/>
  <c r="BF453" i="3" s="1"/>
  <c r="M289" i="2"/>
  <c r="BF289" i="3" s="1"/>
  <c r="M443" i="2"/>
  <c r="BF443" i="3" s="1"/>
  <c r="BF70" i="3"/>
  <c r="M172" i="2"/>
  <c r="O30" i="4"/>
  <c r="O89" i="4" s="1"/>
  <c r="O274" i="2" s="1"/>
  <c r="P295" i="4"/>
  <c r="P1" i="4"/>
  <c r="P30" i="4"/>
  <c r="P89" i="4" s="1"/>
  <c r="P274" i="2" s="1"/>
  <c r="Q93" i="4"/>
  <c r="Q96" i="4" s="1"/>
  <c r="J49" i="3"/>
  <c r="P192" i="4"/>
  <c r="O194" i="4"/>
  <c r="BD15" i="9"/>
  <c r="BD111" i="9" s="1"/>
  <c r="M338" i="2"/>
  <c r="BF339" i="3" s="1"/>
  <c r="BF111" i="3"/>
  <c r="M509" i="2"/>
  <c r="BF509" i="3" s="1"/>
  <c r="BE298" i="3"/>
  <c r="G295" i="3"/>
  <c r="AV57" i="9"/>
  <c r="G459" i="3"/>
  <c r="G328" i="3"/>
  <c r="M462" i="3"/>
  <c r="M298" i="3"/>
  <c r="BG42" i="3"/>
  <c r="BG24" i="3"/>
  <c r="N432" i="2"/>
  <c r="BG432" i="3" s="1"/>
  <c r="M378" i="1"/>
  <c r="BG208" i="3"/>
  <c r="O504" i="2"/>
  <c r="BH504" i="3" s="1"/>
  <c r="O495" i="2"/>
  <c r="BH495" i="3" s="1"/>
  <c r="O208" i="2"/>
  <c r="O82" i="2"/>
  <c r="O80" i="2"/>
  <c r="O78" i="2"/>
  <c r="O479" i="2"/>
  <c r="BH479" i="3" s="1"/>
  <c r="O105" i="2"/>
  <c r="O81" i="2"/>
  <c r="BH81" i="3" s="1"/>
  <c r="O62" i="2"/>
  <c r="O22" i="2"/>
  <c r="O511" i="2"/>
  <c r="BH511" i="3" s="1"/>
  <c r="O137" i="2"/>
  <c r="O130" i="2"/>
  <c r="BH130" i="3" s="1"/>
  <c r="O83" i="2"/>
  <c r="BH83" i="3" s="1"/>
  <c r="O68" i="2"/>
  <c r="O47" i="2"/>
  <c r="BH47" i="3" s="1"/>
  <c r="O27" i="2"/>
  <c r="O26" i="2"/>
  <c r="O25" i="2"/>
  <c r="O24" i="2"/>
  <c r="O23" i="2"/>
  <c r="O42" i="2"/>
  <c r="BH42" i="3" s="1"/>
  <c r="C17" i="9"/>
  <c r="O21" i="2"/>
  <c r="O389" i="2"/>
  <c r="O69" i="2"/>
  <c r="BH69" i="3" s="1"/>
  <c r="P4" i="2"/>
  <c r="O108" i="2"/>
  <c r="O66" i="2"/>
  <c r="O209" i="2" s="1"/>
  <c r="O67" i="2"/>
  <c r="BH67" i="3" s="1"/>
  <c r="P282" i="4"/>
  <c r="O284" i="4"/>
  <c r="K61" i="3"/>
  <c r="R61" i="9"/>
  <c r="K126" i="5"/>
  <c r="O141" i="4"/>
  <c r="P139" i="4"/>
  <c r="O121" i="4"/>
  <c r="P119" i="4"/>
  <c r="Q124" i="4"/>
  <c r="P126" i="4"/>
  <c r="N442" i="3"/>
  <c r="T64" i="9"/>
  <c r="BA56" i="3"/>
  <c r="I56" i="2"/>
  <c r="L463" i="2"/>
  <c r="BE463" i="3" s="1"/>
  <c r="BE112" i="3"/>
  <c r="L297" i="2"/>
  <c r="BE297" i="3" s="1"/>
  <c r="L178" i="2"/>
  <c r="BE178" i="3" s="1"/>
  <c r="P175" i="4"/>
  <c r="P176" i="4" s="1"/>
  <c r="BF110" i="3"/>
  <c r="M112" i="2"/>
  <c r="AZ15" i="9"/>
  <c r="AZ111" i="9" s="1"/>
  <c r="M337" i="2"/>
  <c r="BF338" i="3" s="1"/>
  <c r="P268" i="4"/>
  <c r="O270" i="4"/>
  <c r="O111" i="4"/>
  <c r="P109" i="4"/>
  <c r="BD217" i="3"/>
  <c r="J383" i="1"/>
  <c r="S429" i="4"/>
  <c r="T419" i="4"/>
  <c r="P187" i="4"/>
  <c r="O189" i="4"/>
  <c r="BD299" i="3"/>
  <c r="O240" i="4"/>
  <c r="P238" i="4"/>
  <c r="O97" i="4"/>
  <c r="O187" i="2" s="1"/>
  <c r="Q40" i="4"/>
  <c r="R39" i="4"/>
  <c r="AH111" i="9"/>
  <c r="BQ15" i="9"/>
  <c r="BQ111" i="9" s="1"/>
  <c r="F117" i="3"/>
  <c r="O50" i="3"/>
  <c r="O52" i="3" s="1"/>
  <c r="O54" i="3" s="1"/>
  <c r="O60" i="3" s="1"/>
  <c r="O51" i="3"/>
  <c r="S419" i="4"/>
  <c r="N427" i="4" s="1"/>
  <c r="I106" i="5"/>
  <c r="BB49" i="3"/>
  <c r="I61" i="2"/>
  <c r="R11" i="9"/>
  <c r="R107" i="9" s="1"/>
  <c r="BD466" i="3"/>
  <c r="BI206" i="3"/>
  <c r="BJ4" i="3"/>
  <c r="BI21" i="3"/>
  <c r="K43" i="2"/>
  <c r="BD41" i="3"/>
  <c r="O113" i="2"/>
  <c r="N341" i="2"/>
  <c r="BG342" i="3" s="1"/>
  <c r="BG113" i="3"/>
  <c r="N115" i="2"/>
  <c r="BA16" i="9"/>
  <c r="BA112" i="9" s="1"/>
  <c r="M298" i="2"/>
  <c r="M462" i="2"/>
  <c r="BF115" i="3"/>
  <c r="M208" i="5"/>
  <c r="BF173" i="3"/>
  <c r="M279" i="2"/>
  <c r="BF279" i="3" s="1"/>
  <c r="N123" i="2"/>
  <c r="O121" i="2"/>
  <c r="N358" i="2"/>
  <c r="BG359" i="3" s="1"/>
  <c r="BG121" i="3"/>
  <c r="O220" i="4"/>
  <c r="P218" i="4"/>
  <c r="M365" i="1"/>
  <c r="N87" i="3"/>
  <c r="BG87" i="3" s="1"/>
  <c r="N307" i="2"/>
  <c r="N490" i="2"/>
  <c r="N74" i="2"/>
  <c r="O87" i="2"/>
  <c r="M307" i="3"/>
  <c r="BF307" i="3" s="1"/>
  <c r="M490" i="3"/>
  <c r="BF490" i="3" s="1"/>
  <c r="M74" i="3"/>
  <c r="BF74" i="3" s="1"/>
  <c r="L458" i="3"/>
  <c r="L294" i="3"/>
  <c r="BE294" i="3" s="1"/>
  <c r="AX62" i="9"/>
  <c r="AX110" i="9" s="1"/>
  <c r="BG144" i="3"/>
  <c r="N301" i="2"/>
  <c r="N243" i="2"/>
  <c r="N471" i="2"/>
  <c r="Y16" i="9"/>
  <c r="N16" i="5"/>
  <c r="M369" i="1"/>
  <c r="M325" i="3"/>
  <c r="BF325" i="3" s="1"/>
  <c r="M75" i="3"/>
  <c r="BF75" i="3" s="1"/>
  <c r="M454" i="2"/>
  <c r="M291" i="2"/>
  <c r="AS15" i="9"/>
  <c r="L454" i="3"/>
  <c r="L291" i="3"/>
  <c r="BE291" i="3" s="1"/>
  <c r="AS62" i="9"/>
  <c r="AS110" i="9" s="1"/>
  <c r="L77" i="3"/>
  <c r="BE77" i="3" s="1"/>
  <c r="O52" i="2"/>
  <c r="M458" i="2"/>
  <c r="M294" i="2"/>
  <c r="AX15" i="9"/>
  <c r="S14" i="9"/>
  <c r="S110" i="9" s="1"/>
  <c r="BE60" i="3"/>
  <c r="L107" i="5"/>
  <c r="L134" i="5" s="1"/>
  <c r="BF54" i="3"/>
  <c r="M60" i="2"/>
  <c r="BF243" i="3"/>
  <c r="N471" i="3"/>
  <c r="N301" i="3"/>
  <c r="N243" i="3"/>
  <c r="Y64" i="9"/>
  <c r="N196" i="5"/>
  <c r="P357" i="2"/>
  <c r="P264" i="2"/>
  <c r="P214" i="2"/>
  <c r="Q7" i="2"/>
  <c r="E18" i="9"/>
  <c r="N98" i="3"/>
  <c r="BG98" i="3" s="1"/>
  <c r="N325" i="2"/>
  <c r="O98" i="2"/>
  <c r="N75" i="2"/>
  <c r="BG52" i="3"/>
  <c r="N54" i="2"/>
  <c r="M16" i="3"/>
  <c r="M36" i="3" s="1"/>
  <c r="M369" i="3" s="1"/>
  <c r="BF369" i="3" s="1"/>
  <c r="O354" i="2"/>
  <c r="L369" i="3"/>
  <c r="BE36" i="3"/>
  <c r="O35" i="4" l="1"/>
  <c r="P157" i="2"/>
  <c r="P155" i="2"/>
  <c r="O120" i="3"/>
  <c r="O157" i="3"/>
  <c r="O155" i="3"/>
  <c r="O235" i="3"/>
  <c r="BG354" i="3"/>
  <c r="BI186" i="3"/>
  <c r="BE215" i="3"/>
  <c r="P103" i="4"/>
  <c r="P188" i="2" s="1"/>
  <c r="BJ17" i="9"/>
  <c r="O465" i="2"/>
  <c r="BJ16" i="9"/>
  <c r="N465" i="2"/>
  <c r="N77" i="2"/>
  <c r="BJ64" i="9"/>
  <c r="N465" i="3"/>
  <c r="O142" i="3"/>
  <c r="O144" i="3" s="1"/>
  <c r="Y65" i="9" s="1"/>
  <c r="BH186" i="3"/>
  <c r="N424" i="4"/>
  <c r="N425" i="4" s="1"/>
  <c r="N426" i="4" s="1"/>
  <c r="H442" i="4" s="1"/>
  <c r="U222" i="1" s="1"/>
  <c r="AE217" i="1" s="1"/>
  <c r="AE216" i="1" s="1"/>
  <c r="H102" i="3"/>
  <c r="H502" i="3" s="1"/>
  <c r="BH111" i="9"/>
  <c r="P206" i="3"/>
  <c r="G330" i="3"/>
  <c r="BE466" i="3"/>
  <c r="O187" i="3"/>
  <c r="O189" i="3" s="1"/>
  <c r="P40" i="3"/>
  <c r="BE299" i="3"/>
  <c r="Q175" i="4"/>
  <c r="P357" i="3"/>
  <c r="BI357" i="3" s="1"/>
  <c r="BB45" i="3"/>
  <c r="J45" i="2"/>
  <c r="O189" i="2"/>
  <c r="N365" i="1" s="1"/>
  <c r="BF298" i="3"/>
  <c r="P51" i="3"/>
  <c r="AZ164" i="3"/>
  <c r="P107" i="3"/>
  <c r="AF66" i="9" s="1"/>
  <c r="BH16" i="9"/>
  <c r="BH112" i="9" s="1"/>
  <c r="BG123" i="3"/>
  <c r="N298" i="2"/>
  <c r="N462" i="2"/>
  <c r="Q238" i="4"/>
  <c r="P240" i="4"/>
  <c r="P189" i="4"/>
  <c r="Q187" i="4"/>
  <c r="P284" i="4"/>
  <c r="Q282" i="4"/>
  <c r="BH27" i="3"/>
  <c r="O435" i="2"/>
  <c r="BH435" i="3" s="1"/>
  <c r="BF39" i="3"/>
  <c r="M41" i="2"/>
  <c r="N39" i="2"/>
  <c r="P199" i="4"/>
  <c r="Q197" i="4"/>
  <c r="BF235" i="3"/>
  <c r="BG234" i="3"/>
  <c r="AA16" i="9"/>
  <c r="AA112" i="9" s="1"/>
  <c r="N127" i="5"/>
  <c r="S64" i="9"/>
  <c r="S108" i="9"/>
  <c r="O342" i="3"/>
  <c r="P114" i="3"/>
  <c r="BE65" i="9"/>
  <c r="Q156" i="4"/>
  <c r="R154" i="4"/>
  <c r="BA46" i="3"/>
  <c r="H48" i="2"/>
  <c r="BA48" i="3" s="1"/>
  <c r="P53" i="2"/>
  <c r="BI53" i="3" s="1"/>
  <c r="P106" i="2"/>
  <c r="BI106" i="3" s="1"/>
  <c r="P79" i="2"/>
  <c r="BI79" i="3" s="1"/>
  <c r="Q5" i="2"/>
  <c r="P109" i="2"/>
  <c r="D18" i="9"/>
  <c r="P58" i="2"/>
  <c r="BI58" i="3" s="1"/>
  <c r="P179" i="3"/>
  <c r="P239" i="3"/>
  <c r="AH66" i="9"/>
  <c r="BQ66" i="9" s="1"/>
  <c r="P65" i="3"/>
  <c r="P452" i="3"/>
  <c r="P174" i="3"/>
  <c r="P280" i="3" s="1"/>
  <c r="P173" i="3"/>
  <c r="P279" i="3" s="1"/>
  <c r="Q504" i="3"/>
  <c r="Q105" i="3"/>
  <c r="Q83" i="3"/>
  <c r="Q511" i="3"/>
  <c r="Q495" i="3"/>
  <c r="Q82" i="3"/>
  <c r="Q69" i="3"/>
  <c r="Q21" i="3"/>
  <c r="Q137" i="3"/>
  <c r="Q81" i="3"/>
  <c r="Q66" i="3"/>
  <c r="Q209" i="3" s="1"/>
  <c r="Q108" i="3"/>
  <c r="Q110" i="3" s="1"/>
  <c r="Q22" i="3"/>
  <c r="Q479" i="3"/>
  <c r="Q208" i="3"/>
  <c r="Q80" i="3"/>
  <c r="Q68" i="3"/>
  <c r="Q1" i="5"/>
  <c r="C67" i="9"/>
  <c r="Q62" i="3"/>
  <c r="R4" i="3"/>
  <c r="Q78" i="3"/>
  <c r="Q67" i="3"/>
  <c r="Q42" i="3"/>
  <c r="Q26" i="3"/>
  <c r="Q434" i="3" s="1"/>
  <c r="Q24" i="3"/>
  <c r="Q432" i="3" s="1"/>
  <c r="Q27" i="3"/>
  <c r="Q435" i="3" s="1"/>
  <c r="Q25" i="3"/>
  <c r="Q433" i="3" s="1"/>
  <c r="Q23" i="3"/>
  <c r="Q431" i="3" s="1"/>
  <c r="C115" i="9"/>
  <c r="BJ112" i="9"/>
  <c r="O127" i="5"/>
  <c r="S65" i="9"/>
  <c r="M297" i="2"/>
  <c r="BF297" i="3" s="1"/>
  <c r="BF112" i="3"/>
  <c r="M178" i="2"/>
  <c r="BF178" i="3" s="1"/>
  <c r="M463" i="2"/>
  <c r="BF463" i="3" s="1"/>
  <c r="P121" i="4"/>
  <c r="Q119" i="4"/>
  <c r="P504" i="2"/>
  <c r="BI504" i="3" s="1"/>
  <c r="P511" i="2"/>
  <c r="BI511" i="3" s="1"/>
  <c r="P137" i="2"/>
  <c r="P130" i="2"/>
  <c r="BI130" i="3" s="1"/>
  <c r="P83" i="2"/>
  <c r="BI83" i="3" s="1"/>
  <c r="P68" i="2"/>
  <c r="P47" i="2"/>
  <c r="P27" i="2"/>
  <c r="P26" i="2"/>
  <c r="P25" i="2"/>
  <c r="P24" i="2"/>
  <c r="P23" i="2"/>
  <c r="C18" i="9"/>
  <c r="P108" i="2"/>
  <c r="P21" i="2"/>
  <c r="P479" i="2"/>
  <c r="BI479" i="3" s="1"/>
  <c r="P105" i="2"/>
  <c r="P81" i="2"/>
  <c r="BI81" i="3" s="1"/>
  <c r="P62" i="2"/>
  <c r="P42" i="2"/>
  <c r="BI42" i="3" s="1"/>
  <c r="P22" i="2"/>
  <c r="P389" i="2"/>
  <c r="P69" i="2"/>
  <c r="BI69" i="3" s="1"/>
  <c r="Q4" i="2"/>
  <c r="Q357" i="2" s="1"/>
  <c r="P82" i="2"/>
  <c r="P208" i="2"/>
  <c r="P78" i="2"/>
  <c r="P495" i="2"/>
  <c r="BI495" i="3" s="1"/>
  <c r="P80" i="2"/>
  <c r="P67" i="2"/>
  <c r="BI67" i="3" s="1"/>
  <c r="P66" i="2"/>
  <c r="P209" i="2" s="1"/>
  <c r="BH23" i="3"/>
  <c r="O431" i="2"/>
  <c r="BH431" i="3" s="1"/>
  <c r="O65" i="2"/>
  <c r="O173" i="2"/>
  <c r="BH62" i="3"/>
  <c r="O452" i="2"/>
  <c r="BH452" i="3" s="1"/>
  <c r="O174" i="2"/>
  <c r="N378" i="1"/>
  <c r="BH208" i="3"/>
  <c r="P194" i="4"/>
  <c r="Q192" i="4"/>
  <c r="N254" i="4"/>
  <c r="M217" i="3"/>
  <c r="M217" i="2"/>
  <c r="B271" i="1"/>
  <c r="B318" i="1" s="1"/>
  <c r="Z272" i="1"/>
  <c r="AT8" i="9"/>
  <c r="AT104" i="9" s="1"/>
  <c r="AQ104" i="9"/>
  <c r="N280" i="2"/>
  <c r="BG280" i="3" s="1"/>
  <c r="BG174" i="3"/>
  <c r="O76" i="3"/>
  <c r="O354" i="3"/>
  <c r="BH354" i="3" s="1"/>
  <c r="P131" i="4"/>
  <c r="Q129" i="4"/>
  <c r="AY331" i="3"/>
  <c r="F332" i="2"/>
  <c r="P289" i="4"/>
  <c r="Q287" i="4"/>
  <c r="P311" i="2"/>
  <c r="BH50" i="3"/>
  <c r="F508" i="3"/>
  <c r="F510" i="3" s="1"/>
  <c r="F512" i="3" s="1"/>
  <c r="F513" i="3" s="1"/>
  <c r="F348" i="3"/>
  <c r="F350" i="3" s="1"/>
  <c r="G336" i="3" s="1"/>
  <c r="G340" i="3" s="1"/>
  <c r="G13" i="3"/>
  <c r="G33" i="3" s="1"/>
  <c r="G344" i="3" s="1"/>
  <c r="BF56" i="9"/>
  <c r="BG56" i="9" s="1"/>
  <c r="F253" i="3"/>
  <c r="F254" i="3" s="1"/>
  <c r="BV56" i="9" s="1"/>
  <c r="BH137" i="3"/>
  <c r="N358" i="1"/>
  <c r="AH17" i="9"/>
  <c r="O239" i="2"/>
  <c r="BH239" i="3" s="1"/>
  <c r="O179" i="2"/>
  <c r="P311" i="4"/>
  <c r="P309" i="4"/>
  <c r="P307" i="4"/>
  <c r="P308" i="4"/>
  <c r="P305" i="4"/>
  <c r="P301" i="4"/>
  <c r="P299" i="4"/>
  <c r="P310" i="4"/>
  <c r="P302" i="4"/>
  <c r="P300" i="4"/>
  <c r="P306" i="4"/>
  <c r="P297" i="4"/>
  <c r="P298" i="4"/>
  <c r="P90" i="4"/>
  <c r="P252" i="4"/>
  <c r="P261" i="4" s="1"/>
  <c r="P172" i="4"/>
  <c r="P251" i="4"/>
  <c r="M278" i="2"/>
  <c r="BF278" i="3" s="1"/>
  <c r="BF172" i="3"/>
  <c r="P245" i="4"/>
  <c r="Q243" i="4"/>
  <c r="Q164" i="4"/>
  <c r="P166" i="4"/>
  <c r="BB57" i="3"/>
  <c r="I59" i="2"/>
  <c r="BB59" i="3" s="1"/>
  <c r="O342" i="2"/>
  <c r="P114" i="2"/>
  <c r="BE17" i="9"/>
  <c r="BH114" i="3"/>
  <c r="BH121" i="3"/>
  <c r="P121" i="3"/>
  <c r="O358" i="3"/>
  <c r="BH358" i="3" s="1"/>
  <c r="O123" i="3"/>
  <c r="BH65" i="9" s="1"/>
  <c r="N443" i="2"/>
  <c r="BG443" i="3" s="1"/>
  <c r="BG70" i="3"/>
  <c r="N289" i="2"/>
  <c r="BG289" i="3" s="1"/>
  <c r="N453" i="2"/>
  <c r="BG453" i="3" s="1"/>
  <c r="N172" i="2"/>
  <c r="BH109" i="3"/>
  <c r="O111" i="2"/>
  <c r="O297" i="3"/>
  <c r="O463" i="3"/>
  <c r="O178" i="3"/>
  <c r="G12" i="2"/>
  <c r="F252" i="2"/>
  <c r="BB8" i="9"/>
  <c r="AY116" i="3"/>
  <c r="F347" i="2"/>
  <c r="P209" i="4"/>
  <c r="Q207" i="4"/>
  <c r="BF40" i="3"/>
  <c r="N40" i="2"/>
  <c r="BD16" i="9"/>
  <c r="BD112" i="9" s="1"/>
  <c r="BG111" i="3"/>
  <c r="N338" i="2"/>
  <c r="BG339" i="3" s="1"/>
  <c r="N509" i="2"/>
  <c r="BG509" i="3" s="1"/>
  <c r="Q177" i="4"/>
  <c r="Q98" i="4"/>
  <c r="R11" i="4"/>
  <c r="Q122" i="3"/>
  <c r="Q360" i="3" s="1"/>
  <c r="O298" i="3"/>
  <c r="P120" i="2"/>
  <c r="P206" i="2"/>
  <c r="O353" i="1" s="1"/>
  <c r="P142" i="2"/>
  <c r="P142" i="3" s="1"/>
  <c r="P144" i="3" s="1"/>
  <c r="F117" i="2"/>
  <c r="P111" i="4"/>
  <c r="Q109" i="4"/>
  <c r="BB56" i="3"/>
  <c r="J56" i="2"/>
  <c r="Q139" i="4"/>
  <c r="P141" i="4"/>
  <c r="K441" i="3"/>
  <c r="K242" i="3"/>
  <c r="K151" i="3"/>
  <c r="K451" i="3"/>
  <c r="K128" i="5"/>
  <c r="K193" i="5"/>
  <c r="K288" i="3"/>
  <c r="N379" i="1"/>
  <c r="BH209" i="3"/>
  <c r="BH66" i="3"/>
  <c r="U17" i="9"/>
  <c r="U113" i="9" s="1"/>
  <c r="N376" i="1"/>
  <c r="O70" i="2"/>
  <c r="O12" i="5" s="1"/>
  <c r="O208" i="5" s="1"/>
  <c r="BH25" i="3"/>
  <c r="O433" i="2"/>
  <c r="BH433" i="3" s="1"/>
  <c r="BH68" i="3"/>
  <c r="V17" i="9"/>
  <c r="V113" i="9" s="1"/>
  <c r="O107" i="2"/>
  <c r="BH105" i="3"/>
  <c r="BH80" i="3"/>
  <c r="O236" i="2"/>
  <c r="BF462" i="3"/>
  <c r="R60" i="9"/>
  <c r="J61" i="3"/>
  <c r="J126" i="5"/>
  <c r="P29" i="4"/>
  <c r="P35" i="4" s="1"/>
  <c r="Q151" i="4"/>
  <c r="R149" i="4"/>
  <c r="BE217" i="3"/>
  <c r="K383" i="1"/>
  <c r="H152" i="2"/>
  <c r="BA152" i="3" s="1"/>
  <c r="H164" i="2"/>
  <c r="BA164" i="3" s="1"/>
  <c r="BA151" i="3"/>
  <c r="P275" i="4"/>
  <c r="Q273" i="4"/>
  <c r="AF16" i="9"/>
  <c r="BG107" i="3"/>
  <c r="N235" i="2"/>
  <c r="BG235" i="3" s="1"/>
  <c r="Q46" i="4"/>
  <c r="R45" i="4"/>
  <c r="O262" i="4"/>
  <c r="N265" i="4"/>
  <c r="P50" i="3"/>
  <c r="P52" i="3" s="1"/>
  <c r="P54" i="3" s="1"/>
  <c r="P60" i="3" s="1"/>
  <c r="F321" i="2"/>
  <c r="AY320" i="3"/>
  <c r="G489" i="2"/>
  <c r="AZ489" i="3" s="1"/>
  <c r="G96" i="2"/>
  <c r="AZ9" i="3"/>
  <c r="G11" i="2"/>
  <c r="L43" i="3"/>
  <c r="N337" i="2"/>
  <c r="BG338" i="3" s="1"/>
  <c r="BG110" i="3"/>
  <c r="N112" i="2"/>
  <c r="AZ16" i="9"/>
  <c r="AZ112" i="9" s="1"/>
  <c r="BG115" i="3"/>
  <c r="N298" i="3"/>
  <c r="N462" i="3"/>
  <c r="Q223" i="4"/>
  <c r="P225" i="4"/>
  <c r="AZ152" i="3"/>
  <c r="O442" i="3"/>
  <c r="T65" i="9"/>
  <c r="Q97" i="4"/>
  <c r="Q187" i="2" s="1"/>
  <c r="R14" i="4"/>
  <c r="Q176" i="4"/>
  <c r="BF51" i="3"/>
  <c r="N51" i="2"/>
  <c r="F118" i="3"/>
  <c r="F126" i="3" s="1"/>
  <c r="R257" i="4"/>
  <c r="R178" i="4"/>
  <c r="R102" i="4"/>
  <c r="R264" i="4"/>
  <c r="R180" i="4"/>
  <c r="S91" i="4"/>
  <c r="R99" i="4"/>
  <c r="F503" i="2"/>
  <c r="AY501" i="3"/>
  <c r="U66" i="9"/>
  <c r="P70" i="3"/>
  <c r="P192" i="5" s="1"/>
  <c r="P234" i="3"/>
  <c r="AA66" i="9" s="1"/>
  <c r="P194" i="5"/>
  <c r="P407" i="5"/>
  <c r="P430" i="3"/>
  <c r="AZ66" i="9"/>
  <c r="P337" i="3"/>
  <c r="P112" i="3"/>
  <c r="Q34" i="4"/>
  <c r="Q186" i="3"/>
  <c r="Q186" i="2"/>
  <c r="P341" i="3"/>
  <c r="BA66" i="9"/>
  <c r="Q113" i="3"/>
  <c r="P359" i="2"/>
  <c r="BD43" i="3"/>
  <c r="K49" i="2"/>
  <c r="I108" i="5"/>
  <c r="I110" i="5" s="1"/>
  <c r="I137" i="5" s="1"/>
  <c r="I143" i="5" s="1"/>
  <c r="I133" i="5"/>
  <c r="I135" i="5" s="1"/>
  <c r="R40" i="4"/>
  <c r="S39" i="4"/>
  <c r="P270" i="4"/>
  <c r="Q268" i="4"/>
  <c r="BH24" i="3"/>
  <c r="O432" i="2"/>
  <c r="BH432" i="3" s="1"/>
  <c r="BH78" i="3"/>
  <c r="O234" i="2"/>
  <c r="O14" i="5"/>
  <c r="O211" i="5" s="1"/>
  <c r="L43" i="2"/>
  <c r="BE41" i="3"/>
  <c r="BA372" i="3"/>
  <c r="H374" i="2"/>
  <c r="V112" i="9"/>
  <c r="Q79" i="3"/>
  <c r="Q53" i="3"/>
  <c r="Q2" i="5"/>
  <c r="D67" i="9"/>
  <c r="D115" i="9"/>
  <c r="Q106" i="3"/>
  <c r="Q109" i="3"/>
  <c r="Q111" i="3" s="1"/>
  <c r="R5" i="3"/>
  <c r="P204" i="4"/>
  <c r="Q202" i="4"/>
  <c r="M41" i="3"/>
  <c r="M43" i="3" s="1"/>
  <c r="M49" i="3" s="1"/>
  <c r="N39" i="3"/>
  <c r="AH112" i="9"/>
  <c r="BQ16" i="9"/>
  <c r="BQ112" i="9" s="1"/>
  <c r="BG237" i="3"/>
  <c r="AC16" i="9"/>
  <c r="AC112" i="9" s="1"/>
  <c r="N279" i="2"/>
  <c r="BG279" i="3" s="1"/>
  <c r="BG173" i="3"/>
  <c r="BG343" i="3"/>
  <c r="P230" i="4"/>
  <c r="Q228" i="4"/>
  <c r="G32" i="3"/>
  <c r="P360" i="3"/>
  <c r="BH120" i="3"/>
  <c r="BG76" i="3"/>
  <c r="P50" i="2"/>
  <c r="P52" i="2" s="1"/>
  <c r="Q218" i="4"/>
  <c r="P220" i="4"/>
  <c r="O123" i="2"/>
  <c r="P121" i="2"/>
  <c r="O358" i="2"/>
  <c r="BH359" i="3" s="1"/>
  <c r="O115" i="2"/>
  <c r="P113" i="2"/>
  <c r="O341" i="2"/>
  <c r="BH342" i="3" s="1"/>
  <c r="BH113" i="3"/>
  <c r="BA17" i="9"/>
  <c r="BA113" i="9" s="1"/>
  <c r="BJ21" i="3"/>
  <c r="BK4" i="3"/>
  <c r="BJ206" i="3"/>
  <c r="I151" i="2"/>
  <c r="I441" i="2"/>
  <c r="BB441" i="3" s="1"/>
  <c r="I242" i="2"/>
  <c r="BB242" i="3" s="1"/>
  <c r="BB61" i="3"/>
  <c r="I13" i="5"/>
  <c r="I209" i="5" s="1"/>
  <c r="I288" i="2"/>
  <c r="BB288" i="3" s="1"/>
  <c r="H362" i="1"/>
  <c r="I451" i="2"/>
  <c r="BB451" i="3" s="1"/>
  <c r="R124" i="4"/>
  <c r="Q126" i="4"/>
  <c r="BH108" i="3"/>
  <c r="O110" i="2"/>
  <c r="BH26" i="3"/>
  <c r="O434" i="2"/>
  <c r="BH434" i="3" s="1"/>
  <c r="BH22" i="3"/>
  <c r="O430" i="2"/>
  <c r="BH430" i="3" s="1"/>
  <c r="BH82" i="3"/>
  <c r="O237" i="2"/>
  <c r="Q295" i="4"/>
  <c r="R93" i="4"/>
  <c r="R96" i="4" s="1"/>
  <c r="Q30" i="4"/>
  <c r="Q89" i="4" s="1"/>
  <c r="Q274" i="2" s="1"/>
  <c r="Q1" i="4"/>
  <c r="J61" i="2"/>
  <c r="J106" i="5"/>
  <c r="R12" i="9"/>
  <c r="BC49" i="3"/>
  <c r="BG236" i="3"/>
  <c r="AB16" i="9"/>
  <c r="AB112" i="9" s="1"/>
  <c r="R43" i="4"/>
  <c r="Q44" i="4"/>
  <c r="N255" i="4"/>
  <c r="M258" i="4"/>
  <c r="M215" i="3"/>
  <c r="M215" i="2"/>
  <c r="M466" i="3"/>
  <c r="M299" i="3"/>
  <c r="H143" i="5"/>
  <c r="G143" i="5"/>
  <c r="J57" i="2"/>
  <c r="BC55" i="3"/>
  <c r="K55" i="2"/>
  <c r="AE57" i="9"/>
  <c r="AR57" i="9"/>
  <c r="G310" i="3"/>
  <c r="G311" i="3" s="1"/>
  <c r="G88" i="3" s="1"/>
  <c r="M299" i="2"/>
  <c r="M466" i="2"/>
  <c r="BF125" i="3"/>
  <c r="BD66" i="9"/>
  <c r="P509" i="3"/>
  <c r="P338" i="3"/>
  <c r="O360" i="2"/>
  <c r="P122" i="2"/>
  <c r="BH122" i="3"/>
  <c r="F281" i="2"/>
  <c r="AY281" i="3" s="1"/>
  <c r="AY175" i="3"/>
  <c r="AY249" i="3"/>
  <c r="F251" i="2"/>
  <c r="N12" i="5"/>
  <c r="N208" i="5" s="1"/>
  <c r="T16" i="9"/>
  <c r="T112" i="9" s="1"/>
  <c r="BG65" i="3"/>
  <c r="N442" i="2"/>
  <c r="BG442" i="3" s="1"/>
  <c r="N189" i="3"/>
  <c r="BG189" i="3" s="1"/>
  <c r="BG187" i="3"/>
  <c r="BE112" i="9"/>
  <c r="Q233" i="4"/>
  <c r="P235" i="4"/>
  <c r="O289" i="3"/>
  <c r="O443" i="3"/>
  <c r="O172" i="3"/>
  <c r="O278" i="3" s="1"/>
  <c r="O453" i="3"/>
  <c r="I46" i="2"/>
  <c r="BB44" i="3"/>
  <c r="J44" i="2"/>
  <c r="R114" i="4"/>
  <c r="Q116" i="4"/>
  <c r="S41" i="4"/>
  <c r="R42" i="4"/>
  <c r="Q146" i="4"/>
  <c r="R144" i="4"/>
  <c r="Q181" i="4"/>
  <c r="AW104" i="9"/>
  <c r="AY8" i="9"/>
  <c r="AY104" i="9" s="1"/>
  <c r="Q100" i="4"/>
  <c r="R92" i="4"/>
  <c r="P214" i="3"/>
  <c r="BI214" i="3" s="1"/>
  <c r="P187" i="3"/>
  <c r="BI187" i="3" s="1"/>
  <c r="P264" i="3"/>
  <c r="P188" i="3"/>
  <c r="BI188" i="3" s="1"/>
  <c r="Q7" i="3"/>
  <c r="Q357" i="3" s="1"/>
  <c r="BJ357" i="3" s="1"/>
  <c r="P3" i="5"/>
  <c r="P411" i="5" s="1"/>
  <c r="E114" i="9"/>
  <c r="E66" i="9"/>
  <c r="Q159" i="4"/>
  <c r="P161" i="4"/>
  <c r="P311" i="3"/>
  <c r="P237" i="3"/>
  <c r="AC66" i="9" s="1"/>
  <c r="V66" i="9"/>
  <c r="P236" i="3"/>
  <c r="AB66" i="9" s="1"/>
  <c r="Q264" i="2"/>
  <c r="Q214" i="2"/>
  <c r="E19" i="9"/>
  <c r="R7" i="2"/>
  <c r="P144" i="2"/>
  <c r="M458" i="3"/>
  <c r="M294" i="3"/>
  <c r="BF294" i="3" s="1"/>
  <c r="AX63" i="9"/>
  <c r="AX111" i="9" s="1"/>
  <c r="Y112" i="9"/>
  <c r="O87" i="3"/>
  <c r="O490" i="2"/>
  <c r="O307" i="2"/>
  <c r="O74" i="2"/>
  <c r="P87" i="2"/>
  <c r="O471" i="2"/>
  <c r="O243" i="2"/>
  <c r="O301" i="2"/>
  <c r="O16" i="5"/>
  <c r="Y17" i="9"/>
  <c r="N369" i="1"/>
  <c r="BG471" i="3"/>
  <c r="M454" i="3"/>
  <c r="M291" i="3"/>
  <c r="BF291" i="3" s="1"/>
  <c r="AS63" i="9"/>
  <c r="AS111" i="9" s="1"/>
  <c r="M77" i="3"/>
  <c r="BF77" i="3" s="1"/>
  <c r="N454" i="2"/>
  <c r="N291" i="2"/>
  <c r="AS16" i="9"/>
  <c r="N490" i="3"/>
  <c r="BG490" i="3" s="1"/>
  <c r="N307" i="3"/>
  <c r="BG307" i="3" s="1"/>
  <c r="N74" i="3"/>
  <c r="BG74" i="3" s="1"/>
  <c r="N458" i="2"/>
  <c r="N294" i="2"/>
  <c r="AX16" i="9"/>
  <c r="N325" i="3"/>
  <c r="BG325" i="3" s="1"/>
  <c r="N75" i="3"/>
  <c r="BG75" i="3" s="1"/>
  <c r="BH52" i="3"/>
  <c r="O54" i="2"/>
  <c r="O196" i="5"/>
  <c r="BG243" i="3"/>
  <c r="BG54" i="3"/>
  <c r="N60" i="2"/>
  <c r="O98" i="3"/>
  <c r="BH98" i="3" s="1"/>
  <c r="O325" i="2"/>
  <c r="O75" i="2"/>
  <c r="P98" i="2"/>
  <c r="P189" i="2"/>
  <c r="M107" i="5"/>
  <c r="BF60" i="3"/>
  <c r="S15" i="9"/>
  <c r="S111" i="9" s="1"/>
  <c r="N210" i="5"/>
  <c r="BG301" i="3"/>
  <c r="N16" i="3"/>
  <c r="BG16" i="3" s="1"/>
  <c r="M256" i="3"/>
  <c r="BF256" i="3" s="1"/>
  <c r="BF16" i="3"/>
  <c r="BF36" i="3"/>
  <c r="P76" i="2"/>
  <c r="P354" i="2"/>
  <c r="BE369" i="3"/>
  <c r="L372" i="3"/>
  <c r="L374" i="3" s="1"/>
  <c r="M367" i="3" s="1"/>
  <c r="M372" i="3" s="1"/>
  <c r="M374" i="3" s="1"/>
  <c r="N367" i="3" s="1"/>
  <c r="Q157" i="2" l="1"/>
  <c r="Q155" i="2"/>
  <c r="P120" i="3"/>
  <c r="P157" i="3"/>
  <c r="P155" i="3"/>
  <c r="O38" i="4"/>
  <c r="O75" i="4"/>
  <c r="O62" i="4"/>
  <c r="O243" i="3"/>
  <c r="O471" i="3"/>
  <c r="BH144" i="3"/>
  <c r="BH142" i="3"/>
  <c r="O301" i="3"/>
  <c r="BJ18" i="9"/>
  <c r="P465" i="2"/>
  <c r="BJ65" i="9"/>
  <c r="BJ113" i="9" s="1"/>
  <c r="O465" i="3"/>
  <c r="BG298" i="3"/>
  <c r="H326" i="3"/>
  <c r="P235" i="3"/>
  <c r="BI50" i="3"/>
  <c r="Q237" i="3"/>
  <c r="AC67" i="9" s="1"/>
  <c r="BH76" i="3"/>
  <c r="V67" i="9"/>
  <c r="BH189" i="3"/>
  <c r="H460" i="3"/>
  <c r="H381" i="5"/>
  <c r="N428" i="4"/>
  <c r="N430" i="4" s="1"/>
  <c r="H436" i="4" s="1"/>
  <c r="H438" i="4" s="1"/>
  <c r="H440" i="4" s="1"/>
  <c r="AU58" i="9"/>
  <c r="Q103" i="4"/>
  <c r="Q188" i="2" s="1"/>
  <c r="BF215" i="3"/>
  <c r="H296" i="3"/>
  <c r="G346" i="3"/>
  <c r="BG462" i="3"/>
  <c r="BI360" i="3"/>
  <c r="BI311" i="3"/>
  <c r="R122" i="3"/>
  <c r="R360" i="3" s="1"/>
  <c r="Q236" i="3"/>
  <c r="AB67" i="9" s="1"/>
  <c r="BH187" i="3"/>
  <c r="Q50" i="3"/>
  <c r="Q52" i="3" s="1"/>
  <c r="Q54" i="3" s="1"/>
  <c r="Q60" i="3" s="1"/>
  <c r="Q127" i="5" s="1"/>
  <c r="Q311" i="3"/>
  <c r="Q359" i="3"/>
  <c r="BC45" i="3"/>
  <c r="K45" i="2"/>
  <c r="O77" i="2"/>
  <c r="P354" i="3"/>
  <c r="BI354" i="3" s="1"/>
  <c r="P76" i="3"/>
  <c r="BI120" i="3"/>
  <c r="R186" i="3"/>
  <c r="R34" i="4"/>
  <c r="R186" i="2"/>
  <c r="Q239" i="3"/>
  <c r="Q179" i="3"/>
  <c r="AH67" i="9"/>
  <c r="BQ67" i="9" s="1"/>
  <c r="Q206" i="3"/>
  <c r="Q107" i="3"/>
  <c r="Q106" i="2"/>
  <c r="BJ106" i="3" s="1"/>
  <c r="Q79" i="2"/>
  <c r="BJ79" i="3" s="1"/>
  <c r="Q109" i="2"/>
  <c r="D19" i="9"/>
  <c r="Q53" i="2"/>
  <c r="BJ53" i="3" s="1"/>
  <c r="R5" i="2"/>
  <c r="Q58" i="2"/>
  <c r="BJ58" i="3" s="1"/>
  <c r="BE113" i="9"/>
  <c r="BF41" i="3"/>
  <c r="M43" i="2"/>
  <c r="Q284" i="4"/>
  <c r="R282" i="4"/>
  <c r="S92" i="4"/>
  <c r="R100" i="4"/>
  <c r="R233" i="4"/>
  <c r="Q235" i="4"/>
  <c r="R126" i="4"/>
  <c r="S124" i="4"/>
  <c r="BI113" i="3"/>
  <c r="BA18" i="9"/>
  <c r="BA114" i="9" s="1"/>
  <c r="P115" i="2"/>
  <c r="Q113" i="2"/>
  <c r="P341" i="2"/>
  <c r="BI342" i="3" s="1"/>
  <c r="BH17" i="9"/>
  <c r="BH113" i="9" s="1"/>
  <c r="BH123" i="3"/>
  <c r="N41" i="3"/>
  <c r="N43" i="3" s="1"/>
  <c r="N49" i="3" s="1"/>
  <c r="O39" i="3"/>
  <c r="BE43" i="3"/>
  <c r="L49" i="2"/>
  <c r="Q341" i="3"/>
  <c r="R113" i="3"/>
  <c r="BA67" i="9"/>
  <c r="AY503" i="3"/>
  <c r="F505" i="2"/>
  <c r="R97" i="4"/>
  <c r="S14" i="4"/>
  <c r="AZ11" i="3"/>
  <c r="G9" i="9"/>
  <c r="G105" i="9" s="1"/>
  <c r="J451" i="3"/>
  <c r="J288" i="3"/>
  <c r="J441" i="3"/>
  <c r="J151" i="3"/>
  <c r="J242" i="3"/>
  <c r="J166" i="3"/>
  <c r="J128" i="5"/>
  <c r="J193" i="5"/>
  <c r="BI209" i="3"/>
  <c r="O379" i="1"/>
  <c r="Q511" i="2"/>
  <c r="BJ511" i="3" s="1"/>
  <c r="Q495" i="2"/>
  <c r="BJ495" i="3" s="1"/>
  <c r="Q479" i="2"/>
  <c r="BJ479" i="3" s="1"/>
  <c r="Q105" i="2"/>
  <c r="Q81" i="2"/>
  <c r="BJ81" i="3" s="1"/>
  <c r="Q62" i="2"/>
  <c r="Q42" i="2"/>
  <c r="BJ42" i="3" s="1"/>
  <c r="Q22" i="2"/>
  <c r="Q82" i="2"/>
  <c r="Q80" i="2"/>
  <c r="Q504" i="2"/>
  <c r="BJ504" i="3" s="1"/>
  <c r="Q389" i="2"/>
  <c r="Q108" i="2"/>
  <c r="Q69" i="2"/>
  <c r="BJ69" i="3" s="1"/>
  <c r="Q21" i="2"/>
  <c r="R4" i="2"/>
  <c r="R29" i="4" s="1"/>
  <c r="Q208" i="2"/>
  <c r="Q78" i="2"/>
  <c r="Q130" i="2"/>
  <c r="BJ130" i="3" s="1"/>
  <c r="Q83" i="2"/>
  <c r="BJ83" i="3" s="1"/>
  <c r="Q47" i="2"/>
  <c r="BJ47" i="3" s="1"/>
  <c r="Q24" i="2"/>
  <c r="Q26" i="2"/>
  <c r="Q137" i="2"/>
  <c r="Q68" i="2"/>
  <c r="Q27" i="2"/>
  <c r="Q25" i="2"/>
  <c r="Q23" i="2"/>
  <c r="C19" i="9"/>
  <c r="Q66" i="2"/>
  <c r="Q209" i="2" s="1"/>
  <c r="Q67" i="2"/>
  <c r="BJ67" i="3" s="1"/>
  <c r="BI24" i="3"/>
  <c r="P432" i="2"/>
  <c r="BI432" i="3" s="1"/>
  <c r="BI47" i="3"/>
  <c r="Q337" i="3"/>
  <c r="AZ67" i="9"/>
  <c r="Q112" i="3"/>
  <c r="P442" i="3"/>
  <c r="T66" i="9"/>
  <c r="BI109" i="3"/>
  <c r="P111" i="2"/>
  <c r="Q359" i="2"/>
  <c r="BJ360" i="3" s="1"/>
  <c r="BU8" i="9"/>
  <c r="BU104" i="9" s="1"/>
  <c r="AY251" i="3"/>
  <c r="R44" i="4"/>
  <c r="S43" i="4"/>
  <c r="J451" i="2"/>
  <c r="BC61" i="3"/>
  <c r="J242" i="2"/>
  <c r="J13" i="5"/>
  <c r="J441" i="2"/>
  <c r="J288" i="2"/>
  <c r="I362" i="1"/>
  <c r="J151" i="2"/>
  <c r="I164" i="2"/>
  <c r="BB164" i="3" s="1"/>
  <c r="BB151" i="3"/>
  <c r="I152" i="2"/>
  <c r="BB152" i="3" s="1"/>
  <c r="O298" i="2"/>
  <c r="BH298" i="3" s="1"/>
  <c r="O462" i="2"/>
  <c r="BH462" i="3" s="1"/>
  <c r="BH115" i="3"/>
  <c r="I367" i="2"/>
  <c r="BA374" i="3"/>
  <c r="P453" i="3"/>
  <c r="P443" i="3"/>
  <c r="P172" i="3"/>
  <c r="P278" i="3" s="1"/>
  <c r="P289" i="3"/>
  <c r="R175" i="4"/>
  <c r="R176" i="4" s="1"/>
  <c r="G306" i="2"/>
  <c r="H258" i="1"/>
  <c r="AY321" i="3"/>
  <c r="K164" i="3"/>
  <c r="K152" i="3"/>
  <c r="BI121" i="3"/>
  <c r="Q121" i="3"/>
  <c r="Q123" i="3" s="1"/>
  <c r="BH67" i="9" s="1"/>
  <c r="P358" i="3"/>
  <c r="BI358" i="3" s="1"/>
  <c r="B272" i="1"/>
  <c r="B319" i="1" s="1"/>
  <c r="Z273" i="1"/>
  <c r="Q234" i="3"/>
  <c r="AA67" i="9" s="1"/>
  <c r="Q194" i="5"/>
  <c r="BI142" i="3"/>
  <c r="Q206" i="2"/>
  <c r="P353" i="1" s="1"/>
  <c r="P189" i="3"/>
  <c r="BI189" i="3" s="1"/>
  <c r="R146" i="4"/>
  <c r="S144" i="4"/>
  <c r="I48" i="2"/>
  <c r="BB48" i="3" s="1"/>
  <c r="BB46" i="3"/>
  <c r="P360" i="2"/>
  <c r="Q122" i="2"/>
  <c r="BI122" i="3"/>
  <c r="G91" i="3"/>
  <c r="G312" i="3"/>
  <c r="BF299" i="3"/>
  <c r="M216" i="3"/>
  <c r="M216" i="2"/>
  <c r="Q29" i="4"/>
  <c r="Q35" i="4" s="1"/>
  <c r="Q220" i="4"/>
  <c r="R218" i="4"/>
  <c r="G343" i="3"/>
  <c r="G345" i="3" s="1"/>
  <c r="G34" i="3"/>
  <c r="O57" i="9" s="1"/>
  <c r="R202" i="4"/>
  <c r="Q204" i="4"/>
  <c r="BD67" i="9"/>
  <c r="Q338" i="3"/>
  <c r="Q509" i="3"/>
  <c r="BH234" i="3"/>
  <c r="AA17" i="9"/>
  <c r="AA113" i="9" s="1"/>
  <c r="Q270" i="4"/>
  <c r="R268" i="4"/>
  <c r="P463" i="3"/>
  <c r="P178" i="3"/>
  <c r="P297" i="3"/>
  <c r="S257" i="4"/>
  <c r="S180" i="4"/>
  <c r="S99" i="4"/>
  <c r="S264" i="4"/>
  <c r="S102" i="4"/>
  <c r="T91" i="4"/>
  <c r="S178" i="4"/>
  <c r="Q225" i="4"/>
  <c r="R223" i="4"/>
  <c r="AR9" i="9"/>
  <c r="AR105" i="9" s="1"/>
  <c r="AE9" i="9"/>
  <c r="AE105" i="9" s="1"/>
  <c r="G310" i="2"/>
  <c r="AZ310" i="3" s="1"/>
  <c r="AZ96" i="3"/>
  <c r="S45" i="4"/>
  <c r="R46" i="4"/>
  <c r="AF112" i="9"/>
  <c r="AF17" i="9"/>
  <c r="AF113" i="9" s="1"/>
  <c r="BH107" i="3"/>
  <c r="O235" i="2"/>
  <c r="BH235" i="3" s="1"/>
  <c r="BC56" i="3"/>
  <c r="K56" i="2"/>
  <c r="BB104" i="9"/>
  <c r="BC8" i="9"/>
  <c r="BC104" i="9" s="1"/>
  <c r="O338" i="2"/>
  <c r="BH339" i="3" s="1"/>
  <c r="O509" i="2"/>
  <c r="BH509" i="3" s="1"/>
  <c r="BH111" i="3"/>
  <c r="BD17" i="9"/>
  <c r="BD113" i="9" s="1"/>
  <c r="N278" i="2"/>
  <c r="BG278" i="3" s="1"/>
  <c r="BG172" i="3"/>
  <c r="R192" i="4"/>
  <c r="Q194" i="4"/>
  <c r="O279" i="2"/>
  <c r="BH279" i="3" s="1"/>
  <c r="BH173" i="3"/>
  <c r="O378" i="1"/>
  <c r="BI208" i="3"/>
  <c r="BI26" i="3"/>
  <c r="P434" i="2"/>
  <c r="BI434" i="3" s="1"/>
  <c r="R511" i="3"/>
  <c r="R137" i="3"/>
  <c r="R108" i="3"/>
  <c r="R110" i="3" s="1"/>
  <c r="R82" i="3"/>
  <c r="R479" i="3"/>
  <c r="R81" i="3"/>
  <c r="R66" i="3"/>
  <c r="R209" i="3" s="1"/>
  <c r="R80" i="3"/>
  <c r="R78" i="3"/>
  <c r="R67" i="3"/>
  <c r="R62" i="3"/>
  <c r="R42" i="3"/>
  <c r="R27" i="3"/>
  <c r="R435" i="3" s="1"/>
  <c r="R26" i="3"/>
  <c r="R434" i="3" s="1"/>
  <c r="R25" i="3"/>
  <c r="R433" i="3" s="1"/>
  <c r="R24" i="3"/>
  <c r="R432" i="3" s="1"/>
  <c r="R23" i="3"/>
  <c r="R431" i="3" s="1"/>
  <c r="R495" i="3"/>
  <c r="R68" i="3"/>
  <c r="R21" i="3"/>
  <c r="R1" i="5"/>
  <c r="R208" i="3"/>
  <c r="R69" i="3"/>
  <c r="R504" i="3"/>
  <c r="R105" i="3"/>
  <c r="S4" i="3"/>
  <c r="C68" i="9"/>
  <c r="R83" i="3"/>
  <c r="R22" i="3"/>
  <c r="C116" i="9"/>
  <c r="Q40" i="3"/>
  <c r="BI114" i="3"/>
  <c r="P342" i="3"/>
  <c r="Q114" i="3"/>
  <c r="Q115" i="3" s="1"/>
  <c r="Q462" i="3" s="1"/>
  <c r="BE66" i="9"/>
  <c r="Q199" i="4"/>
  <c r="R197" i="4"/>
  <c r="Q240" i="4"/>
  <c r="R238" i="4"/>
  <c r="P115" i="3"/>
  <c r="J46" i="2"/>
  <c r="BC44" i="3"/>
  <c r="K44" i="2"/>
  <c r="J108" i="5"/>
  <c r="J110" i="5" s="1"/>
  <c r="J133" i="5"/>
  <c r="J135" i="5" s="1"/>
  <c r="T39" i="4"/>
  <c r="S40" i="4"/>
  <c r="BD49" i="3"/>
  <c r="K61" i="2"/>
  <c r="K106" i="5"/>
  <c r="R13" i="9"/>
  <c r="R109" i="9" s="1"/>
  <c r="F177" i="3"/>
  <c r="F282" i="3" s="1"/>
  <c r="F284" i="3" s="1"/>
  <c r="F464" i="3"/>
  <c r="R109" i="4"/>
  <c r="Q111" i="4"/>
  <c r="S11" i="4"/>
  <c r="R177" i="4"/>
  <c r="R181" i="4" s="1"/>
  <c r="R98" i="4"/>
  <c r="R103" i="4" s="1"/>
  <c r="R188" i="2" s="1"/>
  <c r="AY348" i="3"/>
  <c r="F349" i="2"/>
  <c r="G32" i="2"/>
  <c r="AZ12" i="3"/>
  <c r="Q245" i="4"/>
  <c r="R243" i="4"/>
  <c r="BI137" i="3"/>
  <c r="AH18" i="9"/>
  <c r="P239" i="2"/>
  <c r="BI239" i="3" s="1"/>
  <c r="P179" i="2"/>
  <c r="BI179" i="3" s="1"/>
  <c r="O358" i="1"/>
  <c r="N41" i="2"/>
  <c r="BG39" i="3"/>
  <c r="O39" i="2"/>
  <c r="Q142" i="2"/>
  <c r="Q144" i="2" s="1"/>
  <c r="Q311" i="2"/>
  <c r="S42" i="4"/>
  <c r="T41" i="4"/>
  <c r="K57" i="2"/>
  <c r="BD55" i="3"/>
  <c r="L55" i="2"/>
  <c r="R295" i="4"/>
  <c r="R30" i="4"/>
  <c r="R89" i="4" s="1"/>
  <c r="R274" i="2" s="1"/>
  <c r="R1" i="4"/>
  <c r="S93" i="4"/>
  <c r="AZ17" i="9"/>
  <c r="AZ113" i="9" s="1"/>
  <c r="O337" i="2"/>
  <c r="BH338" i="3" s="1"/>
  <c r="O112" i="2"/>
  <c r="BH110" i="3"/>
  <c r="G14" i="3"/>
  <c r="H57" i="9" s="1"/>
  <c r="R63" i="9"/>
  <c r="M61" i="3"/>
  <c r="M126" i="5"/>
  <c r="R79" i="3"/>
  <c r="R106" i="3"/>
  <c r="D68" i="9"/>
  <c r="R109" i="3"/>
  <c r="S5" i="3"/>
  <c r="D116" i="9"/>
  <c r="R53" i="3"/>
  <c r="R2" i="5"/>
  <c r="BG51" i="3"/>
  <c r="O51" i="2"/>
  <c r="P262" i="4"/>
  <c r="O265" i="4"/>
  <c r="P88" i="4"/>
  <c r="P273" i="2" s="1"/>
  <c r="R139" i="4"/>
  <c r="Q141" i="4"/>
  <c r="Q209" i="4"/>
  <c r="R207" i="4"/>
  <c r="P342" i="2"/>
  <c r="BE18" i="9"/>
  <c r="Q114" i="2"/>
  <c r="P123" i="3"/>
  <c r="BH66" i="9" s="1"/>
  <c r="BH179" i="3"/>
  <c r="G324" i="2"/>
  <c r="AY332" i="3"/>
  <c r="O254" i="4"/>
  <c r="N217" i="3"/>
  <c r="N217" i="2"/>
  <c r="BI66" i="3"/>
  <c r="O376" i="1"/>
  <c r="U18" i="9"/>
  <c r="U114" i="9" s="1"/>
  <c r="P70" i="2"/>
  <c r="BI78" i="3"/>
  <c r="P234" i="2"/>
  <c r="P14" i="5"/>
  <c r="P211" i="5" s="1"/>
  <c r="BI22" i="3"/>
  <c r="P430" i="2"/>
  <c r="BI430" i="3" s="1"/>
  <c r="BI105" i="3"/>
  <c r="P107" i="2"/>
  <c r="BI108" i="3"/>
  <c r="P110" i="2"/>
  <c r="BI25" i="3"/>
  <c r="P433" i="2"/>
  <c r="BI433" i="3" s="1"/>
  <c r="BI68" i="3"/>
  <c r="V18" i="9"/>
  <c r="Q120" i="2"/>
  <c r="Q354" i="2" s="1"/>
  <c r="Q50" i="2"/>
  <c r="Q161" i="4"/>
  <c r="R159" i="4"/>
  <c r="Q214" i="3"/>
  <c r="BJ214" i="3" s="1"/>
  <c r="Q188" i="3"/>
  <c r="BJ188" i="3" s="1"/>
  <c r="Q187" i="3"/>
  <c r="BJ187" i="3" s="1"/>
  <c r="Q3" i="5"/>
  <c r="Q411" i="5" s="1"/>
  <c r="Q264" i="3"/>
  <c r="R7" i="3"/>
  <c r="E115" i="9"/>
  <c r="E67" i="9"/>
  <c r="R116" i="4"/>
  <c r="S114" i="4"/>
  <c r="BC57" i="3"/>
  <c r="J59" i="2"/>
  <c r="BC59" i="3" s="1"/>
  <c r="BF466" i="3"/>
  <c r="O255" i="4"/>
  <c r="N215" i="3"/>
  <c r="N258" i="4"/>
  <c r="N215" i="2"/>
  <c r="R108" i="9"/>
  <c r="Q311" i="4"/>
  <c r="Q310" i="4"/>
  <c r="Q309" i="4"/>
  <c r="Q308" i="4"/>
  <c r="Q307" i="4"/>
  <c r="Q302" i="4"/>
  <c r="Q301" i="4"/>
  <c r="Q300" i="4"/>
  <c r="Q299" i="4"/>
  <c r="Q298" i="4"/>
  <c r="Q306" i="4"/>
  <c r="Q297" i="4"/>
  <c r="Q305" i="4"/>
  <c r="Q90" i="4"/>
  <c r="Q252" i="4"/>
  <c r="Q261" i="4" s="1"/>
  <c r="Q172" i="4"/>
  <c r="Q251" i="4"/>
  <c r="BH237" i="3"/>
  <c r="AC17" i="9"/>
  <c r="AC113" i="9" s="1"/>
  <c r="BK206" i="3"/>
  <c r="BK21" i="3"/>
  <c r="BL4" i="3"/>
  <c r="P123" i="2"/>
  <c r="P358" i="2"/>
  <c r="BI359" i="3" s="1"/>
  <c r="Q121" i="2"/>
  <c r="Q230" i="4"/>
  <c r="R228" i="4"/>
  <c r="Q51" i="3"/>
  <c r="BJ186" i="3"/>
  <c r="N297" i="2"/>
  <c r="BG297" i="3" s="1"/>
  <c r="N463" i="2"/>
  <c r="BG463" i="3" s="1"/>
  <c r="BG112" i="3"/>
  <c r="N178" i="2"/>
  <c r="BG178" i="3" s="1"/>
  <c r="L49" i="3"/>
  <c r="P127" i="5"/>
  <c r="S66" i="9"/>
  <c r="Q275" i="4"/>
  <c r="R273" i="4"/>
  <c r="R151" i="4"/>
  <c r="S149" i="4"/>
  <c r="BH236" i="3"/>
  <c r="AB17" i="9"/>
  <c r="AB113" i="9" s="1"/>
  <c r="O453" i="2"/>
  <c r="BH453" i="3" s="1"/>
  <c r="O443" i="2"/>
  <c r="BH443" i="3" s="1"/>
  <c r="O289" i="2"/>
  <c r="BH289" i="3" s="1"/>
  <c r="BH70" i="3"/>
  <c r="O172" i="2"/>
  <c r="F348" i="2"/>
  <c r="F508" i="2"/>
  <c r="AY117" i="3"/>
  <c r="BF8" i="9"/>
  <c r="G13" i="2"/>
  <c r="G14" i="2" s="1"/>
  <c r="F253" i="2"/>
  <c r="AY253" i="3" s="1"/>
  <c r="BG40" i="3"/>
  <c r="O40" i="2"/>
  <c r="F118" i="2"/>
  <c r="AY252" i="3"/>
  <c r="Q166" i="4"/>
  <c r="R164" i="4"/>
  <c r="AH113" i="9"/>
  <c r="BQ17" i="9"/>
  <c r="BQ113" i="9" s="1"/>
  <c r="Q289" i="4"/>
  <c r="R287" i="4"/>
  <c r="R129" i="4"/>
  <c r="Q131" i="4"/>
  <c r="BF217" i="3"/>
  <c r="BH174" i="3"/>
  <c r="O280" i="2"/>
  <c r="BH280" i="3" s="1"/>
  <c r="T17" i="9"/>
  <c r="T113" i="9" s="1"/>
  <c r="BH65" i="3"/>
  <c r="O442" i="2"/>
  <c r="BH442" i="3" s="1"/>
  <c r="BI80" i="3"/>
  <c r="P236" i="2"/>
  <c r="P237" i="2"/>
  <c r="BI82" i="3"/>
  <c r="BI62" i="3"/>
  <c r="P65" i="2"/>
  <c r="P174" i="2"/>
  <c r="P173" i="2"/>
  <c r="P452" i="2"/>
  <c r="BI452" i="3" s="1"/>
  <c r="BI23" i="3"/>
  <c r="P431" i="2"/>
  <c r="BI431" i="3" s="1"/>
  <c r="P435" i="2"/>
  <c r="BI435" i="3" s="1"/>
  <c r="BI27" i="3"/>
  <c r="R119" i="4"/>
  <c r="Q121" i="4"/>
  <c r="Q452" i="3"/>
  <c r="Q174" i="3"/>
  <c r="Q280" i="3" s="1"/>
  <c r="Q65" i="3"/>
  <c r="Q173" i="3"/>
  <c r="Q279" i="3" s="1"/>
  <c r="Q430" i="3"/>
  <c r="Q407" i="5"/>
  <c r="Q70" i="3"/>
  <c r="Q192" i="5" s="1"/>
  <c r="U67" i="9"/>
  <c r="R156" i="4"/>
  <c r="S154" i="4"/>
  <c r="BH343" i="3"/>
  <c r="R187" i="4"/>
  <c r="Q189" i="4"/>
  <c r="O365" i="1"/>
  <c r="O210" i="5"/>
  <c r="O454" i="2"/>
  <c r="O291" i="2"/>
  <c r="AS17" i="9"/>
  <c r="O490" i="3"/>
  <c r="BH490" i="3" s="1"/>
  <c r="O307" i="3"/>
  <c r="BH307" i="3" s="1"/>
  <c r="O74" i="3"/>
  <c r="BH74" i="3" s="1"/>
  <c r="BI144" i="3"/>
  <c r="P471" i="2"/>
  <c r="P243" i="2"/>
  <c r="P301" i="2"/>
  <c r="P16" i="5"/>
  <c r="Y18" i="9"/>
  <c r="O369" i="1"/>
  <c r="M134" i="5"/>
  <c r="BH301" i="3"/>
  <c r="BI52" i="3"/>
  <c r="P54" i="2"/>
  <c r="P98" i="3"/>
  <c r="P325" i="2"/>
  <c r="P75" i="2"/>
  <c r="Q98" i="2"/>
  <c r="O325" i="3"/>
  <c r="BH325" i="3" s="1"/>
  <c r="O75" i="3"/>
  <c r="BH75" i="3" s="1"/>
  <c r="BH54" i="3"/>
  <c r="O60" i="2"/>
  <c r="N458" i="3"/>
  <c r="N294" i="3"/>
  <c r="BG294" i="3" s="1"/>
  <c r="AX64" i="9"/>
  <c r="AX112" i="9" s="1"/>
  <c r="N454" i="3"/>
  <c r="N291" i="3"/>
  <c r="BG291" i="3" s="1"/>
  <c r="AS64" i="9"/>
  <c r="AS112" i="9" s="1"/>
  <c r="N77" i="3"/>
  <c r="BG77" i="3" s="1"/>
  <c r="BH243" i="3"/>
  <c r="R264" i="2"/>
  <c r="R214" i="2"/>
  <c r="R187" i="2"/>
  <c r="E20" i="9"/>
  <c r="S7" i="2"/>
  <c r="Q189" i="2"/>
  <c r="O294" i="2"/>
  <c r="O458" i="2"/>
  <c r="AX17" i="9"/>
  <c r="N107" i="5"/>
  <c r="N134" i="5" s="1"/>
  <c r="S16" i="9"/>
  <c r="S112" i="9" s="1"/>
  <c r="BG60" i="3"/>
  <c r="Y113" i="9"/>
  <c r="BH471" i="3"/>
  <c r="P490" i="2"/>
  <c r="P87" i="3"/>
  <c r="BI87" i="3" s="1"/>
  <c r="P307" i="2"/>
  <c r="Q87" i="2"/>
  <c r="P74" i="2"/>
  <c r="P77" i="2" s="1"/>
  <c r="BH87" i="3"/>
  <c r="P471" i="3"/>
  <c r="P301" i="3"/>
  <c r="P243" i="3"/>
  <c r="P196" i="5"/>
  <c r="Y66" i="9"/>
  <c r="N124" i="3"/>
  <c r="R155" i="2" l="1"/>
  <c r="R157" i="2"/>
  <c r="Q120" i="3"/>
  <c r="Q157" i="3"/>
  <c r="Q155" i="3"/>
  <c r="R35" i="4"/>
  <c r="P38" i="4"/>
  <c r="P62" i="4"/>
  <c r="P75" i="4"/>
  <c r="S67" i="9"/>
  <c r="J209" i="5"/>
  <c r="BJ50" i="3"/>
  <c r="BK186" i="3"/>
  <c r="BJ66" i="9"/>
  <c r="BJ114" i="9" s="1"/>
  <c r="P465" i="3"/>
  <c r="BI76" i="3"/>
  <c r="R236" i="3"/>
  <c r="AB68" i="9" s="1"/>
  <c r="S122" i="3"/>
  <c r="S360" i="3" s="1"/>
  <c r="R357" i="2"/>
  <c r="U213" i="1"/>
  <c r="U216" i="1" s="1"/>
  <c r="U218" i="1" s="1"/>
  <c r="U220" i="1" s="1"/>
  <c r="R311" i="2"/>
  <c r="R359" i="2"/>
  <c r="BK360" i="3" s="1"/>
  <c r="BG217" i="3"/>
  <c r="R206" i="2"/>
  <c r="Q353" i="1" s="1"/>
  <c r="R51" i="3"/>
  <c r="BC242" i="3"/>
  <c r="F254" i="2"/>
  <c r="AY254" i="3" s="1"/>
  <c r="BJ311" i="3"/>
  <c r="R40" i="3"/>
  <c r="BD45" i="3"/>
  <c r="L45" i="2"/>
  <c r="Q52" i="2"/>
  <c r="BJ52" i="3" s="1"/>
  <c r="BC451" i="3"/>
  <c r="R357" i="3"/>
  <c r="BK357" i="3" s="1"/>
  <c r="Q189" i="3"/>
  <c r="BJ189" i="3" s="1"/>
  <c r="Q354" i="3"/>
  <c r="BJ354" i="3" s="1"/>
  <c r="Q76" i="3"/>
  <c r="T154" i="4"/>
  <c r="S156" i="4"/>
  <c r="BI174" i="3"/>
  <c r="P280" i="2"/>
  <c r="BI280" i="3" s="1"/>
  <c r="BH40" i="3"/>
  <c r="P40" i="2"/>
  <c r="S273" i="4"/>
  <c r="R275" i="4"/>
  <c r="BL206" i="3"/>
  <c r="BM4" i="3"/>
  <c r="BL21" i="3"/>
  <c r="BJ120" i="3"/>
  <c r="P172" i="2"/>
  <c r="BI70" i="3"/>
  <c r="P443" i="2"/>
  <c r="BI443" i="3" s="1"/>
  <c r="P453" i="2"/>
  <c r="BI453" i="3" s="1"/>
  <c r="P289" i="2"/>
  <c r="BI289" i="3" s="1"/>
  <c r="BE19" i="9"/>
  <c r="Q342" i="2"/>
  <c r="R114" i="2"/>
  <c r="BJ114" i="3"/>
  <c r="AH114" i="9"/>
  <c r="BQ18" i="9"/>
  <c r="BQ114" i="9" s="1"/>
  <c r="R234" i="3"/>
  <c r="AA68" i="9" s="1"/>
  <c r="R194" i="5"/>
  <c r="R337" i="3"/>
  <c r="AZ68" i="9"/>
  <c r="BF216" i="3"/>
  <c r="L383" i="1"/>
  <c r="AP57" i="9"/>
  <c r="G491" i="3"/>
  <c r="G493" i="3" s="1"/>
  <c r="G494" i="3" s="1"/>
  <c r="G496" i="3" s="1"/>
  <c r="G497" i="3" s="1"/>
  <c r="H93" i="3"/>
  <c r="G455" i="3"/>
  <c r="G29" i="3"/>
  <c r="G292" i="3"/>
  <c r="H92" i="3"/>
  <c r="J152" i="2"/>
  <c r="BC151" i="3"/>
  <c r="J164" i="2"/>
  <c r="BJ66" i="3"/>
  <c r="U19" i="9"/>
  <c r="U115" i="9" s="1"/>
  <c r="P376" i="1"/>
  <c r="Q70" i="2"/>
  <c r="BJ22" i="3"/>
  <c r="Q430" i="2"/>
  <c r="BJ430" i="3" s="1"/>
  <c r="BJ105" i="3"/>
  <c r="Q107" i="2"/>
  <c r="O41" i="3"/>
  <c r="O43" i="3" s="1"/>
  <c r="O49" i="3" s="1"/>
  <c r="P39" i="3"/>
  <c r="S233" i="4"/>
  <c r="R235" i="4"/>
  <c r="R53" i="2"/>
  <c r="BK53" i="3" s="1"/>
  <c r="S5" i="2"/>
  <c r="R109" i="2"/>
  <c r="BK109" i="3" s="1"/>
  <c r="R58" i="2"/>
  <c r="BK58" i="3" s="1"/>
  <c r="D20" i="9"/>
  <c r="R79" i="2"/>
  <c r="BK79" i="3" s="1"/>
  <c r="R106" i="2"/>
  <c r="BK106" i="3" s="1"/>
  <c r="Q76" i="2"/>
  <c r="Q465" i="2" s="1"/>
  <c r="Q142" i="3"/>
  <c r="T18" i="9"/>
  <c r="T114" i="9" s="1"/>
  <c r="BI65" i="3"/>
  <c r="P442" i="2"/>
  <c r="BI442" i="3" s="1"/>
  <c r="BI236" i="3"/>
  <c r="AB18" i="9"/>
  <c r="AB114" i="9" s="1"/>
  <c r="L61" i="3"/>
  <c r="L126" i="5"/>
  <c r="R62" i="9"/>
  <c r="S295" i="4"/>
  <c r="T93" i="4"/>
  <c r="S30" i="4"/>
  <c r="S89" i="4" s="1"/>
  <c r="S274" i="2" s="1"/>
  <c r="S1" i="4"/>
  <c r="R111" i="4"/>
  <c r="S109" i="4"/>
  <c r="J48" i="2"/>
  <c r="BC48" i="3" s="1"/>
  <c r="BC46" i="3"/>
  <c r="S238" i="4"/>
  <c r="R240" i="4"/>
  <c r="BE114" i="9"/>
  <c r="R430" i="3"/>
  <c r="R407" i="5"/>
  <c r="R239" i="3"/>
  <c r="R179" i="3"/>
  <c r="AH68" i="9"/>
  <c r="BQ68" i="9" s="1"/>
  <c r="S175" i="4"/>
  <c r="S176" i="4" s="1"/>
  <c r="I372" i="2"/>
  <c r="BB367" i="3"/>
  <c r="S44" i="4"/>
  <c r="T43" i="4"/>
  <c r="BD18" i="9"/>
  <c r="BD114" i="9" s="1"/>
  <c r="P509" i="2"/>
  <c r="BI509" i="3" s="1"/>
  <c r="P338" i="2"/>
  <c r="BI339" i="3" s="1"/>
  <c r="BI111" i="3"/>
  <c r="T14" i="4"/>
  <c r="N61" i="3"/>
  <c r="R64" i="9"/>
  <c r="N126" i="5"/>
  <c r="R50" i="2"/>
  <c r="R52" i="2" s="1"/>
  <c r="R142" i="2"/>
  <c r="R142" i="3" s="1"/>
  <c r="R144" i="3" s="1"/>
  <c r="R189" i="4"/>
  <c r="S187" i="4"/>
  <c r="R131" i="4"/>
  <c r="S129" i="4"/>
  <c r="AY508" i="3"/>
  <c r="F510" i="2"/>
  <c r="S151" i="4"/>
  <c r="T149" i="4"/>
  <c r="P255" i="4"/>
  <c r="O258" i="4"/>
  <c r="O215" i="3"/>
  <c r="O215" i="2"/>
  <c r="BI234" i="3"/>
  <c r="AA18" i="9"/>
  <c r="AA114" i="9" s="1"/>
  <c r="P254" i="4"/>
  <c r="O217" i="3"/>
  <c r="O217" i="2"/>
  <c r="S106" i="3"/>
  <c r="S109" i="3"/>
  <c r="S53" i="3"/>
  <c r="T5" i="3"/>
  <c r="D69" i="9"/>
  <c r="S2" i="5"/>
  <c r="D117" i="9"/>
  <c r="S79" i="3"/>
  <c r="M451" i="3"/>
  <c r="M441" i="3"/>
  <c r="M288" i="3"/>
  <c r="M242" i="3"/>
  <c r="M151" i="3"/>
  <c r="M193" i="5"/>
  <c r="M128" i="5"/>
  <c r="O178" i="2"/>
  <c r="BH178" i="3" s="1"/>
  <c r="O297" i="2"/>
  <c r="BH297" i="3" s="1"/>
  <c r="BH112" i="3"/>
  <c r="O463" i="2"/>
  <c r="BH463" i="3" s="1"/>
  <c r="R306" i="4"/>
  <c r="R309" i="4"/>
  <c r="R305" i="4"/>
  <c r="R297" i="4"/>
  <c r="R307" i="4"/>
  <c r="R311" i="4"/>
  <c r="R310" i="4"/>
  <c r="R300" i="4"/>
  <c r="R308" i="4"/>
  <c r="R299" i="4"/>
  <c r="R298" i="4"/>
  <c r="R302" i="4"/>
  <c r="R301" i="4"/>
  <c r="R172" i="4"/>
  <c r="R90" i="4"/>
  <c r="R252" i="4"/>
  <c r="R261" i="4" s="1"/>
  <c r="R251" i="4"/>
  <c r="BE55" i="3"/>
  <c r="L57" i="2"/>
  <c r="M55" i="2"/>
  <c r="O41" i="2"/>
  <c r="BH39" i="3"/>
  <c r="P39" i="2"/>
  <c r="S243" i="4"/>
  <c r="R245" i="4"/>
  <c r="AZ32" i="3"/>
  <c r="G343" i="2"/>
  <c r="AZ344" i="3" s="1"/>
  <c r="F363" i="3"/>
  <c r="F467" i="3"/>
  <c r="F474" i="3" s="1"/>
  <c r="F476" i="3" s="1"/>
  <c r="F478" i="3" s="1"/>
  <c r="G15" i="3"/>
  <c r="F255" i="3"/>
  <c r="F257" i="3" s="1"/>
  <c r="BW56" i="9" s="1"/>
  <c r="BI56" i="9"/>
  <c r="BL56" i="9" s="1"/>
  <c r="BR56" i="9" s="1"/>
  <c r="K133" i="5"/>
  <c r="K135" i="5" s="1"/>
  <c r="K108" i="5"/>
  <c r="K110" i="5" s="1"/>
  <c r="T40" i="4"/>
  <c r="U39" i="4"/>
  <c r="BE67" i="9"/>
  <c r="Q342" i="3"/>
  <c r="R114" i="3"/>
  <c r="S495" i="3"/>
  <c r="S479" i="3"/>
  <c r="S208" i="3"/>
  <c r="S81" i="3"/>
  <c r="S511" i="3"/>
  <c r="S137" i="3"/>
  <c r="S80" i="3"/>
  <c r="S78" i="3"/>
  <c r="S67" i="3"/>
  <c r="S62" i="3"/>
  <c r="S42" i="3"/>
  <c r="S27" i="3"/>
  <c r="S435" i="3" s="1"/>
  <c r="S26" i="3"/>
  <c r="S434" i="3" s="1"/>
  <c r="S25" i="3"/>
  <c r="S433" i="3" s="1"/>
  <c r="S24" i="3"/>
  <c r="S432" i="3" s="1"/>
  <c r="S23" i="3"/>
  <c r="S431" i="3" s="1"/>
  <c r="S68" i="3"/>
  <c r="S22" i="3"/>
  <c r="T4" i="3"/>
  <c r="S504" i="3"/>
  <c r="S105" i="3"/>
  <c r="S82" i="3"/>
  <c r="S66" i="3"/>
  <c r="S209" i="3" s="1"/>
  <c r="S108" i="3"/>
  <c r="S110" i="3" s="1"/>
  <c r="S83" i="3"/>
  <c r="S69" i="3"/>
  <c r="C69" i="9"/>
  <c r="S21" i="3"/>
  <c r="S1" i="5"/>
  <c r="C117" i="9"/>
  <c r="V68" i="9"/>
  <c r="R452" i="3"/>
  <c r="R174" i="3"/>
  <c r="R280" i="3" s="1"/>
  <c r="R65" i="3"/>
  <c r="R173" i="3"/>
  <c r="R279" i="3" s="1"/>
  <c r="R194" i="4"/>
  <c r="S192" i="4"/>
  <c r="S223" i="4"/>
  <c r="R225" i="4"/>
  <c r="S268" i="4"/>
  <c r="R270" i="4"/>
  <c r="R204" i="4"/>
  <c r="S202" i="4"/>
  <c r="Q360" i="2"/>
  <c r="R122" i="2"/>
  <c r="BJ122" i="3"/>
  <c r="S146" i="4"/>
  <c r="T144" i="4"/>
  <c r="BJ121" i="3"/>
  <c r="R121" i="3"/>
  <c r="Q358" i="3"/>
  <c r="BJ358" i="3" s="1"/>
  <c r="BC288" i="3"/>
  <c r="Q431" i="2"/>
  <c r="BJ431" i="3" s="1"/>
  <c r="BJ23" i="3"/>
  <c r="AH19" i="9"/>
  <c r="Q239" i="2"/>
  <c r="BJ239" i="3" s="1"/>
  <c r="Q179" i="2"/>
  <c r="BJ179" i="3" s="1"/>
  <c r="P358" i="1"/>
  <c r="BJ137" i="3"/>
  <c r="R511" i="2"/>
  <c r="BK511" i="3" s="1"/>
  <c r="R495" i="2"/>
  <c r="BK495" i="3" s="1"/>
  <c r="R479" i="2"/>
  <c r="BK479" i="3" s="1"/>
  <c r="R389" i="2"/>
  <c r="R504" i="2"/>
  <c r="BK504" i="3" s="1"/>
  <c r="R108" i="2"/>
  <c r="R69" i="2"/>
  <c r="BK69" i="3" s="1"/>
  <c r="R21" i="2"/>
  <c r="S4" i="2"/>
  <c r="S29" i="4" s="1"/>
  <c r="S35" i="4" s="1"/>
  <c r="R130" i="2"/>
  <c r="BK130" i="3" s="1"/>
  <c r="R83" i="2"/>
  <c r="BK83" i="3" s="1"/>
  <c r="R27" i="2"/>
  <c r="R26" i="2"/>
  <c r="R24" i="2"/>
  <c r="R23" i="2"/>
  <c r="C20" i="9"/>
  <c r="R208" i="2"/>
  <c r="R82" i="2"/>
  <c r="R80" i="2"/>
  <c r="R78" i="2"/>
  <c r="R137" i="2"/>
  <c r="R68" i="2"/>
  <c r="R47" i="2"/>
  <c r="R25" i="2"/>
  <c r="R62" i="2"/>
  <c r="R22" i="2"/>
  <c r="R81" i="2"/>
  <c r="BK81" i="3" s="1"/>
  <c r="R42" i="2"/>
  <c r="BK42" i="3" s="1"/>
  <c r="R105" i="2"/>
  <c r="R67" i="2"/>
  <c r="BK67" i="3" s="1"/>
  <c r="R66" i="2"/>
  <c r="R209" i="2" s="1"/>
  <c r="BJ80" i="3"/>
  <c r="Q236" i="2"/>
  <c r="Q174" i="2"/>
  <c r="Q65" i="2"/>
  <c r="BJ62" i="3"/>
  <c r="Q452" i="2"/>
  <c r="BJ452" i="3" s="1"/>
  <c r="Q173" i="2"/>
  <c r="P462" i="2"/>
  <c r="P298" i="2"/>
  <c r="S100" i="4"/>
  <c r="T92" i="4"/>
  <c r="M49" i="2"/>
  <c r="BF43" i="3"/>
  <c r="Q235" i="3"/>
  <c r="AF67" i="9"/>
  <c r="Q442" i="3"/>
  <c r="T67" i="9"/>
  <c r="R121" i="4"/>
  <c r="S119" i="4"/>
  <c r="BI237" i="3"/>
  <c r="AC18" i="9"/>
  <c r="AC114" i="9" s="1"/>
  <c r="BF104" i="9"/>
  <c r="BG8" i="9"/>
  <c r="BG104" i="9" s="1"/>
  <c r="N216" i="3"/>
  <c r="N216" i="2"/>
  <c r="G327" i="2"/>
  <c r="AZ324" i="3"/>
  <c r="BH51" i="3"/>
  <c r="P51" i="2"/>
  <c r="BD57" i="3"/>
  <c r="K59" i="2"/>
  <c r="BD59" i="3" s="1"/>
  <c r="BG41" i="3"/>
  <c r="N43" i="2"/>
  <c r="AZ14" i="3"/>
  <c r="H9" i="9"/>
  <c r="H105" i="9" s="1"/>
  <c r="BI115" i="3"/>
  <c r="P298" i="3"/>
  <c r="P462" i="3"/>
  <c r="Q435" i="2"/>
  <c r="BJ435" i="3" s="1"/>
  <c r="BJ27" i="3"/>
  <c r="Q432" i="2"/>
  <c r="BJ432" i="3" s="1"/>
  <c r="BJ24" i="3"/>
  <c r="Q14" i="5"/>
  <c r="Q211" i="5" s="1"/>
  <c r="BJ78" i="3"/>
  <c r="Q234" i="2"/>
  <c r="J130" i="5"/>
  <c r="K130" i="5" s="1"/>
  <c r="F506" i="2"/>
  <c r="AY505" i="3"/>
  <c r="S282" i="4"/>
  <c r="R284" i="4"/>
  <c r="P12" i="5"/>
  <c r="P208" i="5" s="1"/>
  <c r="BH172" i="3"/>
  <c r="O278" i="2"/>
  <c r="BH278" i="3" s="1"/>
  <c r="Q123" i="2"/>
  <c r="Q358" i="2"/>
  <c r="BJ359" i="3" s="1"/>
  <c r="R121" i="2"/>
  <c r="S159" i="4"/>
  <c r="R161" i="4"/>
  <c r="AF18" i="9"/>
  <c r="AF114" i="9" s="1"/>
  <c r="BI107" i="3"/>
  <c r="P235" i="2"/>
  <c r="BI235" i="3" s="1"/>
  <c r="T42" i="4"/>
  <c r="U41" i="4"/>
  <c r="R70" i="3"/>
  <c r="U68" i="9"/>
  <c r="BD56" i="3"/>
  <c r="L56" i="2"/>
  <c r="S46" i="4"/>
  <c r="T45" i="4"/>
  <c r="S96" i="4"/>
  <c r="S97" i="4" s="1"/>
  <c r="S187" i="2" s="1"/>
  <c r="S218" i="4"/>
  <c r="R220" i="4"/>
  <c r="G311" i="2"/>
  <c r="G309" i="2"/>
  <c r="AZ306" i="3"/>
  <c r="Q178" i="3"/>
  <c r="Q463" i="3"/>
  <c r="Q297" i="3"/>
  <c r="BJ68" i="3"/>
  <c r="V19" i="9"/>
  <c r="V115" i="9" s="1"/>
  <c r="P378" i="1"/>
  <c r="BJ208" i="3"/>
  <c r="BJ108" i="3"/>
  <c r="Q110" i="2"/>
  <c r="BE49" i="3"/>
  <c r="L106" i="5"/>
  <c r="R14" i="9"/>
  <c r="L61" i="2"/>
  <c r="Q115" i="2"/>
  <c r="Q341" i="2"/>
  <c r="BJ342" i="3" s="1"/>
  <c r="BA19" i="9"/>
  <c r="BA115" i="9" s="1"/>
  <c r="BJ113" i="3"/>
  <c r="R113" i="2"/>
  <c r="T124" i="4"/>
  <c r="S126" i="4"/>
  <c r="R120" i="2"/>
  <c r="R354" i="2" s="1"/>
  <c r="Q298" i="3"/>
  <c r="Q443" i="3"/>
  <c r="Q289" i="3"/>
  <c r="Q172" i="3"/>
  <c r="Q278" i="3" s="1"/>
  <c r="Q453" i="3"/>
  <c r="BI173" i="3"/>
  <c r="P279" i="2"/>
  <c r="BI279" i="3" s="1"/>
  <c r="R289" i="4"/>
  <c r="S287" i="4"/>
  <c r="S164" i="4"/>
  <c r="R166" i="4"/>
  <c r="F177" i="2"/>
  <c r="F126" i="2"/>
  <c r="AY118" i="3"/>
  <c r="F464" i="2"/>
  <c r="AY464" i="3" s="1"/>
  <c r="G33" i="2"/>
  <c r="G34" i="2" s="1"/>
  <c r="AZ13" i="3"/>
  <c r="F350" i="2"/>
  <c r="G336" i="2" s="1"/>
  <c r="AY349" i="3"/>
  <c r="S228" i="4"/>
  <c r="R230" i="4"/>
  <c r="BH18" i="9"/>
  <c r="BH114" i="9" s="1"/>
  <c r="BI123" i="3"/>
  <c r="BG215" i="3"/>
  <c r="T114" i="4"/>
  <c r="S116" i="4"/>
  <c r="R264" i="3"/>
  <c r="R188" i="3"/>
  <c r="BK188" i="3" s="1"/>
  <c r="R187" i="3"/>
  <c r="S7" i="3"/>
  <c r="R214" i="3"/>
  <c r="BK214" i="3" s="1"/>
  <c r="E116" i="9"/>
  <c r="R3" i="5"/>
  <c r="R411" i="5" s="1"/>
  <c r="E68" i="9"/>
  <c r="V114" i="9"/>
  <c r="AZ18" i="9"/>
  <c r="AZ114" i="9" s="1"/>
  <c r="P337" i="2"/>
  <c r="BI338" i="3" s="1"/>
  <c r="BI110" i="3"/>
  <c r="P112" i="2"/>
  <c r="R209" i="4"/>
  <c r="S207" i="4"/>
  <c r="S139" i="4"/>
  <c r="R141" i="4"/>
  <c r="Q262" i="4"/>
  <c r="P265" i="4"/>
  <c r="R50" i="3"/>
  <c r="R52" i="3" s="1"/>
  <c r="R54" i="3" s="1"/>
  <c r="R60" i="3" s="1"/>
  <c r="R88" i="4"/>
  <c r="R273" i="2" s="1"/>
  <c r="G335" i="2"/>
  <c r="AY350" i="3"/>
  <c r="S177" i="4"/>
  <c r="S181" i="4" s="1"/>
  <c r="T11" i="4"/>
  <c r="K242" i="2"/>
  <c r="BD242" i="3" s="1"/>
  <c r="K13" i="5"/>
  <c r="K209" i="5" s="1"/>
  <c r="J362" i="1"/>
  <c r="K288" i="2"/>
  <c r="BD288" i="3" s="1"/>
  <c r="K441" i="2"/>
  <c r="BD441" i="3" s="1"/>
  <c r="K151" i="2"/>
  <c r="BD61" i="3"/>
  <c r="K451" i="2"/>
  <c r="BD451" i="3" s="1"/>
  <c r="BD44" i="3"/>
  <c r="K46" i="2"/>
  <c r="L44" i="2"/>
  <c r="R199" i="4"/>
  <c r="S197" i="4"/>
  <c r="BI343" i="3"/>
  <c r="R311" i="3"/>
  <c r="R206" i="3"/>
  <c r="R107" i="3"/>
  <c r="R359" i="3"/>
  <c r="R237" i="3"/>
  <c r="AC68" i="9" s="1"/>
  <c r="T264" i="4"/>
  <c r="T96" i="4"/>
  <c r="T99" i="4"/>
  <c r="T257" i="4"/>
  <c r="T175" i="4"/>
  <c r="T180" i="4"/>
  <c r="T178" i="4"/>
  <c r="T102" i="4"/>
  <c r="U91" i="4"/>
  <c r="Q88" i="4"/>
  <c r="Q273" i="2" s="1"/>
  <c r="B273" i="1"/>
  <c r="B320" i="1" s="1"/>
  <c r="Z274" i="1"/>
  <c r="BC441" i="3"/>
  <c r="Q433" i="2"/>
  <c r="BJ433" i="3" s="1"/>
  <c r="BJ25" i="3"/>
  <c r="Q434" i="2"/>
  <c r="BJ434" i="3" s="1"/>
  <c r="BJ26" i="3"/>
  <c r="BJ82" i="3"/>
  <c r="Q237" i="2"/>
  <c r="J152" i="3"/>
  <c r="J164" i="3"/>
  <c r="R341" i="3"/>
  <c r="BA68" i="9"/>
  <c r="S113" i="3"/>
  <c r="BJ109" i="3"/>
  <c r="Q111" i="2"/>
  <c r="P458" i="2"/>
  <c r="P294" i="2"/>
  <c r="AX18" i="9"/>
  <c r="Y114" i="9"/>
  <c r="BI471" i="3"/>
  <c r="P490" i="3"/>
  <c r="BI490" i="3" s="1"/>
  <c r="P307" i="3"/>
  <c r="BI307" i="3" s="1"/>
  <c r="P74" i="3"/>
  <c r="BI74" i="3" s="1"/>
  <c r="P365" i="1"/>
  <c r="R189" i="2"/>
  <c r="O458" i="3"/>
  <c r="O294" i="3"/>
  <c r="BH294" i="3" s="1"/>
  <c r="AX65" i="9"/>
  <c r="AX113" i="9" s="1"/>
  <c r="Q301" i="2"/>
  <c r="Q471" i="2"/>
  <c r="Q243" i="2"/>
  <c r="Q16" i="5"/>
  <c r="Y19" i="9"/>
  <c r="P369" i="1"/>
  <c r="P210" i="5"/>
  <c r="P454" i="2"/>
  <c r="P291" i="2"/>
  <c r="AS18" i="9"/>
  <c r="P325" i="3"/>
  <c r="BI325" i="3" s="1"/>
  <c r="P75" i="3"/>
  <c r="BI54" i="3"/>
  <c r="P60" i="2"/>
  <c r="BI301" i="3"/>
  <c r="Q54" i="2"/>
  <c r="Q87" i="3"/>
  <c r="Q490" i="2"/>
  <c r="Q307" i="2"/>
  <c r="Q74" i="2"/>
  <c r="R87" i="2"/>
  <c r="S214" i="2"/>
  <c r="S264" i="2"/>
  <c r="E21" i="9"/>
  <c r="T7" i="2"/>
  <c r="BH60" i="3"/>
  <c r="O107" i="5"/>
  <c r="S17" i="9"/>
  <c r="S113" i="9" s="1"/>
  <c r="Q98" i="3"/>
  <c r="Q325" i="2"/>
  <c r="R98" i="2"/>
  <c r="Q75" i="2"/>
  <c r="BI98" i="3"/>
  <c r="BI243" i="3"/>
  <c r="O454" i="3"/>
  <c r="O291" i="3"/>
  <c r="BH291" i="3" s="1"/>
  <c r="AS65" i="9"/>
  <c r="AS113" i="9" s="1"/>
  <c r="O77" i="3"/>
  <c r="BH77" i="3" s="1"/>
  <c r="N371" i="3"/>
  <c r="BM64" i="9"/>
  <c r="N125" i="3"/>
  <c r="N36" i="3"/>
  <c r="R120" i="3" l="1"/>
  <c r="R157" i="3"/>
  <c r="R155" i="3"/>
  <c r="S157" i="2"/>
  <c r="S155" i="2"/>
  <c r="R76" i="2"/>
  <c r="Q38" i="4"/>
  <c r="Q62" i="4"/>
  <c r="Q75" i="4"/>
  <c r="R38" i="4"/>
  <c r="R62" i="4"/>
  <c r="R75" i="4"/>
  <c r="Q77" i="2"/>
  <c r="S51" i="3"/>
  <c r="R144" i="2"/>
  <c r="S98" i="4"/>
  <c r="BV8" i="9"/>
  <c r="BV104" i="9" s="1"/>
  <c r="BK311" i="3"/>
  <c r="BJ67" i="9"/>
  <c r="Q465" i="3"/>
  <c r="BJ20" i="9"/>
  <c r="R465" i="2"/>
  <c r="H94" i="3"/>
  <c r="H380" i="5" s="1"/>
  <c r="BJ76" i="3"/>
  <c r="BJ19" i="9"/>
  <c r="R189" i="3"/>
  <c r="BK189" i="3" s="1"/>
  <c r="S103" i="4"/>
  <c r="S188" i="2" s="1"/>
  <c r="S189" i="2" s="1"/>
  <c r="M45" i="2"/>
  <c r="BE45" i="3"/>
  <c r="S311" i="2"/>
  <c r="S142" i="2"/>
  <c r="S142" i="3" s="1"/>
  <c r="S144" i="3" s="1"/>
  <c r="S50" i="2"/>
  <c r="BE115" i="9"/>
  <c r="BH217" i="3"/>
  <c r="S206" i="2"/>
  <c r="R353" i="1" s="1"/>
  <c r="S359" i="2"/>
  <c r="BL360" i="3" s="1"/>
  <c r="S120" i="2"/>
  <c r="S107" i="3"/>
  <c r="AF69" i="9" s="1"/>
  <c r="BH215" i="3"/>
  <c r="O9" i="9"/>
  <c r="O105" i="9" s="1"/>
  <c r="AZ34" i="3"/>
  <c r="S88" i="4"/>
  <c r="S273" i="2" s="1"/>
  <c r="S237" i="3"/>
  <c r="AC69" i="9" s="1"/>
  <c r="S430" i="3"/>
  <c r="S407" i="5"/>
  <c r="S65" i="3"/>
  <c r="S452" i="3"/>
  <c r="S174" i="3"/>
  <c r="S280" i="3" s="1"/>
  <c r="S173" i="3"/>
  <c r="S279" i="3" s="1"/>
  <c r="S239" i="3"/>
  <c r="S179" i="3"/>
  <c r="AH69" i="9"/>
  <c r="BQ69" i="9" s="1"/>
  <c r="S359" i="3"/>
  <c r="BJ343" i="3"/>
  <c r="S245" i="4"/>
  <c r="T243" i="4"/>
  <c r="BF55" i="3"/>
  <c r="M57" i="2"/>
  <c r="N55" i="2"/>
  <c r="Q254" i="4"/>
  <c r="P217" i="3"/>
  <c r="P217" i="2"/>
  <c r="T97" i="4"/>
  <c r="T176" i="4"/>
  <c r="U14" i="4"/>
  <c r="S58" i="2"/>
  <c r="BL58" i="3" s="1"/>
  <c r="D21" i="9"/>
  <c r="S106" i="2"/>
  <c r="BL106" i="3" s="1"/>
  <c r="S79" i="2"/>
  <c r="BL79" i="3" s="1"/>
  <c r="S53" i="2"/>
  <c r="BL53" i="3" s="1"/>
  <c r="T5" i="2"/>
  <c r="S109" i="2"/>
  <c r="BL109" i="3" s="1"/>
  <c r="P41" i="3"/>
  <c r="P43" i="3" s="1"/>
  <c r="P49" i="3" s="1"/>
  <c r="Q39" i="3"/>
  <c r="BC152" i="3"/>
  <c r="BM206" i="3"/>
  <c r="BN4" i="3"/>
  <c r="BM21" i="3"/>
  <c r="BI40" i="3"/>
  <c r="Q40" i="2"/>
  <c r="S341" i="3"/>
  <c r="T113" i="3"/>
  <c r="BA69" i="9"/>
  <c r="B274" i="1"/>
  <c r="B321" i="1" s="1"/>
  <c r="Z275" i="1"/>
  <c r="U264" i="4"/>
  <c r="U178" i="4"/>
  <c r="U102" i="4"/>
  <c r="V91" i="4"/>
  <c r="U180" i="4"/>
  <c r="U257" i="4"/>
  <c r="U99" i="4"/>
  <c r="T34" i="4"/>
  <c r="T186" i="3"/>
  <c r="T186" i="2"/>
  <c r="BD46" i="3"/>
  <c r="K48" i="2"/>
  <c r="BD48" i="3" s="1"/>
  <c r="K152" i="2"/>
  <c r="BD152" i="3" s="1"/>
  <c r="BD151" i="3"/>
  <c r="K164" i="2"/>
  <c r="BD164" i="3" s="1"/>
  <c r="R262" i="4"/>
  <c r="Q265" i="4"/>
  <c r="T7" i="3"/>
  <c r="S214" i="3"/>
  <c r="S3" i="5"/>
  <c r="S411" i="5" s="1"/>
  <c r="S264" i="3"/>
  <c r="S187" i="3"/>
  <c r="E117" i="9"/>
  <c r="E69" i="9"/>
  <c r="AZ337" i="3"/>
  <c r="G340" i="2"/>
  <c r="AZ341" i="3" s="1"/>
  <c r="T126" i="4"/>
  <c r="U124" i="4"/>
  <c r="L108" i="5"/>
  <c r="L110" i="5" s="1"/>
  <c r="L133" i="5"/>
  <c r="L135" i="5" s="1"/>
  <c r="S220" i="4"/>
  <c r="T218" i="4"/>
  <c r="BE56" i="3"/>
  <c r="M56" i="2"/>
  <c r="U42" i="4"/>
  <c r="V41" i="4"/>
  <c r="T119" i="4"/>
  <c r="S121" i="4"/>
  <c r="BF49" i="3"/>
  <c r="M61" i="2"/>
  <c r="M106" i="5"/>
  <c r="R15" i="9"/>
  <c r="R111" i="9" s="1"/>
  <c r="BJ173" i="3"/>
  <c r="Q279" i="2"/>
  <c r="BJ279" i="3" s="1"/>
  <c r="Q280" i="2"/>
  <c r="BJ280" i="3" s="1"/>
  <c r="BJ174" i="3"/>
  <c r="BK105" i="3"/>
  <c r="R107" i="2"/>
  <c r="R430" i="2"/>
  <c r="BK430" i="3" s="1"/>
  <c r="BK22" i="3"/>
  <c r="BK68" i="3"/>
  <c r="V20" i="9"/>
  <c r="BK82" i="3"/>
  <c r="R237" i="2"/>
  <c r="BK24" i="3"/>
  <c r="R432" i="2"/>
  <c r="BK432" i="3" s="1"/>
  <c r="BK108" i="3"/>
  <c r="R110" i="2"/>
  <c r="BQ19" i="9"/>
  <c r="BQ115" i="9" s="1"/>
  <c r="AH115" i="9"/>
  <c r="T202" i="4"/>
  <c r="S204" i="4"/>
  <c r="T192" i="4"/>
  <c r="S194" i="4"/>
  <c r="R442" i="3"/>
  <c r="T68" i="9"/>
  <c r="S40" i="3"/>
  <c r="S234" i="3"/>
  <c r="AA69" i="9" s="1"/>
  <c r="S194" i="5"/>
  <c r="J137" i="5"/>
  <c r="J143" i="5" s="1"/>
  <c r="F480" i="3"/>
  <c r="M164" i="3"/>
  <c r="M152" i="3"/>
  <c r="Q255" i="4"/>
  <c r="P215" i="3"/>
  <c r="P258" i="4"/>
  <c r="P215" i="2"/>
  <c r="T44" i="4"/>
  <c r="U43" i="4"/>
  <c r="S240" i="4"/>
  <c r="T238" i="4"/>
  <c r="U93" i="4"/>
  <c r="U96" i="4" s="1"/>
  <c r="T295" i="4"/>
  <c r="T1" i="4"/>
  <c r="AF19" i="9"/>
  <c r="AF115" i="9" s="1"/>
  <c r="BJ107" i="3"/>
  <c r="Q235" i="2"/>
  <c r="BJ235" i="3" s="1"/>
  <c r="Q453" i="2"/>
  <c r="BJ453" i="3" s="1"/>
  <c r="Q172" i="2"/>
  <c r="Q289" i="2"/>
  <c r="BJ289" i="3" s="1"/>
  <c r="Q443" i="2"/>
  <c r="BJ443" i="3" s="1"/>
  <c r="BJ70" i="3"/>
  <c r="BC164" i="3"/>
  <c r="R342" i="2"/>
  <c r="S114" i="2"/>
  <c r="BE20" i="9"/>
  <c r="BK114" i="3"/>
  <c r="R354" i="3"/>
  <c r="BK354" i="3" s="1"/>
  <c r="R76" i="3"/>
  <c r="BK120" i="3"/>
  <c r="BK50" i="3"/>
  <c r="BJ237" i="3"/>
  <c r="AC19" i="9"/>
  <c r="AC115" i="9" s="1"/>
  <c r="R235" i="3"/>
  <c r="AF68" i="9"/>
  <c r="T197" i="4"/>
  <c r="S199" i="4"/>
  <c r="T116" i="4"/>
  <c r="U114" i="4"/>
  <c r="T164" i="4"/>
  <c r="S166" i="4"/>
  <c r="BK113" i="3"/>
  <c r="S113" i="2"/>
  <c r="R115" i="2"/>
  <c r="BA20" i="9"/>
  <c r="BA116" i="9" s="1"/>
  <c r="R341" i="2"/>
  <c r="BK342" i="3" s="1"/>
  <c r="Q462" i="2"/>
  <c r="BJ462" i="3" s="1"/>
  <c r="Q298" i="2"/>
  <c r="BJ298" i="3" s="1"/>
  <c r="F390" i="1"/>
  <c r="AZ309" i="3"/>
  <c r="S34" i="4"/>
  <c r="S186" i="3"/>
  <c r="S186" i="2"/>
  <c r="BH19" i="9"/>
  <c r="BH115" i="9" s="1"/>
  <c r="BJ123" i="3"/>
  <c r="BJ234" i="3"/>
  <c r="AA19" i="9"/>
  <c r="AA115" i="9" s="1"/>
  <c r="BI462" i="3"/>
  <c r="G99" i="2"/>
  <c r="AZ327" i="3"/>
  <c r="U92" i="4"/>
  <c r="T100" i="4"/>
  <c r="BJ236" i="3"/>
  <c r="AB19" i="9"/>
  <c r="AB115" i="9" s="1"/>
  <c r="Q379" i="1"/>
  <c r="BK209" i="3"/>
  <c r="R173" i="2"/>
  <c r="R452" i="2"/>
  <c r="BK452" i="3" s="1"/>
  <c r="BK62" i="3"/>
  <c r="R174" i="2"/>
  <c r="R65" i="2"/>
  <c r="BK137" i="3"/>
  <c r="R239" i="2"/>
  <c r="BK239" i="3" s="1"/>
  <c r="R179" i="2"/>
  <c r="BK179" i="3" s="1"/>
  <c r="Q358" i="1"/>
  <c r="AH20" i="9"/>
  <c r="Q378" i="1"/>
  <c r="BK208" i="3"/>
  <c r="BK26" i="3"/>
  <c r="R434" i="2"/>
  <c r="BK434" i="3" s="1"/>
  <c r="S504" i="2"/>
  <c r="BL504" i="3" s="1"/>
  <c r="S479" i="2"/>
  <c r="BL479" i="3" s="1"/>
  <c r="S389" i="2"/>
  <c r="S208" i="2"/>
  <c r="S82" i="2"/>
  <c r="S80" i="2"/>
  <c r="S78" i="2"/>
  <c r="S495" i="2"/>
  <c r="BL495" i="3" s="1"/>
  <c r="S42" i="2"/>
  <c r="BL42" i="3" s="1"/>
  <c r="S137" i="2"/>
  <c r="S130" i="2"/>
  <c r="BL130" i="3" s="1"/>
  <c r="S83" i="2"/>
  <c r="BL83" i="3" s="1"/>
  <c r="S68" i="2"/>
  <c r="S47" i="2"/>
  <c r="BL47" i="3" s="1"/>
  <c r="S27" i="2"/>
  <c r="S26" i="2"/>
  <c r="S25" i="2"/>
  <c r="S24" i="2"/>
  <c r="S23" i="2"/>
  <c r="C21" i="9"/>
  <c r="S105" i="2"/>
  <c r="S81" i="2"/>
  <c r="BL81" i="3" s="1"/>
  <c r="S62" i="2"/>
  <c r="S22" i="2"/>
  <c r="S21" i="2"/>
  <c r="S511" i="2"/>
  <c r="BL511" i="3" s="1"/>
  <c r="S69" i="2"/>
  <c r="BL69" i="3" s="1"/>
  <c r="T4" i="2"/>
  <c r="T357" i="2" s="1"/>
  <c r="S108" i="2"/>
  <c r="S66" i="2"/>
  <c r="S209" i="2" s="1"/>
  <c r="S67" i="2"/>
  <c r="BL67" i="3" s="1"/>
  <c r="R358" i="3"/>
  <c r="BK358" i="3" s="1"/>
  <c r="S121" i="3"/>
  <c r="R123" i="3"/>
  <c r="BH68" i="9" s="1"/>
  <c r="S311" i="3"/>
  <c r="S206" i="3"/>
  <c r="S70" i="3"/>
  <c r="U69" i="9"/>
  <c r="T80" i="3"/>
  <c r="T504" i="3"/>
  <c r="T68" i="3"/>
  <c r="T22" i="3"/>
  <c r="U4" i="3"/>
  <c r="T495" i="3"/>
  <c r="T479" i="3"/>
  <c r="T208" i="3"/>
  <c r="T108" i="3"/>
  <c r="T110" i="3" s="1"/>
  <c r="T105" i="3"/>
  <c r="T83" i="3"/>
  <c r="T69" i="3"/>
  <c r="T21" i="3"/>
  <c r="T511" i="3"/>
  <c r="T81" i="3"/>
  <c r="T67" i="3"/>
  <c r="T42" i="3"/>
  <c r="T23" i="3"/>
  <c r="T431" i="3" s="1"/>
  <c r="T1" i="5"/>
  <c r="T137" i="3"/>
  <c r="T62" i="3"/>
  <c r="C70" i="9"/>
  <c r="T78" i="3"/>
  <c r="T27" i="3"/>
  <c r="T435" i="3" s="1"/>
  <c r="T26" i="3"/>
  <c r="T434" i="3" s="1"/>
  <c r="T25" i="3"/>
  <c r="T433" i="3" s="1"/>
  <c r="T24" i="3"/>
  <c r="T432" i="3" s="1"/>
  <c r="T82" i="3"/>
  <c r="T66" i="3"/>
  <c r="T209" i="3" s="1"/>
  <c r="C118" i="9"/>
  <c r="T40" i="3"/>
  <c r="T315" i="3"/>
  <c r="S236" i="3"/>
  <c r="AB69" i="9" s="1"/>
  <c r="S357" i="3"/>
  <c r="BL357" i="3" s="1"/>
  <c r="R115" i="3"/>
  <c r="R342" i="3"/>
  <c r="S114" i="3"/>
  <c r="S115" i="3" s="1"/>
  <c r="BE68" i="9"/>
  <c r="V39" i="4"/>
  <c r="U40" i="4"/>
  <c r="F364" i="3"/>
  <c r="G353" i="3" s="1"/>
  <c r="AY363" i="3"/>
  <c r="O43" i="2"/>
  <c r="BH41" i="3"/>
  <c r="S50" i="3"/>
  <c r="S52" i="3" s="1"/>
  <c r="S54" i="3" s="1"/>
  <c r="S60" i="3" s="1"/>
  <c r="U149" i="4"/>
  <c r="T151" i="4"/>
  <c r="S131" i="4"/>
  <c r="T129" i="4"/>
  <c r="S310" i="4"/>
  <c r="S308" i="4"/>
  <c r="S305" i="4"/>
  <c r="S307" i="4"/>
  <c r="S311" i="4"/>
  <c r="S302" i="4"/>
  <c r="S300" i="4"/>
  <c r="S298" i="4"/>
  <c r="S297" i="4"/>
  <c r="S299" i="4"/>
  <c r="S309" i="4"/>
  <c r="S301" i="4"/>
  <c r="S306" i="4"/>
  <c r="S252" i="4"/>
  <c r="S261" i="4" s="1"/>
  <c r="S90" i="4"/>
  <c r="S172" i="4"/>
  <c r="S251" i="4"/>
  <c r="S235" i="4"/>
  <c r="T233" i="4"/>
  <c r="G317" i="3"/>
  <c r="G319" i="3" s="1"/>
  <c r="G31" i="3"/>
  <c r="T273" i="4"/>
  <c r="S275" i="4"/>
  <c r="T122" i="3"/>
  <c r="BD19" i="9"/>
  <c r="BD115" i="9" s="1"/>
  <c r="Q509" i="2"/>
  <c r="BJ509" i="3" s="1"/>
  <c r="Q338" i="2"/>
  <c r="BJ339" i="3" s="1"/>
  <c r="BJ111" i="3"/>
  <c r="F472" i="3"/>
  <c r="R127" i="5"/>
  <c r="S68" i="9"/>
  <c r="S141" i="4"/>
  <c r="T139" i="4"/>
  <c r="P178" i="2"/>
  <c r="BI178" i="3" s="1"/>
  <c r="BI112" i="3"/>
  <c r="P297" i="2"/>
  <c r="BI297" i="3" s="1"/>
  <c r="P463" i="2"/>
  <c r="BI463" i="3" s="1"/>
  <c r="S230" i="4"/>
  <c r="T228" i="4"/>
  <c r="AZ33" i="3"/>
  <c r="G344" i="2"/>
  <c r="AZ345" i="3" s="1"/>
  <c r="BI8" i="9"/>
  <c r="F467" i="2"/>
  <c r="AY467" i="3" s="1"/>
  <c r="AY126" i="3"/>
  <c r="F363" i="2"/>
  <c r="G15" i="2"/>
  <c r="F255" i="2"/>
  <c r="T287" i="4"/>
  <c r="S289" i="4"/>
  <c r="L151" i="2"/>
  <c r="K362" i="1"/>
  <c r="L288" i="2"/>
  <c r="L451" i="2"/>
  <c r="L242" i="2"/>
  <c r="BE61" i="3"/>
  <c r="L441" i="2"/>
  <c r="L13" i="5"/>
  <c r="AZ311" i="3"/>
  <c r="G88" i="2"/>
  <c r="U45" i="4"/>
  <c r="T46" i="4"/>
  <c r="T159" i="4"/>
  <c r="S161" i="4"/>
  <c r="BG43" i="3"/>
  <c r="N49" i="2"/>
  <c r="BI51" i="3"/>
  <c r="Q51" i="2"/>
  <c r="BG216" i="3"/>
  <c r="M383" i="1"/>
  <c r="BK66" i="3"/>
  <c r="U20" i="9"/>
  <c r="U116" i="9" s="1"/>
  <c r="Q376" i="1"/>
  <c r="R70" i="2"/>
  <c r="BK25" i="3"/>
  <c r="R433" i="2"/>
  <c r="BK433" i="3" s="1"/>
  <c r="BK78" i="3"/>
  <c r="R234" i="2"/>
  <c r="R14" i="5"/>
  <c r="R211" i="5" s="1"/>
  <c r="BK27" i="3"/>
  <c r="R435" i="2"/>
  <c r="BK435" i="3" s="1"/>
  <c r="S122" i="2"/>
  <c r="R360" i="2"/>
  <c r="BK122" i="3"/>
  <c r="S357" i="2"/>
  <c r="BL214" i="3"/>
  <c r="BK187" i="3"/>
  <c r="L46" i="2"/>
  <c r="BE44" i="3"/>
  <c r="M44" i="2"/>
  <c r="U11" i="4"/>
  <c r="T177" i="4"/>
  <c r="T181" i="4" s="1"/>
  <c r="T98" i="4"/>
  <c r="T103" i="4" s="1"/>
  <c r="T188" i="2" s="1"/>
  <c r="G345" i="2"/>
  <c r="AZ346" i="3" s="1"/>
  <c r="G339" i="2"/>
  <c r="AZ340" i="3" s="1"/>
  <c r="AZ335" i="3"/>
  <c r="AZ336" i="3"/>
  <c r="T207" i="4"/>
  <c r="S209" i="4"/>
  <c r="F135" i="2"/>
  <c r="F282" i="2"/>
  <c r="AY177" i="3"/>
  <c r="X201" i="1"/>
  <c r="R110" i="9"/>
  <c r="Q337" i="2"/>
  <c r="BJ338" i="3" s="1"/>
  <c r="Q112" i="2"/>
  <c r="BJ110" i="3"/>
  <c r="AZ19" i="9"/>
  <c r="AZ115" i="9" s="1"/>
  <c r="R453" i="3"/>
  <c r="R443" i="3"/>
  <c r="R289" i="3"/>
  <c r="R172" i="3"/>
  <c r="R278" i="3" s="1"/>
  <c r="R123" i="2"/>
  <c r="R358" i="2"/>
  <c r="BK359" i="3" s="1"/>
  <c r="S121" i="2"/>
  <c r="BK121" i="3"/>
  <c r="T282" i="4"/>
  <c r="S284" i="4"/>
  <c r="BI298" i="3"/>
  <c r="Q12" i="5"/>
  <c r="Q208" i="5" s="1"/>
  <c r="T19" i="9"/>
  <c r="T115" i="9" s="1"/>
  <c r="Q442" i="2"/>
  <c r="BJ442" i="3" s="1"/>
  <c r="BJ65" i="3"/>
  <c r="BK47" i="3"/>
  <c r="BK80" i="3"/>
  <c r="R236" i="2"/>
  <c r="BK23" i="3"/>
  <c r="R431" i="2"/>
  <c r="BK431" i="3" s="1"/>
  <c r="U144" i="4"/>
  <c r="T146" i="4"/>
  <c r="T268" i="4"/>
  <c r="S270" i="4"/>
  <c r="T223" i="4"/>
  <c r="S225" i="4"/>
  <c r="R192" i="5"/>
  <c r="S337" i="3"/>
  <c r="AZ69" i="9"/>
  <c r="S235" i="3"/>
  <c r="V69" i="9"/>
  <c r="K137" i="5"/>
  <c r="G127" i="3"/>
  <c r="G35" i="3"/>
  <c r="G17" i="3"/>
  <c r="I57" i="9" s="1"/>
  <c r="P41" i="2"/>
  <c r="BI39" i="3"/>
  <c r="Q39" i="2"/>
  <c r="BE57" i="3"/>
  <c r="L59" i="2"/>
  <c r="BE59" i="3" s="1"/>
  <c r="T109" i="3"/>
  <c r="T106" i="3"/>
  <c r="T53" i="3"/>
  <c r="U5" i="3"/>
  <c r="D70" i="9"/>
  <c r="T79" i="3"/>
  <c r="T2" i="5"/>
  <c r="D118" i="9"/>
  <c r="O216" i="3"/>
  <c r="O216" i="2"/>
  <c r="F512" i="2"/>
  <c r="AY510" i="3"/>
  <c r="T187" i="4"/>
  <c r="S189" i="4"/>
  <c r="N451" i="3"/>
  <c r="N288" i="3"/>
  <c r="N242" i="3"/>
  <c r="N151" i="3"/>
  <c r="N441" i="3"/>
  <c r="N128" i="5"/>
  <c r="N193" i="5"/>
  <c r="BJ209" i="3"/>
  <c r="P379" i="1"/>
  <c r="BB372" i="3"/>
  <c r="I374" i="2"/>
  <c r="T109" i="4"/>
  <c r="S111" i="4"/>
  <c r="BJ115" i="3"/>
  <c r="L441" i="3"/>
  <c r="L288" i="3"/>
  <c r="L242" i="3"/>
  <c r="L128" i="5"/>
  <c r="L130" i="5" s="1"/>
  <c r="M130" i="5" s="1"/>
  <c r="L151" i="3"/>
  <c r="L193" i="5"/>
  <c r="L451" i="3"/>
  <c r="Q144" i="3"/>
  <c r="BJ142" i="3"/>
  <c r="O61" i="3"/>
  <c r="R65" i="9"/>
  <c r="O126" i="5"/>
  <c r="BI172" i="3"/>
  <c r="P278" i="2"/>
  <c r="BI278" i="3" s="1"/>
  <c r="U154" i="4"/>
  <c r="T156" i="4"/>
  <c r="Q325" i="3"/>
  <c r="BJ325" i="3" s="1"/>
  <c r="Q75" i="3"/>
  <c r="BJ75" i="3" s="1"/>
  <c r="BK52" i="3"/>
  <c r="R54" i="2"/>
  <c r="BJ54" i="3"/>
  <c r="Q60" i="2"/>
  <c r="S18" i="9"/>
  <c r="S114" i="9" s="1"/>
  <c r="BI60" i="3"/>
  <c r="P107" i="5"/>
  <c r="P134" i="5" s="1"/>
  <c r="Q458" i="2"/>
  <c r="Q294" i="2"/>
  <c r="AX19" i="9"/>
  <c r="BJ98" i="3"/>
  <c r="T187" i="2"/>
  <c r="T264" i="2"/>
  <c r="T214" i="2"/>
  <c r="U7" i="2"/>
  <c r="E22" i="9"/>
  <c r="R471" i="3"/>
  <c r="R301" i="3"/>
  <c r="R243" i="3"/>
  <c r="Y68" i="9"/>
  <c r="R196" i="5"/>
  <c r="R98" i="3"/>
  <c r="BK98" i="3" s="1"/>
  <c r="R325" i="2"/>
  <c r="S98" i="2"/>
  <c r="R75" i="2"/>
  <c r="S52" i="2"/>
  <c r="R87" i="3"/>
  <c r="R490" i="2"/>
  <c r="R307" i="2"/>
  <c r="R74" i="2"/>
  <c r="S87" i="2"/>
  <c r="Q490" i="3"/>
  <c r="BJ490" i="3" s="1"/>
  <c r="Q307" i="3"/>
  <c r="BJ307" i="3" s="1"/>
  <c r="Q74" i="3"/>
  <c r="BJ74" i="3" s="1"/>
  <c r="P458" i="3"/>
  <c r="P294" i="3"/>
  <c r="BI294" i="3" s="1"/>
  <c r="AX66" i="9"/>
  <c r="AX114" i="9" s="1"/>
  <c r="BK142" i="3"/>
  <c r="BI75" i="3"/>
  <c r="O134" i="5"/>
  <c r="Q454" i="2"/>
  <c r="Q291" i="2"/>
  <c r="AS19" i="9"/>
  <c r="BJ87" i="3"/>
  <c r="Q365" i="1"/>
  <c r="P454" i="3"/>
  <c r="P291" i="3"/>
  <c r="BI291" i="3" s="1"/>
  <c r="AS66" i="9"/>
  <c r="AS114" i="9" s="1"/>
  <c r="P77" i="3"/>
  <c r="BI77" i="3" s="1"/>
  <c r="BK144" i="3"/>
  <c r="R301" i="2"/>
  <c r="R471" i="2"/>
  <c r="R243" i="2"/>
  <c r="R16" i="5"/>
  <c r="Y20" i="9"/>
  <c r="Q369" i="1"/>
  <c r="S354" i="2"/>
  <c r="S76" i="2"/>
  <c r="N369" i="3"/>
  <c r="N256" i="3"/>
  <c r="O16" i="3"/>
  <c r="N466" i="3"/>
  <c r="N299" i="3"/>
  <c r="G498" i="3"/>
  <c r="T157" i="2" l="1"/>
  <c r="T155" i="2"/>
  <c r="S120" i="3"/>
  <c r="S157" i="3"/>
  <c r="S155" i="3"/>
  <c r="S38" i="4"/>
  <c r="S62" i="4"/>
  <c r="S75" i="4"/>
  <c r="S188" i="3"/>
  <c r="S189" i="3" s="1"/>
  <c r="BL189" i="3" s="1"/>
  <c r="BL186" i="3"/>
  <c r="N130" i="5"/>
  <c r="BL50" i="3"/>
  <c r="BJ115" i="9"/>
  <c r="H382" i="5"/>
  <c r="H308" i="3"/>
  <c r="H293" i="3"/>
  <c r="H405" i="5"/>
  <c r="H406" i="5" s="1"/>
  <c r="H408" i="5" s="1"/>
  <c r="AN58" i="9"/>
  <c r="H176" i="3"/>
  <c r="H456" i="3"/>
  <c r="BJ21" i="9"/>
  <c r="S465" i="2"/>
  <c r="BJ68" i="9"/>
  <c r="BJ116" i="9" s="1"/>
  <c r="R465" i="3"/>
  <c r="BL311" i="3"/>
  <c r="V70" i="9"/>
  <c r="BM186" i="3"/>
  <c r="T50" i="3"/>
  <c r="T52" i="3" s="1"/>
  <c r="T54" i="3" s="1"/>
  <c r="T60" i="3" s="1"/>
  <c r="T127" i="5" s="1"/>
  <c r="T236" i="3"/>
  <c r="AB70" i="9" s="1"/>
  <c r="T237" i="3"/>
  <c r="AC70" i="9" s="1"/>
  <c r="BI217" i="3"/>
  <c r="L209" i="5"/>
  <c r="BL142" i="3"/>
  <c r="BK243" i="3"/>
  <c r="S144" i="2"/>
  <c r="BE451" i="3"/>
  <c r="BK301" i="3"/>
  <c r="R77" i="2"/>
  <c r="BE288" i="3"/>
  <c r="T107" i="3"/>
  <c r="AF70" i="9" s="1"/>
  <c r="BF45" i="3"/>
  <c r="N45" i="2"/>
  <c r="S354" i="3"/>
  <c r="BL354" i="3" s="1"/>
  <c r="S76" i="3"/>
  <c r="BL120" i="3"/>
  <c r="L152" i="3"/>
  <c r="L164" i="3"/>
  <c r="BB374" i="3"/>
  <c r="J367" i="2"/>
  <c r="T189" i="4"/>
  <c r="U187" i="4"/>
  <c r="BI41" i="3"/>
  <c r="P43" i="2"/>
  <c r="U223" i="4"/>
  <c r="T225" i="4"/>
  <c r="U177" i="4"/>
  <c r="U181" i="4" s="1"/>
  <c r="V11" i="4"/>
  <c r="U98" i="4"/>
  <c r="BK234" i="3"/>
  <c r="AA20" i="9"/>
  <c r="AA116" i="9" s="1"/>
  <c r="R443" i="2"/>
  <c r="BK443" i="3" s="1"/>
  <c r="BK70" i="3"/>
  <c r="R289" i="2"/>
  <c r="BK289" i="3" s="1"/>
  <c r="R453" i="2"/>
  <c r="BK453" i="3" s="1"/>
  <c r="R172" i="2"/>
  <c r="R16" i="9"/>
  <c r="R112" i="9" s="1"/>
  <c r="N61" i="2"/>
  <c r="BG49" i="3"/>
  <c r="N106" i="5"/>
  <c r="F364" i="2"/>
  <c r="G353" i="2" s="1"/>
  <c r="AY364" i="3"/>
  <c r="F401" i="3"/>
  <c r="F410" i="3" s="1"/>
  <c r="F417" i="3" s="1"/>
  <c r="F170" i="3" s="1"/>
  <c r="F399" i="3"/>
  <c r="F400" i="3"/>
  <c r="F409" i="3" s="1"/>
  <c r="F416" i="3" s="1"/>
  <c r="F402" i="3"/>
  <c r="F411" i="3" s="1"/>
  <c r="F418" i="3" s="1"/>
  <c r="F28" i="3"/>
  <c r="S127" i="5"/>
  <c r="S69" i="9"/>
  <c r="BL114" i="3"/>
  <c r="S342" i="3"/>
  <c r="T114" i="3"/>
  <c r="BE69" i="9"/>
  <c r="BL27" i="3"/>
  <c r="S435" i="2"/>
  <c r="BL435" i="3" s="1"/>
  <c r="R12" i="5"/>
  <c r="R208" i="5" s="1"/>
  <c r="V43" i="4"/>
  <c r="U44" i="4"/>
  <c r="AF20" i="9"/>
  <c r="AF116" i="9" s="1"/>
  <c r="R235" i="2"/>
  <c r="BK235" i="3" s="1"/>
  <c r="BK107" i="3"/>
  <c r="U186" i="3"/>
  <c r="U34" i="4"/>
  <c r="U186" i="2"/>
  <c r="M59" i="2"/>
  <c r="BF59" i="3" s="1"/>
  <c r="BF57" i="3"/>
  <c r="BK471" i="3"/>
  <c r="U156" i="4"/>
  <c r="V154" i="4"/>
  <c r="BH20" i="9"/>
  <c r="BH116" i="9" s="1"/>
  <c r="BK123" i="3"/>
  <c r="T209" i="4"/>
  <c r="U207" i="4"/>
  <c r="U46" i="4"/>
  <c r="V45" i="4"/>
  <c r="Y67" i="9"/>
  <c r="Y115" i="9" s="1"/>
  <c r="BJ144" i="3"/>
  <c r="Q471" i="3"/>
  <c r="BJ471" i="3" s="1"/>
  <c r="Q196" i="5"/>
  <c r="Q210" i="5" s="1"/>
  <c r="Q243" i="3"/>
  <c r="BJ243" i="3" s="1"/>
  <c r="Q301" i="3"/>
  <c r="BJ301" i="3" s="1"/>
  <c r="S298" i="3"/>
  <c r="T131" i="4"/>
  <c r="U129" i="4"/>
  <c r="S443" i="3"/>
  <c r="S453" i="3"/>
  <c r="S289" i="3"/>
  <c r="S172" i="3"/>
  <c r="S278" i="3" s="1"/>
  <c r="T504" i="2"/>
  <c r="BM504" i="3" s="1"/>
  <c r="T137" i="2"/>
  <c r="T130" i="2"/>
  <c r="BM130" i="3" s="1"/>
  <c r="T83" i="2"/>
  <c r="BM83" i="3" s="1"/>
  <c r="T68" i="2"/>
  <c r="T47" i="2"/>
  <c r="T27" i="2"/>
  <c r="T26" i="2"/>
  <c r="T25" i="2"/>
  <c r="T24" i="2"/>
  <c r="T23" i="2"/>
  <c r="T511" i="2"/>
  <c r="BM511" i="3" s="1"/>
  <c r="T69" i="2"/>
  <c r="BM69" i="3" s="1"/>
  <c r="U4" i="2"/>
  <c r="T495" i="2"/>
  <c r="BM495" i="3" s="1"/>
  <c r="T105" i="2"/>
  <c r="T81" i="2"/>
  <c r="BM81" i="3" s="1"/>
  <c r="T62" i="2"/>
  <c r="T42" i="2"/>
  <c r="BM42" i="3" s="1"/>
  <c r="T22" i="2"/>
  <c r="T315" i="2"/>
  <c r="BM315" i="3" s="1"/>
  <c r="T108" i="2"/>
  <c r="T21" i="2"/>
  <c r="T80" i="2"/>
  <c r="T82" i="2"/>
  <c r="T479" i="2"/>
  <c r="BM479" i="3" s="1"/>
  <c r="T389" i="2"/>
  <c r="T208" i="2"/>
  <c r="T78" i="2"/>
  <c r="C22" i="9"/>
  <c r="T66" i="2"/>
  <c r="T209" i="2" s="1"/>
  <c r="T67" i="2"/>
  <c r="BM67" i="3" s="1"/>
  <c r="BL23" i="3"/>
  <c r="S431" i="2"/>
  <c r="BL431" i="3" s="1"/>
  <c r="BL78" i="3"/>
  <c r="S14" i="5"/>
  <c r="S211" i="5" s="1"/>
  <c r="S234" i="2"/>
  <c r="Q278" i="2"/>
  <c r="BJ278" i="3" s="1"/>
  <c r="BJ172" i="3"/>
  <c r="T214" i="3"/>
  <c r="BM214" i="3" s="1"/>
  <c r="T187" i="3"/>
  <c r="BM187" i="3" s="1"/>
  <c r="T264" i="3"/>
  <c r="U7" i="3"/>
  <c r="T188" i="3"/>
  <c r="BM188" i="3" s="1"/>
  <c r="T3" i="5"/>
  <c r="T411" i="5" s="1"/>
  <c r="E118" i="9"/>
  <c r="E70" i="9"/>
  <c r="T311" i="2"/>
  <c r="T142" i="2"/>
  <c r="T144" i="2" s="1"/>
  <c r="T284" i="4"/>
  <c r="U282" i="4"/>
  <c r="BF44" i="3"/>
  <c r="M46" i="2"/>
  <c r="N44" i="2"/>
  <c r="U287" i="4"/>
  <c r="T289" i="4"/>
  <c r="U109" i="3"/>
  <c r="U79" i="3"/>
  <c r="U106" i="3"/>
  <c r="V5" i="3"/>
  <c r="U2" i="5"/>
  <c r="U53" i="3"/>
  <c r="D119" i="9"/>
  <c r="D71" i="9"/>
  <c r="K143" i="5"/>
  <c r="V144" i="4"/>
  <c r="U146" i="4"/>
  <c r="Q178" i="2"/>
  <c r="BJ178" i="3" s="1"/>
  <c r="BJ112" i="3"/>
  <c r="Q297" i="2"/>
  <c r="BJ297" i="3" s="1"/>
  <c r="Q463" i="2"/>
  <c r="BJ463" i="3" s="1"/>
  <c r="S360" i="2"/>
  <c r="T122" i="2"/>
  <c r="BL122" i="3"/>
  <c r="U139" i="4"/>
  <c r="T141" i="4"/>
  <c r="T194" i="5"/>
  <c r="T234" i="3"/>
  <c r="AA70" i="9" s="1"/>
  <c r="T235" i="3"/>
  <c r="BL121" i="3"/>
  <c r="S358" i="3"/>
  <c r="BL358" i="3" s="1"/>
  <c r="T121" i="3"/>
  <c r="T123" i="3" s="1"/>
  <c r="S123" i="3"/>
  <c r="BH69" i="9" s="1"/>
  <c r="V116" i="9"/>
  <c r="M441" i="2"/>
  <c r="BF441" i="3" s="1"/>
  <c r="M288" i="2"/>
  <c r="BF288" i="3" s="1"/>
  <c r="BF61" i="3"/>
  <c r="M451" i="2"/>
  <c r="BF451" i="3" s="1"/>
  <c r="M13" i="5"/>
  <c r="M209" i="5" s="1"/>
  <c r="L362" i="1"/>
  <c r="M242" i="2"/>
  <c r="BF242" i="3" s="1"/>
  <c r="M151" i="2"/>
  <c r="L137" i="5"/>
  <c r="Q41" i="3"/>
  <c r="Q43" i="3" s="1"/>
  <c r="Q49" i="3" s="1"/>
  <c r="R39" i="3"/>
  <c r="U122" i="3"/>
  <c r="U360" i="3" s="1"/>
  <c r="T359" i="2"/>
  <c r="F284" i="2"/>
  <c r="AY282" i="3"/>
  <c r="BE441" i="3"/>
  <c r="T235" i="4"/>
  <c r="U233" i="4"/>
  <c r="AZ70" i="9"/>
  <c r="T337" i="3"/>
  <c r="BL105" i="3"/>
  <c r="S107" i="2"/>
  <c r="BL24" i="3"/>
  <c r="S432" i="2"/>
  <c r="BL432" i="3" s="1"/>
  <c r="R358" i="1"/>
  <c r="BL137" i="3"/>
  <c r="AH21" i="9"/>
  <c r="S179" i="2"/>
  <c r="BL179" i="3" s="1"/>
  <c r="S239" i="2"/>
  <c r="BL239" i="3" s="1"/>
  <c r="S236" i="2"/>
  <c r="BL80" i="3"/>
  <c r="R442" i="2"/>
  <c r="BK442" i="3" s="1"/>
  <c r="T20" i="9"/>
  <c r="T116" i="9" s="1"/>
  <c r="BK65" i="3"/>
  <c r="BK173" i="3"/>
  <c r="R279" i="2"/>
  <c r="BK279" i="3" s="1"/>
  <c r="G459" i="2"/>
  <c r="AZ459" i="3" s="1"/>
  <c r="G295" i="2"/>
  <c r="AZ295" i="3" s="1"/>
  <c r="H100" i="2"/>
  <c r="G30" i="2"/>
  <c r="AZ99" i="3"/>
  <c r="G328" i="2"/>
  <c r="AZ328" i="3" s="1"/>
  <c r="AV9" i="9"/>
  <c r="AV105" i="9" s="1"/>
  <c r="H101" i="2"/>
  <c r="BA101" i="3" s="1"/>
  <c r="R462" i="2"/>
  <c r="BK115" i="3"/>
  <c r="R298" i="2"/>
  <c r="T310" i="4"/>
  <c r="T306" i="4"/>
  <c r="T301" i="4"/>
  <c r="T298" i="4"/>
  <c r="T311" i="4"/>
  <c r="T308" i="4"/>
  <c r="T309" i="4"/>
  <c r="T307" i="4"/>
  <c r="T302" i="4"/>
  <c r="T297" i="4"/>
  <c r="T300" i="4"/>
  <c r="T299" i="4"/>
  <c r="T305" i="4"/>
  <c r="T172" i="4"/>
  <c r="T90" i="4"/>
  <c r="T252" i="4"/>
  <c r="T261" i="4" s="1"/>
  <c r="T251" i="4"/>
  <c r="U295" i="4"/>
  <c r="U29" i="4"/>
  <c r="V93" i="4"/>
  <c r="V175" i="4" s="1"/>
  <c r="U1" i="4"/>
  <c r="R255" i="4"/>
  <c r="Q215" i="3"/>
  <c r="Q258" i="4"/>
  <c r="Q215" i="2"/>
  <c r="F481" i="3"/>
  <c r="T194" i="4"/>
  <c r="U192" i="4"/>
  <c r="W41" i="4"/>
  <c r="V42" i="4"/>
  <c r="T220" i="4"/>
  <c r="U218" i="4"/>
  <c r="V124" i="4"/>
  <c r="U126" i="4"/>
  <c r="V264" i="4"/>
  <c r="W91" i="4"/>
  <c r="V178" i="4"/>
  <c r="V99" i="4"/>
  <c r="V257" i="4"/>
  <c r="V102" i="4"/>
  <c r="V180" i="4"/>
  <c r="BN21" i="3"/>
  <c r="BO4" i="3"/>
  <c r="BN206" i="3"/>
  <c r="P61" i="3"/>
  <c r="P126" i="5"/>
  <c r="R66" i="9"/>
  <c r="U5" i="2"/>
  <c r="U30" i="4" s="1"/>
  <c r="U89" i="4" s="1"/>
  <c r="U274" i="2" s="1"/>
  <c r="T106" i="2"/>
  <c r="BM106" i="3" s="1"/>
  <c r="T79" i="2"/>
  <c r="BM79" i="3" s="1"/>
  <c r="T53" i="2"/>
  <c r="BM53" i="3" s="1"/>
  <c r="D22" i="9"/>
  <c r="T58" i="2"/>
  <c r="BM58" i="3" s="1"/>
  <c r="T109" i="2"/>
  <c r="BM109" i="3" s="1"/>
  <c r="U97" i="4"/>
  <c r="U187" i="2" s="1"/>
  <c r="V14" i="4"/>
  <c r="S442" i="3"/>
  <c r="T69" i="9"/>
  <c r="T360" i="3"/>
  <c r="BK76" i="3"/>
  <c r="T120" i="2"/>
  <c r="Y116" i="9"/>
  <c r="T50" i="2"/>
  <c r="T52" i="2" s="1"/>
  <c r="T206" i="2"/>
  <c r="S353" i="1" s="1"/>
  <c r="O441" i="3"/>
  <c r="O242" i="3"/>
  <c r="O151" i="3"/>
  <c r="O451" i="3"/>
  <c r="O193" i="5"/>
  <c r="O128" i="5"/>
  <c r="O130" i="5" s="1"/>
  <c r="O288" i="3"/>
  <c r="AY512" i="3"/>
  <c r="F513" i="2"/>
  <c r="BJ39" i="3"/>
  <c r="Q41" i="2"/>
  <c r="R39" i="2"/>
  <c r="G361" i="3"/>
  <c r="AZ361" i="3" s="1"/>
  <c r="G37" i="3"/>
  <c r="T270" i="4"/>
  <c r="U268" i="4"/>
  <c r="G18" i="2"/>
  <c r="F258" i="2"/>
  <c r="F469" i="2"/>
  <c r="AY469" i="3" s="1"/>
  <c r="F382" i="2"/>
  <c r="BO8" i="9"/>
  <c r="AY135" i="3"/>
  <c r="BJ51" i="3"/>
  <c r="R51" i="2"/>
  <c r="G312" i="2"/>
  <c r="AZ88" i="3"/>
  <c r="G91" i="2"/>
  <c r="AY255" i="3"/>
  <c r="F257" i="2"/>
  <c r="T230" i="4"/>
  <c r="U228" i="4"/>
  <c r="T275" i="4"/>
  <c r="U273" i="4"/>
  <c r="O49" i="2"/>
  <c r="BH43" i="3"/>
  <c r="V40" i="4"/>
  <c r="W39" i="4"/>
  <c r="R298" i="3"/>
  <c r="R462" i="3"/>
  <c r="T70" i="3"/>
  <c r="U70" i="9"/>
  <c r="T452" i="3"/>
  <c r="T65" i="3"/>
  <c r="T174" i="3"/>
  <c r="T280" i="3" s="1"/>
  <c r="T173" i="3"/>
  <c r="T279" i="3" s="1"/>
  <c r="U504" i="3"/>
  <c r="U105" i="3"/>
  <c r="U83" i="3"/>
  <c r="U495" i="3"/>
  <c r="U479" i="3"/>
  <c r="U208" i="3"/>
  <c r="U108" i="3"/>
  <c r="U110" i="3" s="1"/>
  <c r="U69" i="3"/>
  <c r="U21" i="3"/>
  <c r="U82" i="3"/>
  <c r="U66" i="3"/>
  <c r="U209" i="3" s="1"/>
  <c r="U511" i="3"/>
  <c r="U137" i="3"/>
  <c r="U80" i="3"/>
  <c r="U62" i="3"/>
  <c r="V4" i="3"/>
  <c r="U22" i="3"/>
  <c r="U81" i="3"/>
  <c r="U78" i="3"/>
  <c r="U67" i="3"/>
  <c r="U42" i="3"/>
  <c r="U27" i="3"/>
  <c r="U435" i="3" s="1"/>
  <c r="U26" i="3"/>
  <c r="U434" i="3" s="1"/>
  <c r="U25" i="3"/>
  <c r="U433" i="3" s="1"/>
  <c r="U24" i="3"/>
  <c r="U432" i="3" s="1"/>
  <c r="U23" i="3"/>
  <c r="U431" i="3" s="1"/>
  <c r="U1" i="5"/>
  <c r="C71" i="9"/>
  <c r="U68" i="3"/>
  <c r="C119" i="9"/>
  <c r="U315" i="3"/>
  <c r="T359" i="3"/>
  <c r="T206" i="3"/>
  <c r="R379" i="1"/>
  <c r="BL209" i="3"/>
  <c r="R376" i="1"/>
  <c r="U21" i="9"/>
  <c r="U117" i="9" s="1"/>
  <c r="BL66" i="3"/>
  <c r="S70" i="2"/>
  <c r="S12" i="5" s="1"/>
  <c r="BL22" i="3"/>
  <c r="S430" i="2"/>
  <c r="BL430" i="3" s="1"/>
  <c r="BL25" i="3"/>
  <c r="S433" i="2"/>
  <c r="BL433" i="3" s="1"/>
  <c r="BL68" i="3"/>
  <c r="V21" i="9"/>
  <c r="V117" i="9" s="1"/>
  <c r="BL82" i="3"/>
  <c r="S237" i="2"/>
  <c r="BK174" i="3"/>
  <c r="R280" i="2"/>
  <c r="BK280" i="3" s="1"/>
  <c r="S115" i="2"/>
  <c r="BA21" i="9"/>
  <c r="BA117" i="9" s="1"/>
  <c r="S341" i="2"/>
  <c r="BL342" i="3" s="1"/>
  <c r="T113" i="2"/>
  <c r="BL113" i="3"/>
  <c r="U164" i="4"/>
  <c r="T166" i="4"/>
  <c r="T199" i="4"/>
  <c r="U197" i="4"/>
  <c r="T114" i="2"/>
  <c r="BE21" i="9"/>
  <c r="S342" i="2"/>
  <c r="T29" i="4"/>
  <c r="U238" i="4"/>
  <c r="T240" i="4"/>
  <c r="BI215" i="3"/>
  <c r="BK110" i="3"/>
  <c r="R337" i="2"/>
  <c r="BK338" i="3" s="1"/>
  <c r="AZ20" i="9"/>
  <c r="AZ116" i="9" s="1"/>
  <c r="BK237" i="3"/>
  <c r="AC20" i="9"/>
  <c r="AC116" i="9" s="1"/>
  <c r="U175" i="4"/>
  <c r="U176" i="4" s="1"/>
  <c r="B275" i="1"/>
  <c r="B322" i="1" s="1"/>
  <c r="Z276" i="1"/>
  <c r="T341" i="3"/>
  <c r="BA70" i="9"/>
  <c r="BJ40" i="3"/>
  <c r="R40" i="2"/>
  <c r="R254" i="4"/>
  <c r="Q217" i="3"/>
  <c r="Q217" i="2"/>
  <c r="U243" i="4"/>
  <c r="T245" i="4"/>
  <c r="S462" i="3"/>
  <c r="R210" i="5"/>
  <c r="BL187" i="3"/>
  <c r="T111" i="4"/>
  <c r="U109" i="4"/>
  <c r="N152" i="3"/>
  <c r="N164" i="3"/>
  <c r="BH216" i="3"/>
  <c r="N383" i="1"/>
  <c r="T51" i="3"/>
  <c r="BK57" i="9"/>
  <c r="G355" i="3"/>
  <c r="AG57" i="9"/>
  <c r="BK236" i="3"/>
  <c r="AB20" i="9"/>
  <c r="AB116" i="9" s="1"/>
  <c r="S123" i="2"/>
  <c r="T121" i="2"/>
  <c r="S358" i="2"/>
  <c r="BL359" i="3" s="1"/>
  <c r="L48" i="2"/>
  <c r="BE48" i="3" s="1"/>
  <c r="BE46" i="3"/>
  <c r="U159" i="4"/>
  <c r="T161" i="4"/>
  <c r="BE242" i="3"/>
  <c r="L164" i="2"/>
  <c r="BE151" i="3"/>
  <c r="L152" i="2"/>
  <c r="G35" i="2"/>
  <c r="G127" i="2"/>
  <c r="G17" i="2"/>
  <c r="AZ15" i="3"/>
  <c r="BI104" i="9"/>
  <c r="BL8" i="9"/>
  <c r="G439" i="3"/>
  <c r="N57" i="9"/>
  <c r="U151" i="4"/>
  <c r="V149" i="4"/>
  <c r="BE116" i="9"/>
  <c r="T311" i="3"/>
  <c r="T179" i="3"/>
  <c r="T239" i="3"/>
  <c r="AH70" i="9"/>
  <c r="BQ70" i="9" s="1"/>
  <c r="T430" i="3"/>
  <c r="T407" i="5"/>
  <c r="T357" i="3"/>
  <c r="BM357" i="3" s="1"/>
  <c r="BL108" i="3"/>
  <c r="S110" i="2"/>
  <c r="S65" i="2"/>
  <c r="BL62" i="3"/>
  <c r="S173" i="2"/>
  <c r="S452" i="2"/>
  <c r="BL452" i="3" s="1"/>
  <c r="S174" i="2"/>
  <c r="BL26" i="3"/>
  <c r="S434" i="2"/>
  <c r="BL434" i="3" s="1"/>
  <c r="R378" i="1"/>
  <c r="BL208" i="3"/>
  <c r="AH116" i="9"/>
  <c r="BQ20" i="9"/>
  <c r="BQ116" i="9" s="1"/>
  <c r="V92" i="4"/>
  <c r="U100" i="4"/>
  <c r="U103" i="4" s="1"/>
  <c r="U188" i="2" s="1"/>
  <c r="V114" i="4"/>
  <c r="U116" i="4"/>
  <c r="BK343" i="3"/>
  <c r="T30" i="4"/>
  <c r="T89" i="4" s="1"/>
  <c r="T274" i="2" s="1"/>
  <c r="P216" i="3"/>
  <c r="P216" i="2"/>
  <c r="T204" i="4"/>
  <c r="U202" i="4"/>
  <c r="M133" i="5"/>
  <c r="M135" i="5" s="1"/>
  <c r="M108" i="5"/>
  <c r="M110" i="5" s="1"/>
  <c r="M137" i="5" s="1"/>
  <c r="T121" i="4"/>
  <c r="U119" i="4"/>
  <c r="BF56" i="3"/>
  <c r="N56" i="2"/>
  <c r="G346" i="2"/>
  <c r="AZ347" i="3" s="1"/>
  <c r="S262" i="4"/>
  <c r="R265" i="4"/>
  <c r="BG55" i="3"/>
  <c r="N57" i="2"/>
  <c r="O55" i="2"/>
  <c r="S192" i="5"/>
  <c r="Q454" i="3"/>
  <c r="Q291" i="3"/>
  <c r="BJ291" i="3" s="1"/>
  <c r="AS67" i="9"/>
  <c r="AS115" i="9" s="1"/>
  <c r="Q77" i="3"/>
  <c r="BJ77" i="3" s="1"/>
  <c r="R454" i="2"/>
  <c r="R291" i="2"/>
  <c r="AS20" i="9"/>
  <c r="R490" i="3"/>
  <c r="BK490" i="3" s="1"/>
  <c r="R307" i="3"/>
  <c r="BK307" i="3" s="1"/>
  <c r="R74" i="3"/>
  <c r="BK74" i="3" s="1"/>
  <c r="S98" i="3"/>
  <c r="BL98" i="3" s="1"/>
  <c r="S325" i="2"/>
  <c r="S75" i="2"/>
  <c r="T98" i="2"/>
  <c r="Q458" i="3"/>
  <c r="Q294" i="3"/>
  <c r="BJ294" i="3" s="1"/>
  <c r="AX67" i="9"/>
  <c r="AX115" i="9" s="1"/>
  <c r="T189" i="2"/>
  <c r="R365" i="1"/>
  <c r="BL52" i="3"/>
  <c r="S54" i="2"/>
  <c r="U357" i="2"/>
  <c r="U264" i="2"/>
  <c r="U206" i="2"/>
  <c r="T353" i="1" s="1"/>
  <c r="U214" i="2"/>
  <c r="E23" i="9"/>
  <c r="V7" i="2"/>
  <c r="BL144" i="3"/>
  <c r="S471" i="2"/>
  <c r="S243" i="2"/>
  <c r="S301" i="2"/>
  <c r="Y21" i="9"/>
  <c r="S16" i="5"/>
  <c r="R369" i="1"/>
  <c r="BK54" i="3"/>
  <c r="R60" i="2"/>
  <c r="S87" i="3"/>
  <c r="BL87" i="3" s="1"/>
  <c r="S490" i="2"/>
  <c r="S307" i="2"/>
  <c r="S74" i="2"/>
  <c r="T87" i="2"/>
  <c r="BK87" i="3"/>
  <c r="R458" i="2"/>
  <c r="R294" i="2"/>
  <c r="AX20" i="9"/>
  <c r="R325" i="3"/>
  <c r="BK325" i="3" s="1"/>
  <c r="R75" i="3"/>
  <c r="S471" i="3"/>
  <c r="S301" i="3"/>
  <c r="S243" i="3"/>
  <c r="S196" i="5"/>
  <c r="Y69" i="9"/>
  <c r="S19" i="9"/>
  <c r="S115" i="9" s="1"/>
  <c r="BJ60" i="3"/>
  <c r="Q107" i="5"/>
  <c r="Q134" i="5" s="1"/>
  <c r="BL76" i="3"/>
  <c r="N372" i="3"/>
  <c r="N374" i="3" s="1"/>
  <c r="O367" i="3" s="1"/>
  <c r="T35" i="4" l="1"/>
  <c r="U35" i="4"/>
  <c r="T120" i="3"/>
  <c r="T157" i="3"/>
  <c r="T155" i="3"/>
  <c r="U157" i="2"/>
  <c r="U155" i="2"/>
  <c r="BL188" i="3"/>
  <c r="BE152" i="3"/>
  <c r="S77" i="2"/>
  <c r="V71" i="9"/>
  <c r="S70" i="9"/>
  <c r="BJ69" i="9"/>
  <c r="BJ117" i="9" s="1"/>
  <c r="S465" i="3"/>
  <c r="U50" i="3"/>
  <c r="U52" i="3" s="1"/>
  <c r="U54" i="3" s="1"/>
  <c r="U60" i="3" s="1"/>
  <c r="S71" i="9" s="1"/>
  <c r="BM50" i="3"/>
  <c r="BE117" i="9"/>
  <c r="BJ215" i="3"/>
  <c r="U50" i="2"/>
  <c r="U52" i="2" s="1"/>
  <c r="V96" i="4"/>
  <c r="F472" i="2"/>
  <c r="F399" i="2" s="1"/>
  <c r="F474" i="2"/>
  <c r="AY474" i="3" s="1"/>
  <c r="U120" i="2"/>
  <c r="U76" i="2" s="1"/>
  <c r="U465" i="2" s="1"/>
  <c r="G362" i="3"/>
  <c r="U142" i="2"/>
  <c r="M143" i="5"/>
  <c r="T354" i="2"/>
  <c r="U237" i="3"/>
  <c r="AC71" i="9" s="1"/>
  <c r="BE164" i="3"/>
  <c r="S208" i="5"/>
  <c r="V122" i="3"/>
  <c r="V360" i="3" s="1"/>
  <c r="BG45" i="3"/>
  <c r="O45" i="2"/>
  <c r="T76" i="3"/>
  <c r="T354" i="3"/>
  <c r="O57" i="2"/>
  <c r="BH55" i="3"/>
  <c r="P55" i="2"/>
  <c r="T342" i="2"/>
  <c r="U114" i="2"/>
  <c r="BE22" i="9"/>
  <c r="G131" i="2"/>
  <c r="AZ131" i="3" s="1"/>
  <c r="J9" i="9"/>
  <c r="J105" i="9" s="1"/>
  <c r="E259" i="1"/>
  <c r="AZ18" i="3"/>
  <c r="P441" i="3"/>
  <c r="P451" i="3"/>
  <c r="P151" i="3"/>
  <c r="P128" i="5"/>
  <c r="P130" i="5" s="1"/>
  <c r="P242" i="3"/>
  <c r="P288" i="3"/>
  <c r="P193" i="5"/>
  <c r="V126" i="4"/>
  <c r="W124" i="4"/>
  <c r="S255" i="4"/>
  <c r="R215" i="3"/>
  <c r="R258" i="4"/>
  <c r="R215" i="2"/>
  <c r="M48" i="2"/>
  <c r="BF48" i="3" s="1"/>
  <c r="BF46" i="3"/>
  <c r="BM209" i="3"/>
  <c r="S379" i="1"/>
  <c r="BM108" i="3"/>
  <c r="T110" i="2"/>
  <c r="BM68" i="3"/>
  <c r="V22" i="9"/>
  <c r="V118" i="9" s="1"/>
  <c r="BH70" i="9"/>
  <c r="F408" i="3"/>
  <c r="F403" i="3"/>
  <c r="N108" i="5"/>
  <c r="N110" i="5" s="1"/>
  <c r="N137" i="5" s="1"/>
  <c r="N143" i="5" s="1"/>
  <c r="N133" i="5"/>
  <c r="N135" i="5" s="1"/>
  <c r="BK172" i="3"/>
  <c r="R278" i="2"/>
  <c r="BK278" i="3" s="1"/>
  <c r="BC367" i="3"/>
  <c r="J372" i="2"/>
  <c r="T142" i="3"/>
  <c r="T144" i="3" s="1"/>
  <c r="T196" i="5" s="1"/>
  <c r="BK40" i="3"/>
  <c r="S40" i="2"/>
  <c r="V197" i="4"/>
  <c r="U199" i="4"/>
  <c r="S462" i="2"/>
  <c r="BL462" i="3" s="1"/>
  <c r="S298" i="2"/>
  <c r="BL298" i="3" s="1"/>
  <c r="U206" i="3"/>
  <c r="T442" i="3"/>
  <c r="T70" i="9"/>
  <c r="U270" i="4"/>
  <c r="V268" i="4"/>
  <c r="BK462" i="3"/>
  <c r="BL236" i="3"/>
  <c r="AB21" i="9"/>
  <c r="AB117" i="9" s="1"/>
  <c r="AF21" i="9"/>
  <c r="AF117" i="9" s="1"/>
  <c r="S235" i="2"/>
  <c r="BL235" i="3" s="1"/>
  <c r="BL107" i="3"/>
  <c r="T358" i="3"/>
  <c r="BM358" i="3" s="1"/>
  <c r="U121" i="3"/>
  <c r="BM311" i="3"/>
  <c r="T234" i="2"/>
  <c r="BM78" i="3"/>
  <c r="T14" i="5"/>
  <c r="T211" i="5" s="1"/>
  <c r="U511" i="2"/>
  <c r="BN511" i="3" s="1"/>
  <c r="U495" i="2"/>
  <c r="BN495" i="3" s="1"/>
  <c r="U479" i="2"/>
  <c r="BN479" i="3" s="1"/>
  <c r="U105" i="2"/>
  <c r="U81" i="2"/>
  <c r="BN81" i="3" s="1"/>
  <c r="U62" i="2"/>
  <c r="U42" i="2"/>
  <c r="BN42" i="3" s="1"/>
  <c r="U22" i="2"/>
  <c r="U389" i="2"/>
  <c r="U208" i="2"/>
  <c r="U78" i="2"/>
  <c r="U315" i="2"/>
  <c r="BN315" i="3" s="1"/>
  <c r="U108" i="2"/>
  <c r="U69" i="2"/>
  <c r="BN69" i="3" s="1"/>
  <c r="U21" i="2"/>
  <c r="V4" i="2"/>
  <c r="V206" i="2" s="1"/>
  <c r="U353" i="1" s="1"/>
  <c r="U131" i="2"/>
  <c r="BN131" i="3" s="1"/>
  <c r="U82" i="2"/>
  <c r="U80" i="2"/>
  <c r="C23" i="9"/>
  <c r="U137" i="2"/>
  <c r="U68" i="2"/>
  <c r="U27" i="2"/>
  <c r="U83" i="2"/>
  <c r="BN83" i="3" s="1"/>
  <c r="U25" i="2"/>
  <c r="U23" i="2"/>
  <c r="U26" i="2"/>
  <c r="U504" i="2"/>
  <c r="BN504" i="3" s="1"/>
  <c r="U130" i="2"/>
  <c r="BN130" i="3" s="1"/>
  <c r="U47" i="2"/>
  <c r="BN47" i="3" s="1"/>
  <c r="U24" i="2"/>
  <c r="U66" i="2"/>
  <c r="U209" i="2" s="1"/>
  <c r="U67" i="2"/>
  <c r="BN67" i="3" s="1"/>
  <c r="BM26" i="3"/>
  <c r="T434" i="2"/>
  <c r="BM434" i="3" s="1"/>
  <c r="V207" i="4"/>
  <c r="U209" i="4"/>
  <c r="BL343" i="3"/>
  <c r="F241" i="3"/>
  <c r="F438" i="3"/>
  <c r="F444" i="3" s="1"/>
  <c r="F71" i="3"/>
  <c r="F387" i="5" s="1"/>
  <c r="F139" i="3"/>
  <c r="F191" i="5"/>
  <c r="F392" i="5"/>
  <c r="F393" i="5" s="1"/>
  <c r="M56" i="9"/>
  <c r="W56" i="9" s="1"/>
  <c r="F169" i="3"/>
  <c r="F482" i="3"/>
  <c r="F268" i="3"/>
  <c r="F210" i="3"/>
  <c r="V116" i="4"/>
  <c r="W114" i="4"/>
  <c r="S254" i="4"/>
  <c r="R217" i="3"/>
  <c r="R217" i="2"/>
  <c r="U166" i="4"/>
  <c r="V164" i="4"/>
  <c r="U452" i="3"/>
  <c r="U174" i="3"/>
  <c r="U280" i="3" s="1"/>
  <c r="U65" i="3"/>
  <c r="U173" i="3"/>
  <c r="U279" i="3" s="1"/>
  <c r="T453" i="3"/>
  <c r="T289" i="3"/>
  <c r="T172" i="3"/>
  <c r="T278" i="3" s="1"/>
  <c r="T443" i="3"/>
  <c r="BW8" i="9"/>
  <c r="BW104" i="9" s="1"/>
  <c r="AY257" i="3"/>
  <c r="AZ312" i="3"/>
  <c r="G313" i="2"/>
  <c r="BO104" i="9"/>
  <c r="BP8" i="9"/>
  <c r="BP104" i="9" s="1"/>
  <c r="V186" i="3"/>
  <c r="V34" i="4"/>
  <c r="V186" i="2"/>
  <c r="W257" i="4"/>
  <c r="W264" i="4"/>
  <c r="W180" i="4"/>
  <c r="W99" i="4"/>
  <c r="W178" i="4"/>
  <c r="W102" i="4"/>
  <c r="X91" i="4"/>
  <c r="U88" i="4"/>
  <c r="U273" i="2" s="1"/>
  <c r="BQ21" i="9"/>
  <c r="BQ117" i="9" s="1"/>
  <c r="AH117" i="9"/>
  <c r="R67" i="9"/>
  <c r="Q61" i="3"/>
  <c r="Q126" i="5"/>
  <c r="U264" i="3"/>
  <c r="U214" i="3"/>
  <c r="BN214" i="3" s="1"/>
  <c r="U188" i="3"/>
  <c r="BN188" i="3" s="1"/>
  <c r="U187" i="3"/>
  <c r="U3" i="5"/>
  <c r="U411" i="5" s="1"/>
  <c r="E119" i="9"/>
  <c r="E71" i="9"/>
  <c r="V7" i="3"/>
  <c r="V311" i="3" s="1"/>
  <c r="BM114" i="3"/>
  <c r="U114" i="3"/>
  <c r="BE70" i="9"/>
  <c r="T115" i="3"/>
  <c r="T342" i="3"/>
  <c r="V98" i="4"/>
  <c r="V177" i="4"/>
  <c r="V181" i="4" s="1"/>
  <c r="W11" i="4"/>
  <c r="BI43" i="3"/>
  <c r="P49" i="2"/>
  <c r="T262" i="4"/>
  <c r="S265" i="4"/>
  <c r="AZ17" i="3"/>
  <c r="I9" i="9"/>
  <c r="I105" i="9" s="1"/>
  <c r="U161" i="4"/>
  <c r="V159" i="4"/>
  <c r="U245" i="4"/>
  <c r="V243" i="4"/>
  <c r="B276" i="1"/>
  <c r="B323" i="1" s="1"/>
  <c r="Z277" i="1"/>
  <c r="T88" i="4"/>
  <c r="T273" i="2" s="1"/>
  <c r="U236" i="3"/>
  <c r="AB71" i="9" s="1"/>
  <c r="U337" i="3"/>
  <c r="AZ71" i="9"/>
  <c r="U359" i="3"/>
  <c r="BK51" i="3"/>
  <c r="S51" i="2"/>
  <c r="F383" i="2"/>
  <c r="AY382" i="3"/>
  <c r="BK39" i="3"/>
  <c r="S39" i="2"/>
  <c r="R41" i="2"/>
  <c r="V176" i="4"/>
  <c r="W14" i="4"/>
  <c r="V97" i="4"/>
  <c r="U220" i="4"/>
  <c r="V218" i="4"/>
  <c r="U194" i="4"/>
  <c r="V192" i="4"/>
  <c r="U235" i="4"/>
  <c r="V233" i="4"/>
  <c r="U141" i="4"/>
  <c r="V139" i="4"/>
  <c r="BM82" i="3"/>
  <c r="T237" i="2"/>
  <c r="T76" i="2"/>
  <c r="U311" i="2"/>
  <c r="U359" i="2"/>
  <c r="BN360" i="3" s="1"/>
  <c r="V100" i="4"/>
  <c r="W92" i="4"/>
  <c r="BL174" i="3"/>
  <c r="S280" i="2"/>
  <c r="BL280" i="3" s="1"/>
  <c r="T21" i="9"/>
  <c r="T117" i="9" s="1"/>
  <c r="BL65" i="3"/>
  <c r="S442" i="2"/>
  <c r="BL442" i="3" s="1"/>
  <c r="V151" i="4"/>
  <c r="W149" i="4"/>
  <c r="BL104" i="9"/>
  <c r="AZ127" i="3"/>
  <c r="G355" i="2"/>
  <c r="AZ355" i="3" s="1"/>
  <c r="BK9" i="9"/>
  <c r="BK105" i="9" s="1"/>
  <c r="AG9" i="9"/>
  <c r="AG105" i="9" s="1"/>
  <c r="T358" i="2"/>
  <c r="BM359" i="3" s="1"/>
  <c r="U121" i="2"/>
  <c r="T123" i="2"/>
  <c r="BH22" i="9" s="1"/>
  <c r="BM121" i="3"/>
  <c r="V109" i="4"/>
  <c r="U111" i="4"/>
  <c r="BJ217" i="3"/>
  <c r="T341" i="2"/>
  <c r="BM342" i="3" s="1"/>
  <c r="T115" i="2"/>
  <c r="BA22" i="9"/>
  <c r="BA118" i="9" s="1"/>
  <c r="BM113" i="3"/>
  <c r="U311" i="3"/>
  <c r="U357" i="3"/>
  <c r="BN357" i="3" s="1"/>
  <c r="U430" i="3"/>
  <c r="U407" i="5"/>
  <c r="U239" i="3"/>
  <c r="U179" i="3"/>
  <c r="AH71" i="9"/>
  <c r="BQ71" i="9" s="1"/>
  <c r="U40" i="3"/>
  <c r="T192" i="5"/>
  <c r="O61" i="2"/>
  <c r="O106" i="5"/>
  <c r="R17" i="9"/>
  <c r="R113" i="9" s="1"/>
  <c r="BH49" i="3"/>
  <c r="V228" i="4"/>
  <c r="U230" i="4"/>
  <c r="AZ91" i="3"/>
  <c r="G259" i="1"/>
  <c r="A259" i="1" s="1"/>
  <c r="H92" i="2"/>
  <c r="G491" i="2"/>
  <c r="AP9" i="9"/>
  <c r="AP105" i="9" s="1"/>
  <c r="G455" i="2"/>
  <c r="AZ455" i="3" s="1"/>
  <c r="H93" i="2"/>
  <c r="BA93" i="3" s="1"/>
  <c r="G292" i="2"/>
  <c r="AZ292" i="3" s="1"/>
  <c r="Q43" i="2"/>
  <c r="BJ41" i="3"/>
  <c r="O164" i="3"/>
  <c r="O152" i="3"/>
  <c r="BM360" i="3"/>
  <c r="BO206" i="3"/>
  <c r="BO21" i="3"/>
  <c r="BP4" i="3"/>
  <c r="Q216" i="3"/>
  <c r="Q216" i="2"/>
  <c r="U311" i="4"/>
  <c r="U310" i="4"/>
  <c r="U309" i="4"/>
  <c r="U308" i="4"/>
  <c r="U307" i="4"/>
  <c r="U302" i="4"/>
  <c r="U301" i="4"/>
  <c r="U300" i="4"/>
  <c r="U299" i="4"/>
  <c r="U298" i="4"/>
  <c r="U306" i="4"/>
  <c r="U297" i="4"/>
  <c r="U305" i="4"/>
  <c r="U252" i="4"/>
  <c r="U261" i="4" s="1"/>
  <c r="U172" i="4"/>
  <c r="U90" i="4"/>
  <c r="U251" i="4"/>
  <c r="M152" i="2"/>
  <c r="BF152" i="3" s="1"/>
  <c r="M164" i="2"/>
  <c r="BF164" i="3" s="1"/>
  <c r="BF151" i="3"/>
  <c r="V146" i="4"/>
  <c r="W144" i="4"/>
  <c r="U51" i="3"/>
  <c r="V287" i="4"/>
  <c r="U289" i="4"/>
  <c r="V282" i="4"/>
  <c r="U284" i="4"/>
  <c r="T189" i="3"/>
  <c r="BM189" i="3" s="1"/>
  <c r="BL234" i="3"/>
  <c r="AA21" i="9"/>
  <c r="AA117" i="9" s="1"/>
  <c r="S378" i="1"/>
  <c r="BM208" i="3"/>
  <c r="BM80" i="3"/>
  <c r="T236" i="2"/>
  <c r="BM22" i="3"/>
  <c r="T430" i="2"/>
  <c r="BM430" i="3" s="1"/>
  <c r="BM105" i="3"/>
  <c r="T107" i="2"/>
  <c r="T431" i="2"/>
  <c r="BM431" i="3" s="1"/>
  <c r="BM23" i="3"/>
  <c r="T435" i="2"/>
  <c r="BM435" i="3" s="1"/>
  <c r="BM27" i="3"/>
  <c r="V129" i="4"/>
  <c r="U131" i="4"/>
  <c r="BL115" i="3"/>
  <c r="V46" i="4"/>
  <c r="W45" i="4"/>
  <c r="V156" i="4"/>
  <c r="W154" i="4"/>
  <c r="N451" i="2"/>
  <c r="BG451" i="3" s="1"/>
  <c r="BG61" i="3"/>
  <c r="M362" i="1"/>
  <c r="N242" i="2"/>
  <c r="BG242" i="3" s="1"/>
  <c r="N288" i="2"/>
  <c r="BG288" i="3" s="1"/>
  <c r="N441" i="2"/>
  <c r="BG441" i="3" s="1"/>
  <c r="N151" i="2"/>
  <c r="N13" i="5"/>
  <c r="N209" i="5" s="1"/>
  <c r="V187" i="4"/>
  <c r="U189" i="4"/>
  <c r="BL173" i="3"/>
  <c r="S279" i="2"/>
  <c r="BL279" i="3" s="1"/>
  <c r="V238" i="4"/>
  <c r="U240" i="4"/>
  <c r="BL237" i="3"/>
  <c r="AC21" i="9"/>
  <c r="AC117" i="9" s="1"/>
  <c r="S453" i="2"/>
  <c r="BL453" i="3" s="1"/>
  <c r="S443" i="2"/>
  <c r="BL443" i="3" s="1"/>
  <c r="S289" i="2"/>
  <c r="BL289" i="3" s="1"/>
  <c r="BL70" i="3"/>
  <c r="S172" i="2"/>
  <c r="U106" i="2"/>
  <c r="BN106" i="3" s="1"/>
  <c r="U79" i="2"/>
  <c r="BN79" i="3" s="1"/>
  <c r="U58" i="2"/>
  <c r="BN58" i="3" s="1"/>
  <c r="U53" i="2"/>
  <c r="BN53" i="3" s="1"/>
  <c r="V5" i="2"/>
  <c r="V30" i="4" s="1"/>
  <c r="V89" i="4" s="1"/>
  <c r="V274" i="2" s="1"/>
  <c r="D23" i="9"/>
  <c r="U109" i="2"/>
  <c r="BN109" i="3" s="1"/>
  <c r="X41" i="4"/>
  <c r="W42" i="4"/>
  <c r="BA100" i="3"/>
  <c r="H102" i="2"/>
  <c r="T65" i="2"/>
  <c r="T452" i="2"/>
  <c r="BM452" i="3" s="1"/>
  <c r="T174" i="2"/>
  <c r="T173" i="2"/>
  <c r="BM62" i="3"/>
  <c r="T433" i="2"/>
  <c r="BM433" i="3" s="1"/>
  <c r="BM25" i="3"/>
  <c r="BM120" i="3"/>
  <c r="N59" i="2"/>
  <c r="BG59" i="3" s="1"/>
  <c r="BG57" i="3"/>
  <c r="V119" i="4"/>
  <c r="U121" i="4"/>
  <c r="U204" i="4"/>
  <c r="V202" i="4"/>
  <c r="BG56" i="3"/>
  <c r="O56" i="2"/>
  <c r="O383" i="1"/>
  <c r="BI216" i="3"/>
  <c r="BL110" i="3"/>
  <c r="AZ21" i="9"/>
  <c r="AZ117" i="9" s="1"/>
  <c r="S337" i="2"/>
  <c r="BL338" i="3" s="1"/>
  <c r="AZ35" i="3"/>
  <c r="G361" i="2"/>
  <c r="G37" i="2"/>
  <c r="BH21" i="9"/>
  <c r="BH117" i="9" s="1"/>
  <c r="BL123" i="3"/>
  <c r="U194" i="5"/>
  <c r="U234" i="3"/>
  <c r="AA71" i="9" s="1"/>
  <c r="V511" i="3"/>
  <c r="V137" i="3"/>
  <c r="V108" i="3"/>
  <c r="V82" i="3"/>
  <c r="V495" i="3"/>
  <c r="V105" i="3"/>
  <c r="V83" i="3"/>
  <c r="V66" i="3"/>
  <c r="V209" i="3" s="1"/>
  <c r="V504" i="3"/>
  <c r="V81" i="3"/>
  <c r="V78" i="3"/>
  <c r="V67" i="3"/>
  <c r="V62" i="3"/>
  <c r="V42" i="3"/>
  <c r="V27" i="3"/>
  <c r="V435" i="3" s="1"/>
  <c r="V26" i="3"/>
  <c r="V434" i="3" s="1"/>
  <c r="V25" i="3"/>
  <c r="V433" i="3" s="1"/>
  <c r="V24" i="3"/>
  <c r="V432" i="3" s="1"/>
  <c r="V23" i="3"/>
  <c r="V431" i="3" s="1"/>
  <c r="V69" i="3"/>
  <c r="V1" i="5"/>
  <c r="V479" i="3"/>
  <c r="V208" i="3"/>
  <c r="V22" i="3"/>
  <c r="V68" i="3"/>
  <c r="V21" i="3"/>
  <c r="V80" i="3"/>
  <c r="W4" i="3"/>
  <c r="C120" i="9"/>
  <c r="C72" i="9"/>
  <c r="V315" i="3"/>
  <c r="U70" i="3"/>
  <c r="U71" i="9"/>
  <c r="U107" i="3"/>
  <c r="W40" i="4"/>
  <c r="X39" i="4"/>
  <c r="V273" i="4"/>
  <c r="U275" i="4"/>
  <c r="AY258" i="3"/>
  <c r="F175" i="5"/>
  <c r="BX8" i="9"/>
  <c r="BX104" i="9" s="1"/>
  <c r="P57" i="9"/>
  <c r="G440" i="3"/>
  <c r="V295" i="4"/>
  <c r="V29" i="4"/>
  <c r="V35" i="4" s="1"/>
  <c r="V1" i="4"/>
  <c r="W93" i="4"/>
  <c r="W175" i="4" s="1"/>
  <c r="BK298" i="3"/>
  <c r="G329" i="2"/>
  <c r="AZ329" i="3" s="1"/>
  <c r="AZ30" i="3"/>
  <c r="E359" i="1"/>
  <c r="P198" i="1" s="1"/>
  <c r="AY284" i="3"/>
  <c r="R41" i="3"/>
  <c r="R43" i="3" s="1"/>
  <c r="R49" i="3" s="1"/>
  <c r="S39" i="3"/>
  <c r="U122" i="2"/>
  <c r="T360" i="2"/>
  <c r="BM122" i="3"/>
  <c r="L143" i="5"/>
  <c r="V79" i="3"/>
  <c r="V109" i="3"/>
  <c r="V53" i="3"/>
  <c r="D120" i="9"/>
  <c r="D72" i="9"/>
  <c r="V106" i="3"/>
  <c r="W5" i="3"/>
  <c r="V2" i="5"/>
  <c r="N46" i="2"/>
  <c r="BG44" i="3"/>
  <c r="O44" i="2"/>
  <c r="BM66" i="3"/>
  <c r="S376" i="1"/>
  <c r="U22" i="9"/>
  <c r="U118" i="9" s="1"/>
  <c r="T70" i="2"/>
  <c r="T12" i="5" s="1"/>
  <c r="BM24" i="3"/>
  <c r="T432" i="2"/>
  <c r="BM432" i="3" s="1"/>
  <c r="BM47" i="3"/>
  <c r="BM137" i="3"/>
  <c r="AH22" i="9"/>
  <c r="T239" i="2"/>
  <c r="BM239" i="3" s="1"/>
  <c r="T179" i="2"/>
  <c r="BM179" i="3" s="1"/>
  <c r="S358" i="1"/>
  <c r="BN186" i="3"/>
  <c r="V44" i="4"/>
  <c r="W43" i="4"/>
  <c r="F391" i="1"/>
  <c r="AZ353" i="3"/>
  <c r="U225" i="4"/>
  <c r="V223" i="4"/>
  <c r="T87" i="3"/>
  <c r="BM87" i="3" s="1"/>
  <c r="T490" i="2"/>
  <c r="T307" i="2"/>
  <c r="U87" i="2"/>
  <c r="T74" i="2"/>
  <c r="Y117" i="9"/>
  <c r="T301" i="3"/>
  <c r="T54" i="2"/>
  <c r="BM52" i="3"/>
  <c r="R458" i="3"/>
  <c r="R294" i="3"/>
  <c r="BK294" i="3" s="1"/>
  <c r="AX68" i="9"/>
  <c r="AX116" i="9" s="1"/>
  <c r="S454" i="2"/>
  <c r="S291" i="2"/>
  <c r="AS21" i="9"/>
  <c r="S490" i="3"/>
  <c r="BL490" i="3" s="1"/>
  <c r="S307" i="3"/>
  <c r="BL307" i="3" s="1"/>
  <c r="S74" i="3"/>
  <c r="BL74" i="3" s="1"/>
  <c r="BL301" i="3"/>
  <c r="V359" i="2"/>
  <c r="V264" i="2"/>
  <c r="V311" i="2"/>
  <c r="V214" i="2"/>
  <c r="V187" i="2"/>
  <c r="E24" i="9"/>
  <c r="W7" i="2"/>
  <c r="U189" i="2"/>
  <c r="T471" i="2"/>
  <c r="T243" i="2"/>
  <c r="T301" i="2"/>
  <c r="Y22" i="9"/>
  <c r="T16" i="5"/>
  <c r="S369" i="1"/>
  <c r="T98" i="3"/>
  <c r="T325" i="2"/>
  <c r="T75" i="2"/>
  <c r="U98" i="2"/>
  <c r="S325" i="3"/>
  <c r="BL325" i="3" s="1"/>
  <c r="S75" i="3"/>
  <c r="BL75" i="3" s="1"/>
  <c r="BK75" i="3"/>
  <c r="BL243" i="3"/>
  <c r="U142" i="3"/>
  <c r="U144" i="3" s="1"/>
  <c r="U144" i="2"/>
  <c r="V142" i="2"/>
  <c r="S365" i="1"/>
  <c r="S458" i="2"/>
  <c r="S294" i="2"/>
  <c r="AX21" i="9"/>
  <c r="R454" i="3"/>
  <c r="R291" i="3"/>
  <c r="BK291" i="3" s="1"/>
  <c r="AS68" i="9"/>
  <c r="AS116" i="9" s="1"/>
  <c r="R77" i="3"/>
  <c r="BK77" i="3" s="1"/>
  <c r="S20" i="9"/>
  <c r="S116" i="9" s="1"/>
  <c r="BK60" i="3"/>
  <c r="R107" i="5"/>
  <c r="R134" i="5" s="1"/>
  <c r="S210" i="5"/>
  <c r="BL471" i="3"/>
  <c r="BL54" i="3"/>
  <c r="S60" i="2"/>
  <c r="U354" i="2"/>
  <c r="O124" i="3"/>
  <c r="U120" i="3" l="1"/>
  <c r="U157" i="3"/>
  <c r="U155" i="3"/>
  <c r="V157" i="2"/>
  <c r="V155" i="2"/>
  <c r="F28" i="2"/>
  <c r="BM343" i="3"/>
  <c r="U38" i="4"/>
  <c r="U62" i="4"/>
  <c r="U75" i="4"/>
  <c r="T38" i="4"/>
  <c r="T62" i="4"/>
  <c r="T75" i="4"/>
  <c r="BN50" i="3"/>
  <c r="G362" i="2"/>
  <c r="U127" i="5"/>
  <c r="BJ70" i="9"/>
  <c r="T465" i="3"/>
  <c r="BJ22" i="9"/>
  <c r="T465" i="2"/>
  <c r="F401" i="2"/>
  <c r="AY401" i="3" s="1"/>
  <c r="F400" i="2"/>
  <c r="AY400" i="3" s="1"/>
  <c r="F402" i="2"/>
  <c r="AY472" i="3"/>
  <c r="BM144" i="3"/>
  <c r="T208" i="5"/>
  <c r="V72" i="9"/>
  <c r="BM354" i="3"/>
  <c r="U189" i="3"/>
  <c r="F476" i="2"/>
  <c r="F478" i="2" s="1"/>
  <c r="V50" i="2"/>
  <c r="V52" i="2" s="1"/>
  <c r="V103" i="4"/>
  <c r="V188" i="2" s="1"/>
  <c r="V236" i="3"/>
  <c r="AB72" i="9" s="1"/>
  <c r="BR8" i="9"/>
  <c r="BR104" i="9" s="1"/>
  <c r="BN311" i="3"/>
  <c r="BO360" i="3"/>
  <c r="BH118" i="9"/>
  <c r="BE118" i="9"/>
  <c r="V120" i="2"/>
  <c r="V76" i="2" s="1"/>
  <c r="V465" i="2" s="1"/>
  <c r="T77" i="2"/>
  <c r="V357" i="2"/>
  <c r="BK217" i="3"/>
  <c r="BO311" i="3"/>
  <c r="BO186" i="3"/>
  <c r="BH45" i="3"/>
  <c r="P45" i="2"/>
  <c r="U354" i="3"/>
  <c r="BN354" i="3" s="1"/>
  <c r="U76" i="3"/>
  <c r="BN120" i="3"/>
  <c r="BL172" i="3"/>
  <c r="S278" i="2"/>
  <c r="BL278" i="3" s="1"/>
  <c r="V121" i="2"/>
  <c r="U358" i="2"/>
  <c r="BN359" i="3" s="1"/>
  <c r="U123" i="2"/>
  <c r="X11" i="4"/>
  <c r="W177" i="4"/>
  <c r="BM115" i="3"/>
  <c r="T298" i="3"/>
  <c r="T462" i="3"/>
  <c r="V264" i="3"/>
  <c r="V188" i="3"/>
  <c r="BO188" i="3" s="1"/>
  <c r="V214" i="3"/>
  <c r="BO214" i="3" s="1"/>
  <c r="V187" i="3"/>
  <c r="BO187" i="3" s="1"/>
  <c r="W7" i="3"/>
  <c r="E120" i="9"/>
  <c r="E72" i="9"/>
  <c r="V3" i="5"/>
  <c r="V411" i="5" s="1"/>
  <c r="W96" i="4"/>
  <c r="W98" i="4" s="1"/>
  <c r="BN68" i="3"/>
  <c r="V23" i="9"/>
  <c r="V119" i="9" s="1"/>
  <c r="BN82" i="3"/>
  <c r="U237" i="2"/>
  <c r="BI55" i="3"/>
  <c r="P57" i="2"/>
  <c r="Q55" i="2"/>
  <c r="S41" i="3"/>
  <c r="S43" i="3" s="1"/>
  <c r="S49" i="3" s="1"/>
  <c r="T39" i="3"/>
  <c r="V311" i="4"/>
  <c r="V309" i="4"/>
  <c r="V307" i="4"/>
  <c r="V306" i="4"/>
  <c r="V308" i="4"/>
  <c r="V297" i="4"/>
  <c r="V310" i="4"/>
  <c r="V305" i="4"/>
  <c r="V301" i="4"/>
  <c r="V299" i="4"/>
  <c r="V302" i="4"/>
  <c r="V298" i="4"/>
  <c r="V300" i="4"/>
  <c r="V252" i="4"/>
  <c r="V90" i="4"/>
  <c r="V172" i="4"/>
  <c r="V251" i="4"/>
  <c r="BH56" i="3"/>
  <c r="P56" i="2"/>
  <c r="V121" i="4"/>
  <c r="W119" i="4"/>
  <c r="W187" i="4"/>
  <c r="V189" i="4"/>
  <c r="AF22" i="9"/>
  <c r="AF118" i="9" s="1"/>
  <c r="BM107" i="3"/>
  <c r="T235" i="2"/>
  <c r="BM235" i="3" s="1"/>
  <c r="BM236" i="3"/>
  <c r="AB22" i="9"/>
  <c r="AB118" i="9" s="1"/>
  <c r="V284" i="4"/>
  <c r="W282" i="4"/>
  <c r="W146" i="4"/>
  <c r="X144" i="4"/>
  <c r="W228" i="4"/>
  <c r="V230" i="4"/>
  <c r="O441" i="2"/>
  <c r="BH441" i="3" s="1"/>
  <c r="O288" i="2"/>
  <c r="BH288" i="3" s="1"/>
  <c r="O13" i="5"/>
  <c r="O209" i="5" s="1"/>
  <c r="O151" i="2"/>
  <c r="O451" i="2"/>
  <c r="BH451" i="3" s="1"/>
  <c r="BH61" i="3"/>
  <c r="N362" i="1"/>
  <c r="O242" i="2"/>
  <c r="BH242" i="3" s="1"/>
  <c r="T298" i="2"/>
  <c r="T462" i="2"/>
  <c r="V111" i="4"/>
  <c r="W109" i="4"/>
  <c r="W100" i="4"/>
  <c r="X92" i="4"/>
  <c r="BM237" i="3"/>
  <c r="AC22" i="9"/>
  <c r="AC118" i="9" s="1"/>
  <c r="W233" i="4"/>
  <c r="V235" i="4"/>
  <c r="W218" i="4"/>
  <c r="V220" i="4"/>
  <c r="W243" i="4"/>
  <c r="V245" i="4"/>
  <c r="Q288" i="3"/>
  <c r="Q451" i="3"/>
  <c r="Q193" i="5"/>
  <c r="Q242" i="3"/>
  <c r="Q151" i="3"/>
  <c r="Q441" i="3"/>
  <c r="Q128" i="5"/>
  <c r="Q130" i="5" s="1"/>
  <c r="W181" i="4"/>
  <c r="U433" i="2"/>
  <c r="BN433" i="3" s="1"/>
  <c r="BN25" i="3"/>
  <c r="BN137" i="3"/>
  <c r="U239" i="2"/>
  <c r="BN239" i="3" s="1"/>
  <c r="U179" i="2"/>
  <c r="BN179" i="3" s="1"/>
  <c r="T358" i="1"/>
  <c r="AH23" i="9"/>
  <c r="BN108" i="3"/>
  <c r="U110" i="2"/>
  <c r="U14" i="5"/>
  <c r="U211" i="5" s="1"/>
  <c r="BN78" i="3"/>
  <c r="U234" i="2"/>
  <c r="BN121" i="3"/>
  <c r="V121" i="3"/>
  <c r="U358" i="3"/>
  <c r="BN358" i="3" s="1"/>
  <c r="U123" i="3"/>
  <c r="BH71" i="9" s="1"/>
  <c r="V199" i="4"/>
  <c r="W197" i="4"/>
  <c r="F412" i="3"/>
  <c r="F413" i="3" s="1"/>
  <c r="F415" i="3"/>
  <c r="F419" i="3" s="1"/>
  <c r="F420" i="3" s="1"/>
  <c r="T255" i="4"/>
  <c r="S215" i="3"/>
  <c r="S258" i="4"/>
  <c r="S215" i="2"/>
  <c r="P164" i="3"/>
  <c r="P152" i="3"/>
  <c r="W106" i="3"/>
  <c r="W53" i="3"/>
  <c r="X5" i="3"/>
  <c r="W79" i="3"/>
  <c r="D121" i="9"/>
  <c r="W109" i="3"/>
  <c r="D73" i="9"/>
  <c r="W2" i="5"/>
  <c r="W273" i="4"/>
  <c r="V275" i="4"/>
  <c r="T280" i="2"/>
  <c r="BM174" i="3"/>
  <c r="W238" i="4"/>
  <c r="V240" i="4"/>
  <c r="W46" i="4"/>
  <c r="X45" i="4"/>
  <c r="V131" i="4"/>
  <c r="W129" i="4"/>
  <c r="BJ216" i="3"/>
  <c r="P383" i="1"/>
  <c r="O108" i="5"/>
  <c r="O110" i="5" s="1"/>
  <c r="O137" i="5" s="1"/>
  <c r="O143" i="5" s="1"/>
  <c r="O133" i="5"/>
  <c r="O135" i="5" s="1"/>
  <c r="F408" i="2"/>
  <c r="AY399" i="3"/>
  <c r="X14" i="4"/>
  <c r="W176" i="4"/>
  <c r="U442" i="3"/>
  <c r="T71" i="9"/>
  <c r="X114" i="4"/>
  <c r="W116" i="4"/>
  <c r="U431" i="2"/>
  <c r="BN431" i="3" s="1"/>
  <c r="BN23" i="3"/>
  <c r="BN22" i="3"/>
  <c r="U430" i="2"/>
  <c r="BN430" i="3" s="1"/>
  <c r="BN105" i="3"/>
  <c r="U107" i="2"/>
  <c r="V261" i="4"/>
  <c r="BM301" i="3"/>
  <c r="V430" i="3"/>
  <c r="V407" i="5"/>
  <c r="V234" i="3"/>
  <c r="AA72" i="9" s="1"/>
  <c r="V194" i="5"/>
  <c r="V107" i="3"/>
  <c r="V237" i="3"/>
  <c r="AC72" i="9" s="1"/>
  <c r="P9" i="9"/>
  <c r="P105" i="9" s="1"/>
  <c r="AZ37" i="3"/>
  <c r="BN187" i="3"/>
  <c r="Y70" i="9"/>
  <c r="Y118" i="9" s="1"/>
  <c r="T471" i="3"/>
  <c r="BM471" i="3" s="1"/>
  <c r="W223" i="4"/>
  <c r="V225" i="4"/>
  <c r="V51" i="3"/>
  <c r="W51" i="3" s="1"/>
  <c r="R68" i="9"/>
  <c r="R61" i="3"/>
  <c r="R126" i="5"/>
  <c r="V88" i="4"/>
  <c r="V273" i="2" s="1"/>
  <c r="U443" i="3"/>
  <c r="U289" i="3"/>
  <c r="U172" i="3"/>
  <c r="U278" i="3" s="1"/>
  <c r="U453" i="3"/>
  <c r="V359" i="3"/>
  <c r="V40" i="3"/>
  <c r="W40" i="3" s="1"/>
  <c r="V206" i="3"/>
  <c r="AZ362" i="3"/>
  <c r="AZ356" i="3"/>
  <c r="W202" i="4"/>
  <c r="V204" i="4"/>
  <c r="T442" i="2"/>
  <c r="BM442" i="3" s="1"/>
  <c r="BM65" i="3"/>
  <c r="T22" i="9"/>
  <c r="X42" i="4"/>
  <c r="Y41" i="4"/>
  <c r="W156" i="4"/>
  <c r="X154" i="4"/>
  <c r="Q49" i="2"/>
  <c r="BJ43" i="3"/>
  <c r="F169" i="2"/>
  <c r="F241" i="2"/>
  <c r="AY241" i="3" s="1"/>
  <c r="F11" i="5"/>
  <c r="F207" i="5" s="1"/>
  <c r="F139" i="2"/>
  <c r="AY139" i="3" s="1"/>
  <c r="AY28" i="3"/>
  <c r="M8" i="9"/>
  <c r="F390" i="5"/>
  <c r="F438" i="2"/>
  <c r="F71" i="2"/>
  <c r="E202" i="1"/>
  <c r="E689" i="1" s="1"/>
  <c r="F689" i="1" s="1"/>
  <c r="W151" i="4"/>
  <c r="X149" i="4"/>
  <c r="G330" i="2"/>
  <c r="AZ330" i="3" s="1"/>
  <c r="BK41" i="3"/>
  <c r="R43" i="2"/>
  <c r="AY383" i="3"/>
  <c r="G377" i="2"/>
  <c r="P106" i="5"/>
  <c r="P61" i="2"/>
  <c r="R18" i="9"/>
  <c r="R114" i="9" s="1"/>
  <c r="BI49" i="3"/>
  <c r="BN114" i="3"/>
  <c r="U342" i="3"/>
  <c r="BE71" i="9"/>
  <c r="G128" i="2"/>
  <c r="G130" i="2"/>
  <c r="AZ130" i="3" s="1"/>
  <c r="U192" i="5"/>
  <c r="BN209" i="3"/>
  <c r="T379" i="1"/>
  <c r="U70" i="2"/>
  <c r="U12" i="5" s="1"/>
  <c r="BN66" i="3"/>
  <c r="T376" i="1"/>
  <c r="U23" i="9"/>
  <c r="U119" i="9" s="1"/>
  <c r="V511" i="2"/>
  <c r="BO511" i="3" s="1"/>
  <c r="V495" i="2"/>
  <c r="BO495" i="3" s="1"/>
  <c r="V479" i="2"/>
  <c r="BO479" i="3" s="1"/>
  <c r="V389" i="2"/>
  <c r="V315" i="2"/>
  <c r="BO315" i="3" s="1"/>
  <c r="V108" i="2"/>
  <c r="BO108" i="3" s="1"/>
  <c r="V69" i="2"/>
  <c r="BO69" i="3" s="1"/>
  <c r="V21" i="2"/>
  <c r="W4" i="2"/>
  <c r="W29" i="4" s="1"/>
  <c r="V137" i="2"/>
  <c r="V68" i="2"/>
  <c r="V47" i="2"/>
  <c r="BO47" i="3" s="1"/>
  <c r="V26" i="2"/>
  <c r="V23" i="2"/>
  <c r="V208" i="2"/>
  <c r="V131" i="2"/>
  <c r="BO131" i="3" s="1"/>
  <c r="V82" i="2"/>
  <c r="V80" i="2"/>
  <c r="V78" i="2"/>
  <c r="C24" i="9"/>
  <c r="V504" i="2"/>
  <c r="BO504" i="3" s="1"/>
  <c r="V130" i="2"/>
  <c r="BO130" i="3" s="1"/>
  <c r="V83" i="2"/>
  <c r="BO83" i="3" s="1"/>
  <c r="V27" i="2"/>
  <c r="V25" i="2"/>
  <c r="V24" i="2"/>
  <c r="V22" i="2"/>
  <c r="V81" i="2"/>
  <c r="BO81" i="3" s="1"/>
  <c r="V42" i="2"/>
  <c r="BO42" i="3" s="1"/>
  <c r="V105" i="2"/>
  <c r="V66" i="2"/>
  <c r="V209" i="2" s="1"/>
  <c r="V67" i="2"/>
  <c r="BO67" i="3" s="1"/>
  <c r="T378" i="1"/>
  <c r="BN208" i="3"/>
  <c r="V62" i="2"/>
  <c r="U174" i="2"/>
  <c r="U173" i="2"/>
  <c r="BN62" i="3"/>
  <c r="U452" i="2"/>
  <c r="BN452" i="3" s="1"/>
  <c r="U65" i="2"/>
  <c r="BL40" i="3"/>
  <c r="T40" i="2"/>
  <c r="BC372" i="3"/>
  <c r="J374" i="2"/>
  <c r="AZ22" i="9"/>
  <c r="AZ118" i="9" s="1"/>
  <c r="T337" i="2"/>
  <c r="BM338" i="3" s="1"/>
  <c r="BM110" i="3"/>
  <c r="BK215" i="3"/>
  <c r="X124" i="4"/>
  <c r="W126" i="4"/>
  <c r="U342" i="2"/>
  <c r="BE23" i="9"/>
  <c r="BH57" i="3"/>
  <c r="O59" i="2"/>
  <c r="BH59" i="3" s="1"/>
  <c r="V122" i="2"/>
  <c r="U360" i="2"/>
  <c r="BN122" i="3"/>
  <c r="X93" i="4"/>
  <c r="X175" i="4" s="1"/>
  <c r="W295" i="4"/>
  <c r="W1" i="4"/>
  <c r="W495" i="3"/>
  <c r="W479" i="3"/>
  <c r="W359" i="3"/>
  <c r="W357" i="3"/>
  <c r="BP357" i="3" s="1"/>
  <c r="W208" i="3"/>
  <c r="W81" i="3"/>
  <c r="W511" i="3"/>
  <c r="W504" i="3"/>
  <c r="W82" i="3"/>
  <c r="W78" i="3"/>
  <c r="W67" i="3"/>
  <c r="W62" i="3"/>
  <c r="W42" i="3"/>
  <c r="W27" i="3"/>
  <c r="W435" i="3" s="1"/>
  <c r="W26" i="3"/>
  <c r="W434" i="3" s="1"/>
  <c r="W25" i="3"/>
  <c r="W433" i="3" s="1"/>
  <c r="W24" i="3"/>
  <c r="W432" i="3" s="1"/>
  <c r="W23" i="3"/>
  <c r="W431" i="3" s="1"/>
  <c r="W137" i="3"/>
  <c r="W80" i="3"/>
  <c r="W68" i="3"/>
  <c r="W22" i="3"/>
  <c r="X4" i="3"/>
  <c r="W206" i="3"/>
  <c r="W83" i="3"/>
  <c r="W315" i="3"/>
  <c r="W21" i="3"/>
  <c r="W108" i="3"/>
  <c r="W66" i="3"/>
  <c r="W209" i="3" s="1"/>
  <c r="C73" i="9"/>
  <c r="W105" i="3"/>
  <c r="W107" i="3" s="1"/>
  <c r="W69" i="3"/>
  <c r="W1" i="5"/>
  <c r="C121" i="9"/>
  <c r="W311" i="3"/>
  <c r="BA92" i="3"/>
  <c r="H94" i="2"/>
  <c r="U262" i="4"/>
  <c r="T265" i="4"/>
  <c r="T243" i="3"/>
  <c r="BM243" i="3" s="1"/>
  <c r="BQ22" i="9"/>
  <c r="BQ118" i="9" s="1"/>
  <c r="AH118" i="9"/>
  <c r="N48" i="2"/>
  <c r="BG48" i="3" s="1"/>
  <c r="BG46" i="3"/>
  <c r="X40" i="4"/>
  <c r="Y39" i="4"/>
  <c r="W122" i="3"/>
  <c r="W360" i="3" s="1"/>
  <c r="BM76" i="3"/>
  <c r="BM142" i="3"/>
  <c r="T210" i="5"/>
  <c r="W44" i="4"/>
  <c r="X43" i="4"/>
  <c r="BM70" i="3"/>
  <c r="T443" i="2"/>
  <c r="BM443" i="3" s="1"/>
  <c r="T453" i="2"/>
  <c r="BM453" i="3" s="1"/>
  <c r="T289" i="2"/>
  <c r="BM289" i="3" s="1"/>
  <c r="T172" i="2"/>
  <c r="BH44" i="3"/>
  <c r="O46" i="2"/>
  <c r="P44" i="2"/>
  <c r="V50" i="3"/>
  <c r="V52" i="3" s="1"/>
  <c r="V54" i="3" s="1"/>
  <c r="V60" i="3" s="1"/>
  <c r="U235" i="3"/>
  <c r="AF71" i="9"/>
  <c r="V357" i="3"/>
  <c r="BO357" i="3" s="1"/>
  <c r="V174" i="3"/>
  <c r="V280" i="3" s="1"/>
  <c r="V452" i="3"/>
  <c r="V65" i="3"/>
  <c r="V173" i="3"/>
  <c r="V279" i="3" s="1"/>
  <c r="V70" i="3"/>
  <c r="U72" i="9"/>
  <c r="V179" i="3"/>
  <c r="V239" i="3"/>
  <c r="AH72" i="9"/>
  <c r="BQ72" i="9" s="1"/>
  <c r="BM173" i="3"/>
  <c r="T279" i="2"/>
  <c r="BA102" i="3"/>
  <c r="H378" i="5"/>
  <c r="H326" i="2"/>
  <c r="BA326" i="3" s="1"/>
  <c r="H460" i="2"/>
  <c r="BA460" i="3" s="1"/>
  <c r="AU10" i="9"/>
  <c r="AU106" i="9" s="1"/>
  <c r="H296" i="2"/>
  <c r="BA296" i="3" s="1"/>
  <c r="H502" i="2"/>
  <c r="BA502" i="3" s="1"/>
  <c r="V53" i="2"/>
  <c r="BO53" i="3" s="1"/>
  <c r="W5" i="2"/>
  <c r="W30" i="4" s="1"/>
  <c r="W89" i="4" s="1"/>
  <c r="W274" i="2" s="1"/>
  <c r="D24" i="9"/>
  <c r="V58" i="2"/>
  <c r="BO58" i="3" s="1"/>
  <c r="V106" i="2"/>
  <c r="BO106" i="3" s="1"/>
  <c r="V79" i="2"/>
  <c r="BO79" i="3" s="1"/>
  <c r="V109" i="2"/>
  <c r="BO109" i="3" s="1"/>
  <c r="BG151" i="3"/>
  <c r="N164" i="2"/>
  <c r="BG164" i="3" s="1"/>
  <c r="N152" i="2"/>
  <c r="BG152" i="3" s="1"/>
  <c r="V289" i="4"/>
  <c r="W287" i="4"/>
  <c r="BP206" i="3"/>
  <c r="BQ4" i="3"/>
  <c r="BP21" i="3"/>
  <c r="AZ491" i="3"/>
  <c r="W139" i="4"/>
  <c r="V141" i="4"/>
  <c r="W192" i="4"/>
  <c r="V194" i="4"/>
  <c r="BL39" i="3"/>
  <c r="T39" i="2"/>
  <c r="S41" i="2"/>
  <c r="BL51" i="3"/>
  <c r="T51" i="2"/>
  <c r="B277" i="1"/>
  <c r="B324" i="1" s="1"/>
  <c r="Z278" i="1"/>
  <c r="V161" i="4"/>
  <c r="W159" i="4"/>
  <c r="X257" i="4"/>
  <c r="X178" i="4"/>
  <c r="X264" i="4"/>
  <c r="X180" i="4"/>
  <c r="X102" i="4"/>
  <c r="Y91" i="4"/>
  <c r="X99" i="4"/>
  <c r="V166" i="4"/>
  <c r="W164" i="4"/>
  <c r="T254" i="4"/>
  <c r="S217" i="3"/>
  <c r="S217" i="2"/>
  <c r="W207" i="4"/>
  <c r="V209" i="4"/>
  <c r="U432" i="2"/>
  <c r="BN432" i="3" s="1"/>
  <c r="BN24" i="3"/>
  <c r="U434" i="2"/>
  <c r="BN434" i="3" s="1"/>
  <c r="BN26" i="3"/>
  <c r="U435" i="2"/>
  <c r="BN435" i="3" s="1"/>
  <c r="BN27" i="3"/>
  <c r="BN80" i="3"/>
  <c r="U236" i="2"/>
  <c r="BM234" i="3"/>
  <c r="AA22" i="9"/>
  <c r="AA118" i="9" s="1"/>
  <c r="W268" i="4"/>
  <c r="V270" i="4"/>
  <c r="BM123" i="3"/>
  <c r="R216" i="3"/>
  <c r="R216" i="2"/>
  <c r="BN144" i="3"/>
  <c r="U471" i="2"/>
  <c r="U301" i="2"/>
  <c r="U243" i="2"/>
  <c r="U16" i="5"/>
  <c r="Y23" i="9"/>
  <c r="T369" i="1"/>
  <c r="BN52" i="3"/>
  <c r="U54" i="2"/>
  <c r="T458" i="2"/>
  <c r="T294" i="2"/>
  <c r="AX22" i="9"/>
  <c r="W311" i="2"/>
  <c r="W214" i="2"/>
  <c r="W264" i="2"/>
  <c r="X7" i="2"/>
  <c r="E25" i="9"/>
  <c r="U87" i="3"/>
  <c r="U490" i="2"/>
  <c r="U307" i="2"/>
  <c r="U74" i="2"/>
  <c r="V87" i="2"/>
  <c r="BL60" i="3"/>
  <c r="S107" i="5"/>
  <c r="S134" i="5" s="1"/>
  <c r="S21" i="9"/>
  <c r="S117" i="9" s="1"/>
  <c r="BN142" i="3"/>
  <c r="S458" i="3"/>
  <c r="S294" i="3"/>
  <c r="BL294" i="3" s="1"/>
  <c r="AX69" i="9"/>
  <c r="AX117" i="9" s="1"/>
  <c r="U471" i="3"/>
  <c r="U301" i="3"/>
  <c r="U243" i="3"/>
  <c r="Y71" i="9"/>
  <c r="U196" i="5"/>
  <c r="T325" i="3"/>
  <c r="BM325" i="3" s="1"/>
  <c r="T75" i="3"/>
  <c r="BN189" i="3"/>
  <c r="T365" i="1"/>
  <c r="V189" i="2"/>
  <c r="T60" i="2"/>
  <c r="BM54" i="3"/>
  <c r="V142" i="3"/>
  <c r="V144" i="3" s="1"/>
  <c r="V144" i="2"/>
  <c r="U98" i="3"/>
  <c r="BN98" i="3" s="1"/>
  <c r="U325" i="2"/>
  <c r="V98" i="2"/>
  <c r="U75" i="2"/>
  <c r="BM98" i="3"/>
  <c r="S454" i="3"/>
  <c r="S291" i="3"/>
  <c r="BL291" i="3" s="1"/>
  <c r="AS69" i="9"/>
  <c r="AS117" i="9" s="1"/>
  <c r="S77" i="3"/>
  <c r="BL77" i="3" s="1"/>
  <c r="T454" i="2"/>
  <c r="T291" i="2"/>
  <c r="AS22" i="9"/>
  <c r="T490" i="3"/>
  <c r="BM490" i="3" s="1"/>
  <c r="T307" i="3"/>
  <c r="BM307" i="3" s="1"/>
  <c r="T74" i="3"/>
  <c r="BJ23" i="9"/>
  <c r="BN76" i="3"/>
  <c r="O371" i="3"/>
  <c r="BM65" i="9"/>
  <c r="O125" i="3"/>
  <c r="O36" i="3"/>
  <c r="W35" i="4" l="1"/>
  <c r="W157" i="2"/>
  <c r="W155" i="2"/>
  <c r="V120" i="3"/>
  <c r="V157" i="3"/>
  <c r="V155" i="3"/>
  <c r="W357" i="2"/>
  <c r="V38" i="4"/>
  <c r="V62" i="4"/>
  <c r="V75" i="4"/>
  <c r="W97" i="4"/>
  <c r="W187" i="2" s="1"/>
  <c r="F410" i="2"/>
  <c r="F417" i="2" s="1"/>
  <c r="BJ118" i="9"/>
  <c r="F409" i="2"/>
  <c r="F416" i="2" s="1"/>
  <c r="AY416" i="3" s="1"/>
  <c r="F403" i="2"/>
  <c r="AY403" i="3" s="1"/>
  <c r="AY402" i="3"/>
  <c r="F411" i="2"/>
  <c r="AY411" i="3" s="1"/>
  <c r="BJ71" i="9"/>
  <c r="BJ119" i="9" s="1"/>
  <c r="U465" i="3"/>
  <c r="W142" i="2"/>
  <c r="W359" i="2"/>
  <c r="BP360" i="3" s="1"/>
  <c r="W206" i="2"/>
  <c r="V353" i="1" s="1"/>
  <c r="BO50" i="3"/>
  <c r="V354" i="2"/>
  <c r="W120" i="2"/>
  <c r="W354" i="2" s="1"/>
  <c r="BL215" i="3"/>
  <c r="AY476" i="3"/>
  <c r="W103" i="4"/>
  <c r="W188" i="2" s="1"/>
  <c r="U77" i="2"/>
  <c r="AZ128" i="3"/>
  <c r="G133" i="2"/>
  <c r="BN343" i="3"/>
  <c r="Q45" i="2"/>
  <c r="BI45" i="3"/>
  <c r="V73" i="9"/>
  <c r="W237" i="3"/>
  <c r="AC73" i="9" s="1"/>
  <c r="U208" i="5"/>
  <c r="BP311" i="3"/>
  <c r="BL217" i="3"/>
  <c r="W236" i="3"/>
  <c r="AB73" i="9" s="1"/>
  <c r="BM298" i="3"/>
  <c r="V354" i="3"/>
  <c r="V76" i="3"/>
  <c r="BO120" i="3"/>
  <c r="X295" i="4"/>
  <c r="Y93" i="4"/>
  <c r="X1" i="4"/>
  <c r="U378" i="1"/>
  <c r="BO208" i="3"/>
  <c r="T118" i="9"/>
  <c r="X202" i="4"/>
  <c r="W204" i="4"/>
  <c r="W240" i="4"/>
  <c r="X238" i="4"/>
  <c r="X96" i="4"/>
  <c r="W289" i="4"/>
  <c r="X287" i="4"/>
  <c r="W58" i="2"/>
  <c r="BP58" i="3" s="1"/>
  <c r="W106" i="2"/>
  <c r="BP106" i="3" s="1"/>
  <c r="W79" i="2"/>
  <c r="BP79" i="3" s="1"/>
  <c r="D25" i="9"/>
  <c r="W53" i="2"/>
  <c r="BP53" i="3" s="1"/>
  <c r="X5" i="2"/>
  <c r="W109" i="2"/>
  <c r="BP109" i="3" s="1"/>
  <c r="V453" i="3"/>
  <c r="V172" i="3"/>
  <c r="V278" i="3" s="1"/>
  <c r="V443" i="3"/>
  <c r="V289" i="3"/>
  <c r="W174" i="3"/>
  <c r="W280" i="3" s="1"/>
  <c r="W452" i="3"/>
  <c r="W65" i="3"/>
  <c r="W173" i="3"/>
  <c r="W279" i="3" s="1"/>
  <c r="W305" i="4"/>
  <c r="W311" i="4"/>
  <c r="W309" i="4"/>
  <c r="W297" i="4"/>
  <c r="W306" i="4"/>
  <c r="W302" i="4"/>
  <c r="W299" i="4"/>
  <c r="W310" i="4"/>
  <c r="W307" i="4"/>
  <c r="W308" i="4"/>
  <c r="W300" i="4"/>
  <c r="W298" i="4"/>
  <c r="W301" i="4"/>
  <c r="W90" i="4"/>
  <c r="W172" i="4"/>
  <c r="W252" i="4"/>
  <c r="W261" i="4" s="1"/>
  <c r="W251" i="4"/>
  <c r="Y124" i="4"/>
  <c r="X126" i="4"/>
  <c r="BO24" i="3"/>
  <c r="V432" i="2"/>
  <c r="BO432" i="3" s="1"/>
  <c r="BO80" i="3"/>
  <c r="V236" i="2"/>
  <c r="BO23" i="3"/>
  <c r="V431" i="2"/>
  <c r="BO431" i="3" s="1"/>
  <c r="BO137" i="3"/>
  <c r="V239" i="2"/>
  <c r="BO239" i="3" s="1"/>
  <c r="V179" i="2"/>
  <c r="BO179" i="3" s="1"/>
  <c r="U358" i="1"/>
  <c r="AH24" i="9"/>
  <c r="P108" i="5"/>
  <c r="P110" i="5" s="1"/>
  <c r="P137" i="5" s="1"/>
  <c r="P143" i="5" s="1"/>
  <c r="P133" i="5"/>
  <c r="P135" i="5" s="1"/>
  <c r="AY438" i="3"/>
  <c r="F444" i="2"/>
  <c r="AY444" i="3" s="1"/>
  <c r="Y42" i="4"/>
  <c r="Z41" i="4"/>
  <c r="X46" i="4"/>
  <c r="Y45" i="4"/>
  <c r="X273" i="4"/>
  <c r="W275" i="4"/>
  <c r="X109" i="3"/>
  <c r="X53" i="3"/>
  <c r="Y5" i="3"/>
  <c r="X106" i="3"/>
  <c r="X2" i="5"/>
  <c r="D74" i="9"/>
  <c r="D122" i="9"/>
  <c r="X79" i="3"/>
  <c r="S216" i="3"/>
  <c r="S216" i="2"/>
  <c r="AY478" i="3"/>
  <c r="F480" i="2"/>
  <c r="BN110" i="3"/>
  <c r="AZ23" i="9"/>
  <c r="AZ119" i="9" s="1"/>
  <c r="U337" i="2"/>
  <c r="BN338" i="3" s="1"/>
  <c r="BI56" i="3"/>
  <c r="Q56" i="2"/>
  <c r="S61" i="3"/>
  <c r="R69" i="9"/>
  <c r="S126" i="5"/>
  <c r="BH23" i="9"/>
  <c r="BH119" i="9" s="1"/>
  <c r="BN123" i="3"/>
  <c r="BH46" i="3"/>
  <c r="O48" i="2"/>
  <c r="BH48" i="3" s="1"/>
  <c r="Z39" i="4"/>
  <c r="Y40" i="4"/>
  <c r="AF73" i="9"/>
  <c r="W235" i="3"/>
  <c r="V174" i="2"/>
  <c r="V173" i="2"/>
  <c r="V452" i="2"/>
  <c r="BO62" i="3"/>
  <c r="V65" i="2"/>
  <c r="BO105" i="3"/>
  <c r="V107" i="2"/>
  <c r="BO68" i="3"/>
  <c r="V24" i="9"/>
  <c r="V120" i="9" s="1"/>
  <c r="AY169" i="3"/>
  <c r="E354" i="1"/>
  <c r="P193" i="1" s="1"/>
  <c r="V358" i="3"/>
  <c r="BO358" i="3" s="1"/>
  <c r="W121" i="3"/>
  <c r="W358" i="3" s="1"/>
  <c r="V123" i="3"/>
  <c r="BH72" i="9" s="1"/>
  <c r="W235" i="4"/>
  <c r="X233" i="4"/>
  <c r="W230" i="4"/>
  <c r="X228" i="4"/>
  <c r="BI57" i="3"/>
  <c r="P59" i="2"/>
  <c r="BI59" i="3" s="1"/>
  <c r="BL41" i="3"/>
  <c r="S43" i="2"/>
  <c r="BO142" i="3"/>
  <c r="BN236" i="3"/>
  <c r="AB23" i="9"/>
  <c r="AB119" i="9" s="1"/>
  <c r="U254" i="4"/>
  <c r="T217" i="3"/>
  <c r="T217" i="2"/>
  <c r="Y264" i="4"/>
  <c r="Y178" i="4"/>
  <c r="Y102" i="4"/>
  <c r="Z91" i="4"/>
  <c r="Y257" i="4"/>
  <c r="Y99" i="4"/>
  <c r="Y180" i="4"/>
  <c r="Y175" i="4"/>
  <c r="Y96" i="4"/>
  <c r="BM39" i="3"/>
  <c r="T41" i="2"/>
  <c r="U39" i="2"/>
  <c r="V127" i="5"/>
  <c r="S72" i="9"/>
  <c r="T278" i="2"/>
  <c r="BM278" i="3" s="1"/>
  <c r="BM172" i="3"/>
  <c r="W70" i="3"/>
  <c r="U73" i="9"/>
  <c r="X80" i="3"/>
  <c r="X479" i="3"/>
  <c r="X137" i="3"/>
  <c r="X81" i="3"/>
  <c r="X68" i="3"/>
  <c r="X22" i="3"/>
  <c r="Y4" i="3"/>
  <c r="X511" i="3"/>
  <c r="X69" i="3"/>
  <c r="X21" i="3"/>
  <c r="X495" i="3"/>
  <c r="X208" i="3"/>
  <c r="X78" i="3"/>
  <c r="X67" i="3"/>
  <c r="X42" i="3"/>
  <c r="X27" i="3"/>
  <c r="X435" i="3" s="1"/>
  <c r="X26" i="3"/>
  <c r="X434" i="3" s="1"/>
  <c r="X25" i="3"/>
  <c r="X433" i="3" s="1"/>
  <c r="X24" i="3"/>
  <c r="X432" i="3" s="1"/>
  <c r="X23" i="3"/>
  <c r="X431" i="3" s="1"/>
  <c r="X504" i="3"/>
  <c r="C74" i="9"/>
  <c r="X108" i="3"/>
  <c r="X66" i="3"/>
  <c r="X209" i="3" s="1"/>
  <c r="X105" i="3"/>
  <c r="X82" i="3"/>
  <c r="X1" i="5"/>
  <c r="X83" i="3"/>
  <c r="X62" i="3"/>
  <c r="C122" i="9"/>
  <c r="X315" i="3"/>
  <c r="W239" i="3"/>
  <c r="AH73" i="9"/>
  <c r="BQ73" i="9" s="1"/>
  <c r="W179" i="3"/>
  <c r="W88" i="4"/>
  <c r="W273" i="2" s="1"/>
  <c r="BC374" i="3"/>
  <c r="K367" i="2"/>
  <c r="U279" i="2"/>
  <c r="BN279" i="3" s="1"/>
  <c r="BN173" i="3"/>
  <c r="BO25" i="3"/>
  <c r="V433" i="2"/>
  <c r="BO433" i="3" s="1"/>
  <c r="BO82" i="3"/>
  <c r="V237" i="2"/>
  <c r="BO26" i="3"/>
  <c r="V434" i="2"/>
  <c r="BO434" i="3" s="1"/>
  <c r="W504" i="2"/>
  <c r="BP504" i="3" s="1"/>
  <c r="W495" i="2"/>
  <c r="BP495" i="3" s="1"/>
  <c r="W208" i="2"/>
  <c r="W131" i="2"/>
  <c r="BP131" i="3" s="1"/>
  <c r="W82" i="2"/>
  <c r="W80" i="2"/>
  <c r="W78" i="2"/>
  <c r="C25" i="9"/>
  <c r="W479" i="2"/>
  <c r="BP479" i="3" s="1"/>
  <c r="W105" i="2"/>
  <c r="W81" i="2"/>
  <c r="BP81" i="3" s="1"/>
  <c r="W22" i="2"/>
  <c r="W511" i="2"/>
  <c r="BP511" i="3" s="1"/>
  <c r="W389" i="2"/>
  <c r="W137" i="2"/>
  <c r="W130" i="2"/>
  <c r="BP130" i="3" s="1"/>
  <c r="W83" i="2"/>
  <c r="BP83" i="3" s="1"/>
  <c r="W68" i="2"/>
  <c r="W47" i="2"/>
  <c r="BP47" i="3" s="1"/>
  <c r="W27" i="2"/>
  <c r="W26" i="2"/>
  <c r="W25" i="2"/>
  <c r="W24" i="2"/>
  <c r="W23" i="2"/>
  <c r="W42" i="2"/>
  <c r="BP42" i="3" s="1"/>
  <c r="W69" i="2"/>
  <c r="BP69" i="3" s="1"/>
  <c r="X4" i="2"/>
  <c r="X206" i="2" s="1"/>
  <c r="W353" i="1" s="1"/>
  <c r="W315" i="2"/>
  <c r="BP315" i="3" s="1"/>
  <c r="W21" i="2"/>
  <c r="W108" i="2"/>
  <c r="BP108" i="3" s="1"/>
  <c r="W62" i="2"/>
  <c r="W67" i="2"/>
  <c r="BP67" i="3" s="1"/>
  <c r="W66" i="2"/>
  <c r="W209" i="2" s="1"/>
  <c r="AZ377" i="3"/>
  <c r="F391" i="5"/>
  <c r="F395" i="5" s="1"/>
  <c r="F394" i="5"/>
  <c r="R19" i="9"/>
  <c r="R115" i="9" s="1"/>
  <c r="Q106" i="5"/>
  <c r="Q61" i="2"/>
  <c r="BJ49" i="3"/>
  <c r="R451" i="3"/>
  <c r="R288" i="3"/>
  <c r="R441" i="3"/>
  <c r="R242" i="3"/>
  <c r="R128" i="5"/>
  <c r="R130" i="5" s="1"/>
  <c r="R151" i="3"/>
  <c r="R193" i="5"/>
  <c r="W225" i="4"/>
  <c r="X223" i="4"/>
  <c r="Y114" i="4"/>
  <c r="X116" i="4"/>
  <c r="AY408" i="3"/>
  <c r="F415" i="2"/>
  <c r="X197" i="4"/>
  <c r="W199" i="4"/>
  <c r="BN234" i="3"/>
  <c r="AA23" i="9"/>
  <c r="AA119" i="9" s="1"/>
  <c r="Q152" i="3"/>
  <c r="Q164" i="3"/>
  <c r="W220" i="4"/>
  <c r="X218" i="4"/>
  <c r="X282" i="4"/>
  <c r="W284" i="4"/>
  <c r="X187" i="4"/>
  <c r="W189" i="4"/>
  <c r="BN237" i="3"/>
  <c r="AC23" i="9"/>
  <c r="AC119" i="9" s="1"/>
  <c r="W34" i="4"/>
  <c r="W186" i="3"/>
  <c r="W186" i="2"/>
  <c r="W187" i="3"/>
  <c r="X7" i="3"/>
  <c r="W188" i="3"/>
  <c r="BP188" i="3" s="1"/>
  <c r="W264" i="3"/>
  <c r="E73" i="9"/>
  <c r="E121" i="9"/>
  <c r="W3" i="5"/>
  <c r="W411" i="5" s="1"/>
  <c r="W214" i="3"/>
  <c r="BP214" i="3" s="1"/>
  <c r="V442" i="3"/>
  <c r="T72" i="9"/>
  <c r="H456" i="2"/>
  <c r="BA456" i="3" s="1"/>
  <c r="H176" i="2"/>
  <c r="H308" i="2"/>
  <c r="BA308" i="3" s="1"/>
  <c r="H379" i="5"/>
  <c r="H383" i="5" s="1"/>
  <c r="H293" i="2"/>
  <c r="BA293" i="3" s="1"/>
  <c r="H377" i="5"/>
  <c r="BA94" i="3"/>
  <c r="AN10" i="9"/>
  <c r="AN106" i="9" s="1"/>
  <c r="BM40" i="3"/>
  <c r="U40" i="2"/>
  <c r="U379" i="1"/>
  <c r="BO209" i="3"/>
  <c r="BO78" i="3"/>
  <c r="V234" i="2"/>
  <c r="V14" i="5"/>
  <c r="V211" i="5" s="1"/>
  <c r="BN70" i="3"/>
  <c r="U172" i="2"/>
  <c r="U289" i="2"/>
  <c r="BN289" i="3" s="1"/>
  <c r="U453" i="2"/>
  <c r="BN453" i="3" s="1"/>
  <c r="U443" i="2"/>
  <c r="BN443" i="3" s="1"/>
  <c r="P151" i="2"/>
  <c r="O362" i="1"/>
  <c r="P441" i="2"/>
  <c r="BI441" i="3" s="1"/>
  <c r="BI61" i="3"/>
  <c r="P451" i="2"/>
  <c r="BI451" i="3" s="1"/>
  <c r="P242" i="2"/>
  <c r="BI242" i="3" s="1"/>
  <c r="P13" i="5"/>
  <c r="P209" i="5" s="1"/>
  <c r="P288" i="2"/>
  <c r="BI288" i="3" s="1"/>
  <c r="R49" i="2"/>
  <c r="BK43" i="3"/>
  <c r="AY71" i="3"/>
  <c r="E368" i="1"/>
  <c r="P209" i="1" s="1"/>
  <c r="F386" i="5"/>
  <c r="F388" i="5" s="1"/>
  <c r="AF72" i="9"/>
  <c r="V235" i="3"/>
  <c r="W245" i="4"/>
  <c r="X243" i="4"/>
  <c r="Y144" i="4"/>
  <c r="X146" i="4"/>
  <c r="T41" i="3"/>
  <c r="T43" i="3" s="1"/>
  <c r="T49" i="3" s="1"/>
  <c r="U39" i="3"/>
  <c r="B278" i="1"/>
  <c r="B325" i="1" s="1"/>
  <c r="Z279" i="1"/>
  <c r="X192" i="4"/>
  <c r="W194" i="4"/>
  <c r="W50" i="2"/>
  <c r="W52" i="2" s="1"/>
  <c r="BK216" i="3"/>
  <c r="Q383" i="1"/>
  <c r="X268" i="4"/>
  <c r="W270" i="4"/>
  <c r="X207" i="4"/>
  <c r="W209" i="4"/>
  <c r="W166" i="4"/>
  <c r="X164" i="4"/>
  <c r="W161" i="4"/>
  <c r="X159" i="4"/>
  <c r="BM51" i="3"/>
  <c r="U51" i="2"/>
  <c r="W141" i="4"/>
  <c r="X139" i="4"/>
  <c r="BQ206" i="3"/>
  <c r="BR4" i="3"/>
  <c r="BQ21" i="3"/>
  <c r="BM279" i="3"/>
  <c r="V192" i="5"/>
  <c r="BI44" i="3"/>
  <c r="P46" i="2"/>
  <c r="Q44" i="2"/>
  <c r="X44" i="4"/>
  <c r="Y43" i="4"/>
  <c r="V262" i="4"/>
  <c r="U265" i="4"/>
  <c r="W430" i="3"/>
  <c r="W407" i="5"/>
  <c r="W234" i="3"/>
  <c r="AA73" i="9" s="1"/>
  <c r="W194" i="5"/>
  <c r="V360" i="2"/>
  <c r="W122" i="2"/>
  <c r="BO122" i="3"/>
  <c r="U442" i="2"/>
  <c r="BN442" i="3" s="1"/>
  <c r="BN65" i="3"/>
  <c r="T23" i="9"/>
  <c r="T119" i="9" s="1"/>
  <c r="BN174" i="3"/>
  <c r="U280" i="2"/>
  <c r="BN280" i="3" s="1"/>
  <c r="V70" i="2"/>
  <c r="BO66" i="3"/>
  <c r="U376" i="1"/>
  <c r="U24" i="9"/>
  <c r="U120" i="9" s="1"/>
  <c r="V430" i="2"/>
  <c r="BO430" i="3" s="1"/>
  <c r="BO22" i="3"/>
  <c r="BO27" i="3"/>
  <c r="V435" i="2"/>
  <c r="BO435" i="3" s="1"/>
  <c r="BE119" i="9"/>
  <c r="Y149" i="4"/>
  <c r="X151" i="4"/>
  <c r="M104" i="9"/>
  <c r="W8" i="9"/>
  <c r="Y154" i="4"/>
  <c r="X156" i="4"/>
  <c r="AF23" i="9"/>
  <c r="AF119" i="9" s="1"/>
  <c r="U235" i="2"/>
  <c r="BN235" i="3" s="1"/>
  <c r="BN107" i="3"/>
  <c r="X97" i="4"/>
  <c r="X187" i="2" s="1"/>
  <c r="X176" i="4"/>
  <c r="Y14" i="4"/>
  <c r="X129" i="4"/>
  <c r="W131" i="4"/>
  <c r="BM280" i="3"/>
  <c r="W50" i="3"/>
  <c r="W52" i="3" s="1"/>
  <c r="W54" i="3" s="1"/>
  <c r="W60" i="3" s="1"/>
  <c r="U255" i="4"/>
  <c r="T258" i="4"/>
  <c r="T215" i="3"/>
  <c r="T215" i="2"/>
  <c r="AH119" i="9"/>
  <c r="BQ23" i="9"/>
  <c r="BQ119" i="9" s="1"/>
  <c r="Y92" i="4"/>
  <c r="X100" i="4"/>
  <c r="X109" i="4"/>
  <c r="W111" i="4"/>
  <c r="O152" i="2"/>
  <c r="BH152" i="3" s="1"/>
  <c r="BH151" i="3"/>
  <c r="O164" i="2"/>
  <c r="BH164" i="3" s="1"/>
  <c r="X119" i="4"/>
  <c r="W121" i="4"/>
  <c r="BJ55" i="3"/>
  <c r="Q57" i="2"/>
  <c r="R55" i="2"/>
  <c r="V189" i="3"/>
  <c r="BO189" i="3" s="1"/>
  <c r="BM462" i="3"/>
  <c r="Y11" i="4"/>
  <c r="X177" i="4"/>
  <c r="X181" i="4" s="1"/>
  <c r="X98" i="4"/>
  <c r="W121" i="2"/>
  <c r="V123" i="2"/>
  <c r="V358" i="2"/>
  <c r="BO359" i="3" s="1"/>
  <c r="BO121" i="3"/>
  <c r="W142" i="3"/>
  <c r="W144" i="3" s="1"/>
  <c r="W144" i="2"/>
  <c r="X142" i="2"/>
  <c r="W189" i="2"/>
  <c r="BO52" i="3"/>
  <c r="V54" i="2"/>
  <c r="BN301" i="3"/>
  <c r="T454" i="3"/>
  <c r="T291" i="3"/>
  <c r="BM291" i="3" s="1"/>
  <c r="AS70" i="9"/>
  <c r="AS118" i="9" s="1"/>
  <c r="T77" i="3"/>
  <c r="BM77" i="3" s="1"/>
  <c r="U325" i="3"/>
  <c r="BN325" i="3" s="1"/>
  <c r="U75" i="3"/>
  <c r="V471" i="3"/>
  <c r="V301" i="3"/>
  <c r="V243" i="3"/>
  <c r="V196" i="5"/>
  <c r="Y72" i="9"/>
  <c r="BM60" i="3"/>
  <c r="T107" i="5"/>
  <c r="T134" i="5" s="1"/>
  <c r="S22" i="9"/>
  <c r="S118" i="9" s="1"/>
  <c r="T458" i="3"/>
  <c r="T294" i="3"/>
  <c r="BM294" i="3" s="1"/>
  <c r="AX70" i="9"/>
  <c r="AX118" i="9" s="1"/>
  <c r="BM75" i="3"/>
  <c r="Y119" i="9"/>
  <c r="BN471" i="3"/>
  <c r="U458" i="2"/>
  <c r="BN75" i="3"/>
  <c r="U294" i="2"/>
  <c r="AX23" i="9"/>
  <c r="V87" i="3"/>
  <c r="BO87" i="3" s="1"/>
  <c r="V307" i="2"/>
  <c r="V490" i="2"/>
  <c r="V74" i="2"/>
  <c r="W87" i="2"/>
  <c r="U490" i="3"/>
  <c r="BN490" i="3" s="1"/>
  <c r="U307" i="3"/>
  <c r="BN307" i="3" s="1"/>
  <c r="U74" i="3"/>
  <c r="BN74" i="3" s="1"/>
  <c r="BN54" i="3"/>
  <c r="U60" i="2"/>
  <c r="U210" i="5"/>
  <c r="BM74" i="3"/>
  <c r="V98" i="3"/>
  <c r="BO98" i="3" s="1"/>
  <c r="V325" i="2"/>
  <c r="W98" i="2"/>
  <c r="V75" i="2"/>
  <c r="BO144" i="3"/>
  <c r="V301" i="2"/>
  <c r="V243" i="2"/>
  <c r="V471" i="2"/>
  <c r="Y24" i="9"/>
  <c r="V16" i="5"/>
  <c r="U369" i="1"/>
  <c r="U365" i="1"/>
  <c r="U454" i="2"/>
  <c r="U291" i="2"/>
  <c r="AS23" i="9"/>
  <c r="BN87" i="3"/>
  <c r="X264" i="2"/>
  <c r="X311" i="2"/>
  <c r="X214" i="2"/>
  <c r="Y7" i="2"/>
  <c r="E26" i="9"/>
  <c r="BN243" i="3"/>
  <c r="BJ24" i="9"/>
  <c r="O369" i="3"/>
  <c r="O372" i="3" s="1"/>
  <c r="O374" i="3" s="1"/>
  <c r="P367" i="3" s="1"/>
  <c r="P16" i="3"/>
  <c r="O256" i="3"/>
  <c r="O466" i="3"/>
  <c r="O299" i="3"/>
  <c r="AY410" i="3" l="1"/>
  <c r="BP358" i="3"/>
  <c r="X157" i="2"/>
  <c r="X155" i="2"/>
  <c r="W120" i="3"/>
  <c r="W157" i="3"/>
  <c r="W155" i="3"/>
  <c r="W104" i="9"/>
  <c r="AY409" i="3"/>
  <c r="W38" i="4"/>
  <c r="W75" i="4"/>
  <c r="W62" i="4"/>
  <c r="X103" i="4"/>
  <c r="X188" i="2" s="1"/>
  <c r="X120" i="2"/>
  <c r="X354" i="2" s="1"/>
  <c r="W76" i="2"/>
  <c r="W465" i="2" s="1"/>
  <c r="BO354" i="3"/>
  <c r="BO301" i="3"/>
  <c r="F412" i="2"/>
  <c r="AY412" i="3" s="1"/>
  <c r="F418" i="2"/>
  <c r="AY418" i="3" s="1"/>
  <c r="X50" i="2"/>
  <c r="BJ72" i="9"/>
  <c r="BJ120" i="9" s="1"/>
  <c r="V465" i="3"/>
  <c r="BP50" i="3"/>
  <c r="X107" i="3"/>
  <c r="X236" i="3"/>
  <c r="AB74" i="9" s="1"/>
  <c r="BO76" i="3"/>
  <c r="V74" i="9"/>
  <c r="BO471" i="3"/>
  <c r="BM215" i="3"/>
  <c r="V210" i="5"/>
  <c r="V77" i="2"/>
  <c r="G378" i="2"/>
  <c r="AO9" i="9"/>
  <c r="AZ133" i="3"/>
  <c r="G172" i="5"/>
  <c r="G180" i="2"/>
  <c r="G314" i="2"/>
  <c r="G492" i="2"/>
  <c r="G38" i="2"/>
  <c r="G29" i="2"/>
  <c r="W189" i="3"/>
  <c r="BP189" i="3" s="1"/>
  <c r="BM217" i="3"/>
  <c r="W123" i="3"/>
  <c r="BH73" i="9" s="1"/>
  <c r="BJ45" i="3"/>
  <c r="R45" i="2"/>
  <c r="W354" i="3"/>
  <c r="BP354" i="3" s="1"/>
  <c r="W76" i="3"/>
  <c r="BP120" i="3"/>
  <c r="V172" i="2"/>
  <c r="BO70" i="3"/>
  <c r="V289" i="2"/>
  <c r="BO289" i="3" s="1"/>
  <c r="V453" i="2"/>
  <c r="BO453" i="3" s="1"/>
  <c r="V443" i="2"/>
  <c r="BO443" i="3" s="1"/>
  <c r="X209" i="4"/>
  <c r="Y207" i="4"/>
  <c r="W237" i="2"/>
  <c r="BP82" i="3"/>
  <c r="BN39" i="3"/>
  <c r="U41" i="2"/>
  <c r="V39" i="2"/>
  <c r="Y34" i="4"/>
  <c r="Y186" i="3"/>
  <c r="Y186" i="2"/>
  <c r="V254" i="4"/>
  <c r="U217" i="3"/>
  <c r="U217" i="2"/>
  <c r="AF24" i="9"/>
  <c r="AF120" i="9" s="1"/>
  <c r="V235" i="2"/>
  <c r="BO235" i="3" s="1"/>
  <c r="BO107" i="3"/>
  <c r="V442" i="2"/>
  <c r="BO65" i="3"/>
  <c r="T24" i="9"/>
  <c r="T120" i="9" s="1"/>
  <c r="BO174" i="3"/>
  <c r="V280" i="2"/>
  <c r="Z40" i="4"/>
  <c r="AA39" i="4"/>
  <c r="BJ56" i="3"/>
  <c r="R56" i="2"/>
  <c r="Z42" i="4"/>
  <c r="AA41" i="4"/>
  <c r="AH120" i="9"/>
  <c r="BQ24" i="9"/>
  <c r="BQ120" i="9" s="1"/>
  <c r="Z124" i="4"/>
  <c r="Y126" i="4"/>
  <c r="W442" i="3"/>
  <c r="T73" i="9"/>
  <c r="X289" i="4"/>
  <c r="Y287" i="4"/>
  <c r="X310" i="4"/>
  <c r="X308" i="4"/>
  <c r="X309" i="4"/>
  <c r="X305" i="4"/>
  <c r="X306" i="4"/>
  <c r="X302" i="4"/>
  <c r="X300" i="4"/>
  <c r="X298" i="4"/>
  <c r="X307" i="4"/>
  <c r="X301" i="4"/>
  <c r="X297" i="4"/>
  <c r="X311" i="4"/>
  <c r="X299" i="4"/>
  <c r="X252" i="4"/>
  <c r="X261" i="4" s="1"/>
  <c r="X172" i="4"/>
  <c r="X90" i="4"/>
  <c r="X251" i="4"/>
  <c r="Y120" i="9"/>
  <c r="BP187" i="3"/>
  <c r="R57" i="2"/>
  <c r="BK55" i="3"/>
  <c r="S55" i="2"/>
  <c r="X121" i="4"/>
  <c r="Y119" i="4"/>
  <c r="X111" i="4"/>
  <c r="Y109" i="4"/>
  <c r="V255" i="4"/>
  <c r="U258" i="4"/>
  <c r="U215" i="3"/>
  <c r="U215" i="2"/>
  <c r="P48" i="2"/>
  <c r="BI48" i="3" s="1"/>
  <c r="BI46" i="3"/>
  <c r="Y139" i="4"/>
  <c r="X141" i="4"/>
  <c r="Y159" i="4"/>
  <c r="X161" i="4"/>
  <c r="Y164" i="4"/>
  <c r="X166" i="4"/>
  <c r="Y146" i="4"/>
  <c r="Z144" i="4"/>
  <c r="BO234" i="3"/>
  <c r="AA24" i="9"/>
  <c r="AA120" i="9" s="1"/>
  <c r="BN40" i="3"/>
  <c r="V40" i="2"/>
  <c r="G357" i="1"/>
  <c r="BA176" i="3"/>
  <c r="BP186" i="3"/>
  <c r="X225" i="4"/>
  <c r="Y223" i="4"/>
  <c r="W70" i="2"/>
  <c r="W12" i="5" s="1"/>
  <c r="BP66" i="3"/>
  <c r="V376" i="1"/>
  <c r="U25" i="9"/>
  <c r="U121" i="9" s="1"/>
  <c r="BP23" i="3"/>
  <c r="W431" i="2"/>
  <c r="BP431" i="3" s="1"/>
  <c r="BP27" i="3"/>
  <c r="W435" i="2"/>
  <c r="BP435" i="3" s="1"/>
  <c r="BP22" i="3"/>
  <c r="W430" i="2"/>
  <c r="BP430" i="3" s="1"/>
  <c r="K372" i="2"/>
  <c r="BD367" i="3"/>
  <c r="X311" i="3"/>
  <c r="BQ311" i="3" s="1"/>
  <c r="X40" i="3"/>
  <c r="W443" i="3"/>
  <c r="W453" i="3"/>
  <c r="W172" i="3"/>
  <c r="W278" i="3" s="1"/>
  <c r="W289" i="3"/>
  <c r="T43" i="2"/>
  <c r="BM41" i="3"/>
  <c r="S49" i="2"/>
  <c r="BL43" i="3"/>
  <c r="Y228" i="4"/>
  <c r="X230" i="4"/>
  <c r="F481" i="2"/>
  <c r="AY480" i="3"/>
  <c r="Y106" i="3"/>
  <c r="Y109" i="3"/>
  <c r="Y79" i="3"/>
  <c r="Y53" i="3"/>
  <c r="Y2" i="5"/>
  <c r="Z5" i="3"/>
  <c r="D123" i="9"/>
  <c r="D75" i="9"/>
  <c r="X275" i="4"/>
  <c r="Y273" i="4"/>
  <c r="Y295" i="4"/>
  <c r="Z93" i="4"/>
  <c r="Z96" i="4" s="1"/>
  <c r="Y1" i="4"/>
  <c r="BJ44" i="3"/>
  <c r="Q46" i="2"/>
  <c r="R44" i="2"/>
  <c r="X452" i="3"/>
  <c r="X65" i="3"/>
  <c r="X174" i="3"/>
  <c r="X280" i="3" s="1"/>
  <c r="X173" i="3"/>
  <c r="X279" i="3" s="1"/>
  <c r="Y177" i="4"/>
  <c r="Y181" i="4" s="1"/>
  <c r="Y98" i="4"/>
  <c r="Z11" i="4"/>
  <c r="U41" i="3"/>
  <c r="U43" i="3" s="1"/>
  <c r="U49" i="3" s="1"/>
  <c r="V39" i="3"/>
  <c r="X284" i="4"/>
  <c r="Y282" i="4"/>
  <c r="F170" i="2"/>
  <c r="AY417" i="3"/>
  <c r="X199" i="4"/>
  <c r="Y197" i="4"/>
  <c r="BP24" i="3"/>
  <c r="W432" i="2"/>
  <c r="BP432" i="3" s="1"/>
  <c r="V358" i="1"/>
  <c r="BP137" i="3"/>
  <c r="AH25" i="9"/>
  <c r="W179" i="2"/>
  <c r="BP179" i="3" s="1"/>
  <c r="W239" i="2"/>
  <c r="BP239" i="3" s="1"/>
  <c r="BP78" i="3"/>
  <c r="W234" i="2"/>
  <c r="W14" i="5"/>
  <c r="W211" i="5" s="1"/>
  <c r="V378" i="1"/>
  <c r="BP208" i="3"/>
  <c r="X70" i="3"/>
  <c r="U74" i="9"/>
  <c r="X234" i="3"/>
  <c r="AA74" i="9" s="1"/>
  <c r="X194" i="5"/>
  <c r="Y504" i="3"/>
  <c r="Y105" i="3"/>
  <c r="Y83" i="3"/>
  <c r="Y511" i="3"/>
  <c r="Y80" i="3"/>
  <c r="Y69" i="3"/>
  <c r="Y21" i="3"/>
  <c r="Y208" i="3"/>
  <c r="Y108" i="3"/>
  <c r="Y66" i="3"/>
  <c r="Y209" i="3" s="1"/>
  <c r="Y479" i="3"/>
  <c r="Y81" i="3"/>
  <c r="Y22" i="3"/>
  <c r="Y62" i="3"/>
  <c r="Z4" i="3"/>
  <c r="C75" i="9"/>
  <c r="Y137" i="3"/>
  <c r="Y82" i="3"/>
  <c r="Y237" i="3" s="1"/>
  <c r="AC75" i="9" s="1"/>
  <c r="Y68" i="3"/>
  <c r="Y1" i="5"/>
  <c r="Y495" i="3"/>
  <c r="Y42" i="3"/>
  <c r="Y26" i="3"/>
  <c r="Y434" i="3" s="1"/>
  <c r="Y24" i="3"/>
  <c r="Y432" i="3" s="1"/>
  <c r="Y67" i="3"/>
  <c r="Y27" i="3"/>
  <c r="Y435" i="3" s="1"/>
  <c r="Y25" i="3"/>
  <c r="Y433" i="3" s="1"/>
  <c r="Y23" i="3"/>
  <c r="Y431" i="3" s="1"/>
  <c r="Y78" i="3"/>
  <c r="C123" i="9"/>
  <c r="Y315" i="3"/>
  <c r="X239" i="3"/>
  <c r="X179" i="3"/>
  <c r="AH74" i="9"/>
  <c r="BQ74" i="9" s="1"/>
  <c r="Z264" i="4"/>
  <c r="Z180" i="4"/>
  <c r="Z257" i="4"/>
  <c r="Z178" i="4"/>
  <c r="Z99" i="4"/>
  <c r="Z102" i="4"/>
  <c r="AA91" i="4"/>
  <c r="V12" i="5"/>
  <c r="V208" i="5" s="1"/>
  <c r="BO452" i="3"/>
  <c r="Z45" i="4"/>
  <c r="Y46" i="4"/>
  <c r="X53" i="2"/>
  <c r="BQ53" i="3" s="1"/>
  <c r="D26" i="9"/>
  <c r="X106" i="2"/>
  <c r="BQ106" i="3" s="1"/>
  <c r="X79" i="2"/>
  <c r="BQ79" i="3" s="1"/>
  <c r="Y5" i="2"/>
  <c r="X58" i="2"/>
  <c r="BQ58" i="3" s="1"/>
  <c r="X109" i="2"/>
  <c r="BQ109" i="3" s="1"/>
  <c r="X34" i="4"/>
  <c r="X186" i="3"/>
  <c r="X186" i="2"/>
  <c r="X204" i="4"/>
  <c r="Y202" i="4"/>
  <c r="T216" i="3"/>
  <c r="T216" i="2"/>
  <c r="X189" i="4"/>
  <c r="Y187" i="4"/>
  <c r="R152" i="3"/>
  <c r="R164" i="3"/>
  <c r="Q108" i="5"/>
  <c r="Q110" i="5" s="1"/>
  <c r="Q137" i="5" s="1"/>
  <c r="Q143" i="5" s="1"/>
  <c r="Q133" i="5"/>
  <c r="Q135" i="5" s="1"/>
  <c r="BP26" i="3"/>
  <c r="W434" i="2"/>
  <c r="BP434" i="3" s="1"/>
  <c r="X235" i="3"/>
  <c r="AF74" i="9"/>
  <c r="BH24" i="9"/>
  <c r="BH120" i="9" s="1"/>
  <c r="BO123" i="3"/>
  <c r="BJ57" i="3"/>
  <c r="Q59" i="2"/>
  <c r="BJ59" i="3" s="1"/>
  <c r="S73" i="9"/>
  <c r="W127" i="5"/>
  <c r="X131" i="4"/>
  <c r="Y129" i="4"/>
  <c r="W262" i="4"/>
  <c r="V265" i="4"/>
  <c r="Y44" i="4"/>
  <c r="Z43" i="4"/>
  <c r="X270" i="4"/>
  <c r="Y268" i="4"/>
  <c r="X194" i="4"/>
  <c r="Y192" i="4"/>
  <c r="Y243" i="4"/>
  <c r="X245" i="4"/>
  <c r="R106" i="5"/>
  <c r="R61" i="2"/>
  <c r="R20" i="9"/>
  <c r="R116" i="9" s="1"/>
  <c r="BK49" i="3"/>
  <c r="P152" i="2"/>
  <c r="BI152" i="3" s="1"/>
  <c r="BI151" i="3"/>
  <c r="P164" i="2"/>
  <c r="BI164" i="3" s="1"/>
  <c r="BN172" i="3"/>
  <c r="U278" i="2"/>
  <c r="BN278" i="3" s="1"/>
  <c r="BO243" i="3"/>
  <c r="BP142" i="3"/>
  <c r="W123" i="2"/>
  <c r="W358" i="2"/>
  <c r="BP359" i="3" s="1"/>
  <c r="BP121" i="3"/>
  <c r="Y100" i="4"/>
  <c r="Y103" i="4" s="1"/>
  <c r="Y188" i="2" s="1"/>
  <c r="Z92" i="4"/>
  <c r="Y176" i="4"/>
  <c r="Z14" i="4"/>
  <c r="Y97" i="4"/>
  <c r="Y187" i="2" s="1"/>
  <c r="Y156" i="4"/>
  <c r="Z154" i="4"/>
  <c r="Y151" i="4"/>
  <c r="Z149" i="4"/>
  <c r="W360" i="2"/>
  <c r="BP122" i="3"/>
  <c r="BR206" i="3"/>
  <c r="BR21" i="3"/>
  <c r="BS4" i="3"/>
  <c r="BN51" i="3"/>
  <c r="V51" i="2"/>
  <c r="B279" i="1"/>
  <c r="B326" i="1" s="1"/>
  <c r="Z280" i="1"/>
  <c r="T61" i="3"/>
  <c r="T126" i="5"/>
  <c r="R70" i="9"/>
  <c r="X214" i="3"/>
  <c r="BQ214" i="3" s="1"/>
  <c r="X187" i="3"/>
  <c r="BQ187" i="3" s="1"/>
  <c r="X188" i="3"/>
  <c r="BQ188" i="3" s="1"/>
  <c r="E74" i="9"/>
  <c r="X3" i="5"/>
  <c r="X411" i="5" s="1"/>
  <c r="E122" i="9"/>
  <c r="Y7" i="3"/>
  <c r="Y311" i="3" s="1"/>
  <c r="X264" i="3"/>
  <c r="X220" i="4"/>
  <c r="Y218" i="4"/>
  <c r="F419" i="2"/>
  <c r="AY415" i="3"/>
  <c r="Z114" i="4"/>
  <c r="Y116" i="4"/>
  <c r="Q151" i="2"/>
  <c r="Q451" i="2"/>
  <c r="BJ451" i="3" s="1"/>
  <c r="Q13" i="5"/>
  <c r="Q209" i="5" s="1"/>
  <c r="Q288" i="2"/>
  <c r="BJ288" i="3" s="1"/>
  <c r="Q441" i="2"/>
  <c r="BJ441" i="3" s="1"/>
  <c r="P362" i="1"/>
  <c r="Q242" i="2"/>
  <c r="BJ242" i="3" s="1"/>
  <c r="BJ61" i="3"/>
  <c r="W173" i="2"/>
  <c r="W174" i="2"/>
  <c r="BP62" i="3"/>
  <c r="W65" i="2"/>
  <c r="W452" i="2"/>
  <c r="BP452" i="3" s="1"/>
  <c r="X504" i="2"/>
  <c r="BQ504" i="3" s="1"/>
  <c r="X511" i="2"/>
  <c r="BQ511" i="3" s="1"/>
  <c r="X389" i="2"/>
  <c r="X137" i="2"/>
  <c r="X130" i="2"/>
  <c r="BQ130" i="3" s="1"/>
  <c r="X83" i="2"/>
  <c r="BQ83" i="3" s="1"/>
  <c r="X68" i="2"/>
  <c r="X47" i="2"/>
  <c r="BQ47" i="3" s="1"/>
  <c r="X27" i="2"/>
  <c r="X26" i="2"/>
  <c r="X25" i="2"/>
  <c r="X24" i="2"/>
  <c r="X23" i="2"/>
  <c r="X21" i="2"/>
  <c r="X479" i="2"/>
  <c r="BQ479" i="3" s="1"/>
  <c r="X105" i="2"/>
  <c r="X81" i="2"/>
  <c r="BQ81" i="3" s="1"/>
  <c r="X42" i="2"/>
  <c r="BQ42" i="3" s="1"/>
  <c r="X22" i="2"/>
  <c r="X315" i="2"/>
  <c r="BQ315" i="3" s="1"/>
  <c r="X69" i="2"/>
  <c r="BQ69" i="3" s="1"/>
  <c r="Y4" i="2"/>
  <c r="Y29" i="4" s="1"/>
  <c r="X208" i="2"/>
  <c r="X131" i="2"/>
  <c r="BQ131" i="3" s="1"/>
  <c r="X78" i="2"/>
  <c r="X82" i="2"/>
  <c r="C26" i="9"/>
  <c r="X495" i="2"/>
  <c r="BQ495" i="3" s="1"/>
  <c r="X80" i="2"/>
  <c r="X62" i="2"/>
  <c r="X108" i="2"/>
  <c r="BQ108" i="3" s="1"/>
  <c r="X67" i="2"/>
  <c r="BQ67" i="3" s="1"/>
  <c r="X66" i="2"/>
  <c r="X209" i="2" s="1"/>
  <c r="BP25" i="3"/>
  <c r="W433" i="2"/>
  <c r="BP433" i="3" s="1"/>
  <c r="BP68" i="3"/>
  <c r="V25" i="9"/>
  <c r="V121" i="9" s="1"/>
  <c r="BP105" i="3"/>
  <c r="W107" i="2"/>
  <c r="BP80" i="3"/>
  <c r="W236" i="2"/>
  <c r="BO237" i="3"/>
  <c r="AC24" i="9"/>
  <c r="AC120" i="9" s="1"/>
  <c r="X237" i="3"/>
  <c r="AC74" i="9" s="1"/>
  <c r="X430" i="3"/>
  <c r="X407" i="5"/>
  <c r="X206" i="3"/>
  <c r="X235" i="4"/>
  <c r="Y233" i="4"/>
  <c r="BO173" i="3"/>
  <c r="V279" i="2"/>
  <c r="S441" i="3"/>
  <c r="S242" i="3"/>
  <c r="S151" i="3"/>
  <c r="S451" i="3"/>
  <c r="S288" i="3"/>
  <c r="S128" i="5"/>
  <c r="S130" i="5" s="1"/>
  <c r="S193" i="5"/>
  <c r="BL216" i="3"/>
  <c r="R383" i="1"/>
  <c r="X50" i="3"/>
  <c r="X52" i="3" s="1"/>
  <c r="X54" i="3" s="1"/>
  <c r="X60" i="3" s="1"/>
  <c r="X51" i="3"/>
  <c r="BO236" i="3"/>
  <c r="AB24" i="9"/>
  <c r="AB120" i="9" s="1"/>
  <c r="W192" i="5"/>
  <c r="X240" i="4"/>
  <c r="Y238" i="4"/>
  <c r="X29" i="4"/>
  <c r="X30" i="4"/>
  <c r="X89" i="4" s="1"/>
  <c r="X274" i="2" s="1"/>
  <c r="Y264" i="2"/>
  <c r="Y206" i="2"/>
  <c r="X353" i="1" s="1"/>
  <c r="Y311" i="2"/>
  <c r="Y214" i="2"/>
  <c r="E27" i="9"/>
  <c r="Z7" i="2"/>
  <c r="W98" i="3"/>
  <c r="BP98" i="3" s="1"/>
  <c r="W325" i="2"/>
  <c r="W75" i="2"/>
  <c r="X98" i="2"/>
  <c r="BP52" i="3"/>
  <c r="W54" i="2"/>
  <c r="W471" i="3"/>
  <c r="W243" i="3"/>
  <c r="W301" i="3"/>
  <c r="W196" i="5"/>
  <c r="Y73" i="9"/>
  <c r="X189" i="2"/>
  <c r="U107" i="5"/>
  <c r="U134" i="5" s="1"/>
  <c r="S23" i="9"/>
  <c r="S119" i="9" s="1"/>
  <c r="BN60" i="3"/>
  <c r="W87" i="3"/>
  <c r="BP87" i="3" s="1"/>
  <c r="W490" i="2"/>
  <c r="W307" i="2"/>
  <c r="W74" i="2"/>
  <c r="X87" i="2"/>
  <c r="V365" i="1"/>
  <c r="U454" i="3"/>
  <c r="U291" i="3"/>
  <c r="BN291" i="3" s="1"/>
  <c r="AS71" i="9"/>
  <c r="AS119" i="9" s="1"/>
  <c r="U77" i="3"/>
  <c r="BN77" i="3" s="1"/>
  <c r="V454" i="2"/>
  <c r="V291" i="2"/>
  <c r="AS24" i="9"/>
  <c r="V490" i="3"/>
  <c r="BO490" i="3" s="1"/>
  <c r="V307" i="3"/>
  <c r="BO307" i="3" s="1"/>
  <c r="V74" i="3"/>
  <c r="U458" i="3"/>
  <c r="U294" i="3"/>
  <c r="BN294" i="3" s="1"/>
  <c r="AX71" i="9"/>
  <c r="AX119" i="9" s="1"/>
  <c r="X142" i="3"/>
  <c r="X144" i="3" s="1"/>
  <c r="Y142" i="2"/>
  <c r="X144" i="2"/>
  <c r="X52" i="2"/>
  <c r="V458" i="2"/>
  <c r="V294" i="2"/>
  <c r="AX24" i="9"/>
  <c r="V325" i="3"/>
  <c r="BO325" i="3" s="1"/>
  <c r="V75" i="3"/>
  <c r="BO75" i="3" s="1"/>
  <c r="BO54" i="3"/>
  <c r="V60" i="2"/>
  <c r="W471" i="2"/>
  <c r="BP144" i="3"/>
  <c r="W243" i="2"/>
  <c r="W301" i="2"/>
  <c r="Y25" i="9"/>
  <c r="W16" i="5"/>
  <c r="V369" i="1"/>
  <c r="BJ25" i="9"/>
  <c r="X76" i="2"/>
  <c r="P124" i="3"/>
  <c r="Y120" i="2" l="1"/>
  <c r="Y157" i="2"/>
  <c r="Y155" i="2"/>
  <c r="X120" i="3"/>
  <c r="X76" i="3" s="1"/>
  <c r="BQ76" i="3" s="1"/>
  <c r="X157" i="3"/>
  <c r="X155" i="3"/>
  <c r="Y50" i="2"/>
  <c r="X35" i="4"/>
  <c r="F413" i="2"/>
  <c r="BJ73" i="9"/>
  <c r="BJ121" i="9" s="1"/>
  <c r="W465" i="3"/>
  <c r="BJ26" i="9"/>
  <c r="X465" i="2"/>
  <c r="BR186" i="3"/>
  <c r="W208" i="5"/>
  <c r="AZ29" i="3"/>
  <c r="G31" i="2"/>
  <c r="G317" i="2"/>
  <c r="AZ317" i="3" s="1"/>
  <c r="AZ314" i="3"/>
  <c r="AO105" i="9"/>
  <c r="AZ492" i="3"/>
  <c r="G494" i="2"/>
  <c r="AZ494" i="3" s="1"/>
  <c r="G493" i="2"/>
  <c r="G440" i="2"/>
  <c r="AZ440" i="3" s="1"/>
  <c r="G173" i="5"/>
  <c r="G379" i="2"/>
  <c r="AZ379" i="3" s="1"/>
  <c r="AZ38" i="3"/>
  <c r="Q9" i="9"/>
  <c r="Q105" i="9" s="1"/>
  <c r="AZ180" i="3"/>
  <c r="G283" i="2"/>
  <c r="AZ378" i="3"/>
  <c r="Y121" i="9"/>
  <c r="Y51" i="3"/>
  <c r="Y40" i="3"/>
  <c r="BP76" i="3"/>
  <c r="BP471" i="3"/>
  <c r="BQ50" i="3"/>
  <c r="BP301" i="3"/>
  <c r="W77" i="2"/>
  <c r="BN215" i="3"/>
  <c r="BK45" i="3"/>
  <c r="S45" i="2"/>
  <c r="Z186" i="3"/>
  <c r="Z186" i="2"/>
  <c r="Z34" i="4"/>
  <c r="BQ120" i="3"/>
  <c r="Y88" i="4"/>
  <c r="Y273" i="2" s="1"/>
  <c r="BQ80" i="3"/>
  <c r="X236" i="2"/>
  <c r="BQ137" i="3"/>
  <c r="AH26" i="9"/>
  <c r="X239" i="2"/>
  <c r="BQ239" i="3" s="1"/>
  <c r="X179" i="2"/>
  <c r="BQ179" i="3" s="1"/>
  <c r="W358" i="1"/>
  <c r="AA45" i="4"/>
  <c r="Z46" i="4"/>
  <c r="AA257" i="4"/>
  <c r="AA180" i="4"/>
  <c r="AA99" i="4"/>
  <c r="AB91" i="4"/>
  <c r="AA264" i="4"/>
  <c r="AA178" i="4"/>
  <c r="AA102" i="4"/>
  <c r="Y452" i="3"/>
  <c r="Y174" i="3"/>
  <c r="Y280" i="3" s="1"/>
  <c r="Y173" i="3"/>
  <c r="Y279" i="3" s="1"/>
  <c r="Y65" i="3"/>
  <c r="V41" i="3"/>
  <c r="V43" i="3" s="1"/>
  <c r="V49" i="3" s="1"/>
  <c r="W39" i="3"/>
  <c r="X442" i="3"/>
  <c r="T74" i="9"/>
  <c r="Z109" i="3"/>
  <c r="Z79" i="3"/>
  <c r="Z106" i="3"/>
  <c r="AA5" i="3"/>
  <c r="D76" i="9"/>
  <c r="D124" i="9"/>
  <c r="Z53" i="3"/>
  <c r="Z2" i="5"/>
  <c r="AY481" i="3"/>
  <c r="F482" i="2"/>
  <c r="AY482" i="3" s="1"/>
  <c r="R21" i="9"/>
  <c r="R117" i="9" s="1"/>
  <c r="S61" i="2"/>
  <c r="S106" i="5"/>
  <c r="BL49" i="3"/>
  <c r="T49" i="2"/>
  <c r="BM43" i="3"/>
  <c r="K374" i="2"/>
  <c r="BD372" i="3"/>
  <c r="U216" i="3"/>
  <c r="U216" i="2"/>
  <c r="Z119" i="4"/>
  <c r="Y121" i="4"/>
  <c r="BK57" i="3"/>
  <c r="R59" i="2"/>
  <c r="BK59" i="3" s="1"/>
  <c r="U43" i="2"/>
  <c r="BN41" i="3"/>
  <c r="X88" i="4"/>
  <c r="X273" i="2" s="1"/>
  <c r="X127" i="5"/>
  <c r="S74" i="9"/>
  <c r="BP236" i="3"/>
  <c r="AB25" i="9"/>
  <c r="AB121" i="9" s="1"/>
  <c r="BQ25" i="3"/>
  <c r="X433" i="2"/>
  <c r="BQ433" i="3" s="1"/>
  <c r="BQ68" i="3"/>
  <c r="V26" i="9"/>
  <c r="V122" i="9" s="1"/>
  <c r="BP173" i="3"/>
  <c r="W279" i="2"/>
  <c r="BP279" i="3" s="1"/>
  <c r="AA154" i="4"/>
  <c r="Z156" i="4"/>
  <c r="R151" i="2"/>
  <c r="Q362" i="1"/>
  <c r="R13" i="5"/>
  <c r="R209" i="5" s="1"/>
  <c r="R451" i="2"/>
  <c r="BK451" i="3" s="1"/>
  <c r="BK61" i="3"/>
  <c r="R242" i="2"/>
  <c r="BK242" i="3" s="1"/>
  <c r="R288" i="2"/>
  <c r="BK288" i="3" s="1"/>
  <c r="R441" i="2"/>
  <c r="BK441" i="3" s="1"/>
  <c r="Y194" i="4"/>
  <c r="Z192" i="4"/>
  <c r="AA43" i="4"/>
  <c r="Z44" i="4"/>
  <c r="Z129" i="4"/>
  <c r="Y131" i="4"/>
  <c r="Y189" i="4"/>
  <c r="Z187" i="4"/>
  <c r="Y204" i="4"/>
  <c r="Z202" i="4"/>
  <c r="V75" i="9"/>
  <c r="Y430" i="3"/>
  <c r="Y407" i="5"/>
  <c r="Y70" i="3"/>
  <c r="U75" i="9"/>
  <c r="X453" i="3"/>
  <c r="X443" i="3"/>
  <c r="X289" i="3"/>
  <c r="X172" i="3"/>
  <c r="X278" i="3" s="1"/>
  <c r="BP234" i="3"/>
  <c r="AA25" i="9"/>
  <c r="AA121" i="9" s="1"/>
  <c r="AH121" i="9"/>
  <c r="BQ25" i="9"/>
  <c r="BQ121" i="9" s="1"/>
  <c r="X195" i="1"/>
  <c r="AY170" i="3"/>
  <c r="F210" i="2"/>
  <c r="E203" i="1"/>
  <c r="F268" i="2"/>
  <c r="AY268" i="3" s="1"/>
  <c r="E355" i="1"/>
  <c r="P194" i="1" s="1"/>
  <c r="R71" i="9"/>
  <c r="U61" i="3"/>
  <c r="U126" i="5"/>
  <c r="X192" i="5"/>
  <c r="G117" i="5"/>
  <c r="G102" i="5"/>
  <c r="Y166" i="4"/>
  <c r="Z164" i="4"/>
  <c r="Y141" i="4"/>
  <c r="Z139" i="4"/>
  <c r="W255" i="4"/>
  <c r="V258" i="4"/>
  <c r="V215" i="3"/>
  <c r="V215" i="2"/>
  <c r="Y289" i="4"/>
  <c r="Z287" i="4"/>
  <c r="AB41" i="4"/>
  <c r="AA42" i="4"/>
  <c r="AB39" i="4"/>
  <c r="AA40" i="4"/>
  <c r="BN217" i="3"/>
  <c r="Z207" i="4"/>
  <c r="Y209" i="4"/>
  <c r="Z116" i="4"/>
  <c r="AA114" i="4"/>
  <c r="BS206" i="3"/>
  <c r="BS21" i="3"/>
  <c r="BT4" i="3"/>
  <c r="Z243" i="4"/>
  <c r="Y245" i="4"/>
  <c r="BQ26" i="3"/>
  <c r="X434" i="2"/>
  <c r="BQ434" i="3" s="1"/>
  <c r="W442" i="2"/>
  <c r="BP442" i="3" s="1"/>
  <c r="T25" i="9"/>
  <c r="BP65" i="3"/>
  <c r="BO51" i="3"/>
  <c r="W51" i="2"/>
  <c r="AA92" i="4"/>
  <c r="Z100" i="4"/>
  <c r="BH25" i="9"/>
  <c r="BH121" i="9" s="1"/>
  <c r="BP123" i="3"/>
  <c r="R108" i="5"/>
  <c r="R110" i="5" s="1"/>
  <c r="R137" i="5" s="1"/>
  <c r="R143" i="5" s="1"/>
  <c r="R133" i="5"/>
  <c r="R135" i="5" s="1"/>
  <c r="Y106" i="2"/>
  <c r="BR106" i="3" s="1"/>
  <c r="Y79" i="2"/>
  <c r="BR79" i="3" s="1"/>
  <c r="Y53" i="2"/>
  <c r="BR53" i="3" s="1"/>
  <c r="Z5" i="2"/>
  <c r="D27" i="9"/>
  <c r="Y58" i="2"/>
  <c r="BR58" i="3" s="1"/>
  <c r="H33" i="1"/>
  <c r="Y109" i="2"/>
  <c r="BR109" i="3" s="1"/>
  <c r="Y194" i="5"/>
  <c r="Y234" i="3"/>
  <c r="AA75" i="9" s="1"/>
  <c r="Y206" i="3"/>
  <c r="Z197" i="4"/>
  <c r="Y199" i="4"/>
  <c r="Z282" i="4"/>
  <c r="Y284" i="4"/>
  <c r="Z177" i="4"/>
  <c r="Z181" i="4" s="1"/>
  <c r="Z98" i="4"/>
  <c r="AA11" i="4"/>
  <c r="BK44" i="3"/>
  <c r="R46" i="2"/>
  <c r="S44" i="2"/>
  <c r="Y311" i="4"/>
  <c r="Y310" i="4"/>
  <c r="Y309" i="4"/>
  <c r="Y308" i="4"/>
  <c r="Y307" i="4"/>
  <c r="Y306" i="4"/>
  <c r="Y302" i="4"/>
  <c r="Y301" i="4"/>
  <c r="Y300" i="4"/>
  <c r="Y299" i="4"/>
  <c r="Y298" i="4"/>
  <c r="Y297" i="4"/>
  <c r="Y305" i="4"/>
  <c r="Y172" i="4"/>
  <c r="Y252" i="4"/>
  <c r="Y261" i="4" s="1"/>
  <c r="Y90" i="4"/>
  <c r="Y251" i="4"/>
  <c r="Y275" i="4"/>
  <c r="Z273" i="4"/>
  <c r="Y230" i="4"/>
  <c r="Z228" i="4"/>
  <c r="W289" i="2"/>
  <c r="BP289" i="3" s="1"/>
  <c r="BP70" i="3"/>
  <c r="W172" i="2"/>
  <c r="W453" i="2"/>
  <c r="BP453" i="3" s="1"/>
  <c r="W443" i="2"/>
  <c r="BP443" i="3" s="1"/>
  <c r="BO40" i="3"/>
  <c r="W40" i="2"/>
  <c r="AA144" i="4"/>
  <c r="Z146" i="4"/>
  <c r="Z109" i="4"/>
  <c r="Y111" i="4"/>
  <c r="BL55" i="3"/>
  <c r="S57" i="2"/>
  <c r="T55" i="2"/>
  <c r="Z126" i="4"/>
  <c r="AA124" i="4"/>
  <c r="S164" i="3"/>
  <c r="S152" i="3"/>
  <c r="BO279" i="3"/>
  <c r="U26" i="9"/>
  <c r="U122" i="9" s="1"/>
  <c r="W376" i="1"/>
  <c r="X70" i="2"/>
  <c r="X12" i="5" s="1"/>
  <c r="BQ66" i="3"/>
  <c r="BQ78" i="3"/>
  <c r="X234" i="2"/>
  <c r="X14" i="5"/>
  <c r="X211" i="5" s="1"/>
  <c r="BQ22" i="3"/>
  <c r="X430" i="2"/>
  <c r="BQ430" i="3" s="1"/>
  <c r="BQ24" i="3"/>
  <c r="X432" i="2"/>
  <c r="BQ432" i="3" s="1"/>
  <c r="BP174" i="3"/>
  <c r="W280" i="2"/>
  <c r="BP280" i="3" s="1"/>
  <c r="B280" i="1"/>
  <c r="B327" i="1" s="1"/>
  <c r="Z281" i="1"/>
  <c r="Z97" i="4"/>
  <c r="Z187" i="2" s="1"/>
  <c r="AA14" i="4"/>
  <c r="X262" i="4"/>
  <c r="W265" i="4"/>
  <c r="G116" i="5"/>
  <c r="G101" i="5"/>
  <c r="Z295" i="4"/>
  <c r="Z1" i="4"/>
  <c r="AA93" i="4"/>
  <c r="AA175" i="4" s="1"/>
  <c r="BP243" i="3"/>
  <c r="BR311" i="3"/>
  <c r="W378" i="1"/>
  <c r="BQ208" i="3"/>
  <c r="V379" i="1"/>
  <c r="BP209" i="3"/>
  <c r="BJ151" i="3"/>
  <c r="Q164" i="2"/>
  <c r="BJ164" i="3" s="1"/>
  <c r="Q152" i="2"/>
  <c r="BJ152" i="3" s="1"/>
  <c r="AY419" i="3"/>
  <c r="F420" i="2"/>
  <c r="AY420" i="3" s="1"/>
  <c r="Y264" i="3"/>
  <c r="Y3" i="5"/>
  <c r="Y411" i="5" s="1"/>
  <c r="E75" i="9"/>
  <c r="Y187" i="3"/>
  <c r="BR187" i="3" s="1"/>
  <c r="Z7" i="3"/>
  <c r="E123" i="9"/>
  <c r="Y214" i="3"/>
  <c r="BR214" i="3" s="1"/>
  <c r="Y188" i="3"/>
  <c r="BR188" i="3" s="1"/>
  <c r="W210" i="5"/>
  <c r="Y240" i="4"/>
  <c r="Z238" i="4"/>
  <c r="Y235" i="4"/>
  <c r="Z233" i="4"/>
  <c r="AF25" i="9"/>
  <c r="AF121" i="9" s="1"/>
  <c r="BP107" i="3"/>
  <c r="W235" i="2"/>
  <c r="BP235" i="3" s="1"/>
  <c r="BQ62" i="3"/>
  <c r="X452" i="2"/>
  <c r="BQ452" i="3" s="1"/>
  <c r="X173" i="2"/>
  <c r="X65" i="2"/>
  <c r="X174" i="2"/>
  <c r="BQ82" i="3"/>
  <c r="X237" i="2"/>
  <c r="Y511" i="2"/>
  <c r="BR511" i="3" s="1"/>
  <c r="Y495" i="2"/>
  <c r="BR495" i="3" s="1"/>
  <c r="Y479" i="2"/>
  <c r="BR479" i="3" s="1"/>
  <c r="Y105" i="2"/>
  <c r="Y81" i="2"/>
  <c r="BR81" i="3" s="1"/>
  <c r="Y42" i="2"/>
  <c r="BR42" i="3" s="1"/>
  <c r="Y22" i="2"/>
  <c r="Y208" i="2"/>
  <c r="Y131" i="2"/>
  <c r="BR131" i="3" s="1"/>
  <c r="Y82" i="2"/>
  <c r="Y80" i="2"/>
  <c r="C27" i="9"/>
  <c r="Y504" i="2"/>
  <c r="BR504" i="3" s="1"/>
  <c r="Y315" i="2"/>
  <c r="BR315" i="3" s="1"/>
  <c r="Y69" i="2"/>
  <c r="BR69" i="3" s="1"/>
  <c r="Y21" i="2"/>
  <c r="Z4" i="2"/>
  <c r="Z29" i="4" s="1"/>
  <c r="Y78" i="2"/>
  <c r="J183" i="1"/>
  <c r="Y389" i="2"/>
  <c r="Y25" i="2"/>
  <c r="Y23" i="2"/>
  <c r="Y83" i="2"/>
  <c r="BR83" i="3" s="1"/>
  <c r="Y47" i="2"/>
  <c r="BR47" i="3" s="1"/>
  <c r="Y137" i="2"/>
  <c r="Y68" i="2"/>
  <c r="Y26" i="2"/>
  <c r="Y130" i="2"/>
  <c r="BR130" i="3" s="1"/>
  <c r="Y24" i="2"/>
  <c r="Y27" i="2"/>
  <c r="J184" i="1"/>
  <c r="Y108" i="2"/>
  <c r="BR108" i="3" s="1"/>
  <c r="Y62" i="2"/>
  <c r="H32" i="1"/>
  <c r="K183" i="1"/>
  <c r="L183" i="1"/>
  <c r="Y67" i="2"/>
  <c r="BR67" i="3" s="1"/>
  <c r="Y66" i="2"/>
  <c r="Y209" i="2" s="1"/>
  <c r="BQ105" i="3"/>
  <c r="X107" i="2"/>
  <c r="BQ23" i="3"/>
  <c r="X431" i="2"/>
  <c r="BQ431" i="3" s="1"/>
  <c r="X435" i="2"/>
  <c r="BQ435" i="3" s="1"/>
  <c r="BQ27" i="3"/>
  <c r="Y220" i="4"/>
  <c r="Z218" i="4"/>
  <c r="X189" i="3"/>
  <c r="BQ189" i="3" s="1"/>
  <c r="T441" i="3"/>
  <c r="T242" i="3"/>
  <c r="T151" i="3"/>
  <c r="T288" i="3"/>
  <c r="T128" i="5"/>
  <c r="T130" i="5" s="1"/>
  <c r="T451" i="3"/>
  <c r="T193" i="5"/>
  <c r="Z151" i="4"/>
  <c r="AA149" i="4"/>
  <c r="Y270" i="4"/>
  <c r="Z268" i="4"/>
  <c r="S383" i="1"/>
  <c r="BM216" i="3"/>
  <c r="BQ186" i="3"/>
  <c r="Z175" i="4"/>
  <c r="Z176" i="4" s="1"/>
  <c r="Y239" i="3"/>
  <c r="Y179" i="3"/>
  <c r="AH75" i="9"/>
  <c r="BQ75" i="9" s="1"/>
  <c r="Z511" i="3"/>
  <c r="Z137" i="3"/>
  <c r="Z108" i="3"/>
  <c r="Z82" i="3"/>
  <c r="Z504" i="3"/>
  <c r="Z208" i="3"/>
  <c r="Z66" i="3"/>
  <c r="Z209" i="3" s="1"/>
  <c r="Z495" i="3"/>
  <c r="Z479" i="3"/>
  <c r="Z105" i="3"/>
  <c r="Z83" i="3"/>
  <c r="Z78" i="3"/>
  <c r="Z67" i="3"/>
  <c r="Z62" i="3"/>
  <c r="Z42" i="3"/>
  <c r="Z27" i="3"/>
  <c r="Z435" i="3" s="1"/>
  <c r="Z26" i="3"/>
  <c r="Z434" i="3" s="1"/>
  <c r="Z25" i="3"/>
  <c r="Z433" i="3" s="1"/>
  <c r="Z24" i="3"/>
  <c r="Z432" i="3" s="1"/>
  <c r="Z23" i="3"/>
  <c r="Z431" i="3" s="1"/>
  <c r="Z68" i="3"/>
  <c r="Z21" i="3"/>
  <c r="Z1" i="5"/>
  <c r="Z81" i="3"/>
  <c r="AA4" i="3"/>
  <c r="Z80" i="3"/>
  <c r="Z69" i="3"/>
  <c r="C76" i="9"/>
  <c r="Z22" i="3"/>
  <c r="C124" i="9"/>
  <c r="Z315" i="3"/>
  <c r="Y236" i="3"/>
  <c r="AB75" i="9" s="1"/>
  <c r="Y107" i="3"/>
  <c r="Q48" i="2"/>
  <c r="BJ48" i="3" s="1"/>
  <c r="BJ46" i="3"/>
  <c r="Y30" i="4"/>
  <c r="Y89" i="4" s="1"/>
  <c r="Y274" i="2" s="1"/>
  <c r="Y50" i="3"/>
  <c r="Y52" i="3" s="1"/>
  <c r="Y54" i="3" s="1"/>
  <c r="Y60" i="3" s="1"/>
  <c r="Y225" i="4"/>
  <c r="Z223" i="4"/>
  <c r="Y161" i="4"/>
  <c r="Z159" i="4"/>
  <c r="BK56" i="3"/>
  <c r="S56" i="2"/>
  <c r="BO280" i="3"/>
  <c r="BO442" i="3"/>
  <c r="W254" i="4"/>
  <c r="V217" i="3"/>
  <c r="V217" i="2"/>
  <c r="BO39" i="3"/>
  <c r="W39" i="2"/>
  <c r="V41" i="2"/>
  <c r="BP237" i="3"/>
  <c r="AC25" i="9"/>
  <c r="AC121" i="9" s="1"/>
  <c r="V278" i="2"/>
  <c r="BO278" i="3" s="1"/>
  <c r="BO172" i="3"/>
  <c r="Y142" i="3"/>
  <c r="Y144" i="3" s="1"/>
  <c r="Y144" i="2"/>
  <c r="V454" i="3"/>
  <c r="V291" i="3"/>
  <c r="BO291" i="3" s="1"/>
  <c r="AS72" i="9"/>
  <c r="AS120" i="9" s="1"/>
  <c r="V77" i="3"/>
  <c r="BO77" i="3" s="1"/>
  <c r="W294" i="2"/>
  <c r="W458" i="2"/>
  <c r="AX25" i="9"/>
  <c r="Y52" i="2"/>
  <c r="Z264" i="2"/>
  <c r="Z206" i="2"/>
  <c r="Y353" i="1" s="1"/>
  <c r="Z214" i="2"/>
  <c r="E28" i="9"/>
  <c r="AA7" i="2"/>
  <c r="BQ142" i="3"/>
  <c r="W365" i="1"/>
  <c r="BP54" i="3"/>
  <c r="W60" i="2"/>
  <c r="BO60" i="3"/>
  <c r="V107" i="5"/>
  <c r="V134" i="5" s="1"/>
  <c r="S24" i="9"/>
  <c r="S120" i="9" s="1"/>
  <c r="BQ52" i="3"/>
  <c r="X54" i="2"/>
  <c r="X471" i="3"/>
  <c r="X301" i="3"/>
  <c r="X243" i="3"/>
  <c r="X196" i="5"/>
  <c r="Y74" i="9"/>
  <c r="BO74" i="3"/>
  <c r="X490" i="2"/>
  <c r="X87" i="3"/>
  <c r="BQ87" i="3" s="1"/>
  <c r="X307" i="2"/>
  <c r="Y87" i="2"/>
  <c r="X74" i="2"/>
  <c r="Y189" i="2"/>
  <c r="V458" i="3"/>
  <c r="V294" i="3"/>
  <c r="BO294" i="3" s="1"/>
  <c r="AX72" i="9"/>
  <c r="AX120" i="9" s="1"/>
  <c r="BQ144" i="3"/>
  <c r="X471" i="2"/>
  <c r="X243" i="2"/>
  <c r="X301" i="2"/>
  <c r="Y26" i="9"/>
  <c r="X16" i="5"/>
  <c r="W369" i="1"/>
  <c r="W454" i="2"/>
  <c r="W291" i="2"/>
  <c r="AS25" i="9"/>
  <c r="W490" i="3"/>
  <c r="BP490" i="3" s="1"/>
  <c r="W307" i="3"/>
  <c r="BP307" i="3" s="1"/>
  <c r="W74" i="3"/>
  <c r="BP74" i="3" s="1"/>
  <c r="X98" i="3"/>
  <c r="BQ98" i="3" s="1"/>
  <c r="X325" i="2"/>
  <c r="X75" i="2"/>
  <c r="Y98" i="2"/>
  <c r="W325" i="3"/>
  <c r="BP325" i="3" s="1"/>
  <c r="W75" i="3"/>
  <c r="Y76" i="2"/>
  <c r="Y465" i="2" s="1"/>
  <c r="Y354" i="2"/>
  <c r="P371" i="3"/>
  <c r="BM66" i="9"/>
  <c r="P125" i="3"/>
  <c r="P36" i="3"/>
  <c r="Z120" i="2" l="1"/>
  <c r="X354" i="3"/>
  <c r="BQ354" i="3" s="1"/>
  <c r="Z142" i="2"/>
  <c r="Z157" i="2"/>
  <c r="Z155" i="2"/>
  <c r="Y35" i="4"/>
  <c r="Y120" i="3"/>
  <c r="Y157" i="3"/>
  <c r="Y155" i="3"/>
  <c r="Z50" i="2"/>
  <c r="X208" i="5"/>
  <c r="X38" i="4"/>
  <c r="X75" i="4"/>
  <c r="X62" i="4"/>
  <c r="BS186" i="3"/>
  <c r="BJ74" i="9"/>
  <c r="BJ122" i="9" s="1"/>
  <c r="X465" i="3"/>
  <c r="Y122" i="9"/>
  <c r="Z107" i="3"/>
  <c r="Z235" i="3" s="1"/>
  <c r="BQ471" i="3"/>
  <c r="Z311" i="2"/>
  <c r="Z103" i="4"/>
  <c r="Z188" i="2" s="1"/>
  <c r="Z189" i="2" s="1"/>
  <c r="X210" i="5"/>
  <c r="G381" i="2"/>
  <c r="AZ381" i="3" s="1"/>
  <c r="G319" i="2"/>
  <c r="AZ319" i="3" s="1"/>
  <c r="AZ31" i="3"/>
  <c r="N9" i="9"/>
  <c r="N105" i="9" s="1"/>
  <c r="G439" i="2"/>
  <c r="AZ439" i="3" s="1"/>
  <c r="AZ493" i="3"/>
  <c r="G496" i="2"/>
  <c r="G121" i="5"/>
  <c r="AZ283" i="3"/>
  <c r="AA96" i="4"/>
  <c r="AA34" i="4" s="1"/>
  <c r="T45" i="2"/>
  <c r="BL45" i="3"/>
  <c r="BQ301" i="3"/>
  <c r="X77" i="2"/>
  <c r="Z50" i="3"/>
  <c r="Z52" i="3" s="1"/>
  <c r="Z54" i="3" s="1"/>
  <c r="Z60" i="3" s="1"/>
  <c r="Z127" i="5" s="1"/>
  <c r="Z88" i="4"/>
  <c r="Z273" i="2" s="1"/>
  <c r="Y354" i="3"/>
  <c r="BR354" i="3" s="1"/>
  <c r="Y76" i="3"/>
  <c r="Y465" i="3" s="1"/>
  <c r="BR120" i="3"/>
  <c r="BP39" i="3"/>
  <c r="W41" i="2"/>
  <c r="X39" i="2"/>
  <c r="Z430" i="3"/>
  <c r="Z407" i="5"/>
  <c r="AA268" i="4"/>
  <c r="Z270" i="4"/>
  <c r="BR209" i="3"/>
  <c r="X379" i="1"/>
  <c r="AB14" i="4"/>
  <c r="AA176" i="4"/>
  <c r="AA97" i="4"/>
  <c r="AA187" i="2" s="1"/>
  <c r="BP40" i="3"/>
  <c r="X40" i="2"/>
  <c r="BL44" i="3"/>
  <c r="S46" i="2"/>
  <c r="T44" i="2"/>
  <c r="Z289" i="4"/>
  <c r="AA287" i="4"/>
  <c r="V216" i="3"/>
  <c r="V216" i="2"/>
  <c r="Y443" i="3"/>
  <c r="Y289" i="3"/>
  <c r="Y172" i="3"/>
  <c r="Y278" i="3" s="1"/>
  <c r="Y453" i="3"/>
  <c r="AA186" i="2"/>
  <c r="BQ243" i="3"/>
  <c r="BR50" i="3"/>
  <c r="BL56" i="3"/>
  <c r="T56" i="2"/>
  <c r="AA223" i="4"/>
  <c r="Z225" i="4"/>
  <c r="Z311" i="3"/>
  <c r="Z236" i="3"/>
  <c r="AB76" i="9" s="1"/>
  <c r="V76" i="9"/>
  <c r="Z206" i="3"/>
  <c r="Z40" i="3"/>
  <c r="Z237" i="3"/>
  <c r="AC76" i="9" s="1"/>
  <c r="BR66" i="3"/>
  <c r="U27" i="9"/>
  <c r="U123" i="9" s="1"/>
  <c r="X376" i="1"/>
  <c r="Y70" i="2"/>
  <c r="Y12" i="5" s="1"/>
  <c r="Y435" i="2"/>
  <c r="BR435" i="3" s="1"/>
  <c r="BR27" i="3"/>
  <c r="BR68" i="3"/>
  <c r="V27" i="9"/>
  <c r="V123" i="9" s="1"/>
  <c r="Y431" i="2"/>
  <c r="BR431" i="3" s="1"/>
  <c r="BR23" i="3"/>
  <c r="Y14" i="5"/>
  <c r="Y211" i="5" s="1"/>
  <c r="BR78" i="3"/>
  <c r="Y234" i="2"/>
  <c r="X378" i="1"/>
  <c r="BR208" i="3"/>
  <c r="BR105" i="3"/>
  <c r="Y107" i="2"/>
  <c r="BQ174" i="3"/>
  <c r="X280" i="2"/>
  <c r="BM55" i="3"/>
  <c r="T57" i="2"/>
  <c r="U55" i="2"/>
  <c r="Z111" i="4"/>
  <c r="AA109" i="4"/>
  <c r="Z275" i="4"/>
  <c r="AA273" i="4"/>
  <c r="R48" i="2"/>
  <c r="BK48" i="3" s="1"/>
  <c r="BK46" i="3"/>
  <c r="Z199" i="4"/>
  <c r="AA197" i="4"/>
  <c r="AA100" i="4"/>
  <c r="AB92" i="4"/>
  <c r="T121" i="9"/>
  <c r="AB40" i="4"/>
  <c r="AC39" i="4"/>
  <c r="X255" i="4"/>
  <c r="W215" i="3"/>
  <c r="W258" i="4"/>
  <c r="W215" i="2"/>
  <c r="Z131" i="4"/>
  <c r="AA129" i="4"/>
  <c r="R164" i="2"/>
  <c r="BK164" i="3" s="1"/>
  <c r="BK151" i="3"/>
  <c r="R152" i="2"/>
  <c r="BK152" i="3" s="1"/>
  <c r="Z121" i="4"/>
  <c r="AA119" i="4"/>
  <c r="BD374" i="3"/>
  <c r="L367" i="2"/>
  <c r="S133" i="5"/>
  <c r="S135" i="5" s="1"/>
  <c r="S108" i="5"/>
  <c r="S110" i="5" s="1"/>
  <c r="S137" i="5" s="1"/>
  <c r="S143" i="5" s="1"/>
  <c r="Z51" i="3"/>
  <c r="Y192" i="5"/>
  <c r="AA46" i="4"/>
  <c r="AB45" i="4"/>
  <c r="BQ26" i="9"/>
  <c r="BQ122" i="9" s="1"/>
  <c r="AH122" i="9"/>
  <c r="X254" i="4"/>
  <c r="W217" i="3"/>
  <c r="W217" i="2"/>
  <c r="Z452" i="3"/>
  <c r="Z174" i="3"/>
  <c r="Z280" i="3" s="1"/>
  <c r="Z65" i="3"/>
  <c r="Z173" i="3"/>
  <c r="Z279" i="3" s="1"/>
  <c r="AF26" i="9"/>
  <c r="AF122" i="9" s="1"/>
  <c r="BQ107" i="3"/>
  <c r="X235" i="2"/>
  <c r="BQ235" i="3" s="1"/>
  <c r="Y434" i="2"/>
  <c r="BR434" i="3" s="1"/>
  <c r="BR26" i="3"/>
  <c r="AA238" i="4"/>
  <c r="Z240" i="4"/>
  <c r="Y189" i="3"/>
  <c r="Z306" i="4"/>
  <c r="Z307" i="4"/>
  <c r="Z297" i="4"/>
  <c r="Z308" i="4"/>
  <c r="Z311" i="4"/>
  <c r="Z309" i="4"/>
  <c r="Z305" i="4"/>
  <c r="Z300" i="4"/>
  <c r="Z310" i="4"/>
  <c r="Z302" i="4"/>
  <c r="Z301" i="4"/>
  <c r="Z298" i="4"/>
  <c r="Z299" i="4"/>
  <c r="Z172" i="4"/>
  <c r="Z252" i="4"/>
  <c r="Z261" i="4" s="1"/>
  <c r="Z90" i="4"/>
  <c r="Z251" i="4"/>
  <c r="BQ234" i="3"/>
  <c r="AA26" i="9"/>
  <c r="AA122" i="9" s="1"/>
  <c r="BP172" i="3"/>
  <c r="W278" i="2"/>
  <c r="BP278" i="3" s="1"/>
  <c r="Z53" i="2"/>
  <c r="BS53" i="3" s="1"/>
  <c r="AA5" i="2"/>
  <c r="AA30" i="4" s="1"/>
  <c r="AA89" i="4" s="1"/>
  <c r="AA274" i="2" s="1"/>
  <c r="D28" i="9"/>
  <c r="Z58" i="2"/>
  <c r="BS58" i="3" s="1"/>
  <c r="Z106" i="2"/>
  <c r="BS106" i="3" s="1"/>
  <c r="Z79" i="2"/>
  <c r="BS79" i="3" s="1"/>
  <c r="Z109" i="2"/>
  <c r="BS109" i="3" s="1"/>
  <c r="BU4" i="3"/>
  <c r="BT206" i="3"/>
  <c r="BT21" i="3"/>
  <c r="Z166" i="4"/>
  <c r="AA164" i="4"/>
  <c r="Z204" i="4"/>
  <c r="AA202" i="4"/>
  <c r="Z194" i="4"/>
  <c r="AA192" i="4"/>
  <c r="V61" i="3"/>
  <c r="V126" i="5"/>
  <c r="R72" i="9"/>
  <c r="BO217" i="3"/>
  <c r="Z234" i="3"/>
  <c r="AA76" i="9" s="1"/>
  <c r="Z194" i="5"/>
  <c r="Z70" i="3"/>
  <c r="Z192" i="5" s="1"/>
  <c r="U76" i="9"/>
  <c r="AA151" i="4"/>
  <c r="AB149" i="4"/>
  <c r="T164" i="3"/>
  <c r="T152" i="3"/>
  <c r="AA218" i="4"/>
  <c r="Z220" i="4"/>
  <c r="Y65" i="2"/>
  <c r="Y452" i="2"/>
  <c r="BR452" i="3" s="1"/>
  <c r="Y174" i="2"/>
  <c r="BR62" i="3"/>
  <c r="Y173" i="2"/>
  <c r="Y432" i="2"/>
  <c r="BR432" i="3" s="1"/>
  <c r="BR24" i="3"/>
  <c r="BR137" i="3"/>
  <c r="Y239" i="2"/>
  <c r="BR239" i="3" s="1"/>
  <c r="Y179" i="2"/>
  <c r="BR179" i="3" s="1"/>
  <c r="X358" i="1"/>
  <c r="AH27" i="9"/>
  <c r="Y433" i="2"/>
  <c r="BR433" i="3" s="1"/>
  <c r="BR25" i="3"/>
  <c r="Z511" i="2"/>
  <c r="BS511" i="3" s="1"/>
  <c r="Z495" i="2"/>
  <c r="BS495" i="3" s="1"/>
  <c r="Z479" i="2"/>
  <c r="BS479" i="3" s="1"/>
  <c r="Z389" i="2"/>
  <c r="Z504" i="2"/>
  <c r="BS504" i="3" s="1"/>
  <c r="Z315" i="2"/>
  <c r="BS315" i="3" s="1"/>
  <c r="Z69" i="2"/>
  <c r="BS69" i="3" s="1"/>
  <c r="Z21" i="2"/>
  <c r="AA4" i="2"/>
  <c r="AA29" i="4" s="1"/>
  <c r="AA35" i="4" s="1"/>
  <c r="Z130" i="2"/>
  <c r="BS130" i="3" s="1"/>
  <c r="Z83" i="2"/>
  <c r="BS83" i="3" s="1"/>
  <c r="Z27" i="2"/>
  <c r="Z26" i="2"/>
  <c r="Z24" i="2"/>
  <c r="Z23" i="2"/>
  <c r="Z208" i="2"/>
  <c r="Z131" i="2"/>
  <c r="BS131" i="3" s="1"/>
  <c r="Z82" i="2"/>
  <c r="Z80" i="2"/>
  <c r="Z78" i="2"/>
  <c r="C28" i="9"/>
  <c r="Z137" i="2"/>
  <c r="Z68" i="2"/>
  <c r="Z47" i="2"/>
  <c r="BS47" i="3" s="1"/>
  <c r="Z25" i="2"/>
  <c r="Z81" i="2"/>
  <c r="BS81" i="3" s="1"/>
  <c r="Z42" i="2"/>
  <c r="BS42" i="3" s="1"/>
  <c r="Z105" i="2"/>
  <c r="Z22" i="2"/>
  <c r="Z108" i="2"/>
  <c r="BS108" i="3" s="1"/>
  <c r="Z62" i="2"/>
  <c r="Z67" i="2"/>
  <c r="BS67" i="3" s="1"/>
  <c r="Z66" i="2"/>
  <c r="Z209" i="2" s="1"/>
  <c r="Y236" i="2"/>
  <c r="BR80" i="3"/>
  <c r="BR22" i="3"/>
  <c r="Y430" i="2"/>
  <c r="BR430" i="3" s="1"/>
  <c r="BQ237" i="3"/>
  <c r="AC26" i="9"/>
  <c r="AC122" i="9" s="1"/>
  <c r="X442" i="2"/>
  <c r="T26" i="9"/>
  <c r="T122" i="9" s="1"/>
  <c r="BQ65" i="3"/>
  <c r="BQ209" i="3"/>
  <c r="W379" i="1"/>
  <c r="AA233" i="4"/>
  <c r="Z235" i="4"/>
  <c r="Z30" i="4"/>
  <c r="Z89" i="4" s="1"/>
  <c r="Z274" i="2" s="1"/>
  <c r="S59" i="2"/>
  <c r="BL59" i="3" s="1"/>
  <c r="BL57" i="3"/>
  <c r="BP51" i="3"/>
  <c r="X51" i="2"/>
  <c r="Z209" i="4"/>
  <c r="AA207" i="4"/>
  <c r="BO215" i="3"/>
  <c r="Z141" i="4"/>
  <c r="AA139" i="4"/>
  <c r="G122" i="5"/>
  <c r="U441" i="3"/>
  <c r="U151" i="3"/>
  <c r="U451" i="3"/>
  <c r="U193" i="5"/>
  <c r="U242" i="3"/>
  <c r="U288" i="3"/>
  <c r="U128" i="5"/>
  <c r="U130" i="5" s="1"/>
  <c r="E690" i="1"/>
  <c r="E204" i="1"/>
  <c r="AA187" i="4"/>
  <c r="Z189" i="4"/>
  <c r="BN216" i="3"/>
  <c r="T383" i="1"/>
  <c r="R362" i="1"/>
  <c r="S151" i="2"/>
  <c r="S451" i="2"/>
  <c r="BL451" i="3" s="1"/>
  <c r="BL61" i="3"/>
  <c r="S288" i="2"/>
  <c r="BL288" i="3" s="1"/>
  <c r="S441" i="2"/>
  <c r="BL441" i="3" s="1"/>
  <c r="S13" i="5"/>
  <c r="S209" i="5" s="1"/>
  <c r="S242" i="2"/>
  <c r="BL242" i="3" s="1"/>
  <c r="Y442" i="3"/>
  <c r="T75" i="9"/>
  <c r="BO41" i="3"/>
  <c r="V43" i="2"/>
  <c r="AA159" i="4"/>
  <c r="Z161" i="4"/>
  <c r="S75" i="9"/>
  <c r="Y127" i="5"/>
  <c r="Y235" i="3"/>
  <c r="AF75" i="9"/>
  <c r="AA495" i="3"/>
  <c r="AA479" i="3"/>
  <c r="AA208" i="3"/>
  <c r="AA81" i="3"/>
  <c r="AA108" i="3"/>
  <c r="AA105" i="3"/>
  <c r="AA83" i="3"/>
  <c r="AA78" i="3"/>
  <c r="AA67" i="3"/>
  <c r="AA62" i="3"/>
  <c r="AA42" i="3"/>
  <c r="AA27" i="3"/>
  <c r="AA435" i="3" s="1"/>
  <c r="AA26" i="3"/>
  <c r="AA434" i="3" s="1"/>
  <c r="AA25" i="3"/>
  <c r="AA433" i="3" s="1"/>
  <c r="AA24" i="3"/>
  <c r="AA432" i="3" s="1"/>
  <c r="AA23" i="3"/>
  <c r="AA431" i="3" s="1"/>
  <c r="AA82" i="3"/>
  <c r="AA68" i="3"/>
  <c r="AA22" i="3"/>
  <c r="AB4" i="3"/>
  <c r="AA66" i="3"/>
  <c r="AA209" i="3" s="1"/>
  <c r="AA511" i="3"/>
  <c r="AA504" i="3"/>
  <c r="AA80" i="3"/>
  <c r="AA69" i="3"/>
  <c r="C77" i="9"/>
  <c r="AA137" i="3"/>
  <c r="AA1" i="5"/>
  <c r="AA21" i="3"/>
  <c r="C125" i="9"/>
  <c r="AA315" i="3"/>
  <c r="Z179" i="3"/>
  <c r="AH76" i="9"/>
  <c r="BQ76" i="9" s="1"/>
  <c r="Z239" i="3"/>
  <c r="H183" i="1"/>
  <c r="BR82" i="3"/>
  <c r="Y237" i="2"/>
  <c r="BQ173" i="3"/>
  <c r="X279" i="2"/>
  <c r="BQ279" i="3" s="1"/>
  <c r="Z264" i="3"/>
  <c r="Z214" i="3"/>
  <c r="BS214" i="3" s="1"/>
  <c r="AA7" i="3"/>
  <c r="AA311" i="3" s="1"/>
  <c r="E76" i="9"/>
  <c r="E124" i="9"/>
  <c r="Z187" i="3"/>
  <c r="Z3" i="5"/>
  <c r="Z411" i="5" s="1"/>
  <c r="AA295" i="4"/>
  <c r="AB93" i="4"/>
  <c r="AB175" i="4" s="1"/>
  <c r="AA1" i="4"/>
  <c r="Y262" i="4"/>
  <c r="X265" i="4"/>
  <c r="B281" i="1"/>
  <c r="B328" i="1" s="1"/>
  <c r="Z282" i="1"/>
  <c r="BQ70" i="3"/>
  <c r="X443" i="2"/>
  <c r="BQ443" i="3" s="1"/>
  <c r="X172" i="2"/>
  <c r="X453" i="2"/>
  <c r="BQ453" i="3" s="1"/>
  <c r="X289" i="2"/>
  <c r="BQ289" i="3" s="1"/>
  <c r="AA126" i="4"/>
  <c r="AB124" i="4"/>
  <c r="AA146" i="4"/>
  <c r="AB144" i="4"/>
  <c r="AA228" i="4"/>
  <c r="Z230" i="4"/>
  <c r="AA98" i="4"/>
  <c r="AA103" i="4" s="1"/>
  <c r="AA188" i="2" s="1"/>
  <c r="AA177" i="4"/>
  <c r="AA181" i="4" s="1"/>
  <c r="AB11" i="4"/>
  <c r="AA282" i="4"/>
  <c r="Z284" i="4"/>
  <c r="AA243" i="4"/>
  <c r="Z245" i="4"/>
  <c r="AA116" i="4"/>
  <c r="AB114" i="4"/>
  <c r="AC41" i="4"/>
  <c r="AB42" i="4"/>
  <c r="AY210" i="3"/>
  <c r="E380" i="1"/>
  <c r="AB43" i="4"/>
  <c r="AA44" i="4"/>
  <c r="AA156" i="4"/>
  <c r="AB154" i="4"/>
  <c r="U49" i="2"/>
  <c r="BN43" i="3"/>
  <c r="T106" i="5"/>
  <c r="T61" i="2"/>
  <c r="BM49" i="3"/>
  <c r="R22" i="9"/>
  <c r="R118" i="9" s="1"/>
  <c r="AA106" i="3"/>
  <c r="AA53" i="3"/>
  <c r="AB5" i="3"/>
  <c r="D77" i="9"/>
  <c r="AA109" i="3"/>
  <c r="AA79" i="3"/>
  <c r="AA2" i="5"/>
  <c r="D125" i="9"/>
  <c r="W41" i="3"/>
  <c r="W43" i="3" s="1"/>
  <c r="W49" i="3" s="1"/>
  <c r="X39" i="3"/>
  <c r="AB257" i="4"/>
  <c r="AB178" i="4"/>
  <c r="AB102" i="4"/>
  <c r="AB264" i="4"/>
  <c r="AB99" i="4"/>
  <c r="AB180" i="4"/>
  <c r="AC91" i="4"/>
  <c r="BQ236" i="3"/>
  <c r="AB26" i="9"/>
  <c r="AB122" i="9" s="1"/>
  <c r="X325" i="3"/>
  <c r="BQ325" i="3" s="1"/>
  <c r="X75" i="3"/>
  <c r="BQ75" i="3" s="1"/>
  <c r="BR189" i="3"/>
  <c r="X365" i="1"/>
  <c r="X454" i="2"/>
  <c r="X291" i="2"/>
  <c r="AS26" i="9"/>
  <c r="S25" i="9"/>
  <c r="S121" i="9" s="1"/>
  <c r="BP60" i="3"/>
  <c r="W107" i="5"/>
  <c r="W134" i="5" s="1"/>
  <c r="Y471" i="3"/>
  <c r="Y243" i="3"/>
  <c r="Y301" i="3"/>
  <c r="Y75" i="9"/>
  <c r="Y196" i="5"/>
  <c r="Y98" i="3"/>
  <c r="Y325" i="2"/>
  <c r="Z98" i="2"/>
  <c r="Y75" i="2"/>
  <c r="Y490" i="2"/>
  <c r="Y87" i="3"/>
  <c r="BR87" i="3" s="1"/>
  <c r="Y307" i="2"/>
  <c r="Y74" i="2"/>
  <c r="Y77" i="2" s="1"/>
  <c r="Z87" i="2"/>
  <c r="Z142" i="3"/>
  <c r="Z144" i="3" s="1"/>
  <c r="AA142" i="2"/>
  <c r="Z144" i="2"/>
  <c r="X458" i="2"/>
  <c r="X294" i="2"/>
  <c r="AX26" i="9"/>
  <c r="W454" i="3"/>
  <c r="W291" i="3"/>
  <c r="BP291" i="3" s="1"/>
  <c r="AS73" i="9"/>
  <c r="AS121" i="9" s="1"/>
  <c r="W77" i="3"/>
  <c r="BP77" i="3" s="1"/>
  <c r="Z52" i="2"/>
  <c r="AA214" i="2"/>
  <c r="AA264" i="2"/>
  <c r="AB7" i="2"/>
  <c r="E29" i="9"/>
  <c r="BR144" i="3"/>
  <c r="Y301" i="2"/>
  <c r="Y471" i="2"/>
  <c r="BR471" i="3" s="1"/>
  <c r="Y243" i="2"/>
  <c r="Y16" i="5"/>
  <c r="Y27" i="9"/>
  <c r="X369" i="1"/>
  <c r="W458" i="3"/>
  <c r="W294" i="3"/>
  <c r="BP294" i="3" s="1"/>
  <c r="AX73" i="9"/>
  <c r="AX121" i="9" s="1"/>
  <c r="X490" i="3"/>
  <c r="BQ490" i="3" s="1"/>
  <c r="X307" i="3"/>
  <c r="BQ307" i="3" s="1"/>
  <c r="X74" i="3"/>
  <c r="X60" i="2"/>
  <c r="BQ54" i="3"/>
  <c r="BR52" i="3"/>
  <c r="Y54" i="2"/>
  <c r="BP75" i="3"/>
  <c r="BR142" i="3"/>
  <c r="BJ27" i="9"/>
  <c r="Z354" i="2"/>
  <c r="Z76" i="2"/>
  <c r="Z465" i="2" s="1"/>
  <c r="P466" i="3"/>
  <c r="P299" i="3"/>
  <c r="P369" i="3"/>
  <c r="P372" i="3" s="1"/>
  <c r="P374" i="3" s="1"/>
  <c r="Q367" i="3" s="1"/>
  <c r="Q16" i="3"/>
  <c r="P256" i="3"/>
  <c r="AB96" i="4" l="1"/>
  <c r="Z35" i="4"/>
  <c r="AA157" i="2"/>
  <c r="AA155" i="2"/>
  <c r="Z120" i="3"/>
  <c r="Z76" i="3" s="1"/>
  <c r="Z155" i="3"/>
  <c r="Z157" i="3"/>
  <c r="Y38" i="4"/>
  <c r="Y62" i="4"/>
  <c r="Y75" i="4"/>
  <c r="Y208" i="5"/>
  <c r="Z188" i="3"/>
  <c r="BS188" i="3" s="1"/>
  <c r="AA186" i="3"/>
  <c r="BS50" i="3"/>
  <c r="AF76" i="9"/>
  <c r="BS311" i="3"/>
  <c r="AA50" i="3"/>
  <c r="AA52" i="3" s="1"/>
  <c r="AA54" i="3" s="1"/>
  <c r="AA60" i="3" s="1"/>
  <c r="S77" i="9" s="1"/>
  <c r="AA51" i="3"/>
  <c r="AA40" i="3"/>
  <c r="AA107" i="3"/>
  <c r="AF77" i="9" s="1"/>
  <c r="AA206" i="2"/>
  <c r="Z353" i="1" s="1"/>
  <c r="AA311" i="2"/>
  <c r="BT311" i="3" s="1"/>
  <c r="AA236" i="3"/>
  <c r="AB77" i="9" s="1"/>
  <c r="S76" i="9"/>
  <c r="Y210" i="5"/>
  <c r="BR243" i="3"/>
  <c r="AZ496" i="3"/>
  <c r="G497" i="2"/>
  <c r="AA50" i="2"/>
  <c r="AA52" i="2" s="1"/>
  <c r="BM45" i="3"/>
  <c r="U45" i="2"/>
  <c r="AA120" i="2"/>
  <c r="AA76" i="2" s="1"/>
  <c r="AA465" i="2" s="1"/>
  <c r="Y123" i="9"/>
  <c r="BR301" i="3"/>
  <c r="BP217" i="3"/>
  <c r="BP215" i="3"/>
  <c r="AB34" i="4"/>
  <c r="AB186" i="2"/>
  <c r="AB186" i="3"/>
  <c r="AA88" i="4"/>
  <c r="AA273" i="2" s="1"/>
  <c r="BQ51" i="3"/>
  <c r="Y51" i="2"/>
  <c r="BQ442" i="3"/>
  <c r="Z107" i="2"/>
  <c r="BS105" i="3"/>
  <c r="Y255" i="4"/>
  <c r="X258" i="4"/>
  <c r="X215" i="3"/>
  <c r="X215" i="2"/>
  <c r="T441" i="2"/>
  <c r="BM441" i="3" s="1"/>
  <c r="BM61" i="3"/>
  <c r="T13" i="5"/>
  <c r="T209" i="5" s="1"/>
  <c r="T151" i="2"/>
  <c r="T288" i="2"/>
  <c r="BM288" i="3" s="1"/>
  <c r="S362" i="1"/>
  <c r="T451" i="2"/>
  <c r="BM451" i="3" s="1"/>
  <c r="T242" i="2"/>
  <c r="BM242" i="3" s="1"/>
  <c r="AC42" i="4"/>
  <c r="AD41" i="4"/>
  <c r="Z262" i="4"/>
  <c r="Y265" i="4"/>
  <c r="AB295" i="4"/>
  <c r="AB1" i="4"/>
  <c r="AC93" i="4"/>
  <c r="AA174" i="3"/>
  <c r="AA280" i="3" s="1"/>
  <c r="AA65" i="3"/>
  <c r="AA452" i="3"/>
  <c r="AA173" i="3"/>
  <c r="AA279" i="3" s="1"/>
  <c r="AA161" i="4"/>
  <c r="AB159" i="4"/>
  <c r="BS68" i="3"/>
  <c r="V28" i="9"/>
  <c r="V124" i="9" s="1"/>
  <c r="BS80" i="3"/>
  <c r="Z236" i="2"/>
  <c r="BS23" i="3"/>
  <c r="Z431" i="2"/>
  <c r="BS431" i="3" s="1"/>
  <c r="Y279" i="2"/>
  <c r="BR279" i="3" s="1"/>
  <c r="BR173" i="3"/>
  <c r="BR65" i="3"/>
  <c r="Y442" i="2"/>
  <c r="BR442" i="3" s="1"/>
  <c r="T27" i="9"/>
  <c r="T123" i="9" s="1"/>
  <c r="Z453" i="3"/>
  <c r="Z289" i="3"/>
  <c r="Z172" i="3"/>
  <c r="Z278" i="3" s="1"/>
  <c r="Z443" i="3"/>
  <c r="V451" i="3"/>
  <c r="V288" i="3"/>
  <c r="V441" i="3"/>
  <c r="V242" i="3"/>
  <c r="V128" i="5"/>
  <c r="V130" i="5" s="1"/>
  <c r="V151" i="3"/>
  <c r="V193" i="5"/>
  <c r="Z442" i="3"/>
  <c r="T76" i="9"/>
  <c r="AB46" i="4"/>
  <c r="AC45" i="4"/>
  <c r="AC40" i="4"/>
  <c r="AD39" i="4"/>
  <c r="AC92" i="4"/>
  <c r="AB100" i="4"/>
  <c r="AB109" i="4"/>
  <c r="AA111" i="4"/>
  <c r="Y453" i="2"/>
  <c r="BR453" i="3" s="1"/>
  <c r="BR70" i="3"/>
  <c r="Y443" i="2"/>
  <c r="BR443" i="3" s="1"/>
  <c r="Y289" i="2"/>
  <c r="BR289" i="3" s="1"/>
  <c r="Y172" i="2"/>
  <c r="BM56" i="3"/>
  <c r="U56" i="2"/>
  <c r="BQ40" i="3"/>
  <c r="Y40" i="2"/>
  <c r="AB97" i="4"/>
  <c r="AB187" i="2" s="1"/>
  <c r="AB176" i="4"/>
  <c r="AC14" i="4"/>
  <c r="AB268" i="4"/>
  <c r="AA270" i="4"/>
  <c r="U106" i="5"/>
  <c r="BN49" i="3"/>
  <c r="U61" i="2"/>
  <c r="R23" i="9"/>
  <c r="R119" i="9" s="1"/>
  <c r="AA230" i="4"/>
  <c r="AB228" i="4"/>
  <c r="AB187" i="4"/>
  <c r="AA189" i="4"/>
  <c r="U164" i="3"/>
  <c r="U152" i="3"/>
  <c r="BS62" i="3"/>
  <c r="Z452" i="2"/>
  <c r="BS452" i="3" s="1"/>
  <c r="Z173" i="2"/>
  <c r="Z174" i="2"/>
  <c r="Z65" i="2"/>
  <c r="BS78" i="3"/>
  <c r="Z234" i="2"/>
  <c r="Z14" i="5"/>
  <c r="Z211" i="5" s="1"/>
  <c r="BS27" i="3"/>
  <c r="Z435" i="2"/>
  <c r="BS435" i="3" s="1"/>
  <c r="BE367" i="3"/>
  <c r="L372" i="2"/>
  <c r="BM57" i="3"/>
  <c r="T59" i="2"/>
  <c r="BM59" i="3" s="1"/>
  <c r="AA225" i="4"/>
  <c r="AB223" i="4"/>
  <c r="BS187" i="3"/>
  <c r="AC144" i="4"/>
  <c r="AB146" i="4"/>
  <c r="AA179" i="3"/>
  <c r="AA239" i="3"/>
  <c r="AH77" i="9"/>
  <c r="BQ77" i="9" s="1"/>
  <c r="X41" i="3"/>
  <c r="X43" i="3" s="1"/>
  <c r="X49" i="3" s="1"/>
  <c r="Y39" i="3"/>
  <c r="T133" i="5"/>
  <c r="T135" i="5" s="1"/>
  <c r="T108" i="5"/>
  <c r="T110" i="5" s="1"/>
  <c r="T137" i="5" s="1"/>
  <c r="T143" i="5" s="1"/>
  <c r="AC114" i="4"/>
  <c r="AB116" i="4"/>
  <c r="B282" i="1"/>
  <c r="B329" i="1" s="1"/>
  <c r="Z283" i="1"/>
  <c r="AA311" i="4"/>
  <c r="AA309" i="4"/>
  <c r="AA307" i="4"/>
  <c r="AA306" i="4"/>
  <c r="AA305" i="4"/>
  <c r="AA310" i="4"/>
  <c r="AA301" i="4"/>
  <c r="AA299" i="4"/>
  <c r="AA308" i="4"/>
  <c r="AA298" i="4"/>
  <c r="AA300" i="4"/>
  <c r="AA302" i="4"/>
  <c r="AA297" i="4"/>
  <c r="AA252" i="4"/>
  <c r="AA261" i="4" s="1"/>
  <c r="AA172" i="4"/>
  <c r="AA90" i="4"/>
  <c r="AA251" i="4"/>
  <c r="BR237" i="3"/>
  <c r="AC27" i="9"/>
  <c r="AC123" i="9" s="1"/>
  <c r="AA70" i="3"/>
  <c r="U77" i="9"/>
  <c r="AA237" i="3"/>
  <c r="AC77" i="9" s="1"/>
  <c r="V49" i="2"/>
  <c r="BO43" i="3"/>
  <c r="AB207" i="4"/>
  <c r="AA209" i="4"/>
  <c r="BR236" i="3"/>
  <c r="AB27" i="9"/>
  <c r="AB123" i="9" s="1"/>
  <c r="Y376" i="1"/>
  <c r="Z70" i="2"/>
  <c r="Z12" i="5" s="1"/>
  <c r="Z208" i="5" s="1"/>
  <c r="BS66" i="3"/>
  <c r="U28" i="9"/>
  <c r="U124" i="9" s="1"/>
  <c r="BS137" i="3"/>
  <c r="Z239" i="2"/>
  <c r="BS239" i="3" s="1"/>
  <c r="Z179" i="2"/>
  <c r="BS179" i="3" s="1"/>
  <c r="Y358" i="1"/>
  <c r="AH28" i="9"/>
  <c r="BS82" i="3"/>
  <c r="Z237" i="2"/>
  <c r="BS24" i="3"/>
  <c r="Z432" i="2"/>
  <c r="BS432" i="3" s="1"/>
  <c r="AC149" i="4"/>
  <c r="AB151" i="4"/>
  <c r="AB192" i="4"/>
  <c r="AA194" i="4"/>
  <c r="AB164" i="4"/>
  <c r="AA166" i="4"/>
  <c r="BU206" i="3"/>
  <c r="BV4" i="3"/>
  <c r="BU21" i="3"/>
  <c r="AA58" i="2"/>
  <c r="BT58" i="3" s="1"/>
  <c r="AA106" i="2"/>
  <c r="BT106" i="3" s="1"/>
  <c r="AA79" i="2"/>
  <c r="BT79" i="3" s="1"/>
  <c r="AA53" i="2"/>
  <c r="BT53" i="3" s="1"/>
  <c r="AB5" i="2"/>
  <c r="AB30" i="4" s="1"/>
  <c r="AB89" i="4" s="1"/>
  <c r="AB274" i="2" s="1"/>
  <c r="D29" i="9"/>
  <c r="AA109" i="2"/>
  <c r="BT109" i="3" s="1"/>
  <c r="Y254" i="4"/>
  <c r="X217" i="3"/>
  <c r="X217" i="2"/>
  <c r="AB119" i="4"/>
  <c r="AA121" i="4"/>
  <c r="W216" i="3"/>
  <c r="W216" i="2"/>
  <c r="BQ280" i="3"/>
  <c r="BO216" i="3"/>
  <c r="U383" i="1"/>
  <c r="BM44" i="3"/>
  <c r="T46" i="2"/>
  <c r="U44" i="2"/>
  <c r="X41" i="2"/>
  <c r="BQ39" i="3"/>
  <c r="Y39" i="2"/>
  <c r="BR76" i="3"/>
  <c r="BJ75" i="9"/>
  <c r="BJ123" i="9" s="1"/>
  <c r="AC264" i="4"/>
  <c r="AC178" i="4"/>
  <c r="AC102" i="4"/>
  <c r="AD91" i="4"/>
  <c r="AC96" i="4"/>
  <c r="AC257" i="4"/>
  <c r="AC99" i="4"/>
  <c r="AC180" i="4"/>
  <c r="AC175" i="4"/>
  <c r="AB44" i="4"/>
  <c r="AC43" i="4"/>
  <c r="AC11" i="4"/>
  <c r="AB98" i="4"/>
  <c r="AB177" i="4"/>
  <c r="AB181" i="4" s="1"/>
  <c r="AA430" i="3"/>
  <c r="AA407" i="5"/>
  <c r="Y378" i="1"/>
  <c r="BS208" i="3"/>
  <c r="AH123" i="9"/>
  <c r="BQ27" i="9"/>
  <c r="BQ123" i="9" s="1"/>
  <c r="AB202" i="4"/>
  <c r="AA204" i="4"/>
  <c r="AF27" i="9"/>
  <c r="AF123" i="9" s="1"/>
  <c r="BR107" i="3"/>
  <c r="Y235" i="2"/>
  <c r="BR235" i="3" s="1"/>
  <c r="BR234" i="3"/>
  <c r="AA27" i="9"/>
  <c r="AA123" i="9" s="1"/>
  <c r="AB287" i="4"/>
  <c r="AA289" i="4"/>
  <c r="AC154" i="4"/>
  <c r="AB156" i="4"/>
  <c r="AA245" i="4"/>
  <c r="AB243" i="4"/>
  <c r="V77" i="9"/>
  <c r="F206" i="1"/>
  <c r="D192" i="2" s="1"/>
  <c r="F207" i="1"/>
  <c r="Y379" i="1"/>
  <c r="BS209" i="3"/>
  <c r="W61" i="3"/>
  <c r="W126" i="5"/>
  <c r="R73" i="9"/>
  <c r="AB109" i="3"/>
  <c r="AB53" i="3"/>
  <c r="AC5" i="3"/>
  <c r="D78" i="9"/>
  <c r="AB106" i="3"/>
  <c r="AB79" i="3"/>
  <c r="AB2" i="5"/>
  <c r="D126" i="9"/>
  <c r="AB282" i="4"/>
  <c r="AA284" i="4"/>
  <c r="AC124" i="4"/>
  <c r="AB126" i="4"/>
  <c r="BQ172" i="3"/>
  <c r="X278" i="2"/>
  <c r="BQ278" i="3" s="1"/>
  <c r="AA264" i="3"/>
  <c r="AA214" i="3"/>
  <c r="BT214" i="3" s="1"/>
  <c r="AB7" i="3"/>
  <c r="AB311" i="3" s="1"/>
  <c r="AA187" i="3"/>
  <c r="AA3" i="5"/>
  <c r="AA411" i="5" s="1"/>
  <c r="E125" i="9"/>
  <c r="AA188" i="3"/>
  <c r="BT188" i="3" s="1"/>
  <c r="E77" i="9"/>
  <c r="AB80" i="3"/>
  <c r="AB511" i="3"/>
  <c r="AB495" i="3"/>
  <c r="AB479" i="3"/>
  <c r="AB82" i="3"/>
  <c r="AB68" i="3"/>
  <c r="AB22" i="3"/>
  <c r="AC4" i="3"/>
  <c r="AB504" i="3"/>
  <c r="AB137" i="3"/>
  <c r="AB81" i="3"/>
  <c r="AB69" i="3"/>
  <c r="AB21" i="3"/>
  <c r="AB108" i="3"/>
  <c r="AB83" i="3"/>
  <c r="AB78" i="3"/>
  <c r="AB67" i="3"/>
  <c r="AB27" i="3"/>
  <c r="AB435" i="3" s="1"/>
  <c r="AB26" i="3"/>
  <c r="AB434" i="3" s="1"/>
  <c r="AB25" i="3"/>
  <c r="AB433" i="3" s="1"/>
  <c r="AB24" i="3"/>
  <c r="AB432" i="3" s="1"/>
  <c r="AB1" i="5"/>
  <c r="AB105" i="3"/>
  <c r="AB62" i="3"/>
  <c r="C78" i="9"/>
  <c r="AB42" i="3"/>
  <c r="AB23" i="3"/>
  <c r="AB431" i="3" s="1"/>
  <c r="AB66" i="3"/>
  <c r="AB209" i="3" s="1"/>
  <c r="C126" i="9"/>
  <c r="AB315" i="3"/>
  <c r="AA234" i="3"/>
  <c r="AA77" i="9" s="1"/>
  <c r="AA194" i="5"/>
  <c r="AA206" i="3"/>
  <c r="BL151" i="3"/>
  <c r="S164" i="2"/>
  <c r="BL164" i="3" s="1"/>
  <c r="S152" i="2"/>
  <c r="BL152" i="3" s="1"/>
  <c r="AA141" i="4"/>
  <c r="AB139" i="4"/>
  <c r="AA235" i="4"/>
  <c r="AB233" i="4"/>
  <c r="Z430" i="2"/>
  <c r="BS430" i="3" s="1"/>
  <c r="BS22" i="3"/>
  <c r="BS25" i="3"/>
  <c r="Z433" i="2"/>
  <c r="BS433" i="3" s="1"/>
  <c r="BS26" i="3"/>
  <c r="Z434" i="2"/>
  <c r="BS434" i="3" s="1"/>
  <c r="AA504" i="2"/>
  <c r="BT504" i="3" s="1"/>
  <c r="AA479" i="2"/>
  <c r="BT479" i="3" s="1"/>
  <c r="AA208" i="2"/>
  <c r="AA131" i="2"/>
  <c r="BT131" i="3" s="1"/>
  <c r="AA82" i="2"/>
  <c r="AA80" i="2"/>
  <c r="AA78" i="2"/>
  <c r="C29" i="9"/>
  <c r="AA495" i="2"/>
  <c r="BT495" i="3" s="1"/>
  <c r="AA42" i="2"/>
  <c r="BT42" i="3" s="1"/>
  <c r="AA22" i="2"/>
  <c r="AA137" i="2"/>
  <c r="AA130" i="2"/>
  <c r="BT130" i="3" s="1"/>
  <c r="AA83" i="2"/>
  <c r="BT83" i="3" s="1"/>
  <c r="AA68" i="2"/>
  <c r="AA47" i="2"/>
  <c r="BT47" i="3" s="1"/>
  <c r="AA27" i="2"/>
  <c r="AA26" i="2"/>
  <c r="AA25" i="2"/>
  <c r="AA24" i="2"/>
  <c r="AA23" i="2"/>
  <c r="AA389" i="2"/>
  <c r="AA105" i="2"/>
  <c r="AA81" i="2"/>
  <c r="BT81" i="3" s="1"/>
  <c r="AA511" i="2"/>
  <c r="BT511" i="3" s="1"/>
  <c r="AA315" i="2"/>
  <c r="BT315" i="3" s="1"/>
  <c r="AA69" i="2"/>
  <c r="BT69" i="3" s="1"/>
  <c r="AA21" i="2"/>
  <c r="AB4" i="2"/>
  <c r="AB206" i="2" s="1"/>
  <c r="AA353" i="1" s="1"/>
  <c r="AA62" i="2"/>
  <c r="AA108" i="2"/>
  <c r="BT108" i="3" s="1"/>
  <c r="AA67" i="2"/>
  <c r="BT67" i="3" s="1"/>
  <c r="AA66" i="2"/>
  <c r="AA209" i="2" s="1"/>
  <c r="BR174" i="3"/>
  <c r="Y280" i="2"/>
  <c r="BR280" i="3" s="1"/>
  <c r="AB218" i="4"/>
  <c r="AA220" i="4"/>
  <c r="AA240" i="4"/>
  <c r="AB238" i="4"/>
  <c r="AB129" i="4"/>
  <c r="AA131" i="4"/>
  <c r="AB197" i="4"/>
  <c r="AA199" i="4"/>
  <c r="AB273" i="4"/>
  <c r="AA275" i="4"/>
  <c r="BN55" i="3"/>
  <c r="U57" i="2"/>
  <c r="V55" i="2"/>
  <c r="BT186" i="3"/>
  <c r="BL46" i="3"/>
  <c r="S48" i="2"/>
  <c r="BL48" i="3" s="1"/>
  <c r="BP41" i="3"/>
  <c r="W43" i="2"/>
  <c r="Y60" i="2"/>
  <c r="BR54" i="3"/>
  <c r="X107" i="5"/>
  <c r="X134" i="5" s="1"/>
  <c r="BQ60" i="3"/>
  <c r="S26" i="9"/>
  <c r="S122" i="9" s="1"/>
  <c r="BS144" i="3"/>
  <c r="Z301" i="2"/>
  <c r="Z471" i="2"/>
  <c r="Z243" i="2"/>
  <c r="Y28" i="9"/>
  <c r="Z16" i="5"/>
  <c r="Y369" i="1"/>
  <c r="Y325" i="3"/>
  <c r="BR325" i="3" s="1"/>
  <c r="Y75" i="3"/>
  <c r="BR75" i="3" s="1"/>
  <c r="Y365" i="1"/>
  <c r="X454" i="3"/>
  <c r="X291" i="3"/>
  <c r="BQ291" i="3" s="1"/>
  <c r="AS74" i="9"/>
  <c r="AS122" i="9" s="1"/>
  <c r="X77" i="3"/>
  <c r="BQ77" i="3" s="1"/>
  <c r="AA142" i="3"/>
  <c r="AA144" i="3" s="1"/>
  <c r="AA144" i="2"/>
  <c r="Y490" i="3"/>
  <c r="BR490" i="3" s="1"/>
  <c r="Y307" i="3"/>
  <c r="BR307" i="3" s="1"/>
  <c r="Y74" i="3"/>
  <c r="BR74" i="3" s="1"/>
  <c r="Y458" i="2"/>
  <c r="Y294" i="2"/>
  <c r="AX27" i="9"/>
  <c r="BR98" i="3"/>
  <c r="X458" i="3"/>
  <c r="X294" i="3"/>
  <c r="BQ294" i="3" s="1"/>
  <c r="AX74" i="9"/>
  <c r="AX122" i="9" s="1"/>
  <c r="AA189" i="2"/>
  <c r="BS52" i="3"/>
  <c r="Z54" i="2"/>
  <c r="Z471" i="3"/>
  <c r="Z301" i="3"/>
  <c r="Z243" i="3"/>
  <c r="Z196" i="5"/>
  <c r="Y76" i="9"/>
  <c r="Z87" i="3"/>
  <c r="BS87" i="3" s="1"/>
  <c r="Z490" i="2"/>
  <c r="Z307" i="2"/>
  <c r="Z74" i="2"/>
  <c r="AA87" i="2"/>
  <c r="Z98" i="3"/>
  <c r="Z325" i="2"/>
  <c r="AA98" i="2"/>
  <c r="Z75" i="2"/>
  <c r="BQ74" i="3"/>
  <c r="AB264" i="2"/>
  <c r="AB214" i="2"/>
  <c r="AC7" i="2"/>
  <c r="E30" i="9"/>
  <c r="BS142" i="3"/>
  <c r="Y454" i="2"/>
  <c r="Y291" i="2"/>
  <c r="AS27" i="9"/>
  <c r="BJ28" i="9"/>
  <c r="Q124" i="3"/>
  <c r="Z354" i="3" l="1"/>
  <c r="BS354" i="3" s="1"/>
  <c r="AB142" i="2"/>
  <c r="AA120" i="3"/>
  <c r="AA157" i="3"/>
  <c r="AA155" i="3"/>
  <c r="BS120" i="3"/>
  <c r="AB157" i="2"/>
  <c r="AB155" i="2"/>
  <c r="AA235" i="3"/>
  <c r="BT50" i="3"/>
  <c r="AA38" i="4"/>
  <c r="AA62" i="4"/>
  <c r="AA75" i="4"/>
  <c r="Z38" i="4"/>
  <c r="Z75" i="4"/>
  <c r="Z62" i="4"/>
  <c r="Z189" i="3"/>
  <c r="BS189" i="3" s="1"/>
  <c r="AA127" i="5"/>
  <c r="AB40" i="3"/>
  <c r="AB206" i="3"/>
  <c r="BJ76" i="9"/>
  <c r="BJ124" i="9" s="1"/>
  <c r="Z465" i="3"/>
  <c r="BS76" i="3"/>
  <c r="AB107" i="3"/>
  <c r="AF78" i="9" s="1"/>
  <c r="AA189" i="3"/>
  <c r="BT189" i="3" s="1"/>
  <c r="BQ217" i="3"/>
  <c r="BQ215" i="3"/>
  <c r="Z77" i="2"/>
  <c r="AZ497" i="3"/>
  <c r="G498" i="2"/>
  <c r="AZ498" i="3" s="1"/>
  <c r="BN45" i="3"/>
  <c r="V45" i="2"/>
  <c r="AB103" i="4"/>
  <c r="AB188" i="2" s="1"/>
  <c r="AB189" i="2" s="1"/>
  <c r="AA354" i="2"/>
  <c r="BU186" i="3"/>
  <c r="BT120" i="3"/>
  <c r="BT187" i="3"/>
  <c r="AC151" i="4"/>
  <c r="AD149" i="4"/>
  <c r="BS173" i="3"/>
  <c r="Z279" i="2"/>
  <c r="U133" i="5"/>
  <c r="U135" i="5" s="1"/>
  <c r="U108" i="5"/>
  <c r="U110" i="5" s="1"/>
  <c r="U137" i="5" s="1"/>
  <c r="U143" i="5" s="1"/>
  <c r="BS236" i="3"/>
  <c r="AB28" i="9"/>
  <c r="AB124" i="9" s="1"/>
  <c r="AB29" i="4"/>
  <c r="AB35" i="4" s="1"/>
  <c r="T152" i="2"/>
  <c r="BM152" i="3" s="1"/>
  <c r="BM151" i="3"/>
  <c r="T164" i="2"/>
  <c r="BM164" i="3" s="1"/>
  <c r="X216" i="3"/>
  <c r="X216" i="2"/>
  <c r="AB50" i="2"/>
  <c r="AB52" i="2" s="1"/>
  <c r="BT68" i="3"/>
  <c r="V29" i="9"/>
  <c r="V125" i="9" s="1"/>
  <c r="BT22" i="3"/>
  <c r="AA430" i="2"/>
  <c r="BT430" i="3" s="1"/>
  <c r="BT78" i="3"/>
  <c r="AA14" i="5"/>
  <c r="AA211" i="5" s="1"/>
  <c r="AA234" i="2"/>
  <c r="Z378" i="1"/>
  <c r="BT208" i="3"/>
  <c r="V78" i="9"/>
  <c r="AD124" i="4"/>
  <c r="AC126" i="4"/>
  <c r="W441" i="3"/>
  <c r="W242" i="3"/>
  <c r="W151" i="3"/>
  <c r="W451" i="3"/>
  <c r="W288" i="3"/>
  <c r="W193" i="5"/>
  <c r="W128" i="5"/>
  <c r="W130" i="5" s="1"/>
  <c r="AC177" i="4"/>
  <c r="AD11" i="4"/>
  <c r="AC98" i="4"/>
  <c r="BN44" i="3"/>
  <c r="U46" i="2"/>
  <c r="V44" i="2"/>
  <c r="BV21" i="3"/>
  <c r="BV206" i="3"/>
  <c r="BW4" i="3"/>
  <c r="AH124" i="9"/>
  <c r="BQ28" i="9"/>
  <c r="BQ124" i="9" s="1"/>
  <c r="AB209" i="4"/>
  <c r="AC207" i="4"/>
  <c r="AD114" i="4"/>
  <c r="AC116" i="4"/>
  <c r="X61" i="3"/>
  <c r="X126" i="5"/>
  <c r="R74" i="9"/>
  <c r="AB270" i="4"/>
  <c r="AC268" i="4"/>
  <c r="BR40" i="3"/>
  <c r="Z40" i="2"/>
  <c r="BR172" i="3"/>
  <c r="Y278" i="2"/>
  <c r="BR278" i="3" s="1"/>
  <c r="AD92" i="4"/>
  <c r="AC100" i="4"/>
  <c r="AA442" i="3"/>
  <c r="T77" i="9"/>
  <c r="AA262" i="4"/>
  <c r="Z265" i="4"/>
  <c r="Z255" i="4"/>
  <c r="Y258" i="4"/>
  <c r="Y215" i="3"/>
  <c r="Y215" i="2"/>
  <c r="BO55" i="3"/>
  <c r="V57" i="2"/>
  <c r="W55" i="2"/>
  <c r="BT24" i="3"/>
  <c r="AA432" i="2"/>
  <c r="BT432" i="3" s="1"/>
  <c r="AC139" i="4"/>
  <c r="AB141" i="4"/>
  <c r="AB289" i="4"/>
  <c r="AC287" i="4"/>
  <c r="X43" i="2"/>
  <c r="BQ41" i="3"/>
  <c r="BS70" i="3"/>
  <c r="Z289" i="2"/>
  <c r="BS289" i="3" s="1"/>
  <c r="Z443" i="2"/>
  <c r="BS443" i="3" s="1"/>
  <c r="Z453" i="2"/>
  <c r="BS453" i="3" s="1"/>
  <c r="Z172" i="2"/>
  <c r="AB220" i="4"/>
  <c r="AC218" i="4"/>
  <c r="AB120" i="2"/>
  <c r="AB354" i="2" s="1"/>
  <c r="AB199" i="4"/>
  <c r="AC197" i="4"/>
  <c r="BT26" i="3"/>
  <c r="AA434" i="2"/>
  <c r="BT434" i="3" s="1"/>
  <c r="BT80" i="3"/>
  <c r="AA236" i="2"/>
  <c r="AC233" i="4"/>
  <c r="AB235" i="4"/>
  <c r="AB70" i="3"/>
  <c r="AB192" i="5" s="1"/>
  <c r="U78" i="9"/>
  <c r="AB237" i="3"/>
  <c r="AC78" i="9" s="1"/>
  <c r="AB236" i="3"/>
  <c r="AB78" i="9" s="1"/>
  <c r="D184" i="2"/>
  <c r="F205" i="1"/>
  <c r="F171" i="2"/>
  <c r="D171" i="2"/>
  <c r="D171" i="3"/>
  <c r="F171" i="3"/>
  <c r="F182" i="3" s="1"/>
  <c r="D184" i="3"/>
  <c r="AC156" i="4"/>
  <c r="AD154" i="4"/>
  <c r="AC44" i="4"/>
  <c r="AD43" i="4"/>
  <c r="AC181" i="4"/>
  <c r="AC34" i="4"/>
  <c r="AC186" i="3"/>
  <c r="AC186" i="2"/>
  <c r="Z39" i="2"/>
  <c r="BR39" i="3"/>
  <c r="Y41" i="2"/>
  <c r="T48" i="2"/>
  <c r="BM48" i="3" s="1"/>
  <c r="BM46" i="3"/>
  <c r="Z254" i="4"/>
  <c r="Y217" i="3"/>
  <c r="Y217" i="2"/>
  <c r="AB194" i="4"/>
  <c r="AC192" i="4"/>
  <c r="AA453" i="3"/>
  <c r="AA172" i="3"/>
  <c r="AA278" i="3" s="1"/>
  <c r="AA289" i="3"/>
  <c r="AA443" i="3"/>
  <c r="B283" i="1"/>
  <c r="B330" i="1" s="1"/>
  <c r="Z284" i="1"/>
  <c r="AB225" i="4"/>
  <c r="AC223" i="4"/>
  <c r="BE372" i="3"/>
  <c r="L374" i="2"/>
  <c r="Z442" i="2"/>
  <c r="BS65" i="3"/>
  <c r="T28" i="9"/>
  <c r="AB189" i="4"/>
  <c r="AC187" i="4"/>
  <c r="U151" i="2"/>
  <c r="U451" i="2"/>
  <c r="BN451" i="3" s="1"/>
  <c r="U288" i="2"/>
  <c r="BN288" i="3" s="1"/>
  <c r="U441" i="2"/>
  <c r="BN441" i="3" s="1"/>
  <c r="U242" i="2"/>
  <c r="BN242" i="3" s="1"/>
  <c r="BN61" i="3"/>
  <c r="T362" i="1"/>
  <c r="U13" i="5"/>
  <c r="U209" i="5" s="1"/>
  <c r="AC176" i="4"/>
  <c r="AD14" i="4"/>
  <c r="AC97" i="4"/>
  <c r="AD40" i="4"/>
  <c r="AE39" i="4"/>
  <c r="AB308" i="4"/>
  <c r="AB311" i="4"/>
  <c r="AB307" i="4"/>
  <c r="AB297" i="4"/>
  <c r="AB310" i="4"/>
  <c r="AB301" i="4"/>
  <c r="AB306" i="4"/>
  <c r="AB305" i="4"/>
  <c r="AB299" i="4"/>
  <c r="AB309" i="4"/>
  <c r="AB300" i="4"/>
  <c r="AB302" i="4"/>
  <c r="AB298" i="4"/>
  <c r="AB252" i="4"/>
  <c r="AB261" i="4" s="1"/>
  <c r="AB90" i="4"/>
  <c r="AB172" i="4"/>
  <c r="AB251" i="4"/>
  <c r="AD42" i="4"/>
  <c r="AE41" i="4"/>
  <c r="BR51" i="3"/>
  <c r="Z51" i="2"/>
  <c r="AB275" i="4"/>
  <c r="AC273" i="4"/>
  <c r="U29" i="9"/>
  <c r="U125" i="9" s="1"/>
  <c r="Z376" i="1"/>
  <c r="AA70" i="2"/>
  <c r="AA12" i="5" s="1"/>
  <c r="BT66" i="3"/>
  <c r="AB504" i="2"/>
  <c r="BU504" i="3" s="1"/>
  <c r="AB137" i="2"/>
  <c r="AB130" i="2"/>
  <c r="BU130" i="3" s="1"/>
  <c r="AB83" i="2"/>
  <c r="BU83" i="3" s="1"/>
  <c r="AB68" i="2"/>
  <c r="AB47" i="2"/>
  <c r="BU47" i="3" s="1"/>
  <c r="AB27" i="2"/>
  <c r="AB26" i="2"/>
  <c r="AB25" i="2"/>
  <c r="AB24" i="2"/>
  <c r="AB23" i="2"/>
  <c r="AB69" i="2"/>
  <c r="BU69" i="3" s="1"/>
  <c r="AB495" i="2"/>
  <c r="BU495" i="3" s="1"/>
  <c r="AB389" i="2"/>
  <c r="AB105" i="2"/>
  <c r="AB81" i="2"/>
  <c r="BU81" i="3" s="1"/>
  <c r="AB42" i="2"/>
  <c r="BU42" i="3" s="1"/>
  <c r="AB22" i="2"/>
  <c r="AB511" i="2"/>
  <c r="BU511" i="3" s="1"/>
  <c r="AB315" i="2"/>
  <c r="BU315" i="3" s="1"/>
  <c r="AB21" i="2"/>
  <c r="AC4" i="2"/>
  <c r="AB479" i="2"/>
  <c r="BU479" i="3" s="1"/>
  <c r="AB78" i="2"/>
  <c r="AB82" i="2"/>
  <c r="C30" i="9"/>
  <c r="AB80" i="2"/>
  <c r="AB131" i="2"/>
  <c r="BU131" i="3" s="1"/>
  <c r="AB62" i="2"/>
  <c r="AB108" i="2"/>
  <c r="BU108" i="3" s="1"/>
  <c r="AB67" i="2"/>
  <c r="BU67" i="3" s="1"/>
  <c r="AB66" i="2"/>
  <c r="AB209" i="2" s="1"/>
  <c r="AA107" i="2"/>
  <c r="BT105" i="3"/>
  <c r="BT137" i="3"/>
  <c r="Z358" i="1"/>
  <c r="AH29" i="9"/>
  <c r="AA179" i="2"/>
  <c r="BT179" i="3" s="1"/>
  <c r="AA239" i="2"/>
  <c r="BT239" i="3" s="1"/>
  <c r="AB430" i="3"/>
  <c r="AB407" i="5"/>
  <c r="AC106" i="3"/>
  <c r="AC79" i="3"/>
  <c r="AD5" i="3"/>
  <c r="AC2" i="5"/>
  <c r="D79" i="9"/>
  <c r="D127" i="9"/>
  <c r="AC109" i="3"/>
  <c r="AC53" i="3"/>
  <c r="BP216" i="3"/>
  <c r="V383" i="1"/>
  <c r="AC164" i="4"/>
  <c r="AB166" i="4"/>
  <c r="Y41" i="3"/>
  <c r="Y43" i="3" s="1"/>
  <c r="Y49" i="3" s="1"/>
  <c r="Z39" i="3"/>
  <c r="AC46" i="4"/>
  <c r="AD45" i="4"/>
  <c r="AC159" i="4"/>
  <c r="AB161" i="4"/>
  <c r="AA76" i="3"/>
  <c r="AA354" i="3"/>
  <c r="BN57" i="3"/>
  <c r="U59" i="2"/>
  <c r="BN59" i="3" s="1"/>
  <c r="AC129" i="4"/>
  <c r="AB131" i="4"/>
  <c r="BT25" i="3"/>
  <c r="AA433" i="2"/>
  <c r="BT433" i="3" s="1"/>
  <c r="AB240" i="4"/>
  <c r="AC238" i="4"/>
  <c r="AB311" i="2"/>
  <c r="BU311" i="3" s="1"/>
  <c r="BP43" i="3"/>
  <c r="W49" i="2"/>
  <c r="AA452" i="2"/>
  <c r="BT452" i="3" s="1"/>
  <c r="BT62" i="3"/>
  <c r="AA65" i="2"/>
  <c r="AA173" i="2"/>
  <c r="AA174" i="2"/>
  <c r="BT23" i="3"/>
  <c r="AA431" i="2"/>
  <c r="BT431" i="3" s="1"/>
  <c r="BT27" i="3"/>
  <c r="AA435" i="2"/>
  <c r="BT435" i="3" s="1"/>
  <c r="BT82" i="3"/>
  <c r="AA237" i="2"/>
  <c r="AB174" i="3"/>
  <c r="AB280" i="3" s="1"/>
  <c r="AB65" i="3"/>
  <c r="AB452" i="3"/>
  <c r="AB173" i="3"/>
  <c r="AB279" i="3" s="1"/>
  <c r="AB234" i="3"/>
  <c r="AA78" i="9" s="1"/>
  <c r="AB194" i="5"/>
  <c r="AB239" i="3"/>
  <c r="AB179" i="3"/>
  <c r="AH78" i="9"/>
  <c r="BQ78" i="9" s="1"/>
  <c r="AC504" i="3"/>
  <c r="AC105" i="3"/>
  <c r="AC83" i="3"/>
  <c r="AC479" i="3"/>
  <c r="AC495" i="3"/>
  <c r="AC137" i="3"/>
  <c r="AC81" i="3"/>
  <c r="AC69" i="3"/>
  <c r="AC21" i="3"/>
  <c r="AC80" i="3"/>
  <c r="AC66" i="3"/>
  <c r="AC209" i="3" s="1"/>
  <c r="AC82" i="3"/>
  <c r="AC62" i="3"/>
  <c r="AD4" i="3"/>
  <c r="AC511" i="3"/>
  <c r="AC78" i="3"/>
  <c r="AC67" i="3"/>
  <c r="AC42" i="3"/>
  <c r="AC27" i="3"/>
  <c r="AC435" i="3" s="1"/>
  <c r="AC26" i="3"/>
  <c r="AC434" i="3" s="1"/>
  <c r="AC25" i="3"/>
  <c r="AC433" i="3" s="1"/>
  <c r="AC24" i="3"/>
  <c r="AC432" i="3" s="1"/>
  <c r="AC23" i="3"/>
  <c r="AC431" i="3" s="1"/>
  <c r="AC1" i="5"/>
  <c r="C79" i="9"/>
  <c r="AC22" i="3"/>
  <c r="AC315" i="3"/>
  <c r="AC108" i="3"/>
  <c r="AC68" i="3"/>
  <c r="C127" i="9"/>
  <c r="AB214" i="3"/>
  <c r="BU214" i="3" s="1"/>
  <c r="AB187" i="3"/>
  <c r="AC7" i="3"/>
  <c r="AB3" i="5"/>
  <c r="AB411" i="5" s="1"/>
  <c r="E126" i="9"/>
  <c r="AB264" i="3"/>
  <c r="E78" i="9"/>
  <c r="AB284" i="4"/>
  <c r="AC282" i="4"/>
  <c r="AB50" i="3"/>
  <c r="AB52" i="3" s="1"/>
  <c r="AB54" i="3" s="1"/>
  <c r="AB60" i="3" s="1"/>
  <c r="AB51" i="3"/>
  <c r="F192" i="3"/>
  <c r="F192" i="2"/>
  <c r="AC243" i="4"/>
  <c r="AB245" i="4"/>
  <c r="AB204" i="4"/>
  <c r="AC202" i="4"/>
  <c r="AD264" i="4"/>
  <c r="AD257" i="4"/>
  <c r="AD99" i="4"/>
  <c r="AD180" i="4"/>
  <c r="AD178" i="4"/>
  <c r="AD102" i="4"/>
  <c r="AE91" i="4"/>
  <c r="AC119" i="4"/>
  <c r="AB121" i="4"/>
  <c r="AC5" i="2"/>
  <c r="AC30" i="4" s="1"/>
  <c r="AC89" i="4" s="1"/>
  <c r="AC274" i="2" s="1"/>
  <c r="D30" i="9"/>
  <c r="AB106" i="2"/>
  <c r="BU106" i="3" s="1"/>
  <c r="AB79" i="2"/>
  <c r="BU79" i="3" s="1"/>
  <c r="AB53" i="2"/>
  <c r="BU53" i="3" s="1"/>
  <c r="AB58" i="2"/>
  <c r="BU58" i="3" s="1"/>
  <c r="AB109" i="2"/>
  <c r="BU109" i="3" s="1"/>
  <c r="BS237" i="3"/>
  <c r="AC28" i="9"/>
  <c r="AC124" i="9" s="1"/>
  <c r="R24" i="9"/>
  <c r="R120" i="9" s="1"/>
  <c r="BO49" i="3"/>
  <c r="V106" i="5"/>
  <c r="V61" i="2"/>
  <c r="AC146" i="4"/>
  <c r="AD144" i="4"/>
  <c r="BS234" i="3"/>
  <c r="AA28" i="9"/>
  <c r="AA124" i="9" s="1"/>
  <c r="BS174" i="3"/>
  <c r="Z280" i="2"/>
  <c r="BS280" i="3" s="1"/>
  <c r="AC228" i="4"/>
  <c r="AB230" i="4"/>
  <c r="BN56" i="3"/>
  <c r="V56" i="2"/>
  <c r="AC109" i="4"/>
  <c r="AB111" i="4"/>
  <c r="V152" i="3"/>
  <c r="V164" i="3"/>
  <c r="AA192" i="5"/>
  <c r="AC295" i="4"/>
  <c r="AC1" i="4"/>
  <c r="AD93" i="4"/>
  <c r="AD96" i="4" s="1"/>
  <c r="AF28" i="9"/>
  <c r="AF124" i="9" s="1"/>
  <c r="Z235" i="2"/>
  <c r="BS235" i="3" s="1"/>
  <c r="BS107" i="3"/>
  <c r="AC187" i="2"/>
  <c r="AC264" i="2"/>
  <c r="AC214" i="2"/>
  <c r="E31" i="9"/>
  <c r="AD7" i="2"/>
  <c r="Z458" i="2"/>
  <c r="Z294" i="2"/>
  <c r="AX28" i="9"/>
  <c r="Z325" i="3"/>
  <c r="BS325" i="3" s="1"/>
  <c r="Z75" i="3"/>
  <c r="BS75" i="3" s="1"/>
  <c r="BS54" i="3"/>
  <c r="Z60" i="2"/>
  <c r="AA54" i="2"/>
  <c r="BT52" i="3"/>
  <c r="BT142" i="3"/>
  <c r="Y458" i="3"/>
  <c r="Y294" i="3"/>
  <c r="BR294" i="3" s="1"/>
  <c r="AX75" i="9"/>
  <c r="AX123" i="9" s="1"/>
  <c r="Z210" i="5"/>
  <c r="BS301" i="3"/>
  <c r="AA98" i="3"/>
  <c r="AA325" i="2"/>
  <c r="AA75" i="2"/>
  <c r="AB98" i="2"/>
  <c r="AB142" i="3"/>
  <c r="AB144" i="3" s="1"/>
  <c r="AB144" i="2"/>
  <c r="Y124" i="9"/>
  <c r="AA87" i="3"/>
  <c r="BT87" i="3" s="1"/>
  <c r="AA490" i="2"/>
  <c r="AA307" i="2"/>
  <c r="AA74" i="2"/>
  <c r="AB87" i="2"/>
  <c r="Z365" i="1"/>
  <c r="Y454" i="3"/>
  <c r="Y291" i="3"/>
  <c r="BR291" i="3" s="1"/>
  <c r="AS75" i="9"/>
  <c r="AS123" i="9" s="1"/>
  <c r="Y77" i="3"/>
  <c r="BR77" i="3" s="1"/>
  <c r="BT144" i="3"/>
  <c r="AA471" i="2"/>
  <c r="AA243" i="2"/>
  <c r="AA301" i="2"/>
  <c r="Y29" i="9"/>
  <c r="AA16" i="5"/>
  <c r="Z369" i="1"/>
  <c r="BS243" i="3"/>
  <c r="BS98" i="3"/>
  <c r="Z454" i="2"/>
  <c r="Z291" i="2"/>
  <c r="AS28" i="9"/>
  <c r="Z490" i="3"/>
  <c r="BS490" i="3" s="1"/>
  <c r="Z307" i="3"/>
  <c r="BS307" i="3" s="1"/>
  <c r="Z74" i="3"/>
  <c r="AA471" i="3"/>
  <c r="AA301" i="3"/>
  <c r="AA243" i="3"/>
  <c r="AA196" i="5"/>
  <c r="Y77" i="9"/>
  <c r="BS471" i="3"/>
  <c r="BR60" i="3"/>
  <c r="Y107" i="5"/>
  <c r="Y134" i="5" s="1"/>
  <c r="S27" i="9"/>
  <c r="S123" i="9" s="1"/>
  <c r="BJ29" i="9"/>
  <c r="Q371" i="3"/>
  <c r="BM67" i="9"/>
  <c r="Q125" i="3"/>
  <c r="Q36" i="3"/>
  <c r="AB120" i="3" l="1"/>
  <c r="AB157" i="3"/>
  <c r="AB155" i="3"/>
  <c r="AC157" i="2"/>
  <c r="AC155" i="2"/>
  <c r="AB235" i="3"/>
  <c r="AC103" i="4"/>
  <c r="AC188" i="2" s="1"/>
  <c r="AB188" i="3"/>
  <c r="BU188" i="3" s="1"/>
  <c r="AC107" i="3"/>
  <c r="AC235" i="3" s="1"/>
  <c r="BJ77" i="9"/>
  <c r="AA465" i="3"/>
  <c r="BT354" i="3"/>
  <c r="AB76" i="2"/>
  <c r="AB465" i="2" s="1"/>
  <c r="BR217" i="3"/>
  <c r="BV186" i="3"/>
  <c r="BR215" i="3"/>
  <c r="BT76" i="3"/>
  <c r="BJ125" i="9"/>
  <c r="BO45" i="3"/>
  <c r="W45" i="2"/>
  <c r="AA77" i="2"/>
  <c r="BU50" i="3"/>
  <c r="AC236" i="3"/>
  <c r="AB79" i="9" s="1"/>
  <c r="AB217" i="3"/>
  <c r="AB217" i="2"/>
  <c r="AB354" i="3"/>
  <c r="BU354" i="3" s="1"/>
  <c r="AB76" i="3"/>
  <c r="BU120" i="3"/>
  <c r="AC311" i="4"/>
  <c r="AC310" i="4"/>
  <c r="AC309" i="4"/>
  <c r="AC308" i="4"/>
  <c r="AC307" i="4"/>
  <c r="AC305" i="4"/>
  <c r="AC302" i="4"/>
  <c r="AC301" i="4"/>
  <c r="AC300" i="4"/>
  <c r="AC299" i="4"/>
  <c r="AC298" i="4"/>
  <c r="AC306" i="4"/>
  <c r="AC297" i="4"/>
  <c r="AC252" i="4"/>
  <c r="AC261" i="4" s="1"/>
  <c r="AC90" i="4"/>
  <c r="AC172" i="4"/>
  <c r="AC251" i="4"/>
  <c r="AD109" i="4"/>
  <c r="AC111" i="4"/>
  <c r="AC188" i="3"/>
  <c r="BV188" i="3" s="1"/>
  <c r="AC187" i="3"/>
  <c r="BV187" i="3" s="1"/>
  <c r="AC3" i="5"/>
  <c r="AC411" i="5" s="1"/>
  <c r="AC264" i="3"/>
  <c r="AC214" i="3"/>
  <c r="BV214" i="3" s="1"/>
  <c r="E127" i="9"/>
  <c r="AD7" i="3"/>
  <c r="AD51" i="3" s="1"/>
  <c r="E79" i="9"/>
  <c r="AF79" i="9"/>
  <c r="AE40" i="4"/>
  <c r="AF39" i="4"/>
  <c r="AA254" i="4"/>
  <c r="Z217" i="3"/>
  <c r="Z217" i="2"/>
  <c r="AE43" i="4"/>
  <c r="AD44" i="4"/>
  <c r="AC235" i="4"/>
  <c r="AD233" i="4"/>
  <c r="AC220" i="4"/>
  <c r="AD218" i="4"/>
  <c r="BQ43" i="3"/>
  <c r="X49" i="2"/>
  <c r="BS40" i="3"/>
  <c r="AA40" i="2"/>
  <c r="AD116" i="4"/>
  <c r="AE114" i="4"/>
  <c r="BO44" i="3"/>
  <c r="V46" i="2"/>
  <c r="W44" i="2"/>
  <c r="BT234" i="3"/>
  <c r="AA29" i="9"/>
  <c r="AA125" i="9" s="1"/>
  <c r="BQ216" i="3"/>
  <c r="W383" i="1"/>
  <c r="BS279" i="3"/>
  <c r="AC120" i="2"/>
  <c r="BU142" i="3"/>
  <c r="BU187" i="3"/>
  <c r="AC311" i="2"/>
  <c r="AC29" i="4"/>
  <c r="AC35" i="4" s="1"/>
  <c r="BO56" i="3"/>
  <c r="W56" i="2"/>
  <c r="AE144" i="4"/>
  <c r="AD146" i="4"/>
  <c r="AC106" i="2"/>
  <c r="BV106" i="3" s="1"/>
  <c r="AC79" i="2"/>
  <c r="BV79" i="3" s="1"/>
  <c r="AC58" i="2"/>
  <c r="BV58" i="3" s="1"/>
  <c r="AC53" i="2"/>
  <c r="BV53" i="3" s="1"/>
  <c r="AD5" i="2"/>
  <c r="D31" i="9"/>
  <c r="AC109" i="2"/>
  <c r="BV109" i="3" s="1"/>
  <c r="AC245" i="4"/>
  <c r="AD243" i="4"/>
  <c r="AB127" i="5"/>
  <c r="S78" i="9"/>
  <c r="AC311" i="3"/>
  <c r="AC206" i="3"/>
  <c r="AC237" i="3"/>
  <c r="AC79" i="9" s="1"/>
  <c r="BT237" i="3"/>
  <c r="AC29" i="9"/>
  <c r="AC125" i="9" s="1"/>
  <c r="BT173" i="3"/>
  <c r="AA279" i="2"/>
  <c r="BT279" i="3" s="1"/>
  <c r="BT209" i="3"/>
  <c r="Z379" i="1"/>
  <c r="AC161" i="4"/>
  <c r="AD159" i="4"/>
  <c r="R75" i="9"/>
  <c r="Y126" i="5"/>
  <c r="Y61" i="3"/>
  <c r="AB452" i="2"/>
  <c r="BU452" i="3" s="1"/>
  <c r="AB173" i="2"/>
  <c r="AB65" i="2"/>
  <c r="AB174" i="2"/>
  <c r="BU62" i="3"/>
  <c r="AB237" i="2"/>
  <c r="BU82" i="3"/>
  <c r="AB434" i="2"/>
  <c r="BU434" i="3" s="1"/>
  <c r="BU26" i="3"/>
  <c r="AD273" i="4"/>
  <c r="AC275" i="4"/>
  <c r="AE42" i="4"/>
  <c r="AF41" i="4"/>
  <c r="AC189" i="4"/>
  <c r="AD187" i="4"/>
  <c r="BS442" i="3"/>
  <c r="F207" i="3"/>
  <c r="F212" i="3" s="1"/>
  <c r="F153" i="3"/>
  <c r="F154" i="3" s="1"/>
  <c r="BT236" i="3"/>
  <c r="AB29" i="9"/>
  <c r="AB125" i="9" s="1"/>
  <c r="AC199" i="4"/>
  <c r="AD197" i="4"/>
  <c r="AD287" i="4"/>
  <c r="AC289" i="4"/>
  <c r="BP55" i="3"/>
  <c r="W57" i="2"/>
  <c r="X55" i="2"/>
  <c r="AB262" i="4"/>
  <c r="AA265" i="4"/>
  <c r="AD100" i="4"/>
  <c r="AE92" i="4"/>
  <c r="AC209" i="4"/>
  <c r="AD207" i="4"/>
  <c r="BW206" i="3"/>
  <c r="BW21" i="3"/>
  <c r="BX4" i="3"/>
  <c r="U48" i="2"/>
  <c r="BN48" i="3" s="1"/>
  <c r="BN46" i="3"/>
  <c r="AD98" i="4"/>
  <c r="AE11" i="4"/>
  <c r="AD177" i="4"/>
  <c r="AD181" i="4" s="1"/>
  <c r="AD188" i="2" s="1"/>
  <c r="AB88" i="4"/>
  <c r="AB273" i="2" s="1"/>
  <c r="AC452" i="3"/>
  <c r="AC174" i="3"/>
  <c r="AC280" i="3" s="1"/>
  <c r="AC65" i="3"/>
  <c r="AC173" i="3"/>
  <c r="AC279" i="3" s="1"/>
  <c r="BT174" i="3"/>
  <c r="AA280" i="2"/>
  <c r="BT280" i="3" s="1"/>
  <c r="BU22" i="3"/>
  <c r="AB430" i="2"/>
  <c r="BU430" i="3" s="1"/>
  <c r="AB433" i="2"/>
  <c r="BU433" i="3" s="1"/>
  <c r="BU25" i="3"/>
  <c r="U152" i="2"/>
  <c r="BN152" i="3" s="1"/>
  <c r="U164" i="2"/>
  <c r="BN164" i="3" s="1"/>
  <c r="BN151" i="3"/>
  <c r="AD192" i="4"/>
  <c r="AC194" i="4"/>
  <c r="F182" i="2"/>
  <c r="E356" i="1"/>
  <c r="AY171" i="3"/>
  <c r="X196" i="1"/>
  <c r="X200" i="1"/>
  <c r="AC284" i="4"/>
  <c r="AD282" i="4"/>
  <c r="AC40" i="3"/>
  <c r="AD40" i="3" s="1"/>
  <c r="AC239" i="3"/>
  <c r="AC179" i="3"/>
  <c r="AH79" i="9"/>
  <c r="BQ79" i="9" s="1"/>
  <c r="T29" i="9"/>
  <c r="T125" i="9" s="1"/>
  <c r="BT65" i="3"/>
  <c r="AA442" i="2"/>
  <c r="BT442" i="3" s="1"/>
  <c r="R25" i="9"/>
  <c r="R121" i="9" s="1"/>
  <c r="W106" i="5"/>
  <c r="BP49" i="3"/>
  <c r="W61" i="2"/>
  <c r="AD129" i="4"/>
  <c r="AC131" i="4"/>
  <c r="AE45" i="4"/>
  <c r="AD46" i="4"/>
  <c r="AD106" i="3"/>
  <c r="AD79" i="3"/>
  <c r="AD109" i="3"/>
  <c r="D80" i="9"/>
  <c r="AD53" i="3"/>
  <c r="D128" i="9"/>
  <c r="AE5" i="3"/>
  <c r="AD2" i="5"/>
  <c r="AH125" i="9"/>
  <c r="BQ29" i="9"/>
  <c r="BQ125" i="9" s="1"/>
  <c r="AF29" i="9"/>
  <c r="AF125" i="9" s="1"/>
  <c r="AA235" i="2"/>
  <c r="BT235" i="3" s="1"/>
  <c r="BT107" i="3"/>
  <c r="AB70" i="2"/>
  <c r="AB12" i="5" s="1"/>
  <c r="AB208" i="5" s="1"/>
  <c r="BU66" i="3"/>
  <c r="AA376" i="1"/>
  <c r="U30" i="9"/>
  <c r="U126" i="9" s="1"/>
  <c r="AB234" i="2"/>
  <c r="BU78" i="3"/>
  <c r="AB14" i="5"/>
  <c r="AB211" i="5" s="1"/>
  <c r="BU23" i="3"/>
  <c r="AB431" i="2"/>
  <c r="BU431" i="3" s="1"/>
  <c r="AB435" i="2"/>
  <c r="BU435" i="3" s="1"/>
  <c r="BU27" i="3"/>
  <c r="AA289" i="2"/>
  <c r="BT289" i="3" s="1"/>
  <c r="AA172" i="2"/>
  <c r="BT70" i="3"/>
  <c r="AA453" i="2"/>
  <c r="BT453" i="3" s="1"/>
  <c r="AA443" i="2"/>
  <c r="BT443" i="3" s="1"/>
  <c r="M367" i="2"/>
  <c r="BE374" i="3"/>
  <c r="B284" i="1"/>
  <c r="B331" i="1" s="1"/>
  <c r="Z285" i="1"/>
  <c r="Z41" i="2"/>
  <c r="BS39" i="3"/>
  <c r="AA39" i="2"/>
  <c r="AD156" i="4"/>
  <c r="AE154" i="4"/>
  <c r="AB453" i="3"/>
  <c r="AB443" i="3"/>
  <c r="AB172" i="3"/>
  <c r="AB278" i="3" s="1"/>
  <c r="AB289" i="3"/>
  <c r="BS172" i="3"/>
  <c r="Z278" i="2"/>
  <c r="BS278" i="3" s="1"/>
  <c r="AC141" i="4"/>
  <c r="AD139" i="4"/>
  <c r="BO57" i="3"/>
  <c r="V59" i="2"/>
  <c r="BO59" i="3" s="1"/>
  <c r="Y216" i="3"/>
  <c r="Y216" i="2"/>
  <c r="AD268" i="4"/>
  <c r="AC270" i="4"/>
  <c r="X451" i="3"/>
  <c r="X288" i="3"/>
  <c r="X242" i="3"/>
  <c r="X151" i="3"/>
  <c r="X128" i="5"/>
  <c r="X130" i="5" s="1"/>
  <c r="X193" i="5"/>
  <c r="X441" i="3"/>
  <c r="AD151" i="4"/>
  <c r="AE149" i="4"/>
  <c r="AD228" i="4"/>
  <c r="AC230" i="4"/>
  <c r="V133" i="5"/>
  <c r="V135" i="5" s="1"/>
  <c r="V108" i="5"/>
  <c r="V110" i="5" s="1"/>
  <c r="V137" i="5" s="1"/>
  <c r="V143" i="5" s="1"/>
  <c r="AE257" i="4"/>
  <c r="AE264" i="4"/>
  <c r="AE180" i="4"/>
  <c r="AE99" i="4"/>
  <c r="AE178" i="4"/>
  <c r="AE102" i="4"/>
  <c r="AF91" i="4"/>
  <c r="AC234" i="3"/>
  <c r="AA79" i="9" s="1"/>
  <c r="AC194" i="5"/>
  <c r="Z41" i="3"/>
  <c r="Z43" i="3" s="1"/>
  <c r="Z49" i="3" s="1"/>
  <c r="AA39" i="3"/>
  <c r="AC51" i="3"/>
  <c r="AC511" i="2"/>
  <c r="BV511" i="3" s="1"/>
  <c r="AC495" i="2"/>
  <c r="BV495" i="3" s="1"/>
  <c r="AC479" i="2"/>
  <c r="BV479" i="3" s="1"/>
  <c r="AC389" i="2"/>
  <c r="AC105" i="2"/>
  <c r="AC81" i="2"/>
  <c r="BV81" i="3" s="1"/>
  <c r="AC42" i="2"/>
  <c r="BV42" i="3" s="1"/>
  <c r="AC22" i="2"/>
  <c r="AC82" i="2"/>
  <c r="AC78" i="2"/>
  <c r="AC315" i="2"/>
  <c r="BV315" i="3" s="1"/>
  <c r="AC69" i="2"/>
  <c r="BV69" i="3" s="1"/>
  <c r="AC21" i="2"/>
  <c r="AD4" i="2"/>
  <c r="AC131" i="2"/>
  <c r="BV131" i="3" s="1"/>
  <c r="AC80" i="2"/>
  <c r="C31" i="9"/>
  <c r="AC26" i="2"/>
  <c r="AC25" i="2"/>
  <c r="AC130" i="2"/>
  <c r="BV130" i="3" s="1"/>
  <c r="AC83" i="2"/>
  <c r="BV83" i="3" s="1"/>
  <c r="AC47" i="2"/>
  <c r="BV47" i="3" s="1"/>
  <c r="AC24" i="2"/>
  <c r="AC504" i="2"/>
  <c r="BV504" i="3" s="1"/>
  <c r="AC137" i="2"/>
  <c r="AC68" i="2"/>
  <c r="AC27" i="2"/>
  <c r="AC23" i="2"/>
  <c r="AC108" i="2"/>
  <c r="BV108" i="3" s="1"/>
  <c r="AC62" i="2"/>
  <c r="AC66" i="2"/>
  <c r="AC209" i="2" s="1"/>
  <c r="AC67" i="2"/>
  <c r="BU68" i="3"/>
  <c r="V30" i="9"/>
  <c r="V126" i="9" s="1"/>
  <c r="AC225" i="4"/>
  <c r="AD223" i="4"/>
  <c r="BR41" i="3"/>
  <c r="Y43" i="2"/>
  <c r="AC206" i="2"/>
  <c r="AB353" i="1" s="1"/>
  <c r="AD34" i="4"/>
  <c r="AD186" i="3"/>
  <c r="AD186" i="2"/>
  <c r="AD202" i="4"/>
  <c r="AC204" i="4"/>
  <c r="AY192" i="3"/>
  <c r="E366" i="1"/>
  <c r="P205" i="1" s="1"/>
  <c r="AC430" i="3"/>
  <c r="AC407" i="5"/>
  <c r="AC142" i="2"/>
  <c r="AC142" i="3" s="1"/>
  <c r="AC144" i="3" s="1"/>
  <c r="AC50" i="2"/>
  <c r="AD30" i="4"/>
  <c r="AD89" i="4" s="1"/>
  <c r="AD274" i="2" s="1"/>
  <c r="AD29" i="4"/>
  <c r="AD295" i="4"/>
  <c r="AE93" i="4"/>
  <c r="AE175" i="4" s="1"/>
  <c r="AD1" i="4"/>
  <c r="V451" i="2"/>
  <c r="BO451" i="3" s="1"/>
  <c r="BO61" i="3"/>
  <c r="V288" i="2"/>
  <c r="BO288" i="3" s="1"/>
  <c r="V441" i="2"/>
  <c r="BO441" i="3" s="1"/>
  <c r="V13" i="5"/>
  <c r="V209" i="5" s="1"/>
  <c r="U362" i="1"/>
  <c r="V242" i="2"/>
  <c r="BO242" i="3" s="1"/>
  <c r="V151" i="2"/>
  <c r="AD119" i="4"/>
  <c r="AC121" i="4"/>
  <c r="AD175" i="4"/>
  <c r="V79" i="9"/>
  <c r="AD511" i="3"/>
  <c r="AD137" i="3"/>
  <c r="AD108" i="3"/>
  <c r="AD82" i="3"/>
  <c r="AD504" i="3"/>
  <c r="AD80" i="3"/>
  <c r="AD66" i="3"/>
  <c r="AD209" i="3" s="1"/>
  <c r="AD78" i="3"/>
  <c r="AD67" i="3"/>
  <c r="AD62" i="3"/>
  <c r="AD42" i="3"/>
  <c r="AD27" i="3"/>
  <c r="AD435" i="3" s="1"/>
  <c r="AD26" i="3"/>
  <c r="AD434" i="3" s="1"/>
  <c r="AD25" i="3"/>
  <c r="AD433" i="3" s="1"/>
  <c r="AD24" i="3"/>
  <c r="AD432" i="3" s="1"/>
  <c r="AD23" i="3"/>
  <c r="AD431" i="3" s="1"/>
  <c r="AD479" i="3"/>
  <c r="AD105" i="3"/>
  <c r="AD69" i="3"/>
  <c r="AD1" i="5"/>
  <c r="AD495" i="3"/>
  <c r="AD81" i="3"/>
  <c r="AD68" i="3"/>
  <c r="AD21" i="3"/>
  <c r="AD83" i="3"/>
  <c r="AD22" i="3"/>
  <c r="C80" i="9"/>
  <c r="AE4" i="3"/>
  <c r="C128" i="9"/>
  <c r="AD311" i="3"/>
  <c r="AD315" i="3"/>
  <c r="U79" i="9"/>
  <c r="AC70" i="3"/>
  <c r="AB442" i="3"/>
  <c r="T78" i="9"/>
  <c r="AA208" i="5"/>
  <c r="AD238" i="4"/>
  <c r="AC240" i="4"/>
  <c r="AC166" i="4"/>
  <c r="AD164" i="4"/>
  <c r="AC50" i="3"/>
  <c r="AC52" i="3" s="1"/>
  <c r="AC54" i="3" s="1"/>
  <c r="AC60" i="3" s="1"/>
  <c r="BU80" i="3"/>
  <c r="AB236" i="2"/>
  <c r="BU105" i="3"/>
  <c r="AB107" i="2"/>
  <c r="AB432" i="2"/>
  <c r="BU432" i="3" s="1"/>
  <c r="BU24" i="3"/>
  <c r="AH30" i="9"/>
  <c r="AB239" i="2"/>
  <c r="BU239" i="3" s="1"/>
  <c r="AB179" i="2"/>
  <c r="BU179" i="3" s="1"/>
  <c r="BU137" i="3"/>
  <c r="AA358" i="1"/>
  <c r="BS51" i="3"/>
  <c r="AA51" i="2"/>
  <c r="AD176" i="4"/>
  <c r="AD187" i="2" s="1"/>
  <c r="AE14" i="4"/>
  <c r="AD97" i="4"/>
  <c r="T124" i="9"/>
  <c r="AA255" i="4"/>
  <c r="Z215" i="3"/>
  <c r="Z258" i="4"/>
  <c r="Z215" i="2"/>
  <c r="W164" i="3"/>
  <c r="W152" i="3"/>
  <c r="AD126" i="4"/>
  <c r="AE124" i="4"/>
  <c r="AA210" i="5"/>
  <c r="BT471" i="3"/>
  <c r="BU144" i="3"/>
  <c r="AB471" i="2"/>
  <c r="AB243" i="2"/>
  <c r="AB301" i="2"/>
  <c r="Y30" i="9"/>
  <c r="AB16" i="5"/>
  <c r="AA369" i="1"/>
  <c r="AB98" i="3"/>
  <c r="AB325" i="2"/>
  <c r="AB75" i="2"/>
  <c r="AC98" i="2"/>
  <c r="AA75" i="3"/>
  <c r="BT75" i="3" s="1"/>
  <c r="AA325" i="3"/>
  <c r="BT325" i="3" s="1"/>
  <c r="S28" i="9"/>
  <c r="S124" i="9" s="1"/>
  <c r="BS60" i="3"/>
  <c r="Z107" i="5"/>
  <c r="Z134" i="5" s="1"/>
  <c r="Z454" i="3"/>
  <c r="Z291" i="3"/>
  <c r="BS291" i="3" s="1"/>
  <c r="AS76" i="9"/>
  <c r="AS124" i="9" s="1"/>
  <c r="Z77" i="3"/>
  <c r="BS77" i="3" s="1"/>
  <c r="Y125" i="9"/>
  <c r="AB87" i="3"/>
  <c r="BU87" i="3" s="1"/>
  <c r="AB490" i="2"/>
  <c r="AB307" i="2"/>
  <c r="AC87" i="2"/>
  <c r="AB74" i="2"/>
  <c r="AA458" i="2"/>
  <c r="AA294" i="2"/>
  <c r="AX29" i="9"/>
  <c r="AD264" i="2"/>
  <c r="AD206" i="2"/>
  <c r="AC353" i="1" s="1"/>
  <c r="AD311" i="2"/>
  <c r="AD214" i="2"/>
  <c r="E32" i="9"/>
  <c r="AD51" i="2"/>
  <c r="AE7" i="2"/>
  <c r="BT301" i="3"/>
  <c r="AA454" i="2"/>
  <c r="AA291" i="2"/>
  <c r="AS29" i="9"/>
  <c r="AA490" i="3"/>
  <c r="BT490" i="3" s="1"/>
  <c r="AA307" i="3"/>
  <c r="BT307" i="3" s="1"/>
  <c r="AA74" i="3"/>
  <c r="BT74" i="3" s="1"/>
  <c r="AB471" i="3"/>
  <c r="AB243" i="3"/>
  <c r="AB301" i="3"/>
  <c r="AB196" i="5"/>
  <c r="Y78" i="9"/>
  <c r="AA365" i="1"/>
  <c r="AC52" i="2"/>
  <c r="BU52" i="3"/>
  <c r="AB54" i="2"/>
  <c r="BS74" i="3"/>
  <c r="BT243" i="3"/>
  <c r="BT98" i="3"/>
  <c r="BT54" i="3"/>
  <c r="AA60" i="2"/>
  <c r="Z458" i="3"/>
  <c r="Z294" i="3"/>
  <c r="BS294" i="3" s="1"/>
  <c r="AX76" i="9"/>
  <c r="AX124" i="9" s="1"/>
  <c r="AC189" i="2"/>
  <c r="BJ30" i="9"/>
  <c r="AC76" i="2"/>
  <c r="AC354" i="2"/>
  <c r="Q466" i="3"/>
  <c r="Q299" i="3"/>
  <c r="Q369" i="3"/>
  <c r="Q372" i="3" s="1"/>
  <c r="Q374" i="3" s="1"/>
  <c r="R367" i="3" s="1"/>
  <c r="Q256" i="3"/>
  <c r="R16" i="3"/>
  <c r="AD120" i="2" l="1"/>
  <c r="AD155" i="2"/>
  <c r="AD157" i="2"/>
  <c r="AD35" i="4"/>
  <c r="AD38" i="4" s="1"/>
  <c r="AC120" i="3"/>
  <c r="AC157" i="3"/>
  <c r="AC155" i="3"/>
  <c r="AC144" i="2"/>
  <c r="BV144" i="3" s="1"/>
  <c r="F156" i="3"/>
  <c r="F159" i="3" s="1"/>
  <c r="F160" i="3" s="1"/>
  <c r="AB189" i="3"/>
  <c r="BU189" i="3" s="1"/>
  <c r="AB38" i="4"/>
  <c r="AB62" i="4"/>
  <c r="AB75" i="4"/>
  <c r="AD103" i="4"/>
  <c r="BJ31" i="9"/>
  <c r="AC465" i="2"/>
  <c r="BJ78" i="9"/>
  <c r="BJ126" i="9" s="1"/>
  <c r="AB465" i="3"/>
  <c r="AD142" i="2"/>
  <c r="AD142" i="3" s="1"/>
  <c r="AD144" i="3" s="1"/>
  <c r="AD56" i="2"/>
  <c r="BW56" i="3" s="1"/>
  <c r="BV142" i="3"/>
  <c r="X45" i="2"/>
  <c r="BP45" i="3"/>
  <c r="BV50" i="3"/>
  <c r="AB77" i="2"/>
  <c r="AD206" i="3"/>
  <c r="AD50" i="2"/>
  <c r="AD52" i="2" s="1"/>
  <c r="BU217" i="3"/>
  <c r="AB379" i="1"/>
  <c r="BV209" i="3"/>
  <c r="AC217" i="3"/>
  <c r="AC217" i="2"/>
  <c r="AC76" i="3"/>
  <c r="AC354" i="3"/>
  <c r="BV354" i="3" s="1"/>
  <c r="BV120" i="3"/>
  <c r="BT51" i="3"/>
  <c r="AB51" i="2"/>
  <c r="AC443" i="3"/>
  <c r="AC289" i="3"/>
  <c r="AC172" i="3"/>
  <c r="AC278" i="3" s="1"/>
  <c r="AC453" i="3"/>
  <c r="AD407" i="5"/>
  <c r="AD430" i="3"/>
  <c r="AD121" i="4"/>
  <c r="AE119" i="4"/>
  <c r="AC435" i="2"/>
  <c r="BV435" i="3" s="1"/>
  <c r="BV27" i="3"/>
  <c r="BV105" i="3"/>
  <c r="AC107" i="2"/>
  <c r="R76" i="9"/>
  <c r="Z61" i="3"/>
  <c r="Z126" i="5"/>
  <c r="AF154" i="4"/>
  <c r="AE156" i="4"/>
  <c r="BT172" i="3"/>
  <c r="AA278" i="2"/>
  <c r="BT278" i="3" s="1"/>
  <c r="AD284" i="4"/>
  <c r="AE282" i="4"/>
  <c r="AC88" i="4"/>
  <c r="AC273" i="2" s="1"/>
  <c r="BW51" i="3"/>
  <c r="AF30" i="9"/>
  <c r="AF126" i="9" s="1"/>
  <c r="BU107" i="3"/>
  <c r="AB235" i="2"/>
  <c r="BU235" i="3" s="1"/>
  <c r="BU209" i="3"/>
  <c r="AA379" i="1"/>
  <c r="AD107" i="3"/>
  <c r="AD452" i="3"/>
  <c r="AD174" i="3"/>
  <c r="AD280" i="3" s="1"/>
  <c r="AD65" i="3"/>
  <c r="AD173" i="3"/>
  <c r="AD279" i="3" s="1"/>
  <c r="AD70" i="3"/>
  <c r="AD192" i="5" s="1"/>
  <c r="U80" i="9"/>
  <c r="AD237" i="3"/>
  <c r="AC80" i="9" s="1"/>
  <c r="BO151" i="3"/>
  <c r="V152" i="2"/>
  <c r="BO152" i="3" s="1"/>
  <c r="V164" i="2"/>
  <c r="BO164" i="3" s="1"/>
  <c r="AD306" i="4"/>
  <c r="AD310" i="4"/>
  <c r="AD308" i="4"/>
  <c r="AD311" i="4"/>
  <c r="AD297" i="4"/>
  <c r="AD305" i="4"/>
  <c r="AD302" i="4"/>
  <c r="AD300" i="4"/>
  <c r="AD298" i="4"/>
  <c r="AD307" i="4"/>
  <c r="AD299" i="4"/>
  <c r="AD309" i="4"/>
  <c r="AD301" i="4"/>
  <c r="AD252" i="4"/>
  <c r="AD261" i="4" s="1"/>
  <c r="AD90" i="4"/>
  <c r="AD172" i="4"/>
  <c r="AD251" i="4"/>
  <c r="AE202" i="4"/>
  <c r="AD204" i="4"/>
  <c r="AC65" i="2"/>
  <c r="BV62" i="3"/>
  <c r="AC174" i="2"/>
  <c r="AC452" i="2"/>
  <c r="BV452" i="3" s="1"/>
  <c r="AC173" i="2"/>
  <c r="BV68" i="3"/>
  <c r="V31" i="9"/>
  <c r="V127" i="9" s="1"/>
  <c r="AC434" i="2"/>
  <c r="BV434" i="3" s="1"/>
  <c r="BV26" i="3"/>
  <c r="AD511" i="2"/>
  <c r="BW511" i="3" s="1"/>
  <c r="AD495" i="2"/>
  <c r="BW495" i="3" s="1"/>
  <c r="AD479" i="2"/>
  <c r="BW479" i="3" s="1"/>
  <c r="AD389" i="2"/>
  <c r="AD315" i="2"/>
  <c r="BW315" i="3" s="1"/>
  <c r="AD69" i="2"/>
  <c r="BW69" i="3" s="1"/>
  <c r="AD21" i="2"/>
  <c r="AE4" i="2"/>
  <c r="AE206" i="2" s="1"/>
  <c r="AD353" i="1" s="1"/>
  <c r="AD137" i="2"/>
  <c r="AD68" i="2"/>
  <c r="AD26" i="2"/>
  <c r="AD24" i="2"/>
  <c r="AD23" i="2"/>
  <c r="AD131" i="2"/>
  <c r="BW131" i="3" s="1"/>
  <c r="AD82" i="2"/>
  <c r="AD80" i="2"/>
  <c r="AD78" i="2"/>
  <c r="AD67" i="2"/>
  <c r="BW67" i="3" s="1"/>
  <c r="C32" i="9"/>
  <c r="AD504" i="2"/>
  <c r="BW504" i="3" s="1"/>
  <c r="AD130" i="2"/>
  <c r="BW130" i="3" s="1"/>
  <c r="AD83" i="2"/>
  <c r="BW83" i="3" s="1"/>
  <c r="AD47" i="2"/>
  <c r="BW47" i="3" s="1"/>
  <c r="AD27" i="2"/>
  <c r="AD25" i="2"/>
  <c r="AD105" i="2"/>
  <c r="AD22" i="2"/>
  <c r="AD81" i="2"/>
  <c r="BW81" i="3" s="1"/>
  <c r="AD42" i="2"/>
  <c r="BW42" i="3" s="1"/>
  <c r="AD62" i="2"/>
  <c r="AD108" i="2"/>
  <c r="BW108" i="3" s="1"/>
  <c r="AD66" i="2"/>
  <c r="AD209" i="2" s="1"/>
  <c r="BV22" i="3"/>
  <c r="AC430" i="2"/>
  <c r="BV430" i="3" s="1"/>
  <c r="AF264" i="4"/>
  <c r="AF180" i="4"/>
  <c r="AG91" i="4"/>
  <c r="AF257" i="4"/>
  <c r="AF178" i="4"/>
  <c r="AF102" i="4"/>
  <c r="AF99" i="4"/>
  <c r="AE151" i="4"/>
  <c r="AF149" i="4"/>
  <c r="B285" i="1"/>
  <c r="B332" i="1" s="1"/>
  <c r="Z286" i="1"/>
  <c r="W242" i="2"/>
  <c r="BP242" i="3" s="1"/>
  <c r="V362" i="1"/>
  <c r="W441" i="2"/>
  <c r="BP441" i="3" s="1"/>
  <c r="W451" i="2"/>
  <c r="BP451" i="3" s="1"/>
  <c r="W288" i="2"/>
  <c r="BP288" i="3" s="1"/>
  <c r="BP61" i="3"/>
  <c r="W151" i="2"/>
  <c r="W13" i="5"/>
  <c r="W209" i="5" s="1"/>
  <c r="AE192" i="4"/>
  <c r="AD194" i="4"/>
  <c r="AC442" i="3"/>
  <c r="T79" i="9"/>
  <c r="AE100" i="4"/>
  <c r="AF92" i="4"/>
  <c r="BQ55" i="3"/>
  <c r="X57" i="2"/>
  <c r="Y55" i="2"/>
  <c r="AD289" i="4"/>
  <c r="AE287" i="4"/>
  <c r="AF42" i="4"/>
  <c r="AG41" i="4"/>
  <c r="AB279" i="2"/>
  <c r="BU279" i="3" s="1"/>
  <c r="BU173" i="3"/>
  <c r="AE146" i="4"/>
  <c r="AF144" i="4"/>
  <c r="BV311" i="3"/>
  <c r="AE116" i="4"/>
  <c r="AF114" i="4"/>
  <c r="X61" i="2"/>
  <c r="R26" i="9"/>
  <c r="R122" i="9" s="1"/>
  <c r="BQ49" i="3"/>
  <c r="X106" i="5"/>
  <c r="AE233" i="4"/>
  <c r="AD235" i="4"/>
  <c r="BS217" i="3"/>
  <c r="AD264" i="3"/>
  <c r="AD188" i="3"/>
  <c r="BW188" i="3" s="1"/>
  <c r="AE7" i="3"/>
  <c r="AE40" i="3" s="1"/>
  <c r="AD214" i="3"/>
  <c r="BW214" i="3" s="1"/>
  <c r="AD187" i="3"/>
  <c r="BW187" i="3" s="1"/>
  <c r="E128" i="9"/>
  <c r="AD3" i="5"/>
  <c r="AD411" i="5" s="1"/>
  <c r="E80" i="9"/>
  <c r="Z216" i="3"/>
  <c r="Z216" i="2"/>
  <c r="AE223" i="4"/>
  <c r="AD225" i="4"/>
  <c r="AC70" i="2"/>
  <c r="AC12" i="5" s="1"/>
  <c r="U31" i="9"/>
  <c r="U127" i="9" s="1"/>
  <c r="BV66" i="3"/>
  <c r="AB376" i="1"/>
  <c r="AC432" i="2"/>
  <c r="BV432" i="3" s="1"/>
  <c r="BV24" i="3"/>
  <c r="AC433" i="2"/>
  <c r="BV433" i="3" s="1"/>
  <c r="BV25" i="3"/>
  <c r="BV82" i="3"/>
  <c r="AC237" i="2"/>
  <c r="AE228" i="4"/>
  <c r="AD230" i="4"/>
  <c r="BR216" i="3"/>
  <c r="X383" i="1"/>
  <c r="BS41" i="3"/>
  <c r="Z43" i="2"/>
  <c r="AD131" i="4"/>
  <c r="AE129" i="4"/>
  <c r="AE177" i="4"/>
  <c r="AE181" i="4" s="1"/>
  <c r="AE188" i="2" s="1"/>
  <c r="AF11" i="4"/>
  <c r="BU237" i="3"/>
  <c r="AC30" i="9"/>
  <c r="AC126" i="9" s="1"/>
  <c r="AG39" i="4"/>
  <c r="AF40" i="4"/>
  <c r="AB255" i="4"/>
  <c r="AA258" i="4"/>
  <c r="AA215" i="3"/>
  <c r="AA215" i="2"/>
  <c r="AF14" i="4"/>
  <c r="AE176" i="4"/>
  <c r="AE187" i="2" s="1"/>
  <c r="AH126" i="9"/>
  <c r="BQ30" i="9"/>
  <c r="BQ126" i="9" s="1"/>
  <c r="AC127" i="5"/>
  <c r="S79" i="9"/>
  <c r="AE238" i="4"/>
  <c r="AD240" i="4"/>
  <c r="AE495" i="3"/>
  <c r="AE479" i="3"/>
  <c r="AE81" i="3"/>
  <c r="AE504" i="3"/>
  <c r="AE78" i="3"/>
  <c r="AE67" i="3"/>
  <c r="AE62" i="3"/>
  <c r="AE42" i="3"/>
  <c r="AE27" i="3"/>
  <c r="AE435" i="3" s="1"/>
  <c r="AE26" i="3"/>
  <c r="AE434" i="3" s="1"/>
  <c r="AE25" i="3"/>
  <c r="AE433" i="3" s="1"/>
  <c r="AE24" i="3"/>
  <c r="AE432" i="3" s="1"/>
  <c r="AE23" i="3"/>
  <c r="AE431" i="3" s="1"/>
  <c r="AE511" i="3"/>
  <c r="AE206" i="3"/>
  <c r="AE108" i="3"/>
  <c r="AE105" i="3"/>
  <c r="AE83" i="3"/>
  <c r="AE68" i="3"/>
  <c r="AE22" i="3"/>
  <c r="AF4" i="3"/>
  <c r="AE80" i="3"/>
  <c r="C81" i="9"/>
  <c r="AE66" i="3"/>
  <c r="AE209" i="3" s="1"/>
  <c r="AE82" i="3"/>
  <c r="AE137" i="3"/>
  <c r="AE21" i="3"/>
  <c r="AE69" i="3"/>
  <c r="AE1" i="5"/>
  <c r="C129" i="9"/>
  <c r="AE315" i="3"/>
  <c r="AD236" i="3"/>
  <c r="AB80" i="9" s="1"/>
  <c r="AF93" i="4"/>
  <c r="AE295" i="4"/>
  <c r="AE1" i="4"/>
  <c r="BW186" i="3"/>
  <c r="Y49" i="2"/>
  <c r="BR43" i="3"/>
  <c r="AC239" i="2"/>
  <c r="BV239" i="3" s="1"/>
  <c r="AC179" i="2"/>
  <c r="BV179" i="3" s="1"/>
  <c r="BV137" i="3"/>
  <c r="AB358" i="1"/>
  <c r="AH31" i="9"/>
  <c r="X152" i="3"/>
  <c r="X164" i="3"/>
  <c r="BT39" i="3"/>
  <c r="AA41" i="2"/>
  <c r="AB39" i="2"/>
  <c r="AD50" i="3"/>
  <c r="AD52" i="3" s="1"/>
  <c r="AD54" i="3" s="1"/>
  <c r="AD60" i="3" s="1"/>
  <c r="AE46" i="4"/>
  <c r="AF45" i="4"/>
  <c r="E361" i="1"/>
  <c r="P195" i="1"/>
  <c r="P200" i="1" s="1"/>
  <c r="BP57" i="3"/>
  <c r="W59" i="2"/>
  <c r="BP59" i="3" s="1"/>
  <c r="AE197" i="4"/>
  <c r="AD199" i="4"/>
  <c r="AD161" i="4"/>
  <c r="AE159" i="4"/>
  <c r="BP56" i="3"/>
  <c r="X56" i="2"/>
  <c r="BP44" i="3"/>
  <c r="W46" i="2"/>
  <c r="X44" i="2"/>
  <c r="AC189" i="3"/>
  <c r="BV189" i="3" s="1"/>
  <c r="AD111" i="4"/>
  <c r="AE109" i="4"/>
  <c r="BU76" i="3"/>
  <c r="AD141" i="4"/>
  <c r="AE139" i="4"/>
  <c r="BF367" i="3"/>
  <c r="M372" i="2"/>
  <c r="BU234" i="3"/>
  <c r="AA30" i="9"/>
  <c r="AA126" i="9" s="1"/>
  <c r="AB289" i="2"/>
  <c r="BU289" i="3" s="1"/>
  <c r="AB172" i="2"/>
  <c r="AB443" i="2"/>
  <c r="BU443" i="3" s="1"/>
  <c r="BU70" i="3"/>
  <c r="AB453" i="2"/>
  <c r="BU453" i="3" s="1"/>
  <c r="AE106" i="3"/>
  <c r="AE109" i="3"/>
  <c r="AE53" i="3"/>
  <c r="AF5" i="3"/>
  <c r="AE79" i="3"/>
  <c r="D129" i="9"/>
  <c r="AE2" i="5"/>
  <c r="D81" i="9"/>
  <c r="BY4" i="3"/>
  <c r="BX206" i="3"/>
  <c r="BX21" i="3"/>
  <c r="AC262" i="4"/>
  <c r="AB265" i="4"/>
  <c r="AB215" i="3"/>
  <c r="AB215" i="2"/>
  <c r="AD275" i="4"/>
  <c r="AE273" i="4"/>
  <c r="BU65" i="3"/>
  <c r="AB442" i="2"/>
  <c r="BU442" i="3" s="1"/>
  <c r="T30" i="9"/>
  <c r="T126" i="9" s="1"/>
  <c r="AF43" i="4"/>
  <c r="AE44" i="4"/>
  <c r="BW311" i="3"/>
  <c r="AE126" i="4"/>
  <c r="AF124" i="4"/>
  <c r="BS215" i="3"/>
  <c r="BU236" i="3"/>
  <c r="AB30" i="9"/>
  <c r="AB126" i="9" s="1"/>
  <c r="AD166" i="4"/>
  <c r="AE164" i="4"/>
  <c r="V80" i="9"/>
  <c r="AD234" i="3"/>
  <c r="AA80" i="9" s="1"/>
  <c r="AD194" i="5"/>
  <c r="AD239" i="3"/>
  <c r="AD179" i="3"/>
  <c r="AH80" i="9"/>
  <c r="BQ80" i="9" s="1"/>
  <c r="BV67" i="3"/>
  <c r="AC431" i="2"/>
  <c r="BV431" i="3" s="1"/>
  <c r="BV23" i="3"/>
  <c r="AC236" i="2"/>
  <c r="BV80" i="3"/>
  <c r="AC14" i="5"/>
  <c r="AC211" i="5" s="1"/>
  <c r="BV78" i="3"/>
  <c r="AC234" i="2"/>
  <c r="AA41" i="3"/>
  <c r="AA43" i="3" s="1"/>
  <c r="AA49" i="3" s="1"/>
  <c r="AB39" i="3"/>
  <c r="AE96" i="4"/>
  <c r="AE97" i="4" s="1"/>
  <c r="AD270" i="4"/>
  <c r="AE268" i="4"/>
  <c r="W108" i="5"/>
  <c r="W110" i="5" s="1"/>
  <c r="W137" i="5" s="1"/>
  <c r="W143" i="5" s="1"/>
  <c r="W133" i="5"/>
  <c r="W135" i="5" s="1"/>
  <c r="AY182" i="3"/>
  <c r="F207" i="2"/>
  <c r="F153" i="2"/>
  <c r="AC192" i="5"/>
  <c r="AE207" i="4"/>
  <c r="AD209" i="4"/>
  <c r="F225" i="3"/>
  <c r="F218" i="3"/>
  <c r="AE187" i="4"/>
  <c r="AD189" i="4"/>
  <c r="BU174" i="3"/>
  <c r="AB280" i="2"/>
  <c r="BU280" i="3" s="1"/>
  <c r="Y242" i="3"/>
  <c r="Y441" i="3"/>
  <c r="Y151" i="3"/>
  <c r="Y193" i="5"/>
  <c r="Y288" i="3"/>
  <c r="Y451" i="3"/>
  <c r="Y128" i="5"/>
  <c r="Y130" i="5" s="1"/>
  <c r="AE243" i="4"/>
  <c r="AD245" i="4"/>
  <c r="AD53" i="2"/>
  <c r="BW53" i="3" s="1"/>
  <c r="AE5" i="2"/>
  <c r="AE30" i="4" s="1"/>
  <c r="AE89" i="4" s="1"/>
  <c r="AE274" i="2" s="1"/>
  <c r="D32" i="9"/>
  <c r="AD58" i="2"/>
  <c r="BW58" i="3" s="1"/>
  <c r="AD106" i="2"/>
  <c r="BW106" i="3" s="1"/>
  <c r="AD79" i="2"/>
  <c r="BW79" i="3" s="1"/>
  <c r="AD109" i="2"/>
  <c r="BW109" i="3" s="1"/>
  <c r="V48" i="2"/>
  <c r="BO48" i="3" s="1"/>
  <c r="BO46" i="3"/>
  <c r="BT40" i="3"/>
  <c r="AB40" i="2"/>
  <c r="AE218" i="4"/>
  <c r="AD220" i="4"/>
  <c r="AB254" i="4"/>
  <c r="AC254" i="4" s="1"/>
  <c r="AD254" i="4" s="1"/>
  <c r="AA217" i="3"/>
  <c r="AA217" i="2"/>
  <c r="AC301" i="3"/>
  <c r="AC243" i="3"/>
  <c r="AC471" i="3"/>
  <c r="Y79" i="9"/>
  <c r="AC196" i="5"/>
  <c r="AE214" i="2"/>
  <c r="AE264" i="2"/>
  <c r="AF7" i="2"/>
  <c r="E33" i="9"/>
  <c r="AD189" i="2"/>
  <c r="AB454" i="2"/>
  <c r="AB291" i="2"/>
  <c r="AS30" i="9"/>
  <c r="AB490" i="3"/>
  <c r="BU490" i="3" s="1"/>
  <c r="AB307" i="3"/>
  <c r="BU307" i="3" s="1"/>
  <c r="AB74" i="3"/>
  <c r="AA294" i="3"/>
  <c r="BT294" i="3" s="1"/>
  <c r="AA458" i="3"/>
  <c r="AX77" i="9"/>
  <c r="AX125" i="9" s="1"/>
  <c r="AB325" i="3"/>
  <c r="BU325" i="3" s="1"/>
  <c r="AB75" i="3"/>
  <c r="BU75" i="3" s="1"/>
  <c r="Y126" i="9"/>
  <c r="BU54" i="3"/>
  <c r="AB60" i="2"/>
  <c r="AC87" i="3"/>
  <c r="BV87" i="3" s="1"/>
  <c r="AC490" i="2"/>
  <c r="AC307" i="2"/>
  <c r="AC74" i="2"/>
  <c r="AD87" i="2"/>
  <c r="AC98" i="3"/>
  <c r="BV98" i="3" s="1"/>
  <c r="AC325" i="2"/>
  <c r="AD98" i="2"/>
  <c r="AC75" i="2"/>
  <c r="BU98" i="3"/>
  <c r="BU301" i="3"/>
  <c r="S29" i="9"/>
  <c r="S125" i="9" s="1"/>
  <c r="BT60" i="3"/>
  <c r="AA107" i="5"/>
  <c r="AA134" i="5" s="1"/>
  <c r="AB458" i="2"/>
  <c r="AB294" i="2"/>
  <c r="AX30" i="9"/>
  <c r="BU243" i="3"/>
  <c r="AB365" i="1"/>
  <c r="BV52" i="3"/>
  <c r="AC54" i="2"/>
  <c r="AA454" i="3"/>
  <c r="AA291" i="3"/>
  <c r="BT291" i="3" s="1"/>
  <c r="AS77" i="9"/>
  <c r="AS125" i="9" s="1"/>
  <c r="AA77" i="3"/>
  <c r="BT77" i="3" s="1"/>
  <c r="AB210" i="5"/>
  <c r="BU471" i="3"/>
  <c r="AD76" i="2"/>
  <c r="AD465" i="2" s="1"/>
  <c r="AD354" i="2"/>
  <c r="R124" i="3"/>
  <c r="R36" i="3" s="1"/>
  <c r="AC243" i="2" l="1"/>
  <c r="AD144" i="2"/>
  <c r="Y31" i="9"/>
  <c r="AC471" i="2"/>
  <c r="BV471" i="3" s="1"/>
  <c r="AE157" i="2"/>
  <c r="AE155" i="2"/>
  <c r="AD120" i="3"/>
  <c r="AD157" i="3"/>
  <c r="AD155" i="3"/>
  <c r="AB369" i="1"/>
  <c r="AC301" i="2"/>
  <c r="AC16" i="5"/>
  <c r="AC210" i="5" s="1"/>
  <c r="AE51" i="3"/>
  <c r="AE311" i="3"/>
  <c r="F158" i="3"/>
  <c r="F162" i="3" s="1"/>
  <c r="AC38" i="4"/>
  <c r="AC62" i="4"/>
  <c r="AC75" i="4"/>
  <c r="AD62" i="4"/>
  <c r="AD75" i="4"/>
  <c r="BJ79" i="9"/>
  <c r="BJ127" i="9" s="1"/>
  <c r="AC465" i="3"/>
  <c r="BW50" i="3"/>
  <c r="AE311" i="2"/>
  <c r="BX311" i="3" s="1"/>
  <c r="AE29" i="4"/>
  <c r="AE35" i="4" s="1"/>
  <c r="BV76" i="3"/>
  <c r="BV243" i="3"/>
  <c r="AE142" i="2"/>
  <c r="AE144" i="2" s="1"/>
  <c r="AE120" i="2"/>
  <c r="AE76" i="2" s="1"/>
  <c r="AE465" i="2" s="1"/>
  <c r="V81" i="9"/>
  <c r="BV217" i="3"/>
  <c r="AC208" i="5"/>
  <c r="AC77" i="2"/>
  <c r="AE236" i="3"/>
  <c r="AB81" i="9" s="1"/>
  <c r="Y127" i="9"/>
  <c r="AE51" i="2"/>
  <c r="BX51" i="3" s="1"/>
  <c r="AE50" i="3"/>
  <c r="AE52" i="3" s="1"/>
  <c r="AE54" i="3" s="1"/>
  <c r="AE60" i="3" s="1"/>
  <c r="S81" i="9" s="1"/>
  <c r="BV301" i="3"/>
  <c r="Y45" i="2"/>
  <c r="BQ45" i="3"/>
  <c r="AD217" i="3"/>
  <c r="AD217" i="2"/>
  <c r="BU40" i="3"/>
  <c r="AC40" i="2"/>
  <c r="AA61" i="3"/>
  <c r="R77" i="9"/>
  <c r="AA126" i="5"/>
  <c r="AE141" i="4"/>
  <c r="AF139" i="4"/>
  <c r="AE111" i="4"/>
  <c r="AF109" i="4"/>
  <c r="BP46" i="3"/>
  <c r="W48" i="2"/>
  <c r="BP48" i="3" s="1"/>
  <c r="AF46" i="4"/>
  <c r="AG45" i="4"/>
  <c r="BT41" i="3"/>
  <c r="AA43" i="2"/>
  <c r="BW105" i="3"/>
  <c r="AD107" i="2"/>
  <c r="AD354" i="3"/>
  <c r="BW354" i="3" s="1"/>
  <c r="AD76" i="3"/>
  <c r="AE50" i="2"/>
  <c r="AE52" i="2" s="1"/>
  <c r="AE56" i="2"/>
  <c r="BX56" i="3" s="1"/>
  <c r="AE245" i="4"/>
  <c r="AF243" i="4"/>
  <c r="F220" i="3"/>
  <c r="F222" i="3"/>
  <c r="F221" i="3"/>
  <c r="BV234" i="3"/>
  <c r="AA31" i="9"/>
  <c r="AA127" i="9" s="1"/>
  <c r="BV236" i="3"/>
  <c r="AB31" i="9"/>
  <c r="AB127" i="9" s="1"/>
  <c r="AG124" i="4"/>
  <c r="AF126" i="4"/>
  <c r="AF44" i="4"/>
  <c r="AG43" i="4"/>
  <c r="BU215" i="3"/>
  <c r="AH127" i="9"/>
  <c r="BQ31" i="9"/>
  <c r="BQ127" i="9" s="1"/>
  <c r="AF295" i="4"/>
  <c r="AG93" i="4"/>
  <c r="AF1" i="4"/>
  <c r="AE237" i="3"/>
  <c r="AC81" i="9" s="1"/>
  <c r="AF80" i="3"/>
  <c r="AF511" i="3"/>
  <c r="AF108" i="3"/>
  <c r="AF105" i="3"/>
  <c r="AF83" i="3"/>
  <c r="AF68" i="3"/>
  <c r="AF22" i="3"/>
  <c r="AG4" i="3"/>
  <c r="AF82" i="3"/>
  <c r="AF237" i="3" s="1"/>
  <c r="AC82" i="9" s="1"/>
  <c r="AF69" i="3"/>
  <c r="AF21" i="3"/>
  <c r="AF495" i="3"/>
  <c r="AF504" i="3"/>
  <c r="AF137" i="3"/>
  <c r="AF78" i="3"/>
  <c r="AF67" i="3"/>
  <c r="AF42" i="3"/>
  <c r="AF27" i="3"/>
  <c r="AF435" i="3" s="1"/>
  <c r="AF26" i="3"/>
  <c r="AF434" i="3" s="1"/>
  <c r="AF25" i="3"/>
  <c r="AF433" i="3" s="1"/>
  <c r="AF24" i="3"/>
  <c r="AF432" i="3" s="1"/>
  <c r="AF23" i="3"/>
  <c r="AF431" i="3" s="1"/>
  <c r="C82" i="9"/>
  <c r="AF479" i="3"/>
  <c r="AF81" i="3"/>
  <c r="AF66" i="3"/>
  <c r="AF209" i="3" s="1"/>
  <c r="AF1" i="5"/>
  <c r="AF62" i="3"/>
  <c r="C130" i="9"/>
  <c r="AF315" i="3"/>
  <c r="AE107" i="3"/>
  <c r="AA216" i="3"/>
  <c r="AA216" i="2"/>
  <c r="AG11" i="4"/>
  <c r="AF177" i="4"/>
  <c r="AF181" i="4" s="1"/>
  <c r="AF188" i="2" s="1"/>
  <c r="AC289" i="2"/>
  <c r="BV289" i="3" s="1"/>
  <c r="BV70" i="3"/>
  <c r="AC443" i="2"/>
  <c r="BV443" i="3" s="1"/>
  <c r="AC172" i="2"/>
  <c r="AC453" i="2"/>
  <c r="BV453" i="3" s="1"/>
  <c r="AD189" i="3"/>
  <c r="BW189" i="3" s="1"/>
  <c r="X133" i="5"/>
  <c r="X135" i="5" s="1"/>
  <c r="X108" i="5"/>
  <c r="X110" i="5" s="1"/>
  <c r="X137" i="5" s="1"/>
  <c r="X143" i="5" s="1"/>
  <c r="AG114" i="4"/>
  <c r="AF116" i="4"/>
  <c r="X59" i="2"/>
  <c r="BQ59" i="3" s="1"/>
  <c r="BQ57" i="3"/>
  <c r="B286" i="1"/>
  <c r="B333" i="1" s="1"/>
  <c r="Z287" i="1"/>
  <c r="AF175" i="4"/>
  <c r="AF176" i="4" s="1"/>
  <c r="AF187" i="2" s="1"/>
  <c r="AD70" i="2"/>
  <c r="AD12" i="5" s="1"/>
  <c r="AD208" i="5" s="1"/>
  <c r="BW66" i="3"/>
  <c r="U32" i="9"/>
  <c r="U128" i="9" s="1"/>
  <c r="AC376" i="1"/>
  <c r="BW25" i="3"/>
  <c r="AD433" i="2"/>
  <c r="BW433" i="3" s="1"/>
  <c r="BW78" i="3"/>
  <c r="AD234" i="2"/>
  <c r="AD14" i="5"/>
  <c r="AD211" i="5" s="1"/>
  <c r="BW23" i="3"/>
  <c r="AD431" i="2"/>
  <c r="BW431" i="3" s="1"/>
  <c r="BW137" i="3"/>
  <c r="AD239" i="2"/>
  <c r="BW239" i="3" s="1"/>
  <c r="AD179" i="2"/>
  <c r="BW179" i="3" s="1"/>
  <c r="AH32" i="9"/>
  <c r="AC358" i="1"/>
  <c r="BV173" i="3"/>
  <c r="AC279" i="2"/>
  <c r="BV279" i="3" s="1"/>
  <c r="T31" i="9"/>
  <c r="T127" i="9" s="1"/>
  <c r="BV65" i="3"/>
  <c r="AC442" i="2"/>
  <c r="BV442" i="3" s="1"/>
  <c r="AD442" i="3"/>
  <c r="T80" i="9"/>
  <c r="Z451" i="3"/>
  <c r="Z288" i="3"/>
  <c r="Z441" i="3"/>
  <c r="Z151" i="3"/>
  <c r="Z128" i="5"/>
  <c r="Z130" i="5" s="1"/>
  <c r="Z242" i="3"/>
  <c r="Z193" i="5"/>
  <c r="AF159" i="4"/>
  <c r="AE161" i="4"/>
  <c r="AE179" i="3"/>
  <c r="AE239" i="3"/>
  <c r="AH81" i="9"/>
  <c r="BQ81" i="9" s="1"/>
  <c r="AE452" i="3"/>
  <c r="AE65" i="3"/>
  <c r="AE174" i="3"/>
  <c r="AE280" i="3" s="1"/>
  <c r="AE173" i="3"/>
  <c r="AE279" i="3" s="1"/>
  <c r="AE131" i="4"/>
  <c r="AF129" i="4"/>
  <c r="BV237" i="3"/>
  <c r="AC31" i="9"/>
  <c r="AC127" i="9" s="1"/>
  <c r="BS216" i="3"/>
  <c r="Y383" i="1"/>
  <c r="AE235" i="4"/>
  <c r="AF233" i="4"/>
  <c r="X242" i="2"/>
  <c r="BQ242" i="3" s="1"/>
  <c r="X451" i="2"/>
  <c r="BQ451" i="3" s="1"/>
  <c r="W362" i="1"/>
  <c r="X288" i="2"/>
  <c r="BQ288" i="3" s="1"/>
  <c r="X13" i="5"/>
  <c r="X209" i="5" s="1"/>
  <c r="X151" i="2"/>
  <c r="BQ61" i="3"/>
  <c r="X441" i="2"/>
  <c r="BQ441" i="3" s="1"/>
  <c r="AG144" i="4"/>
  <c r="AF146" i="4"/>
  <c r="AG42" i="4"/>
  <c r="AH41" i="4"/>
  <c r="Y57" i="2"/>
  <c r="BR55" i="3"/>
  <c r="Z55" i="2"/>
  <c r="AF192" i="4"/>
  <c r="AE194" i="4"/>
  <c r="BW68" i="3"/>
  <c r="V32" i="9"/>
  <c r="V128" i="9" s="1"/>
  <c r="AD235" i="3"/>
  <c r="AF80" i="9"/>
  <c r="BW120" i="3"/>
  <c r="AE58" i="2"/>
  <c r="BX58" i="3" s="1"/>
  <c r="AE106" i="2"/>
  <c r="BX106" i="3" s="1"/>
  <c r="AE79" i="2"/>
  <c r="BX79" i="3" s="1"/>
  <c r="D33" i="9"/>
  <c r="AE53" i="2"/>
  <c r="BX53" i="3" s="1"/>
  <c r="AF5" i="2"/>
  <c r="AE109" i="2"/>
  <c r="BX109" i="3" s="1"/>
  <c r="Y164" i="3"/>
  <c r="Y152" i="3"/>
  <c r="F154" i="2"/>
  <c r="AY153" i="3"/>
  <c r="AE34" i="4"/>
  <c r="AE186" i="3"/>
  <c r="AE186" i="2"/>
  <c r="AF109" i="3"/>
  <c r="AF53" i="3"/>
  <c r="AG5" i="3"/>
  <c r="AF106" i="3"/>
  <c r="AF2" i="5"/>
  <c r="D130" i="9"/>
  <c r="D82" i="9"/>
  <c r="AF79" i="3"/>
  <c r="AB278" i="2"/>
  <c r="BU278" i="3" s="1"/>
  <c r="BU172" i="3"/>
  <c r="BF372" i="3"/>
  <c r="M374" i="2"/>
  <c r="BQ56" i="3"/>
  <c r="Y56" i="2"/>
  <c r="AD127" i="5"/>
  <c r="S80" i="9"/>
  <c r="AE305" i="4"/>
  <c r="AE309" i="4"/>
  <c r="AE310" i="4"/>
  <c r="AE302" i="4"/>
  <c r="AE311" i="4"/>
  <c r="AE298" i="4"/>
  <c r="AE307" i="4"/>
  <c r="AE299" i="4"/>
  <c r="AE301" i="4"/>
  <c r="AE308" i="4"/>
  <c r="AE306" i="4"/>
  <c r="AE300" i="4"/>
  <c r="AE297" i="4"/>
  <c r="AE90" i="4"/>
  <c r="AE172" i="4"/>
  <c r="AE252" i="4"/>
  <c r="AE261" i="4" s="1"/>
  <c r="AE251" i="4"/>
  <c r="AE70" i="3"/>
  <c r="AE192" i="5" s="1"/>
  <c r="U81" i="9"/>
  <c r="AE430" i="3"/>
  <c r="AE407" i="5"/>
  <c r="AE194" i="5"/>
  <c r="AE234" i="3"/>
  <c r="AA81" i="9" s="1"/>
  <c r="AG14" i="4"/>
  <c r="AC255" i="4"/>
  <c r="AB258" i="4"/>
  <c r="AG40" i="4"/>
  <c r="AH39" i="4"/>
  <c r="BS43" i="3"/>
  <c r="Z49" i="2"/>
  <c r="AF287" i="4"/>
  <c r="AE289" i="4"/>
  <c r="W164" i="2"/>
  <c r="BP164" i="3" s="1"/>
  <c r="W152" i="2"/>
  <c r="BP152" i="3" s="1"/>
  <c r="BP151" i="3"/>
  <c r="AF96" i="4"/>
  <c r="AF98" i="4" s="1"/>
  <c r="BW27" i="3"/>
  <c r="AD435" i="2"/>
  <c r="BW435" i="3" s="1"/>
  <c r="BW80" i="3"/>
  <c r="AD236" i="2"/>
  <c r="BW24" i="3"/>
  <c r="AD432" i="2"/>
  <c r="BW432" i="3" s="1"/>
  <c r="AE504" i="2"/>
  <c r="BX504" i="3" s="1"/>
  <c r="AE495" i="2"/>
  <c r="BX495" i="3" s="1"/>
  <c r="AE131" i="2"/>
  <c r="BX131" i="3" s="1"/>
  <c r="AE82" i="2"/>
  <c r="AE80" i="2"/>
  <c r="AE78" i="2"/>
  <c r="AE67" i="2"/>
  <c r="C33" i="9"/>
  <c r="AE105" i="2"/>
  <c r="AE81" i="2"/>
  <c r="BX81" i="3" s="1"/>
  <c r="AE22" i="2"/>
  <c r="AE511" i="2"/>
  <c r="BX511" i="3" s="1"/>
  <c r="AE137" i="2"/>
  <c r="AE130" i="2"/>
  <c r="BX130" i="3" s="1"/>
  <c r="AE83" i="2"/>
  <c r="BX83" i="3" s="1"/>
  <c r="AE68" i="2"/>
  <c r="AE47" i="2"/>
  <c r="BX47" i="3" s="1"/>
  <c r="AE27" i="2"/>
  <c r="AE26" i="2"/>
  <c r="AE25" i="2"/>
  <c r="AE24" i="2"/>
  <c r="AE23" i="2"/>
  <c r="AE479" i="2"/>
  <c r="BX479" i="3" s="1"/>
  <c r="AE42" i="2"/>
  <c r="BX42" i="3" s="1"/>
  <c r="AE21" i="2"/>
  <c r="AE389" i="2"/>
  <c r="AE69" i="2"/>
  <c r="BX69" i="3" s="1"/>
  <c r="AF4" i="2"/>
  <c r="AF311" i="2" s="1"/>
  <c r="AE315" i="2"/>
  <c r="BX315" i="3" s="1"/>
  <c r="AE108" i="2"/>
  <c r="BX108" i="3" s="1"/>
  <c r="AE62" i="2"/>
  <c r="AE66" i="2"/>
  <c r="AE209" i="2" s="1"/>
  <c r="AD443" i="3"/>
  <c r="AD289" i="3"/>
  <c r="AD172" i="3"/>
  <c r="AD278" i="3" s="1"/>
  <c r="AD453" i="3"/>
  <c r="AF282" i="4"/>
  <c r="AE284" i="4"/>
  <c r="AF187" i="4"/>
  <c r="AE189" i="4"/>
  <c r="AF207" i="4"/>
  <c r="AE209" i="4"/>
  <c r="AE166" i="4"/>
  <c r="AF164" i="4"/>
  <c r="AD262" i="4"/>
  <c r="AC265" i="4"/>
  <c r="AC215" i="3"/>
  <c r="AC215" i="2"/>
  <c r="BT217" i="3"/>
  <c r="AF218" i="4"/>
  <c r="AE220" i="4"/>
  <c r="AY207" i="3"/>
  <c r="F212" i="2"/>
  <c r="AF268" i="4"/>
  <c r="AE270" i="4"/>
  <c r="AB41" i="3"/>
  <c r="AB43" i="3" s="1"/>
  <c r="AB49" i="3" s="1"/>
  <c r="AC39" i="3"/>
  <c r="AF273" i="4"/>
  <c r="AE275" i="4"/>
  <c r="AB216" i="3"/>
  <c r="AB216" i="2"/>
  <c r="BY206" i="3"/>
  <c r="BZ4" i="3"/>
  <c r="BY21" i="3"/>
  <c r="BQ44" i="3"/>
  <c r="X46" i="2"/>
  <c r="Y44" i="2"/>
  <c r="AF197" i="4"/>
  <c r="AE199" i="4"/>
  <c r="AC39" i="2"/>
  <c r="BU39" i="3"/>
  <c r="AB41" i="2"/>
  <c r="Y106" i="5"/>
  <c r="Y61" i="2"/>
  <c r="BR49" i="3"/>
  <c r="R27" i="9"/>
  <c r="R123" i="9" s="1"/>
  <c r="AE240" i="4"/>
  <c r="AF238" i="4"/>
  <c r="BT215" i="3"/>
  <c r="AE98" i="4"/>
  <c r="AE103" i="4" s="1"/>
  <c r="AE230" i="4"/>
  <c r="AF228" i="4"/>
  <c r="AF223" i="4"/>
  <c r="AE225" i="4"/>
  <c r="AF7" i="3"/>
  <c r="AF206" i="3" s="1"/>
  <c r="AE264" i="3"/>
  <c r="AE214" i="3"/>
  <c r="BX214" i="3" s="1"/>
  <c r="AE187" i="3"/>
  <c r="E81" i="9"/>
  <c r="AE188" i="3"/>
  <c r="BX188" i="3" s="1"/>
  <c r="E129" i="9"/>
  <c r="AE3" i="5"/>
  <c r="AE411" i="5" s="1"/>
  <c r="AG92" i="4"/>
  <c r="AF100" i="4"/>
  <c r="AG149" i="4"/>
  <c r="AF151" i="4"/>
  <c r="AG264" i="4"/>
  <c r="AG257" i="4"/>
  <c r="AG178" i="4"/>
  <c r="AG102" i="4"/>
  <c r="AH91" i="4"/>
  <c r="AG175" i="4"/>
  <c r="AG180" i="4"/>
  <c r="AG96" i="4"/>
  <c r="AG99" i="4"/>
  <c r="AC379" i="1"/>
  <c r="BW209" i="3"/>
  <c r="AD452" i="2"/>
  <c r="BW452" i="3" s="1"/>
  <c r="AD173" i="2"/>
  <c r="AD174" i="2"/>
  <c r="AD65" i="2"/>
  <c r="BW62" i="3"/>
  <c r="AD430" i="2"/>
  <c r="BW430" i="3" s="1"/>
  <c r="BW22" i="3"/>
  <c r="BW82" i="3"/>
  <c r="AD237" i="2"/>
  <c r="BW26" i="3"/>
  <c r="AD434" i="2"/>
  <c r="BW434" i="3" s="1"/>
  <c r="AC280" i="2"/>
  <c r="BV280" i="3" s="1"/>
  <c r="BV174" i="3"/>
  <c r="AF202" i="4"/>
  <c r="AE204" i="4"/>
  <c r="AG154" i="4"/>
  <c r="AF156" i="4"/>
  <c r="AF31" i="9"/>
  <c r="AF127" i="9" s="1"/>
  <c r="BV107" i="3"/>
  <c r="AC235" i="2"/>
  <c r="BV235" i="3" s="1"/>
  <c r="AE121" i="4"/>
  <c r="AF119" i="4"/>
  <c r="BU51" i="3"/>
  <c r="AC51" i="2"/>
  <c r="BV51" i="3" s="1"/>
  <c r="AC325" i="3"/>
  <c r="BV325" i="3" s="1"/>
  <c r="AC75" i="3"/>
  <c r="BV75" i="3" s="1"/>
  <c r="AB458" i="3"/>
  <c r="AB294" i="3"/>
  <c r="BU294" i="3" s="1"/>
  <c r="AX78" i="9"/>
  <c r="AX126" i="9" s="1"/>
  <c r="AB454" i="3"/>
  <c r="AB291" i="3"/>
  <c r="BU291" i="3" s="1"/>
  <c r="AS78" i="9"/>
  <c r="AS126" i="9" s="1"/>
  <c r="AB77" i="3"/>
  <c r="BU77" i="3" s="1"/>
  <c r="AC458" i="2"/>
  <c r="AC294" i="2"/>
  <c r="AX31" i="9"/>
  <c r="BW52" i="3"/>
  <c r="AD54" i="2"/>
  <c r="AD471" i="3"/>
  <c r="AD301" i="3"/>
  <c r="AD243" i="3"/>
  <c r="Y80" i="9"/>
  <c r="AD196" i="5"/>
  <c r="AC60" i="2"/>
  <c r="BV54" i="3"/>
  <c r="AD98" i="3"/>
  <c r="AD325" i="2"/>
  <c r="AE98" i="2"/>
  <c r="AD75" i="2"/>
  <c r="AD87" i="3"/>
  <c r="BW87" i="3" s="1"/>
  <c r="AD490" i="2"/>
  <c r="AD307" i="2"/>
  <c r="AD74" i="2"/>
  <c r="AE87" i="2"/>
  <c r="AC307" i="3"/>
  <c r="BV307" i="3" s="1"/>
  <c r="AC490" i="3"/>
  <c r="BV490" i="3" s="1"/>
  <c r="AC74" i="3"/>
  <c r="BV74" i="3" s="1"/>
  <c r="BW142" i="3"/>
  <c r="BU74" i="3"/>
  <c r="AF264" i="2"/>
  <c r="AF214" i="2"/>
  <c r="AG7" i="2"/>
  <c r="E34" i="9"/>
  <c r="AE189" i="2"/>
  <c r="AC454" i="2"/>
  <c r="AC291" i="2"/>
  <c r="AS31" i="9"/>
  <c r="BU60" i="3"/>
  <c r="AB107" i="5"/>
  <c r="AB134" i="5" s="1"/>
  <c r="S30" i="9"/>
  <c r="S126" i="9" s="1"/>
  <c r="BW144" i="3"/>
  <c r="AD301" i="2"/>
  <c r="AD243" i="2"/>
  <c r="AD471" i="2"/>
  <c r="Y32" i="9"/>
  <c r="AD16" i="5"/>
  <c r="AC369" i="1"/>
  <c r="AC365" i="1"/>
  <c r="BJ32" i="9"/>
  <c r="R369" i="3"/>
  <c r="S16" i="3"/>
  <c r="R256" i="3"/>
  <c r="F161" i="3"/>
  <c r="R371" i="3"/>
  <c r="BM68" i="9"/>
  <c r="R125" i="3"/>
  <c r="AF120" i="2" l="1"/>
  <c r="AF157" i="2"/>
  <c r="AF155" i="2"/>
  <c r="AE120" i="3"/>
  <c r="AE76" i="3" s="1"/>
  <c r="AE465" i="3" s="1"/>
  <c r="AE157" i="3"/>
  <c r="AE155" i="3"/>
  <c r="AE354" i="2"/>
  <c r="AF206" i="2"/>
  <c r="AE353" i="1" s="1"/>
  <c r="AF56" i="2"/>
  <c r="BX50" i="3"/>
  <c r="AE38" i="4"/>
  <c r="AE62" i="4"/>
  <c r="AE75" i="4"/>
  <c r="AE142" i="3"/>
  <c r="AE144" i="3" s="1"/>
  <c r="AD77" i="2"/>
  <c r="AF142" i="2"/>
  <c r="AF142" i="3" s="1"/>
  <c r="AF144" i="3" s="1"/>
  <c r="Y128" i="9"/>
  <c r="BJ80" i="9"/>
  <c r="BJ128" i="9" s="1"/>
  <c r="AD465" i="3"/>
  <c r="BW76" i="3"/>
  <c r="BW471" i="3"/>
  <c r="AE189" i="3"/>
  <c r="BX189" i="3" s="1"/>
  <c r="BW243" i="3"/>
  <c r="BX186" i="3"/>
  <c r="AF50" i="2"/>
  <c r="AF50" i="3"/>
  <c r="AF52" i="3" s="1"/>
  <c r="AF54" i="3" s="1"/>
  <c r="AF60" i="3" s="1"/>
  <c r="AF127" i="5" s="1"/>
  <c r="AF51" i="2"/>
  <c r="Z45" i="2"/>
  <c r="BR45" i="3"/>
  <c r="AF51" i="3"/>
  <c r="AE127" i="5"/>
  <c r="AD210" i="5"/>
  <c r="AF103" i="4"/>
  <c r="AE217" i="3"/>
  <c r="AE217" i="2"/>
  <c r="BW174" i="3"/>
  <c r="AD280" i="2"/>
  <c r="BW280" i="3" s="1"/>
  <c r="BU216" i="3"/>
  <c r="AA383" i="1"/>
  <c r="AY212" i="3"/>
  <c r="F225" i="2"/>
  <c r="AY225" i="3" s="1"/>
  <c r="F218" i="2"/>
  <c r="AF189" i="4"/>
  <c r="AG187" i="4"/>
  <c r="BX27" i="3"/>
  <c r="AE435" i="2"/>
  <c r="BX435" i="3" s="1"/>
  <c r="BW236" i="3"/>
  <c r="AB32" i="9"/>
  <c r="AB128" i="9" s="1"/>
  <c r="AF121" i="4"/>
  <c r="AG119" i="4"/>
  <c r="Y133" i="5"/>
  <c r="Y135" i="5" s="1"/>
  <c r="Y108" i="5"/>
  <c r="Y110" i="5" s="1"/>
  <c r="Y137" i="5" s="1"/>
  <c r="Y143" i="5" s="1"/>
  <c r="AF452" i="3"/>
  <c r="AF65" i="3"/>
  <c r="AF174" i="3"/>
  <c r="AF280" i="3" s="1"/>
  <c r="AF173" i="3"/>
  <c r="AF279" i="3" s="1"/>
  <c r="BW237" i="3"/>
  <c r="AC32" i="9"/>
  <c r="AC128" i="9" s="1"/>
  <c r="BW173" i="3"/>
  <c r="AD279" i="2"/>
  <c r="BW279" i="3" s="1"/>
  <c r="AG151" i="4"/>
  <c r="AH149" i="4"/>
  <c r="AF225" i="4"/>
  <c r="AG223" i="4"/>
  <c r="BU41" i="3"/>
  <c r="AB43" i="2"/>
  <c r="AF199" i="4"/>
  <c r="AG197" i="4"/>
  <c r="AB61" i="3"/>
  <c r="AB126" i="5"/>
  <c r="R78" i="9"/>
  <c r="AC216" i="3"/>
  <c r="AC216" i="2"/>
  <c r="BX24" i="3"/>
  <c r="AE432" i="2"/>
  <c r="BX432" i="3" s="1"/>
  <c r="BX137" i="3"/>
  <c r="AD358" i="1"/>
  <c r="AH33" i="9"/>
  <c r="AE239" i="2"/>
  <c r="BX239" i="3" s="1"/>
  <c r="AE179" i="2"/>
  <c r="BX179" i="3" s="1"/>
  <c r="AE107" i="2"/>
  <c r="BX105" i="3"/>
  <c r="BX80" i="3"/>
  <c r="AE236" i="2"/>
  <c r="AH40" i="4"/>
  <c r="AI39" i="4"/>
  <c r="AG97" i="4"/>
  <c r="AH14" i="4"/>
  <c r="AG176" i="4"/>
  <c r="AE443" i="3"/>
  <c r="AE289" i="3"/>
  <c r="AE453" i="3"/>
  <c r="AE172" i="3"/>
  <c r="AE278" i="3" s="1"/>
  <c r="BR56" i="3"/>
  <c r="Z56" i="2"/>
  <c r="AF53" i="2"/>
  <c r="BY53" i="3" s="1"/>
  <c r="AF106" i="2"/>
  <c r="BY106" i="3" s="1"/>
  <c r="AF79" i="2"/>
  <c r="BY79" i="3" s="1"/>
  <c r="AG5" i="2"/>
  <c r="AG30" i="4" s="1"/>
  <c r="AG89" i="4" s="1"/>
  <c r="AG274" i="2" s="1"/>
  <c r="D34" i="9"/>
  <c r="AF58" i="2"/>
  <c r="BY58" i="3" s="1"/>
  <c r="AF109" i="2"/>
  <c r="BY109" i="3" s="1"/>
  <c r="BR57" i="3"/>
  <c r="Y59" i="2"/>
  <c r="BR59" i="3" s="1"/>
  <c r="AG146" i="4"/>
  <c r="AH144" i="4"/>
  <c r="AE442" i="3"/>
  <c r="T81" i="9"/>
  <c r="BW70" i="3"/>
  <c r="AD289" i="2"/>
  <c r="BW289" i="3" s="1"/>
  <c r="AD443" i="2"/>
  <c r="BW443" i="3" s="1"/>
  <c r="AD453" i="2"/>
  <c r="BW453" i="3" s="1"/>
  <c r="AD172" i="2"/>
  <c r="AH114" i="4"/>
  <c r="AG116" i="4"/>
  <c r="BT216" i="3"/>
  <c r="Z383" i="1"/>
  <c r="AG504" i="3"/>
  <c r="AG105" i="3"/>
  <c r="AG83" i="3"/>
  <c r="AG511" i="3"/>
  <c r="AG495" i="3"/>
  <c r="AG82" i="3"/>
  <c r="AG69" i="3"/>
  <c r="AG21" i="3"/>
  <c r="AG479" i="3"/>
  <c r="AG137" i="3"/>
  <c r="AG81" i="3"/>
  <c r="AG66" i="3"/>
  <c r="AG209" i="3" s="1"/>
  <c r="AG22" i="3"/>
  <c r="C83" i="9"/>
  <c r="AG315" i="3"/>
  <c r="AG108" i="3"/>
  <c r="AG68" i="3"/>
  <c r="AG1" i="5"/>
  <c r="AG62" i="3"/>
  <c r="AH4" i="3"/>
  <c r="AG80" i="3"/>
  <c r="AG78" i="3"/>
  <c r="AG42" i="3"/>
  <c r="AG26" i="3"/>
  <c r="AG434" i="3" s="1"/>
  <c r="AG67" i="3"/>
  <c r="AG27" i="3"/>
  <c r="AG435" i="3" s="1"/>
  <c r="AG25" i="3"/>
  <c r="AG433" i="3" s="1"/>
  <c r="AG23" i="3"/>
  <c r="AG431" i="3" s="1"/>
  <c r="AG24" i="3"/>
  <c r="AG432" i="3" s="1"/>
  <c r="C131" i="9"/>
  <c r="AF107" i="3"/>
  <c r="AF236" i="3"/>
  <c r="AB82" i="9" s="1"/>
  <c r="AF30" i="4"/>
  <c r="AF89" i="4" s="1"/>
  <c r="AF274" i="2" s="1"/>
  <c r="AE254" i="4"/>
  <c r="AG46" i="4"/>
  <c r="AH45" i="4"/>
  <c r="AF111" i="4"/>
  <c r="AG109" i="4"/>
  <c r="AE452" i="2"/>
  <c r="BX452" i="3" s="1"/>
  <c r="BX62" i="3"/>
  <c r="AE65" i="2"/>
  <c r="AE173" i="2"/>
  <c r="AE174" i="2"/>
  <c r="BX78" i="3"/>
  <c r="AE234" i="2"/>
  <c r="AE14" i="5"/>
  <c r="AE211" i="5" s="1"/>
  <c r="F156" i="2"/>
  <c r="AY154" i="3"/>
  <c r="X164" i="2"/>
  <c r="BQ164" i="3" s="1"/>
  <c r="X152" i="2"/>
  <c r="BQ152" i="3" s="1"/>
  <c r="BQ151" i="3"/>
  <c r="AF131" i="4"/>
  <c r="AG129" i="4"/>
  <c r="AF179" i="3"/>
  <c r="AF239" i="3"/>
  <c r="AH82" i="9"/>
  <c r="BQ82" i="9" s="1"/>
  <c r="AG44" i="4"/>
  <c r="AH43" i="4"/>
  <c r="BV40" i="3"/>
  <c r="AD40" i="2"/>
  <c r="BR44" i="3"/>
  <c r="Y46" i="2"/>
  <c r="Z44" i="2"/>
  <c r="BZ21" i="3"/>
  <c r="CA4" i="3"/>
  <c r="BZ206" i="3"/>
  <c r="AE262" i="4"/>
  <c r="AD215" i="3"/>
  <c r="AD265" i="4"/>
  <c r="AD215" i="2"/>
  <c r="AF209" i="4"/>
  <c r="AG207" i="4"/>
  <c r="AD379" i="1"/>
  <c r="BX209" i="3"/>
  <c r="BX68" i="3"/>
  <c r="V33" i="9"/>
  <c r="V129" i="9" s="1"/>
  <c r="AF194" i="4"/>
  <c r="AG192" i="4"/>
  <c r="AI41" i="4"/>
  <c r="AH42" i="4"/>
  <c r="AF235" i="4"/>
  <c r="AG233" i="4"/>
  <c r="BW234" i="3"/>
  <c r="AA32" i="9"/>
  <c r="AA128" i="9" s="1"/>
  <c r="BV172" i="3"/>
  <c r="AC278" i="2"/>
  <c r="BV278" i="3" s="1"/>
  <c r="AF311" i="3"/>
  <c r="BY311" i="3" s="1"/>
  <c r="AF40" i="3"/>
  <c r="AF430" i="3"/>
  <c r="AF407" i="5"/>
  <c r="AG295" i="4"/>
  <c r="AH93" i="4"/>
  <c r="AH175" i="4" s="1"/>
  <c r="AG1" i="4"/>
  <c r="F223" i="3"/>
  <c r="F227" i="3" s="1"/>
  <c r="AF204" i="4"/>
  <c r="AG202" i="4"/>
  <c r="AC41" i="3"/>
  <c r="AC43" i="3" s="1"/>
  <c r="AC49" i="3" s="1"/>
  <c r="AD39" i="3"/>
  <c r="BX23" i="3"/>
  <c r="AE431" i="2"/>
  <c r="BX431" i="3" s="1"/>
  <c r="AF34" i="4"/>
  <c r="AF186" i="3"/>
  <c r="AF186" i="2"/>
  <c r="AD255" i="4"/>
  <c r="AC258" i="4"/>
  <c r="B287" i="1"/>
  <c r="B334" i="1" s="1"/>
  <c r="Z288" i="1"/>
  <c r="AG177" i="4"/>
  <c r="AG181" i="4" s="1"/>
  <c r="AG188" i="2" s="1"/>
  <c r="AG98" i="4"/>
  <c r="AH11" i="4"/>
  <c r="AF311" i="4"/>
  <c r="AF309" i="4"/>
  <c r="AF307" i="4"/>
  <c r="AF306" i="4"/>
  <c r="AF301" i="4"/>
  <c r="AF299" i="4"/>
  <c r="AF300" i="4"/>
  <c r="AF297" i="4"/>
  <c r="AF310" i="4"/>
  <c r="AF302" i="4"/>
  <c r="AF308" i="4"/>
  <c r="AF305" i="4"/>
  <c r="AF298" i="4"/>
  <c r="AF252" i="4"/>
  <c r="AF261" i="4" s="1"/>
  <c r="AF172" i="4"/>
  <c r="AF90" i="4"/>
  <c r="AF251" i="4"/>
  <c r="AF32" i="9"/>
  <c r="AF128" i="9" s="1"/>
  <c r="BW107" i="3"/>
  <c r="AD235" i="2"/>
  <c r="BW235" i="3" s="1"/>
  <c r="BX187" i="3"/>
  <c r="AG156" i="4"/>
  <c r="AH154" i="4"/>
  <c r="AG34" i="4"/>
  <c r="AG186" i="3"/>
  <c r="AG186" i="2"/>
  <c r="AH257" i="4"/>
  <c r="AH178" i="4"/>
  <c r="AH102" i="4"/>
  <c r="AH264" i="4"/>
  <c r="AH180" i="4"/>
  <c r="AH99" i="4"/>
  <c r="AI91" i="4"/>
  <c r="AF230" i="4"/>
  <c r="AG228" i="4"/>
  <c r="AG238" i="4"/>
  <c r="AF240" i="4"/>
  <c r="BX25" i="3"/>
  <c r="AE433" i="2"/>
  <c r="BX433" i="3" s="1"/>
  <c r="BX82" i="3"/>
  <c r="AE237" i="2"/>
  <c r="AG287" i="4"/>
  <c r="AF289" i="4"/>
  <c r="BW301" i="3"/>
  <c r="BW65" i="3"/>
  <c r="AD442" i="2"/>
  <c r="BW442" i="3" s="1"/>
  <c r="T32" i="9"/>
  <c r="T128" i="9" s="1"/>
  <c r="AG100" i="4"/>
  <c r="AH92" i="4"/>
  <c r="AF214" i="3"/>
  <c r="BY214" i="3" s="1"/>
  <c r="AF187" i="3"/>
  <c r="BY187" i="3" s="1"/>
  <c r="AF264" i="3"/>
  <c r="AF188" i="3"/>
  <c r="BY188" i="3" s="1"/>
  <c r="AG7" i="3"/>
  <c r="E82" i="9"/>
  <c r="AF3" i="5"/>
  <c r="AF411" i="5" s="1"/>
  <c r="E130" i="9"/>
  <c r="BR61" i="3"/>
  <c r="Y242" i="2"/>
  <c r="BR242" i="3" s="1"/>
  <c r="Y451" i="2"/>
  <c r="BR451" i="3" s="1"/>
  <c r="Y151" i="2"/>
  <c r="Y288" i="2"/>
  <c r="BR288" i="3" s="1"/>
  <c r="Y441" i="2"/>
  <c r="BR441" i="3" s="1"/>
  <c r="X362" i="1"/>
  <c r="Y13" i="5"/>
  <c r="Y209" i="5" s="1"/>
  <c r="AC41" i="2"/>
  <c r="AD39" i="2"/>
  <c r="BV39" i="3"/>
  <c r="X48" i="2"/>
  <c r="BQ48" i="3" s="1"/>
  <c r="BQ46" i="3"/>
  <c r="AF275" i="4"/>
  <c r="AG273" i="4"/>
  <c r="AF270" i="4"/>
  <c r="AG268" i="4"/>
  <c r="AG218" i="4"/>
  <c r="AF220" i="4"/>
  <c r="BV215" i="3"/>
  <c r="AG164" i="4"/>
  <c r="AF166" i="4"/>
  <c r="AF284" i="4"/>
  <c r="AG282" i="4"/>
  <c r="U33" i="9"/>
  <c r="U129" i="9" s="1"/>
  <c r="AE70" i="2"/>
  <c r="AE12" i="5" s="1"/>
  <c r="AE208" i="5" s="1"/>
  <c r="AD376" i="1"/>
  <c r="BX66" i="3"/>
  <c r="AF504" i="2"/>
  <c r="BY504" i="3" s="1"/>
  <c r="AF511" i="2"/>
  <c r="BY511" i="3" s="1"/>
  <c r="AF137" i="2"/>
  <c r="AF130" i="2"/>
  <c r="BY130" i="3" s="1"/>
  <c r="AF83" i="2"/>
  <c r="BY83" i="3" s="1"/>
  <c r="AF68" i="2"/>
  <c r="AF47" i="2"/>
  <c r="BY47" i="3" s="1"/>
  <c r="AF27" i="2"/>
  <c r="AF26" i="2"/>
  <c r="AF25" i="2"/>
  <c r="AF24" i="2"/>
  <c r="AF23" i="2"/>
  <c r="AF21" i="2"/>
  <c r="AG4" i="2"/>
  <c r="AG29" i="4" s="1"/>
  <c r="AF479" i="2"/>
  <c r="BY479" i="3" s="1"/>
  <c r="AF105" i="2"/>
  <c r="AF81" i="2"/>
  <c r="BY81" i="3" s="1"/>
  <c r="AF42" i="2"/>
  <c r="BY42" i="3" s="1"/>
  <c r="AF22" i="2"/>
  <c r="AF389" i="2"/>
  <c r="AF315" i="2"/>
  <c r="BY315" i="3" s="1"/>
  <c r="AF69" i="2"/>
  <c r="BY69" i="3" s="1"/>
  <c r="AF82" i="2"/>
  <c r="AF131" i="2"/>
  <c r="BY131" i="3" s="1"/>
  <c r="AF78" i="2"/>
  <c r="AF495" i="2"/>
  <c r="BY495" i="3" s="1"/>
  <c r="AF80" i="2"/>
  <c r="C34" i="9"/>
  <c r="AF67" i="2"/>
  <c r="BY67" i="3" s="1"/>
  <c r="AF62" i="2"/>
  <c r="AF108" i="2"/>
  <c r="BY108" i="3" s="1"/>
  <c r="AF66" i="2"/>
  <c r="AF209" i="2" s="1"/>
  <c r="BX26" i="3"/>
  <c r="AE434" i="2"/>
  <c r="BX434" i="3" s="1"/>
  <c r="BX22" i="3"/>
  <c r="AE430" i="2"/>
  <c r="BX430" i="3" s="1"/>
  <c r="BX67" i="3"/>
  <c r="Z61" i="2"/>
  <c r="R28" i="9"/>
  <c r="R124" i="9" s="1"/>
  <c r="BS49" i="3"/>
  <c r="Z106" i="5"/>
  <c r="AF97" i="4"/>
  <c r="BF374" i="3"/>
  <c r="N367" i="2"/>
  <c r="AG79" i="3"/>
  <c r="AG109" i="3"/>
  <c r="AG111" i="3" s="1"/>
  <c r="AG53" i="3"/>
  <c r="AG2" i="5"/>
  <c r="D131" i="9"/>
  <c r="AG106" i="3"/>
  <c r="AG51" i="3"/>
  <c r="AH5" i="3"/>
  <c r="D83" i="9"/>
  <c r="Z57" i="2"/>
  <c r="BS55" i="3"/>
  <c r="AA55" i="2"/>
  <c r="AG159" i="4"/>
  <c r="AF161" i="4"/>
  <c r="Z152" i="3"/>
  <c r="Z164" i="3"/>
  <c r="AH128" i="9"/>
  <c r="BQ32" i="9"/>
  <c r="BQ128" i="9" s="1"/>
  <c r="AE235" i="3"/>
  <c r="AF81" i="9"/>
  <c r="U82" i="9"/>
  <c r="AF70" i="3"/>
  <c r="AF192" i="5" s="1"/>
  <c r="AF234" i="3"/>
  <c r="AA82" i="9" s="1"/>
  <c r="AF194" i="5"/>
  <c r="V82" i="9"/>
  <c r="AF29" i="4"/>
  <c r="AF35" i="4" s="1"/>
  <c r="AH124" i="4"/>
  <c r="AG126" i="4"/>
  <c r="AF245" i="4"/>
  <c r="AG243" i="4"/>
  <c r="BT43" i="3"/>
  <c r="AA49" i="2"/>
  <c r="AG139" i="4"/>
  <c r="AF141" i="4"/>
  <c r="AA441" i="3"/>
  <c r="AA242" i="3"/>
  <c r="AA151" i="3"/>
  <c r="AA451" i="3"/>
  <c r="AA288" i="3"/>
  <c r="AA128" i="5"/>
  <c r="AA130" i="5" s="1"/>
  <c r="AA193" i="5"/>
  <c r="BW217" i="3"/>
  <c r="AD365" i="1"/>
  <c r="AG187" i="2"/>
  <c r="AG264" i="2"/>
  <c r="AG206" i="2"/>
  <c r="AF353" i="1" s="1"/>
  <c r="AG214" i="2"/>
  <c r="E35" i="9"/>
  <c r="AH7" i="2"/>
  <c r="AD458" i="2"/>
  <c r="AD294" i="2"/>
  <c r="AX32" i="9"/>
  <c r="AD325" i="3"/>
  <c r="BW325" i="3" s="1"/>
  <c r="AD75" i="3"/>
  <c r="BV60" i="3"/>
  <c r="AC107" i="5"/>
  <c r="AC134" i="5" s="1"/>
  <c r="S31" i="9"/>
  <c r="S127" i="9" s="1"/>
  <c r="AE471" i="3"/>
  <c r="AE243" i="3"/>
  <c r="AE301" i="3"/>
  <c r="AE196" i="5"/>
  <c r="Y81" i="9"/>
  <c r="AF189" i="2"/>
  <c r="AE98" i="3"/>
  <c r="BX98" i="3" s="1"/>
  <c r="AE325" i="2"/>
  <c r="AE75" i="2"/>
  <c r="AF98" i="2"/>
  <c r="BX52" i="3"/>
  <c r="AE54" i="2"/>
  <c r="BX142" i="3"/>
  <c r="AF52" i="2"/>
  <c r="AE87" i="3"/>
  <c r="AE490" i="2"/>
  <c r="AE307" i="2"/>
  <c r="AE74" i="2"/>
  <c r="AF87" i="2"/>
  <c r="BW54" i="3"/>
  <c r="AD60" i="2"/>
  <c r="AF144" i="2"/>
  <c r="BY56" i="3"/>
  <c r="AC454" i="3"/>
  <c r="AC291" i="3"/>
  <c r="BV291" i="3" s="1"/>
  <c r="AS79" i="9"/>
  <c r="AS127" i="9" s="1"/>
  <c r="AC77" i="3"/>
  <c r="BV77" i="3" s="1"/>
  <c r="AD454" i="2"/>
  <c r="AD291" i="2"/>
  <c r="AS32" i="9"/>
  <c r="AD490" i="3"/>
  <c r="BW490" i="3" s="1"/>
  <c r="AD307" i="3"/>
  <c r="BW307" i="3" s="1"/>
  <c r="AD74" i="3"/>
  <c r="BW74" i="3" s="1"/>
  <c r="BW98" i="3"/>
  <c r="BX144" i="3"/>
  <c r="AE471" i="2"/>
  <c r="AE243" i="2"/>
  <c r="AE301" i="2"/>
  <c r="Y33" i="9"/>
  <c r="AE16" i="5"/>
  <c r="AD369" i="1"/>
  <c r="AC458" i="3"/>
  <c r="AC294" i="3"/>
  <c r="BV294" i="3" s="1"/>
  <c r="AX79" i="9"/>
  <c r="AX127" i="9" s="1"/>
  <c r="BJ33" i="9"/>
  <c r="AF76" i="2"/>
  <c r="AF465" i="2" s="1"/>
  <c r="AF354" i="2"/>
  <c r="F163" i="3"/>
  <c r="R466" i="3"/>
  <c r="R299" i="3"/>
  <c r="R372" i="3"/>
  <c r="R374" i="3" s="1"/>
  <c r="S367" i="3" s="1"/>
  <c r="AG35" i="4" l="1"/>
  <c r="BX120" i="3"/>
  <c r="AF120" i="3"/>
  <c r="AF354" i="3" s="1"/>
  <c r="BY354" i="3" s="1"/>
  <c r="AF157" i="3"/>
  <c r="AF155" i="3"/>
  <c r="AE354" i="3"/>
  <c r="BX354" i="3" s="1"/>
  <c r="AG120" i="2"/>
  <c r="AG354" i="2" s="1"/>
  <c r="AG157" i="2"/>
  <c r="AG155" i="2"/>
  <c r="AG103" i="4"/>
  <c r="BY51" i="3"/>
  <c r="BY142" i="3"/>
  <c r="AG56" i="2"/>
  <c r="BZ56" i="3" s="1"/>
  <c r="BY50" i="3"/>
  <c r="AG142" i="2"/>
  <c r="AG142" i="3" s="1"/>
  <c r="AG144" i="3" s="1"/>
  <c r="AG50" i="2"/>
  <c r="AG52" i="2" s="1"/>
  <c r="AG50" i="3"/>
  <c r="AG52" i="3" s="1"/>
  <c r="AG54" i="3" s="1"/>
  <c r="AG60" i="3" s="1"/>
  <c r="AG127" i="5" s="1"/>
  <c r="BX243" i="3"/>
  <c r="AG311" i="2"/>
  <c r="AH96" i="4"/>
  <c r="AH98" i="4" s="1"/>
  <c r="BW215" i="3"/>
  <c r="S82" i="9"/>
  <c r="BX471" i="3"/>
  <c r="Y129" i="9"/>
  <c r="AE77" i="2"/>
  <c r="AG237" i="3"/>
  <c r="AC83" i="9" s="1"/>
  <c r="BS45" i="3"/>
  <c r="AA45" i="2"/>
  <c r="AG51" i="2"/>
  <c r="BZ51" i="3" s="1"/>
  <c r="BZ186" i="3"/>
  <c r="AG236" i="3"/>
  <c r="AB83" i="9" s="1"/>
  <c r="V83" i="9"/>
  <c r="AE210" i="5"/>
  <c r="BX217" i="3"/>
  <c r="BY209" i="3"/>
  <c r="AE379" i="1"/>
  <c r="BY120" i="3"/>
  <c r="AF217" i="3"/>
  <c r="AF217" i="2"/>
  <c r="AA106" i="5"/>
  <c r="R29" i="9"/>
  <c r="R125" i="9" s="1"/>
  <c r="BT49" i="3"/>
  <c r="AA61" i="2"/>
  <c r="AA57" i="2"/>
  <c r="BT55" i="3"/>
  <c r="AB55" i="2"/>
  <c r="Z13" i="5"/>
  <c r="Z209" i="5" s="1"/>
  <c r="Z242" i="2"/>
  <c r="BS242" i="3" s="1"/>
  <c r="Z451" i="2"/>
  <c r="BS451" i="3" s="1"/>
  <c r="Z441" i="2"/>
  <c r="BS441" i="3" s="1"/>
  <c r="Z288" i="2"/>
  <c r="BS288" i="3" s="1"/>
  <c r="Y362" i="1"/>
  <c r="Z151" i="2"/>
  <c r="BS61" i="3"/>
  <c r="AF452" i="2"/>
  <c r="BY452" i="3" s="1"/>
  <c r="AF173" i="2"/>
  <c r="AF65" i="2"/>
  <c r="BY62" i="3"/>
  <c r="AF174" i="2"/>
  <c r="BY105" i="3"/>
  <c r="AF107" i="2"/>
  <c r="BY26" i="3"/>
  <c r="AF434" i="2"/>
  <c r="BY434" i="3" s="1"/>
  <c r="AG166" i="4"/>
  <c r="AH164" i="4"/>
  <c r="AH268" i="4"/>
  <c r="AG270" i="4"/>
  <c r="BV41" i="3"/>
  <c r="AC43" i="2"/>
  <c r="AG214" i="3"/>
  <c r="BZ214" i="3" s="1"/>
  <c r="AG188" i="3"/>
  <c r="BZ188" i="3" s="1"/>
  <c r="AG187" i="3"/>
  <c r="BZ187" i="3" s="1"/>
  <c r="AG264" i="3"/>
  <c r="AG3" i="5"/>
  <c r="AG411" i="5" s="1"/>
  <c r="AH7" i="3"/>
  <c r="AH51" i="3" s="1"/>
  <c r="E131" i="9"/>
  <c r="E83" i="9"/>
  <c r="AG240" i="4"/>
  <c r="AH238" i="4"/>
  <c r="AH156" i="4"/>
  <c r="AI154" i="4"/>
  <c r="B288" i="1"/>
  <c r="B335" i="1" s="1"/>
  <c r="Z289" i="1"/>
  <c r="AE255" i="4"/>
  <c r="AD258" i="4"/>
  <c r="Y48" i="2"/>
  <c r="BR48" i="3" s="1"/>
  <c r="BR46" i="3"/>
  <c r="F158" i="2"/>
  <c r="F159" i="2"/>
  <c r="AY156" i="3"/>
  <c r="AI45" i="4"/>
  <c r="AH46" i="4"/>
  <c r="AG234" i="3"/>
  <c r="AA83" i="9" s="1"/>
  <c r="AG194" i="5"/>
  <c r="U83" i="9"/>
  <c r="AG70" i="3"/>
  <c r="AG192" i="5" s="1"/>
  <c r="AH116" i="4"/>
  <c r="AI114" i="4"/>
  <c r="AH146" i="4"/>
  <c r="AI144" i="4"/>
  <c r="AG106" i="2"/>
  <c r="BZ106" i="3" s="1"/>
  <c r="AG79" i="2"/>
  <c r="BZ79" i="3" s="1"/>
  <c r="AG53" i="2"/>
  <c r="BZ53" i="3" s="1"/>
  <c r="AH5" i="2"/>
  <c r="AH30" i="4" s="1"/>
  <c r="AH89" i="4" s="1"/>
  <c r="AH274" i="2" s="1"/>
  <c r="D35" i="9"/>
  <c r="AG58" i="2"/>
  <c r="BZ58" i="3" s="1"/>
  <c r="AG109" i="2"/>
  <c r="BS56" i="3"/>
  <c r="AA56" i="2"/>
  <c r="BX301" i="3"/>
  <c r="AH126" i="4"/>
  <c r="AI124" i="4"/>
  <c r="AH79" i="3"/>
  <c r="AH106" i="3"/>
  <c r="AI5" i="3"/>
  <c r="D132" i="9"/>
  <c r="AH109" i="3"/>
  <c r="AH111" i="3" s="1"/>
  <c r="AH53" i="3"/>
  <c r="D84" i="9"/>
  <c r="AH2" i="5"/>
  <c r="Z133" i="5"/>
  <c r="Z135" i="5" s="1"/>
  <c r="Z108" i="5"/>
  <c r="Z110" i="5" s="1"/>
  <c r="Z137" i="5" s="1"/>
  <c r="Z143" i="5" s="1"/>
  <c r="BY78" i="3"/>
  <c r="AF234" i="2"/>
  <c r="AF14" i="5"/>
  <c r="AF211" i="5" s="1"/>
  <c r="BY22" i="3"/>
  <c r="AF430" i="2"/>
  <c r="BY430" i="3" s="1"/>
  <c r="BY23" i="3"/>
  <c r="AF431" i="2"/>
  <c r="BY431" i="3" s="1"/>
  <c r="AF435" i="2"/>
  <c r="BY435" i="3" s="1"/>
  <c r="BY27" i="3"/>
  <c r="AG284" i="4"/>
  <c r="AH282" i="4"/>
  <c r="Y152" i="2"/>
  <c r="BR152" i="3" s="1"/>
  <c r="BR151" i="3"/>
  <c r="Y164" i="2"/>
  <c r="BR164" i="3" s="1"/>
  <c r="AI92" i="4"/>
  <c r="AH100" i="4"/>
  <c r="AH228" i="4"/>
  <c r="AG230" i="4"/>
  <c r="AI11" i="4"/>
  <c r="AH177" i="4"/>
  <c r="AH181" i="4" s="1"/>
  <c r="AH188" i="2" s="1"/>
  <c r="BY186" i="3"/>
  <c r="AH202" i="4"/>
  <c r="AG204" i="4"/>
  <c r="AI42" i="4"/>
  <c r="AJ41" i="4"/>
  <c r="AD216" i="3"/>
  <c r="AD216" i="2"/>
  <c r="CA206" i="3"/>
  <c r="CA21" i="3"/>
  <c r="CB4" i="3"/>
  <c r="AH44" i="4"/>
  <c r="AI43" i="4"/>
  <c r="BX174" i="3"/>
  <c r="AE280" i="2"/>
  <c r="BX280" i="3" s="1"/>
  <c r="AF235" i="3"/>
  <c r="AF82" i="9"/>
  <c r="AG430" i="3"/>
  <c r="AG407" i="5"/>
  <c r="BW172" i="3"/>
  <c r="AD278" i="2"/>
  <c r="BW278" i="3" s="1"/>
  <c r="AJ39" i="4"/>
  <c r="AI40" i="4"/>
  <c r="AH129" i="9"/>
  <c r="BQ33" i="9"/>
  <c r="BQ129" i="9" s="1"/>
  <c r="AB49" i="2"/>
  <c r="BU43" i="3"/>
  <c r="AI149" i="4"/>
  <c r="AH151" i="4"/>
  <c r="AH187" i="4"/>
  <c r="AG189" i="4"/>
  <c r="AG245" i="4"/>
  <c r="AH243" i="4"/>
  <c r="AF453" i="3"/>
  <c r="AF172" i="3"/>
  <c r="AF278" i="3" s="1"/>
  <c r="AF443" i="3"/>
  <c r="AF289" i="3"/>
  <c r="Z59" i="2"/>
  <c r="BS59" i="3" s="1"/>
  <c r="BS57" i="3"/>
  <c r="BG367" i="3"/>
  <c r="N124" i="2"/>
  <c r="U34" i="9"/>
  <c r="U130" i="9" s="1"/>
  <c r="BY66" i="3"/>
  <c r="AF70" i="2"/>
  <c r="AE376" i="1"/>
  <c r="BY24" i="3"/>
  <c r="AF432" i="2"/>
  <c r="BY432" i="3" s="1"/>
  <c r="BY137" i="3"/>
  <c r="AH34" i="9"/>
  <c r="AF239" i="2"/>
  <c r="BY239" i="3" s="1"/>
  <c r="AF179" i="2"/>
  <c r="BY179" i="3" s="1"/>
  <c r="AE358" i="1"/>
  <c r="AG275" i="4"/>
  <c r="AH273" i="4"/>
  <c r="AG289" i="4"/>
  <c r="AH287" i="4"/>
  <c r="AD41" i="3"/>
  <c r="AD43" i="3" s="1"/>
  <c r="AD49" i="3" s="1"/>
  <c r="AE39" i="3"/>
  <c r="AG311" i="4"/>
  <c r="AG310" i="4"/>
  <c r="AG309" i="4"/>
  <c r="AG308" i="4"/>
  <c r="AG307" i="4"/>
  <c r="AG306" i="4"/>
  <c r="AG302" i="4"/>
  <c r="AG301" i="4"/>
  <c r="AG300" i="4"/>
  <c r="AG299" i="4"/>
  <c r="AG298" i="4"/>
  <c r="AG297" i="4"/>
  <c r="AG305" i="4"/>
  <c r="AG172" i="4"/>
  <c r="AG90" i="4"/>
  <c r="AG252" i="4"/>
  <c r="AG261" i="4" s="1"/>
  <c r="AG251" i="4"/>
  <c r="AH233" i="4"/>
  <c r="AG235" i="4"/>
  <c r="AH192" i="4"/>
  <c r="AG194" i="4"/>
  <c r="AG209" i="4"/>
  <c r="AH207" i="4"/>
  <c r="AH129" i="4"/>
  <c r="AG131" i="4"/>
  <c r="BX234" i="3"/>
  <c r="AA33" i="9"/>
  <c r="AA129" i="9" s="1"/>
  <c r="BX173" i="3"/>
  <c r="AE279" i="2"/>
  <c r="BX279" i="3" s="1"/>
  <c r="AH109" i="4"/>
  <c r="AG111" i="4"/>
  <c r="AF254" i="4"/>
  <c r="AG254" i="4" s="1"/>
  <c r="AH511" i="3"/>
  <c r="AH137" i="3"/>
  <c r="AH108" i="3"/>
  <c r="AH110" i="3" s="1"/>
  <c r="AH82" i="3"/>
  <c r="AH479" i="3"/>
  <c r="AH81" i="3"/>
  <c r="AH66" i="3"/>
  <c r="AH209" i="3" s="1"/>
  <c r="AH495" i="3"/>
  <c r="AH80" i="3"/>
  <c r="AH78" i="3"/>
  <c r="AH67" i="3"/>
  <c r="AH62" i="3"/>
  <c r="AH42" i="3"/>
  <c r="AH27" i="3"/>
  <c r="AH435" i="3" s="1"/>
  <c r="AH26" i="3"/>
  <c r="AH434" i="3" s="1"/>
  <c r="AH25" i="3"/>
  <c r="AH433" i="3" s="1"/>
  <c r="AH24" i="3"/>
  <c r="AH432" i="3" s="1"/>
  <c r="AH23" i="3"/>
  <c r="AH431" i="3" s="1"/>
  <c r="AH504" i="3"/>
  <c r="AH206" i="3"/>
  <c r="AH83" i="3"/>
  <c r="AH68" i="3"/>
  <c r="AH21" i="3"/>
  <c r="AH1" i="5"/>
  <c r="C84" i="9"/>
  <c r="AH69" i="3"/>
  <c r="AH105" i="3"/>
  <c r="AI4" i="3"/>
  <c r="AH22" i="3"/>
  <c r="C132" i="9"/>
  <c r="AH315" i="3"/>
  <c r="AG239" i="3"/>
  <c r="AG179" i="3"/>
  <c r="AH83" i="9"/>
  <c r="BQ83" i="9" s="1"/>
  <c r="AG206" i="3"/>
  <c r="AG107" i="3"/>
  <c r="AF33" i="9"/>
  <c r="AF129" i="9" s="1"/>
  <c r="BX107" i="3"/>
  <c r="AE235" i="2"/>
  <c r="BX235" i="3" s="1"/>
  <c r="BV216" i="3"/>
  <c r="AB383" i="1"/>
  <c r="AB441" i="3"/>
  <c r="AB451" i="3"/>
  <c r="AB288" i="3"/>
  <c r="AB128" i="5"/>
  <c r="AB130" i="5" s="1"/>
  <c r="AB193" i="5"/>
  <c r="AB242" i="3"/>
  <c r="AB151" i="3"/>
  <c r="AA164" i="3"/>
  <c r="AA152" i="3"/>
  <c r="AH139" i="4"/>
  <c r="AG141" i="4"/>
  <c r="AG161" i="4"/>
  <c r="AH159" i="4"/>
  <c r="BD83" i="9"/>
  <c r="AG338" i="3"/>
  <c r="AG509" i="3"/>
  <c r="BY80" i="3"/>
  <c r="AF236" i="2"/>
  <c r="BY82" i="3"/>
  <c r="AF237" i="2"/>
  <c r="AG511" i="2"/>
  <c r="BZ511" i="3" s="1"/>
  <c r="AG495" i="2"/>
  <c r="BZ495" i="3" s="1"/>
  <c r="AG479" i="2"/>
  <c r="BZ479" i="3" s="1"/>
  <c r="AG105" i="2"/>
  <c r="AG81" i="2"/>
  <c r="BZ81" i="3" s="1"/>
  <c r="AG42" i="2"/>
  <c r="BZ42" i="3" s="1"/>
  <c r="AG22" i="2"/>
  <c r="AG131" i="2"/>
  <c r="BZ131" i="3" s="1"/>
  <c r="AG82" i="2"/>
  <c r="AG80" i="2"/>
  <c r="AG504" i="2"/>
  <c r="BZ504" i="3" s="1"/>
  <c r="AG389" i="2"/>
  <c r="AG315" i="2"/>
  <c r="BZ315" i="3" s="1"/>
  <c r="AG69" i="2"/>
  <c r="BZ69" i="3" s="1"/>
  <c r="AG21" i="2"/>
  <c r="AH4" i="2"/>
  <c r="AH206" i="2" s="1"/>
  <c r="AG353" i="1" s="1"/>
  <c r="AG78" i="2"/>
  <c r="AG67" i="2"/>
  <c r="C35" i="9"/>
  <c r="AG130" i="2"/>
  <c r="BZ130" i="3" s="1"/>
  <c r="AG83" i="2"/>
  <c r="BZ83" i="3" s="1"/>
  <c r="AG47" i="2"/>
  <c r="BZ47" i="3" s="1"/>
  <c r="AG24" i="2"/>
  <c r="AG137" i="2"/>
  <c r="AG68" i="2"/>
  <c r="AG27" i="2"/>
  <c r="AG25" i="2"/>
  <c r="AG23" i="2"/>
  <c r="AG26" i="2"/>
  <c r="AG108" i="2"/>
  <c r="BZ108" i="3" s="1"/>
  <c r="AG62" i="2"/>
  <c r="AG66" i="2"/>
  <c r="AG209" i="2" s="1"/>
  <c r="BY25" i="3"/>
  <c r="AF433" i="2"/>
  <c r="BY433" i="3" s="1"/>
  <c r="BY68" i="3"/>
  <c r="V34" i="9"/>
  <c r="V130" i="9" s="1"/>
  <c r="BX70" i="3"/>
  <c r="AE172" i="2"/>
  <c r="AE453" i="2"/>
  <c r="BX453" i="3" s="1"/>
  <c r="AE443" i="2"/>
  <c r="BX443" i="3" s="1"/>
  <c r="AE289" i="2"/>
  <c r="BX289" i="3" s="1"/>
  <c r="AG220" i="4"/>
  <c r="AH218" i="4"/>
  <c r="AE39" i="2"/>
  <c r="BW39" i="3"/>
  <c r="AD41" i="2"/>
  <c r="AF189" i="3"/>
  <c r="BY189" i="3" s="1"/>
  <c r="BX237" i="3"/>
  <c r="AC33" i="9"/>
  <c r="AC129" i="9" s="1"/>
  <c r="AI257" i="4"/>
  <c r="AI180" i="4"/>
  <c r="AI99" i="4"/>
  <c r="AI178" i="4"/>
  <c r="AI264" i="4"/>
  <c r="AJ91" i="4"/>
  <c r="AI102" i="4"/>
  <c r="AH186" i="3"/>
  <c r="AH34" i="4"/>
  <c r="AH186" i="2"/>
  <c r="R79" i="9"/>
  <c r="AC61" i="3"/>
  <c r="AC126" i="5"/>
  <c r="F334" i="5"/>
  <c r="F228" i="3"/>
  <c r="AH295" i="4"/>
  <c r="AH1" i="4"/>
  <c r="AI93" i="4"/>
  <c r="AF262" i="4"/>
  <c r="AE215" i="3"/>
  <c r="AE265" i="4"/>
  <c r="AE215" i="2"/>
  <c r="BS44" i="3"/>
  <c r="Z46" i="2"/>
  <c r="AA44" i="2"/>
  <c r="BW40" i="3"/>
  <c r="AE40" i="2"/>
  <c r="AE442" i="2"/>
  <c r="BX442" i="3" s="1"/>
  <c r="T33" i="9"/>
  <c r="T129" i="9" s="1"/>
  <c r="BX65" i="3"/>
  <c r="AG311" i="3"/>
  <c r="BZ311" i="3" s="1"/>
  <c r="AG452" i="3"/>
  <c r="AG174" i="3"/>
  <c r="AG280" i="3" s="1"/>
  <c r="AG65" i="3"/>
  <c r="AG173" i="3"/>
  <c r="AG279" i="3" s="1"/>
  <c r="AG40" i="3"/>
  <c r="AH40" i="3" s="1"/>
  <c r="AH176" i="4"/>
  <c r="AH187" i="2" s="1"/>
  <c r="AI14" i="4"/>
  <c r="AH97" i="4"/>
  <c r="BX236" i="3"/>
  <c r="AB33" i="9"/>
  <c r="AB129" i="9" s="1"/>
  <c r="AH197" i="4"/>
  <c r="AG199" i="4"/>
  <c r="AG225" i="4"/>
  <c r="AH223" i="4"/>
  <c r="AF442" i="3"/>
  <c r="T82" i="9"/>
  <c r="AH119" i="4"/>
  <c r="AG121" i="4"/>
  <c r="F222" i="2"/>
  <c r="AY222" i="3" s="1"/>
  <c r="F220" i="2"/>
  <c r="AY218" i="3"/>
  <c r="F221" i="2"/>
  <c r="AY221" i="3" s="1"/>
  <c r="BJ81" i="9"/>
  <c r="BJ129" i="9" s="1"/>
  <c r="BX76" i="3"/>
  <c r="BY144" i="3"/>
  <c r="AF471" i="2"/>
  <c r="AF243" i="2"/>
  <c r="AF301" i="2"/>
  <c r="Y34" i="9"/>
  <c r="AF16" i="5"/>
  <c r="AE369" i="1"/>
  <c r="BW60" i="3"/>
  <c r="AD107" i="5"/>
  <c r="AD134" i="5" s="1"/>
  <c r="S32" i="9"/>
  <c r="S128" i="9" s="1"/>
  <c r="AE454" i="2"/>
  <c r="AE291" i="2"/>
  <c r="AS33" i="9"/>
  <c r="AE490" i="3"/>
  <c r="BX490" i="3" s="1"/>
  <c r="AE307" i="3"/>
  <c r="BX307" i="3" s="1"/>
  <c r="AE74" i="3"/>
  <c r="BX74" i="3" s="1"/>
  <c r="AE60" i="2"/>
  <c r="BX54" i="3"/>
  <c r="AF98" i="3"/>
  <c r="AF325" i="2"/>
  <c r="AF75" i="2"/>
  <c r="AG98" i="2"/>
  <c r="AE325" i="3"/>
  <c r="BX325" i="3" s="1"/>
  <c r="AE75" i="3"/>
  <c r="AD458" i="3"/>
  <c r="AD294" i="3"/>
  <c r="BW294" i="3" s="1"/>
  <c r="AX80" i="9"/>
  <c r="AX128" i="9" s="1"/>
  <c r="AD454" i="3"/>
  <c r="AD291" i="3"/>
  <c r="BW291" i="3" s="1"/>
  <c r="AS80" i="9"/>
  <c r="AS128" i="9" s="1"/>
  <c r="AD77" i="3"/>
  <c r="BW77" i="3" s="1"/>
  <c r="BX75" i="3"/>
  <c r="AE294" i="2"/>
  <c r="AE458" i="2"/>
  <c r="AX33" i="9"/>
  <c r="BW75" i="3"/>
  <c r="AF471" i="3"/>
  <c r="AF301" i="3"/>
  <c r="AF243" i="3"/>
  <c r="AF196" i="5"/>
  <c r="Y82" i="9"/>
  <c r="BY52" i="3"/>
  <c r="AF54" i="2"/>
  <c r="AE365" i="1"/>
  <c r="AH264" i="2"/>
  <c r="AH214" i="2"/>
  <c r="E36" i="9"/>
  <c r="AI7" i="2"/>
  <c r="AG189" i="2"/>
  <c r="AF490" i="2"/>
  <c r="AF87" i="3"/>
  <c r="BY87" i="3" s="1"/>
  <c r="AF307" i="2"/>
  <c r="AG87" i="2"/>
  <c r="AF74" i="2"/>
  <c r="BX87" i="3"/>
  <c r="BJ34" i="9"/>
  <c r="AG76" i="2"/>
  <c r="S124" i="3"/>
  <c r="F165" i="3"/>
  <c r="F267" i="3" s="1"/>
  <c r="AG120" i="3" l="1"/>
  <c r="AG157" i="3"/>
  <c r="AG155" i="3"/>
  <c r="AG144" i="2"/>
  <c r="AF76" i="3"/>
  <c r="AH155" i="2"/>
  <c r="AH157" i="2"/>
  <c r="S83" i="9"/>
  <c r="AG38" i="4"/>
  <c r="AG62" i="4"/>
  <c r="AG75" i="4"/>
  <c r="AF38" i="4"/>
  <c r="AF62" i="4"/>
  <c r="AF75" i="4"/>
  <c r="BZ50" i="3"/>
  <c r="AH107" i="3"/>
  <c r="BJ35" i="9"/>
  <c r="AG465" i="2"/>
  <c r="BJ82" i="9"/>
  <c r="BJ130" i="9" s="1"/>
  <c r="AF465" i="3"/>
  <c r="BX215" i="3"/>
  <c r="AH50" i="3"/>
  <c r="AH52" i="3" s="1"/>
  <c r="AH54" i="3" s="1"/>
  <c r="AH60" i="3" s="1"/>
  <c r="AG189" i="3"/>
  <c r="AH142" i="2"/>
  <c r="AH142" i="3" s="1"/>
  <c r="AH144" i="3" s="1"/>
  <c r="AH236" i="3"/>
  <c r="AB84" i="9" s="1"/>
  <c r="AF77" i="2"/>
  <c r="AH120" i="2"/>
  <c r="AH76" i="2" s="1"/>
  <c r="AH311" i="3"/>
  <c r="AH50" i="2"/>
  <c r="AH52" i="2" s="1"/>
  <c r="AH56" i="2"/>
  <c r="CA56" i="3" s="1"/>
  <c r="AH311" i="2"/>
  <c r="BT45" i="3"/>
  <c r="AB45" i="2"/>
  <c r="AH51" i="2"/>
  <c r="CA51" i="3" s="1"/>
  <c r="AH103" i="4"/>
  <c r="AG354" i="3"/>
  <c r="BZ354" i="3" s="1"/>
  <c r="AG76" i="3"/>
  <c r="BZ120" i="3"/>
  <c r="AG217" i="3"/>
  <c r="AG217" i="2"/>
  <c r="AY220" i="3"/>
  <c r="F223" i="2"/>
  <c r="AG442" i="3"/>
  <c r="T83" i="9"/>
  <c r="AJ93" i="4"/>
  <c r="AI295" i="4"/>
  <c r="AI1" i="4"/>
  <c r="AC451" i="3"/>
  <c r="AC288" i="3"/>
  <c r="AC242" i="3"/>
  <c r="AC441" i="3"/>
  <c r="AC193" i="5"/>
  <c r="AC151" i="3"/>
  <c r="AC128" i="5"/>
  <c r="AC130" i="5" s="1"/>
  <c r="U35" i="9"/>
  <c r="U131" i="9" s="1"/>
  <c r="AG70" i="2"/>
  <c r="BZ66" i="3"/>
  <c r="AF376" i="1"/>
  <c r="AG431" i="2"/>
  <c r="BZ431" i="3" s="1"/>
  <c r="BZ23" i="3"/>
  <c r="AH239" i="3"/>
  <c r="AH84" i="9"/>
  <c r="BQ84" i="9" s="1"/>
  <c r="AH179" i="3"/>
  <c r="AH111" i="4"/>
  <c r="AI109" i="4"/>
  <c r="AI233" i="4"/>
  <c r="AH235" i="4"/>
  <c r="BQ34" i="9"/>
  <c r="BQ130" i="9" s="1"/>
  <c r="AH130" i="9"/>
  <c r="BG124" i="3"/>
  <c r="N36" i="2"/>
  <c r="N371" i="2"/>
  <c r="BG371" i="3" s="1"/>
  <c r="BM16" i="9"/>
  <c r="BM112" i="9" s="1"/>
  <c r="N125" i="2"/>
  <c r="AI243" i="4"/>
  <c r="AH245" i="4"/>
  <c r="AH189" i="4"/>
  <c r="AI187" i="4"/>
  <c r="AB61" i="2"/>
  <c r="R30" i="9"/>
  <c r="R126" i="9" s="1"/>
  <c r="AB106" i="5"/>
  <c r="BU49" i="3"/>
  <c r="AJ40" i="4"/>
  <c r="AK39" i="4"/>
  <c r="AK41" i="4"/>
  <c r="AJ42" i="4"/>
  <c r="AI100" i="4"/>
  <c r="AJ92" i="4"/>
  <c r="AI282" i="4"/>
  <c r="AH284" i="4"/>
  <c r="AI126" i="4"/>
  <c r="AJ124" i="4"/>
  <c r="BT56" i="3"/>
  <c r="AB56" i="2"/>
  <c r="AI116" i="4"/>
  <c r="AJ114" i="4"/>
  <c r="AF255" i="4"/>
  <c r="AE258" i="4"/>
  <c r="BV43" i="3"/>
  <c r="AC49" i="2"/>
  <c r="AI164" i="4"/>
  <c r="AH166" i="4"/>
  <c r="AF34" i="9"/>
  <c r="AF130" i="9" s="1"/>
  <c r="BY107" i="3"/>
  <c r="AF235" i="2"/>
  <c r="BY235" i="3" s="1"/>
  <c r="BU55" i="3"/>
  <c r="AB57" i="2"/>
  <c r="AC55" i="2"/>
  <c r="AE216" i="3"/>
  <c r="AE216" i="2"/>
  <c r="BZ62" i="3"/>
  <c r="AG174" i="2"/>
  <c r="AG452" i="2"/>
  <c r="BZ452" i="3" s="1"/>
  <c r="AG173" i="2"/>
  <c r="AG65" i="2"/>
  <c r="AG12" i="5"/>
  <c r="AG208" i="5" s="1"/>
  <c r="AG432" i="2"/>
  <c r="BZ432" i="3" s="1"/>
  <c r="BZ24" i="3"/>
  <c r="AH141" i="4"/>
  <c r="AI139" i="4"/>
  <c r="AI495" i="3"/>
  <c r="AI479" i="3"/>
  <c r="AI81" i="3"/>
  <c r="AI137" i="3"/>
  <c r="AI80" i="3"/>
  <c r="AI78" i="3"/>
  <c r="AI67" i="3"/>
  <c r="AI62" i="3"/>
  <c r="AI42" i="3"/>
  <c r="AI27" i="3"/>
  <c r="AI435" i="3" s="1"/>
  <c r="AI26" i="3"/>
  <c r="AI434" i="3" s="1"/>
  <c r="AI25" i="3"/>
  <c r="AI433" i="3" s="1"/>
  <c r="AI24" i="3"/>
  <c r="AI432" i="3" s="1"/>
  <c r="AI23" i="3"/>
  <c r="AI431" i="3" s="1"/>
  <c r="AI504" i="3"/>
  <c r="AI68" i="3"/>
  <c r="AI22" i="3"/>
  <c r="AJ4" i="3"/>
  <c r="AI511" i="3"/>
  <c r="AI66" i="3"/>
  <c r="AI209" i="3" s="1"/>
  <c r="C85" i="9"/>
  <c r="AI105" i="3"/>
  <c r="AI82" i="3"/>
  <c r="AI108" i="3"/>
  <c r="AI110" i="3" s="1"/>
  <c r="AI69" i="3"/>
  <c r="AI83" i="3"/>
  <c r="AI21" i="3"/>
  <c r="AI1" i="5"/>
  <c r="C133" i="9"/>
  <c r="AI315" i="3"/>
  <c r="AH234" i="3"/>
  <c r="AA84" i="9" s="1"/>
  <c r="AH194" i="5"/>
  <c r="AI223" i="4"/>
  <c r="AH225" i="4"/>
  <c r="BS46" i="3"/>
  <c r="Z48" i="2"/>
  <c r="BS48" i="3" s="1"/>
  <c r="AH29" i="4"/>
  <c r="AH35" i="4" s="1"/>
  <c r="AI218" i="4"/>
  <c r="AH220" i="4"/>
  <c r="AG435" i="2"/>
  <c r="BZ435" i="3" s="1"/>
  <c r="BZ27" i="3"/>
  <c r="BZ67" i="3"/>
  <c r="BZ105" i="3"/>
  <c r="AG107" i="2"/>
  <c r="AI159" i="4"/>
  <c r="AH161" i="4"/>
  <c r="AH235" i="3"/>
  <c r="AF84" i="9"/>
  <c r="AH70" i="3"/>
  <c r="AH192" i="5" s="1"/>
  <c r="U84" i="9"/>
  <c r="AH289" i="4"/>
  <c r="AI287" i="4"/>
  <c r="AF172" i="2"/>
  <c r="BY70" i="3"/>
  <c r="AF443" i="2"/>
  <c r="BY443" i="3" s="1"/>
  <c r="AF453" i="2"/>
  <c r="BY453" i="3" s="1"/>
  <c r="AF289" i="2"/>
  <c r="BY289" i="3" s="1"/>
  <c r="AI44" i="4"/>
  <c r="AJ43" i="4"/>
  <c r="BY234" i="3"/>
  <c r="AA34" i="9"/>
  <c r="AA130" i="9" s="1"/>
  <c r="BD84" i="9"/>
  <c r="AH509" i="3"/>
  <c r="AH338" i="3"/>
  <c r="AY159" i="3"/>
  <c r="F160" i="2"/>
  <c r="B289" i="1"/>
  <c r="B336" i="1" s="1"/>
  <c r="Z290" i="1"/>
  <c r="BY65" i="3"/>
  <c r="AF442" i="2"/>
  <c r="BY442" i="3" s="1"/>
  <c r="T34" i="9"/>
  <c r="T130" i="9" s="1"/>
  <c r="Z164" i="2"/>
  <c r="BS164" i="3" s="1"/>
  <c r="Z152" i="2"/>
  <c r="BS152" i="3" s="1"/>
  <c r="BS151" i="3"/>
  <c r="AH199" i="4"/>
  <c r="AI197" i="4"/>
  <c r="AJ14" i="4"/>
  <c r="AA46" i="2"/>
  <c r="BT44" i="3"/>
  <c r="AB44" i="2"/>
  <c r="AH306" i="4"/>
  <c r="AH310" i="4"/>
  <c r="AH307" i="4"/>
  <c r="AH305" i="4"/>
  <c r="AH297" i="4"/>
  <c r="AH309" i="4"/>
  <c r="AH308" i="4"/>
  <c r="AH311" i="4"/>
  <c r="AH298" i="4"/>
  <c r="AH301" i="4"/>
  <c r="AH300" i="4"/>
  <c r="AH299" i="4"/>
  <c r="AH302" i="4"/>
  <c r="AH252" i="4"/>
  <c r="AH254" i="4" s="1"/>
  <c r="AH172" i="4"/>
  <c r="AH90" i="4"/>
  <c r="AH251" i="4"/>
  <c r="AI96" i="4"/>
  <c r="BX39" i="3"/>
  <c r="AF39" i="2"/>
  <c r="AE41" i="2"/>
  <c r="AG433" i="2"/>
  <c r="BZ433" i="3" s="1"/>
  <c r="BZ25" i="3"/>
  <c r="BZ82" i="3"/>
  <c r="AG237" i="2"/>
  <c r="BY236" i="3"/>
  <c r="AB34" i="9"/>
  <c r="AB130" i="9" s="1"/>
  <c r="AH121" i="4"/>
  <c r="AI119" i="4"/>
  <c r="BX40" i="3"/>
  <c r="AF40" i="2"/>
  <c r="AG262" i="4"/>
  <c r="AF215" i="3"/>
  <c r="AF265" i="4"/>
  <c r="AF215" i="2"/>
  <c r="CA186" i="3"/>
  <c r="AJ264" i="4"/>
  <c r="AJ96" i="4"/>
  <c r="AJ99" i="4"/>
  <c r="AJ257" i="4"/>
  <c r="AJ178" i="4"/>
  <c r="AJ175" i="4"/>
  <c r="AJ102" i="4"/>
  <c r="AK91" i="4"/>
  <c r="AJ180" i="4"/>
  <c r="AI175" i="4"/>
  <c r="AI176" i="4" s="1"/>
  <c r="AI187" i="2" s="1"/>
  <c r="BW41" i="3"/>
  <c r="AD43" i="2"/>
  <c r="BX172" i="3"/>
  <c r="AE278" i="2"/>
  <c r="BX278" i="3" s="1"/>
  <c r="AG434" i="2"/>
  <c r="BZ434" i="3" s="1"/>
  <c r="BZ26" i="3"/>
  <c r="BZ68" i="3"/>
  <c r="V35" i="9"/>
  <c r="V131" i="9" s="1"/>
  <c r="AG14" i="5"/>
  <c r="AG211" i="5" s="1"/>
  <c r="BZ78" i="3"/>
  <c r="AG234" i="2"/>
  <c r="BZ22" i="3"/>
  <c r="AG430" i="2"/>
  <c r="BZ430" i="3" s="1"/>
  <c r="BY237" i="3"/>
  <c r="AC34" i="9"/>
  <c r="AC130" i="9" s="1"/>
  <c r="AB152" i="3"/>
  <c r="AB164" i="3"/>
  <c r="AG235" i="3"/>
  <c r="AF83" i="9"/>
  <c r="AH174" i="3"/>
  <c r="AH280" i="3" s="1"/>
  <c r="AH452" i="3"/>
  <c r="AH65" i="3"/>
  <c r="AH173" i="3"/>
  <c r="AH279" i="3" s="1"/>
  <c r="AH237" i="3"/>
  <c r="AC84" i="9" s="1"/>
  <c r="AH131" i="4"/>
  <c r="AI129" i="4"/>
  <c r="AH194" i="4"/>
  <c r="AI192" i="4"/>
  <c r="AE41" i="3"/>
  <c r="AE43" i="3" s="1"/>
  <c r="AE49" i="3" s="1"/>
  <c r="AF39" i="3"/>
  <c r="AI151" i="4"/>
  <c r="AJ149" i="4"/>
  <c r="BW216" i="3"/>
  <c r="AC383" i="1"/>
  <c r="AI228" i="4"/>
  <c r="AH230" i="4"/>
  <c r="AH53" i="2"/>
  <c r="CA53" i="3" s="1"/>
  <c r="AI5" i="2"/>
  <c r="D36" i="9"/>
  <c r="AH58" i="2"/>
  <c r="CA58" i="3" s="1"/>
  <c r="AH106" i="2"/>
  <c r="CA106" i="3" s="1"/>
  <c r="AH79" i="2"/>
  <c r="CA79" i="3" s="1"/>
  <c r="AH109" i="2"/>
  <c r="AI146" i="4"/>
  <c r="AJ144" i="4"/>
  <c r="AG443" i="3"/>
  <c r="AG289" i="3"/>
  <c r="AG172" i="3"/>
  <c r="AG278" i="3" s="1"/>
  <c r="AG453" i="3"/>
  <c r="F162" i="2"/>
  <c r="AY162" i="3" s="1"/>
  <c r="AY158" i="3"/>
  <c r="AI238" i="4"/>
  <c r="AH240" i="4"/>
  <c r="AH264" i="3"/>
  <c r="AH188" i="3"/>
  <c r="CA188" i="3" s="1"/>
  <c r="AH187" i="3"/>
  <c r="CA187" i="3" s="1"/>
  <c r="AI7" i="3"/>
  <c r="AI51" i="3" s="1"/>
  <c r="E132" i="9"/>
  <c r="E84" i="9"/>
  <c r="AH214" i="3"/>
  <c r="CA214" i="3" s="1"/>
  <c r="AH3" i="5"/>
  <c r="AH411" i="5" s="1"/>
  <c r="AF12" i="5"/>
  <c r="AF208" i="5" s="1"/>
  <c r="AF279" i="2"/>
  <c r="BY279" i="3" s="1"/>
  <c r="BY173" i="3"/>
  <c r="BT57" i="3"/>
  <c r="AA59" i="2"/>
  <c r="BT59" i="3" s="1"/>
  <c r="AA108" i="5"/>
  <c r="AA110" i="5" s="1"/>
  <c r="AA137" i="5" s="1"/>
  <c r="AA143" i="5" s="1"/>
  <c r="AA133" i="5"/>
  <c r="AA135" i="5" s="1"/>
  <c r="BZ137" i="3"/>
  <c r="AG239" i="2"/>
  <c r="BZ239" i="3" s="1"/>
  <c r="AG179" i="2"/>
  <c r="BZ179" i="3" s="1"/>
  <c r="AF358" i="1"/>
  <c r="AH35" i="9"/>
  <c r="AH511" i="2"/>
  <c r="CA511" i="3" s="1"/>
  <c r="AH495" i="2"/>
  <c r="CA495" i="3" s="1"/>
  <c r="AH479" i="2"/>
  <c r="CA479" i="3" s="1"/>
  <c r="AH389" i="2"/>
  <c r="AH504" i="2"/>
  <c r="CA504" i="3" s="1"/>
  <c r="AH315" i="2"/>
  <c r="CA315" i="3" s="1"/>
  <c r="AH69" i="2"/>
  <c r="CA69" i="3" s="1"/>
  <c r="AH21" i="2"/>
  <c r="AI4" i="2"/>
  <c r="AI142" i="2" s="1"/>
  <c r="AH130" i="2"/>
  <c r="CA130" i="3" s="1"/>
  <c r="AH47" i="2"/>
  <c r="CA47" i="3" s="1"/>
  <c r="AH27" i="2"/>
  <c r="AH26" i="2"/>
  <c r="AH24" i="2"/>
  <c r="AH23" i="2"/>
  <c r="AH131" i="2"/>
  <c r="CA131" i="3" s="1"/>
  <c r="AH82" i="2"/>
  <c r="AH80" i="2"/>
  <c r="AH78" i="2"/>
  <c r="AH67" i="2"/>
  <c r="CA67" i="3" s="1"/>
  <c r="C36" i="9"/>
  <c r="AH137" i="2"/>
  <c r="AH83" i="2"/>
  <c r="CA83" i="3" s="1"/>
  <c r="AH68" i="2"/>
  <c r="AH25" i="2"/>
  <c r="AH22" i="2"/>
  <c r="AH42" i="2"/>
  <c r="CA42" i="3" s="1"/>
  <c r="AH105" i="2"/>
  <c r="AH81" i="2"/>
  <c r="CA81" i="3" s="1"/>
  <c r="AH62" i="2"/>
  <c r="AH108" i="2"/>
  <c r="AH66" i="2"/>
  <c r="AH209" i="2" s="1"/>
  <c r="BZ80" i="3"/>
  <c r="AG236" i="2"/>
  <c r="AH430" i="3"/>
  <c r="AH407" i="5"/>
  <c r="V84" i="9"/>
  <c r="AH337" i="3"/>
  <c r="AZ84" i="9"/>
  <c r="AH112" i="3"/>
  <c r="AH209" i="4"/>
  <c r="AI207" i="4"/>
  <c r="AD61" i="3"/>
  <c r="R80" i="9"/>
  <c r="AD126" i="5"/>
  <c r="AI273" i="4"/>
  <c r="AH275" i="4"/>
  <c r="CB206" i="3"/>
  <c r="CC4" i="3"/>
  <c r="CB21" i="3"/>
  <c r="AH204" i="4"/>
  <c r="AI202" i="4"/>
  <c r="AI98" i="4"/>
  <c r="AI177" i="4"/>
  <c r="AI181" i="4" s="1"/>
  <c r="AI188" i="2" s="1"/>
  <c r="AJ11" i="4"/>
  <c r="AI106" i="3"/>
  <c r="AI109" i="3"/>
  <c r="AI111" i="3" s="1"/>
  <c r="AI53" i="3"/>
  <c r="AJ5" i="3"/>
  <c r="AI2" i="5"/>
  <c r="D133" i="9"/>
  <c r="AI79" i="3"/>
  <c r="D85" i="9"/>
  <c r="BZ109" i="3"/>
  <c r="AG111" i="2"/>
  <c r="AI46" i="4"/>
  <c r="AJ45" i="4"/>
  <c r="AI156" i="4"/>
  <c r="AJ154" i="4"/>
  <c r="AI268" i="4"/>
  <c r="AH270" i="4"/>
  <c r="AF280" i="2"/>
  <c r="BY280" i="3" s="1"/>
  <c r="BY174" i="3"/>
  <c r="AA451" i="2"/>
  <c r="BT451" i="3" s="1"/>
  <c r="BT61" i="3"/>
  <c r="AA151" i="2"/>
  <c r="AA13" i="5"/>
  <c r="AA209" i="5" s="1"/>
  <c r="AA242" i="2"/>
  <c r="BT242" i="3" s="1"/>
  <c r="AA441" i="2"/>
  <c r="BT441" i="3" s="1"/>
  <c r="AA288" i="2"/>
  <c r="BT288" i="3" s="1"/>
  <c r="Z362" i="1"/>
  <c r="BY217" i="3"/>
  <c r="BY76" i="3"/>
  <c r="BZ52" i="3"/>
  <c r="AG54" i="2"/>
  <c r="AF454" i="2"/>
  <c r="AF291" i="2"/>
  <c r="AS34" i="9"/>
  <c r="BZ142" i="3"/>
  <c r="AI214" i="2"/>
  <c r="AI264" i="2"/>
  <c r="AJ7" i="2"/>
  <c r="E37" i="9"/>
  <c r="AH189" i="2"/>
  <c r="AF458" i="2"/>
  <c r="AF294" i="2"/>
  <c r="AX34" i="9"/>
  <c r="BY301" i="3"/>
  <c r="AG490" i="2"/>
  <c r="AG87" i="3"/>
  <c r="AG307" i="2"/>
  <c r="AG74" i="2"/>
  <c r="AH87" i="2"/>
  <c r="AG471" i="3"/>
  <c r="AG243" i="3"/>
  <c r="AG301" i="3"/>
  <c r="AG196" i="5"/>
  <c r="Y83" i="9"/>
  <c r="AE458" i="3"/>
  <c r="AE294" i="3"/>
  <c r="BX294" i="3" s="1"/>
  <c r="AX81" i="9"/>
  <c r="AX129" i="9" s="1"/>
  <c r="S33" i="9"/>
  <c r="S129" i="9" s="1"/>
  <c r="BX60" i="3"/>
  <c r="AE107" i="5"/>
  <c r="AE134" i="5" s="1"/>
  <c r="BY243" i="3"/>
  <c r="AH144" i="2"/>
  <c r="AF325" i="3"/>
  <c r="BY325" i="3" s="1"/>
  <c r="AF75" i="3"/>
  <c r="AF210" i="5"/>
  <c r="BY471" i="3"/>
  <c r="AF490" i="3"/>
  <c r="BY490" i="3" s="1"/>
  <c r="AF307" i="3"/>
  <c r="BY307" i="3" s="1"/>
  <c r="AF74" i="3"/>
  <c r="BY74" i="3" s="1"/>
  <c r="BZ144" i="3"/>
  <c r="AG301" i="2"/>
  <c r="AG471" i="2"/>
  <c r="AG243" i="2"/>
  <c r="AG16" i="5"/>
  <c r="Y35" i="9"/>
  <c r="AF369" i="1"/>
  <c r="BZ189" i="3"/>
  <c r="AF365" i="1"/>
  <c r="BY54" i="3"/>
  <c r="AF60" i="2"/>
  <c r="AG98" i="3"/>
  <c r="BZ98" i="3" s="1"/>
  <c r="AG325" i="2"/>
  <c r="AH98" i="2"/>
  <c r="AG75" i="2"/>
  <c r="BY98" i="3"/>
  <c r="AE454" i="3"/>
  <c r="AE291" i="3"/>
  <c r="BX291" i="3" s="1"/>
  <c r="AS81" i="9"/>
  <c r="AS129" i="9" s="1"/>
  <c r="AE77" i="3"/>
  <c r="BX77" i="3" s="1"/>
  <c r="Y130" i="9"/>
  <c r="AH354" i="2"/>
  <c r="S371" i="3"/>
  <c r="BM69" i="9"/>
  <c r="S125" i="3"/>
  <c r="S36" i="3"/>
  <c r="F183" i="3"/>
  <c r="F139" i="5"/>
  <c r="AH120" i="3" l="1"/>
  <c r="AH155" i="3"/>
  <c r="AH157" i="3"/>
  <c r="AI56" i="2"/>
  <c r="CB56" i="3" s="1"/>
  <c r="AI157" i="2"/>
  <c r="AI155" i="2"/>
  <c r="AH38" i="4"/>
  <c r="AH62" i="4"/>
  <c r="AH75" i="4"/>
  <c r="CA50" i="3"/>
  <c r="BJ83" i="9"/>
  <c r="BJ131" i="9" s="1"/>
  <c r="AG465" i="3"/>
  <c r="BJ36" i="9"/>
  <c r="AH465" i="2"/>
  <c r="AI311" i="2"/>
  <c r="AG77" i="2"/>
  <c r="BZ301" i="3"/>
  <c r="AI50" i="3"/>
  <c r="AI52" i="3" s="1"/>
  <c r="AI54" i="3" s="1"/>
  <c r="AI60" i="3" s="1"/>
  <c r="AI127" i="5" s="1"/>
  <c r="AI103" i="4"/>
  <c r="AI236" i="3"/>
  <c r="AB85" i="9" s="1"/>
  <c r="AI237" i="3"/>
  <c r="AC85" i="9" s="1"/>
  <c r="BZ243" i="3"/>
  <c r="CA311" i="3"/>
  <c r="AC45" i="2"/>
  <c r="BU45" i="3"/>
  <c r="AG210" i="5"/>
  <c r="AI51" i="2"/>
  <c r="CB51" i="3" s="1"/>
  <c r="BZ76" i="3"/>
  <c r="AI50" i="2"/>
  <c r="AI120" i="2"/>
  <c r="AI354" i="2" s="1"/>
  <c r="AH189" i="3"/>
  <c r="BY215" i="3"/>
  <c r="CA137" i="3"/>
  <c r="AH239" i="2"/>
  <c r="CA239" i="3" s="1"/>
  <c r="AH179" i="2"/>
  <c r="CA179" i="3" s="1"/>
  <c r="AH36" i="9"/>
  <c r="AG358" i="1"/>
  <c r="AH262" i="4"/>
  <c r="AG265" i="4"/>
  <c r="AG215" i="3"/>
  <c r="AG215" i="2"/>
  <c r="AJ287" i="4"/>
  <c r="AI289" i="4"/>
  <c r="AF35" i="9"/>
  <c r="AF131" i="9" s="1"/>
  <c r="BZ107" i="3"/>
  <c r="AG235" i="2"/>
  <c r="BZ235" i="3" s="1"/>
  <c r="AI70" i="3"/>
  <c r="U85" i="9"/>
  <c r="AI430" i="3"/>
  <c r="AI407" i="5"/>
  <c r="AI141" i="4"/>
  <c r="AJ139" i="4"/>
  <c r="AG280" i="2"/>
  <c r="BZ280" i="3" s="1"/>
  <c r="BZ174" i="3"/>
  <c r="AI166" i="4"/>
  <c r="AJ164" i="4"/>
  <c r="AG255" i="4"/>
  <c r="AF258" i="4"/>
  <c r="AJ282" i="4"/>
  <c r="AI284" i="4"/>
  <c r="AK42" i="4"/>
  <c r="AL41" i="4"/>
  <c r="AB133" i="5"/>
  <c r="AB135" i="5" s="1"/>
  <c r="AB108" i="5"/>
  <c r="AB110" i="5" s="1"/>
  <c r="AB137" i="5" s="1"/>
  <c r="AB143" i="5" s="1"/>
  <c r="AJ109" i="4"/>
  <c r="AI111" i="4"/>
  <c r="AC164" i="3"/>
  <c r="AC152" i="3"/>
  <c r="AH76" i="3"/>
  <c r="AH354" i="3"/>
  <c r="CA354" i="3" s="1"/>
  <c r="CC206" i="3"/>
  <c r="CD4" i="3"/>
  <c r="CC21" i="3"/>
  <c r="AF41" i="3"/>
  <c r="AF43" i="3" s="1"/>
  <c r="AF49" i="3" s="1"/>
  <c r="AG39" i="3"/>
  <c r="AJ97" i="4"/>
  <c r="AJ176" i="4"/>
  <c r="AJ187" i="2" s="1"/>
  <c r="AK14" i="4"/>
  <c r="AK154" i="4"/>
  <c r="AJ156" i="4"/>
  <c r="AJ109" i="3"/>
  <c r="AJ111" i="3" s="1"/>
  <c r="AJ106" i="3"/>
  <c r="AJ53" i="3"/>
  <c r="AK5" i="3"/>
  <c r="AJ79" i="3"/>
  <c r="AJ2" i="5"/>
  <c r="D134" i="9"/>
  <c r="D86" i="9"/>
  <c r="AH463" i="3"/>
  <c r="AH178" i="3"/>
  <c r="AH297" i="3"/>
  <c r="AH70" i="2"/>
  <c r="AH12" i="5" s="1"/>
  <c r="AH208" i="5" s="1"/>
  <c r="CA66" i="3"/>
  <c r="U36" i="9"/>
  <c r="AG376" i="1"/>
  <c r="CA25" i="3"/>
  <c r="AH433" i="2"/>
  <c r="CA433" i="3" s="1"/>
  <c r="CA82" i="3"/>
  <c r="AH237" i="2"/>
  <c r="CA26" i="3"/>
  <c r="AH434" i="2"/>
  <c r="CA434" i="3" s="1"/>
  <c r="AI504" i="2"/>
  <c r="CB504" i="3" s="1"/>
  <c r="AI479" i="2"/>
  <c r="CB479" i="3" s="1"/>
  <c r="AI389" i="2"/>
  <c r="AI131" i="2"/>
  <c r="CB131" i="3" s="1"/>
  <c r="AI82" i="2"/>
  <c r="AI80" i="2"/>
  <c r="AI78" i="2"/>
  <c r="AI67" i="2"/>
  <c r="CB67" i="3" s="1"/>
  <c r="C37" i="9"/>
  <c r="AI495" i="2"/>
  <c r="CB495" i="3" s="1"/>
  <c r="AI42" i="2"/>
  <c r="CB42" i="3" s="1"/>
  <c r="AI22" i="2"/>
  <c r="AI137" i="2"/>
  <c r="AI130" i="2"/>
  <c r="CB130" i="3" s="1"/>
  <c r="AI83" i="2"/>
  <c r="CB83" i="3" s="1"/>
  <c r="AI68" i="2"/>
  <c r="AI47" i="2"/>
  <c r="CB47" i="3" s="1"/>
  <c r="AI27" i="2"/>
  <c r="AI26" i="2"/>
  <c r="AI25" i="2"/>
  <c r="AI24" i="2"/>
  <c r="AI23" i="2"/>
  <c r="AI105" i="2"/>
  <c r="AI81" i="2"/>
  <c r="CB81" i="3" s="1"/>
  <c r="AI511" i="2"/>
  <c r="CB511" i="3" s="1"/>
  <c r="AI21" i="2"/>
  <c r="AI69" i="2"/>
  <c r="CB69" i="3" s="1"/>
  <c r="AJ4" i="2"/>
  <c r="AJ206" i="2" s="1"/>
  <c r="AI353" i="1" s="1"/>
  <c r="AI315" i="2"/>
  <c r="CB315" i="3" s="1"/>
  <c r="AI108" i="2"/>
  <c r="AI62" i="2"/>
  <c r="AI66" i="2"/>
  <c r="AI209" i="2" s="1"/>
  <c r="AI240" i="4"/>
  <c r="AJ238" i="4"/>
  <c r="AE61" i="3"/>
  <c r="AE126" i="5"/>
  <c r="R81" i="9"/>
  <c r="BZ234" i="3"/>
  <c r="AA35" i="9"/>
  <c r="AA131" i="9" s="1"/>
  <c r="BY40" i="3"/>
  <c r="AG40" i="2"/>
  <c r="BZ237" i="3"/>
  <c r="AC35" i="9"/>
  <c r="AC131" i="9" s="1"/>
  <c r="AF379" i="1"/>
  <c r="BZ209" i="3"/>
  <c r="AI34" i="4"/>
  <c r="AI186" i="3"/>
  <c r="AI186" i="2"/>
  <c r="AA48" i="2"/>
  <c r="BT48" i="3" s="1"/>
  <c r="BT46" i="3"/>
  <c r="AJ197" i="4"/>
  <c r="AI199" i="4"/>
  <c r="B290" i="1"/>
  <c r="B337" i="1" s="1"/>
  <c r="Z291" i="1"/>
  <c r="AY160" i="3"/>
  <c r="F161" i="2"/>
  <c r="AJ44" i="4"/>
  <c r="AK43" i="4"/>
  <c r="AI225" i="4"/>
  <c r="AJ223" i="4"/>
  <c r="AI107" i="3"/>
  <c r="V85" i="9"/>
  <c r="AI65" i="3"/>
  <c r="AI452" i="3"/>
  <c r="AI174" i="3"/>
  <c r="AI280" i="3" s="1"/>
  <c r="AI192" i="5"/>
  <c r="AI173" i="3"/>
  <c r="AI279" i="3" s="1"/>
  <c r="AI239" i="3"/>
  <c r="AI179" i="3"/>
  <c r="AH85" i="9"/>
  <c r="BQ85" i="9" s="1"/>
  <c r="BZ65" i="3"/>
  <c r="AG442" i="2"/>
  <c r="BZ442" i="3" s="1"/>
  <c r="T35" i="9"/>
  <c r="T131" i="9" s="1"/>
  <c r="BV55" i="3"/>
  <c r="AC57" i="2"/>
  <c r="AD55" i="2"/>
  <c r="AC106" i="5"/>
  <c r="AC61" i="2"/>
  <c r="BV49" i="3"/>
  <c r="R31" i="9"/>
  <c r="R127" i="9" s="1"/>
  <c r="AJ116" i="4"/>
  <c r="AK114" i="4"/>
  <c r="AJ126" i="4"/>
  <c r="AK124" i="4"/>
  <c r="AK92" i="4"/>
  <c r="AJ100" i="4"/>
  <c r="AL39" i="4"/>
  <c r="AK40" i="4"/>
  <c r="BZ70" i="3"/>
  <c r="AG289" i="2"/>
  <c r="BZ289" i="3" s="1"/>
  <c r="AG453" i="2"/>
  <c r="BZ453" i="3" s="1"/>
  <c r="AG172" i="2"/>
  <c r="AG443" i="2"/>
  <c r="BZ443" i="3" s="1"/>
  <c r="AI30" i="4"/>
  <c r="AI89" i="4" s="1"/>
  <c r="AI274" i="2" s="1"/>
  <c r="AY223" i="3"/>
  <c r="F227" i="2"/>
  <c r="AH261" i="4"/>
  <c r="AJ268" i="4"/>
  <c r="AI270" i="4"/>
  <c r="BZ236" i="3"/>
  <c r="AB35" i="9"/>
  <c r="AB131" i="9" s="1"/>
  <c r="AH430" i="2"/>
  <c r="CA430" i="3" s="1"/>
  <c r="CA22" i="3"/>
  <c r="CA24" i="3"/>
  <c r="AH432" i="2"/>
  <c r="CA432" i="3" s="1"/>
  <c r="AH131" i="9"/>
  <c r="BQ35" i="9"/>
  <c r="BQ131" i="9" s="1"/>
  <c r="AI188" i="3"/>
  <c r="CB188" i="3" s="1"/>
  <c r="AJ7" i="3"/>
  <c r="AI214" i="3"/>
  <c r="AI3" i="5"/>
  <c r="AI411" i="5" s="1"/>
  <c r="E85" i="9"/>
  <c r="AI187" i="3"/>
  <c r="E133" i="9"/>
  <c r="AI264" i="3"/>
  <c r="AG338" i="2"/>
  <c r="BZ339" i="3" s="1"/>
  <c r="AG509" i="2"/>
  <c r="BZ509" i="3" s="1"/>
  <c r="BD35" i="9"/>
  <c r="BD131" i="9" s="1"/>
  <c r="BZ111" i="3"/>
  <c r="AJ202" i="4"/>
  <c r="AI204" i="4"/>
  <c r="BZ471" i="3"/>
  <c r="AA164" i="2"/>
  <c r="BT164" i="3" s="1"/>
  <c r="AA152" i="2"/>
  <c r="BT152" i="3" s="1"/>
  <c r="BT151" i="3"/>
  <c r="AK11" i="4"/>
  <c r="AJ177" i="4"/>
  <c r="AJ181" i="4" s="1"/>
  <c r="AJ188" i="2" s="1"/>
  <c r="AJ98" i="4"/>
  <c r="AD451" i="3"/>
  <c r="AD288" i="3"/>
  <c r="AD242" i="3"/>
  <c r="AD151" i="3"/>
  <c r="AD128" i="5"/>
  <c r="AD130" i="5" s="1"/>
  <c r="AD441" i="3"/>
  <c r="AD193" i="5"/>
  <c r="CA108" i="3"/>
  <c r="AH110" i="2"/>
  <c r="CA105" i="3"/>
  <c r="AH107" i="2"/>
  <c r="CA68" i="3"/>
  <c r="V36" i="9"/>
  <c r="V132" i="9" s="1"/>
  <c r="CA27" i="3"/>
  <c r="AH435" i="2"/>
  <c r="CA435" i="3" s="1"/>
  <c r="AK149" i="4"/>
  <c r="AJ151" i="4"/>
  <c r="AJ192" i="4"/>
  <c r="AI194" i="4"/>
  <c r="AH442" i="3"/>
  <c r="T84" i="9"/>
  <c r="AD49" i="2"/>
  <c r="BW43" i="3"/>
  <c r="AJ34" i="4"/>
  <c r="AJ186" i="3"/>
  <c r="AJ186" i="2"/>
  <c r="AF216" i="3"/>
  <c r="AF216" i="2"/>
  <c r="BX41" i="3"/>
  <c r="AE43" i="2"/>
  <c r="AI97" i="4"/>
  <c r="AH127" i="5"/>
  <c r="S84" i="9"/>
  <c r="AI311" i="3"/>
  <c r="AZ85" i="9"/>
  <c r="AI337" i="3"/>
  <c r="AI112" i="3"/>
  <c r="BZ173" i="3"/>
  <c r="AG279" i="2"/>
  <c r="BZ279" i="3" s="1"/>
  <c r="AB59" i="2"/>
  <c r="BU59" i="3" s="1"/>
  <c r="BU57" i="3"/>
  <c r="AB288" i="2"/>
  <c r="BU288" i="3" s="1"/>
  <c r="AB451" i="2"/>
  <c r="BU451" i="3" s="1"/>
  <c r="AB242" i="2"/>
  <c r="BU242" i="3" s="1"/>
  <c r="AB13" i="5"/>
  <c r="AB209" i="5" s="1"/>
  <c r="AB151" i="2"/>
  <c r="AA362" i="1"/>
  <c r="AB441" i="2"/>
  <c r="BU441" i="3" s="1"/>
  <c r="BU61" i="3"/>
  <c r="AI245" i="4"/>
  <c r="AJ243" i="4"/>
  <c r="N369" i="2"/>
  <c r="N256" i="2"/>
  <c r="BG256" i="3" s="1"/>
  <c r="O16" i="2"/>
  <c r="BH16" i="3" s="1"/>
  <c r="BG36" i="3"/>
  <c r="AI29" i="4"/>
  <c r="AI35" i="4" s="1"/>
  <c r="AJ295" i="4"/>
  <c r="AK93" i="4"/>
  <c r="AK96" i="4" s="1"/>
  <c r="AJ1" i="4"/>
  <c r="CA80" i="3"/>
  <c r="AH236" i="2"/>
  <c r="AK144" i="4"/>
  <c r="AJ146" i="4"/>
  <c r="AI58" i="2"/>
  <c r="CB58" i="3" s="1"/>
  <c r="AI106" i="2"/>
  <c r="CB106" i="3" s="1"/>
  <c r="AI79" i="2"/>
  <c r="CB79" i="3" s="1"/>
  <c r="D37" i="9"/>
  <c r="AI53" i="2"/>
  <c r="CB53" i="3" s="1"/>
  <c r="AJ5" i="2"/>
  <c r="AJ30" i="4" s="1"/>
  <c r="AI109" i="2"/>
  <c r="AJ129" i="4"/>
  <c r="AI131" i="4"/>
  <c r="Y131" i="9"/>
  <c r="AI206" i="2"/>
  <c r="AH353" i="1" s="1"/>
  <c r="CB214" i="3"/>
  <c r="AK45" i="4"/>
  <c r="AJ46" i="4"/>
  <c r="BD85" i="9"/>
  <c r="AI338" i="3"/>
  <c r="AI509" i="3"/>
  <c r="AJ273" i="4"/>
  <c r="AI275" i="4"/>
  <c r="AJ207" i="4"/>
  <c r="AI209" i="4"/>
  <c r="AH174" i="2"/>
  <c r="AH65" i="2"/>
  <c r="CA62" i="3"/>
  <c r="AH452" i="2"/>
  <c r="CA452" i="3" s="1"/>
  <c r="AH173" i="2"/>
  <c r="CA78" i="3"/>
  <c r="AH234" i="2"/>
  <c r="AH14" i="5"/>
  <c r="AH211" i="5" s="1"/>
  <c r="CA23" i="3"/>
  <c r="AH431" i="2"/>
  <c r="CA431" i="3" s="1"/>
  <c r="AH111" i="2"/>
  <c r="CA109" i="3"/>
  <c r="AI230" i="4"/>
  <c r="AJ228" i="4"/>
  <c r="AK264" i="4"/>
  <c r="AK257" i="4"/>
  <c r="AK178" i="4"/>
  <c r="AK102" i="4"/>
  <c r="AL91" i="4"/>
  <c r="AK180" i="4"/>
  <c r="AK175" i="4"/>
  <c r="AK99" i="4"/>
  <c r="AJ119" i="4"/>
  <c r="AI121" i="4"/>
  <c r="AF41" i="2"/>
  <c r="AG39" i="2"/>
  <c r="BY39" i="3"/>
  <c r="BU44" i="3"/>
  <c r="AB46" i="2"/>
  <c r="AC44" i="2"/>
  <c r="BY172" i="3"/>
  <c r="AF278" i="2"/>
  <c r="BY278" i="3" s="1"/>
  <c r="AH453" i="3"/>
  <c r="AH443" i="3"/>
  <c r="AH172" i="3"/>
  <c r="AH278" i="3" s="1"/>
  <c r="AH289" i="3"/>
  <c r="AI161" i="4"/>
  <c r="AJ159" i="4"/>
  <c r="AI220" i="4"/>
  <c r="AJ218" i="4"/>
  <c r="AI206" i="3"/>
  <c r="AI40" i="3"/>
  <c r="AJ206" i="3"/>
  <c r="AJ80" i="3"/>
  <c r="AJ504" i="3"/>
  <c r="AJ495" i="3"/>
  <c r="AJ479" i="3"/>
  <c r="AJ68" i="3"/>
  <c r="AJ22" i="3"/>
  <c r="AK4" i="3"/>
  <c r="AJ108" i="3"/>
  <c r="AJ110" i="3" s="1"/>
  <c r="AJ105" i="3"/>
  <c r="AJ83" i="3"/>
  <c r="AJ69" i="3"/>
  <c r="AJ21" i="3"/>
  <c r="AJ81" i="3"/>
  <c r="C86" i="9"/>
  <c r="AJ67" i="3"/>
  <c r="AJ42" i="3"/>
  <c r="AJ23" i="3"/>
  <c r="AJ431" i="3" s="1"/>
  <c r="AJ1" i="5"/>
  <c r="AJ511" i="3"/>
  <c r="AJ82" i="3"/>
  <c r="AJ62" i="3"/>
  <c r="AJ78" i="3"/>
  <c r="AJ27" i="3"/>
  <c r="AJ435" i="3" s="1"/>
  <c r="AJ26" i="3"/>
  <c r="AJ434" i="3" s="1"/>
  <c r="AJ25" i="3"/>
  <c r="AJ433" i="3" s="1"/>
  <c r="AJ24" i="3"/>
  <c r="AJ432" i="3" s="1"/>
  <c r="AJ137" i="3"/>
  <c r="C134" i="9"/>
  <c r="AJ66" i="3"/>
  <c r="AJ209" i="3" s="1"/>
  <c r="AJ315" i="3"/>
  <c r="AI234" i="3"/>
  <c r="AA85" i="9" s="1"/>
  <c r="AI194" i="5"/>
  <c r="AD383" i="1"/>
  <c r="BX216" i="3"/>
  <c r="BU56" i="3"/>
  <c r="AC56" i="2"/>
  <c r="BV56" i="3" s="1"/>
  <c r="AJ187" i="4"/>
  <c r="AI189" i="4"/>
  <c r="N466" i="2"/>
  <c r="BG466" i="3" s="1"/>
  <c r="N299" i="2"/>
  <c r="BG299" i="3" s="1"/>
  <c r="BG125" i="3"/>
  <c r="AI235" i="4"/>
  <c r="AJ233" i="4"/>
  <c r="AI310" i="4"/>
  <c r="AI308" i="4"/>
  <c r="AI305" i="4"/>
  <c r="AI306" i="4"/>
  <c r="AI302" i="4"/>
  <c r="AI300" i="4"/>
  <c r="AI298" i="4"/>
  <c r="AI311" i="4"/>
  <c r="AI301" i="4"/>
  <c r="AI297" i="4"/>
  <c r="AI309" i="4"/>
  <c r="AI299" i="4"/>
  <c r="AI307" i="4"/>
  <c r="AI252" i="4"/>
  <c r="AI254" i="4" s="1"/>
  <c r="AI90" i="4"/>
  <c r="AI172" i="4"/>
  <c r="AI251" i="4"/>
  <c r="BZ217" i="3"/>
  <c r="CA120" i="3"/>
  <c r="AG325" i="3"/>
  <c r="BZ325" i="3" s="1"/>
  <c r="AG75" i="3"/>
  <c r="BZ75" i="3" s="1"/>
  <c r="BY60" i="3"/>
  <c r="AF107" i="5"/>
  <c r="AF134" i="5" s="1"/>
  <c r="S34" i="9"/>
  <c r="S130" i="9" s="1"/>
  <c r="AI142" i="3"/>
  <c r="AI144" i="3" s="1"/>
  <c r="AI144" i="2"/>
  <c r="AG490" i="3"/>
  <c r="BZ490" i="3" s="1"/>
  <c r="AG307" i="3"/>
  <c r="BZ307" i="3" s="1"/>
  <c r="AG74" i="3"/>
  <c r="BZ74" i="3" s="1"/>
  <c r="AJ264" i="2"/>
  <c r="AJ311" i="2"/>
  <c r="AJ214" i="2"/>
  <c r="AK7" i="2"/>
  <c r="E38" i="9"/>
  <c r="AI189" i="2"/>
  <c r="AG458" i="2"/>
  <c r="AG294" i="2"/>
  <c r="AX35" i="9"/>
  <c r="AH471" i="3"/>
  <c r="AH301" i="3"/>
  <c r="AH243" i="3"/>
  <c r="Y84" i="9"/>
  <c r="AH196" i="5"/>
  <c r="AH87" i="3"/>
  <c r="CA87" i="3" s="1"/>
  <c r="AH490" i="2"/>
  <c r="AH307" i="2"/>
  <c r="AH74" i="2"/>
  <c r="AI87" i="2"/>
  <c r="CA189" i="3"/>
  <c r="AG365" i="1"/>
  <c r="AH98" i="3"/>
  <c r="CA98" i="3" s="1"/>
  <c r="AH325" i="2"/>
  <c r="AI98" i="2"/>
  <c r="AH75" i="2"/>
  <c r="AF454" i="3"/>
  <c r="AF291" i="3"/>
  <c r="BY291" i="3" s="1"/>
  <c r="AS82" i="9"/>
  <c r="AS130" i="9" s="1"/>
  <c r="AF77" i="3"/>
  <c r="BY77" i="3" s="1"/>
  <c r="CA142" i="3"/>
  <c r="CA52" i="3"/>
  <c r="AH54" i="2"/>
  <c r="AG454" i="2"/>
  <c r="AG291" i="2"/>
  <c r="AS35" i="9"/>
  <c r="BZ87" i="3"/>
  <c r="BZ54" i="3"/>
  <c r="AG60" i="2"/>
  <c r="AF458" i="3"/>
  <c r="AF294" i="3"/>
  <c r="BY294" i="3" s="1"/>
  <c r="AX82" i="9"/>
  <c r="AX130" i="9" s="1"/>
  <c r="CA144" i="3"/>
  <c r="AH301" i="2"/>
  <c r="CA301" i="3" s="1"/>
  <c r="AH471" i="2"/>
  <c r="AH243" i="2"/>
  <c r="Y36" i="9"/>
  <c r="AH16" i="5"/>
  <c r="AG369" i="1"/>
  <c r="BY75" i="3"/>
  <c r="AI76" i="2"/>
  <c r="F184" i="3"/>
  <c r="S466" i="3"/>
  <c r="S299" i="3"/>
  <c r="S369" i="3"/>
  <c r="S372" i="3" s="1"/>
  <c r="S374" i="3" s="1"/>
  <c r="T367" i="3" s="1"/>
  <c r="S256" i="3"/>
  <c r="T16" i="3"/>
  <c r="AI120" i="3" l="1"/>
  <c r="AI157" i="3"/>
  <c r="AI155" i="3"/>
  <c r="AJ157" i="2"/>
  <c r="AJ155" i="2"/>
  <c r="AJ50" i="2"/>
  <c r="BZ215" i="3"/>
  <c r="AH77" i="2"/>
  <c r="CB311" i="3"/>
  <c r="BJ84" i="9"/>
  <c r="BJ132" i="9" s="1"/>
  <c r="AH465" i="3"/>
  <c r="BJ37" i="9"/>
  <c r="AI465" i="2"/>
  <c r="CA471" i="3"/>
  <c r="S85" i="9"/>
  <c r="CB50" i="3"/>
  <c r="AH210" i="5"/>
  <c r="AJ50" i="3"/>
  <c r="AJ52" i="3" s="1"/>
  <c r="AJ54" i="3" s="1"/>
  <c r="AJ60" i="3" s="1"/>
  <c r="S86" i="9" s="1"/>
  <c r="AI52" i="2"/>
  <c r="CB52" i="3" s="1"/>
  <c r="AI189" i="3"/>
  <c r="CA76" i="3"/>
  <c r="AJ103" i="4"/>
  <c r="CA243" i="3"/>
  <c r="AJ120" i="2"/>
  <c r="AJ354" i="2" s="1"/>
  <c r="CB187" i="3"/>
  <c r="AJ56" i="2"/>
  <c r="CC56" i="3" s="1"/>
  <c r="AJ142" i="2"/>
  <c r="AJ144" i="2" s="1"/>
  <c r="AJ40" i="3"/>
  <c r="AJ107" i="3"/>
  <c r="AJ235" i="3" s="1"/>
  <c r="AJ29" i="4"/>
  <c r="AJ35" i="4" s="1"/>
  <c r="AJ237" i="3"/>
  <c r="AC86" i="9" s="1"/>
  <c r="Y132" i="9"/>
  <c r="AJ51" i="2"/>
  <c r="AJ311" i="3"/>
  <c r="CC311" i="3" s="1"/>
  <c r="AD45" i="2"/>
  <c r="BV45" i="3"/>
  <c r="AI354" i="3"/>
  <c r="CB354" i="3" s="1"/>
  <c r="AI76" i="3"/>
  <c r="CB120" i="3"/>
  <c r="AJ179" i="3"/>
  <c r="AJ239" i="3"/>
  <c r="AH86" i="9"/>
  <c r="BQ86" i="9" s="1"/>
  <c r="AJ234" i="3"/>
  <c r="AA86" i="9" s="1"/>
  <c r="AJ194" i="5"/>
  <c r="AJ236" i="3"/>
  <c r="AB86" i="9" s="1"/>
  <c r="AJ121" i="4"/>
  <c r="AK119" i="4"/>
  <c r="AJ230" i="4"/>
  <c r="AK228" i="4"/>
  <c r="AL45" i="4"/>
  <c r="AK46" i="4"/>
  <c r="CB109" i="3"/>
  <c r="AI111" i="2"/>
  <c r="AL144" i="4"/>
  <c r="AK146" i="4"/>
  <c r="N372" i="2"/>
  <c r="BG369" i="3"/>
  <c r="CC186" i="3"/>
  <c r="AF36" i="9"/>
  <c r="AF132" i="9" s="1"/>
  <c r="AH235" i="2"/>
  <c r="CA235" i="3" s="1"/>
  <c r="CA107" i="3"/>
  <c r="E393" i="1"/>
  <c r="E385" i="1"/>
  <c r="E224" i="1"/>
  <c r="F89" i="5"/>
  <c r="F345" i="5" s="1"/>
  <c r="E371" i="1"/>
  <c r="P212" i="1" s="1"/>
  <c r="AY227" i="3"/>
  <c r="F228" i="2"/>
  <c r="AY228" i="3" s="1"/>
  <c r="BZ172" i="3"/>
  <c r="AG278" i="2"/>
  <c r="BZ278" i="3" s="1"/>
  <c r="AL124" i="4"/>
  <c r="AK126" i="4"/>
  <c r="AD57" i="2"/>
  <c r="BW55" i="3"/>
  <c r="AE55" i="2"/>
  <c r="AK223" i="4"/>
  <c r="AJ225" i="4"/>
  <c r="AY161" i="3"/>
  <c r="F163" i="2"/>
  <c r="CB186" i="3"/>
  <c r="CB62" i="3"/>
  <c r="AI173" i="2"/>
  <c r="AI452" i="2"/>
  <c r="CB452" i="3" s="1"/>
  <c r="AI174" i="2"/>
  <c r="AI65" i="2"/>
  <c r="CB23" i="3"/>
  <c r="AI431" i="2"/>
  <c r="CB431" i="3" s="1"/>
  <c r="CB27" i="3"/>
  <c r="AI435" i="2"/>
  <c r="CB435" i="3" s="1"/>
  <c r="AI236" i="2"/>
  <c r="CB80" i="3"/>
  <c r="AH172" i="2"/>
  <c r="CA70" i="3"/>
  <c r="AH289" i="2"/>
  <c r="AH453" i="2"/>
  <c r="AH443" i="2"/>
  <c r="AK156" i="4"/>
  <c r="AL154" i="4"/>
  <c r="CD21" i="3"/>
  <c r="CD206" i="3"/>
  <c r="CE4" i="3"/>
  <c r="AJ111" i="4"/>
  <c r="AK109" i="4"/>
  <c r="AH255" i="4"/>
  <c r="AG258" i="4"/>
  <c r="AK233" i="4"/>
  <c r="AJ235" i="4"/>
  <c r="AJ70" i="3"/>
  <c r="AJ192" i="5" s="1"/>
  <c r="U86" i="9"/>
  <c r="AJ452" i="3"/>
  <c r="AJ65" i="3"/>
  <c r="AJ174" i="3"/>
  <c r="AJ280" i="3" s="1"/>
  <c r="AJ173" i="3"/>
  <c r="AJ279" i="3" s="1"/>
  <c r="AK504" i="3"/>
  <c r="AK105" i="3"/>
  <c r="AK83" i="3"/>
  <c r="AK108" i="3"/>
  <c r="AK110" i="3" s="1"/>
  <c r="AK69" i="3"/>
  <c r="AK21" i="3"/>
  <c r="AK511" i="3"/>
  <c r="AK82" i="3"/>
  <c r="AK66" i="3"/>
  <c r="AK209" i="3" s="1"/>
  <c r="AK62" i="3"/>
  <c r="AL4" i="3"/>
  <c r="C87" i="9"/>
  <c r="AK479" i="3"/>
  <c r="AK137" i="3"/>
  <c r="AK80" i="3"/>
  <c r="AK22" i="3"/>
  <c r="AK495" i="3"/>
  <c r="AK78" i="3"/>
  <c r="AK67" i="3"/>
  <c r="AK42" i="3"/>
  <c r="AK27" i="3"/>
  <c r="AK435" i="3" s="1"/>
  <c r="AK26" i="3"/>
  <c r="AK434" i="3" s="1"/>
  <c r="AK25" i="3"/>
  <c r="AK433" i="3" s="1"/>
  <c r="AK24" i="3"/>
  <c r="AK432" i="3" s="1"/>
  <c r="AK23" i="3"/>
  <c r="AK431" i="3" s="1"/>
  <c r="AK1" i="5"/>
  <c r="AK81" i="3"/>
  <c r="AK68" i="3"/>
  <c r="C135" i="9"/>
  <c r="AK315" i="3"/>
  <c r="AJ220" i="4"/>
  <c r="AK218" i="4"/>
  <c r="AC46" i="2"/>
  <c r="BV44" i="3"/>
  <c r="AD44" i="2"/>
  <c r="AG41" i="2"/>
  <c r="BZ39" i="3"/>
  <c r="AH39" i="2"/>
  <c r="AH442" i="2"/>
  <c r="CA442" i="3" s="1"/>
  <c r="T36" i="9"/>
  <c r="T132" i="9" s="1"/>
  <c r="CA65" i="3"/>
  <c r="AJ209" i="4"/>
  <c r="AK207" i="4"/>
  <c r="AK5" i="2"/>
  <c r="AJ106" i="2"/>
  <c r="CC106" i="3" s="1"/>
  <c r="AJ79" i="2"/>
  <c r="CC79" i="3" s="1"/>
  <c r="AJ53" i="2"/>
  <c r="CC53" i="3" s="1"/>
  <c r="D38" i="9"/>
  <c r="AJ58" i="2"/>
  <c r="CC58" i="3" s="1"/>
  <c r="AJ109" i="2"/>
  <c r="CA236" i="3"/>
  <c r="AB36" i="9"/>
  <c r="AB132" i="9" s="1"/>
  <c r="AK243" i="4"/>
  <c r="AJ245" i="4"/>
  <c r="BW49" i="3"/>
  <c r="AD106" i="5"/>
  <c r="AD61" i="2"/>
  <c r="R32" i="9"/>
  <c r="R128" i="9" s="1"/>
  <c r="AJ194" i="4"/>
  <c r="AK192" i="4"/>
  <c r="AK177" i="4"/>
  <c r="AK181" i="4" s="1"/>
  <c r="AK188" i="2" s="1"/>
  <c r="AL11" i="4"/>
  <c r="AK98" i="4"/>
  <c r="AJ204" i="4"/>
  <c r="AK202" i="4"/>
  <c r="AJ270" i="4"/>
  <c r="AK268" i="4"/>
  <c r="AL40" i="4"/>
  <c r="AM39" i="4"/>
  <c r="BV57" i="3"/>
  <c r="AC59" i="2"/>
  <c r="BV59" i="3" s="1"/>
  <c r="AI442" i="3"/>
  <c r="T85" i="9"/>
  <c r="AJ199" i="4"/>
  <c r="AK197" i="4"/>
  <c r="AE441" i="3"/>
  <c r="AE242" i="3"/>
  <c r="AE151" i="3"/>
  <c r="AE451" i="3"/>
  <c r="AE288" i="3"/>
  <c r="AE193" i="5"/>
  <c r="AE128" i="5"/>
  <c r="AE130" i="5" s="1"/>
  <c r="CB108" i="3"/>
  <c r="AI110" i="2"/>
  <c r="CB24" i="3"/>
  <c r="AI432" i="2"/>
  <c r="CB432" i="3" s="1"/>
  <c r="CB137" i="3"/>
  <c r="AH358" i="1"/>
  <c r="AH37" i="9"/>
  <c r="AI179" i="2"/>
  <c r="CB179" i="3" s="1"/>
  <c r="AI239" i="2"/>
  <c r="CB239" i="3" s="1"/>
  <c r="CB82" i="3"/>
  <c r="AI237" i="2"/>
  <c r="CA237" i="3"/>
  <c r="AC36" i="9"/>
  <c r="AC132" i="9" s="1"/>
  <c r="AG41" i="3"/>
  <c r="AG43" i="3" s="1"/>
  <c r="AG49" i="3" s="1"/>
  <c r="AH39" i="3"/>
  <c r="AK164" i="4"/>
  <c r="AJ166" i="4"/>
  <c r="AK139" i="4"/>
  <c r="AJ141" i="4"/>
  <c r="AH132" i="9"/>
  <c r="BQ36" i="9"/>
  <c r="BQ132" i="9" s="1"/>
  <c r="AJ407" i="5"/>
  <c r="AJ430" i="3"/>
  <c r="BU46" i="3"/>
  <c r="AB48" i="2"/>
  <c r="BU48" i="3" s="1"/>
  <c r="BY41" i="3"/>
  <c r="AF43" i="2"/>
  <c r="AK186" i="3"/>
  <c r="AK34" i="4"/>
  <c r="AK186" i="2"/>
  <c r="AL257" i="4"/>
  <c r="AL264" i="4"/>
  <c r="AM91" i="4"/>
  <c r="AL178" i="4"/>
  <c r="AL180" i="4"/>
  <c r="AL102" i="4"/>
  <c r="AL99" i="4"/>
  <c r="CA173" i="3"/>
  <c r="AH279" i="2"/>
  <c r="CA279" i="3" s="1"/>
  <c r="CA174" i="3"/>
  <c r="AH280" i="2"/>
  <c r="CA280" i="3" s="1"/>
  <c r="AJ131" i="4"/>
  <c r="AK129" i="4"/>
  <c r="AK295" i="4"/>
  <c r="AL93" i="4"/>
  <c r="AL175" i="4" s="1"/>
  <c r="AK1" i="4"/>
  <c r="BU151" i="3"/>
  <c r="AB152" i="2"/>
  <c r="BU152" i="3" s="1"/>
  <c r="AB164" i="2"/>
  <c r="BU164" i="3" s="1"/>
  <c r="AE383" i="1"/>
  <c r="BY216" i="3"/>
  <c r="AH337" i="2"/>
  <c r="CA338" i="3" s="1"/>
  <c r="CA110" i="3"/>
  <c r="AZ36" i="9"/>
  <c r="AZ132" i="9" s="1"/>
  <c r="AH112" i="2"/>
  <c r="AJ214" i="3"/>
  <c r="CC214" i="3" s="1"/>
  <c r="AJ187" i="3"/>
  <c r="CC187" i="3" s="1"/>
  <c r="AJ264" i="3"/>
  <c r="AK7" i="3"/>
  <c r="AK51" i="3" s="1"/>
  <c r="E86" i="9"/>
  <c r="AJ188" i="3"/>
  <c r="CC188" i="3" s="1"/>
  <c r="AJ3" i="5"/>
  <c r="E134" i="9"/>
  <c r="AL114" i="4"/>
  <c r="AK116" i="4"/>
  <c r="AC441" i="2"/>
  <c r="BV441" i="3" s="1"/>
  <c r="BV61" i="3"/>
  <c r="AC451" i="2"/>
  <c r="BV451" i="3" s="1"/>
  <c r="AC242" i="2"/>
  <c r="BV242" i="3" s="1"/>
  <c r="AC151" i="2"/>
  <c r="AC288" i="2"/>
  <c r="BV288" i="3" s="1"/>
  <c r="AC13" i="5"/>
  <c r="AC209" i="5" s="1"/>
  <c r="AB362" i="1"/>
  <c r="AL43" i="4"/>
  <c r="AK44" i="4"/>
  <c r="B291" i="1"/>
  <c r="B338" i="1" s="1"/>
  <c r="Z292" i="1"/>
  <c r="AJ240" i="4"/>
  <c r="AK238" i="4"/>
  <c r="CB209" i="3"/>
  <c r="AH379" i="1"/>
  <c r="CB105" i="3"/>
  <c r="AI107" i="2"/>
  <c r="CB25" i="3"/>
  <c r="AI433" i="2"/>
  <c r="CB433" i="3" s="1"/>
  <c r="CB68" i="3"/>
  <c r="V37" i="9"/>
  <c r="V133" i="9" s="1"/>
  <c r="CB22" i="3"/>
  <c r="AI430" i="2"/>
  <c r="CB430" i="3" s="1"/>
  <c r="U132" i="9"/>
  <c r="AJ51" i="3"/>
  <c r="BD86" i="9"/>
  <c r="AJ338" i="3"/>
  <c r="AJ509" i="3"/>
  <c r="AK97" i="4"/>
  <c r="AK176" i="4"/>
  <c r="AK187" i="2" s="1"/>
  <c r="AL14" i="4"/>
  <c r="AF61" i="3"/>
  <c r="AF126" i="5"/>
  <c r="R82" i="9"/>
  <c r="AJ284" i="4"/>
  <c r="AK282" i="4"/>
  <c r="AI443" i="3"/>
  <c r="AI289" i="3"/>
  <c r="AI453" i="3"/>
  <c r="AI172" i="3"/>
  <c r="AI278" i="3" s="1"/>
  <c r="AG216" i="3"/>
  <c r="AG216" i="2"/>
  <c r="AJ189" i="4"/>
  <c r="AK187" i="4"/>
  <c r="AJ337" i="3"/>
  <c r="AJ112" i="3"/>
  <c r="AZ86" i="9"/>
  <c r="V86" i="9"/>
  <c r="AK159" i="4"/>
  <c r="AJ161" i="4"/>
  <c r="BD36" i="9"/>
  <c r="BD132" i="9" s="1"/>
  <c r="AH338" i="2"/>
  <c r="CA339" i="3" s="1"/>
  <c r="AH509" i="2"/>
  <c r="CA509" i="3" s="1"/>
  <c r="CA111" i="3"/>
  <c r="CA234" i="3"/>
  <c r="AA36" i="9"/>
  <c r="AA132" i="9" s="1"/>
  <c r="CA209" i="3"/>
  <c r="AG379" i="1"/>
  <c r="AJ275" i="4"/>
  <c r="AK273" i="4"/>
  <c r="AJ311" i="4"/>
  <c r="AJ308" i="4"/>
  <c r="AJ307" i="4"/>
  <c r="AJ310" i="4"/>
  <c r="AJ309" i="4"/>
  <c r="AJ306" i="4"/>
  <c r="AJ305" i="4"/>
  <c r="AJ299" i="4"/>
  <c r="AJ300" i="4"/>
  <c r="AJ302" i="4"/>
  <c r="AJ297" i="4"/>
  <c r="AJ301" i="4"/>
  <c r="AJ298" i="4"/>
  <c r="AJ90" i="4"/>
  <c r="AJ252" i="4"/>
  <c r="AJ254" i="4" s="1"/>
  <c r="AJ172" i="4"/>
  <c r="AJ251" i="4"/>
  <c r="AI178" i="3"/>
  <c r="AI463" i="3"/>
  <c r="AI297" i="3"/>
  <c r="AE49" i="2"/>
  <c r="BX43" i="3"/>
  <c r="AK151" i="4"/>
  <c r="AL149" i="4"/>
  <c r="AD152" i="3"/>
  <c r="AD164" i="3"/>
  <c r="AI261" i="4"/>
  <c r="AH217" i="3"/>
  <c r="AH217" i="2"/>
  <c r="AK100" i="4"/>
  <c r="AL92" i="4"/>
  <c r="AC108" i="5"/>
  <c r="AC110" i="5" s="1"/>
  <c r="AC137" i="5" s="1"/>
  <c r="AC143" i="5" s="1"/>
  <c r="AC133" i="5"/>
  <c r="AC135" i="5" s="1"/>
  <c r="AI235" i="3"/>
  <c r="AF85" i="9"/>
  <c r="BZ40" i="3"/>
  <c r="AH40" i="2"/>
  <c r="CB66" i="3"/>
  <c r="U37" i="9"/>
  <c r="U133" i="9" s="1"/>
  <c r="AI70" i="2"/>
  <c r="AH376" i="1"/>
  <c r="AJ504" i="2"/>
  <c r="CC504" i="3" s="1"/>
  <c r="AJ137" i="2"/>
  <c r="AJ130" i="2"/>
  <c r="CC130" i="3" s="1"/>
  <c r="AJ83" i="2"/>
  <c r="CC83" i="3" s="1"/>
  <c r="AJ68" i="2"/>
  <c r="AJ66" i="2"/>
  <c r="AJ209" i="2" s="1"/>
  <c r="AJ47" i="2"/>
  <c r="CC47" i="3" s="1"/>
  <c r="AJ27" i="2"/>
  <c r="AJ26" i="2"/>
  <c r="AJ25" i="2"/>
  <c r="AJ24" i="2"/>
  <c r="AJ23" i="2"/>
  <c r="AJ511" i="2"/>
  <c r="CC511" i="3" s="1"/>
  <c r="AJ69" i="2"/>
  <c r="CC69" i="3" s="1"/>
  <c r="AJ495" i="2"/>
  <c r="CC495" i="3" s="1"/>
  <c r="AJ105" i="2"/>
  <c r="AJ81" i="2"/>
  <c r="CC81" i="3" s="1"/>
  <c r="AJ42" i="2"/>
  <c r="CC42" i="3" s="1"/>
  <c r="AJ22" i="2"/>
  <c r="AJ315" i="2"/>
  <c r="CC315" i="3" s="1"/>
  <c r="AJ21" i="2"/>
  <c r="AK4" i="2"/>
  <c r="AK29" i="4" s="1"/>
  <c r="AJ80" i="2"/>
  <c r="AJ389" i="2"/>
  <c r="AJ131" i="2"/>
  <c r="CC131" i="3" s="1"/>
  <c r="AJ78" i="2"/>
  <c r="C38" i="9"/>
  <c r="AJ67" i="2"/>
  <c r="CC67" i="3" s="1"/>
  <c r="AJ479" i="2"/>
  <c r="CC479" i="3" s="1"/>
  <c r="AJ82" i="2"/>
  <c r="AJ62" i="2"/>
  <c r="AJ108" i="2"/>
  <c r="CB26" i="3"/>
  <c r="AI434" i="2"/>
  <c r="CB434" i="3" s="1"/>
  <c r="CB78" i="3"/>
  <c r="AI14" i="5"/>
  <c r="AI211" i="5" s="1"/>
  <c r="AI234" i="2"/>
  <c r="AK109" i="3"/>
  <c r="AK111" i="3" s="1"/>
  <c r="AK79" i="3"/>
  <c r="AK50" i="3"/>
  <c r="AK52" i="3" s="1"/>
  <c r="AL5" i="3"/>
  <c r="AK2" i="5"/>
  <c r="D135" i="9"/>
  <c r="AK106" i="3"/>
  <c r="AK53" i="3"/>
  <c r="D87" i="9"/>
  <c r="AL42" i="4"/>
  <c r="AM41" i="4"/>
  <c r="AJ289" i="4"/>
  <c r="AK287" i="4"/>
  <c r="AI262" i="4"/>
  <c r="AH215" i="3"/>
  <c r="AH265" i="4"/>
  <c r="AH215" i="2"/>
  <c r="CB144" i="3"/>
  <c r="AI471" i="2"/>
  <c r="AI243" i="2"/>
  <c r="AI301" i="2"/>
  <c r="Y37" i="9"/>
  <c r="AI16" i="5"/>
  <c r="AH369" i="1"/>
  <c r="AI54" i="2"/>
  <c r="CA54" i="3"/>
  <c r="AH60" i="2"/>
  <c r="CB189" i="3"/>
  <c r="AH365" i="1"/>
  <c r="AK264" i="2"/>
  <c r="AK214" i="2"/>
  <c r="E39" i="9"/>
  <c r="AL7" i="2"/>
  <c r="AI471" i="3"/>
  <c r="AI301" i="3"/>
  <c r="AI243" i="3"/>
  <c r="AI196" i="5"/>
  <c r="Y85" i="9"/>
  <c r="S35" i="9"/>
  <c r="S131" i="9" s="1"/>
  <c r="BZ60" i="3"/>
  <c r="AG107" i="5"/>
  <c r="AG134" i="5" s="1"/>
  <c r="AH458" i="2"/>
  <c r="AH294" i="2"/>
  <c r="AX36" i="9"/>
  <c r="AH325" i="3"/>
  <c r="CA325" i="3" s="1"/>
  <c r="AH75" i="3"/>
  <c r="AI87" i="3"/>
  <c r="AI490" i="2"/>
  <c r="AI307" i="2"/>
  <c r="AI74" i="2"/>
  <c r="AJ87" i="2"/>
  <c r="AG454" i="3"/>
  <c r="AG291" i="3"/>
  <c r="BZ291" i="3" s="1"/>
  <c r="AS83" i="9"/>
  <c r="AS131" i="9" s="1"/>
  <c r="AG77" i="3"/>
  <c r="BZ77" i="3" s="1"/>
  <c r="CB142" i="3"/>
  <c r="AG458" i="3"/>
  <c r="AG294" i="3"/>
  <c r="BZ294" i="3" s="1"/>
  <c r="AX83" i="9"/>
  <c r="AX131" i="9" s="1"/>
  <c r="AI98" i="3"/>
  <c r="CB98" i="3" s="1"/>
  <c r="AI325" i="2"/>
  <c r="AI75" i="2"/>
  <c r="AJ98" i="2"/>
  <c r="AH454" i="2"/>
  <c r="AH291" i="2"/>
  <c r="AS36" i="9"/>
  <c r="AH490" i="3"/>
  <c r="CA490" i="3" s="1"/>
  <c r="AH307" i="3"/>
  <c r="CA307" i="3" s="1"/>
  <c r="AH74" i="3"/>
  <c r="AJ52" i="2"/>
  <c r="CC50" i="3"/>
  <c r="AJ189" i="2"/>
  <c r="F95" i="4"/>
  <c r="F191" i="3"/>
  <c r="F266" i="3"/>
  <c r="F270" i="3" s="1"/>
  <c r="F330" i="5"/>
  <c r="F398" i="5"/>
  <c r="T124" i="3"/>
  <c r="T36" i="3" s="1"/>
  <c r="T369" i="3" s="1"/>
  <c r="AK157" i="2" l="1"/>
  <c r="AK155" i="2"/>
  <c r="AJ120" i="3"/>
  <c r="AJ157" i="3"/>
  <c r="AJ155" i="3"/>
  <c r="AF86" i="9"/>
  <c r="AI38" i="4"/>
  <c r="AI62" i="4"/>
  <c r="AI75" i="4"/>
  <c r="AJ38" i="4"/>
  <c r="AJ75" i="4"/>
  <c r="AJ62" i="4"/>
  <c r="AJ127" i="5"/>
  <c r="BJ85" i="9"/>
  <c r="BJ133" i="9" s="1"/>
  <c r="AI465" i="3"/>
  <c r="AJ76" i="2"/>
  <c r="V87" i="9"/>
  <c r="CB76" i="3"/>
  <c r="CA217" i="3"/>
  <c r="CC51" i="3"/>
  <c r="AK51" i="2"/>
  <c r="CD51" i="3" s="1"/>
  <c r="AI77" i="2"/>
  <c r="AK103" i="4"/>
  <c r="AK30" i="4"/>
  <c r="AK35" i="4" s="1"/>
  <c r="AK142" i="2"/>
  <c r="AK142" i="3" s="1"/>
  <c r="AK144" i="3" s="1"/>
  <c r="AK120" i="2"/>
  <c r="AK76" i="2" s="1"/>
  <c r="AK50" i="2"/>
  <c r="CD50" i="3" s="1"/>
  <c r="AK311" i="2"/>
  <c r="AJ142" i="3"/>
  <c r="AK206" i="2"/>
  <c r="AJ353" i="1" s="1"/>
  <c r="AK56" i="2"/>
  <c r="CD56" i="3" s="1"/>
  <c r="AL96" i="4"/>
  <c r="AL98" i="4" s="1"/>
  <c r="AK237" i="3"/>
  <c r="AC87" i="9" s="1"/>
  <c r="BW45" i="3"/>
  <c r="AE45" i="2"/>
  <c r="AJ354" i="3"/>
  <c r="CC354" i="3" s="1"/>
  <c r="AJ76" i="3"/>
  <c r="CC120" i="3"/>
  <c r="CA215" i="3"/>
  <c r="AK289" i="4"/>
  <c r="AL287" i="4"/>
  <c r="AK54" i="3"/>
  <c r="AK60" i="3" s="1"/>
  <c r="CC82" i="3"/>
  <c r="AJ237" i="2"/>
  <c r="CC80" i="3"/>
  <c r="AJ236" i="2"/>
  <c r="CC22" i="3"/>
  <c r="AJ430" i="2"/>
  <c r="CC430" i="3" s="1"/>
  <c r="CC24" i="3"/>
  <c r="AJ432" i="2"/>
  <c r="CC432" i="3" s="1"/>
  <c r="AL282" i="4"/>
  <c r="AK284" i="4"/>
  <c r="AF441" i="3"/>
  <c r="AF151" i="3"/>
  <c r="AF451" i="3"/>
  <c r="AF128" i="5"/>
  <c r="AF130" i="5" s="1"/>
  <c r="AF242" i="3"/>
  <c r="AF193" i="5"/>
  <c r="AF288" i="3"/>
  <c r="AF37" i="9"/>
  <c r="AF133" i="9" s="1"/>
  <c r="AI235" i="2"/>
  <c r="CB235" i="3" s="1"/>
  <c r="CB107" i="3"/>
  <c r="AL238" i="4"/>
  <c r="AK240" i="4"/>
  <c r="AK264" i="3"/>
  <c r="AK214" i="3"/>
  <c r="CD214" i="3" s="1"/>
  <c r="AK3" i="5"/>
  <c r="AK188" i="3"/>
  <c r="CD188" i="3" s="1"/>
  <c r="AK187" i="3"/>
  <c r="CD187" i="3" s="1"/>
  <c r="E87" i="9"/>
  <c r="E135" i="9"/>
  <c r="AL7" i="3"/>
  <c r="AL51" i="3" s="1"/>
  <c r="AH178" i="2"/>
  <c r="CA178" i="3" s="1"/>
  <c r="AH297" i="2"/>
  <c r="CA297" i="3" s="1"/>
  <c r="AH463" i="2"/>
  <c r="CA463" i="3" s="1"/>
  <c r="CA112" i="3"/>
  <c r="AK166" i="4"/>
  <c r="AL164" i="4"/>
  <c r="AE164" i="3"/>
  <c r="AE152" i="3"/>
  <c r="AL177" i="4"/>
  <c r="AL181" i="4" s="1"/>
  <c r="AL188" i="2" s="1"/>
  <c r="AM11" i="4"/>
  <c r="AK106" i="2"/>
  <c r="CD106" i="3" s="1"/>
  <c r="AK79" i="2"/>
  <c r="CD79" i="3" s="1"/>
  <c r="D39" i="9"/>
  <c r="AK58" i="2"/>
  <c r="CD58" i="3" s="1"/>
  <c r="AK53" i="2"/>
  <c r="CD53" i="3" s="1"/>
  <c r="AL5" i="2"/>
  <c r="AL30" i="4" s="1"/>
  <c r="AK109" i="2"/>
  <c r="BV46" i="3"/>
  <c r="AC48" i="2"/>
  <c r="BV48" i="3" s="1"/>
  <c r="AK452" i="3"/>
  <c r="AK174" i="3"/>
  <c r="AK280" i="3" s="1"/>
  <c r="AK65" i="3"/>
  <c r="AK173" i="3"/>
  <c r="AK279" i="3" s="1"/>
  <c r="AK206" i="3"/>
  <c r="AK107" i="3"/>
  <c r="AK235" i="4"/>
  <c r="AL233" i="4"/>
  <c r="AL109" i="4"/>
  <c r="AK111" i="4"/>
  <c r="CA443" i="3"/>
  <c r="CA172" i="3"/>
  <c r="AH278" i="2"/>
  <c r="CB65" i="3"/>
  <c r="T37" i="9"/>
  <c r="T133" i="9" s="1"/>
  <c r="AI442" i="2"/>
  <c r="CB442" i="3" s="1"/>
  <c r="BW57" i="3"/>
  <c r="AD59" i="2"/>
  <c r="BW59" i="3" s="1"/>
  <c r="CB111" i="3"/>
  <c r="AI338" i="2"/>
  <c r="CB339" i="3" s="1"/>
  <c r="AI509" i="2"/>
  <c r="CB509" i="3" s="1"/>
  <c r="BD37" i="9"/>
  <c r="BD133" i="9" s="1"/>
  <c r="AL228" i="4"/>
  <c r="AK230" i="4"/>
  <c r="AH216" i="3"/>
  <c r="AH216" i="2"/>
  <c r="AJ110" i="2"/>
  <c r="CC108" i="3"/>
  <c r="AJ234" i="2"/>
  <c r="CC78" i="3"/>
  <c r="AJ14" i="5"/>
  <c r="AJ211" i="5" s="1"/>
  <c r="AK511" i="2"/>
  <c r="CD511" i="3" s="1"/>
  <c r="AK495" i="2"/>
  <c r="CD495" i="3" s="1"/>
  <c r="AK479" i="2"/>
  <c r="CD479" i="3" s="1"/>
  <c r="AK105" i="2"/>
  <c r="AK81" i="2"/>
  <c r="CD81" i="3" s="1"/>
  <c r="AK42" i="2"/>
  <c r="CD42" i="3" s="1"/>
  <c r="AK22" i="2"/>
  <c r="AK82" i="2"/>
  <c r="AK78" i="2"/>
  <c r="AK67" i="2"/>
  <c r="CD67" i="3" s="1"/>
  <c r="AK62" i="2"/>
  <c r="AK315" i="2"/>
  <c r="CD315" i="3" s="1"/>
  <c r="AK69" i="2"/>
  <c r="CD69" i="3" s="1"/>
  <c r="AK21" i="2"/>
  <c r="AL4" i="2"/>
  <c r="AL311" i="2" s="1"/>
  <c r="C39" i="9"/>
  <c r="AK389" i="2"/>
  <c r="AK131" i="2"/>
  <c r="CD131" i="3" s="1"/>
  <c r="AK80" i="2"/>
  <c r="AK137" i="2"/>
  <c r="AK68" i="2"/>
  <c r="AK66" i="2"/>
  <c r="AK209" i="2" s="1"/>
  <c r="AK27" i="2"/>
  <c r="AK130" i="2"/>
  <c r="CD130" i="3" s="1"/>
  <c r="AK83" i="2"/>
  <c r="CD83" i="3" s="1"/>
  <c r="AK24" i="2"/>
  <c r="AK504" i="2"/>
  <c r="CD504" i="3" s="1"/>
  <c r="AK25" i="2"/>
  <c r="AK23" i="2"/>
  <c r="AK26" i="2"/>
  <c r="AK47" i="2"/>
  <c r="CD47" i="3" s="1"/>
  <c r="AK108" i="2"/>
  <c r="AJ433" i="2"/>
  <c r="CC433" i="3" s="1"/>
  <c r="CC25" i="3"/>
  <c r="AJ70" i="2"/>
  <c r="AJ12" i="5" s="1"/>
  <c r="AJ208" i="5" s="1"/>
  <c r="AI376" i="1"/>
  <c r="U38" i="9"/>
  <c r="U134" i="9" s="1"/>
  <c r="CC66" i="3"/>
  <c r="CC137" i="3"/>
  <c r="AJ239" i="2"/>
  <c r="CC239" i="3" s="1"/>
  <c r="AJ179" i="2"/>
  <c r="CC179" i="3" s="1"/>
  <c r="AH38" i="9"/>
  <c r="AI358" i="1"/>
  <c r="CA40" i="3"/>
  <c r="AI40" i="2"/>
  <c r="R33" i="9"/>
  <c r="R129" i="9" s="1"/>
  <c r="BX49" i="3"/>
  <c r="AE61" i="2"/>
  <c r="AE106" i="5"/>
  <c r="AJ463" i="3"/>
  <c r="AJ178" i="3"/>
  <c r="AJ297" i="3"/>
  <c r="AL176" i="4"/>
  <c r="AL187" i="2" s="1"/>
  <c r="AM14" i="4"/>
  <c r="AM43" i="4"/>
  <c r="AL44" i="4"/>
  <c r="AC152" i="2"/>
  <c r="BV152" i="3" s="1"/>
  <c r="AC164" i="2"/>
  <c r="BV164" i="3" s="1"/>
  <c r="BV151" i="3"/>
  <c r="AJ411" i="5"/>
  <c r="AK311" i="4"/>
  <c r="AK310" i="4"/>
  <c r="AK309" i="4"/>
  <c r="AK308" i="4"/>
  <c r="AK307" i="4"/>
  <c r="AK306" i="4"/>
  <c r="AK302" i="4"/>
  <c r="AK301" i="4"/>
  <c r="AK300" i="4"/>
  <c r="AK299" i="4"/>
  <c r="AK298" i="4"/>
  <c r="AK305" i="4"/>
  <c r="AK297" i="4"/>
  <c r="AK90" i="4"/>
  <c r="AK252" i="4"/>
  <c r="AK254" i="4" s="1"/>
  <c r="AK172" i="4"/>
  <c r="AK251" i="4"/>
  <c r="AH41" i="3"/>
  <c r="AH43" i="3" s="1"/>
  <c r="AH49" i="3" s="1"/>
  <c r="AI39" i="3"/>
  <c r="CB237" i="3"/>
  <c r="AC37" i="9"/>
  <c r="AC133" i="9" s="1"/>
  <c r="AH133" i="9"/>
  <c r="BQ37" i="9"/>
  <c r="BQ133" i="9" s="1"/>
  <c r="AM40" i="4"/>
  <c r="AN39" i="4"/>
  <c r="AK204" i="4"/>
  <c r="AL202" i="4"/>
  <c r="AD242" i="2"/>
  <c r="BW242" i="3" s="1"/>
  <c r="AC362" i="1"/>
  <c r="AD151" i="2"/>
  <c r="AD288" i="2"/>
  <c r="BW288" i="3" s="1"/>
  <c r="AD441" i="2"/>
  <c r="BW441" i="3" s="1"/>
  <c r="AD13" i="5"/>
  <c r="AD209" i="5" s="1"/>
  <c r="AD451" i="2"/>
  <c r="BW451" i="3" s="1"/>
  <c r="BW61" i="3"/>
  <c r="AK245" i="4"/>
  <c r="AL243" i="4"/>
  <c r="AK209" i="4"/>
  <c r="AL207" i="4"/>
  <c r="AG43" i="2"/>
  <c r="BZ41" i="3"/>
  <c r="AK220" i="4"/>
  <c r="AL218" i="4"/>
  <c r="AK311" i="3"/>
  <c r="AK430" i="3"/>
  <c r="AK407" i="5"/>
  <c r="AK40" i="3"/>
  <c r="AK337" i="3"/>
  <c r="AK112" i="3"/>
  <c r="AZ87" i="9"/>
  <c r="AM154" i="4"/>
  <c r="AL156" i="4"/>
  <c r="CA453" i="3"/>
  <c r="CB174" i="3"/>
  <c r="AI280" i="2"/>
  <c r="CB280" i="3" s="1"/>
  <c r="AK225" i="4"/>
  <c r="AL223" i="4"/>
  <c r="N374" i="2"/>
  <c r="BG372" i="3"/>
  <c r="AN41" i="4"/>
  <c r="AM42" i="4"/>
  <c r="BD87" i="9"/>
  <c r="AK338" i="3"/>
  <c r="AK509" i="3"/>
  <c r="CC209" i="3"/>
  <c r="AI379" i="1"/>
  <c r="CC26" i="3"/>
  <c r="AJ434" i="2"/>
  <c r="CC434" i="3" s="1"/>
  <c r="CC68" i="3"/>
  <c r="V38" i="9"/>
  <c r="V134" i="9" s="1"/>
  <c r="AI453" i="2"/>
  <c r="CB453" i="3" s="1"/>
  <c r="AI443" i="2"/>
  <c r="CB443" i="3" s="1"/>
  <c r="CB70" i="3"/>
  <c r="AI289" i="2"/>
  <c r="CB289" i="3" s="1"/>
  <c r="AI172" i="2"/>
  <c r="AL151" i="4"/>
  <c r="AM149" i="4"/>
  <c r="AK275" i="4"/>
  <c r="AL273" i="4"/>
  <c r="AK161" i="4"/>
  <c r="AL159" i="4"/>
  <c r="BZ216" i="3"/>
  <c r="AF383" i="1"/>
  <c r="B292" i="1"/>
  <c r="B339" i="1" s="1"/>
  <c r="Z293" i="1"/>
  <c r="AJ189" i="3"/>
  <c r="CC189" i="3" s="1"/>
  <c r="AL129" i="4"/>
  <c r="AK131" i="4"/>
  <c r="AF49" i="2"/>
  <c r="BY43" i="3"/>
  <c r="AL139" i="4"/>
  <c r="AK141" i="4"/>
  <c r="AG61" i="3"/>
  <c r="AG126" i="5"/>
  <c r="R83" i="9"/>
  <c r="AZ37" i="9"/>
  <c r="AZ133" i="9" s="1"/>
  <c r="CB110" i="3"/>
  <c r="AI337" i="2"/>
  <c r="CB338" i="3" s="1"/>
  <c r="AI112" i="2"/>
  <c r="AK194" i="4"/>
  <c r="AL192" i="4"/>
  <c r="AD108" i="5"/>
  <c r="AD110" i="5" s="1"/>
  <c r="AD137" i="5" s="1"/>
  <c r="AD143" i="5" s="1"/>
  <c r="AD133" i="5"/>
  <c r="AD135" i="5" s="1"/>
  <c r="AJ111" i="2"/>
  <c r="CC109" i="3"/>
  <c r="BW44" i="3"/>
  <c r="AD46" i="2"/>
  <c r="AE44" i="2"/>
  <c r="AK236" i="3"/>
  <c r="AB87" i="9" s="1"/>
  <c r="U87" i="9"/>
  <c r="AK70" i="3"/>
  <c r="AK192" i="5" s="1"/>
  <c r="AJ442" i="3"/>
  <c r="T86" i="9"/>
  <c r="AJ453" i="3"/>
  <c r="AJ289" i="3"/>
  <c r="AJ443" i="3"/>
  <c r="AJ172" i="3"/>
  <c r="AJ278" i="3" s="1"/>
  <c r="CE21" i="3"/>
  <c r="CE206" i="3"/>
  <c r="CF4" i="3"/>
  <c r="CA289" i="3"/>
  <c r="CB236" i="3"/>
  <c r="AB37" i="9"/>
  <c r="AB133" i="9" s="1"/>
  <c r="AY163" i="3"/>
  <c r="F165" i="2"/>
  <c r="AE57" i="2"/>
  <c r="BX55" i="3"/>
  <c r="AF55" i="2"/>
  <c r="AL126" i="4"/>
  <c r="AM124" i="4"/>
  <c r="AL119" i="4"/>
  <c r="AK121" i="4"/>
  <c r="AJ262" i="4"/>
  <c r="AI265" i="4"/>
  <c r="AI215" i="3"/>
  <c r="AI215" i="2"/>
  <c r="AL79" i="3"/>
  <c r="AL106" i="3"/>
  <c r="AL53" i="3"/>
  <c r="AL109" i="3"/>
  <c r="AL111" i="3" s="1"/>
  <c r="D136" i="9"/>
  <c r="AM5" i="3"/>
  <c r="AL2" i="5"/>
  <c r="D88" i="9"/>
  <c r="CB234" i="3"/>
  <c r="AA37" i="9"/>
  <c r="AA133" i="9" s="1"/>
  <c r="AJ174" i="2"/>
  <c r="AJ452" i="2"/>
  <c r="CC452" i="3" s="1"/>
  <c r="AJ65" i="2"/>
  <c r="AJ173" i="2"/>
  <c r="CC62" i="3"/>
  <c r="CC105" i="3"/>
  <c r="AJ107" i="2"/>
  <c r="AJ431" i="2"/>
  <c r="CC431" i="3" s="1"/>
  <c r="CC23" i="3"/>
  <c r="AJ435" i="2"/>
  <c r="CC435" i="3" s="1"/>
  <c r="CC27" i="3"/>
  <c r="AL100" i="4"/>
  <c r="AM92" i="4"/>
  <c r="AJ261" i="4"/>
  <c r="AI217" i="3"/>
  <c r="AI217" i="2"/>
  <c r="AL187" i="4"/>
  <c r="AK189" i="4"/>
  <c r="AL116" i="4"/>
  <c r="AM114" i="4"/>
  <c r="AL295" i="4"/>
  <c r="AL1" i="4"/>
  <c r="AM93" i="4"/>
  <c r="AM175" i="4" s="1"/>
  <c r="AM257" i="4"/>
  <c r="AM180" i="4"/>
  <c r="AM99" i="4"/>
  <c r="AM178" i="4"/>
  <c r="AM102" i="4"/>
  <c r="AN91" i="4"/>
  <c r="AM264" i="4"/>
  <c r="CD186" i="3"/>
  <c r="AK199" i="4"/>
  <c r="AL197" i="4"/>
  <c r="AL268" i="4"/>
  <c r="AK270" i="4"/>
  <c r="AH41" i="2"/>
  <c r="CA39" i="3"/>
  <c r="AI39" i="2"/>
  <c r="AK234" i="3"/>
  <c r="AA87" i="9" s="1"/>
  <c r="AK194" i="5"/>
  <c r="AK239" i="3"/>
  <c r="AK179" i="3"/>
  <c r="AH87" i="9"/>
  <c r="BQ87" i="9" s="1"/>
  <c r="AL511" i="3"/>
  <c r="AL137" i="3"/>
  <c r="AL108" i="3"/>
  <c r="AL110" i="3" s="1"/>
  <c r="AL82" i="3"/>
  <c r="AL495" i="3"/>
  <c r="AL504" i="3"/>
  <c r="AL105" i="3"/>
  <c r="AL83" i="3"/>
  <c r="AL66" i="3"/>
  <c r="AL209" i="3" s="1"/>
  <c r="AL81" i="3"/>
  <c r="AL78" i="3"/>
  <c r="AL67" i="3"/>
  <c r="AL62" i="3"/>
  <c r="AL42" i="3"/>
  <c r="AL27" i="3"/>
  <c r="AL435" i="3" s="1"/>
  <c r="AL26" i="3"/>
  <c r="AL434" i="3" s="1"/>
  <c r="AL25" i="3"/>
  <c r="AL433" i="3" s="1"/>
  <c r="AL24" i="3"/>
  <c r="AL432" i="3" s="1"/>
  <c r="AL23" i="3"/>
  <c r="AL431" i="3" s="1"/>
  <c r="AL69" i="3"/>
  <c r="AL1" i="5"/>
  <c r="C88" i="9"/>
  <c r="AL21" i="3"/>
  <c r="AL479" i="3"/>
  <c r="AL80" i="3"/>
  <c r="AL236" i="3" s="1"/>
  <c r="AB88" i="9" s="1"/>
  <c r="AL22" i="3"/>
  <c r="AL68" i="3"/>
  <c r="AM4" i="3"/>
  <c r="C136" i="9"/>
  <c r="AL315" i="3"/>
  <c r="AI255" i="4"/>
  <c r="AH258" i="4"/>
  <c r="AI12" i="5"/>
  <c r="AI279" i="2"/>
  <c r="CB279" i="3" s="1"/>
  <c r="CB173" i="3"/>
  <c r="AL146" i="4"/>
  <c r="AM144" i="4"/>
  <c r="AL46" i="4"/>
  <c r="AM45" i="4"/>
  <c r="AH454" i="3"/>
  <c r="AH291" i="3"/>
  <c r="CA291" i="3" s="1"/>
  <c r="AS84" i="9"/>
  <c r="AS132" i="9" s="1"/>
  <c r="AH77" i="3"/>
  <c r="CA77" i="3" s="1"/>
  <c r="AI458" i="2"/>
  <c r="AI294" i="2"/>
  <c r="AX37" i="9"/>
  <c r="AI454" i="2"/>
  <c r="AI291" i="2"/>
  <c r="AS37" i="9"/>
  <c r="AI490" i="3"/>
  <c r="CB490" i="3" s="1"/>
  <c r="AI307" i="3"/>
  <c r="CB307" i="3" s="1"/>
  <c r="AI74" i="3"/>
  <c r="AK189" i="2"/>
  <c r="CB301" i="3"/>
  <c r="AH458" i="3"/>
  <c r="AH294" i="3"/>
  <c r="CA294" i="3" s="1"/>
  <c r="AX84" i="9"/>
  <c r="AX132" i="9" s="1"/>
  <c r="CB243" i="3"/>
  <c r="AI365" i="1"/>
  <c r="CA74" i="3"/>
  <c r="CA75" i="3"/>
  <c r="AL264" i="2"/>
  <c r="AL214" i="2"/>
  <c r="AM7" i="2"/>
  <c r="E40" i="9"/>
  <c r="CA60" i="3"/>
  <c r="AH107" i="5"/>
  <c r="AH134" i="5" s="1"/>
  <c r="S36" i="9"/>
  <c r="S132" i="9" s="1"/>
  <c r="AI210" i="5"/>
  <c r="CB471" i="3"/>
  <c r="AJ471" i="2"/>
  <c r="AJ243" i="2"/>
  <c r="AJ301" i="2"/>
  <c r="AJ16" i="5"/>
  <c r="Y38" i="9"/>
  <c r="AI369" i="1"/>
  <c r="CC52" i="3"/>
  <c r="AJ54" i="2"/>
  <c r="AJ98" i="3"/>
  <c r="CC98" i="3" s="1"/>
  <c r="AJ325" i="2"/>
  <c r="AJ75" i="2"/>
  <c r="AK98" i="2"/>
  <c r="AI325" i="3"/>
  <c r="CB325" i="3" s="1"/>
  <c r="AI75" i="3"/>
  <c r="CB75" i="3" s="1"/>
  <c r="AJ87" i="3"/>
  <c r="AJ490" i="2"/>
  <c r="AJ307" i="2"/>
  <c r="AK87" i="2"/>
  <c r="AJ74" i="2"/>
  <c r="AJ77" i="2" s="1"/>
  <c r="CB87" i="3"/>
  <c r="CB54" i="3"/>
  <c r="AI60" i="2"/>
  <c r="Y133" i="9"/>
  <c r="AL120" i="2"/>
  <c r="F193" i="3"/>
  <c r="U16" i="3"/>
  <c r="T256" i="3"/>
  <c r="T371" i="3"/>
  <c r="T372" i="3" s="1"/>
  <c r="T374" i="3" s="1"/>
  <c r="U367" i="3" s="1"/>
  <c r="BM70" i="9"/>
  <c r="T125" i="3"/>
  <c r="AL157" i="2" l="1"/>
  <c r="AL155" i="2"/>
  <c r="AK120" i="3"/>
  <c r="AK157" i="3"/>
  <c r="AK155" i="3"/>
  <c r="F166" i="2"/>
  <c r="AY166" i="3" s="1"/>
  <c r="F267" i="2"/>
  <c r="AK38" i="4"/>
  <c r="AK62" i="4"/>
  <c r="AK75" i="4"/>
  <c r="AL103" i="4"/>
  <c r="AK144" i="2"/>
  <c r="AK243" i="2" s="1"/>
  <c r="AL186" i="3"/>
  <c r="AK354" i="2"/>
  <c r="CB40" i="3"/>
  <c r="AJ40" i="2"/>
  <c r="AL311" i="3"/>
  <c r="CE311" i="3" s="1"/>
  <c r="BJ86" i="9"/>
  <c r="AJ465" i="3"/>
  <c r="BJ38" i="9"/>
  <c r="AJ465" i="2"/>
  <c r="BJ39" i="9"/>
  <c r="AK465" i="2"/>
  <c r="CD311" i="3"/>
  <c r="AL107" i="3"/>
  <c r="AF88" i="9" s="1"/>
  <c r="AL237" i="3"/>
  <c r="AC88" i="9" s="1"/>
  <c r="AL50" i="3"/>
  <c r="AL52" i="3" s="1"/>
  <c r="AL54" i="3" s="1"/>
  <c r="AL60" i="3" s="1"/>
  <c r="S88" i="9" s="1"/>
  <c r="CC76" i="3"/>
  <c r="AL40" i="3"/>
  <c r="AL206" i="3"/>
  <c r="AK52" i="2"/>
  <c r="AL142" i="2"/>
  <c r="AL142" i="3" s="1"/>
  <c r="AL144" i="3" s="1"/>
  <c r="AL51" i="2"/>
  <c r="CE51" i="3" s="1"/>
  <c r="AL206" i="2"/>
  <c r="AK353" i="1" s="1"/>
  <c r="AL29" i="4"/>
  <c r="AL35" i="4" s="1"/>
  <c r="AL186" i="2"/>
  <c r="CE186" i="3" s="1"/>
  <c r="AL50" i="2"/>
  <c r="AL34" i="4"/>
  <c r="AL97" i="4"/>
  <c r="AL56" i="2"/>
  <c r="CE56" i="3" s="1"/>
  <c r="AJ144" i="3"/>
  <c r="CC142" i="3"/>
  <c r="AM96" i="4"/>
  <c r="AM34" i="4" s="1"/>
  <c r="CB215" i="3"/>
  <c r="BX45" i="3"/>
  <c r="AF45" i="2"/>
  <c r="AK354" i="3"/>
  <c r="AK76" i="3"/>
  <c r="CD120" i="3"/>
  <c r="AJ379" i="1"/>
  <c r="CD209" i="3"/>
  <c r="CD142" i="3"/>
  <c r="AM46" i="4"/>
  <c r="AN45" i="4"/>
  <c r="V88" i="9"/>
  <c r="AL70" i="3"/>
  <c r="AL192" i="5" s="1"/>
  <c r="U88" i="9"/>
  <c r="AL337" i="3"/>
  <c r="AL112" i="3"/>
  <c r="AZ88" i="9"/>
  <c r="AI41" i="2"/>
  <c r="CB39" i="3"/>
  <c r="AJ39" i="2"/>
  <c r="AL270" i="4"/>
  <c r="AM268" i="4"/>
  <c r="AL306" i="4"/>
  <c r="AL311" i="4"/>
  <c r="AL309" i="4"/>
  <c r="AL307" i="4"/>
  <c r="AL297" i="4"/>
  <c r="AL301" i="4"/>
  <c r="AL299" i="4"/>
  <c r="AL310" i="4"/>
  <c r="AL302" i="4"/>
  <c r="AL308" i="4"/>
  <c r="AL305" i="4"/>
  <c r="AL298" i="4"/>
  <c r="AL300" i="4"/>
  <c r="AL90" i="4"/>
  <c r="AL252" i="4"/>
  <c r="AL254" i="4" s="1"/>
  <c r="AL172" i="4"/>
  <c r="AL251" i="4"/>
  <c r="AN114" i="4"/>
  <c r="AM116" i="4"/>
  <c r="AK261" i="4"/>
  <c r="AJ217" i="3"/>
  <c r="AJ217" i="2"/>
  <c r="AF38" i="9"/>
  <c r="AF134" i="9" s="1"/>
  <c r="CC107" i="3"/>
  <c r="AJ235" i="2"/>
  <c r="CC235" i="3" s="1"/>
  <c r="AJ279" i="2"/>
  <c r="CC279" i="3" s="1"/>
  <c r="CC173" i="3"/>
  <c r="AK262" i="4"/>
  <c r="AJ215" i="3"/>
  <c r="AJ265" i="4"/>
  <c r="AJ215" i="2"/>
  <c r="BY55" i="3"/>
  <c r="AF57" i="2"/>
  <c r="AG55" i="2"/>
  <c r="AM192" i="4"/>
  <c r="AL194" i="4"/>
  <c r="AG441" i="3"/>
  <c r="AG288" i="3"/>
  <c r="AG242" i="3"/>
  <c r="AG193" i="5"/>
  <c r="AG451" i="3"/>
  <c r="AG151" i="3"/>
  <c r="AG128" i="5"/>
  <c r="AG130" i="5" s="1"/>
  <c r="AF106" i="5"/>
  <c r="AF61" i="2"/>
  <c r="R34" i="9"/>
  <c r="R130" i="9" s="1"/>
  <c r="BY49" i="3"/>
  <c r="AM273" i="4"/>
  <c r="AL275" i="4"/>
  <c r="CB172" i="3"/>
  <c r="AI278" i="2"/>
  <c r="CB278" i="3" s="1"/>
  <c r="AK178" i="3"/>
  <c r="AK463" i="3"/>
  <c r="AK297" i="3"/>
  <c r="AM243" i="4"/>
  <c r="AL245" i="4"/>
  <c r="AN40" i="4"/>
  <c r="AO39" i="4"/>
  <c r="AM44" i="4"/>
  <c r="AN43" i="4"/>
  <c r="AE441" i="2"/>
  <c r="BX441" i="3" s="1"/>
  <c r="AE288" i="2"/>
  <c r="BX288" i="3" s="1"/>
  <c r="AE13" i="5"/>
  <c r="AE209" i="5" s="1"/>
  <c r="AE151" i="2"/>
  <c r="BX61" i="3"/>
  <c r="AE451" i="2"/>
  <c r="BX451" i="3" s="1"/>
  <c r="AE242" i="2"/>
  <c r="BX242" i="3" s="1"/>
  <c r="AD362" i="1"/>
  <c r="AK431" i="2"/>
  <c r="CD431" i="3" s="1"/>
  <c r="CD23" i="3"/>
  <c r="CD68" i="3"/>
  <c r="V39" i="9"/>
  <c r="V135" i="9" s="1"/>
  <c r="AK14" i="5"/>
  <c r="AK211" i="5" s="1"/>
  <c r="CD78" i="3"/>
  <c r="AK234" i="2"/>
  <c r="CA216" i="3"/>
  <c r="AG383" i="1"/>
  <c r="AM233" i="4"/>
  <c r="AL235" i="4"/>
  <c r="CD109" i="3"/>
  <c r="AK111" i="2"/>
  <c r="AL166" i="4"/>
  <c r="AM164" i="4"/>
  <c r="AK411" i="5"/>
  <c r="AM238" i="4"/>
  <c r="AL240" i="4"/>
  <c r="CC237" i="3"/>
  <c r="AC38" i="9"/>
  <c r="AC134" i="9" s="1"/>
  <c r="AJ255" i="4"/>
  <c r="AI258" i="4"/>
  <c r="AL430" i="3"/>
  <c r="AL407" i="5"/>
  <c r="AL452" i="3"/>
  <c r="AL174" i="3"/>
  <c r="AL280" i="3" s="1"/>
  <c r="AL65" i="3"/>
  <c r="AL173" i="3"/>
  <c r="AL279" i="3" s="1"/>
  <c r="AL179" i="3"/>
  <c r="AL239" i="3"/>
  <c r="AH88" i="9"/>
  <c r="BQ88" i="9" s="1"/>
  <c r="AL199" i="4"/>
  <c r="AM197" i="4"/>
  <c r="AN264" i="4"/>
  <c r="AN180" i="4"/>
  <c r="AN257" i="4"/>
  <c r="AN178" i="4"/>
  <c r="AN99" i="4"/>
  <c r="AO91" i="4"/>
  <c r="AN102" i="4"/>
  <c r="AM100" i="4"/>
  <c r="AN92" i="4"/>
  <c r="T38" i="9"/>
  <c r="T134" i="9" s="1"/>
  <c r="CC65" i="3"/>
  <c r="AJ442" i="2"/>
  <c r="CC442" i="3" s="1"/>
  <c r="AM106" i="3"/>
  <c r="AM53" i="3"/>
  <c r="AN5" i="3"/>
  <c r="AM79" i="3"/>
  <c r="D137" i="9"/>
  <c r="AM109" i="3"/>
  <c r="AM111" i="3" s="1"/>
  <c r="AM2" i="5"/>
  <c r="D89" i="9"/>
  <c r="AL121" i="4"/>
  <c r="AM119" i="4"/>
  <c r="CF206" i="3"/>
  <c r="CG4" i="3"/>
  <c r="CF21" i="3"/>
  <c r="AE46" i="2"/>
  <c r="BX44" i="3"/>
  <c r="AF44" i="2"/>
  <c r="AJ509" i="2"/>
  <c r="CC509" i="3" s="1"/>
  <c r="AJ338" i="2"/>
  <c r="CC339" i="3" s="1"/>
  <c r="BD38" i="9"/>
  <c r="BD134" i="9" s="1"/>
  <c r="CC111" i="3"/>
  <c r="B293" i="1"/>
  <c r="B340" i="1" s="1"/>
  <c r="Z294" i="1"/>
  <c r="AG49" i="2"/>
  <c r="BZ43" i="3"/>
  <c r="AN14" i="4"/>
  <c r="AM176" i="4"/>
  <c r="AM187" i="2" s="1"/>
  <c r="AK433" i="2"/>
  <c r="CD433" i="3" s="1"/>
  <c r="CD25" i="3"/>
  <c r="CD137" i="3"/>
  <c r="AK239" i="2"/>
  <c r="CD239" i="3" s="1"/>
  <c r="AK179" i="2"/>
  <c r="CD179" i="3" s="1"/>
  <c r="AH39" i="9"/>
  <c r="AJ358" i="1"/>
  <c r="CD82" i="3"/>
  <c r="AK237" i="2"/>
  <c r="CD105" i="3"/>
  <c r="AK107" i="2"/>
  <c r="CC234" i="3"/>
  <c r="AA38" i="9"/>
  <c r="AA134" i="9" s="1"/>
  <c r="AL53" i="2"/>
  <c r="CE53" i="3" s="1"/>
  <c r="AM5" i="2"/>
  <c r="AM30" i="4" s="1"/>
  <c r="AL58" i="2"/>
  <c r="CE58" i="3" s="1"/>
  <c r="D40" i="9"/>
  <c r="AL106" i="2"/>
  <c r="CE106" i="3" s="1"/>
  <c r="AL79" i="2"/>
  <c r="CE79" i="3" s="1"/>
  <c r="AL109" i="2"/>
  <c r="AL284" i="4"/>
  <c r="AM282" i="4"/>
  <c r="AM146" i="4"/>
  <c r="AN144" i="4"/>
  <c r="AI208" i="5"/>
  <c r="AM495" i="3"/>
  <c r="AM479" i="3"/>
  <c r="AM81" i="3"/>
  <c r="AM511" i="3"/>
  <c r="AM82" i="3"/>
  <c r="AM78" i="3"/>
  <c r="AM67" i="3"/>
  <c r="AM62" i="3"/>
  <c r="AM42" i="3"/>
  <c r="AM27" i="3"/>
  <c r="AM435" i="3" s="1"/>
  <c r="AM26" i="3"/>
  <c r="AM434" i="3" s="1"/>
  <c r="AM25" i="3"/>
  <c r="AM433" i="3" s="1"/>
  <c r="AM24" i="3"/>
  <c r="AM432" i="3" s="1"/>
  <c r="AM23" i="3"/>
  <c r="AM431" i="3" s="1"/>
  <c r="AM137" i="3"/>
  <c r="AM80" i="3"/>
  <c r="AM68" i="3"/>
  <c r="AM22" i="3"/>
  <c r="AN4" i="3"/>
  <c r="AM108" i="3"/>
  <c r="AM110" i="3" s="1"/>
  <c r="C89" i="9"/>
  <c r="AM66" i="3"/>
  <c r="AM209" i="3" s="1"/>
  <c r="AM105" i="3"/>
  <c r="AM21" i="3"/>
  <c r="AM83" i="3"/>
  <c r="AM504" i="3"/>
  <c r="AM69" i="3"/>
  <c r="AM1" i="5"/>
  <c r="C137" i="9"/>
  <c r="AM315" i="3"/>
  <c r="CA41" i="3"/>
  <c r="AH43" i="2"/>
  <c r="CB217" i="3"/>
  <c r="AN124" i="4"/>
  <c r="AM126" i="4"/>
  <c r="BX57" i="3"/>
  <c r="AE59" i="2"/>
  <c r="BX59" i="3" s="1"/>
  <c r="AK443" i="3"/>
  <c r="AK289" i="3"/>
  <c r="AK172" i="3"/>
  <c r="AK278" i="3" s="1"/>
  <c r="AK453" i="3"/>
  <c r="AD48" i="2"/>
  <c r="BW48" i="3" s="1"/>
  <c r="BW46" i="3"/>
  <c r="CB112" i="3"/>
  <c r="AI178" i="2"/>
  <c r="CB178" i="3" s="1"/>
  <c r="AI463" i="2"/>
  <c r="CB463" i="3" s="1"/>
  <c r="AI297" i="2"/>
  <c r="CB297" i="3" s="1"/>
  <c r="AM139" i="4"/>
  <c r="AL141" i="4"/>
  <c r="AL161" i="4"/>
  <c r="AM159" i="4"/>
  <c r="AN149" i="4"/>
  <c r="AM151" i="4"/>
  <c r="BG374" i="3"/>
  <c r="O367" i="2"/>
  <c r="AM156" i="4"/>
  <c r="AN154" i="4"/>
  <c r="AM218" i="4"/>
  <c r="AL220" i="4"/>
  <c r="AL209" i="4"/>
  <c r="AM207" i="4"/>
  <c r="AM202" i="4"/>
  <c r="AL204" i="4"/>
  <c r="AI41" i="3"/>
  <c r="AI43" i="3" s="1"/>
  <c r="AI49" i="3" s="1"/>
  <c r="AJ39" i="3"/>
  <c r="AK435" i="2"/>
  <c r="CD435" i="3" s="1"/>
  <c r="CD27" i="3"/>
  <c r="CD80" i="3"/>
  <c r="AK236" i="2"/>
  <c r="CD62" i="3"/>
  <c r="AK65" i="2"/>
  <c r="AK452" i="2"/>
  <c r="CD452" i="3" s="1"/>
  <c r="AK173" i="2"/>
  <c r="AK174" i="2"/>
  <c r="CD22" i="3"/>
  <c r="AK430" i="2"/>
  <c r="CD430" i="3" s="1"/>
  <c r="CA278" i="3"/>
  <c r="AK235" i="3"/>
  <c r="AF87" i="9"/>
  <c r="AK442" i="3"/>
  <c r="T87" i="9"/>
  <c r="AK189" i="3"/>
  <c r="CD189" i="3" s="1"/>
  <c r="AF164" i="3"/>
  <c r="AF152" i="3"/>
  <c r="CC236" i="3"/>
  <c r="AB38" i="9"/>
  <c r="AB134" i="9" s="1"/>
  <c r="S87" i="9"/>
  <c r="AK127" i="5"/>
  <c r="AL234" i="3"/>
  <c r="AA88" i="9" s="1"/>
  <c r="AL194" i="5"/>
  <c r="AN93" i="4"/>
  <c r="AM295" i="4"/>
  <c r="AM1" i="4"/>
  <c r="AL189" i="4"/>
  <c r="AM187" i="4"/>
  <c r="CC174" i="3"/>
  <c r="AJ280" i="2"/>
  <c r="CC280" i="3" s="1"/>
  <c r="BD88" i="9"/>
  <c r="AL338" i="3"/>
  <c r="AL509" i="3"/>
  <c r="AI216" i="3"/>
  <c r="AI216" i="2"/>
  <c r="AY267" i="3"/>
  <c r="F183" i="2"/>
  <c r="AY165" i="3"/>
  <c r="F112" i="5"/>
  <c r="F140" i="5" s="1"/>
  <c r="X204" i="1"/>
  <c r="X206" i="1" s="1"/>
  <c r="X209" i="1" s="1"/>
  <c r="X212" i="1" s="1"/>
  <c r="AL131" i="4"/>
  <c r="AM129" i="4"/>
  <c r="AN42" i="4"/>
  <c r="AO41" i="4"/>
  <c r="AM223" i="4"/>
  <c r="AL225" i="4"/>
  <c r="AD152" i="2"/>
  <c r="BW152" i="3" s="1"/>
  <c r="BW151" i="3"/>
  <c r="AD164" i="2"/>
  <c r="BW164" i="3" s="1"/>
  <c r="AH61" i="3"/>
  <c r="AH126" i="5"/>
  <c r="R84" i="9"/>
  <c r="AE133" i="5"/>
  <c r="AE135" i="5" s="1"/>
  <c r="AE108" i="5"/>
  <c r="AE110" i="5" s="1"/>
  <c r="AE137" i="5" s="1"/>
  <c r="AE143" i="5" s="1"/>
  <c r="BQ38" i="9"/>
  <c r="BQ134" i="9" s="1"/>
  <c r="AH134" i="9"/>
  <c r="AJ289" i="2"/>
  <c r="AJ453" i="2"/>
  <c r="AJ172" i="2"/>
  <c r="AJ443" i="2"/>
  <c r="CC443" i="3" s="1"/>
  <c r="CC70" i="3"/>
  <c r="CD108" i="3"/>
  <c r="AK110" i="2"/>
  <c r="AK434" i="2"/>
  <c r="CD434" i="3" s="1"/>
  <c r="CD26" i="3"/>
  <c r="AK432" i="2"/>
  <c r="CD432" i="3" s="1"/>
  <c r="CD24" i="3"/>
  <c r="AK70" i="2"/>
  <c r="AK12" i="5" s="1"/>
  <c r="U39" i="9"/>
  <c r="U135" i="9" s="1"/>
  <c r="AJ376" i="1"/>
  <c r="CD66" i="3"/>
  <c r="AL511" i="2"/>
  <c r="CE511" i="3" s="1"/>
  <c r="AL495" i="2"/>
  <c r="CE495" i="3" s="1"/>
  <c r="AL479" i="2"/>
  <c r="CE479" i="3" s="1"/>
  <c r="AL389" i="2"/>
  <c r="AL315" i="2"/>
  <c r="CE315" i="3" s="1"/>
  <c r="AL69" i="2"/>
  <c r="CE69" i="3" s="1"/>
  <c r="AL21" i="2"/>
  <c r="AM4" i="2"/>
  <c r="AM29" i="4" s="1"/>
  <c r="AL137" i="2"/>
  <c r="AL83" i="2"/>
  <c r="CE83" i="3" s="1"/>
  <c r="AL68" i="2"/>
  <c r="AL66" i="2"/>
  <c r="AL209" i="2" s="1"/>
  <c r="AL26" i="2"/>
  <c r="AL24" i="2"/>
  <c r="AL23" i="2"/>
  <c r="AL131" i="2"/>
  <c r="CE131" i="3" s="1"/>
  <c r="AL82" i="2"/>
  <c r="AL80" i="2"/>
  <c r="AL78" i="2"/>
  <c r="AL67" i="2"/>
  <c r="CE67" i="3" s="1"/>
  <c r="AL62" i="2"/>
  <c r="AL504" i="2"/>
  <c r="CE504" i="3" s="1"/>
  <c r="AL130" i="2"/>
  <c r="CE130" i="3" s="1"/>
  <c r="AL47" i="2"/>
  <c r="CE47" i="3" s="1"/>
  <c r="AL27" i="2"/>
  <c r="AL25" i="2"/>
  <c r="C40" i="9"/>
  <c r="AL81" i="2"/>
  <c r="CE81" i="3" s="1"/>
  <c r="AL42" i="2"/>
  <c r="CE42" i="3" s="1"/>
  <c r="AL105" i="2"/>
  <c r="AL22" i="2"/>
  <c r="AL108" i="2"/>
  <c r="AZ38" i="9"/>
  <c r="AZ134" i="9" s="1"/>
  <c r="CC110" i="3"/>
  <c r="AJ337" i="2"/>
  <c r="CC338" i="3" s="1"/>
  <c r="AJ112" i="2"/>
  <c r="AM228" i="4"/>
  <c r="AL230" i="4"/>
  <c r="AL111" i="4"/>
  <c r="AM109" i="4"/>
  <c r="AN11" i="4"/>
  <c r="AM177" i="4"/>
  <c r="AM181" i="4" s="1"/>
  <c r="AM188" i="2" s="1"/>
  <c r="AL264" i="3"/>
  <c r="AL188" i="3"/>
  <c r="CE188" i="3" s="1"/>
  <c r="AL214" i="3"/>
  <c r="CE214" i="3" s="1"/>
  <c r="AL187" i="3"/>
  <c r="CE187" i="3" s="1"/>
  <c r="AM7" i="3"/>
  <c r="E88" i="9"/>
  <c r="E136" i="9"/>
  <c r="AL3" i="5"/>
  <c r="AL289" i="4"/>
  <c r="AM287" i="4"/>
  <c r="AJ325" i="3"/>
  <c r="CC325" i="3" s="1"/>
  <c r="AJ75" i="3"/>
  <c r="CC75" i="3" s="1"/>
  <c r="AM214" i="2"/>
  <c r="AM264" i="2"/>
  <c r="E41" i="9"/>
  <c r="AN7" i="2"/>
  <c r="AL189" i="2"/>
  <c r="AK301" i="2"/>
  <c r="AI454" i="3"/>
  <c r="AI291" i="3"/>
  <c r="CB291" i="3" s="1"/>
  <c r="AS85" i="9"/>
  <c r="AS133" i="9" s="1"/>
  <c r="AI77" i="3"/>
  <c r="CB77" i="3" s="1"/>
  <c r="AI107" i="5"/>
  <c r="AI134" i="5" s="1"/>
  <c r="S37" i="9"/>
  <c r="S133" i="9" s="1"/>
  <c r="CB60" i="3"/>
  <c r="AJ454" i="2"/>
  <c r="AJ291" i="2"/>
  <c r="AS38" i="9"/>
  <c r="AJ490" i="3"/>
  <c r="CC490" i="3" s="1"/>
  <c r="AJ307" i="3"/>
  <c r="CC307" i="3" s="1"/>
  <c r="AJ74" i="3"/>
  <c r="CC74" i="3" s="1"/>
  <c r="AK98" i="3"/>
  <c r="AK325" i="2"/>
  <c r="AL98" i="2"/>
  <c r="AK75" i="2"/>
  <c r="CD52" i="3"/>
  <c r="AK54" i="2"/>
  <c r="AK87" i="3"/>
  <c r="AK490" i="2"/>
  <c r="AK307" i="2"/>
  <c r="AK74" i="2"/>
  <c r="AL87" i="2"/>
  <c r="CC87" i="3"/>
  <c r="AJ458" i="2"/>
  <c r="AJ294" i="2"/>
  <c r="AX38" i="9"/>
  <c r="AK471" i="3"/>
  <c r="AK301" i="3"/>
  <c r="AK243" i="3"/>
  <c r="AK196" i="5"/>
  <c r="Y87" i="9"/>
  <c r="CB74" i="3"/>
  <c r="AI458" i="3"/>
  <c r="AI294" i="3"/>
  <c r="CB294" i="3" s="1"/>
  <c r="AX85" i="9"/>
  <c r="AX133" i="9" s="1"/>
  <c r="CC54" i="3"/>
  <c r="AJ60" i="2"/>
  <c r="AJ365" i="1"/>
  <c r="AL354" i="2"/>
  <c r="AL76" i="2"/>
  <c r="AL465" i="2" s="1"/>
  <c r="U124" i="3"/>
  <c r="U36" i="3" s="1"/>
  <c r="F198" i="3"/>
  <c r="F200" i="3"/>
  <c r="F196" i="3"/>
  <c r="F197" i="3"/>
  <c r="F199" i="3"/>
  <c r="F195" i="3"/>
  <c r="F201" i="3"/>
  <c r="F64" i="4"/>
  <c r="F331" i="5"/>
  <c r="T466" i="3"/>
  <c r="T299" i="3"/>
  <c r="AJ369" i="1" l="1"/>
  <c r="AK16" i="5"/>
  <c r="CD144" i="3"/>
  <c r="AM157" i="2"/>
  <c r="AM155" i="2"/>
  <c r="AL120" i="3"/>
  <c r="AL157" i="3"/>
  <c r="AL155" i="3"/>
  <c r="Y39" i="9"/>
  <c r="Y135" i="9" s="1"/>
  <c r="AK471" i="2"/>
  <c r="AM35" i="4"/>
  <c r="AL38" i="4"/>
  <c r="AL62" i="4"/>
  <c r="AL75" i="4"/>
  <c r="AM38" i="4"/>
  <c r="AM62" i="4"/>
  <c r="AM75" i="4"/>
  <c r="AL127" i="5"/>
  <c r="CD354" i="3"/>
  <c r="CC40" i="3"/>
  <c r="AK40" i="2"/>
  <c r="CE50" i="3"/>
  <c r="BJ134" i="9"/>
  <c r="AL235" i="3"/>
  <c r="BJ87" i="9"/>
  <c r="BJ135" i="9" s="1"/>
  <c r="AK465" i="3"/>
  <c r="AM107" i="3"/>
  <c r="AM235" i="3" s="1"/>
  <c r="AL144" i="2"/>
  <c r="AL243" i="2" s="1"/>
  <c r="AM186" i="2"/>
  <c r="AL52" i="2"/>
  <c r="AL54" i="2" s="1"/>
  <c r="AM98" i="4"/>
  <c r="AM103" i="4" s="1"/>
  <c r="AM186" i="3"/>
  <c r="AM236" i="3"/>
  <c r="AB89" i="9" s="1"/>
  <c r="CC215" i="3"/>
  <c r="AM51" i="2"/>
  <c r="AM97" i="4"/>
  <c r="AM120" i="2"/>
  <c r="AM76" i="2" s="1"/>
  <c r="AK77" i="2"/>
  <c r="AM50" i="2"/>
  <c r="AM52" i="2" s="1"/>
  <c r="CE142" i="3"/>
  <c r="CD76" i="3"/>
  <c r="AM56" i="2"/>
  <c r="CF56" i="3" s="1"/>
  <c r="AM142" i="2"/>
  <c r="AM144" i="2" s="1"/>
  <c r="AG45" i="2"/>
  <c r="BY45" i="3"/>
  <c r="AM206" i="2"/>
  <c r="AL353" i="1" s="1"/>
  <c r="AM311" i="2"/>
  <c r="AJ301" i="3"/>
  <c r="CC301" i="3" s="1"/>
  <c r="AJ196" i="5"/>
  <c r="AJ210" i="5" s="1"/>
  <c r="CC144" i="3"/>
  <c r="AJ471" i="3"/>
  <c r="CC471" i="3" s="1"/>
  <c r="Y86" i="9"/>
  <c r="Y134" i="9" s="1"/>
  <c r="AJ243" i="3"/>
  <c r="CC243" i="3" s="1"/>
  <c r="AL354" i="3"/>
  <c r="CE354" i="3" s="1"/>
  <c r="AL76" i="3"/>
  <c r="AL465" i="3" s="1"/>
  <c r="CE120" i="3"/>
  <c r="AK208" i="5"/>
  <c r="AM289" i="4"/>
  <c r="AN287" i="4"/>
  <c r="CE209" i="3"/>
  <c r="AK379" i="1"/>
  <c r="CE27" i="3"/>
  <c r="AL435" i="2"/>
  <c r="CE435" i="3" s="1"/>
  <c r="CE80" i="3"/>
  <c r="AL236" i="2"/>
  <c r="CE23" i="3"/>
  <c r="AL431" i="2"/>
  <c r="CE431" i="3" s="1"/>
  <c r="CE68" i="3"/>
  <c r="V40" i="9"/>
  <c r="V136" i="9" s="1"/>
  <c r="CC453" i="3"/>
  <c r="AH451" i="3"/>
  <c r="AH288" i="3"/>
  <c r="AH441" i="3"/>
  <c r="AH242" i="3"/>
  <c r="AH151" i="3"/>
  <c r="AH128" i="5"/>
  <c r="AH130" i="5" s="1"/>
  <c r="AH193" i="5"/>
  <c r="AN129" i="4"/>
  <c r="AM131" i="4"/>
  <c r="AN295" i="4"/>
  <c r="AO93" i="4"/>
  <c r="AO96" i="4" s="1"/>
  <c r="AN1" i="4"/>
  <c r="AI61" i="3"/>
  <c r="AI126" i="5"/>
  <c r="R85" i="9"/>
  <c r="AO149" i="4"/>
  <c r="AN151" i="4"/>
  <c r="AM141" i="4"/>
  <c r="AN139" i="4"/>
  <c r="V89" i="9"/>
  <c r="AM234" i="3"/>
  <c r="AA89" i="9" s="1"/>
  <c r="AM194" i="5"/>
  <c r="CE109" i="3"/>
  <c r="AL111" i="2"/>
  <c r="CD237" i="3"/>
  <c r="AC39" i="9"/>
  <c r="AC135" i="9" s="1"/>
  <c r="BD89" i="9"/>
  <c r="AM338" i="3"/>
  <c r="AM509" i="3"/>
  <c r="AN109" i="3"/>
  <c r="AN111" i="3" s="1"/>
  <c r="AN53" i="3"/>
  <c r="AO5" i="3"/>
  <c r="AN106" i="3"/>
  <c r="AN2" i="5"/>
  <c r="D138" i="9"/>
  <c r="D90" i="9"/>
  <c r="AN79" i="3"/>
  <c r="AO264" i="4"/>
  <c r="AO178" i="4"/>
  <c r="AO102" i="4"/>
  <c r="AP91" i="4"/>
  <c r="AO99" i="4"/>
  <c r="AO257" i="4"/>
  <c r="AO180" i="4"/>
  <c r="AN175" i="4"/>
  <c r="AN96" i="4"/>
  <c r="AN98" i="4" s="1"/>
  <c r="AL442" i="3"/>
  <c r="T88" i="9"/>
  <c r="AM240" i="4"/>
  <c r="AN238" i="4"/>
  <c r="AN164" i="4"/>
  <c r="AM166" i="4"/>
  <c r="BX151" i="3"/>
  <c r="AE164" i="2"/>
  <c r="BX164" i="3" s="1"/>
  <c r="AE152" i="2"/>
  <c r="BX152" i="3" s="1"/>
  <c r="AN44" i="4"/>
  <c r="AO43" i="4"/>
  <c r="AN273" i="4"/>
  <c r="AM275" i="4"/>
  <c r="AF133" i="5"/>
  <c r="AF135" i="5" s="1"/>
  <c r="AF108" i="5"/>
  <c r="AF110" i="5" s="1"/>
  <c r="AF137" i="5" s="1"/>
  <c r="AL262" i="4"/>
  <c r="AK265" i="4"/>
  <c r="AK215" i="3"/>
  <c r="AK215" i="2"/>
  <c r="AL261" i="4"/>
  <c r="AK217" i="3"/>
  <c r="AK217" i="2"/>
  <c r="AO114" i="4"/>
  <c r="AN116" i="4"/>
  <c r="AL453" i="3"/>
  <c r="AL443" i="3"/>
  <c r="AL172" i="3"/>
  <c r="AL278" i="3" s="1"/>
  <c r="AL289" i="3"/>
  <c r="AM187" i="3"/>
  <c r="AN7" i="3"/>
  <c r="AM188" i="3"/>
  <c r="CF188" i="3" s="1"/>
  <c r="AM264" i="3"/>
  <c r="E89" i="9"/>
  <c r="AM214" i="3"/>
  <c r="CF214" i="3" s="1"/>
  <c r="E137" i="9"/>
  <c r="AM3" i="5"/>
  <c r="AN109" i="4"/>
  <c r="AM111" i="4"/>
  <c r="AM230" i="4"/>
  <c r="AN228" i="4"/>
  <c r="AL430" i="2"/>
  <c r="CE430" i="3" s="1"/>
  <c r="CE22" i="3"/>
  <c r="AL173" i="2"/>
  <c r="AL65" i="2"/>
  <c r="CE62" i="3"/>
  <c r="AL452" i="2"/>
  <c r="CE452" i="3" s="1"/>
  <c r="AL174" i="2"/>
  <c r="CE82" i="3"/>
  <c r="AL237" i="2"/>
  <c r="CE24" i="3"/>
  <c r="AL432" i="2"/>
  <c r="CE432" i="3" s="1"/>
  <c r="CC289" i="3"/>
  <c r="AM225" i="4"/>
  <c r="AN223" i="4"/>
  <c r="F184" i="2"/>
  <c r="AY183" i="3"/>
  <c r="E375" i="1"/>
  <c r="E363" i="1"/>
  <c r="AM305" i="4"/>
  <c r="AM302" i="4"/>
  <c r="AM309" i="4"/>
  <c r="AM311" i="4"/>
  <c r="AM310" i="4"/>
  <c r="AM297" i="4"/>
  <c r="AM308" i="4"/>
  <c r="AM300" i="4"/>
  <c r="AM299" i="4"/>
  <c r="AM298" i="4"/>
  <c r="AM307" i="4"/>
  <c r="AM306" i="4"/>
  <c r="AM301" i="4"/>
  <c r="AM90" i="4"/>
  <c r="AM172" i="4"/>
  <c r="AM252" i="4"/>
  <c r="AM254" i="4" s="1"/>
  <c r="AM251" i="4"/>
  <c r="CD174" i="3"/>
  <c r="AK280" i="2"/>
  <c r="CD280" i="3" s="1"/>
  <c r="CD65" i="3"/>
  <c r="T39" i="9"/>
  <c r="T135" i="9" s="1"/>
  <c r="AK442" i="2"/>
  <c r="CD442" i="3" s="1"/>
  <c r="BH367" i="3"/>
  <c r="O124" i="2"/>
  <c r="AN159" i="4"/>
  <c r="AM161" i="4"/>
  <c r="CA43" i="3"/>
  <c r="AH49" i="2"/>
  <c r="AM337" i="3"/>
  <c r="AZ89" i="9"/>
  <c r="AM112" i="3"/>
  <c r="AM237" i="3"/>
  <c r="AC89" i="9" s="1"/>
  <c r="AN282" i="4"/>
  <c r="AM284" i="4"/>
  <c r="AM58" i="2"/>
  <c r="CF58" i="3" s="1"/>
  <c r="D41" i="9"/>
  <c r="AM106" i="2"/>
  <c r="CF106" i="3" s="1"/>
  <c r="AM79" i="2"/>
  <c r="CF79" i="3" s="1"/>
  <c r="AM53" i="2"/>
  <c r="CF53" i="3" s="1"/>
  <c r="AN5" i="2"/>
  <c r="AM109" i="2"/>
  <c r="BY44" i="3"/>
  <c r="AF46" i="2"/>
  <c r="AG44" i="2"/>
  <c r="CG206" i="3"/>
  <c r="CH4" i="3"/>
  <c r="CG21" i="3"/>
  <c r="AN197" i="4"/>
  <c r="AM199" i="4"/>
  <c r="AM235" i="4"/>
  <c r="AN233" i="4"/>
  <c r="CD234" i="3"/>
  <c r="AA39" i="9"/>
  <c r="AA135" i="9" s="1"/>
  <c r="AM245" i="4"/>
  <c r="AN243" i="4"/>
  <c r="AN192" i="4"/>
  <c r="AM194" i="4"/>
  <c r="CC39" i="3"/>
  <c r="AJ41" i="2"/>
  <c r="AK39" i="2"/>
  <c r="AL297" i="3"/>
  <c r="AL178" i="3"/>
  <c r="AL463" i="3"/>
  <c r="AL411" i="5"/>
  <c r="AL189" i="3"/>
  <c r="CE189" i="3" s="1"/>
  <c r="AJ178" i="2"/>
  <c r="CC178" i="3" s="1"/>
  <c r="CC112" i="3"/>
  <c r="AJ463" i="2"/>
  <c r="CC463" i="3" s="1"/>
  <c r="AJ297" i="2"/>
  <c r="CC297" i="3" s="1"/>
  <c r="CE105" i="3"/>
  <c r="AL107" i="2"/>
  <c r="CE26" i="3"/>
  <c r="AL434" i="2"/>
  <c r="CE434" i="3" s="1"/>
  <c r="CE137" i="3"/>
  <c r="AL239" i="2"/>
  <c r="CE239" i="3" s="1"/>
  <c r="AL179" i="2"/>
  <c r="CE179" i="3" s="1"/>
  <c r="AK358" i="1"/>
  <c r="AH40" i="9"/>
  <c r="AK443" i="2"/>
  <c r="CD443" i="3" s="1"/>
  <c r="AK289" i="2"/>
  <c r="CD289" i="3" s="1"/>
  <c r="CD70" i="3"/>
  <c r="AK453" i="2"/>
  <c r="CD453" i="3" s="1"/>
  <c r="AK172" i="2"/>
  <c r="AO42" i="4"/>
  <c r="AP41" i="4"/>
  <c r="AM189" i="4"/>
  <c r="AN187" i="4"/>
  <c r="CD173" i="3"/>
  <c r="AK279" i="2"/>
  <c r="CD279" i="3" s="1"/>
  <c r="AN202" i="4"/>
  <c r="AM204" i="4"/>
  <c r="AN218" i="4"/>
  <c r="AM220" i="4"/>
  <c r="AO124" i="4"/>
  <c r="AN126" i="4"/>
  <c r="AM311" i="3"/>
  <c r="AM206" i="3"/>
  <c r="AM40" i="3"/>
  <c r="AN206" i="3"/>
  <c r="AN80" i="3"/>
  <c r="AN479" i="3"/>
  <c r="AN511" i="3"/>
  <c r="AN137" i="3"/>
  <c r="AN81" i="3"/>
  <c r="AN68" i="3"/>
  <c r="AN22" i="3"/>
  <c r="AO4" i="3"/>
  <c r="AN69" i="3"/>
  <c r="AN21" i="3"/>
  <c r="AN495" i="3"/>
  <c r="AN105" i="3"/>
  <c r="AN107" i="3" s="1"/>
  <c r="AN82" i="3"/>
  <c r="AN78" i="3"/>
  <c r="AN67" i="3"/>
  <c r="AN42" i="3"/>
  <c r="AN27" i="3"/>
  <c r="AN435" i="3" s="1"/>
  <c r="AN26" i="3"/>
  <c r="AN434" i="3" s="1"/>
  <c r="AN25" i="3"/>
  <c r="AN433" i="3" s="1"/>
  <c r="AN24" i="3"/>
  <c r="AN432" i="3" s="1"/>
  <c r="AN23" i="3"/>
  <c r="AN431" i="3" s="1"/>
  <c r="C90" i="9"/>
  <c r="AN504" i="3"/>
  <c r="AN108" i="3"/>
  <c r="AN110" i="3" s="1"/>
  <c r="AN83" i="3"/>
  <c r="AN66" i="3"/>
  <c r="AN209" i="3" s="1"/>
  <c r="AN1" i="5"/>
  <c r="AN315" i="3"/>
  <c r="AN62" i="3"/>
  <c r="C138" i="9"/>
  <c r="AN311" i="3"/>
  <c r="AM239" i="3"/>
  <c r="AH89" i="9"/>
  <c r="BQ89" i="9" s="1"/>
  <c r="AM179" i="3"/>
  <c r="AM452" i="3"/>
  <c r="AM174" i="3"/>
  <c r="AM280" i="3" s="1"/>
  <c r="AM65" i="3"/>
  <c r="AM173" i="3"/>
  <c r="AM279" i="3" s="1"/>
  <c r="AF39" i="9"/>
  <c r="AF135" i="9" s="1"/>
  <c r="AK235" i="2"/>
  <c r="CD235" i="3" s="1"/>
  <c r="CD107" i="3"/>
  <c r="AG106" i="5"/>
  <c r="AG61" i="2"/>
  <c r="BZ49" i="3"/>
  <c r="R35" i="9"/>
  <c r="R131" i="9" s="1"/>
  <c r="AM50" i="3"/>
  <c r="AM52" i="3" s="1"/>
  <c r="AM54" i="3" s="1"/>
  <c r="AM60" i="3" s="1"/>
  <c r="AM51" i="3"/>
  <c r="CF51" i="3" s="1"/>
  <c r="AK255" i="4"/>
  <c r="AJ258" i="4"/>
  <c r="AK338" i="2"/>
  <c r="CD339" i="3" s="1"/>
  <c r="AK509" i="2"/>
  <c r="CD509" i="3" s="1"/>
  <c r="CD111" i="3"/>
  <c r="BD39" i="9"/>
  <c r="BD135" i="9" s="1"/>
  <c r="AO40" i="4"/>
  <c r="AP39" i="4"/>
  <c r="AG152" i="3"/>
  <c r="AG164" i="3"/>
  <c r="AG57" i="2"/>
  <c r="BZ55" i="3"/>
  <c r="AH55" i="2"/>
  <c r="AJ216" i="3"/>
  <c r="AJ216" i="2"/>
  <c r="CC217" i="3"/>
  <c r="AN46" i="4"/>
  <c r="AO45" i="4"/>
  <c r="AO11" i="4"/>
  <c r="AN177" i="4"/>
  <c r="AN181" i="4" s="1"/>
  <c r="AN188" i="2" s="1"/>
  <c r="AL110" i="2"/>
  <c r="CE108" i="3"/>
  <c r="CE25" i="3"/>
  <c r="AL433" i="2"/>
  <c r="CE433" i="3" s="1"/>
  <c r="CE78" i="3"/>
  <c r="AL234" i="2"/>
  <c r="AL14" i="5"/>
  <c r="AL211" i="5" s="1"/>
  <c r="AL70" i="2"/>
  <c r="U40" i="9"/>
  <c r="U136" i="9" s="1"/>
  <c r="AK376" i="1"/>
  <c r="CE66" i="3"/>
  <c r="AM504" i="2"/>
  <c r="CF504" i="3" s="1"/>
  <c r="AM495" i="2"/>
  <c r="CF495" i="3" s="1"/>
  <c r="AM131" i="2"/>
  <c r="CF131" i="3" s="1"/>
  <c r="AM82" i="2"/>
  <c r="AM80" i="2"/>
  <c r="AM78" i="2"/>
  <c r="AM67" i="2"/>
  <c r="CF67" i="3" s="1"/>
  <c r="AM62" i="2"/>
  <c r="AM479" i="2"/>
  <c r="CF479" i="3" s="1"/>
  <c r="AM105" i="2"/>
  <c r="AM81" i="2"/>
  <c r="CF81" i="3" s="1"/>
  <c r="AM22" i="2"/>
  <c r="AM511" i="2"/>
  <c r="CF511" i="3" s="1"/>
  <c r="AM389" i="2"/>
  <c r="AM137" i="2"/>
  <c r="AM130" i="2"/>
  <c r="CF130" i="3" s="1"/>
  <c r="AM83" i="2"/>
  <c r="CF83" i="3" s="1"/>
  <c r="AM68" i="2"/>
  <c r="AM66" i="2"/>
  <c r="AM209" i="2" s="1"/>
  <c r="AM47" i="2"/>
  <c r="CF47" i="3" s="1"/>
  <c r="AM27" i="2"/>
  <c r="AM26" i="2"/>
  <c r="AM25" i="2"/>
  <c r="AM24" i="2"/>
  <c r="AM23" i="2"/>
  <c r="C41" i="9"/>
  <c r="AM42" i="2"/>
  <c r="CF42" i="3" s="1"/>
  <c r="AM69" i="2"/>
  <c r="CF69" i="3" s="1"/>
  <c r="AN4" i="2"/>
  <c r="AM315" i="2"/>
  <c r="CF315" i="3" s="1"/>
  <c r="AM21" i="2"/>
  <c r="AM108" i="2"/>
  <c r="CD110" i="3"/>
  <c r="AK337" i="2"/>
  <c r="CD338" i="3" s="1"/>
  <c r="AZ39" i="9"/>
  <c r="AZ135" i="9" s="1"/>
  <c r="AK112" i="2"/>
  <c r="CC172" i="3"/>
  <c r="AJ278" i="2"/>
  <c r="CB216" i="3"/>
  <c r="AH383" i="1"/>
  <c r="CD236" i="3"/>
  <c r="AB39" i="9"/>
  <c r="AB135" i="9" s="1"/>
  <c r="AJ41" i="3"/>
  <c r="AJ43" i="3" s="1"/>
  <c r="AJ49" i="3" s="1"/>
  <c r="AK39" i="3"/>
  <c r="AN207" i="4"/>
  <c r="AM209" i="4"/>
  <c r="AO154" i="4"/>
  <c r="AN156" i="4"/>
  <c r="AM70" i="3"/>
  <c r="AM192" i="5" s="1"/>
  <c r="U89" i="9"/>
  <c r="AM430" i="3"/>
  <c r="AM407" i="5"/>
  <c r="AO144" i="4"/>
  <c r="AN146" i="4"/>
  <c r="BQ39" i="9"/>
  <c r="BQ135" i="9" s="1"/>
  <c r="AH135" i="9"/>
  <c r="AN176" i="4"/>
  <c r="AN187" i="2" s="1"/>
  <c r="AO14" i="4"/>
  <c r="B294" i="1"/>
  <c r="B341" i="1" s="1"/>
  <c r="Z295" i="1"/>
  <c r="BX46" i="3"/>
  <c r="AE48" i="2"/>
  <c r="BX48" i="3" s="1"/>
  <c r="AN119" i="4"/>
  <c r="AM121" i="4"/>
  <c r="AO92" i="4"/>
  <c r="AN100" i="4"/>
  <c r="BY61" i="3"/>
  <c r="AF441" i="2"/>
  <c r="BY441" i="3" s="1"/>
  <c r="AF13" i="5"/>
  <c r="AF209" i="5" s="1"/>
  <c r="AF288" i="2"/>
  <c r="BY288" i="3" s="1"/>
  <c r="AF451" i="2"/>
  <c r="BY451" i="3" s="1"/>
  <c r="AF242" i="2"/>
  <c r="BY242" i="3" s="1"/>
  <c r="AF151" i="2"/>
  <c r="AE362" i="1"/>
  <c r="AF59" i="2"/>
  <c r="BY59" i="3" s="1"/>
  <c r="BY57" i="3"/>
  <c r="AN268" i="4"/>
  <c r="AM270" i="4"/>
  <c r="CB41" i="3"/>
  <c r="AI43" i="2"/>
  <c r="AM142" i="3"/>
  <c r="AM144" i="3" s="1"/>
  <c r="AL87" i="3"/>
  <c r="CE87" i="3" s="1"/>
  <c r="AL490" i="2"/>
  <c r="AL307" i="2"/>
  <c r="AL74" i="2"/>
  <c r="AM87" i="2"/>
  <c r="AK490" i="3"/>
  <c r="CD490" i="3" s="1"/>
  <c r="AK307" i="3"/>
  <c r="CD307" i="3" s="1"/>
  <c r="AK74" i="3"/>
  <c r="CD74" i="3" s="1"/>
  <c r="AK60" i="2"/>
  <c r="CD54" i="3"/>
  <c r="AL98" i="3"/>
  <c r="CE98" i="3" s="1"/>
  <c r="AL325" i="2"/>
  <c r="AM98" i="2"/>
  <c r="AL75" i="2"/>
  <c r="AJ454" i="3"/>
  <c r="AJ291" i="3"/>
  <c r="CC291" i="3" s="1"/>
  <c r="AS86" i="9"/>
  <c r="AS134" i="9" s="1"/>
  <c r="AJ77" i="3"/>
  <c r="CC77" i="3" s="1"/>
  <c r="CD243" i="3"/>
  <c r="AK365" i="1"/>
  <c r="CF187" i="3"/>
  <c r="AM189" i="2"/>
  <c r="CE52" i="3"/>
  <c r="AJ458" i="3"/>
  <c r="AJ294" i="3"/>
  <c r="CC294" i="3" s="1"/>
  <c r="AX86" i="9"/>
  <c r="AX134" i="9" s="1"/>
  <c r="AL471" i="3"/>
  <c r="AL301" i="3"/>
  <c r="AL243" i="3"/>
  <c r="Y88" i="9"/>
  <c r="AL196" i="5"/>
  <c r="AJ107" i="5"/>
  <c r="AJ134" i="5" s="1"/>
  <c r="S38" i="9"/>
  <c r="S134" i="9" s="1"/>
  <c r="CC60" i="3"/>
  <c r="AK454" i="2"/>
  <c r="AK291" i="2"/>
  <c r="AS39" i="9"/>
  <c r="CD87" i="3"/>
  <c r="CD301" i="3"/>
  <c r="AK325" i="3"/>
  <c r="CD325" i="3" s="1"/>
  <c r="AK75" i="3"/>
  <c r="CD75" i="3" s="1"/>
  <c r="CD471" i="3"/>
  <c r="AN264" i="2"/>
  <c r="AN214" i="2"/>
  <c r="AO7" i="2"/>
  <c r="E42" i="9"/>
  <c r="AL301" i="2"/>
  <c r="AL16" i="5"/>
  <c r="AK458" i="2"/>
  <c r="AK294" i="2"/>
  <c r="AX39" i="9"/>
  <c r="CD98" i="3"/>
  <c r="AK210" i="5"/>
  <c r="BJ40" i="9"/>
  <c r="U369" i="3"/>
  <c r="U256" i="3"/>
  <c r="F323" i="4"/>
  <c r="BU258" i="1"/>
  <c r="P305" i="1"/>
  <c r="F321" i="4"/>
  <c r="F202" i="3"/>
  <c r="BS258" i="1"/>
  <c r="N305" i="1"/>
  <c r="U371" i="3"/>
  <c r="BM71" i="9"/>
  <c r="U125" i="3"/>
  <c r="F204" i="3"/>
  <c r="F515" i="3" s="1"/>
  <c r="T305" i="1"/>
  <c r="F324" i="4"/>
  <c r="BV258" i="1"/>
  <c r="Q305" i="1"/>
  <c r="F322" i="4"/>
  <c r="O305" i="1"/>
  <c r="BT258" i="1"/>
  <c r="F326" i="4"/>
  <c r="S305" i="1"/>
  <c r="BX258" i="1"/>
  <c r="H65" i="4"/>
  <c r="F325" i="4"/>
  <c r="BW258" i="1"/>
  <c r="R305" i="1"/>
  <c r="V16" i="3"/>
  <c r="AK369" i="1" l="1"/>
  <c r="CE144" i="3"/>
  <c r="AL471" i="2"/>
  <c r="Y40" i="9"/>
  <c r="Y136" i="9" s="1"/>
  <c r="AM354" i="2"/>
  <c r="AN157" i="2"/>
  <c r="AN155" i="2"/>
  <c r="AM120" i="3"/>
  <c r="AM354" i="3" s="1"/>
  <c r="CF354" i="3" s="1"/>
  <c r="AM157" i="3"/>
  <c r="AM155" i="3"/>
  <c r="AO175" i="4"/>
  <c r="AL77" i="2"/>
  <c r="CD40" i="3"/>
  <c r="AL40" i="2"/>
  <c r="AN40" i="3"/>
  <c r="AL210" i="5"/>
  <c r="AF89" i="9"/>
  <c r="BJ41" i="9"/>
  <c r="AM465" i="2"/>
  <c r="CD215" i="3"/>
  <c r="CF186" i="3"/>
  <c r="U372" i="3"/>
  <c r="U374" i="3" s="1"/>
  <c r="V367" i="3" s="1"/>
  <c r="V124" i="3" s="1"/>
  <c r="V36" i="3" s="1"/>
  <c r="AN56" i="2"/>
  <c r="CG56" i="3" s="1"/>
  <c r="AN311" i="2"/>
  <c r="CG311" i="3" s="1"/>
  <c r="AN51" i="2"/>
  <c r="CE243" i="3"/>
  <c r="AN206" i="2"/>
  <c r="AM353" i="1" s="1"/>
  <c r="AN120" i="2"/>
  <c r="AN76" i="2" s="1"/>
  <c r="AN465" i="2" s="1"/>
  <c r="CE301" i="3"/>
  <c r="CF311" i="3"/>
  <c r="AN103" i="4"/>
  <c r="AN50" i="2"/>
  <c r="AN52" i="2" s="1"/>
  <c r="CF50" i="3"/>
  <c r="AN97" i="4"/>
  <c r="AH45" i="2"/>
  <c r="BZ45" i="3"/>
  <c r="AO176" i="4"/>
  <c r="AP14" i="4"/>
  <c r="AO97" i="4"/>
  <c r="AK41" i="3"/>
  <c r="AK43" i="3" s="1"/>
  <c r="AK49" i="3" s="1"/>
  <c r="AL39" i="3"/>
  <c r="CD112" i="3"/>
  <c r="AK463" i="2"/>
  <c r="CD463" i="3" s="1"/>
  <c r="AK178" i="2"/>
  <c r="CD178" i="3" s="1"/>
  <c r="AK297" i="2"/>
  <c r="CD297" i="3" s="1"/>
  <c r="CF23" i="3"/>
  <c r="AM431" i="2"/>
  <c r="CF431" i="3" s="1"/>
  <c r="CF27" i="3"/>
  <c r="AM435" i="2"/>
  <c r="CF435" i="3" s="1"/>
  <c r="CF105" i="3"/>
  <c r="AM107" i="2"/>
  <c r="CF78" i="3"/>
  <c r="AM234" i="2"/>
  <c r="AM14" i="5"/>
  <c r="AM211" i="5" s="1"/>
  <c r="CE110" i="3"/>
  <c r="AL337" i="2"/>
  <c r="CE338" i="3" s="1"/>
  <c r="AZ40" i="9"/>
  <c r="AZ136" i="9" s="1"/>
  <c r="AL112" i="2"/>
  <c r="CC216" i="3"/>
  <c r="AI383" i="1"/>
  <c r="BZ57" i="3"/>
  <c r="AG59" i="2"/>
  <c r="BZ59" i="3" s="1"/>
  <c r="AL255" i="4"/>
  <c r="AK258" i="4"/>
  <c r="AN237" i="3"/>
  <c r="AC90" i="9" s="1"/>
  <c r="AN430" i="3"/>
  <c r="AN407" i="5"/>
  <c r="AN236" i="3"/>
  <c r="AB90" i="9" s="1"/>
  <c r="AP124" i="4"/>
  <c r="AO126" i="4"/>
  <c r="AN204" i="4"/>
  <c r="AO202" i="4"/>
  <c r="AK278" i="2"/>
  <c r="CD278" i="3" s="1"/>
  <c r="CD172" i="3"/>
  <c r="AF40" i="9"/>
  <c r="AF136" i="9" s="1"/>
  <c r="AL235" i="2"/>
  <c r="CE235" i="3" s="1"/>
  <c r="CE107" i="3"/>
  <c r="AN194" i="4"/>
  <c r="AO192" i="4"/>
  <c r="AN199" i="4"/>
  <c r="AO197" i="4"/>
  <c r="AO159" i="4"/>
  <c r="AN161" i="4"/>
  <c r="F399" i="5"/>
  <c r="F191" i="2"/>
  <c r="F94" i="4"/>
  <c r="F266" i="2"/>
  <c r="F85" i="5"/>
  <c r="F342" i="5" s="1"/>
  <c r="F397" i="5"/>
  <c r="AY184" i="3"/>
  <c r="CE237" i="3"/>
  <c r="AC40" i="9"/>
  <c r="AC136" i="9" s="1"/>
  <c r="AN214" i="3"/>
  <c r="CG214" i="3" s="1"/>
  <c r="AN187" i="3"/>
  <c r="AN188" i="3"/>
  <c r="CG188" i="3" s="1"/>
  <c r="E90" i="9"/>
  <c r="AN264" i="3"/>
  <c r="AN3" i="5"/>
  <c r="E138" i="9"/>
  <c r="AO7" i="3"/>
  <c r="AO51" i="3" s="1"/>
  <c r="AM261" i="4"/>
  <c r="AL217" i="3"/>
  <c r="AL217" i="2"/>
  <c r="AM262" i="4"/>
  <c r="AL215" i="3"/>
  <c r="AL265" i="4"/>
  <c r="AL215" i="2"/>
  <c r="AN275" i="4"/>
  <c r="AO273" i="4"/>
  <c r="AN240" i="4"/>
  <c r="AO238" i="4"/>
  <c r="AN34" i="4"/>
  <c r="AN186" i="3"/>
  <c r="AN186" i="2"/>
  <c r="AP264" i="4"/>
  <c r="AP257" i="4"/>
  <c r="AP180" i="4"/>
  <c r="AP99" i="4"/>
  <c r="AP102" i="4"/>
  <c r="AQ91" i="4"/>
  <c r="AP178" i="4"/>
  <c r="AO106" i="3"/>
  <c r="AO109" i="3"/>
  <c r="AO111" i="3" s="1"/>
  <c r="AO79" i="3"/>
  <c r="AO53" i="3"/>
  <c r="AO2" i="5"/>
  <c r="AP5" i="3"/>
  <c r="D139" i="9"/>
  <c r="D91" i="9"/>
  <c r="CE111" i="3"/>
  <c r="BD40" i="9"/>
  <c r="BD136" i="9" s="1"/>
  <c r="AL338" i="2"/>
  <c r="CE339" i="3" s="1"/>
  <c r="AL509" i="2"/>
  <c r="CE509" i="3" s="1"/>
  <c r="AO151" i="4"/>
  <c r="AP149" i="4"/>
  <c r="AN310" i="4"/>
  <c r="AN308" i="4"/>
  <c r="AN307" i="4"/>
  <c r="AN306" i="4"/>
  <c r="AN305" i="4"/>
  <c r="AN300" i="4"/>
  <c r="AN298" i="4"/>
  <c r="AN309" i="4"/>
  <c r="AN297" i="4"/>
  <c r="AN311" i="4"/>
  <c r="AN299" i="4"/>
  <c r="AN302" i="4"/>
  <c r="AN301" i="4"/>
  <c r="AN90" i="4"/>
  <c r="AN172" i="4"/>
  <c r="AN252" i="4"/>
  <c r="AN254" i="4" s="1"/>
  <c r="AN251" i="4"/>
  <c r="AP92" i="4"/>
  <c r="AO100" i="4"/>
  <c r="AO156" i="4"/>
  <c r="AP154" i="4"/>
  <c r="AJ61" i="3"/>
  <c r="AJ126" i="5"/>
  <c r="R86" i="9"/>
  <c r="AM110" i="2"/>
  <c r="CF108" i="3"/>
  <c r="AN504" i="2"/>
  <c r="CG504" i="3" s="1"/>
  <c r="AN511" i="2"/>
  <c r="CG511" i="3" s="1"/>
  <c r="AN389" i="2"/>
  <c r="AN137" i="2"/>
  <c r="AN130" i="2"/>
  <c r="CG130" i="3" s="1"/>
  <c r="AN83" i="2"/>
  <c r="CG83" i="3" s="1"/>
  <c r="AN68" i="2"/>
  <c r="AN66" i="2"/>
  <c r="AN209" i="2" s="1"/>
  <c r="AN47" i="2"/>
  <c r="CG47" i="3" s="1"/>
  <c r="AN27" i="2"/>
  <c r="AN26" i="2"/>
  <c r="AN25" i="2"/>
  <c r="AN24" i="2"/>
  <c r="AN23" i="2"/>
  <c r="AN21" i="2"/>
  <c r="AO4" i="2"/>
  <c r="AN479" i="2"/>
  <c r="CG479" i="3" s="1"/>
  <c r="AN105" i="2"/>
  <c r="AN81" i="2"/>
  <c r="CG81" i="3" s="1"/>
  <c r="AN42" i="2"/>
  <c r="CG42" i="3" s="1"/>
  <c r="AN22" i="2"/>
  <c r="AN315" i="2"/>
  <c r="CG315" i="3" s="1"/>
  <c r="AN69" i="2"/>
  <c r="CG69" i="3" s="1"/>
  <c r="C42" i="9"/>
  <c r="AN495" i="2"/>
  <c r="CG495" i="3" s="1"/>
  <c r="AN131" i="2"/>
  <c r="CG131" i="3" s="1"/>
  <c r="AN78" i="2"/>
  <c r="AN82" i="2"/>
  <c r="AN62" i="2"/>
  <c r="AN80" i="2"/>
  <c r="AN67" i="2"/>
  <c r="CG67" i="3" s="1"/>
  <c r="AN108" i="2"/>
  <c r="CF24" i="3"/>
  <c r="AM432" i="2"/>
  <c r="CF432" i="3" s="1"/>
  <c r="CF80" i="3"/>
  <c r="AM236" i="2"/>
  <c r="AL453" i="2"/>
  <c r="CE453" i="3" s="1"/>
  <c r="AL172" i="2"/>
  <c r="AL443" i="2"/>
  <c r="AL289" i="2"/>
  <c r="CE289" i="3" s="1"/>
  <c r="CE70" i="3"/>
  <c r="AP45" i="4"/>
  <c r="AO46" i="4"/>
  <c r="AG441" i="2"/>
  <c r="BZ441" i="3" s="1"/>
  <c r="AG288" i="2"/>
  <c r="BZ288" i="3" s="1"/>
  <c r="AG242" i="2"/>
  <c r="BZ242" i="3" s="1"/>
  <c r="AG13" i="5"/>
  <c r="AG209" i="5" s="1"/>
  <c r="AF362" i="1"/>
  <c r="AG151" i="2"/>
  <c r="BZ61" i="3"/>
  <c r="AG451" i="2"/>
  <c r="BZ451" i="3" s="1"/>
  <c r="AM442" i="3"/>
  <c r="T89" i="9"/>
  <c r="AN337" i="3"/>
  <c r="AN112" i="3"/>
  <c r="AZ90" i="9"/>
  <c r="AN235" i="3"/>
  <c r="AF90" i="9"/>
  <c r="V90" i="9"/>
  <c r="AP42" i="4"/>
  <c r="AQ41" i="4"/>
  <c r="BQ40" i="9"/>
  <c r="BQ136" i="9" s="1"/>
  <c r="AH136" i="9"/>
  <c r="AN245" i="4"/>
  <c r="AO243" i="4"/>
  <c r="AN235" i="4"/>
  <c r="AO233" i="4"/>
  <c r="BZ44" i="3"/>
  <c r="AG46" i="2"/>
  <c r="AH44" i="2"/>
  <c r="CF109" i="3"/>
  <c r="AM111" i="2"/>
  <c r="AN284" i="4"/>
  <c r="AO282" i="4"/>
  <c r="R36" i="9"/>
  <c r="R132" i="9" s="1"/>
  <c r="AH61" i="2"/>
  <c r="CA49" i="3"/>
  <c r="AH106" i="5"/>
  <c r="BH124" i="3"/>
  <c r="O36" i="2"/>
  <c r="O371" i="2"/>
  <c r="BH371" i="3" s="1"/>
  <c r="O125" i="2"/>
  <c r="BM17" i="9"/>
  <c r="BM113" i="9" s="1"/>
  <c r="E364" i="1"/>
  <c r="P202" i="1"/>
  <c r="P203" i="1" s="1"/>
  <c r="P206" i="1" s="1"/>
  <c r="AO223" i="4"/>
  <c r="AN225" i="4"/>
  <c r="T40" i="9"/>
  <c r="T136" i="9" s="1"/>
  <c r="CE65" i="3"/>
  <c r="AL442" i="2"/>
  <c r="CE442" i="3" s="1"/>
  <c r="AN111" i="4"/>
  <c r="AO109" i="4"/>
  <c r="AM189" i="3"/>
  <c r="CF189" i="3" s="1"/>
  <c r="AP114" i="4"/>
  <c r="AO116" i="4"/>
  <c r="AF143" i="5"/>
  <c r="AO44" i="4"/>
  <c r="AP43" i="4"/>
  <c r="AN50" i="3"/>
  <c r="AN52" i="3" s="1"/>
  <c r="AN54" i="3" s="1"/>
  <c r="AN60" i="3" s="1"/>
  <c r="AO139" i="4"/>
  <c r="AN141" i="4"/>
  <c r="AN29" i="4"/>
  <c r="AH152" i="3"/>
  <c r="AH164" i="3"/>
  <c r="CE236" i="3"/>
  <c r="AB40" i="9"/>
  <c r="AB136" i="9" s="1"/>
  <c r="AN270" i="4"/>
  <c r="AO268" i="4"/>
  <c r="BY151" i="3"/>
  <c r="AF164" i="2"/>
  <c r="BY164" i="3" s="1"/>
  <c r="AF152" i="2"/>
  <c r="BY152" i="3" s="1"/>
  <c r="B295" i="1"/>
  <c r="B342" i="1" s="1"/>
  <c r="Z296" i="1"/>
  <c r="CC278" i="3"/>
  <c r="AL379" i="1"/>
  <c r="CF209" i="3"/>
  <c r="CF25" i="3"/>
  <c r="AM433" i="2"/>
  <c r="CF433" i="3" s="1"/>
  <c r="AL376" i="1"/>
  <c r="U41" i="9"/>
  <c r="AM70" i="2"/>
  <c r="AM12" i="5" s="1"/>
  <c r="AM208" i="5" s="1"/>
  <c r="CF66" i="3"/>
  <c r="AH41" i="9"/>
  <c r="AL358" i="1"/>
  <c r="CF137" i="3"/>
  <c r="AM239" i="2"/>
  <c r="CF239" i="3" s="1"/>
  <c r="AM179" i="2"/>
  <c r="CF179" i="3" s="1"/>
  <c r="CF22" i="3"/>
  <c r="AM430" i="2"/>
  <c r="CF430" i="3" s="1"/>
  <c r="AM65" i="2"/>
  <c r="CF62" i="3"/>
  <c r="AM174" i="2"/>
  <c r="AM173" i="2"/>
  <c r="AM452" i="2"/>
  <c r="CF452" i="3" s="1"/>
  <c r="CF82" i="3"/>
  <c r="AM237" i="2"/>
  <c r="AH57" i="2"/>
  <c r="CA55" i="3"/>
  <c r="AI55" i="2"/>
  <c r="AM127" i="5"/>
  <c r="S89" i="9"/>
  <c r="AG108" i="5"/>
  <c r="AG110" i="5" s="1"/>
  <c r="AG137" i="5" s="1"/>
  <c r="AG143" i="5" s="1"/>
  <c r="AG133" i="5"/>
  <c r="AG135" i="5" s="1"/>
  <c r="AN65" i="3"/>
  <c r="AN452" i="3"/>
  <c r="AN174" i="3"/>
  <c r="AN280" i="3" s="1"/>
  <c r="AN173" i="3"/>
  <c r="AN279" i="3" s="1"/>
  <c r="U90" i="9"/>
  <c r="AN70" i="3"/>
  <c r="AN192" i="5" s="1"/>
  <c r="AN220" i="4"/>
  <c r="AO218" i="4"/>
  <c r="AK41" i="2"/>
  <c r="CD39" i="3"/>
  <c r="AL39" i="2"/>
  <c r="BY46" i="3"/>
  <c r="AF48" i="2"/>
  <c r="BY48" i="3" s="1"/>
  <c r="AN53" i="2"/>
  <c r="CG53" i="3" s="1"/>
  <c r="AN106" i="2"/>
  <c r="CG106" i="3" s="1"/>
  <c r="AN79" i="2"/>
  <c r="CG79" i="3" s="1"/>
  <c r="D42" i="9"/>
  <c r="AO5" i="2"/>
  <c r="AO30" i="4" s="1"/>
  <c r="AN58" i="2"/>
  <c r="CG58" i="3" s="1"/>
  <c r="AN109" i="2"/>
  <c r="AL280" i="2"/>
  <c r="CE280" i="3" s="1"/>
  <c r="CE174" i="3"/>
  <c r="CE173" i="3"/>
  <c r="AL279" i="2"/>
  <c r="CE279" i="3" s="1"/>
  <c r="AO228" i="4"/>
  <c r="AN230" i="4"/>
  <c r="AM411" i="5"/>
  <c r="CD217" i="3"/>
  <c r="AN51" i="3"/>
  <c r="BD90" i="9"/>
  <c r="AN509" i="3"/>
  <c r="AN338" i="3"/>
  <c r="AO295" i="4"/>
  <c r="AP93" i="4"/>
  <c r="AP175" i="4" s="1"/>
  <c r="AO1" i="4"/>
  <c r="AO129" i="4"/>
  <c r="AN131" i="4"/>
  <c r="BJ88" i="9"/>
  <c r="BJ136" i="9" s="1"/>
  <c r="CE76" i="3"/>
  <c r="CE471" i="3"/>
  <c r="AN142" i="2"/>
  <c r="AN144" i="2" s="1"/>
  <c r="AI49" i="2"/>
  <c r="CB43" i="3"/>
  <c r="AN121" i="4"/>
  <c r="AO119" i="4"/>
  <c r="AP144" i="4"/>
  <c r="AO146" i="4"/>
  <c r="AM453" i="3"/>
  <c r="AM443" i="3"/>
  <c r="AM289" i="3"/>
  <c r="AM172" i="3"/>
  <c r="AM278" i="3" s="1"/>
  <c r="AN209" i="4"/>
  <c r="AO207" i="4"/>
  <c r="CF26" i="3"/>
  <c r="AM434" i="2"/>
  <c r="CF434" i="3" s="1"/>
  <c r="CF68" i="3"/>
  <c r="V41" i="9"/>
  <c r="V137" i="9" s="1"/>
  <c r="CE234" i="3"/>
  <c r="AA40" i="9"/>
  <c r="AA136" i="9" s="1"/>
  <c r="AO177" i="4"/>
  <c r="AO181" i="4" s="1"/>
  <c r="AO188" i="2" s="1"/>
  <c r="AO98" i="4"/>
  <c r="AP11" i="4"/>
  <c r="AP40" i="4"/>
  <c r="AQ39" i="4"/>
  <c r="AN234" i="3"/>
  <c r="AA90" i="9" s="1"/>
  <c r="AN194" i="5"/>
  <c r="AO504" i="3"/>
  <c r="AO105" i="3"/>
  <c r="AO83" i="3"/>
  <c r="AO80" i="3"/>
  <c r="AO69" i="3"/>
  <c r="AO21" i="3"/>
  <c r="AO495" i="3"/>
  <c r="AO479" i="3"/>
  <c r="AO108" i="3"/>
  <c r="AO110" i="3" s="1"/>
  <c r="AO66" i="3"/>
  <c r="AO209" i="3" s="1"/>
  <c r="AO511" i="3"/>
  <c r="AO22" i="3"/>
  <c r="C91" i="9"/>
  <c r="AO62" i="3"/>
  <c r="AP4" i="3"/>
  <c r="AO137" i="3"/>
  <c r="AO68" i="3"/>
  <c r="AO1" i="5"/>
  <c r="AO81" i="3"/>
  <c r="AO82" i="3"/>
  <c r="AO67" i="3"/>
  <c r="AO27" i="3"/>
  <c r="AO435" i="3" s="1"/>
  <c r="AO25" i="3"/>
  <c r="AO433" i="3" s="1"/>
  <c r="AO23" i="3"/>
  <c r="AO431" i="3" s="1"/>
  <c r="AO42" i="3"/>
  <c r="AO26" i="3"/>
  <c r="AO434" i="3" s="1"/>
  <c r="AO24" i="3"/>
  <c r="AO432" i="3" s="1"/>
  <c r="AO78" i="3"/>
  <c r="C139" i="9"/>
  <c r="AO315" i="3"/>
  <c r="AN239" i="3"/>
  <c r="AN179" i="3"/>
  <c r="AH90" i="9"/>
  <c r="BQ90" i="9" s="1"/>
  <c r="AN189" i="4"/>
  <c r="AO187" i="4"/>
  <c r="AJ43" i="2"/>
  <c r="CC41" i="3"/>
  <c r="CH206" i="3"/>
  <c r="CH21" i="3"/>
  <c r="CI4" i="3"/>
  <c r="AM297" i="3"/>
  <c r="AM178" i="3"/>
  <c r="AM463" i="3"/>
  <c r="AL12" i="5"/>
  <c r="AK216" i="3"/>
  <c r="AK216" i="2"/>
  <c r="AO164" i="4"/>
  <c r="AN166" i="4"/>
  <c r="AO34" i="4"/>
  <c r="AO186" i="3"/>
  <c r="AO186" i="2"/>
  <c r="AI441" i="3"/>
  <c r="AI242" i="3"/>
  <c r="AI151" i="3"/>
  <c r="AI451" i="3"/>
  <c r="AI288" i="3"/>
  <c r="AI128" i="5"/>
  <c r="AI130" i="5" s="1"/>
  <c r="AI193" i="5"/>
  <c r="AN30" i="4"/>
  <c r="AO287" i="4"/>
  <c r="AN289" i="4"/>
  <c r="AM98" i="3"/>
  <c r="CF98" i="3" s="1"/>
  <c r="AM325" i="2"/>
  <c r="AM75" i="2"/>
  <c r="AN98" i="2"/>
  <c r="AN189" i="2"/>
  <c r="AL60" i="2"/>
  <c r="CE54" i="3"/>
  <c r="CD60" i="3"/>
  <c r="AK107" i="5"/>
  <c r="AK134" i="5" s="1"/>
  <c r="S39" i="9"/>
  <c r="S135" i="9" s="1"/>
  <c r="AM87" i="3"/>
  <c r="CF87" i="3" s="1"/>
  <c r="AM490" i="2"/>
  <c r="AM307" i="2"/>
  <c r="AM74" i="2"/>
  <c r="AN87" i="2"/>
  <c r="AM471" i="2"/>
  <c r="CF144" i="3"/>
  <c r="AM243" i="2"/>
  <c r="AM301" i="2"/>
  <c r="Y41" i="9"/>
  <c r="AM16" i="5"/>
  <c r="AL369" i="1"/>
  <c r="AK454" i="3"/>
  <c r="AK291" i="3"/>
  <c r="CD291" i="3" s="1"/>
  <c r="AS87" i="9"/>
  <c r="AS135" i="9" s="1"/>
  <c r="AK77" i="3"/>
  <c r="CD77" i="3" s="1"/>
  <c r="AL454" i="2"/>
  <c r="AL291" i="2"/>
  <c r="AS40" i="9"/>
  <c r="AL490" i="3"/>
  <c r="CE490" i="3" s="1"/>
  <c r="AL307" i="3"/>
  <c r="CE307" i="3" s="1"/>
  <c r="AL74" i="3"/>
  <c r="CE74" i="3" s="1"/>
  <c r="AM471" i="3"/>
  <c r="AM243" i="3"/>
  <c r="AM301" i="3"/>
  <c r="AM196" i="5"/>
  <c r="Y89" i="9"/>
  <c r="AO187" i="2"/>
  <c r="AO264" i="2"/>
  <c r="AO214" i="2"/>
  <c r="AP7" i="2"/>
  <c r="E43" i="9"/>
  <c r="CF52" i="3"/>
  <c r="AM54" i="2"/>
  <c r="AK458" i="3"/>
  <c r="AK294" i="3"/>
  <c r="CD294" i="3" s="1"/>
  <c r="AX87" i="9"/>
  <c r="AX135" i="9" s="1"/>
  <c r="AL365" i="1"/>
  <c r="AL458" i="2"/>
  <c r="AL294" i="2"/>
  <c r="AX40" i="9"/>
  <c r="AL325" i="3"/>
  <c r="CE325" i="3" s="1"/>
  <c r="AL75" i="3"/>
  <c r="CE75" i="3" s="1"/>
  <c r="CF142" i="3"/>
  <c r="M305" i="1"/>
  <c r="U305" i="1" s="1"/>
  <c r="BN258" i="1"/>
  <c r="U258" i="1"/>
  <c r="H70" i="4"/>
  <c r="H71" i="4"/>
  <c r="H68" i="4"/>
  <c r="H69" i="4"/>
  <c r="H67" i="4"/>
  <c r="T258" i="1"/>
  <c r="BM258" i="1"/>
  <c r="V258" i="1"/>
  <c r="BO258" i="1"/>
  <c r="F484" i="3"/>
  <c r="F422" i="3"/>
  <c r="F145" i="3"/>
  <c r="F332" i="5"/>
  <c r="F203" i="3"/>
  <c r="BL258" i="1"/>
  <c r="S258" i="1"/>
  <c r="X258" i="1"/>
  <c r="BQ258" i="1"/>
  <c r="W258" i="1"/>
  <c r="BP258" i="1"/>
  <c r="U466" i="3"/>
  <c r="U299" i="3"/>
  <c r="CF120" i="3" l="1"/>
  <c r="AN35" i="4"/>
  <c r="AM76" i="3"/>
  <c r="CF76" i="3" s="1"/>
  <c r="AN120" i="3"/>
  <c r="AN354" i="3" s="1"/>
  <c r="CG354" i="3" s="1"/>
  <c r="AN157" i="3"/>
  <c r="AN155" i="3"/>
  <c r="AN354" i="2"/>
  <c r="AO157" i="2"/>
  <c r="AO155" i="2"/>
  <c r="CG51" i="3"/>
  <c r="F271" i="2"/>
  <c r="F270" i="2"/>
  <c r="V91" i="9"/>
  <c r="CG186" i="3"/>
  <c r="CE40" i="3"/>
  <c r="AM40" i="2"/>
  <c r="AM77" i="2"/>
  <c r="AM465" i="3"/>
  <c r="CE215" i="3"/>
  <c r="CG50" i="3"/>
  <c r="AO237" i="3"/>
  <c r="AC91" i="9" s="1"/>
  <c r="AO29" i="4"/>
  <c r="AO35" i="4" s="1"/>
  <c r="AN142" i="3"/>
  <c r="AN144" i="3" s="1"/>
  <c r="AN471" i="3" s="1"/>
  <c r="AO120" i="2"/>
  <c r="AO354" i="2" s="1"/>
  <c r="AO50" i="2"/>
  <c r="AO52" i="2" s="1"/>
  <c r="AO311" i="2"/>
  <c r="CA45" i="3"/>
  <c r="AI45" i="2"/>
  <c r="AO56" i="2"/>
  <c r="CH56" i="3" s="1"/>
  <c r="AO103" i="4"/>
  <c r="AN189" i="3"/>
  <c r="AO51" i="2"/>
  <c r="CH51" i="3" s="1"/>
  <c r="AO40" i="3"/>
  <c r="AO206" i="2"/>
  <c r="AN353" i="1" s="1"/>
  <c r="AO142" i="2"/>
  <c r="AO142" i="3" s="1"/>
  <c r="AO144" i="3" s="1"/>
  <c r="AO206" i="3"/>
  <c r="CG187" i="3"/>
  <c r="AO311" i="3"/>
  <c r="AO107" i="3"/>
  <c r="AO235" i="3" s="1"/>
  <c r="CG120" i="3"/>
  <c r="AO289" i="4"/>
  <c r="AP287" i="4"/>
  <c r="AO189" i="4"/>
  <c r="AP187" i="4"/>
  <c r="AO430" i="3"/>
  <c r="AO407" i="5"/>
  <c r="AO337" i="3"/>
  <c r="AO112" i="3"/>
  <c r="AZ91" i="9"/>
  <c r="AO311" i="4"/>
  <c r="AO310" i="4"/>
  <c r="AO309" i="4"/>
  <c r="AO308" i="4"/>
  <c r="AO307" i="4"/>
  <c r="AO301" i="4"/>
  <c r="AO300" i="4"/>
  <c r="AO299" i="4"/>
  <c r="AO298" i="4"/>
  <c r="AO302" i="4"/>
  <c r="AO306" i="4"/>
  <c r="AO305" i="4"/>
  <c r="AO297" i="4"/>
  <c r="AO172" i="4"/>
  <c r="AO90" i="4"/>
  <c r="AO252" i="4"/>
  <c r="AO254" i="4" s="1"/>
  <c r="AO251" i="4"/>
  <c r="AK43" i="2"/>
  <c r="CD41" i="3"/>
  <c r="CA57" i="3"/>
  <c r="AH59" i="2"/>
  <c r="CA59" i="3" s="1"/>
  <c r="T41" i="9"/>
  <c r="T137" i="9" s="1"/>
  <c r="CF65" i="3"/>
  <c r="AM442" i="2"/>
  <c r="CF442" i="3" s="1"/>
  <c r="AN127" i="5"/>
  <c r="S90" i="9"/>
  <c r="AP116" i="4"/>
  <c r="AQ114" i="4"/>
  <c r="AO225" i="4"/>
  <c r="AP223" i="4"/>
  <c r="O466" i="2"/>
  <c r="BH466" i="3" s="1"/>
  <c r="BH125" i="3"/>
  <c r="O299" i="2"/>
  <c r="BH299" i="3" s="1"/>
  <c r="AH108" i="5"/>
  <c r="AH110" i="5" s="1"/>
  <c r="AH137" i="5" s="1"/>
  <c r="AH143" i="5" s="1"/>
  <c r="AH133" i="5"/>
  <c r="AH135" i="5" s="1"/>
  <c r="AP282" i="4"/>
  <c r="AO284" i="4"/>
  <c r="CA44" i="3"/>
  <c r="AH46" i="2"/>
  <c r="AI44" i="2"/>
  <c r="AP46" i="4"/>
  <c r="AQ45" i="4"/>
  <c r="CE172" i="3"/>
  <c r="AL278" i="2"/>
  <c r="CG209" i="3"/>
  <c r="AM379" i="1"/>
  <c r="AN173" i="2"/>
  <c r="CG62" i="3"/>
  <c r="AN65" i="2"/>
  <c r="AN452" i="2"/>
  <c r="CG452" i="3" s="1"/>
  <c r="AN174" i="2"/>
  <c r="AO511" i="2"/>
  <c r="CH511" i="3" s="1"/>
  <c r="AO495" i="2"/>
  <c r="CH495" i="3" s="1"/>
  <c r="AO479" i="2"/>
  <c r="CH479" i="3" s="1"/>
  <c r="AO105" i="2"/>
  <c r="AO81" i="2"/>
  <c r="CH81" i="3" s="1"/>
  <c r="AO42" i="2"/>
  <c r="CH42" i="3" s="1"/>
  <c r="AO22" i="2"/>
  <c r="C43" i="9"/>
  <c r="AO131" i="2"/>
  <c r="CH131" i="3" s="1"/>
  <c r="AO82" i="2"/>
  <c r="AO80" i="2"/>
  <c r="AO67" i="2"/>
  <c r="CH67" i="3" s="1"/>
  <c r="AO504" i="2"/>
  <c r="CH504" i="3" s="1"/>
  <c r="AO315" i="2"/>
  <c r="CH315" i="3" s="1"/>
  <c r="AO69" i="2"/>
  <c r="CH69" i="3" s="1"/>
  <c r="AO21" i="2"/>
  <c r="AP4" i="2"/>
  <c r="AO78" i="2"/>
  <c r="AO62" i="2"/>
  <c r="AO25" i="2"/>
  <c r="AO23" i="2"/>
  <c r="AO83" i="2"/>
  <c r="CH83" i="3" s="1"/>
  <c r="AO66" i="2"/>
  <c r="AO209" i="2" s="1"/>
  <c r="AO389" i="2"/>
  <c r="AO26" i="2"/>
  <c r="AO130" i="2"/>
  <c r="CH130" i="3" s="1"/>
  <c r="AO47" i="2"/>
  <c r="CH47" i="3" s="1"/>
  <c r="AO24" i="2"/>
  <c r="AO137" i="2"/>
  <c r="AO68" i="2"/>
  <c r="AO27" i="2"/>
  <c r="AO108" i="2"/>
  <c r="CG24" i="3"/>
  <c r="AN432" i="2"/>
  <c r="CG432" i="3" s="1"/>
  <c r="CF110" i="3"/>
  <c r="AM337" i="2"/>
  <c r="CF338" i="3" s="1"/>
  <c r="AZ41" i="9"/>
  <c r="AZ137" i="9" s="1"/>
  <c r="AM112" i="2"/>
  <c r="AP156" i="4"/>
  <c r="AQ154" i="4"/>
  <c r="BD91" i="9"/>
  <c r="AO509" i="3"/>
  <c r="AO338" i="3"/>
  <c r="AL216" i="3"/>
  <c r="AL216" i="2"/>
  <c r="AN411" i="5"/>
  <c r="AP192" i="4"/>
  <c r="AO194" i="4"/>
  <c r="AM255" i="4"/>
  <c r="AL258" i="4"/>
  <c r="AK61" i="3"/>
  <c r="AK126" i="5"/>
  <c r="R87" i="9"/>
  <c r="AL208" i="5"/>
  <c r="AO194" i="5"/>
  <c r="AO234" i="3"/>
  <c r="AA91" i="9" s="1"/>
  <c r="AO239" i="3"/>
  <c r="AO179" i="3"/>
  <c r="AH91" i="9"/>
  <c r="BQ91" i="9" s="1"/>
  <c r="AP511" i="3"/>
  <c r="AP137" i="3"/>
  <c r="AP108" i="3"/>
  <c r="AP110" i="3" s="1"/>
  <c r="AP82" i="3"/>
  <c r="AP504" i="3"/>
  <c r="AP495" i="3"/>
  <c r="AP479" i="3"/>
  <c r="AP66" i="3"/>
  <c r="AP209" i="3" s="1"/>
  <c r="AP105" i="3"/>
  <c r="AP83" i="3"/>
  <c r="AP78" i="3"/>
  <c r="AP67" i="3"/>
  <c r="AP62" i="3"/>
  <c r="AP42" i="3"/>
  <c r="AP27" i="3"/>
  <c r="AP435" i="3" s="1"/>
  <c r="AP26" i="3"/>
  <c r="AP434" i="3" s="1"/>
  <c r="AP25" i="3"/>
  <c r="AP433" i="3" s="1"/>
  <c r="AP24" i="3"/>
  <c r="AP432" i="3" s="1"/>
  <c r="AP23" i="3"/>
  <c r="AP431" i="3" s="1"/>
  <c r="AP80" i="3"/>
  <c r="AP68" i="3"/>
  <c r="AP21" i="3"/>
  <c r="AP1" i="5"/>
  <c r="C92" i="9"/>
  <c r="AP81" i="3"/>
  <c r="AQ4" i="3"/>
  <c r="AP69" i="3"/>
  <c r="C140" i="9"/>
  <c r="AP22" i="3"/>
  <c r="AP315" i="3"/>
  <c r="AP177" i="4"/>
  <c r="AQ11" i="4"/>
  <c r="AQ144" i="4"/>
  <c r="AP146" i="4"/>
  <c r="AI61" i="2"/>
  <c r="AI106" i="5"/>
  <c r="R37" i="9"/>
  <c r="R133" i="9" s="1"/>
  <c r="CB49" i="3"/>
  <c r="AN111" i="2"/>
  <c r="CG109" i="3"/>
  <c r="AO220" i="4"/>
  <c r="AP218" i="4"/>
  <c r="AN442" i="3"/>
  <c r="T90" i="9"/>
  <c r="CF237" i="3"/>
  <c r="AC41" i="9"/>
  <c r="AC137" i="9" s="1"/>
  <c r="CF173" i="3"/>
  <c r="AM279" i="2"/>
  <c r="CF279" i="3" s="1"/>
  <c r="AM453" i="2"/>
  <c r="AM289" i="2"/>
  <c r="CF70" i="3"/>
  <c r="AM172" i="2"/>
  <c r="AM443" i="2"/>
  <c r="CF443" i="3" s="1"/>
  <c r="BZ46" i="3"/>
  <c r="AG48" i="2"/>
  <c r="BZ48" i="3" s="1"/>
  <c r="AP243" i="4"/>
  <c r="AO245" i="4"/>
  <c r="AR41" i="4"/>
  <c r="AQ42" i="4"/>
  <c r="BZ151" i="3"/>
  <c r="AG164" i="2"/>
  <c r="BZ164" i="3" s="1"/>
  <c r="AG152" i="2"/>
  <c r="BZ152" i="3" s="1"/>
  <c r="CG82" i="3"/>
  <c r="AN237" i="2"/>
  <c r="CG105" i="3"/>
  <c r="AN107" i="2"/>
  <c r="CG25" i="3"/>
  <c r="AN433" i="2"/>
  <c r="CG433" i="3" s="1"/>
  <c r="AN70" i="2"/>
  <c r="AN12" i="5" s="1"/>
  <c r="U42" i="9"/>
  <c r="U138" i="9" s="1"/>
  <c r="AM376" i="1"/>
  <c r="CG66" i="3"/>
  <c r="CG137" i="3"/>
  <c r="AN239" i="2"/>
  <c r="CG239" i="3" s="1"/>
  <c r="AN179" i="2"/>
  <c r="CG179" i="3" s="1"/>
  <c r="AH42" i="9"/>
  <c r="AM358" i="1"/>
  <c r="AP151" i="4"/>
  <c r="AQ149" i="4"/>
  <c r="AP96" i="4"/>
  <c r="AP97" i="4" s="1"/>
  <c r="AO275" i="4"/>
  <c r="AP273" i="4"/>
  <c r="AN261" i="4"/>
  <c r="AM217" i="3"/>
  <c r="AM217" i="2"/>
  <c r="AY191" i="3"/>
  <c r="F193" i="2"/>
  <c r="AO161" i="4"/>
  <c r="AP159" i="4"/>
  <c r="CE112" i="3"/>
  <c r="AL463" i="2"/>
  <c r="CE463" i="3" s="1"/>
  <c r="AL178" i="2"/>
  <c r="CE178" i="3" s="1"/>
  <c r="AL297" i="2"/>
  <c r="CE297" i="3" s="1"/>
  <c r="AF41" i="9"/>
  <c r="AF137" i="9" s="1"/>
  <c r="AM235" i="2"/>
  <c r="CF235" i="3" s="1"/>
  <c r="CF107" i="3"/>
  <c r="AI164" i="3"/>
  <c r="AI152" i="3"/>
  <c r="CH186" i="3"/>
  <c r="AO166" i="4"/>
  <c r="AP164" i="4"/>
  <c r="CI21" i="3"/>
  <c r="CJ4" i="3"/>
  <c r="CI206" i="3"/>
  <c r="CC43" i="3"/>
  <c r="AJ49" i="2"/>
  <c r="AO452" i="3"/>
  <c r="AO174" i="3"/>
  <c r="AO280" i="3" s="1"/>
  <c r="AO173" i="3"/>
  <c r="AO279" i="3" s="1"/>
  <c r="AO65" i="3"/>
  <c r="AO236" i="3"/>
  <c r="AB91" i="9" s="1"/>
  <c r="AP207" i="4"/>
  <c r="AO209" i="4"/>
  <c r="AP119" i="4"/>
  <c r="AO121" i="4"/>
  <c r="AL41" i="2"/>
  <c r="AM39" i="2"/>
  <c r="CE39" i="3"/>
  <c r="CB55" i="3"/>
  <c r="AI57" i="2"/>
  <c r="AJ55" i="2"/>
  <c r="CF174" i="3"/>
  <c r="AM280" i="2"/>
  <c r="CF280" i="3" s="1"/>
  <c r="U137" i="9"/>
  <c r="B296" i="1"/>
  <c r="B343" i="1" s="1"/>
  <c r="Z297" i="1"/>
  <c r="B297" i="1" s="1"/>
  <c r="B344" i="1" s="1"/>
  <c r="AP109" i="4"/>
  <c r="AO111" i="4"/>
  <c r="E367" i="1"/>
  <c r="E374" i="1"/>
  <c r="E377" i="1" s="1"/>
  <c r="E382" i="1" s="1"/>
  <c r="E384" i="1" s="1"/>
  <c r="E386" i="1" s="1"/>
  <c r="O369" i="2"/>
  <c r="BH36" i="3"/>
  <c r="P16" i="2"/>
  <c r="BI16" i="3" s="1"/>
  <c r="O256" i="2"/>
  <c r="BH256" i="3" s="1"/>
  <c r="AH151" i="2"/>
  <c r="AG362" i="1"/>
  <c r="CA61" i="3"/>
  <c r="AH288" i="2"/>
  <c r="CA288" i="3" s="1"/>
  <c r="AH13" i="5"/>
  <c r="AH209" i="5" s="1"/>
  <c r="AH242" i="2"/>
  <c r="CA242" i="3" s="1"/>
  <c r="AH451" i="2"/>
  <c r="CA451" i="3" s="1"/>
  <c r="AH441" i="2"/>
  <c r="CA441" i="3" s="1"/>
  <c r="AM338" i="2"/>
  <c r="CF339" i="3" s="1"/>
  <c r="AM509" i="2"/>
  <c r="CF509" i="3" s="1"/>
  <c r="CF111" i="3"/>
  <c r="BD41" i="9"/>
  <c r="BD137" i="9" s="1"/>
  <c r="CF236" i="3"/>
  <c r="AB41" i="9"/>
  <c r="AB137" i="9" s="1"/>
  <c r="CG78" i="3"/>
  <c r="AN234" i="2"/>
  <c r="AN14" i="5"/>
  <c r="AN211" i="5" s="1"/>
  <c r="CG22" i="3"/>
  <c r="AN430" i="2"/>
  <c r="CG430" i="3" s="1"/>
  <c r="CG26" i="3"/>
  <c r="AN434" i="2"/>
  <c r="CG434" i="3" s="1"/>
  <c r="CG68" i="3"/>
  <c r="V42" i="9"/>
  <c r="V138" i="9" s="1"/>
  <c r="AO50" i="3"/>
  <c r="AO52" i="3" s="1"/>
  <c r="AO54" i="3" s="1"/>
  <c r="AO60" i="3" s="1"/>
  <c r="AN262" i="4"/>
  <c r="AM265" i="4"/>
  <c r="AM215" i="3"/>
  <c r="AM215" i="2"/>
  <c r="AO264" i="3"/>
  <c r="AO214" i="3"/>
  <c r="CH214" i="3" s="1"/>
  <c r="AO3" i="5"/>
  <c r="AO188" i="3"/>
  <c r="CH188" i="3" s="1"/>
  <c r="AO187" i="3"/>
  <c r="CH187" i="3" s="1"/>
  <c r="AP7" i="3"/>
  <c r="AP206" i="3" s="1"/>
  <c r="E139" i="9"/>
  <c r="E91" i="9"/>
  <c r="AP197" i="4"/>
  <c r="AO199" i="4"/>
  <c r="AP126" i="4"/>
  <c r="AQ124" i="4"/>
  <c r="AP176" i="4"/>
  <c r="AP187" i="2" s="1"/>
  <c r="AQ14" i="4"/>
  <c r="CD216" i="3"/>
  <c r="AJ383" i="1"/>
  <c r="U91" i="9"/>
  <c r="AO70" i="3"/>
  <c r="AR39" i="4"/>
  <c r="AQ40" i="4"/>
  <c r="AP129" i="4"/>
  <c r="AO131" i="4"/>
  <c r="AP29" i="4"/>
  <c r="AP35" i="4" s="1"/>
  <c r="AP295" i="4"/>
  <c r="AP1" i="4"/>
  <c r="AQ93" i="4"/>
  <c r="AQ175" i="4" s="1"/>
  <c r="AO230" i="4"/>
  <c r="AP228" i="4"/>
  <c r="AO106" i="2"/>
  <c r="CH106" i="3" s="1"/>
  <c r="AO79" i="2"/>
  <c r="CH79" i="3" s="1"/>
  <c r="AO53" i="2"/>
  <c r="CH53" i="3" s="1"/>
  <c r="AP5" i="2"/>
  <c r="AP30" i="4" s="1"/>
  <c r="AO58" i="2"/>
  <c r="CH58" i="3" s="1"/>
  <c r="D43" i="9"/>
  <c r="AO109" i="2"/>
  <c r="AN453" i="3"/>
  <c r="AN443" i="3"/>
  <c r="AN289" i="3"/>
  <c r="AN172" i="3"/>
  <c r="AN278" i="3" s="1"/>
  <c r="AH137" i="9"/>
  <c r="BQ41" i="9"/>
  <c r="BQ137" i="9" s="1"/>
  <c r="AO270" i="4"/>
  <c r="AP268" i="4"/>
  <c r="AO141" i="4"/>
  <c r="AP139" i="4"/>
  <c r="AQ43" i="4"/>
  <c r="AP44" i="4"/>
  <c r="AO235" i="4"/>
  <c r="AP233" i="4"/>
  <c r="AN463" i="3"/>
  <c r="AN297" i="3"/>
  <c r="AN178" i="3"/>
  <c r="CE443" i="3"/>
  <c r="CG108" i="3"/>
  <c r="AN110" i="2"/>
  <c r="CG80" i="3"/>
  <c r="AN236" i="2"/>
  <c r="CG23" i="3"/>
  <c r="AN431" i="2"/>
  <c r="CG431" i="3" s="1"/>
  <c r="AN435" i="2"/>
  <c r="CG435" i="3" s="1"/>
  <c r="CG27" i="3"/>
  <c r="AJ242" i="3"/>
  <c r="AJ451" i="3"/>
  <c r="AJ151" i="3"/>
  <c r="AJ128" i="5"/>
  <c r="AJ130" i="5" s="1"/>
  <c r="AJ441" i="3"/>
  <c r="AJ193" i="5"/>
  <c r="AJ288" i="3"/>
  <c r="AP100" i="4"/>
  <c r="AQ92" i="4"/>
  <c r="AP109" i="3"/>
  <c r="AP111" i="3" s="1"/>
  <c r="AP79" i="3"/>
  <c r="AP106" i="3"/>
  <c r="AQ5" i="3"/>
  <c r="D140" i="9"/>
  <c r="AP53" i="3"/>
  <c r="AP2" i="5"/>
  <c r="D92" i="9"/>
  <c r="AQ257" i="4"/>
  <c r="AQ180" i="4"/>
  <c r="AQ99" i="4"/>
  <c r="AR91" i="4"/>
  <c r="AQ264" i="4"/>
  <c r="AQ178" i="4"/>
  <c r="AQ102" i="4"/>
  <c r="AP181" i="4"/>
  <c r="AP188" i="2" s="1"/>
  <c r="AP238" i="4"/>
  <c r="AO240" i="4"/>
  <c r="CE217" i="3"/>
  <c r="AY266" i="3"/>
  <c r="AO204" i="4"/>
  <c r="AP202" i="4"/>
  <c r="CF234" i="3"/>
  <c r="AA41" i="9"/>
  <c r="AA137" i="9" s="1"/>
  <c r="AL41" i="3"/>
  <c r="AL43" i="3" s="1"/>
  <c r="AL49" i="3" s="1"/>
  <c r="AM39" i="3"/>
  <c r="AO189" i="2"/>
  <c r="AL454" i="3"/>
  <c r="AL291" i="3"/>
  <c r="CE291" i="3" s="1"/>
  <c r="AS88" i="9"/>
  <c r="AS136" i="9" s="1"/>
  <c r="AL77" i="3"/>
  <c r="CE77" i="3" s="1"/>
  <c r="Y137" i="9"/>
  <c r="CF471" i="3"/>
  <c r="CE60" i="3"/>
  <c r="AL107" i="5"/>
  <c r="AL134" i="5" s="1"/>
  <c r="S40" i="9"/>
  <c r="S136" i="9" s="1"/>
  <c r="AM294" i="2"/>
  <c r="AM458" i="2"/>
  <c r="AX41" i="9"/>
  <c r="CF301" i="3"/>
  <c r="AN490" i="2"/>
  <c r="AN87" i="3"/>
  <c r="AN307" i="2"/>
  <c r="AO87" i="2"/>
  <c r="AN74" i="2"/>
  <c r="CG52" i="3"/>
  <c r="AN54" i="2"/>
  <c r="CF54" i="3"/>
  <c r="AM60" i="2"/>
  <c r="CF243" i="3"/>
  <c r="AM291" i="2"/>
  <c r="AM454" i="2"/>
  <c r="AS41" i="9"/>
  <c r="AM490" i="3"/>
  <c r="CF490" i="3" s="1"/>
  <c r="AM307" i="3"/>
  <c r="CF307" i="3" s="1"/>
  <c r="AM74" i="3"/>
  <c r="CF74" i="3" s="1"/>
  <c r="CG189" i="3"/>
  <c r="AM365" i="1"/>
  <c r="AL458" i="3"/>
  <c r="AL294" i="3"/>
  <c r="CE294" i="3" s="1"/>
  <c r="AX88" i="9"/>
  <c r="AX136" i="9" s="1"/>
  <c r="AP264" i="2"/>
  <c r="AP311" i="2"/>
  <c r="AP214" i="2"/>
  <c r="E44" i="9"/>
  <c r="AQ7" i="2"/>
  <c r="AM210" i="5"/>
  <c r="CG144" i="3"/>
  <c r="AN471" i="2"/>
  <c r="AN243" i="2"/>
  <c r="AN301" i="2"/>
  <c r="AN16" i="5"/>
  <c r="Y42" i="9"/>
  <c r="AM369" i="1"/>
  <c r="AN98" i="3"/>
  <c r="CG98" i="3" s="1"/>
  <c r="AN325" i="2"/>
  <c r="AN75" i="2"/>
  <c r="AO98" i="2"/>
  <c r="AM325" i="3"/>
  <c r="CF325" i="3" s="1"/>
  <c r="AM75" i="3"/>
  <c r="CF75" i="3" s="1"/>
  <c r="BJ42" i="9"/>
  <c r="V369" i="3"/>
  <c r="V256" i="3"/>
  <c r="W16" i="3"/>
  <c r="R258" i="1"/>
  <c r="BK258" i="1"/>
  <c r="F333" i="5"/>
  <c r="F516" i="3"/>
  <c r="F424" i="3"/>
  <c r="F485" i="3"/>
  <c r="G302" i="3"/>
  <c r="F244" i="3"/>
  <c r="F146" i="3"/>
  <c r="F129" i="5" s="1"/>
  <c r="F197" i="5"/>
  <c r="Z56" i="9"/>
  <c r="F148" i="3"/>
  <c r="F229" i="3"/>
  <c r="V371" i="3"/>
  <c r="BM72" i="9"/>
  <c r="V125" i="3"/>
  <c r="H72" i="4"/>
  <c r="AO76" i="2" l="1"/>
  <c r="AO465" i="2" s="1"/>
  <c r="AN76" i="3"/>
  <c r="AP157" i="2"/>
  <c r="AP155" i="2"/>
  <c r="AQ96" i="4"/>
  <c r="AQ34" i="4" s="1"/>
  <c r="AO120" i="3"/>
  <c r="AO157" i="3"/>
  <c r="AO155" i="3"/>
  <c r="BJ89" i="9"/>
  <c r="BJ137" i="9" s="1"/>
  <c r="AF91" i="9"/>
  <c r="AN77" i="2"/>
  <c r="F86" i="4"/>
  <c r="AN38" i="4"/>
  <c r="AN75" i="4"/>
  <c r="AN62" i="4"/>
  <c r="AO38" i="4"/>
  <c r="AO62" i="4"/>
  <c r="AO75" i="4"/>
  <c r="H74" i="4"/>
  <c r="H272" i="3"/>
  <c r="AN243" i="3"/>
  <c r="AN40" i="2"/>
  <c r="CF40" i="3"/>
  <c r="CB45" i="3"/>
  <c r="AJ45" i="2"/>
  <c r="AP51" i="3"/>
  <c r="CF215" i="3"/>
  <c r="BJ90" i="9"/>
  <c r="BJ138" i="9" s="1"/>
  <c r="AN465" i="3"/>
  <c r="AN196" i="5"/>
  <c r="AN210" i="5" s="1"/>
  <c r="AO144" i="2"/>
  <c r="AN301" i="3"/>
  <c r="CG301" i="3" s="1"/>
  <c r="Y90" i="9"/>
  <c r="Y138" i="9" s="1"/>
  <c r="AP142" i="2"/>
  <c r="AP56" i="2"/>
  <c r="CI56" i="3" s="1"/>
  <c r="AP50" i="3"/>
  <c r="AP52" i="3" s="1"/>
  <c r="AP54" i="3" s="1"/>
  <c r="AP60" i="3" s="1"/>
  <c r="AP127" i="5" s="1"/>
  <c r="CG76" i="3"/>
  <c r="CH142" i="3"/>
  <c r="CG142" i="3"/>
  <c r="CH311" i="3"/>
  <c r="CG243" i="3"/>
  <c r="F425" i="3"/>
  <c r="AP120" i="2"/>
  <c r="AP206" i="2"/>
  <c r="AO353" i="1" s="1"/>
  <c r="CH50" i="3"/>
  <c r="AP50" i="2"/>
  <c r="AP52" i="2" s="1"/>
  <c r="AP51" i="2"/>
  <c r="CF217" i="3"/>
  <c r="AN208" i="5"/>
  <c r="CH209" i="3"/>
  <c r="AN379" i="1"/>
  <c r="AO354" i="3"/>
  <c r="CH354" i="3" s="1"/>
  <c r="AO76" i="3"/>
  <c r="CH120" i="3"/>
  <c r="AM41" i="3"/>
  <c r="AM43" i="3" s="1"/>
  <c r="AM49" i="3" s="1"/>
  <c r="AN39" i="3"/>
  <c r="AP204" i="4"/>
  <c r="AQ202" i="4"/>
  <c r="AQ106" i="3"/>
  <c r="AQ53" i="3"/>
  <c r="AR5" i="3"/>
  <c r="AQ109" i="3"/>
  <c r="AQ111" i="3" s="1"/>
  <c r="AQ79" i="3"/>
  <c r="AQ2" i="5"/>
  <c r="D141" i="9"/>
  <c r="D93" i="9"/>
  <c r="AJ164" i="3"/>
  <c r="AJ152" i="3"/>
  <c r="CG236" i="3"/>
  <c r="AB42" i="9"/>
  <c r="AB138" i="9" s="1"/>
  <c r="AQ44" i="4"/>
  <c r="AR43" i="4"/>
  <c r="AP306" i="4"/>
  <c r="AP310" i="4"/>
  <c r="AP302" i="4"/>
  <c r="AP297" i="4"/>
  <c r="AP309" i="4"/>
  <c r="AP307" i="4"/>
  <c r="AP301" i="4"/>
  <c r="AP298" i="4"/>
  <c r="AP311" i="4"/>
  <c r="AP300" i="4"/>
  <c r="AP299" i="4"/>
  <c r="AP308" i="4"/>
  <c r="AP305" i="4"/>
  <c r="AP252" i="4"/>
  <c r="AP254" i="4" s="1"/>
  <c r="AP172" i="4"/>
  <c r="AP90" i="4"/>
  <c r="AP251" i="4"/>
  <c r="AO443" i="3"/>
  <c r="AO289" i="3"/>
  <c r="AO172" i="3"/>
  <c r="AO278" i="3" s="1"/>
  <c r="AO453" i="3"/>
  <c r="AR14" i="4"/>
  <c r="AQ176" i="4"/>
  <c r="AQ187" i="2" s="1"/>
  <c r="AO411" i="5"/>
  <c r="AQ207" i="4"/>
  <c r="AP209" i="4"/>
  <c r="AO192" i="5"/>
  <c r="CK4" i="3"/>
  <c r="CJ206" i="3"/>
  <c r="CJ21" i="3"/>
  <c r="AP186" i="3"/>
  <c r="AP34" i="4"/>
  <c r="AP186" i="2"/>
  <c r="AH138" i="9"/>
  <c r="BQ42" i="9"/>
  <c r="BQ138" i="9" s="1"/>
  <c r="CG237" i="3"/>
  <c r="AC42" i="9"/>
  <c r="AC138" i="9" s="1"/>
  <c r="AQ243" i="4"/>
  <c r="AP245" i="4"/>
  <c r="CF453" i="3"/>
  <c r="AQ146" i="4"/>
  <c r="AR144" i="4"/>
  <c r="AP237" i="3"/>
  <c r="AC92" i="9" s="1"/>
  <c r="AM297" i="2"/>
  <c r="CF297" i="3" s="1"/>
  <c r="CF112" i="3"/>
  <c r="AM463" i="2"/>
  <c r="CF463" i="3" s="1"/>
  <c r="AM178" i="2"/>
  <c r="CF178" i="3" s="1"/>
  <c r="AO432" i="2"/>
  <c r="CH432" i="3" s="1"/>
  <c r="CH24" i="3"/>
  <c r="AO434" i="2"/>
  <c r="CH434" i="3" s="1"/>
  <c r="CH26" i="3"/>
  <c r="AO14" i="5"/>
  <c r="AO211" i="5" s="1"/>
  <c r="CH78" i="3"/>
  <c r="AO234" i="2"/>
  <c r="AN279" i="2"/>
  <c r="CG279" i="3" s="1"/>
  <c r="CG173" i="3"/>
  <c r="CE278" i="3"/>
  <c r="AI46" i="2"/>
  <c r="CB44" i="3"/>
  <c r="AJ44" i="2"/>
  <c r="AQ282" i="4"/>
  <c r="AP284" i="4"/>
  <c r="AQ116" i="4"/>
  <c r="AR114" i="4"/>
  <c r="CG471" i="3"/>
  <c r="AL61" i="3"/>
  <c r="AL126" i="5"/>
  <c r="R88" i="9"/>
  <c r="BD92" i="9"/>
  <c r="AP509" i="3"/>
  <c r="AP338" i="3"/>
  <c r="AQ233" i="4"/>
  <c r="AP235" i="4"/>
  <c r="AP141" i="4"/>
  <c r="AQ139" i="4"/>
  <c r="AP53" i="2"/>
  <c r="CI53" i="3" s="1"/>
  <c r="AQ5" i="2"/>
  <c r="AP58" i="2"/>
  <c r="CI58" i="3" s="1"/>
  <c r="D44" i="9"/>
  <c r="AP106" i="2"/>
  <c r="CI106" i="3" s="1"/>
  <c r="AP79" i="2"/>
  <c r="CI79" i="3" s="1"/>
  <c r="AP109" i="2"/>
  <c r="AQ228" i="4"/>
  <c r="AP230" i="4"/>
  <c r="AP131" i="4"/>
  <c r="AQ129" i="4"/>
  <c r="AP264" i="3"/>
  <c r="AP188" i="3"/>
  <c r="CI188" i="3" s="1"/>
  <c r="AP214" i="3"/>
  <c r="CI214" i="3" s="1"/>
  <c r="AQ7" i="3"/>
  <c r="AQ51" i="3" s="1"/>
  <c r="AP187" i="3"/>
  <c r="CI187" i="3" s="1"/>
  <c r="E140" i="9"/>
  <c r="E92" i="9"/>
  <c r="AP3" i="5"/>
  <c r="AM216" i="3"/>
  <c r="AM216" i="2"/>
  <c r="AO442" i="3"/>
  <c r="T91" i="9"/>
  <c r="AJ61" i="2"/>
  <c r="CC49" i="3"/>
  <c r="R38" i="9"/>
  <c r="R134" i="9" s="1"/>
  <c r="AJ106" i="5"/>
  <c r="F200" i="2"/>
  <c r="F195" i="2"/>
  <c r="F196" i="2"/>
  <c r="F201" i="2"/>
  <c r="F198" i="2"/>
  <c r="F199" i="2"/>
  <c r="AY193" i="3"/>
  <c r="F197" i="2"/>
  <c r="AO261" i="4"/>
  <c r="AN217" i="3"/>
  <c r="AN217" i="2"/>
  <c r="AQ151" i="4"/>
  <c r="AR149" i="4"/>
  <c r="CF172" i="3"/>
  <c r="AM278" i="2"/>
  <c r="CF278" i="3" s="1"/>
  <c r="AI133" i="5"/>
  <c r="AI135" i="5" s="1"/>
  <c r="AI108" i="5"/>
  <c r="AI110" i="5" s="1"/>
  <c r="AI137" i="5" s="1"/>
  <c r="AQ98" i="4"/>
  <c r="AQ177" i="4"/>
  <c r="AQ181" i="4" s="1"/>
  <c r="AQ188" i="2" s="1"/>
  <c r="AR11" i="4"/>
  <c r="AP311" i="3"/>
  <c r="CI311" i="3" s="1"/>
  <c r="V92" i="9"/>
  <c r="AP234" i="3"/>
  <c r="AA92" i="9" s="1"/>
  <c r="AP194" i="5"/>
  <c r="AP337" i="3"/>
  <c r="AZ92" i="9"/>
  <c r="AP112" i="3"/>
  <c r="AN255" i="4"/>
  <c r="AM258" i="4"/>
  <c r="AO435" i="2"/>
  <c r="CH435" i="3" s="1"/>
  <c r="CH27" i="3"/>
  <c r="AO431" i="2"/>
  <c r="CH431" i="3" s="1"/>
  <c r="CH23" i="3"/>
  <c r="AP511" i="2"/>
  <c r="CI511" i="3" s="1"/>
  <c r="AP495" i="2"/>
  <c r="CI495" i="3" s="1"/>
  <c r="AP479" i="2"/>
  <c r="CI479" i="3" s="1"/>
  <c r="AP389" i="2"/>
  <c r="AP504" i="2"/>
  <c r="CI504" i="3" s="1"/>
  <c r="AP315" i="2"/>
  <c r="CI315" i="3" s="1"/>
  <c r="AP69" i="2"/>
  <c r="CI69" i="3" s="1"/>
  <c r="AP21" i="2"/>
  <c r="AQ4" i="2"/>
  <c r="AQ142" i="2" s="1"/>
  <c r="AP130" i="2"/>
  <c r="CI130" i="3" s="1"/>
  <c r="AP47" i="2"/>
  <c r="CI47" i="3" s="1"/>
  <c r="AP27" i="2"/>
  <c r="AP26" i="2"/>
  <c r="AP24" i="2"/>
  <c r="AP23" i="2"/>
  <c r="C44" i="9"/>
  <c r="AP131" i="2"/>
  <c r="CI131" i="3" s="1"/>
  <c r="AP82" i="2"/>
  <c r="AP80" i="2"/>
  <c r="AP78" i="2"/>
  <c r="AP67" i="2"/>
  <c r="CI67" i="3" s="1"/>
  <c r="AP62" i="2"/>
  <c r="AP137" i="2"/>
  <c r="AP83" i="2"/>
  <c r="CI83" i="3" s="1"/>
  <c r="AP68" i="2"/>
  <c r="AP66" i="2"/>
  <c r="AP209" i="2" s="1"/>
  <c r="AP25" i="2"/>
  <c r="AP81" i="2"/>
  <c r="CI81" i="3" s="1"/>
  <c r="AP42" i="2"/>
  <c r="CI42" i="3" s="1"/>
  <c r="AP105" i="2"/>
  <c r="AP22" i="2"/>
  <c r="AP108" i="2"/>
  <c r="AO236" i="2"/>
  <c r="CH80" i="3"/>
  <c r="CH105" i="3"/>
  <c r="AO107" i="2"/>
  <c r="AH48" i="2"/>
  <c r="CA48" i="3" s="1"/>
  <c r="CA46" i="3"/>
  <c r="AO463" i="3"/>
  <c r="AO297" i="3"/>
  <c r="AO178" i="3"/>
  <c r="AQ187" i="4"/>
  <c r="AP189" i="4"/>
  <c r="F32" i="4"/>
  <c r="H33" i="4" s="1"/>
  <c r="AY270" i="3"/>
  <c r="F86" i="5"/>
  <c r="F343" i="5" s="1"/>
  <c r="AQ238" i="4"/>
  <c r="AP240" i="4"/>
  <c r="AR257" i="4"/>
  <c r="AR264" i="4"/>
  <c r="AR178" i="4"/>
  <c r="AR102" i="4"/>
  <c r="AR99" i="4"/>
  <c r="AR180" i="4"/>
  <c r="AS91" i="4"/>
  <c r="AQ100" i="4"/>
  <c r="AR92" i="4"/>
  <c r="AN337" i="2"/>
  <c r="CG338" i="3" s="1"/>
  <c r="CG110" i="3"/>
  <c r="AZ42" i="9"/>
  <c r="AZ138" i="9" s="1"/>
  <c r="AN112" i="2"/>
  <c r="AO111" i="2"/>
  <c r="CH109" i="3"/>
  <c r="AQ197" i="4"/>
  <c r="AP199" i="4"/>
  <c r="AO189" i="3"/>
  <c r="CH189" i="3" s="1"/>
  <c r="AO262" i="4"/>
  <c r="AN215" i="3"/>
  <c r="AN265" i="4"/>
  <c r="AN215" i="2"/>
  <c r="CC55" i="3"/>
  <c r="AJ57" i="2"/>
  <c r="AK55" i="2"/>
  <c r="AM41" i="2"/>
  <c r="AN39" i="2"/>
  <c r="CF39" i="3"/>
  <c r="AP121" i="4"/>
  <c r="AQ119" i="4"/>
  <c r="AP166" i="4"/>
  <c r="AQ164" i="4"/>
  <c r="AQ273" i="4"/>
  <c r="AP275" i="4"/>
  <c r="AF42" i="9"/>
  <c r="AF138" i="9" s="1"/>
  <c r="CG107" i="3"/>
  <c r="AN235" i="2"/>
  <c r="CG235" i="3" s="1"/>
  <c r="AS41" i="4"/>
  <c r="AS42" i="4" s="1"/>
  <c r="AR42" i="4"/>
  <c r="AN509" i="2"/>
  <c r="CG509" i="3" s="1"/>
  <c r="AN338" i="2"/>
  <c r="CG339" i="3" s="1"/>
  <c r="BD42" i="9"/>
  <c r="BD138" i="9" s="1"/>
  <c r="CG111" i="3"/>
  <c r="AI441" i="2"/>
  <c r="CB441" i="3" s="1"/>
  <c r="CB61" i="3"/>
  <c r="AI13" i="5"/>
  <c r="AI209" i="5" s="1"/>
  <c r="AI451" i="2"/>
  <c r="CB451" i="3" s="1"/>
  <c r="AI242" i="2"/>
  <c r="CB242" i="3" s="1"/>
  <c r="AI288" i="2"/>
  <c r="CB288" i="3" s="1"/>
  <c r="AH362" i="1"/>
  <c r="AI151" i="2"/>
  <c r="AP98" i="4"/>
  <c r="AP103" i="4" s="1"/>
  <c r="AP236" i="3"/>
  <c r="AB92" i="9" s="1"/>
  <c r="AP40" i="3"/>
  <c r="AP179" i="3"/>
  <c r="AH92" i="9"/>
  <c r="BQ92" i="9" s="1"/>
  <c r="AP239" i="3"/>
  <c r="AQ156" i="4"/>
  <c r="AR154" i="4"/>
  <c r="CH68" i="3"/>
  <c r="V43" i="9"/>
  <c r="V139" i="9" s="1"/>
  <c r="AO433" i="2"/>
  <c r="CH433" i="3" s="1"/>
  <c r="CH25" i="3"/>
  <c r="CH82" i="3"/>
  <c r="AO237" i="2"/>
  <c r="CH22" i="3"/>
  <c r="AO430" i="2"/>
  <c r="CH430" i="3" s="1"/>
  <c r="T42" i="9"/>
  <c r="T138" i="9" s="1"/>
  <c r="CG65" i="3"/>
  <c r="AN442" i="2"/>
  <c r="CG442" i="3" s="1"/>
  <c r="AQ46" i="4"/>
  <c r="AR45" i="4"/>
  <c r="AQ223" i="4"/>
  <c r="AP225" i="4"/>
  <c r="CD43" i="3"/>
  <c r="AK49" i="2"/>
  <c r="AQ186" i="3"/>
  <c r="AQ268" i="4"/>
  <c r="AP270" i="4"/>
  <c r="AQ295" i="4"/>
  <c r="AR93" i="4"/>
  <c r="AQ1" i="4"/>
  <c r="AR40" i="4"/>
  <c r="AS39" i="4"/>
  <c r="AS40" i="4" s="1"/>
  <c r="AQ126" i="4"/>
  <c r="AR124" i="4"/>
  <c r="S91" i="9"/>
  <c r="AO127" i="5"/>
  <c r="CG234" i="3"/>
  <c r="AA42" i="9"/>
  <c r="AA138" i="9" s="1"/>
  <c r="AH152" i="2"/>
  <c r="CA152" i="3" s="1"/>
  <c r="CA151" i="3"/>
  <c r="AH164" i="2"/>
  <c r="CA164" i="3" s="1"/>
  <c r="BH369" i="3"/>
  <c r="O372" i="2"/>
  <c r="AP111" i="4"/>
  <c r="AQ109" i="4"/>
  <c r="CB57" i="3"/>
  <c r="AI59" i="2"/>
  <c r="CB59" i="3" s="1"/>
  <c r="CE41" i="3"/>
  <c r="AL43" i="2"/>
  <c r="AP161" i="4"/>
  <c r="AQ159" i="4"/>
  <c r="CG70" i="3"/>
  <c r="AN443" i="2"/>
  <c r="AN453" i="2"/>
  <c r="CG453" i="3" s="1"/>
  <c r="AN289" i="2"/>
  <c r="CG289" i="3" s="1"/>
  <c r="AN172" i="2"/>
  <c r="CF289" i="3"/>
  <c r="AQ218" i="4"/>
  <c r="AP220" i="4"/>
  <c r="AP430" i="3"/>
  <c r="AP407" i="5"/>
  <c r="AQ495" i="3"/>
  <c r="AQ479" i="3"/>
  <c r="AQ81" i="3"/>
  <c r="AQ206" i="3"/>
  <c r="AQ108" i="3"/>
  <c r="AQ110" i="3" s="1"/>
  <c r="AQ105" i="3"/>
  <c r="AQ83" i="3"/>
  <c r="AQ78" i="3"/>
  <c r="AQ67" i="3"/>
  <c r="AQ62" i="3"/>
  <c r="AQ42" i="3"/>
  <c r="AQ27" i="3"/>
  <c r="AQ435" i="3" s="1"/>
  <c r="AQ26" i="3"/>
  <c r="AQ434" i="3" s="1"/>
  <c r="AQ25" i="3"/>
  <c r="AQ433" i="3" s="1"/>
  <c r="AQ24" i="3"/>
  <c r="AQ432" i="3" s="1"/>
  <c r="AQ23" i="3"/>
  <c r="AQ431" i="3" s="1"/>
  <c r="AQ504" i="3"/>
  <c r="AQ82" i="3"/>
  <c r="AQ68" i="3"/>
  <c r="AQ22" i="3"/>
  <c r="AR4" i="3"/>
  <c r="AQ137" i="3"/>
  <c r="AQ66" i="3"/>
  <c r="AQ209" i="3" s="1"/>
  <c r="AQ511" i="3"/>
  <c r="AQ80" i="3"/>
  <c r="AQ236" i="3" s="1"/>
  <c r="AB93" i="9" s="1"/>
  <c r="AQ69" i="3"/>
  <c r="AQ1" i="5"/>
  <c r="AQ21" i="3"/>
  <c r="C141" i="9"/>
  <c r="C93" i="9"/>
  <c r="AQ315" i="3"/>
  <c r="AP452" i="3"/>
  <c r="AP174" i="3"/>
  <c r="AP280" i="3" s="1"/>
  <c r="AP65" i="3"/>
  <c r="AP173" i="3"/>
  <c r="AP279" i="3" s="1"/>
  <c r="AP107" i="3"/>
  <c r="AP70" i="3"/>
  <c r="AP192" i="5" s="1"/>
  <c r="U92" i="9"/>
  <c r="AK441" i="3"/>
  <c r="AK451" i="3"/>
  <c r="AK151" i="3"/>
  <c r="AK193" i="5"/>
  <c r="AK242" i="3"/>
  <c r="AK288" i="3"/>
  <c r="AK128" i="5"/>
  <c r="AK130" i="5" s="1"/>
  <c r="AP194" i="4"/>
  <c r="AQ192" i="4"/>
  <c r="AK383" i="1"/>
  <c r="CE216" i="3"/>
  <c r="CH108" i="3"/>
  <c r="AO110" i="2"/>
  <c r="CH137" i="3"/>
  <c r="AH43" i="9"/>
  <c r="AO239" i="2"/>
  <c r="CH239" i="3" s="1"/>
  <c r="AO179" i="2"/>
  <c r="CH179" i="3" s="1"/>
  <c r="AN358" i="1"/>
  <c r="AO70" i="2"/>
  <c r="AO12" i="5" s="1"/>
  <c r="U43" i="9"/>
  <c r="U139" i="9" s="1"/>
  <c r="AN376" i="1"/>
  <c r="CH66" i="3"/>
  <c r="AO452" i="2"/>
  <c r="CH452" i="3" s="1"/>
  <c r="AO174" i="2"/>
  <c r="AO173" i="2"/>
  <c r="AO65" i="2"/>
  <c r="CH62" i="3"/>
  <c r="CG174" i="3"/>
  <c r="AN280" i="2"/>
  <c r="CG280" i="3" s="1"/>
  <c r="AP289" i="4"/>
  <c r="AQ287" i="4"/>
  <c r="AN325" i="3"/>
  <c r="CG325" i="3" s="1"/>
  <c r="AN75" i="3"/>
  <c r="CG75" i="3" s="1"/>
  <c r="AO471" i="3"/>
  <c r="AO243" i="3"/>
  <c r="AO301" i="3"/>
  <c r="AO196" i="5"/>
  <c r="Y91" i="9"/>
  <c r="AM107" i="5"/>
  <c r="AM134" i="5" s="1"/>
  <c r="S41" i="9"/>
  <c r="S137" i="9" s="1"/>
  <c r="CF60" i="3"/>
  <c r="AN490" i="3"/>
  <c r="CG490" i="3" s="1"/>
  <c r="AN307" i="3"/>
  <c r="CG307" i="3" s="1"/>
  <c r="AN74" i="3"/>
  <c r="CG74" i="3" s="1"/>
  <c r="AN365" i="1"/>
  <c r="AO98" i="3"/>
  <c r="AO325" i="2"/>
  <c r="AP98" i="2"/>
  <c r="AO75" i="2"/>
  <c r="AP142" i="3"/>
  <c r="AP144" i="3" s="1"/>
  <c r="AP144" i="2"/>
  <c r="AN454" i="2"/>
  <c r="AN291" i="2"/>
  <c r="AS42" i="9"/>
  <c r="AN458" i="2"/>
  <c r="AN294" i="2"/>
  <c r="AX42" i="9"/>
  <c r="AQ214" i="2"/>
  <c r="AQ264" i="2"/>
  <c r="AQ206" i="2"/>
  <c r="AP353" i="1" s="1"/>
  <c r="AR7" i="2"/>
  <c r="E45" i="9"/>
  <c r="CH144" i="3"/>
  <c r="AO301" i="2"/>
  <c r="AO471" i="2"/>
  <c r="AO243" i="2"/>
  <c r="AO16" i="5"/>
  <c r="Y43" i="9"/>
  <c r="AN369" i="1"/>
  <c r="AM454" i="3"/>
  <c r="AM291" i="3"/>
  <c r="CF291" i="3" s="1"/>
  <c r="AS89" i="9"/>
  <c r="AS137" i="9" s="1"/>
  <c r="AM77" i="3"/>
  <c r="CF77" i="3" s="1"/>
  <c r="AO490" i="2"/>
  <c r="AO87" i="3"/>
  <c r="CH87" i="3" s="1"/>
  <c r="AO307" i="2"/>
  <c r="AO74" i="2"/>
  <c r="AP87" i="2"/>
  <c r="CG87" i="3"/>
  <c r="AM458" i="3"/>
  <c r="AM294" i="3"/>
  <c r="CF294" i="3" s="1"/>
  <c r="AX89" i="9"/>
  <c r="AX137" i="9" s="1"/>
  <c r="AP189" i="2"/>
  <c r="AN60" i="2"/>
  <c r="CG54" i="3"/>
  <c r="CH52" i="3"/>
  <c r="AO54" i="2"/>
  <c r="BJ43" i="9"/>
  <c r="H73" i="4"/>
  <c r="F335" i="5"/>
  <c r="F198" i="5"/>
  <c r="F245" i="3"/>
  <c r="AJ56" i="9"/>
  <c r="AL56" i="9" s="1"/>
  <c r="V466" i="3"/>
  <c r="V299" i="3"/>
  <c r="F248" i="3"/>
  <c r="G8" i="3"/>
  <c r="V372" i="3"/>
  <c r="V374" i="3" s="1"/>
  <c r="W367" i="3" s="1"/>
  <c r="AQ29" i="4" l="1"/>
  <c r="S92" i="9"/>
  <c r="CI186" i="3"/>
  <c r="AQ157" i="2"/>
  <c r="AQ155" i="2"/>
  <c r="AP120" i="3"/>
  <c r="AP157" i="3"/>
  <c r="AP155" i="3"/>
  <c r="AQ97" i="4"/>
  <c r="AQ186" i="2"/>
  <c r="AQ311" i="2"/>
  <c r="AP38" i="4"/>
  <c r="AP75" i="4"/>
  <c r="AP62" i="4"/>
  <c r="CC45" i="3"/>
  <c r="AK45" i="2"/>
  <c r="AQ40" i="3"/>
  <c r="CG40" i="3"/>
  <c r="AO40" i="2"/>
  <c r="CI51" i="3"/>
  <c r="BJ91" i="9"/>
  <c r="BJ139" i="9" s="1"/>
  <c r="AO465" i="3"/>
  <c r="AQ311" i="3"/>
  <c r="CJ311" i="3" s="1"/>
  <c r="AQ107" i="3"/>
  <c r="AF93" i="9" s="1"/>
  <c r="CH76" i="3"/>
  <c r="AO77" i="2"/>
  <c r="CH301" i="3"/>
  <c r="CI50" i="3"/>
  <c r="Y139" i="9"/>
  <c r="AQ51" i="2"/>
  <c r="CJ51" i="3" s="1"/>
  <c r="CG215" i="3"/>
  <c r="AO210" i="5"/>
  <c r="AO208" i="5"/>
  <c r="AQ120" i="2"/>
  <c r="AQ354" i="2" s="1"/>
  <c r="AP354" i="2"/>
  <c r="AP76" i="2"/>
  <c r="AP465" i="2" s="1"/>
  <c r="CH243" i="3"/>
  <c r="AQ50" i="2"/>
  <c r="AQ30" i="4"/>
  <c r="AQ35" i="4" s="1"/>
  <c r="AP189" i="3"/>
  <c r="CI189" i="3" s="1"/>
  <c r="AQ237" i="3"/>
  <c r="AC93" i="9" s="1"/>
  <c r="CH471" i="3"/>
  <c r="AQ56" i="2"/>
  <c r="CJ56" i="3" s="1"/>
  <c r="AQ103" i="4"/>
  <c r="AP76" i="3"/>
  <c r="AP354" i="3"/>
  <c r="CI120" i="3"/>
  <c r="AR80" i="3"/>
  <c r="AR511" i="3"/>
  <c r="AR495" i="3"/>
  <c r="AR504" i="3"/>
  <c r="AR82" i="3"/>
  <c r="AR68" i="3"/>
  <c r="AR22" i="3"/>
  <c r="AS4" i="3"/>
  <c r="AR137" i="3"/>
  <c r="AR81" i="3"/>
  <c r="AR69" i="3"/>
  <c r="AR21" i="3"/>
  <c r="AR479" i="3"/>
  <c r="AR83" i="3"/>
  <c r="AR78" i="3"/>
  <c r="AR67" i="3"/>
  <c r="AR27" i="3"/>
  <c r="AR435" i="3" s="1"/>
  <c r="AR26" i="3"/>
  <c r="AR434" i="3" s="1"/>
  <c r="AR25" i="3"/>
  <c r="AR433" i="3" s="1"/>
  <c r="AR24" i="3"/>
  <c r="AR432" i="3" s="1"/>
  <c r="AR1" i="5"/>
  <c r="AR62" i="3"/>
  <c r="AR315" i="3"/>
  <c r="AR108" i="3"/>
  <c r="AR110" i="3" s="1"/>
  <c r="AR42" i="3"/>
  <c r="AR23" i="3"/>
  <c r="AR431" i="3" s="1"/>
  <c r="AR105" i="3"/>
  <c r="C142" i="9"/>
  <c r="C94" i="9"/>
  <c r="AR66" i="3"/>
  <c r="AR209" i="3" s="1"/>
  <c r="AZ93" i="9"/>
  <c r="AQ337" i="3"/>
  <c r="AQ112" i="3"/>
  <c r="AR218" i="4"/>
  <c r="AQ220" i="4"/>
  <c r="CG172" i="3"/>
  <c r="AN278" i="2"/>
  <c r="CG278" i="3" s="1"/>
  <c r="AR268" i="4"/>
  <c r="AQ270" i="4"/>
  <c r="AI152" i="2"/>
  <c r="CB152" i="3" s="1"/>
  <c r="AI164" i="2"/>
  <c r="CB164" i="3" s="1"/>
  <c r="CB151" i="3"/>
  <c r="CG39" i="3"/>
  <c r="AO39" i="2"/>
  <c r="AN41" i="2"/>
  <c r="AP262" i="4"/>
  <c r="AO265" i="4"/>
  <c r="AO215" i="3"/>
  <c r="AO215" i="2"/>
  <c r="CI108" i="3"/>
  <c r="AP110" i="2"/>
  <c r="CI105" i="3"/>
  <c r="AP107" i="2"/>
  <c r="AP70" i="2"/>
  <c r="AP12" i="5" s="1"/>
  <c r="AP208" i="5" s="1"/>
  <c r="U44" i="9"/>
  <c r="U140" i="9" s="1"/>
  <c r="AO376" i="1"/>
  <c r="CI66" i="3"/>
  <c r="CI80" i="3"/>
  <c r="AP236" i="2"/>
  <c r="CI27" i="3"/>
  <c r="AP435" i="2"/>
  <c r="CI435" i="3" s="1"/>
  <c r="AY199" i="3"/>
  <c r="H305" i="1"/>
  <c r="F317" i="4"/>
  <c r="O258" i="1" s="1"/>
  <c r="F313" i="4"/>
  <c r="K258" i="1" s="1"/>
  <c r="AY195" i="3"/>
  <c r="D305" i="1"/>
  <c r="F202" i="2"/>
  <c r="CF216" i="3"/>
  <c r="AL383" i="1"/>
  <c r="AQ58" i="2"/>
  <c r="CJ58" i="3" s="1"/>
  <c r="AQ106" i="2"/>
  <c r="CJ106" i="3" s="1"/>
  <c r="AQ79" i="2"/>
  <c r="CJ79" i="3" s="1"/>
  <c r="AQ53" i="2"/>
  <c r="CJ53" i="3" s="1"/>
  <c r="AR5" i="2"/>
  <c r="AR30" i="4" s="1"/>
  <c r="D45" i="9"/>
  <c r="AQ109" i="2"/>
  <c r="AL451" i="3"/>
  <c r="AL288" i="3"/>
  <c r="AL441" i="3"/>
  <c r="AL242" i="3"/>
  <c r="AL128" i="5"/>
  <c r="AL130" i="5" s="1"/>
  <c r="AL151" i="3"/>
  <c r="AL193" i="5"/>
  <c r="AS114" i="4"/>
  <c r="AS116" i="4" s="1"/>
  <c r="AR116" i="4"/>
  <c r="CC44" i="3"/>
  <c r="AJ46" i="2"/>
  <c r="AK44" i="2"/>
  <c r="AQ245" i="4"/>
  <c r="AR243" i="4"/>
  <c r="AQ50" i="3"/>
  <c r="AQ52" i="3" s="1"/>
  <c r="AQ54" i="3" s="1"/>
  <c r="AQ60" i="3" s="1"/>
  <c r="T43" i="9"/>
  <c r="T139" i="9" s="1"/>
  <c r="CH65" i="3"/>
  <c r="AO442" i="2"/>
  <c r="CH442" i="3" s="1"/>
  <c r="AO453" i="2"/>
  <c r="CH453" i="3" s="1"/>
  <c r="AO443" i="2"/>
  <c r="CH443" i="3" s="1"/>
  <c r="AO289" i="2"/>
  <c r="CH70" i="3"/>
  <c r="AO172" i="2"/>
  <c r="BQ43" i="9"/>
  <c r="BQ139" i="9" s="1"/>
  <c r="AH139" i="9"/>
  <c r="AQ407" i="5"/>
  <c r="AQ430" i="3"/>
  <c r="AQ234" i="3"/>
  <c r="AA93" i="9" s="1"/>
  <c r="AQ194" i="5"/>
  <c r="AQ161" i="4"/>
  <c r="AR159" i="4"/>
  <c r="BH372" i="3"/>
  <c r="O374" i="2"/>
  <c r="AR295" i="4"/>
  <c r="AR1" i="4"/>
  <c r="AS93" i="4"/>
  <c r="AS96" i="4" s="1"/>
  <c r="AQ225" i="4"/>
  <c r="AR223" i="4"/>
  <c r="CH237" i="3"/>
  <c r="AC43" i="9"/>
  <c r="AC139" i="9" s="1"/>
  <c r="AR119" i="4"/>
  <c r="AQ121" i="4"/>
  <c r="AM43" i="2"/>
  <c r="CF41" i="3"/>
  <c r="AR96" i="4"/>
  <c r="AR97" i="4" s="1"/>
  <c r="AR187" i="4"/>
  <c r="AQ189" i="4"/>
  <c r="CI209" i="3"/>
  <c r="AO379" i="1"/>
  <c r="CI68" i="3"/>
  <c r="V44" i="9"/>
  <c r="V140" i="9" s="1"/>
  <c r="CI62" i="3"/>
  <c r="AP65" i="2"/>
  <c r="AP452" i="2"/>
  <c r="CI452" i="3" s="1"/>
  <c r="AP174" i="2"/>
  <c r="AP173" i="2"/>
  <c r="CI82" i="3"/>
  <c r="AP237" i="2"/>
  <c r="CI23" i="3"/>
  <c r="AP431" i="2"/>
  <c r="CI431" i="3" s="1"/>
  <c r="AO255" i="4"/>
  <c r="AN258" i="4"/>
  <c r="AI143" i="5"/>
  <c r="AS149" i="4"/>
  <c r="AS151" i="4" s="1"/>
  <c r="AR151" i="4"/>
  <c r="AP261" i="4"/>
  <c r="AO217" i="3"/>
  <c r="AO217" i="2"/>
  <c r="AY198" i="3"/>
  <c r="G305" i="1"/>
  <c r="F316" i="4"/>
  <c r="N258" i="1" s="1"/>
  <c r="I305" i="1"/>
  <c r="F318" i="4"/>
  <c r="P258" i="1" s="1"/>
  <c r="AY200" i="3"/>
  <c r="AJ288" i="2"/>
  <c r="CC288" i="3" s="1"/>
  <c r="AJ242" i="2"/>
  <c r="CC242" i="3" s="1"/>
  <c r="AI362" i="1"/>
  <c r="AJ441" i="2"/>
  <c r="CC441" i="3" s="1"/>
  <c r="AJ451" i="2"/>
  <c r="CC451" i="3" s="1"/>
  <c r="CC61" i="3"/>
  <c r="AJ151" i="2"/>
  <c r="AJ13" i="5"/>
  <c r="AJ209" i="5" s="1"/>
  <c r="AQ230" i="4"/>
  <c r="AR228" i="4"/>
  <c r="AQ235" i="4"/>
  <c r="AR233" i="4"/>
  <c r="AR207" i="4"/>
  <c r="AQ209" i="4"/>
  <c r="AR44" i="4"/>
  <c r="AS43" i="4"/>
  <c r="AS44" i="4" s="1"/>
  <c r="BD93" i="9"/>
  <c r="AQ338" i="3"/>
  <c r="AQ509" i="3"/>
  <c r="AN41" i="3"/>
  <c r="AN43" i="3" s="1"/>
  <c r="AN49" i="3" s="1"/>
  <c r="AO39" i="3"/>
  <c r="AO279" i="2"/>
  <c r="CH279" i="3" s="1"/>
  <c r="CH173" i="3"/>
  <c r="AK164" i="3"/>
  <c r="AK152" i="3"/>
  <c r="AP289" i="3"/>
  <c r="AP172" i="3"/>
  <c r="AP278" i="3" s="1"/>
  <c r="AP453" i="3"/>
  <c r="AP443" i="3"/>
  <c r="AP442" i="3"/>
  <c r="T92" i="9"/>
  <c r="AQ70" i="3"/>
  <c r="AQ192" i="5" s="1"/>
  <c r="U93" i="9"/>
  <c r="V93" i="9"/>
  <c r="AS124" i="4"/>
  <c r="AS126" i="4" s="1"/>
  <c r="AR126" i="4"/>
  <c r="CD49" i="3"/>
  <c r="R39" i="9"/>
  <c r="R135" i="9" s="1"/>
  <c r="AK106" i="5"/>
  <c r="AK61" i="2"/>
  <c r="AR46" i="4"/>
  <c r="AS45" i="4"/>
  <c r="AS46" i="4" s="1"/>
  <c r="AR273" i="4"/>
  <c r="AQ275" i="4"/>
  <c r="AK57" i="2"/>
  <c r="CD55" i="3"/>
  <c r="AL55" i="2"/>
  <c r="AN216" i="3"/>
  <c r="AN216" i="2"/>
  <c r="AO509" i="2"/>
  <c r="CH509" i="3" s="1"/>
  <c r="CH111" i="3"/>
  <c r="AO338" i="2"/>
  <c r="CH339" i="3" s="1"/>
  <c r="BD43" i="9"/>
  <c r="BD139" i="9" s="1"/>
  <c r="AS264" i="4"/>
  <c r="AS257" i="4"/>
  <c r="AS178" i="4"/>
  <c r="AS102" i="4"/>
  <c r="AS180" i="4"/>
  <c r="AS99" i="4"/>
  <c r="AQ240" i="4"/>
  <c r="AR238" i="4"/>
  <c r="H58" i="4"/>
  <c r="H57" i="4"/>
  <c r="H55" i="4"/>
  <c r="H54" i="4"/>
  <c r="H56" i="4"/>
  <c r="CH236" i="3"/>
  <c r="AB43" i="9"/>
  <c r="AB139" i="9" s="1"/>
  <c r="CI24" i="3"/>
  <c r="AP432" i="2"/>
  <c r="CI432" i="3" s="1"/>
  <c r="AP463" i="3"/>
  <c r="AP178" i="3"/>
  <c r="AP297" i="3"/>
  <c r="AS11" i="4"/>
  <c r="AR98" i="4"/>
  <c r="AR177" i="4"/>
  <c r="AR181" i="4" s="1"/>
  <c r="AR188" i="2" s="1"/>
  <c r="AY197" i="3"/>
  <c r="F305" i="1"/>
  <c r="F315" i="4"/>
  <c r="M258" i="1" s="1"/>
  <c r="AY201" i="3"/>
  <c r="F204" i="2"/>
  <c r="J305" i="1"/>
  <c r="F319" i="4"/>
  <c r="AJ133" i="5"/>
  <c r="AJ135" i="5" s="1"/>
  <c r="AJ108" i="5"/>
  <c r="AJ110" i="5" s="1"/>
  <c r="AJ137" i="5" s="1"/>
  <c r="AJ143" i="5" s="1"/>
  <c r="AP411" i="5"/>
  <c r="AQ264" i="3"/>
  <c r="AQ214" i="3"/>
  <c r="CJ214" i="3" s="1"/>
  <c r="AR7" i="3"/>
  <c r="AR40" i="3" s="1"/>
  <c r="AQ187" i="3"/>
  <c r="AQ188" i="3"/>
  <c r="CJ188" i="3" s="1"/>
  <c r="E141" i="9"/>
  <c r="E93" i="9"/>
  <c r="AQ3" i="5"/>
  <c r="AR129" i="4"/>
  <c r="AQ131" i="4"/>
  <c r="AQ141" i="4"/>
  <c r="AR139" i="4"/>
  <c r="CB46" i="3"/>
  <c r="AI48" i="2"/>
  <c r="CB48" i="3" s="1"/>
  <c r="CK206" i="3"/>
  <c r="CL4" i="3"/>
  <c r="CK21" i="3"/>
  <c r="AR109" i="3"/>
  <c r="AR111" i="3" s="1"/>
  <c r="AR53" i="3"/>
  <c r="AS5" i="3"/>
  <c r="AR79" i="3"/>
  <c r="AR2" i="5"/>
  <c r="D142" i="9"/>
  <c r="D94" i="9"/>
  <c r="AR106" i="3"/>
  <c r="AM61" i="3"/>
  <c r="AM126" i="5"/>
  <c r="R89" i="9"/>
  <c r="AR287" i="4"/>
  <c r="AQ289" i="4"/>
  <c r="CH174" i="3"/>
  <c r="AO280" i="2"/>
  <c r="CH280" i="3" s="1"/>
  <c r="AO337" i="2"/>
  <c r="CH338" i="3" s="1"/>
  <c r="CH110" i="3"/>
  <c r="AZ43" i="9"/>
  <c r="AZ139" i="9" s="1"/>
  <c r="AO112" i="2"/>
  <c r="AR192" i="4"/>
  <c r="AQ194" i="4"/>
  <c r="AP235" i="3"/>
  <c r="AF92" i="9"/>
  <c r="AQ179" i="3"/>
  <c r="AQ239" i="3"/>
  <c r="AH93" i="9"/>
  <c r="BQ93" i="9" s="1"/>
  <c r="AQ174" i="3"/>
  <c r="AQ280" i="3" s="1"/>
  <c r="AQ65" i="3"/>
  <c r="AQ452" i="3"/>
  <c r="AQ173" i="3"/>
  <c r="AQ279" i="3" s="1"/>
  <c r="CG443" i="3"/>
  <c r="CE43" i="3"/>
  <c r="AL49" i="2"/>
  <c r="AR109" i="4"/>
  <c r="AQ111" i="4"/>
  <c r="AQ311" i="4"/>
  <c r="AQ309" i="4"/>
  <c r="AQ307" i="4"/>
  <c r="AQ306" i="4"/>
  <c r="AQ305" i="4"/>
  <c r="AQ302" i="4"/>
  <c r="AQ308" i="4"/>
  <c r="AQ301" i="4"/>
  <c r="AQ299" i="4"/>
  <c r="AQ297" i="4"/>
  <c r="AQ300" i="4"/>
  <c r="AQ298" i="4"/>
  <c r="AQ310" i="4"/>
  <c r="AQ252" i="4"/>
  <c r="AQ254" i="4" s="1"/>
  <c r="AQ172" i="4"/>
  <c r="AQ90" i="4"/>
  <c r="AQ251" i="4"/>
  <c r="CJ186" i="3"/>
  <c r="AS154" i="4"/>
  <c r="AS156" i="4" s="1"/>
  <c r="AR156" i="4"/>
  <c r="AQ166" i="4"/>
  <c r="AR164" i="4"/>
  <c r="CC57" i="3"/>
  <c r="AJ59" i="2"/>
  <c r="CC59" i="3" s="1"/>
  <c r="AR197" i="4"/>
  <c r="AQ199" i="4"/>
  <c r="AN297" i="2"/>
  <c r="CG297" i="3" s="1"/>
  <c r="AN178" i="2"/>
  <c r="CG178" i="3" s="1"/>
  <c r="AN463" i="2"/>
  <c r="CG463" i="3" s="1"/>
  <c r="CG112" i="3"/>
  <c r="AS92" i="4"/>
  <c r="AS100" i="4" s="1"/>
  <c r="AR100" i="4"/>
  <c r="AR175" i="4"/>
  <c r="AR176" i="4" s="1"/>
  <c r="AR187" i="2" s="1"/>
  <c r="F89" i="4"/>
  <c r="F274" i="2" s="1"/>
  <c r="F88" i="4"/>
  <c r="F273" i="2" s="1"/>
  <c r="AF43" i="9"/>
  <c r="AF139" i="9" s="1"/>
  <c r="CH107" i="3"/>
  <c r="AO235" i="2"/>
  <c r="CH235" i="3" s="1"/>
  <c r="AP430" i="2"/>
  <c r="CI430" i="3" s="1"/>
  <c r="CI22" i="3"/>
  <c r="CI25" i="3"/>
  <c r="AP433" i="2"/>
  <c r="CI433" i="3" s="1"/>
  <c r="CI137" i="3"/>
  <c r="AP239" i="2"/>
  <c r="CI239" i="3" s="1"/>
  <c r="AP179" i="2"/>
  <c r="CI179" i="3" s="1"/>
  <c r="AH44" i="9"/>
  <c r="AO358" i="1"/>
  <c r="CI78" i="3"/>
  <c r="AP234" i="2"/>
  <c r="AP14" i="5"/>
  <c r="AP211" i="5" s="1"/>
  <c r="CI26" i="3"/>
  <c r="AP434" i="2"/>
  <c r="CI434" i="3" s="1"/>
  <c r="AQ504" i="2"/>
  <c r="CJ504" i="3" s="1"/>
  <c r="AQ479" i="2"/>
  <c r="CJ479" i="3" s="1"/>
  <c r="AQ131" i="2"/>
  <c r="CJ131" i="3" s="1"/>
  <c r="AQ82" i="2"/>
  <c r="AQ80" i="2"/>
  <c r="AQ78" i="2"/>
  <c r="AQ67" i="2"/>
  <c r="CJ67" i="3" s="1"/>
  <c r="AQ62" i="2"/>
  <c r="C45" i="9"/>
  <c r="AQ495" i="2"/>
  <c r="CJ495" i="3" s="1"/>
  <c r="AQ81" i="2"/>
  <c r="CJ81" i="3" s="1"/>
  <c r="AQ42" i="2"/>
  <c r="CJ42" i="3" s="1"/>
  <c r="AQ22" i="2"/>
  <c r="AQ137" i="2"/>
  <c r="AQ130" i="2"/>
  <c r="CJ130" i="3" s="1"/>
  <c r="AQ83" i="2"/>
  <c r="CJ83" i="3" s="1"/>
  <c r="AQ68" i="2"/>
  <c r="AQ66" i="2"/>
  <c r="AQ209" i="2" s="1"/>
  <c r="AQ47" i="2"/>
  <c r="CJ47" i="3" s="1"/>
  <c r="AQ27" i="2"/>
  <c r="AQ26" i="2"/>
  <c r="AQ25" i="2"/>
  <c r="AQ24" i="2"/>
  <c r="AQ23" i="2"/>
  <c r="AQ389" i="2"/>
  <c r="AQ105" i="2"/>
  <c r="AQ315" i="2"/>
  <c r="CJ315" i="3" s="1"/>
  <c r="AQ69" i="2"/>
  <c r="CJ69" i="3" s="1"/>
  <c r="AR4" i="2"/>
  <c r="AR29" i="4" s="1"/>
  <c r="AR35" i="4" s="1"/>
  <c r="AQ21" i="2"/>
  <c r="AQ511" i="2"/>
  <c r="CJ511" i="3" s="1"/>
  <c r="AQ108" i="2"/>
  <c r="CG217" i="3"/>
  <c r="E305" i="1"/>
  <c r="F314" i="4"/>
  <c r="L258" i="1" s="1"/>
  <c r="AY196" i="3"/>
  <c r="CI109" i="3"/>
  <c r="AP111" i="2"/>
  <c r="AR282" i="4"/>
  <c r="AQ284" i="4"/>
  <c r="CH234" i="3"/>
  <c r="AA43" i="9"/>
  <c r="AA139" i="9" s="1"/>
  <c r="AS144" i="4"/>
  <c r="AS146" i="4" s="1"/>
  <c r="AR146" i="4"/>
  <c r="AS14" i="4"/>
  <c r="AR202" i="4"/>
  <c r="AQ204" i="4"/>
  <c r="AO60" i="2"/>
  <c r="CH54" i="3"/>
  <c r="AO365" i="1"/>
  <c r="AO454" i="2"/>
  <c r="AO291" i="2"/>
  <c r="AS43" i="9"/>
  <c r="CJ187" i="3"/>
  <c r="AQ189" i="2"/>
  <c r="AQ142" i="3"/>
  <c r="AQ144" i="3" s="1"/>
  <c r="AQ144" i="2"/>
  <c r="AP98" i="3"/>
  <c r="CI98" i="3" s="1"/>
  <c r="AP325" i="2"/>
  <c r="AQ98" i="2"/>
  <c r="AP75" i="2"/>
  <c r="CG60" i="3"/>
  <c r="AN107" i="5"/>
  <c r="AN134" i="5" s="1"/>
  <c r="S42" i="9"/>
  <c r="S138" i="9" s="1"/>
  <c r="AP471" i="3"/>
  <c r="AP301" i="3"/>
  <c r="AP243" i="3"/>
  <c r="Y92" i="9"/>
  <c r="AP196" i="5"/>
  <c r="AN454" i="3"/>
  <c r="AN291" i="3"/>
  <c r="CG291" i="3" s="1"/>
  <c r="AS90" i="9"/>
  <c r="AS138" i="9" s="1"/>
  <c r="AN77" i="3"/>
  <c r="CG77" i="3" s="1"/>
  <c r="AP54" i="2"/>
  <c r="CI52" i="3"/>
  <c r="AO490" i="3"/>
  <c r="CH490" i="3" s="1"/>
  <c r="AO307" i="3"/>
  <c r="CH307" i="3" s="1"/>
  <c r="AO74" i="3"/>
  <c r="AQ52" i="2"/>
  <c r="CI142" i="3"/>
  <c r="AO325" i="3"/>
  <c r="CH325" i="3" s="1"/>
  <c r="AO75" i="3"/>
  <c r="CH75" i="3" s="1"/>
  <c r="AN458" i="3"/>
  <c r="AN294" i="3"/>
  <c r="CG294" i="3" s="1"/>
  <c r="AX90" i="9"/>
  <c r="AX138" i="9" s="1"/>
  <c r="AP87" i="3"/>
  <c r="CI87" i="3" s="1"/>
  <c r="AP490" i="2"/>
  <c r="AP307" i="2"/>
  <c r="AP74" i="2"/>
  <c r="AQ87" i="2"/>
  <c r="AR264" i="2"/>
  <c r="AR214" i="2"/>
  <c r="AS7" i="2"/>
  <c r="E46" i="9"/>
  <c r="CI144" i="3"/>
  <c r="AP301" i="2"/>
  <c r="AP471" i="2"/>
  <c r="AP243" i="2"/>
  <c r="AO369" i="1"/>
  <c r="Y44" i="9"/>
  <c r="AP16" i="5"/>
  <c r="AO458" i="2"/>
  <c r="AO294" i="2"/>
  <c r="AX43" i="9"/>
  <c r="CH98" i="3"/>
  <c r="AQ76" i="2"/>
  <c r="AQ465" i="2" s="1"/>
  <c r="F486" i="3"/>
  <c r="G450" i="3"/>
  <c r="G447" i="3"/>
  <c r="G390" i="3"/>
  <c r="G84" i="3"/>
  <c r="G19" i="3"/>
  <c r="G20" i="3"/>
  <c r="F57" i="9"/>
  <c r="K57" i="9" s="1"/>
  <c r="G373" i="5"/>
  <c r="W124" i="3"/>
  <c r="F259" i="3"/>
  <c r="F369" i="5" s="1"/>
  <c r="BT56" i="9"/>
  <c r="BY56" i="9" s="1"/>
  <c r="F260" i="3"/>
  <c r="F199" i="5"/>
  <c r="F200" i="5" s="1"/>
  <c r="AQ235" i="3" l="1"/>
  <c r="BJ44" i="9"/>
  <c r="AS175" i="4"/>
  <c r="AQ120" i="3"/>
  <c r="AQ76" i="3" s="1"/>
  <c r="CJ76" i="3" s="1"/>
  <c r="AQ157" i="3"/>
  <c r="AQ155" i="3"/>
  <c r="AR157" i="2"/>
  <c r="AR155" i="2"/>
  <c r="CI243" i="3"/>
  <c r="AQ38" i="4"/>
  <c r="AQ62" i="4"/>
  <c r="AQ75" i="4"/>
  <c r="AR103" i="4"/>
  <c r="CI301" i="3"/>
  <c r="CH40" i="3"/>
  <c r="AP40" i="2"/>
  <c r="CD45" i="3"/>
  <c r="AL45" i="2"/>
  <c r="BJ92" i="9"/>
  <c r="BJ140" i="9" s="1"/>
  <c r="AP465" i="3"/>
  <c r="AR51" i="2"/>
  <c r="AR142" i="2"/>
  <c r="AR120" i="2"/>
  <c r="AR76" i="2" s="1"/>
  <c r="AR465" i="2" s="1"/>
  <c r="CI76" i="3"/>
  <c r="AR50" i="3"/>
  <c r="AR52" i="3" s="1"/>
  <c r="AR54" i="3" s="1"/>
  <c r="AR60" i="3" s="1"/>
  <c r="AR127" i="5" s="1"/>
  <c r="CI354" i="3"/>
  <c r="AR56" i="2"/>
  <c r="CK56" i="3" s="1"/>
  <c r="AP77" i="2"/>
  <c r="AP210" i="5"/>
  <c r="CI471" i="3"/>
  <c r="AR50" i="2"/>
  <c r="AR311" i="2"/>
  <c r="CJ50" i="3"/>
  <c r="Y140" i="9"/>
  <c r="AR206" i="2"/>
  <c r="AQ353" i="1" s="1"/>
  <c r="AR51" i="3"/>
  <c r="AR204" i="4"/>
  <c r="AS202" i="4"/>
  <c r="AS204" i="4" s="1"/>
  <c r="CJ25" i="3"/>
  <c r="AQ433" i="2"/>
  <c r="CJ433" i="3" s="1"/>
  <c r="U45" i="9"/>
  <c r="U141" i="9" s="1"/>
  <c r="AP376" i="1"/>
  <c r="CJ66" i="3"/>
  <c r="AQ70" i="2"/>
  <c r="CJ137" i="3"/>
  <c r="AP358" i="1"/>
  <c r="AH45" i="9"/>
  <c r="AQ179" i="2"/>
  <c r="CJ179" i="3" s="1"/>
  <c r="AQ239" i="2"/>
  <c r="CJ239" i="3" s="1"/>
  <c r="AH140" i="9"/>
  <c r="BQ44" i="9"/>
  <c r="BQ140" i="9" s="1"/>
  <c r="AO297" i="2"/>
  <c r="CH297" i="3" s="1"/>
  <c r="AO463" i="2"/>
  <c r="CH463" i="3" s="1"/>
  <c r="AO178" i="2"/>
  <c r="CH178" i="3" s="1"/>
  <c r="CH112" i="3"/>
  <c r="AS106" i="3"/>
  <c r="E106" i="3" s="1"/>
  <c r="AU106" i="2" s="1"/>
  <c r="AS79" i="3"/>
  <c r="E79" i="3" s="1"/>
  <c r="AU79" i="2" s="1"/>
  <c r="AS2" i="5"/>
  <c r="AS53" i="3"/>
  <c r="E53" i="3" s="1"/>
  <c r="D143" i="9"/>
  <c r="AS109" i="3"/>
  <c r="AS111" i="3" s="1"/>
  <c r="D95" i="9"/>
  <c r="CL21" i="3"/>
  <c r="CL206" i="3"/>
  <c r="AS139" i="4"/>
  <c r="AS141" i="4" s="1"/>
  <c r="AR141" i="4"/>
  <c r="AQ411" i="5"/>
  <c r="AQ189" i="3"/>
  <c r="CJ189" i="3" s="1"/>
  <c r="CG216" i="3"/>
  <c r="AM383" i="1"/>
  <c r="CD57" i="3"/>
  <c r="AK59" i="2"/>
  <c r="CD59" i="3" s="1"/>
  <c r="AO41" i="3"/>
  <c r="AO43" i="3" s="1"/>
  <c r="AO49" i="3" s="1"/>
  <c r="AP39" i="3"/>
  <c r="AR209" i="4"/>
  <c r="AS207" i="4"/>
  <c r="AS209" i="4" s="1"/>
  <c r="AR230" i="4"/>
  <c r="AS228" i="4"/>
  <c r="AS230" i="4" s="1"/>
  <c r="CI237" i="3"/>
  <c r="AC44" i="9"/>
  <c r="AC140" i="9" s="1"/>
  <c r="AP280" i="2"/>
  <c r="CI280" i="3" s="1"/>
  <c r="CI174" i="3"/>
  <c r="AM49" i="2"/>
  <c r="CF43" i="3"/>
  <c r="P367" i="2"/>
  <c r="BH374" i="3"/>
  <c r="CH289" i="3"/>
  <c r="AS243" i="4"/>
  <c r="AS245" i="4" s="1"/>
  <c r="AR245" i="4"/>
  <c r="AL152" i="3"/>
  <c r="AL164" i="3"/>
  <c r="CJ109" i="3"/>
  <c r="AQ111" i="2"/>
  <c r="AF44" i="9"/>
  <c r="AF140" i="9" s="1"/>
  <c r="AP235" i="2"/>
  <c r="CI235" i="3" s="1"/>
  <c r="CI107" i="3"/>
  <c r="CH215" i="3"/>
  <c r="CG41" i="3"/>
  <c r="AN43" i="2"/>
  <c r="AQ178" i="3"/>
  <c r="AQ297" i="3"/>
  <c r="AQ463" i="3"/>
  <c r="AR311" i="3"/>
  <c r="AR337" i="3"/>
  <c r="AZ94" i="9"/>
  <c r="AR112" i="3"/>
  <c r="AR237" i="3"/>
  <c r="AC94" i="9" s="1"/>
  <c r="AR236" i="3"/>
  <c r="AB94" i="9" s="1"/>
  <c r="AS97" i="4"/>
  <c r="AS176" i="4"/>
  <c r="AS187" i="2" s="1"/>
  <c r="CJ26" i="3"/>
  <c r="AQ434" i="2"/>
  <c r="CJ434" i="3" s="1"/>
  <c r="CJ68" i="3"/>
  <c r="V45" i="9"/>
  <c r="V141" i="9" s="1"/>
  <c r="CJ78" i="3"/>
  <c r="AQ14" i="5"/>
  <c r="AQ211" i="5" s="1"/>
  <c r="AQ234" i="2"/>
  <c r="CI234" i="3"/>
  <c r="AA44" i="9"/>
  <c r="AA140" i="9" s="1"/>
  <c r="AS109" i="4"/>
  <c r="AS111" i="4" s="1"/>
  <c r="AR111" i="4"/>
  <c r="AR214" i="3"/>
  <c r="CK214" i="3" s="1"/>
  <c r="AR187" i="3"/>
  <c r="CK187" i="3" s="1"/>
  <c r="AR188" i="3"/>
  <c r="CK188" i="3" s="1"/>
  <c r="AR264" i="3"/>
  <c r="AS7" i="3"/>
  <c r="AS51" i="3" s="1"/>
  <c r="AR3" i="5"/>
  <c r="E142" i="9"/>
  <c r="E94" i="9"/>
  <c r="AK242" i="2"/>
  <c r="CD242" i="3" s="1"/>
  <c r="CD61" i="3"/>
  <c r="AK151" i="2"/>
  <c r="AK288" i="2"/>
  <c r="CD288" i="3" s="1"/>
  <c r="AK441" i="2"/>
  <c r="CD441" i="3" s="1"/>
  <c r="AJ362" i="1"/>
  <c r="AK13" i="5"/>
  <c r="AK209" i="5" s="1"/>
  <c r="AK451" i="2"/>
  <c r="CD451" i="3" s="1"/>
  <c r="AQ453" i="3"/>
  <c r="AQ172" i="3"/>
  <c r="AQ278" i="3" s="1"/>
  <c r="AQ443" i="3"/>
  <c r="AQ289" i="3"/>
  <c r="AN61" i="3"/>
  <c r="AN126" i="5"/>
  <c r="R90" i="9"/>
  <c r="CH217" i="3"/>
  <c r="AP255" i="4"/>
  <c r="AO258" i="4"/>
  <c r="AR189" i="4"/>
  <c r="AS187" i="4"/>
  <c r="AS189" i="4" s="1"/>
  <c r="AR225" i="4"/>
  <c r="AS223" i="4"/>
  <c r="AS225" i="4" s="1"/>
  <c r="AR311" i="4"/>
  <c r="AR308" i="4"/>
  <c r="AR306" i="4"/>
  <c r="AR305" i="4"/>
  <c r="AR297" i="4"/>
  <c r="AR299" i="4"/>
  <c r="AR307" i="4"/>
  <c r="AR302" i="4"/>
  <c r="AR301" i="4"/>
  <c r="AR300" i="4"/>
  <c r="AR310" i="4"/>
  <c r="AR298" i="4"/>
  <c r="AR309" i="4"/>
  <c r="AR90" i="4"/>
  <c r="AR252" i="4"/>
  <c r="AR254" i="4" s="1"/>
  <c r="AR172" i="4"/>
  <c r="AR251" i="4"/>
  <c r="X213" i="1"/>
  <c r="F87" i="5"/>
  <c r="F344" i="5" s="1"/>
  <c r="F422" i="2"/>
  <c r="F145" i="2"/>
  <c r="F203" i="2"/>
  <c r="AY202" i="3"/>
  <c r="E370" i="1"/>
  <c r="F484" i="2"/>
  <c r="AO41" i="2"/>
  <c r="AP39" i="2"/>
  <c r="CH39" i="3"/>
  <c r="AR70" i="3"/>
  <c r="AR192" i="5" s="1"/>
  <c r="U94" i="9"/>
  <c r="AR107" i="3"/>
  <c r="AR234" i="3"/>
  <c r="AA94" i="9" s="1"/>
  <c r="AR194" i="5"/>
  <c r="AS504" i="3"/>
  <c r="E504" i="3" s="1"/>
  <c r="AS105" i="3"/>
  <c r="AS83" i="3"/>
  <c r="E83" i="3" s="1"/>
  <c r="AU83" i="2" s="1"/>
  <c r="AS479" i="3"/>
  <c r="AS137" i="3"/>
  <c r="AS81" i="3"/>
  <c r="E81" i="3" s="1"/>
  <c r="AU81" i="2" s="1"/>
  <c r="AS69" i="3"/>
  <c r="E69" i="3" s="1"/>
  <c r="AU69" i="2" s="1"/>
  <c r="AS21" i="3"/>
  <c r="AS511" i="3"/>
  <c r="E511" i="3" s="1"/>
  <c r="AS80" i="3"/>
  <c r="AS66" i="3"/>
  <c r="AS209" i="3" s="1"/>
  <c r="AS62" i="3"/>
  <c r="C95" i="9"/>
  <c r="AS495" i="3"/>
  <c r="AS486" i="3"/>
  <c r="AS108" i="3"/>
  <c r="AS110" i="3" s="1"/>
  <c r="AS78" i="3"/>
  <c r="AS67" i="3"/>
  <c r="E67" i="3" s="1"/>
  <c r="AU67" i="2" s="1"/>
  <c r="AS42" i="3"/>
  <c r="E42" i="3" s="1"/>
  <c r="AS27" i="3"/>
  <c r="AS435" i="3" s="1"/>
  <c r="AS26" i="3"/>
  <c r="AS434" i="3" s="1"/>
  <c r="AS25" i="3"/>
  <c r="AS433" i="3" s="1"/>
  <c r="AS24" i="3"/>
  <c r="AS432" i="3" s="1"/>
  <c r="AS23" i="3"/>
  <c r="AS431" i="3" s="1"/>
  <c r="AS1" i="5"/>
  <c r="AS82" i="3"/>
  <c r="AS22" i="3"/>
  <c r="AS68" i="3"/>
  <c r="C143" i="9"/>
  <c r="AS315" i="3"/>
  <c r="AR206" i="3"/>
  <c r="AR284" i="4"/>
  <c r="AS282" i="4"/>
  <c r="AS284" i="4" s="1"/>
  <c r="AQ110" i="2"/>
  <c r="CJ108" i="3"/>
  <c r="CJ23" i="3"/>
  <c r="AQ431" i="2"/>
  <c r="CJ431" i="3" s="1"/>
  <c r="CJ27" i="3"/>
  <c r="AQ435" i="2"/>
  <c r="CJ435" i="3" s="1"/>
  <c r="CJ22" i="3"/>
  <c r="AQ430" i="2"/>
  <c r="CJ430" i="3" s="1"/>
  <c r="CJ80" i="3"/>
  <c r="AQ236" i="2"/>
  <c r="AS164" i="4"/>
  <c r="AS166" i="4" s="1"/>
  <c r="AR166" i="4"/>
  <c r="CE49" i="3"/>
  <c r="AL61" i="2"/>
  <c r="R40" i="9"/>
  <c r="R136" i="9" s="1"/>
  <c r="AL106" i="5"/>
  <c r="BD94" i="9"/>
  <c r="AR338" i="3"/>
  <c r="AR509" i="3"/>
  <c r="AS177" i="4"/>
  <c r="AS181" i="4" s="1"/>
  <c r="AS188" i="2" s="1"/>
  <c r="AS98" i="4"/>
  <c r="AS103" i="4" s="1"/>
  <c r="AL57" i="2"/>
  <c r="CE55" i="3"/>
  <c r="AM55" i="2"/>
  <c r="AR275" i="4"/>
  <c r="AS273" i="4"/>
  <c r="AS275" i="4" s="1"/>
  <c r="AK133" i="5"/>
  <c r="AK135" i="5" s="1"/>
  <c r="AK108" i="5"/>
  <c r="AK110" i="5" s="1"/>
  <c r="AK137" i="5" s="1"/>
  <c r="AK143" i="5" s="1"/>
  <c r="AS233" i="4"/>
  <c r="AS235" i="4" s="1"/>
  <c r="AR235" i="4"/>
  <c r="T44" i="9"/>
  <c r="T140" i="9" s="1"/>
  <c r="CI65" i="3"/>
  <c r="AP442" i="2"/>
  <c r="CI442" i="3" s="1"/>
  <c r="AR34" i="4"/>
  <c r="AR186" i="2"/>
  <c r="AR186" i="3"/>
  <c r="AS119" i="4"/>
  <c r="AS121" i="4" s="1"/>
  <c r="AR121" i="4"/>
  <c r="AS159" i="4"/>
  <c r="AS161" i="4" s="1"/>
  <c r="AR161" i="4"/>
  <c r="CH172" i="3"/>
  <c r="AO278" i="2"/>
  <c r="AK46" i="2"/>
  <c r="CD44" i="3"/>
  <c r="AL44" i="2"/>
  <c r="D46" i="9"/>
  <c r="AS5" i="2"/>
  <c r="AS56" i="2" s="1"/>
  <c r="AR106" i="2"/>
  <c r="CK106" i="3" s="1"/>
  <c r="AR79" i="2"/>
  <c r="CK79" i="3" s="1"/>
  <c r="AR53" i="2"/>
  <c r="CK53" i="3" s="1"/>
  <c r="AR58" i="2"/>
  <c r="CK58" i="3" s="1"/>
  <c r="AR109" i="2"/>
  <c r="C305" i="1"/>
  <c r="K305" i="1" s="1"/>
  <c r="CI236" i="3"/>
  <c r="AB44" i="9"/>
  <c r="AB140" i="9" s="1"/>
  <c r="AP337" i="2"/>
  <c r="CI338" i="3" s="1"/>
  <c r="AZ44" i="9"/>
  <c r="AZ140" i="9" s="1"/>
  <c r="CI110" i="3"/>
  <c r="AP112" i="2"/>
  <c r="AO216" i="3"/>
  <c r="AO216" i="2"/>
  <c r="AR174" i="3"/>
  <c r="AR280" i="3" s="1"/>
  <c r="AR65" i="3"/>
  <c r="AR452" i="3"/>
  <c r="AR173" i="3"/>
  <c r="AR279" i="3" s="1"/>
  <c r="AR239" i="3"/>
  <c r="AR179" i="3"/>
  <c r="AH94" i="9"/>
  <c r="BQ94" i="9" s="1"/>
  <c r="AR430" i="3"/>
  <c r="AR407" i="5"/>
  <c r="BD44" i="9"/>
  <c r="BD140" i="9" s="1"/>
  <c r="CI111" i="3"/>
  <c r="AP509" i="2"/>
  <c r="CI509" i="3" s="1"/>
  <c r="AP338" i="2"/>
  <c r="CI339" i="3" s="1"/>
  <c r="CJ209" i="3"/>
  <c r="AP379" i="1"/>
  <c r="AR504" i="2"/>
  <c r="CK504" i="3" s="1"/>
  <c r="AR137" i="2"/>
  <c r="AR130" i="2"/>
  <c r="CK130" i="3" s="1"/>
  <c r="AR83" i="2"/>
  <c r="CK83" i="3" s="1"/>
  <c r="AR68" i="2"/>
  <c r="AR66" i="2"/>
  <c r="AR209" i="2" s="1"/>
  <c r="AR47" i="2"/>
  <c r="CK47" i="3" s="1"/>
  <c r="AR27" i="2"/>
  <c r="AR26" i="2"/>
  <c r="AR25" i="2"/>
  <c r="AR24" i="2"/>
  <c r="AR23" i="2"/>
  <c r="AR69" i="2"/>
  <c r="CK69" i="3" s="1"/>
  <c r="AS4" i="2"/>
  <c r="AR495" i="2"/>
  <c r="CK495" i="3" s="1"/>
  <c r="AR389" i="2"/>
  <c r="AR105" i="2"/>
  <c r="AR81" i="2"/>
  <c r="CK81" i="3" s="1"/>
  <c r="AR42" i="2"/>
  <c r="CK42" i="3" s="1"/>
  <c r="AR22" i="2"/>
  <c r="C46" i="9"/>
  <c r="AR511" i="2"/>
  <c r="CK511" i="3" s="1"/>
  <c r="AR315" i="2"/>
  <c r="CK315" i="3" s="1"/>
  <c r="AR21" i="2"/>
  <c r="AR67" i="2"/>
  <c r="CK67" i="3" s="1"/>
  <c r="AR479" i="2"/>
  <c r="CK479" i="3" s="1"/>
  <c r="AR80" i="2"/>
  <c r="AR131" i="2"/>
  <c r="CK131" i="3" s="1"/>
  <c r="AR82" i="2"/>
  <c r="AR62" i="2"/>
  <c r="AR78" i="2"/>
  <c r="AR108" i="2"/>
  <c r="CJ105" i="3"/>
  <c r="AQ107" i="2"/>
  <c r="CJ24" i="3"/>
  <c r="AQ432" i="2"/>
  <c r="CJ432" i="3" s="1"/>
  <c r="AQ65" i="2"/>
  <c r="AQ173" i="2"/>
  <c r="AQ452" i="2"/>
  <c r="CJ452" i="3" s="1"/>
  <c r="CJ62" i="3"/>
  <c r="AQ174" i="2"/>
  <c r="AQ12" i="5"/>
  <c r="AQ208" i="5" s="1"/>
  <c r="CJ82" i="3"/>
  <c r="AQ237" i="2"/>
  <c r="AR199" i="4"/>
  <c r="AS197" i="4"/>
  <c r="AS199" i="4" s="1"/>
  <c r="AQ442" i="3"/>
  <c r="T93" i="9"/>
  <c r="AR194" i="4"/>
  <c r="AS192" i="4"/>
  <c r="AS194" i="4" s="1"/>
  <c r="AR289" i="4"/>
  <c r="AS287" i="4"/>
  <c r="AS289" i="4" s="1"/>
  <c r="AM441" i="3"/>
  <c r="AM242" i="3"/>
  <c r="AM151" i="3"/>
  <c r="AM288" i="3"/>
  <c r="AM451" i="3"/>
  <c r="AM193" i="5"/>
  <c r="AM128" i="5"/>
  <c r="AM130" i="5" s="1"/>
  <c r="AS129" i="4"/>
  <c r="AS131" i="4" s="1"/>
  <c r="AR131" i="4"/>
  <c r="AY204" i="3"/>
  <c r="E394" i="1"/>
  <c r="F515" i="2"/>
  <c r="AY515" i="3" s="1"/>
  <c r="X221" i="1"/>
  <c r="H59" i="4"/>
  <c r="AR240" i="4"/>
  <c r="AS238" i="4"/>
  <c r="AS240" i="4" s="1"/>
  <c r="AS34" i="4"/>
  <c r="AS186" i="2"/>
  <c r="AJ152" i="2"/>
  <c r="CC152" i="3" s="1"/>
  <c r="CC151" i="3"/>
  <c r="AJ164" i="2"/>
  <c r="CC164" i="3" s="1"/>
  <c r="AQ261" i="4"/>
  <c r="AP217" i="3"/>
  <c r="AP217" i="2"/>
  <c r="AP279" i="2"/>
  <c r="CI279" i="3" s="1"/>
  <c r="CI173" i="3"/>
  <c r="AS295" i="4"/>
  <c r="AS30" i="4"/>
  <c r="AS1" i="4"/>
  <c r="AS29" i="4"/>
  <c r="AQ127" i="5"/>
  <c r="S93" i="9"/>
  <c r="CC46" i="3"/>
  <c r="AJ48" i="2"/>
  <c r="CC48" i="3" s="1"/>
  <c r="CI70" i="3"/>
  <c r="AP289" i="2"/>
  <c r="CI289" i="3" s="1"/>
  <c r="AP172" i="2"/>
  <c r="AP443" i="2"/>
  <c r="CI443" i="3" s="1"/>
  <c r="AP453" i="2"/>
  <c r="CI453" i="3" s="1"/>
  <c r="AQ262" i="4"/>
  <c r="AP265" i="4"/>
  <c r="AP215" i="3"/>
  <c r="AP215" i="2"/>
  <c r="AR270" i="4"/>
  <c r="AS268" i="4"/>
  <c r="AS270" i="4" s="1"/>
  <c r="AR220" i="4"/>
  <c r="AS218" i="4"/>
  <c r="AS220" i="4" s="1"/>
  <c r="V94" i="9"/>
  <c r="AQ87" i="3"/>
  <c r="AQ490" i="2"/>
  <c r="AQ307" i="2"/>
  <c r="AQ74" i="2"/>
  <c r="AR87" i="2"/>
  <c r="AQ98" i="3"/>
  <c r="CJ98" i="3" s="1"/>
  <c r="AQ325" i="2"/>
  <c r="AQ75" i="2"/>
  <c r="AR98" i="2"/>
  <c r="AR142" i="3"/>
  <c r="AR144" i="3" s="1"/>
  <c r="AR144" i="2"/>
  <c r="AS142" i="2"/>
  <c r="AS264" i="2"/>
  <c r="AS206" i="2"/>
  <c r="AR353" i="1" s="1"/>
  <c r="AS311" i="2"/>
  <c r="AS214" i="2"/>
  <c r="E47" i="9"/>
  <c r="AP454" i="2"/>
  <c r="AP291" i="2"/>
  <c r="AS44" i="9"/>
  <c r="AP490" i="3"/>
  <c r="CI490" i="3" s="1"/>
  <c r="AP307" i="3"/>
  <c r="CI307" i="3" s="1"/>
  <c r="AP74" i="3"/>
  <c r="CI74" i="3" s="1"/>
  <c r="AO454" i="3"/>
  <c r="AO291" i="3"/>
  <c r="CH291" i="3" s="1"/>
  <c r="AS91" i="9"/>
  <c r="AS139" i="9" s="1"/>
  <c r="AO77" i="3"/>
  <c r="CH77" i="3" s="1"/>
  <c r="CI54" i="3"/>
  <c r="AP60" i="2"/>
  <c r="CJ144" i="3"/>
  <c r="AQ471" i="2"/>
  <c r="AQ243" i="2"/>
  <c r="AQ301" i="2"/>
  <c r="AQ16" i="5"/>
  <c r="Y45" i="9"/>
  <c r="AP369" i="1"/>
  <c r="AO458" i="3"/>
  <c r="AO294" i="3"/>
  <c r="CH294" i="3" s="1"/>
  <c r="AX91" i="9"/>
  <c r="AX139" i="9" s="1"/>
  <c r="AQ471" i="3"/>
  <c r="AQ301" i="3"/>
  <c r="AQ243" i="3"/>
  <c r="Y93" i="9"/>
  <c r="AQ196" i="5"/>
  <c r="AP365" i="1"/>
  <c r="AR189" i="2"/>
  <c r="CJ52" i="3"/>
  <c r="AQ54" i="2"/>
  <c r="AP458" i="2"/>
  <c r="AP294" i="2"/>
  <c r="AX44" i="9"/>
  <c r="AP325" i="3"/>
  <c r="CI325" i="3" s="1"/>
  <c r="AP75" i="3"/>
  <c r="CI75" i="3" s="1"/>
  <c r="CJ142" i="3"/>
  <c r="CH74" i="3"/>
  <c r="S43" i="9"/>
  <c r="S139" i="9" s="1"/>
  <c r="CH60" i="3"/>
  <c r="AO107" i="5"/>
  <c r="AO134" i="5" s="1"/>
  <c r="BJ45" i="9"/>
  <c r="AR354" i="2"/>
  <c r="G232" i="3"/>
  <c r="F261" i="3"/>
  <c r="F262" i="3" s="1"/>
  <c r="G190" i="5"/>
  <c r="G365" i="5"/>
  <c r="G238" i="3"/>
  <c r="G85" i="3"/>
  <c r="G195" i="5"/>
  <c r="W371" i="3"/>
  <c r="BM73" i="9"/>
  <c r="W125" i="3"/>
  <c r="W36" i="3"/>
  <c r="G393" i="3"/>
  <c r="G391" i="3"/>
  <c r="G394" i="3"/>
  <c r="G392" i="3"/>
  <c r="CJ120" i="3" l="1"/>
  <c r="AS311" i="3"/>
  <c r="AQ354" i="3"/>
  <c r="CJ354" i="3" s="1"/>
  <c r="AS35" i="4"/>
  <c r="AS157" i="2"/>
  <c r="AS155" i="2"/>
  <c r="AS51" i="2"/>
  <c r="AR120" i="3"/>
  <c r="AR354" i="3" s="1"/>
  <c r="CK354" i="3" s="1"/>
  <c r="AR157" i="3"/>
  <c r="AR155" i="3"/>
  <c r="AR38" i="4"/>
  <c r="AR62" i="4"/>
  <c r="AR75" i="4"/>
  <c r="H61" i="4"/>
  <c r="H272" i="2"/>
  <c r="CE45" i="3"/>
  <c r="AM45" i="2"/>
  <c r="CI40" i="3"/>
  <c r="AQ40" i="2"/>
  <c r="AS206" i="3"/>
  <c r="CK51" i="3"/>
  <c r="CK50" i="3"/>
  <c r="S94" i="9"/>
  <c r="BJ93" i="9"/>
  <c r="BJ141" i="9" s="1"/>
  <c r="AQ465" i="3"/>
  <c r="AS40" i="3"/>
  <c r="E40" i="3" s="1"/>
  <c r="AU40" i="2" s="1"/>
  <c r="CK311" i="3"/>
  <c r="AQ77" i="2"/>
  <c r="AS120" i="2"/>
  <c r="E120" i="2" s="1"/>
  <c r="AU120" i="3" s="1"/>
  <c r="CI215" i="3"/>
  <c r="AR52" i="2"/>
  <c r="AR54" i="2" s="1"/>
  <c r="AS50" i="2"/>
  <c r="AS52" i="2" s="1"/>
  <c r="CJ243" i="3"/>
  <c r="CL311" i="3"/>
  <c r="E51" i="3"/>
  <c r="AU51" i="2" s="1"/>
  <c r="AR76" i="3"/>
  <c r="CK76" i="3" s="1"/>
  <c r="AR262" i="4"/>
  <c r="AQ265" i="4"/>
  <c r="AQ215" i="3"/>
  <c r="AQ215" i="2"/>
  <c r="CI217" i="3"/>
  <c r="AM164" i="3"/>
  <c r="AM152" i="3"/>
  <c r="CK108" i="3"/>
  <c r="AR110" i="2"/>
  <c r="AR237" i="2"/>
  <c r="CK82" i="3"/>
  <c r="CK22" i="3"/>
  <c r="AR430" i="2"/>
  <c r="CK430" i="3" s="1"/>
  <c r="AR432" i="2"/>
  <c r="CK432" i="3" s="1"/>
  <c r="CK24" i="3"/>
  <c r="CE44" i="3"/>
  <c r="AL46" i="2"/>
  <c r="AM44" i="2"/>
  <c r="AL441" i="2"/>
  <c r="CE441" i="3" s="1"/>
  <c r="AL13" i="5"/>
  <c r="AL209" i="5" s="1"/>
  <c r="AK362" i="1"/>
  <c r="AL451" i="2"/>
  <c r="CE451" i="3" s="1"/>
  <c r="AL288" i="2"/>
  <c r="CE288" i="3" s="1"/>
  <c r="AL151" i="2"/>
  <c r="AL242" i="2"/>
  <c r="CE242" i="3" s="1"/>
  <c r="CE61" i="3"/>
  <c r="CJ236" i="3"/>
  <c r="AB45" i="9"/>
  <c r="AB141" i="9" s="1"/>
  <c r="AS430" i="3"/>
  <c r="AS407" i="5"/>
  <c r="J106" i="1"/>
  <c r="AU42" i="2"/>
  <c r="AR235" i="3"/>
  <c r="AF94" i="9"/>
  <c r="CI39" i="3"/>
  <c r="AQ39" i="2"/>
  <c r="AP41" i="2"/>
  <c r="AQ255" i="4"/>
  <c r="AP258" i="4"/>
  <c r="AN451" i="3"/>
  <c r="AN288" i="3"/>
  <c r="AN441" i="3"/>
  <c r="AN242" i="3"/>
  <c r="AN128" i="5"/>
  <c r="AN130" i="5" s="1"/>
  <c r="AN193" i="5"/>
  <c r="AN151" i="3"/>
  <c r="AQ509" i="2"/>
  <c r="CJ509" i="3" s="1"/>
  <c r="BD45" i="9"/>
  <c r="BD141" i="9" s="1"/>
  <c r="AQ338" i="2"/>
  <c r="CJ339" i="3" s="1"/>
  <c r="CJ111" i="3"/>
  <c r="AP41" i="3"/>
  <c r="AP43" i="3" s="1"/>
  <c r="AP49" i="3" s="1"/>
  <c r="AQ39" i="3"/>
  <c r="AU53" i="2"/>
  <c r="J107" i="1"/>
  <c r="CJ70" i="3"/>
  <c r="AQ172" i="2"/>
  <c r="AQ453" i="2"/>
  <c r="CJ453" i="3" s="1"/>
  <c r="AQ443" i="2"/>
  <c r="CJ443" i="3" s="1"/>
  <c r="AQ289" i="2"/>
  <c r="CJ289" i="3" s="1"/>
  <c r="CJ173" i="3"/>
  <c r="AQ279" i="2"/>
  <c r="CJ279" i="3" s="1"/>
  <c r="AF45" i="9"/>
  <c r="AF141" i="9" s="1"/>
  <c r="AQ235" i="2"/>
  <c r="CJ235" i="3" s="1"/>
  <c r="CJ107" i="3"/>
  <c r="AQ379" i="1"/>
  <c r="CK209" i="3"/>
  <c r="CK25" i="3"/>
  <c r="AR433" i="2"/>
  <c r="CK433" i="3" s="1"/>
  <c r="AR70" i="2"/>
  <c r="AR12" i="5" s="1"/>
  <c r="AR208" i="5" s="1"/>
  <c r="AQ376" i="1"/>
  <c r="U46" i="9"/>
  <c r="U142" i="9" s="1"/>
  <c r="CK66" i="3"/>
  <c r="AR239" i="2"/>
  <c r="CK239" i="3" s="1"/>
  <c r="AR179" i="2"/>
  <c r="CK179" i="3" s="1"/>
  <c r="CK137" i="3"/>
  <c r="AH46" i="9"/>
  <c r="AQ358" i="1"/>
  <c r="AR442" i="3"/>
  <c r="T94" i="9"/>
  <c r="AP297" i="2"/>
  <c r="CI297" i="3" s="1"/>
  <c r="AP178" i="2"/>
  <c r="CI178" i="3" s="1"/>
  <c r="AP463" i="2"/>
  <c r="CI463" i="3" s="1"/>
  <c r="CI112" i="3"/>
  <c r="AR111" i="2"/>
  <c r="CK109" i="3"/>
  <c r="AM57" i="2"/>
  <c r="CF55" i="3"/>
  <c r="AN55" i="2"/>
  <c r="AQ337" i="2"/>
  <c r="CJ338" i="3" s="1"/>
  <c r="CJ110" i="3"/>
  <c r="AZ45" i="9"/>
  <c r="AZ141" i="9" s="1"/>
  <c r="AQ112" i="2"/>
  <c r="AS237" i="3"/>
  <c r="E82" i="3"/>
  <c r="AU82" i="2" s="1"/>
  <c r="AO43" i="2"/>
  <c r="CH41" i="3"/>
  <c r="AY203" i="3"/>
  <c r="F88" i="5"/>
  <c r="J258" i="1"/>
  <c r="F516" i="2"/>
  <c r="X218" i="1"/>
  <c r="X220" i="1"/>
  <c r="AR411" i="5"/>
  <c r="AR189" i="3"/>
  <c r="BI367" i="3"/>
  <c r="P124" i="2"/>
  <c r="AO61" i="3"/>
  <c r="AO126" i="5"/>
  <c r="R91" i="9"/>
  <c r="AH141" i="9"/>
  <c r="BQ45" i="9"/>
  <c r="BQ141" i="9" s="1"/>
  <c r="AR261" i="4"/>
  <c r="AQ217" i="3"/>
  <c r="AQ217" i="2"/>
  <c r="CJ174" i="3"/>
  <c r="AQ280" i="2"/>
  <c r="CJ280" i="3" s="1"/>
  <c r="T45" i="9"/>
  <c r="T141" i="9" s="1"/>
  <c r="AQ442" i="2"/>
  <c r="CJ442" i="3" s="1"/>
  <c r="CJ65" i="3"/>
  <c r="AR234" i="2"/>
  <c r="CK78" i="3"/>
  <c r="AR14" i="5"/>
  <c r="AR211" i="5" s="1"/>
  <c r="CK80" i="3"/>
  <c r="AR236" i="2"/>
  <c r="AR434" i="2"/>
  <c r="CK434" i="3" s="1"/>
  <c r="CK26" i="3"/>
  <c r="CK68" i="3"/>
  <c r="V46" i="9"/>
  <c r="V142" i="9" s="1"/>
  <c r="AS106" i="2"/>
  <c r="AS79" i="2"/>
  <c r="D47" i="9"/>
  <c r="AS53" i="2"/>
  <c r="AS58" i="2"/>
  <c r="AS109" i="2"/>
  <c r="CD46" i="3"/>
  <c r="AK48" i="2"/>
  <c r="CD48" i="3" s="1"/>
  <c r="CK186" i="3"/>
  <c r="AL133" i="5"/>
  <c r="AL135" i="5" s="1"/>
  <c r="AL108" i="5"/>
  <c r="AL110" i="5" s="1"/>
  <c r="AL137" i="5" s="1"/>
  <c r="AL143" i="5" s="1"/>
  <c r="AS234" i="3"/>
  <c r="AS194" i="5"/>
  <c r="E194" i="5" s="1"/>
  <c r="E78" i="3"/>
  <c r="AU78" i="2" s="1"/>
  <c r="U95" i="9"/>
  <c r="U96" i="9" s="1"/>
  <c r="AS70" i="3"/>
  <c r="AS192" i="5" s="1"/>
  <c r="E192" i="5" s="1"/>
  <c r="E66" i="3"/>
  <c r="AU66" i="2" s="1"/>
  <c r="AS239" i="3"/>
  <c r="E239" i="3" s="1"/>
  <c r="AU239" i="2" s="1"/>
  <c r="AS179" i="3"/>
  <c r="E179" i="3" s="1"/>
  <c r="AU179" i="2" s="1"/>
  <c r="AH95" i="9"/>
  <c r="E137" i="3"/>
  <c r="AR453" i="3"/>
  <c r="AR443" i="3"/>
  <c r="AR172" i="3"/>
  <c r="AR278" i="3" s="1"/>
  <c r="AR289" i="3"/>
  <c r="F485" i="2"/>
  <c r="AY484" i="3"/>
  <c r="Z8" i="9"/>
  <c r="F17" i="5"/>
  <c r="AY145" i="3"/>
  <c r="F229" i="2"/>
  <c r="F146" i="2"/>
  <c r="F244" i="2"/>
  <c r="G302" i="2"/>
  <c r="AZ302" i="3" s="1"/>
  <c r="F148" i="2"/>
  <c r="CD151" i="3"/>
  <c r="AK152" i="2"/>
  <c r="CD152" i="3" s="1"/>
  <c r="AK164" i="2"/>
  <c r="CD164" i="3" s="1"/>
  <c r="AS188" i="3"/>
  <c r="E188" i="3" s="1"/>
  <c r="AU188" i="2" s="1"/>
  <c r="AS187" i="3"/>
  <c r="CL187" i="3" s="1"/>
  <c r="AS3" i="5"/>
  <c r="E95" i="9"/>
  <c r="AS214" i="3"/>
  <c r="E214" i="3" s="1"/>
  <c r="AU214" i="2" s="1"/>
  <c r="E143" i="9"/>
  <c r="AS186" i="3"/>
  <c r="CL186" i="3" s="1"/>
  <c r="AS264" i="3"/>
  <c r="CG43" i="3"/>
  <c r="AN49" i="2"/>
  <c r="BD95" i="9"/>
  <c r="AS338" i="3"/>
  <c r="AS509" i="3"/>
  <c r="AS50" i="3"/>
  <c r="AQ210" i="5"/>
  <c r="CK142" i="3"/>
  <c r="AP216" i="3"/>
  <c r="AP216" i="2"/>
  <c r="AP278" i="2"/>
  <c r="CI278" i="3" s="1"/>
  <c r="CI172" i="3"/>
  <c r="AS311" i="4"/>
  <c r="AS310" i="4"/>
  <c r="AS309" i="4"/>
  <c r="AS308" i="4"/>
  <c r="AS307" i="4"/>
  <c r="AS305" i="4"/>
  <c r="AS301" i="4"/>
  <c r="AS300" i="4"/>
  <c r="AS299" i="4"/>
  <c r="AS298" i="4"/>
  <c r="AS306" i="4"/>
  <c r="AS302" i="4"/>
  <c r="AS297" i="4"/>
  <c r="AS252" i="4"/>
  <c r="AS254" i="4" s="1"/>
  <c r="AS90" i="4"/>
  <c r="AS172" i="4"/>
  <c r="AS251" i="4"/>
  <c r="H60" i="4"/>
  <c r="CJ237" i="3"/>
  <c r="AC45" i="9"/>
  <c r="AC141" i="9" s="1"/>
  <c r="AR173" i="2"/>
  <c r="CK62" i="3"/>
  <c r="AR452" i="2"/>
  <c r="CK452" i="3" s="1"/>
  <c r="AR174" i="2"/>
  <c r="AR65" i="2"/>
  <c r="CK105" i="3"/>
  <c r="AR107" i="2"/>
  <c r="AS511" i="2"/>
  <c r="AS495" i="2"/>
  <c r="CL495" i="3" s="1"/>
  <c r="AS479" i="2"/>
  <c r="CL479" i="3" s="1"/>
  <c r="AS389" i="2"/>
  <c r="AS105" i="2"/>
  <c r="AS81" i="2"/>
  <c r="AS42" i="2"/>
  <c r="AS22" i="2"/>
  <c r="AS131" i="2"/>
  <c r="CL131" i="3" s="1"/>
  <c r="AS82" i="2"/>
  <c r="AS78" i="2"/>
  <c r="AS62" i="2"/>
  <c r="AS486" i="2"/>
  <c r="CL486" i="3" s="1"/>
  <c r="AS315" i="2"/>
  <c r="CL315" i="3" s="1"/>
  <c r="AS69" i="2"/>
  <c r="AS21" i="2"/>
  <c r="AS80" i="2"/>
  <c r="AS67" i="2"/>
  <c r="AS504" i="2"/>
  <c r="AS26" i="2"/>
  <c r="AS137" i="2"/>
  <c r="AS68" i="2"/>
  <c r="AS23" i="2"/>
  <c r="C47" i="9"/>
  <c r="AS130" i="2"/>
  <c r="CL130" i="3" s="1"/>
  <c r="AS83" i="2"/>
  <c r="AS47" i="2"/>
  <c r="AS24" i="2"/>
  <c r="AS66" i="2"/>
  <c r="AS209" i="2" s="1"/>
  <c r="AS27" i="2"/>
  <c r="AS25" i="2"/>
  <c r="AS108" i="2"/>
  <c r="AR431" i="2"/>
  <c r="CK431" i="3" s="1"/>
  <c r="CK23" i="3"/>
  <c r="AR435" i="2"/>
  <c r="CK435" i="3" s="1"/>
  <c r="CK27" i="3"/>
  <c r="CH216" i="3"/>
  <c r="AN383" i="1"/>
  <c r="CH278" i="3"/>
  <c r="CE57" i="3"/>
  <c r="AL59" i="2"/>
  <c r="CE59" i="3" s="1"/>
  <c r="V95" i="9"/>
  <c r="V96" i="9" s="1"/>
  <c r="E68" i="3"/>
  <c r="AU68" i="2" s="1"/>
  <c r="AS112" i="3"/>
  <c r="AS337" i="3"/>
  <c r="AZ95" i="9"/>
  <c r="AS452" i="3"/>
  <c r="E452" i="3" s="1"/>
  <c r="AS174" i="3"/>
  <c r="AS65" i="3"/>
  <c r="AS173" i="3"/>
  <c r="E62" i="3"/>
  <c r="AS236" i="3"/>
  <c r="E80" i="3"/>
  <c r="AU80" i="2" s="1"/>
  <c r="E209" i="3"/>
  <c r="AU209" i="2" s="1"/>
  <c r="AS107" i="3"/>
  <c r="E105" i="3"/>
  <c r="AU105" i="2" s="1"/>
  <c r="P211" i="1"/>
  <c r="P213" i="1" s="1"/>
  <c r="E372" i="1"/>
  <c r="F424" i="2"/>
  <c r="AY424" i="3" s="1"/>
  <c r="AY422" i="3"/>
  <c r="CJ234" i="3"/>
  <c r="AA45" i="9"/>
  <c r="AA141" i="9" s="1"/>
  <c r="AR297" i="3"/>
  <c r="AR178" i="3"/>
  <c r="AR463" i="3"/>
  <c r="CF49" i="3"/>
  <c r="AM61" i="2"/>
  <c r="AM106" i="5"/>
  <c r="R41" i="9"/>
  <c r="R137" i="9" s="1"/>
  <c r="Y141" i="9"/>
  <c r="CJ471" i="3"/>
  <c r="E188" i="2"/>
  <c r="CK144" i="3"/>
  <c r="AR471" i="2"/>
  <c r="AR243" i="2"/>
  <c r="AR301" i="2"/>
  <c r="Y46" i="9"/>
  <c r="AR16" i="5"/>
  <c r="AQ369" i="1"/>
  <c r="AQ458" i="2"/>
  <c r="AQ294" i="2"/>
  <c r="AX45" i="9"/>
  <c r="AQ454" i="2"/>
  <c r="AQ291" i="2"/>
  <c r="AS45" i="9"/>
  <c r="AQ490" i="3"/>
  <c r="CJ490" i="3" s="1"/>
  <c r="AQ307" i="3"/>
  <c r="CJ307" i="3" s="1"/>
  <c r="AQ74" i="3"/>
  <c r="CI60" i="3"/>
  <c r="AP107" i="5"/>
  <c r="AP134" i="5" s="1"/>
  <c r="S44" i="9"/>
  <c r="S140" i="9" s="1"/>
  <c r="CL56" i="3"/>
  <c r="E56" i="2"/>
  <c r="CK189" i="3"/>
  <c r="AQ365" i="1"/>
  <c r="CJ301" i="3"/>
  <c r="AR471" i="3"/>
  <c r="AR243" i="3"/>
  <c r="AR301" i="3"/>
  <c r="AR196" i="5"/>
  <c r="Y94" i="9"/>
  <c r="AP458" i="3"/>
  <c r="AP294" i="3"/>
  <c r="CI294" i="3" s="1"/>
  <c r="AX92" i="9"/>
  <c r="AX140" i="9" s="1"/>
  <c r="CJ54" i="3"/>
  <c r="AQ60" i="2"/>
  <c r="AP454" i="3"/>
  <c r="AP291" i="3"/>
  <c r="CI291" i="3" s="1"/>
  <c r="AS92" i="9"/>
  <c r="AS140" i="9" s="1"/>
  <c r="AP77" i="3"/>
  <c r="CI77" i="3" s="1"/>
  <c r="CL51" i="3"/>
  <c r="E51" i="2"/>
  <c r="E214" i="2"/>
  <c r="AS189" i="2"/>
  <c r="E187" i="2"/>
  <c r="AS142" i="3"/>
  <c r="AS144" i="2"/>
  <c r="E142" i="2"/>
  <c r="AR98" i="3"/>
  <c r="CK98" i="3" s="1"/>
  <c r="AR325" i="2"/>
  <c r="AR75" i="2"/>
  <c r="AS98" i="2"/>
  <c r="AQ325" i="3"/>
  <c r="CJ325" i="3" s="1"/>
  <c r="AQ75" i="3"/>
  <c r="CJ75" i="3" s="1"/>
  <c r="AR87" i="3"/>
  <c r="AR490" i="2"/>
  <c r="AR307" i="2"/>
  <c r="AS87" i="2"/>
  <c r="AR74" i="2"/>
  <c r="CJ87" i="3"/>
  <c r="I144" i="1"/>
  <c r="BJ46" i="9"/>
  <c r="AS76" i="2"/>
  <c r="G240" i="3"/>
  <c r="AD57" i="9"/>
  <c r="W466" i="3"/>
  <c r="W299" i="3"/>
  <c r="G470" i="3"/>
  <c r="G290" i="3"/>
  <c r="G287" i="3"/>
  <c r="G395" i="3"/>
  <c r="W369" i="3"/>
  <c r="W372" i="3" s="1"/>
  <c r="W374" i="3" s="1"/>
  <c r="X367" i="3" s="1"/>
  <c r="W256" i="3"/>
  <c r="X16" i="3"/>
  <c r="CK120" i="3" l="1"/>
  <c r="AS120" i="3"/>
  <c r="CL120" i="3" s="1"/>
  <c r="AS157" i="3"/>
  <c r="AS155" i="3"/>
  <c r="CL50" i="3"/>
  <c r="E50" i="2"/>
  <c r="AS38" i="4"/>
  <c r="D38" i="4" s="1"/>
  <c r="AS62" i="4"/>
  <c r="AS75" i="4"/>
  <c r="CK52" i="3"/>
  <c r="CJ40" i="3"/>
  <c r="AR40" i="2"/>
  <c r="AR77" i="2"/>
  <c r="CF45" i="3"/>
  <c r="AN45" i="2"/>
  <c r="CL214" i="3"/>
  <c r="CL188" i="3"/>
  <c r="BJ47" i="9"/>
  <c r="AS465" i="2"/>
  <c r="E465" i="2" s="1"/>
  <c r="BJ94" i="9"/>
  <c r="BJ142" i="9" s="1"/>
  <c r="AR465" i="3"/>
  <c r="AS354" i="2"/>
  <c r="H40" i="5"/>
  <c r="H47" i="5" s="1"/>
  <c r="E71" i="5"/>
  <c r="CJ217" i="3"/>
  <c r="AS354" i="3"/>
  <c r="E354" i="3" s="1"/>
  <c r="AU354" i="2" s="1"/>
  <c r="AS76" i="3"/>
  <c r="E120" i="3"/>
  <c r="CF61" i="3"/>
  <c r="AM242" i="2"/>
  <c r="CF242" i="3" s="1"/>
  <c r="AM151" i="2"/>
  <c r="AM441" i="2"/>
  <c r="CF441" i="3" s="1"/>
  <c r="AM451" i="2"/>
  <c r="CF451" i="3" s="1"/>
  <c r="AM13" i="5"/>
  <c r="AM209" i="5" s="1"/>
  <c r="AL362" i="1"/>
  <c r="AM288" i="2"/>
  <c r="CF288" i="3" s="1"/>
  <c r="AS235" i="3"/>
  <c r="E235" i="3" s="1"/>
  <c r="AU235" i="2" s="1"/>
  <c r="AF95" i="9"/>
  <c r="AF96" i="9" s="1"/>
  <c r="E107" i="3"/>
  <c r="AU62" i="2"/>
  <c r="E243" i="5"/>
  <c r="AS280" i="3"/>
  <c r="E280" i="3" s="1"/>
  <c r="AU280" i="2" s="1"/>
  <c r="E174" i="3"/>
  <c r="AU174" i="2" s="1"/>
  <c r="AS297" i="3"/>
  <c r="AS178" i="3"/>
  <c r="AS463" i="3"/>
  <c r="AS433" i="2"/>
  <c r="CL433" i="3" s="1"/>
  <c r="CL25" i="3"/>
  <c r="CL47" i="3"/>
  <c r="E47" i="2"/>
  <c r="AS434" i="2"/>
  <c r="CL434" i="3" s="1"/>
  <c r="CL26" i="3"/>
  <c r="AS174" i="2"/>
  <c r="AS65" i="2"/>
  <c r="AS173" i="2"/>
  <c r="CL62" i="3"/>
  <c r="AS452" i="2"/>
  <c r="E62" i="2"/>
  <c r="CL22" i="3"/>
  <c r="AS430" i="2"/>
  <c r="CL430" i="3" s="1"/>
  <c r="CL511" i="3"/>
  <c r="E511" i="2"/>
  <c r="CK174" i="3"/>
  <c r="AR280" i="2"/>
  <c r="CK280" i="3" s="1"/>
  <c r="CK173" i="3"/>
  <c r="AR279" i="2"/>
  <c r="CK279" i="3" s="1"/>
  <c r="AY485" i="3"/>
  <c r="F425" i="2"/>
  <c r="AY425" i="3" s="1"/>
  <c r="CH43" i="3"/>
  <c r="AO49" i="2"/>
  <c r="CK111" i="3"/>
  <c r="AR509" i="2"/>
  <c r="CK509" i="3" s="1"/>
  <c r="BD46" i="9"/>
  <c r="BD142" i="9" s="1"/>
  <c r="AR338" i="2"/>
  <c r="CK339" i="3" s="1"/>
  <c r="AH142" i="9"/>
  <c r="BQ46" i="9"/>
  <c r="BQ142" i="9" s="1"/>
  <c r="CJ172" i="3"/>
  <c r="AQ278" i="2"/>
  <c r="CJ278" i="3" s="1"/>
  <c r="AQ41" i="3"/>
  <c r="AQ43" i="3" s="1"/>
  <c r="AQ49" i="3" s="1"/>
  <c r="AR39" i="3"/>
  <c r="AP43" i="2"/>
  <c r="CI41" i="3"/>
  <c r="AM46" i="2"/>
  <c r="CF44" i="3"/>
  <c r="AN44" i="2"/>
  <c r="CK237" i="3"/>
  <c r="AC46" i="9"/>
  <c r="AC142" i="9" s="1"/>
  <c r="AQ216" i="3"/>
  <c r="AQ216" i="2"/>
  <c r="AS435" i="2"/>
  <c r="CL435" i="3" s="1"/>
  <c r="CL27" i="3"/>
  <c r="CL83" i="3"/>
  <c r="E83" i="2"/>
  <c r="AS431" i="2"/>
  <c r="CL431" i="3" s="1"/>
  <c r="CL23" i="3"/>
  <c r="CL504" i="3"/>
  <c r="E504" i="2"/>
  <c r="AS14" i="5"/>
  <c r="CL78" i="3"/>
  <c r="AS234" i="2"/>
  <c r="E78" i="2"/>
  <c r="CL42" i="3"/>
  <c r="E42" i="2"/>
  <c r="AF46" i="9"/>
  <c r="AF142" i="9" s="1"/>
  <c r="AR235" i="2"/>
  <c r="CK235" i="3" s="1"/>
  <c r="CK107" i="3"/>
  <c r="AS411" i="5"/>
  <c r="AY244" i="3"/>
  <c r="F245" i="2"/>
  <c r="F213" i="5"/>
  <c r="F18" i="5"/>
  <c r="AU137" i="2"/>
  <c r="E270" i="5"/>
  <c r="CL109" i="3"/>
  <c r="AS111" i="2"/>
  <c r="CL79" i="3"/>
  <c r="E79" i="2"/>
  <c r="CF57" i="3"/>
  <c r="AM59" i="2"/>
  <c r="CF59" i="3" s="1"/>
  <c r="AP61" i="3"/>
  <c r="AP126" i="5"/>
  <c r="R92" i="9"/>
  <c r="AR39" i="2"/>
  <c r="CJ39" i="3"/>
  <c r="AQ41" i="2"/>
  <c r="AL164" i="2"/>
  <c r="CE164" i="3" s="1"/>
  <c r="AL152" i="2"/>
  <c r="CE152" i="3" s="1"/>
  <c r="CE151" i="3"/>
  <c r="CE46" i="3"/>
  <c r="AL48" i="2"/>
  <c r="CE48" i="3" s="1"/>
  <c r="CK110" i="3"/>
  <c r="AR337" i="2"/>
  <c r="CK338" i="3" s="1"/>
  <c r="AZ46" i="9"/>
  <c r="AZ142" i="9" s="1"/>
  <c r="AR112" i="2"/>
  <c r="AS262" i="4"/>
  <c r="AR265" i="4"/>
  <c r="AR215" i="3"/>
  <c r="AR215" i="2"/>
  <c r="AV120" i="3"/>
  <c r="AS279" i="3"/>
  <c r="E279" i="3" s="1"/>
  <c r="AU279" i="2" s="1"/>
  <c r="E173" i="3"/>
  <c r="AU173" i="2" s="1"/>
  <c r="CL108" i="3"/>
  <c r="AS110" i="2"/>
  <c r="AS70" i="2"/>
  <c r="AS12" i="5" s="1"/>
  <c r="U47" i="9"/>
  <c r="AR376" i="1"/>
  <c r="D376" i="1" s="1"/>
  <c r="CL66" i="3"/>
  <c r="E66" i="2"/>
  <c r="CL68" i="3"/>
  <c r="V47" i="9"/>
  <c r="E68" i="2"/>
  <c r="CL67" i="3"/>
  <c r="E67" i="2"/>
  <c r="CL69" i="3"/>
  <c r="E69" i="2"/>
  <c r="CL82" i="3"/>
  <c r="AS237" i="2"/>
  <c r="E82" i="2"/>
  <c r="CL81" i="3"/>
  <c r="E81" i="2"/>
  <c r="CI216" i="3"/>
  <c r="AO383" i="1"/>
  <c r="E50" i="3"/>
  <c r="AU50" i="2" s="1"/>
  <c r="AV50" i="2" s="1"/>
  <c r="AS52" i="3"/>
  <c r="CL52" i="3" s="1"/>
  <c r="AN61" i="2"/>
  <c r="R42" i="9"/>
  <c r="R138" i="9" s="1"/>
  <c r="CG49" i="3"/>
  <c r="AN106" i="5"/>
  <c r="AS189" i="3"/>
  <c r="E189" i="3" s="1"/>
  <c r="AU189" i="2" s="1"/>
  <c r="E187" i="3"/>
  <c r="AU187" i="2" s="1"/>
  <c r="AV187" i="2" s="1"/>
  <c r="AY146" i="3"/>
  <c r="F109" i="5"/>
  <c r="Z104" i="9"/>
  <c r="AJ8" i="9"/>
  <c r="AL8" i="9" s="1"/>
  <c r="BQ95" i="9"/>
  <c r="BQ96" i="9" s="1"/>
  <c r="AH96" i="9"/>
  <c r="AS443" i="3"/>
  <c r="E443" i="3" s="1"/>
  <c r="AS289" i="3"/>
  <c r="E289" i="3" s="1"/>
  <c r="AU289" i="2" s="1"/>
  <c r="AS172" i="3"/>
  <c r="AS453" i="3"/>
  <c r="E453" i="3" s="1"/>
  <c r="E70" i="3"/>
  <c r="AA95" i="9"/>
  <c r="AA96" i="9" s="1"/>
  <c r="E234" i="3"/>
  <c r="AU234" i="2" s="1"/>
  <c r="CL58" i="3"/>
  <c r="E58" i="2"/>
  <c r="CL106" i="3"/>
  <c r="E106" i="2"/>
  <c r="AO441" i="3"/>
  <c r="AO242" i="3"/>
  <c r="AO151" i="3"/>
  <c r="AO288" i="3"/>
  <c r="AO193" i="5"/>
  <c r="AO451" i="3"/>
  <c r="AO128" i="5"/>
  <c r="AO130" i="5" s="1"/>
  <c r="AC95" i="9"/>
  <c r="AC96" i="9" s="1"/>
  <c r="E237" i="3"/>
  <c r="AU237" i="2" s="1"/>
  <c r="AN152" i="3"/>
  <c r="AN164" i="3"/>
  <c r="CJ215" i="3"/>
  <c r="AM108" i="5"/>
  <c r="AM110" i="5" s="1"/>
  <c r="AM137" i="5" s="1"/>
  <c r="AM143" i="5" s="1"/>
  <c r="AM133" i="5"/>
  <c r="AM135" i="5" s="1"/>
  <c r="AB95" i="9"/>
  <c r="AB96" i="9" s="1"/>
  <c r="E236" i="3"/>
  <c r="AU236" i="2" s="1"/>
  <c r="AS442" i="3"/>
  <c r="E442" i="3" s="1"/>
  <c r="T95" i="9"/>
  <c r="T96" i="9" s="1"/>
  <c r="E65" i="3"/>
  <c r="AR379" i="1"/>
  <c r="D379" i="1" s="1"/>
  <c r="CL209" i="3"/>
  <c r="E209" i="2"/>
  <c r="AS432" i="2"/>
  <c r="CL432" i="3" s="1"/>
  <c r="CL24" i="3"/>
  <c r="CL137" i="3"/>
  <c r="AS239" i="2"/>
  <c r="AS179" i="2"/>
  <c r="AR358" i="1"/>
  <c r="D358" i="1" s="1"/>
  <c r="AH47" i="9"/>
  <c r="E137" i="2"/>
  <c r="CL80" i="3"/>
  <c r="AS236" i="2"/>
  <c r="E80" i="2"/>
  <c r="CL105" i="3"/>
  <c r="AS107" i="2"/>
  <c r="E105" i="2"/>
  <c r="AR442" i="2"/>
  <c r="CK442" i="3" s="1"/>
  <c r="T46" i="9"/>
  <c r="T142" i="9" s="1"/>
  <c r="CK65" i="3"/>
  <c r="G8" i="2"/>
  <c r="AY148" i="3"/>
  <c r="F248" i="2"/>
  <c r="AY229" i="3"/>
  <c r="F90" i="5"/>
  <c r="F346" i="5" s="1"/>
  <c r="CL53" i="3"/>
  <c r="E53" i="2"/>
  <c r="CK236" i="3"/>
  <c r="AB46" i="9"/>
  <c r="AB142" i="9" s="1"/>
  <c r="CK234" i="3"/>
  <c r="AA46" i="9"/>
  <c r="AA142" i="9" s="1"/>
  <c r="AS261" i="4"/>
  <c r="AR217" i="3"/>
  <c r="AR217" i="2"/>
  <c r="P125" i="2"/>
  <c r="BI124" i="3"/>
  <c r="P36" i="2"/>
  <c r="P371" i="2"/>
  <c r="BI371" i="3" s="1"/>
  <c r="BM18" i="9"/>
  <c r="BM114" i="9" s="1"/>
  <c r="AY516" i="3"/>
  <c r="F384" i="5"/>
  <c r="AQ297" i="2"/>
  <c r="CJ297" i="3" s="1"/>
  <c r="CJ112" i="3"/>
  <c r="AQ463" i="2"/>
  <c r="CJ463" i="3" s="1"/>
  <c r="AQ178" i="2"/>
  <c r="CJ178" i="3" s="1"/>
  <c r="CG55" i="3"/>
  <c r="AN57" i="2"/>
  <c r="AO55" i="2"/>
  <c r="AR289" i="2"/>
  <c r="CK289" i="3" s="1"/>
  <c r="CK70" i="3"/>
  <c r="AR453" i="2"/>
  <c r="CK453" i="3" s="1"/>
  <c r="AR172" i="2"/>
  <c r="AR443" i="2"/>
  <c r="CK443" i="3" s="1"/>
  <c r="AR255" i="4"/>
  <c r="AQ258" i="4"/>
  <c r="AR454" i="2"/>
  <c r="AR291" i="2"/>
  <c r="AS46" i="9"/>
  <c r="AR490" i="3"/>
  <c r="CK490" i="3" s="1"/>
  <c r="AR307" i="3"/>
  <c r="CK307" i="3" s="1"/>
  <c r="AR74" i="3"/>
  <c r="CK74" i="3" s="1"/>
  <c r="AS98" i="3"/>
  <c r="CL98" i="3" s="1"/>
  <c r="AS325" i="2"/>
  <c r="AS75" i="2"/>
  <c r="E98" i="2"/>
  <c r="AS144" i="3"/>
  <c r="CL144" i="3" s="1"/>
  <c r="E142" i="3"/>
  <c r="AQ107" i="5"/>
  <c r="AQ134" i="5" s="1"/>
  <c r="S45" i="9"/>
  <c r="S141" i="9" s="1"/>
  <c r="CJ60" i="3"/>
  <c r="AU56" i="3"/>
  <c r="AV56" i="3" s="1"/>
  <c r="AV56" i="2"/>
  <c r="AQ454" i="3"/>
  <c r="AQ291" i="3"/>
  <c r="CJ291" i="3" s="1"/>
  <c r="AS93" i="9"/>
  <c r="AS141" i="9" s="1"/>
  <c r="AQ77" i="3"/>
  <c r="CJ77" i="3" s="1"/>
  <c r="Y142" i="9"/>
  <c r="AS87" i="3"/>
  <c r="AS490" i="2"/>
  <c r="AS307" i="2"/>
  <c r="AS74" i="2"/>
  <c r="E87" i="2"/>
  <c r="CK87" i="3"/>
  <c r="AR458" i="2"/>
  <c r="AR294" i="2"/>
  <c r="AX46" i="9"/>
  <c r="AU142" i="3"/>
  <c r="AU214" i="3"/>
  <c r="AV214" i="3" s="1"/>
  <c r="AV214" i="2"/>
  <c r="CK301" i="3"/>
  <c r="E52" i="2"/>
  <c r="AS54" i="2"/>
  <c r="AQ294" i="3"/>
  <c r="CJ294" i="3" s="1"/>
  <c r="AQ458" i="3"/>
  <c r="AX93" i="9"/>
  <c r="AX141" i="9" s="1"/>
  <c r="AS471" i="2"/>
  <c r="AS301" i="2"/>
  <c r="AS243" i="2"/>
  <c r="AS16" i="5"/>
  <c r="AR369" i="1"/>
  <c r="D369" i="1" s="1"/>
  <c r="Y47" i="9"/>
  <c r="E144" i="2"/>
  <c r="AU187" i="3"/>
  <c r="CJ74" i="3"/>
  <c r="CK243" i="3"/>
  <c r="AR325" i="3"/>
  <c r="CK325" i="3" s="1"/>
  <c r="AR75" i="3"/>
  <c r="CL142" i="3"/>
  <c r="CL189" i="3"/>
  <c r="AR365" i="1"/>
  <c r="D365" i="1" s="1"/>
  <c r="E189" i="2"/>
  <c r="AU51" i="3"/>
  <c r="AV51" i="3" s="1"/>
  <c r="AV51" i="2"/>
  <c r="AR210" i="5"/>
  <c r="CK471" i="3"/>
  <c r="AU188" i="3"/>
  <c r="AV188" i="3" s="1"/>
  <c r="AV188" i="2"/>
  <c r="AU50" i="3"/>
  <c r="CK54" i="3"/>
  <c r="AR60" i="2"/>
  <c r="BJ48" i="9"/>
  <c r="E76" i="2"/>
  <c r="AU76" i="3" s="1"/>
  <c r="X124" i="3"/>
  <c r="X36" i="3" s="1"/>
  <c r="X369" i="3" s="1"/>
  <c r="G396" i="3"/>
  <c r="G405" i="3"/>
  <c r="AI57" i="9"/>
  <c r="G303" i="3"/>
  <c r="CL354" i="3" l="1"/>
  <c r="AS77" i="2"/>
  <c r="E77" i="2" s="1"/>
  <c r="AU77" i="3" s="1"/>
  <c r="E354" i="2"/>
  <c r="AU354" i="3" s="1"/>
  <c r="AV354" i="3" s="1"/>
  <c r="CG45" i="3"/>
  <c r="AO45" i="2"/>
  <c r="CK40" i="3"/>
  <c r="AS40" i="2"/>
  <c r="CL40" i="3" s="1"/>
  <c r="CL76" i="3"/>
  <c r="AS465" i="3"/>
  <c r="E465" i="3" s="1"/>
  <c r="AV187" i="3"/>
  <c r="AV50" i="3"/>
  <c r="AS208" i="5"/>
  <c r="E208" i="5" s="1"/>
  <c r="E12" i="5"/>
  <c r="CK217" i="3"/>
  <c r="F259" i="2"/>
  <c r="AY248" i="3"/>
  <c r="BT8" i="9"/>
  <c r="AU137" i="3"/>
  <c r="AV137" i="3" s="1"/>
  <c r="E78" i="5"/>
  <c r="E323" i="5" s="1"/>
  <c r="AV137" i="2"/>
  <c r="CL239" i="3"/>
  <c r="E239" i="2"/>
  <c r="AU209" i="3"/>
  <c r="AV209" i="3" s="1"/>
  <c r="AV209" i="2"/>
  <c r="AO164" i="3"/>
  <c r="AO152" i="3"/>
  <c r="AL104" i="9"/>
  <c r="AJ104" i="9"/>
  <c r="AU82" i="3"/>
  <c r="AV82" i="3" s="1"/>
  <c r="AV82" i="2"/>
  <c r="V143" i="9"/>
  <c r="V144" i="9" s="1"/>
  <c r="V48" i="9"/>
  <c r="CK215" i="3"/>
  <c r="AR178" i="2"/>
  <c r="CK178" i="3" s="1"/>
  <c r="CK112" i="3"/>
  <c r="AR463" i="2"/>
  <c r="CK463" i="3" s="1"/>
  <c r="AR297" i="2"/>
  <c r="CK297" i="3" s="1"/>
  <c r="CL234" i="3"/>
  <c r="AA47" i="9"/>
  <c r="E234" i="2"/>
  <c r="AN46" i="2"/>
  <c r="CG44" i="3"/>
  <c r="AO44" i="2"/>
  <c r="CI43" i="3"/>
  <c r="AP49" i="2"/>
  <c r="CL452" i="3"/>
  <c r="E452" i="2"/>
  <c r="AS442" i="2"/>
  <c r="CL65" i="3"/>
  <c r="T47" i="9"/>
  <c r="E65" i="2"/>
  <c r="AU107" i="2"/>
  <c r="G228" i="5"/>
  <c r="G239" i="5" s="1"/>
  <c r="AM152" i="2"/>
  <c r="CF152" i="3" s="1"/>
  <c r="CF151" i="3"/>
  <c r="AM164" i="2"/>
  <c r="CF164" i="3" s="1"/>
  <c r="CK172" i="3"/>
  <c r="AR278" i="2"/>
  <c r="CK278" i="3" s="1"/>
  <c r="P369" i="2"/>
  <c r="BI36" i="3"/>
  <c r="Q16" i="2"/>
  <c r="BJ16" i="3" s="1"/>
  <c r="P256" i="2"/>
  <c r="BI256" i="3" s="1"/>
  <c r="AU80" i="3"/>
  <c r="AV80" i="3" s="1"/>
  <c r="AV80" i="2"/>
  <c r="BQ47" i="9"/>
  <c r="AH143" i="9"/>
  <c r="AH144" i="9" s="1"/>
  <c r="AH48" i="9"/>
  <c r="J118" i="1"/>
  <c r="AU58" i="3"/>
  <c r="AV58" i="3" s="1"/>
  <c r="AV58" i="2"/>
  <c r="AD15" i="1"/>
  <c r="AU70" i="2"/>
  <c r="E242" i="5"/>
  <c r="AN242" i="2"/>
  <c r="CG242" i="3" s="1"/>
  <c r="AM362" i="1"/>
  <c r="AN451" i="2"/>
  <c r="CG451" i="3" s="1"/>
  <c r="AN441" i="2"/>
  <c r="CG441" i="3" s="1"/>
  <c r="CG61" i="3"/>
  <c r="AN151" i="2"/>
  <c r="AN13" i="5"/>
  <c r="AN209" i="5" s="1"/>
  <c r="AN288" i="2"/>
  <c r="CG288" i="3" s="1"/>
  <c r="CL237" i="3"/>
  <c r="AC47" i="9"/>
  <c r="E237" i="2"/>
  <c r="AU67" i="3"/>
  <c r="AV67" i="3" s="1"/>
  <c r="AV67" i="2"/>
  <c r="I94" i="1"/>
  <c r="U143" i="9"/>
  <c r="U144" i="9" s="1"/>
  <c r="U48" i="9"/>
  <c r="AQ43" i="2"/>
  <c r="CJ41" i="3"/>
  <c r="AU79" i="3"/>
  <c r="AV79" i="3" s="1"/>
  <c r="AV79" i="2"/>
  <c r="E373" i="1"/>
  <c r="AY245" i="3"/>
  <c r="F260" i="2"/>
  <c r="AY260" i="3" s="1"/>
  <c r="AU42" i="3"/>
  <c r="AV42" i="3" s="1"/>
  <c r="AV42" i="2"/>
  <c r="AR41" i="3"/>
  <c r="AR43" i="3" s="1"/>
  <c r="AR49" i="3" s="1"/>
  <c r="AS39" i="3"/>
  <c r="AS280" i="2"/>
  <c r="CL174" i="3"/>
  <c r="E174" i="2"/>
  <c r="AV47" i="2"/>
  <c r="J117" i="1"/>
  <c r="AU47" i="3"/>
  <c r="AV47" i="3" s="1"/>
  <c r="E263" i="5"/>
  <c r="E316" i="5" s="1"/>
  <c r="AU120" i="2"/>
  <c r="AV120" i="2" s="1"/>
  <c r="H232" i="5"/>
  <c r="CH55" i="3"/>
  <c r="AO57" i="2"/>
  <c r="AP55" i="2"/>
  <c r="AS217" i="3"/>
  <c r="E217" i="3" s="1"/>
  <c r="AU217" i="2" s="1"/>
  <c r="AS217" i="2"/>
  <c r="G20" i="2"/>
  <c r="F486" i="2"/>
  <c r="AY486" i="3" s="1"/>
  <c r="G450" i="2"/>
  <c r="AZ450" i="3" s="1"/>
  <c r="I259" i="1"/>
  <c r="G390" i="2"/>
  <c r="F9" i="9"/>
  <c r="AZ8" i="3"/>
  <c r="F389" i="1"/>
  <c r="G372" i="5"/>
  <c r="G374" i="5" s="1"/>
  <c r="G447" i="2"/>
  <c r="AZ447" i="3" s="1"/>
  <c r="G19" i="2"/>
  <c r="G84" i="2"/>
  <c r="AU105" i="3"/>
  <c r="AV105" i="3" s="1"/>
  <c r="AV105" i="2"/>
  <c r="CL236" i="3"/>
  <c r="AB47" i="9"/>
  <c r="E236" i="2"/>
  <c r="AN108" i="5"/>
  <c r="AN110" i="5" s="1"/>
  <c r="AN137" i="5" s="1"/>
  <c r="AN133" i="5"/>
  <c r="AN135" i="5" s="1"/>
  <c r="AS54" i="3"/>
  <c r="CL54" i="3" s="1"/>
  <c r="E52" i="3"/>
  <c r="AU52" i="2" s="1"/>
  <c r="AV52" i="2" s="1"/>
  <c r="AU81" i="3"/>
  <c r="AV81" i="3" s="1"/>
  <c r="AV81" i="2"/>
  <c r="I93" i="1"/>
  <c r="AU66" i="3"/>
  <c r="AV66" i="3" s="1"/>
  <c r="AV66" i="2"/>
  <c r="AS443" i="2"/>
  <c r="AS172" i="2"/>
  <c r="AS289" i="2"/>
  <c r="CL70" i="3"/>
  <c r="AS453" i="2"/>
  <c r="E70" i="2"/>
  <c r="AR216" i="3"/>
  <c r="AR216" i="2"/>
  <c r="AP451" i="3"/>
  <c r="AP288" i="3"/>
  <c r="AP441" i="3"/>
  <c r="AP151" i="3"/>
  <c r="AP128" i="5"/>
  <c r="AP130" i="5" s="1"/>
  <c r="AP242" i="3"/>
  <c r="AP193" i="5"/>
  <c r="AS211" i="5"/>
  <c r="E211" i="5" s="1"/>
  <c r="E14" i="5"/>
  <c r="AM48" i="2"/>
  <c r="CF46" i="3"/>
  <c r="AQ61" i="3"/>
  <c r="AQ126" i="5"/>
  <c r="R93" i="9"/>
  <c r="BJ95" i="9"/>
  <c r="E76" i="3"/>
  <c r="AU76" i="2" s="1"/>
  <c r="AV76" i="2" s="1"/>
  <c r="AS255" i="4"/>
  <c r="AS258" i="4" s="1"/>
  <c r="AR258" i="4"/>
  <c r="AN59" i="2"/>
  <c r="CG57" i="3"/>
  <c r="P466" i="2"/>
  <c r="BI466" i="3" s="1"/>
  <c r="BI125" i="3"/>
  <c r="P299" i="2"/>
  <c r="BI299" i="3" s="1"/>
  <c r="AV53" i="2"/>
  <c r="AU53" i="3"/>
  <c r="AV53" i="3" s="1"/>
  <c r="AF47" i="9"/>
  <c r="CL107" i="3"/>
  <c r="AS235" i="2"/>
  <c r="E107" i="2"/>
  <c r="CL179" i="3"/>
  <c r="E179" i="2"/>
  <c r="AU65" i="2"/>
  <c r="E125" i="1"/>
  <c r="AU106" i="3"/>
  <c r="AV106" i="3" s="1"/>
  <c r="AV106" i="2"/>
  <c r="AS278" i="3"/>
  <c r="E278" i="3" s="1"/>
  <c r="AU278" i="2" s="1"/>
  <c r="E172" i="3"/>
  <c r="AU172" i="2" s="1"/>
  <c r="AU69" i="3"/>
  <c r="AV69" i="3" s="1"/>
  <c r="I96" i="1"/>
  <c r="AV69" i="2"/>
  <c r="AU68" i="3"/>
  <c r="AV68" i="3" s="1"/>
  <c r="AV68" i="2"/>
  <c r="I95" i="1"/>
  <c r="CL110" i="3"/>
  <c r="AZ47" i="9"/>
  <c r="AZ143" i="9" s="1"/>
  <c r="AS337" i="2"/>
  <c r="CL338" i="3" s="1"/>
  <c r="AS112" i="2"/>
  <c r="AS265" i="4"/>
  <c r="AS215" i="3"/>
  <c r="E215" i="3" s="1"/>
  <c r="AU215" i="2" s="1"/>
  <c r="AS215" i="2"/>
  <c r="AR41" i="2"/>
  <c r="AS39" i="2"/>
  <c r="CK39" i="3"/>
  <c r="AS338" i="2"/>
  <c r="CL339" i="3" s="1"/>
  <c r="CL111" i="3"/>
  <c r="AS509" i="2"/>
  <c r="CL509" i="3" s="1"/>
  <c r="BD47" i="9"/>
  <c r="BD143" i="9" s="1"/>
  <c r="F19" i="5"/>
  <c r="F214" i="5"/>
  <c r="AU78" i="3"/>
  <c r="AV78" i="3" s="1"/>
  <c r="AV78" i="2"/>
  <c r="AU83" i="3"/>
  <c r="AV83" i="3" s="1"/>
  <c r="AV83" i="2"/>
  <c r="CJ216" i="3"/>
  <c r="AP383" i="1"/>
  <c r="CH49" i="3"/>
  <c r="AO106" i="5"/>
  <c r="AO61" i="2"/>
  <c r="R43" i="9"/>
  <c r="R139" i="9" s="1"/>
  <c r="AV62" i="2"/>
  <c r="E51" i="5"/>
  <c r="E296" i="5" s="1"/>
  <c r="AU62" i="3"/>
  <c r="AV62" i="3" s="1"/>
  <c r="AS279" i="2"/>
  <c r="CL173" i="3"/>
  <c r="E173" i="2"/>
  <c r="AU189" i="3"/>
  <c r="AV189" i="3" s="1"/>
  <c r="AV189" i="2"/>
  <c r="AR458" i="3"/>
  <c r="AR294" i="3"/>
  <c r="CK294" i="3" s="1"/>
  <c r="AX94" i="9"/>
  <c r="AX142" i="9" s="1"/>
  <c r="E471" i="2"/>
  <c r="AU52" i="3"/>
  <c r="CK75" i="3"/>
  <c r="AV142" i="3"/>
  <c r="AU142" i="2"/>
  <c r="AV142" i="2" s="1"/>
  <c r="E325" i="2"/>
  <c r="S46" i="9"/>
  <c r="S142" i="9" s="1"/>
  <c r="CK60" i="3"/>
  <c r="AR107" i="5"/>
  <c r="AR134" i="5" s="1"/>
  <c r="E16" i="5"/>
  <c r="E490" i="2"/>
  <c r="AS471" i="3"/>
  <c r="E471" i="3" s="1"/>
  <c r="AS301" i="3"/>
  <c r="E301" i="3" s="1"/>
  <c r="AS243" i="3"/>
  <c r="E243" i="3" s="1"/>
  <c r="Y95" i="9"/>
  <c r="Y96" i="9" s="1"/>
  <c r="AS196" i="5"/>
  <c r="E196" i="5" s="1"/>
  <c r="E144" i="3"/>
  <c r="AS325" i="3"/>
  <c r="E325" i="3" s="1"/>
  <c r="AS75" i="3"/>
  <c r="CL75" i="3" s="1"/>
  <c r="E98" i="3"/>
  <c r="AU144" i="3"/>
  <c r="AC17" i="1"/>
  <c r="I131" i="1"/>
  <c r="I134" i="1" s="1"/>
  <c r="E243" i="2"/>
  <c r="AS60" i="2"/>
  <c r="E54" i="2"/>
  <c r="AU87" i="3"/>
  <c r="F32" i="5"/>
  <c r="I142" i="1"/>
  <c r="AS307" i="3"/>
  <c r="CL307" i="3" s="1"/>
  <c r="AS490" i="3"/>
  <c r="E490" i="3" s="1"/>
  <c r="AS74" i="3"/>
  <c r="CL74" i="3" s="1"/>
  <c r="E87" i="3"/>
  <c r="AU98" i="3"/>
  <c r="I143" i="1"/>
  <c r="Y48" i="9"/>
  <c r="AA39" i="1" s="1"/>
  <c r="E301" i="2"/>
  <c r="AS454" i="2"/>
  <c r="AS291" i="2"/>
  <c r="AS47" i="9"/>
  <c r="E74" i="2"/>
  <c r="CL87" i="3"/>
  <c r="AS458" i="2"/>
  <c r="AS294" i="2"/>
  <c r="AX47" i="9"/>
  <c r="E75" i="2"/>
  <c r="AR454" i="3"/>
  <c r="AR291" i="3"/>
  <c r="CK291" i="3" s="1"/>
  <c r="AS94" i="9"/>
  <c r="AS142" i="9" s="1"/>
  <c r="AR77" i="3"/>
  <c r="CK77" i="3" s="1"/>
  <c r="X371" i="3"/>
  <c r="X372" i="3" s="1"/>
  <c r="X374" i="3" s="1"/>
  <c r="Y367" i="3" s="1"/>
  <c r="BM74" i="9"/>
  <c r="Y16" i="3"/>
  <c r="G95" i="3"/>
  <c r="X256" i="3"/>
  <c r="AV354" i="2" l="1"/>
  <c r="AV52" i="3"/>
  <c r="E40" i="2"/>
  <c r="CH45" i="3"/>
  <c r="AP45" i="2"/>
  <c r="Y143" i="9"/>
  <c r="Y144" i="9" s="1"/>
  <c r="CL243" i="3"/>
  <c r="AV173" i="2"/>
  <c r="AU173" i="3"/>
  <c r="AV173" i="3" s="1"/>
  <c r="AO108" i="5"/>
  <c r="AO110" i="5" s="1"/>
  <c r="AO137" i="5" s="1"/>
  <c r="AO143" i="5" s="1"/>
  <c r="AO133" i="5"/>
  <c r="AO135" i="5" s="1"/>
  <c r="G36" i="5"/>
  <c r="AU107" i="3"/>
  <c r="AV107" i="3" s="1"/>
  <c r="AV107" i="2"/>
  <c r="K175" i="1"/>
  <c r="AP152" i="3"/>
  <c r="AP164" i="3"/>
  <c r="CK216" i="3"/>
  <c r="AQ383" i="1"/>
  <c r="AN143" i="5"/>
  <c r="F105" i="9"/>
  <c r="K9" i="9"/>
  <c r="CI55" i="3"/>
  <c r="AP57" i="2"/>
  <c r="AQ55" i="2"/>
  <c r="H239" i="5"/>
  <c r="H292" i="5" s="1"/>
  <c r="H285" i="5"/>
  <c r="CL280" i="3"/>
  <c r="E280" i="2"/>
  <c r="AQ49" i="2"/>
  <c r="CJ43" i="3"/>
  <c r="BI369" i="3"/>
  <c r="P372" i="2"/>
  <c r="AV65" i="2"/>
  <c r="AU65" i="3"/>
  <c r="AV65" i="3" s="1"/>
  <c r="CH44" i="3"/>
  <c r="AO46" i="2"/>
  <c r="AP44" i="2"/>
  <c r="AA143" i="9"/>
  <c r="AA144" i="9" s="1"/>
  <c r="AA48" i="9"/>
  <c r="AA38" i="1" s="1"/>
  <c r="AY259" i="3"/>
  <c r="F368" i="5"/>
  <c r="F370" i="5" s="1"/>
  <c r="AS41" i="2"/>
  <c r="E41" i="2" s="1"/>
  <c r="CL39" i="3"/>
  <c r="AS216" i="3"/>
  <c r="E216" i="3" s="1"/>
  <c r="AU216" i="2" s="1"/>
  <c r="AS216" i="2"/>
  <c r="CL235" i="3"/>
  <c r="E235" i="2"/>
  <c r="CF48" i="3"/>
  <c r="CL289" i="3"/>
  <c r="E289" i="2"/>
  <c r="AU236" i="3"/>
  <c r="AV236" i="3" s="1"/>
  <c r="AV236" i="2"/>
  <c r="G394" i="2"/>
  <c r="AZ394" i="3" s="1"/>
  <c r="G393" i="2"/>
  <c r="AZ393" i="3" s="1"/>
  <c r="G392" i="2"/>
  <c r="AZ392" i="3" s="1"/>
  <c r="G391" i="2"/>
  <c r="AZ390" i="3"/>
  <c r="CH57" i="3"/>
  <c r="AO59" i="2"/>
  <c r="CH59" i="3" s="1"/>
  <c r="E39" i="3"/>
  <c r="AU39" i="2" s="1"/>
  <c r="AS41" i="3"/>
  <c r="T143" i="9"/>
  <c r="T144" i="9" s="1"/>
  <c r="T48" i="9"/>
  <c r="AA37" i="1" s="1"/>
  <c r="AU239" i="3"/>
  <c r="AV239" i="3" s="1"/>
  <c r="AV239" i="2"/>
  <c r="CL279" i="3"/>
  <c r="E279" i="2"/>
  <c r="F215" i="5"/>
  <c r="F20" i="5"/>
  <c r="AR43" i="2"/>
  <c r="CK41" i="3"/>
  <c r="AS178" i="2"/>
  <c r="CL178" i="3" s="1"/>
  <c r="AS297" i="2"/>
  <c r="CL297" i="3" s="1"/>
  <c r="AS463" i="2"/>
  <c r="CL463" i="3" s="1"/>
  <c r="CL112" i="3"/>
  <c r="AU179" i="3"/>
  <c r="AV179" i="3" s="1"/>
  <c r="AV179" i="2"/>
  <c r="AQ441" i="3"/>
  <c r="AQ242" i="3"/>
  <c r="AQ151" i="3"/>
  <c r="AQ451" i="3"/>
  <c r="AQ128" i="5"/>
  <c r="AQ130" i="5" s="1"/>
  <c r="AQ193" i="5"/>
  <c r="AQ288" i="3"/>
  <c r="E50" i="5"/>
  <c r="E295" i="5" s="1"/>
  <c r="AC15" i="1"/>
  <c r="AU70" i="3"/>
  <c r="AV70" i="3" s="1"/>
  <c r="AV70" i="2"/>
  <c r="CL172" i="3"/>
  <c r="AS278" i="2"/>
  <c r="E172" i="2"/>
  <c r="I97" i="1"/>
  <c r="AS60" i="3"/>
  <c r="CL60" i="3" s="1"/>
  <c r="E54" i="3"/>
  <c r="AU54" i="2" s="1"/>
  <c r="AV54" i="2" s="1"/>
  <c r="AB143" i="9"/>
  <c r="AB144" i="9" s="1"/>
  <c r="AB48" i="9"/>
  <c r="AZ84" i="3"/>
  <c r="G85" i="2"/>
  <c r="G238" i="2"/>
  <c r="G15" i="5"/>
  <c r="G212" i="5" s="1"/>
  <c r="CL217" i="3"/>
  <c r="E217" i="2"/>
  <c r="AV174" i="2"/>
  <c r="AU174" i="3"/>
  <c r="AV174" i="3" s="1"/>
  <c r="AR61" i="3"/>
  <c r="AR126" i="5"/>
  <c r="R94" i="9"/>
  <c r="AU237" i="3"/>
  <c r="AV237" i="3" s="1"/>
  <c r="AV237" i="2"/>
  <c r="BQ143" i="9"/>
  <c r="BQ144" i="9" s="1"/>
  <c r="BQ48" i="9"/>
  <c r="R44" i="9"/>
  <c r="R140" i="9" s="1"/>
  <c r="AP106" i="5"/>
  <c r="CI49" i="3"/>
  <c r="AP61" i="2"/>
  <c r="CG46" i="3"/>
  <c r="AN48" i="2"/>
  <c r="CG48" i="3" s="1"/>
  <c r="BY8" i="9"/>
  <c r="BY104" i="9" s="1"/>
  <c r="BT104" i="9"/>
  <c r="CL301" i="3"/>
  <c r="AO441" i="2"/>
  <c r="CH441" i="3" s="1"/>
  <c r="CH61" i="3"/>
  <c r="AO451" i="2"/>
  <c r="CH451" i="3" s="1"/>
  <c r="AO13" i="5"/>
  <c r="AO209" i="5" s="1"/>
  <c r="AO288" i="2"/>
  <c r="CH288" i="3" s="1"/>
  <c r="AN362" i="1"/>
  <c r="AO242" i="2"/>
  <c r="CH242" i="3" s="1"/>
  <c r="AO151" i="2"/>
  <c r="E39" i="2"/>
  <c r="CL215" i="3"/>
  <c r="E215" i="2"/>
  <c r="AF143" i="9"/>
  <c r="AF144" i="9" s="1"/>
  <c r="AF48" i="9"/>
  <c r="AC36" i="1" s="1"/>
  <c r="CG59" i="3"/>
  <c r="BJ96" i="9"/>
  <c r="BJ143" i="9"/>
  <c r="BJ144" i="9" s="1"/>
  <c r="CL453" i="3"/>
  <c r="E453" i="2"/>
  <c r="CL443" i="3"/>
  <c r="E443" i="2"/>
  <c r="G10" i="5"/>
  <c r="G206" i="5" s="1"/>
  <c r="G364" i="5"/>
  <c r="G366" i="5" s="1"/>
  <c r="G232" i="2"/>
  <c r="AZ232" i="3" s="1"/>
  <c r="F261" i="2"/>
  <c r="AZ19" i="3"/>
  <c r="AV76" i="3"/>
  <c r="AC143" i="9"/>
  <c r="AC144" i="9" s="1"/>
  <c r="AC48" i="9"/>
  <c r="AN152" i="2"/>
  <c r="CG152" i="3" s="1"/>
  <c r="CG151" i="3"/>
  <c r="AN164" i="2"/>
  <c r="CG164" i="3" s="1"/>
  <c r="CL442" i="3"/>
  <c r="E442" i="2"/>
  <c r="AU234" i="3"/>
  <c r="AV234" i="3" s="1"/>
  <c r="AV234" i="2"/>
  <c r="AU75" i="3"/>
  <c r="AS48" i="9"/>
  <c r="AV87" i="3"/>
  <c r="F224" i="5"/>
  <c r="F239" i="5" s="1"/>
  <c r="AU87" i="2"/>
  <c r="AV87" i="2" s="1"/>
  <c r="AU243" i="3"/>
  <c r="AV243" i="3" s="1"/>
  <c r="AU325" i="2"/>
  <c r="AV325" i="2" s="1"/>
  <c r="AU243" i="2"/>
  <c r="AV243" i="2" s="1"/>
  <c r="CL490" i="3"/>
  <c r="AU325" i="3"/>
  <c r="AV325" i="3" s="1"/>
  <c r="AX48" i="9"/>
  <c r="E291" i="2"/>
  <c r="AS454" i="3"/>
  <c r="AS291" i="3"/>
  <c r="E291" i="3" s="1"/>
  <c r="AU291" i="2" s="1"/>
  <c r="AS95" i="9"/>
  <c r="AS96" i="9" s="1"/>
  <c r="E74" i="3"/>
  <c r="AS77" i="3"/>
  <c r="AU54" i="3"/>
  <c r="AV144" i="3"/>
  <c r="AU144" i="2"/>
  <c r="AV144" i="2" s="1"/>
  <c r="AD17" i="1"/>
  <c r="AU301" i="2"/>
  <c r="AV301" i="2" s="1"/>
  <c r="CL325" i="3"/>
  <c r="CL471" i="3"/>
  <c r="E294" i="2"/>
  <c r="F47" i="5"/>
  <c r="E60" i="2"/>
  <c r="AS107" i="5"/>
  <c r="S47" i="9"/>
  <c r="AV98" i="3"/>
  <c r="AU98" i="2"/>
  <c r="AV98" i="2" s="1"/>
  <c r="AU74" i="3"/>
  <c r="E63" i="5"/>
  <c r="AU301" i="3"/>
  <c r="AV301" i="3" s="1"/>
  <c r="AS458" i="3"/>
  <c r="AS294" i="3"/>
  <c r="E294" i="3" s="1"/>
  <c r="AU294" i="2" s="1"/>
  <c r="AX95" i="9"/>
  <c r="AX96" i="9" s="1"/>
  <c r="E75" i="3"/>
  <c r="AU75" i="2" s="1"/>
  <c r="AV75" i="2" s="1"/>
  <c r="AS210" i="5"/>
  <c r="E210" i="5" s="1"/>
  <c r="Y124" i="3"/>
  <c r="Y36" i="3" s="1"/>
  <c r="Y369" i="3" s="1"/>
  <c r="G457" i="3"/>
  <c r="G320" i="3"/>
  <c r="AQ57" i="9"/>
  <c r="H9" i="3"/>
  <c r="G249" i="3"/>
  <c r="G103" i="3"/>
  <c r="G175" i="3" s="1"/>
  <c r="K105" i="9" l="1"/>
  <c r="CI45" i="3"/>
  <c r="AQ45" i="2"/>
  <c r="AU40" i="3"/>
  <c r="AV40" i="3" s="1"/>
  <c r="AV40" i="2"/>
  <c r="F277" i="5"/>
  <c r="AV74" i="3"/>
  <c r="F292" i="5"/>
  <c r="AV54" i="3"/>
  <c r="AU215" i="3"/>
  <c r="AV215" i="3" s="1"/>
  <c r="AV215" i="2"/>
  <c r="AO164" i="2"/>
  <c r="CH164" i="3" s="1"/>
  <c r="AO152" i="2"/>
  <c r="CH152" i="3" s="1"/>
  <c r="CH151" i="3"/>
  <c r="AR451" i="3"/>
  <c r="AR288" i="3"/>
  <c r="AR441" i="3"/>
  <c r="AR242" i="3"/>
  <c r="AR128" i="5"/>
  <c r="AR130" i="5" s="1"/>
  <c r="AR151" i="3"/>
  <c r="AR193" i="5"/>
  <c r="S95" i="9"/>
  <c r="S96" i="9" s="1"/>
  <c r="AS127" i="5"/>
  <c r="AS134" i="5" s="1"/>
  <c r="E134" i="5" s="1"/>
  <c r="E60" i="3"/>
  <c r="AR49" i="2"/>
  <c r="CK43" i="3"/>
  <c r="CH46" i="3"/>
  <c r="AO48" i="2"/>
  <c r="CH48" i="3" s="1"/>
  <c r="BI372" i="3"/>
  <c r="P374" i="2"/>
  <c r="AU280" i="3"/>
  <c r="AV280" i="3" s="1"/>
  <c r="AV280" i="2"/>
  <c r="AY261" i="3"/>
  <c r="F262" i="2"/>
  <c r="AP13" i="5"/>
  <c r="AP209" i="5" s="1"/>
  <c r="AP451" i="2"/>
  <c r="CI451" i="3" s="1"/>
  <c r="CI61" i="3"/>
  <c r="AP242" i="2"/>
  <c r="CI242" i="3" s="1"/>
  <c r="AP288" i="2"/>
  <c r="CI288" i="3" s="1"/>
  <c r="AP441" i="2"/>
  <c r="CI441" i="3" s="1"/>
  <c r="AO362" i="1"/>
  <c r="AP151" i="2"/>
  <c r="AU41" i="3"/>
  <c r="AV289" i="2"/>
  <c r="AU289" i="3"/>
  <c r="AV289" i="3" s="1"/>
  <c r="AU235" i="3"/>
  <c r="AV235" i="3" s="1"/>
  <c r="AV235" i="2"/>
  <c r="AQ57" i="2"/>
  <c r="CJ55" i="3"/>
  <c r="AR55" i="2"/>
  <c r="AU39" i="3"/>
  <c r="AV39" i="3" s="1"/>
  <c r="AV39" i="2"/>
  <c r="G240" i="2"/>
  <c r="AD9" i="9"/>
  <c r="AD105" i="9" s="1"/>
  <c r="AZ238" i="3"/>
  <c r="AU172" i="3"/>
  <c r="AV172" i="3" s="1"/>
  <c r="AV172" i="2"/>
  <c r="AQ164" i="3"/>
  <c r="AQ152" i="3"/>
  <c r="AS43" i="3"/>
  <c r="E41" i="3"/>
  <c r="AU41" i="2" s="1"/>
  <c r="AV41" i="2" s="1"/>
  <c r="AS43" i="2"/>
  <c r="CL41" i="3"/>
  <c r="AP59" i="2"/>
  <c r="CI57" i="3"/>
  <c r="AP133" i="5"/>
  <c r="AP135" i="5" s="1"/>
  <c r="AP108" i="5"/>
  <c r="AP110" i="5" s="1"/>
  <c r="AP137" i="5" s="1"/>
  <c r="AP143" i="5" s="1"/>
  <c r="AU217" i="3"/>
  <c r="AV217" i="3" s="1"/>
  <c r="AV217" i="2"/>
  <c r="G287" i="2"/>
  <c r="G470" i="2"/>
  <c r="AZ470" i="3" s="1"/>
  <c r="AZ85" i="3"/>
  <c r="G290" i="2"/>
  <c r="AZ290" i="3" s="1"/>
  <c r="CL278" i="3"/>
  <c r="E278" i="2"/>
  <c r="AU279" i="3"/>
  <c r="AV279" i="3" s="1"/>
  <c r="AV279" i="2"/>
  <c r="AZ391" i="3"/>
  <c r="G395" i="2"/>
  <c r="CL216" i="3"/>
  <c r="AR383" i="1"/>
  <c r="D383" i="1" s="1"/>
  <c r="E216" i="2"/>
  <c r="CI44" i="3"/>
  <c r="AP46" i="2"/>
  <c r="AQ44" i="2"/>
  <c r="AQ61" i="2"/>
  <c r="CJ49" i="3"/>
  <c r="AQ106" i="5"/>
  <c r="R45" i="9"/>
  <c r="R141" i="9" s="1"/>
  <c r="G281" i="5"/>
  <c r="G47" i="5"/>
  <c r="G292" i="5" s="1"/>
  <c r="S48" i="9"/>
  <c r="AU294" i="3"/>
  <c r="AV294" i="3" s="1"/>
  <c r="AV294" i="2"/>
  <c r="E255" i="5"/>
  <c r="E308" i="5" s="1"/>
  <c r="AU74" i="2"/>
  <c r="AV74" i="2" s="1"/>
  <c r="AU291" i="3"/>
  <c r="AV291" i="3" s="1"/>
  <c r="AV291" i="2"/>
  <c r="AV75" i="3"/>
  <c r="E107" i="5"/>
  <c r="E102" i="5" s="1"/>
  <c r="D102" i="5"/>
  <c r="CL294" i="3"/>
  <c r="CL291" i="3"/>
  <c r="AU60" i="3"/>
  <c r="E77" i="3"/>
  <c r="CL77" i="3"/>
  <c r="AX143" i="9"/>
  <c r="AX144" i="9" s="1"/>
  <c r="AS143" i="9"/>
  <c r="AS144" i="9" s="1"/>
  <c r="G116" i="3"/>
  <c r="BB57" i="9" s="1"/>
  <c r="Y256" i="3"/>
  <c r="G281" i="3"/>
  <c r="Y371" i="3"/>
  <c r="Y372" i="3" s="1"/>
  <c r="Y374" i="3" s="1"/>
  <c r="Z367" i="3" s="1"/>
  <c r="BM75" i="9"/>
  <c r="AT57" i="9"/>
  <c r="G461" i="3"/>
  <c r="G331" i="3"/>
  <c r="AW57" i="9"/>
  <c r="G501" i="3"/>
  <c r="H10" i="3"/>
  <c r="H11" i="3" s="1"/>
  <c r="G58" i="9" s="1"/>
  <c r="G250" i="3"/>
  <c r="G251" i="3" s="1"/>
  <c r="BU57" i="9" s="1"/>
  <c r="Z16" i="3"/>
  <c r="H489" i="3"/>
  <c r="H96" i="3"/>
  <c r="G321" i="3"/>
  <c r="H306" i="3" s="1"/>
  <c r="CJ45" i="3" l="1"/>
  <c r="AR45" i="2"/>
  <c r="S143" i="9"/>
  <c r="S144" i="9" s="1"/>
  <c r="AV60" i="3"/>
  <c r="D60" i="3" s="1"/>
  <c r="H12" i="3"/>
  <c r="H32" i="3" s="1"/>
  <c r="CI46" i="3"/>
  <c r="AP48" i="2"/>
  <c r="CL43" i="3"/>
  <c r="AS49" i="2"/>
  <c r="AV41" i="3"/>
  <c r="E43" i="2"/>
  <c r="D117" i="5"/>
  <c r="D122" i="5" s="1"/>
  <c r="E127" i="5"/>
  <c r="E117" i="5" s="1"/>
  <c r="E122" i="5" s="1"/>
  <c r="AQ151" i="2"/>
  <c r="AQ441" i="2"/>
  <c r="CJ441" i="3" s="1"/>
  <c r="AQ13" i="5"/>
  <c r="CJ61" i="3"/>
  <c r="AP362" i="1"/>
  <c r="AQ451" i="2"/>
  <c r="CJ451" i="3" s="1"/>
  <c r="AQ288" i="2"/>
  <c r="CJ288" i="3" s="1"/>
  <c r="AQ242" i="2"/>
  <c r="CJ242" i="3" s="1"/>
  <c r="AZ240" i="3"/>
  <c r="AI9" i="9"/>
  <c r="AI105" i="9" s="1"/>
  <c r="CK55" i="3"/>
  <c r="AR57" i="2"/>
  <c r="AS55" i="2"/>
  <c r="E55" i="2" s="1"/>
  <c r="AU216" i="3"/>
  <c r="AV216" i="3" s="1"/>
  <c r="AV216" i="2"/>
  <c r="G396" i="2"/>
  <c r="AZ396" i="3" s="1"/>
  <c r="AZ395" i="3"/>
  <c r="G405" i="2"/>
  <c r="AZ405" i="3" s="1"/>
  <c r="AU278" i="3"/>
  <c r="AV278" i="3" s="1"/>
  <c r="AV278" i="2"/>
  <c r="CI59" i="3"/>
  <c r="AS49" i="3"/>
  <c r="E43" i="3"/>
  <c r="AU43" i="2" s="1"/>
  <c r="CI151" i="3"/>
  <c r="AP152" i="2"/>
  <c r="CI152" i="3" s="1"/>
  <c r="AP164" i="2"/>
  <c r="CI164" i="3" s="1"/>
  <c r="AR61" i="2"/>
  <c r="AR106" i="5"/>
  <c r="R46" i="9"/>
  <c r="CK49" i="3"/>
  <c r="AQ108" i="5"/>
  <c r="AQ133" i="5"/>
  <c r="CJ44" i="3"/>
  <c r="AQ46" i="2"/>
  <c r="AR44" i="2"/>
  <c r="AZ287" i="3"/>
  <c r="G303" i="2"/>
  <c r="CJ57" i="3"/>
  <c r="AQ59" i="2"/>
  <c r="CJ59" i="3" s="1"/>
  <c r="BI374" i="3"/>
  <c r="Q367" i="2"/>
  <c r="AU60" i="2"/>
  <c r="AV60" i="2" s="1"/>
  <c r="J102" i="1"/>
  <c r="AR152" i="3"/>
  <c r="AR164" i="3"/>
  <c r="G347" i="3"/>
  <c r="G349" i="3" s="1"/>
  <c r="H335" i="3" s="1"/>
  <c r="AU77" i="2"/>
  <c r="AV77" i="2" s="1"/>
  <c r="AV77" i="3"/>
  <c r="G252" i="3"/>
  <c r="G117" i="3"/>
  <c r="G118" i="3" s="1"/>
  <c r="G126" i="3" s="1"/>
  <c r="Z124" i="3"/>
  <c r="Z36" i="3" s="1"/>
  <c r="Z369" i="3" s="1"/>
  <c r="G503" i="3"/>
  <c r="H309" i="3"/>
  <c r="H310" i="3"/>
  <c r="AR58" i="9"/>
  <c r="AE58" i="9"/>
  <c r="AY57" i="9"/>
  <c r="G332" i="3"/>
  <c r="H324" i="3" s="1"/>
  <c r="BC57" i="9"/>
  <c r="CK45" i="3" l="1"/>
  <c r="AS45" i="2"/>
  <c r="G508" i="3"/>
  <c r="G510" i="3" s="1"/>
  <c r="G348" i="3"/>
  <c r="G350" i="3" s="1"/>
  <c r="H336" i="3" s="1"/>
  <c r="G464" i="3"/>
  <c r="G253" i="3"/>
  <c r="G254" i="3" s="1"/>
  <c r="BV57" i="9" s="1"/>
  <c r="G177" i="3"/>
  <c r="G282" i="3" s="1"/>
  <c r="H13" i="3"/>
  <c r="H14" i="3" s="1"/>
  <c r="H58" i="9" s="1"/>
  <c r="BF57" i="9"/>
  <c r="BG57" i="9" s="1"/>
  <c r="AQ135" i="5"/>
  <c r="AR133" i="5"/>
  <c r="AR135" i="5" s="1"/>
  <c r="AR108" i="5"/>
  <c r="AQ164" i="2"/>
  <c r="CJ164" i="3" s="1"/>
  <c r="CJ151" i="3"/>
  <c r="AQ152" i="2"/>
  <c r="CK44" i="3"/>
  <c r="AR46" i="2"/>
  <c r="AS44" i="2"/>
  <c r="AQ110" i="5"/>
  <c r="AQ137" i="5" s="1"/>
  <c r="AQ362" i="1"/>
  <c r="AR151" i="2"/>
  <c r="AR451" i="2"/>
  <c r="AR242" i="2"/>
  <c r="CK61" i="3"/>
  <c r="AR13" i="5"/>
  <c r="AR209" i="5" s="1"/>
  <c r="AR288" i="2"/>
  <c r="AR441" i="2"/>
  <c r="E49" i="2"/>
  <c r="CL49" i="3"/>
  <c r="AS106" i="5"/>
  <c r="D101" i="5" s="1"/>
  <c r="AS61" i="2"/>
  <c r="E61" i="2" s="1"/>
  <c r="R47" i="9"/>
  <c r="R48" i="9" s="1"/>
  <c r="AA36" i="1" s="1"/>
  <c r="AU55" i="3"/>
  <c r="AV55" i="3" s="1"/>
  <c r="AV55" i="2"/>
  <c r="AQ48" i="2"/>
  <c r="CJ48" i="3" s="1"/>
  <c r="CJ46" i="3"/>
  <c r="AS61" i="3"/>
  <c r="R95" i="9"/>
  <c r="R96" i="9" s="1"/>
  <c r="AS126" i="5"/>
  <c r="E49" i="3"/>
  <c r="CL55" i="3"/>
  <c r="AS57" i="2"/>
  <c r="E57" i="2" s="1"/>
  <c r="AQ209" i="5"/>
  <c r="BJ367" i="3"/>
  <c r="Q124" i="2"/>
  <c r="AZ303" i="3"/>
  <c r="G95" i="2"/>
  <c r="R142" i="9"/>
  <c r="CK57" i="3"/>
  <c r="AR59" i="2"/>
  <c r="CK59" i="3" s="1"/>
  <c r="AV43" i="2"/>
  <c r="AU43" i="3"/>
  <c r="AV43" i="3" s="1"/>
  <c r="CI48" i="3"/>
  <c r="H339" i="3"/>
  <c r="G505" i="3"/>
  <c r="H327" i="3"/>
  <c r="H99" i="3" s="1"/>
  <c r="Z256" i="3"/>
  <c r="Z371" i="3"/>
  <c r="Z372" i="3" s="1"/>
  <c r="Z374" i="3" s="1"/>
  <c r="AA367" i="3" s="1"/>
  <c r="BM76" i="9"/>
  <c r="G467" i="3"/>
  <c r="G363" i="3"/>
  <c r="BI57" i="9"/>
  <c r="G255" i="3"/>
  <c r="G257" i="3" s="1"/>
  <c r="BW57" i="9" s="1"/>
  <c r="H15" i="3"/>
  <c r="AA16" i="3"/>
  <c r="H311" i="3"/>
  <c r="H88" i="3" s="1"/>
  <c r="H343" i="3"/>
  <c r="AR110" i="5" l="1"/>
  <c r="AR137" i="5" s="1"/>
  <c r="AR143" i="5" s="1"/>
  <c r="CL45" i="3"/>
  <c r="E45" i="2"/>
  <c r="H33" i="3"/>
  <c r="H34" i="3" s="1"/>
  <c r="O58" i="9" s="1"/>
  <c r="R143" i="9"/>
  <c r="R144" i="9" s="1"/>
  <c r="AU61" i="3"/>
  <c r="E49" i="5"/>
  <c r="M15" i="1"/>
  <c r="AC14" i="1"/>
  <c r="AU49" i="2"/>
  <c r="AV49" i="2" s="1"/>
  <c r="J101" i="1"/>
  <c r="J103" i="1" s="1"/>
  <c r="AU49" i="3"/>
  <c r="AV49" i="3" s="1"/>
  <c r="AS46" i="2"/>
  <c r="CL44" i="3"/>
  <c r="E44" i="2"/>
  <c r="BJ124" i="3"/>
  <c r="Q36" i="2"/>
  <c r="Q371" i="2"/>
  <c r="BJ371" i="3" s="1"/>
  <c r="BM19" i="9"/>
  <c r="BM115" i="9" s="1"/>
  <c r="Q125" i="2"/>
  <c r="E126" i="5"/>
  <c r="E116" i="5" s="1"/>
  <c r="E118" i="5" s="1"/>
  <c r="D116" i="5"/>
  <c r="D118" i="5" s="1"/>
  <c r="CL61" i="3"/>
  <c r="AS288" i="2"/>
  <c r="AS441" i="2"/>
  <c r="E441" i="2" s="1"/>
  <c r="AS242" i="2"/>
  <c r="E242" i="2" s="1"/>
  <c r="AR362" i="1"/>
  <c r="D362" i="1" s="1"/>
  <c r="AS13" i="5"/>
  <c r="AS151" i="2"/>
  <c r="AS451" i="2"/>
  <c r="E451" i="2" s="1"/>
  <c r="CK441" i="3"/>
  <c r="CK242" i="3"/>
  <c r="CK46" i="3"/>
  <c r="AR48" i="2"/>
  <c r="AU57" i="3"/>
  <c r="AV57" i="3" s="1"/>
  <c r="AV57" i="2"/>
  <c r="CL57" i="3"/>
  <c r="AS59" i="2"/>
  <c r="E106" i="5"/>
  <c r="E101" i="5" s="1"/>
  <c r="AS133" i="5"/>
  <c r="AS108" i="5"/>
  <c r="CK288" i="3"/>
  <c r="CK451" i="3"/>
  <c r="G457" i="2"/>
  <c r="AZ457" i="3" s="1"/>
  <c r="G103" i="2"/>
  <c r="H9" i="2"/>
  <c r="AZ95" i="3"/>
  <c r="G320" i="2"/>
  <c r="G249" i="2"/>
  <c r="AZ249" i="3" s="1"/>
  <c r="AQ9" i="9"/>
  <c r="D103" i="5"/>
  <c r="AS451" i="3"/>
  <c r="E451" i="3" s="1"/>
  <c r="AS288" i="3"/>
  <c r="E288" i="3" s="1"/>
  <c r="AU288" i="2" s="1"/>
  <c r="AS242" i="3"/>
  <c r="E242" i="3" s="1"/>
  <c r="AU242" i="2" s="1"/>
  <c r="AS151" i="3"/>
  <c r="AS193" i="5"/>
  <c r="E193" i="5" s="1"/>
  <c r="AS441" i="3"/>
  <c r="E441" i="3" s="1"/>
  <c r="AS128" i="5"/>
  <c r="E61" i="3"/>
  <c r="AR164" i="2"/>
  <c r="AR152" i="2"/>
  <c r="CK152" i="3" s="1"/>
  <c r="CK151" i="3"/>
  <c r="AQ143" i="5"/>
  <c r="CJ152" i="3"/>
  <c r="AA124" i="3"/>
  <c r="AA36" i="3" s="1"/>
  <c r="AA369" i="3" s="1"/>
  <c r="BL57" i="9"/>
  <c r="BR57" i="9" s="1"/>
  <c r="G284" i="3"/>
  <c r="H340" i="3"/>
  <c r="H127" i="3"/>
  <c r="H17" i="3"/>
  <c r="I58" i="9" s="1"/>
  <c r="H35" i="3"/>
  <c r="G364" i="3"/>
  <c r="H353" i="3" s="1"/>
  <c r="AZ363" i="3"/>
  <c r="G512" i="3"/>
  <c r="G506" i="3"/>
  <c r="H345" i="3"/>
  <c r="G474" i="3"/>
  <c r="G472" i="3"/>
  <c r="H312" i="3"/>
  <c r="H91" i="3"/>
  <c r="H328" i="3"/>
  <c r="H459" i="3"/>
  <c r="H295" i="3"/>
  <c r="AV58" i="9"/>
  <c r="I100" i="3"/>
  <c r="H30" i="3"/>
  <c r="I101" i="3"/>
  <c r="AU45" i="3" l="1"/>
  <c r="AV45" i="3" s="1"/>
  <c r="AV45" i="2"/>
  <c r="H344" i="3"/>
  <c r="H346" i="3" s="1"/>
  <c r="D121" i="5"/>
  <c r="D123" i="5" s="1"/>
  <c r="CL59" i="3"/>
  <c r="E59" i="2"/>
  <c r="E151" i="2"/>
  <c r="AS164" i="2"/>
  <c r="E164" i="2" s="1"/>
  <c r="CL151" i="3"/>
  <c r="AS152" i="2"/>
  <c r="E152" i="2" s="1"/>
  <c r="CL441" i="3"/>
  <c r="CK164" i="3"/>
  <c r="AT9" i="9"/>
  <c r="AT105" i="9" s="1"/>
  <c r="AQ105" i="9"/>
  <c r="H489" i="2"/>
  <c r="BA489" i="3" s="1"/>
  <c r="BA9" i="3"/>
  <c r="H96" i="2"/>
  <c r="AS110" i="5"/>
  <c r="E108" i="5"/>
  <c r="E415" i="1" s="1"/>
  <c r="CK48" i="3"/>
  <c r="AS209" i="5"/>
  <c r="E209" i="5" s="1"/>
  <c r="E13" i="5"/>
  <c r="CL288" i="3"/>
  <c r="Q369" i="2"/>
  <c r="Q256" i="2"/>
  <c r="BJ256" i="3" s="1"/>
  <c r="R16" i="2"/>
  <c r="BK16" i="3" s="1"/>
  <c r="BJ36" i="3"/>
  <c r="CL46" i="3"/>
  <c r="AS48" i="2"/>
  <c r="CL48" i="3" s="1"/>
  <c r="E46" i="2"/>
  <c r="AU61" i="2"/>
  <c r="AV61" i="2" s="1"/>
  <c r="AD14" i="1"/>
  <c r="E241" i="5"/>
  <c r="E294" i="5" s="1"/>
  <c r="G175" i="2"/>
  <c r="G331" i="2"/>
  <c r="G116" i="2"/>
  <c r="G250" i="2"/>
  <c r="AZ103" i="3"/>
  <c r="G461" i="2"/>
  <c r="AZ461" i="3" s="1"/>
  <c r="AW9" i="9"/>
  <c r="G501" i="2"/>
  <c r="H10" i="2"/>
  <c r="AS135" i="5"/>
  <c r="E135" i="5" s="1"/>
  <c r="E133" i="5"/>
  <c r="Q299" i="2"/>
  <c r="BJ299" i="3" s="1"/>
  <c r="BJ125" i="3"/>
  <c r="Q466" i="2"/>
  <c r="BJ466" i="3" s="1"/>
  <c r="AS130" i="5"/>
  <c r="E128" i="5"/>
  <c r="E422" i="1" s="1"/>
  <c r="F422" i="1" s="1"/>
  <c r="AS164" i="3"/>
  <c r="E164" i="3" s="1"/>
  <c r="AU164" i="2" s="1"/>
  <c r="AS152" i="3"/>
  <c r="E152" i="3" s="1"/>
  <c r="AU152" i="2" s="1"/>
  <c r="E151" i="3"/>
  <c r="AU151" i="2" s="1"/>
  <c r="AZ320" i="3"/>
  <c r="G321" i="2"/>
  <c r="E288" i="2"/>
  <c r="E121" i="5"/>
  <c r="E123" i="5" s="1"/>
  <c r="E103" i="5"/>
  <c r="AU242" i="3"/>
  <c r="AV242" i="3" s="1"/>
  <c r="AV242" i="2"/>
  <c r="CL451" i="3"/>
  <c r="CL242" i="3"/>
  <c r="AV44" i="2"/>
  <c r="AU44" i="3"/>
  <c r="AV44" i="3" s="1"/>
  <c r="AV61" i="3"/>
  <c r="H361" i="3"/>
  <c r="H37" i="3"/>
  <c r="H355" i="3"/>
  <c r="AG58" i="9"/>
  <c r="BK58" i="9"/>
  <c r="G28" i="3"/>
  <c r="G399" i="3"/>
  <c r="G402" i="3"/>
  <c r="G411" i="3" s="1"/>
  <c r="G418" i="3" s="1"/>
  <c r="G400" i="3"/>
  <c r="G409" i="3" s="1"/>
  <c r="G416" i="3" s="1"/>
  <c r="G401" i="3"/>
  <c r="G410" i="3" s="1"/>
  <c r="G417" i="3" s="1"/>
  <c r="AB16" i="3"/>
  <c r="G476" i="3"/>
  <c r="G478" i="3" s="1"/>
  <c r="AA371" i="3"/>
  <c r="AA372" i="3" s="1"/>
  <c r="AA374" i="3" s="1"/>
  <c r="AB367" i="3" s="1"/>
  <c r="BM77" i="9"/>
  <c r="H329" i="3"/>
  <c r="H330" i="3" s="1"/>
  <c r="H491" i="3"/>
  <c r="H455" i="3"/>
  <c r="H292" i="3"/>
  <c r="AP58" i="9"/>
  <c r="I93" i="3"/>
  <c r="H29" i="3"/>
  <c r="I92" i="3"/>
  <c r="I102" i="3"/>
  <c r="AA256" i="3"/>
  <c r="G513" i="3"/>
  <c r="H259" i="1" l="1"/>
  <c r="AZ321" i="3"/>
  <c r="H306" i="2"/>
  <c r="AZ501" i="3"/>
  <c r="G503" i="2"/>
  <c r="AZ250" i="3"/>
  <c r="G251" i="2"/>
  <c r="AS137" i="5"/>
  <c r="AS143" i="5" s="1"/>
  <c r="C143" i="5" s="1"/>
  <c r="H116" i="5" s="1"/>
  <c r="CL164" i="3"/>
  <c r="AY9" i="9"/>
  <c r="AY105" i="9" s="1"/>
  <c r="AW105" i="9"/>
  <c r="AZ116" i="3"/>
  <c r="H12" i="2"/>
  <c r="G252" i="2"/>
  <c r="AZ252" i="3" s="1"/>
  <c r="G347" i="2"/>
  <c r="G117" i="2"/>
  <c r="BB9" i="9"/>
  <c r="Q372" i="2"/>
  <c r="BJ369" i="3"/>
  <c r="E48" i="2"/>
  <c r="BA96" i="3"/>
  <c r="AE10" i="9"/>
  <c r="AE106" i="9" s="1"/>
  <c r="H310" i="2"/>
  <c r="BA310" i="3" s="1"/>
  <c r="AR10" i="9"/>
  <c r="AR106" i="9" s="1"/>
  <c r="AV151" i="2"/>
  <c r="AU151" i="3"/>
  <c r="AV151" i="3" s="1"/>
  <c r="E136" i="5"/>
  <c r="G332" i="2"/>
  <c r="AZ331" i="3"/>
  <c r="AU164" i="3"/>
  <c r="AV164" i="3" s="1"/>
  <c r="AV164" i="2"/>
  <c r="CL152" i="3"/>
  <c r="J113" i="1"/>
  <c r="AV59" i="2"/>
  <c r="AU59" i="3"/>
  <c r="AV59" i="3" s="1"/>
  <c r="AU288" i="3"/>
  <c r="AV288" i="3" s="1"/>
  <c r="AV288" i="2"/>
  <c r="AV152" i="2"/>
  <c r="AU152" i="3"/>
  <c r="AV152" i="3" s="1"/>
  <c r="BA10" i="3"/>
  <c r="H11" i="2"/>
  <c r="G281" i="2"/>
  <c r="AZ281" i="3" s="1"/>
  <c r="AZ175" i="3"/>
  <c r="AU46" i="3"/>
  <c r="AV46" i="3" s="1"/>
  <c r="AV46" i="2"/>
  <c r="E429" i="1"/>
  <c r="F429" i="1" s="1"/>
  <c r="F415" i="1"/>
  <c r="H362" i="3"/>
  <c r="AB124" i="3"/>
  <c r="AB36" i="3" s="1"/>
  <c r="H493" i="3"/>
  <c r="G403" i="3"/>
  <c r="G408" i="3"/>
  <c r="G170" i="3"/>
  <c r="G438" i="3"/>
  <c r="G169" i="3"/>
  <c r="G241" i="3"/>
  <c r="G139" i="3"/>
  <c r="G71" i="3"/>
  <c r="G191" i="5"/>
  <c r="M57" i="9"/>
  <c r="G392" i="5"/>
  <c r="G480" i="3"/>
  <c r="H440" i="3"/>
  <c r="P58" i="9"/>
  <c r="I94" i="3"/>
  <c r="H317" i="3"/>
  <c r="H31" i="3"/>
  <c r="I502" i="3"/>
  <c r="I460" i="3"/>
  <c r="I326" i="3"/>
  <c r="I296" i="3"/>
  <c r="I381" i="5"/>
  <c r="AU59" i="9"/>
  <c r="BA361" i="3"/>
  <c r="AZ332" i="3" l="1"/>
  <c r="H324" i="2"/>
  <c r="AU48" i="3"/>
  <c r="AV48" i="3" s="1"/>
  <c r="AV48" i="2"/>
  <c r="J112" i="1"/>
  <c r="J114" i="1" s="1"/>
  <c r="BF9" i="9"/>
  <c r="G348" i="2"/>
  <c r="G508" i="2"/>
  <c r="H13" i="2"/>
  <c r="AZ117" i="3"/>
  <c r="G118" i="2"/>
  <c r="G253" i="2"/>
  <c r="AZ348" i="3"/>
  <c r="G349" i="2"/>
  <c r="BU9" i="9"/>
  <c r="BU105" i="9" s="1"/>
  <c r="AZ251" i="3"/>
  <c r="H309" i="2"/>
  <c r="BA306" i="3"/>
  <c r="H311" i="2"/>
  <c r="BJ372" i="3"/>
  <c r="Q374" i="2"/>
  <c r="BA11" i="3"/>
  <c r="G10" i="9"/>
  <c r="G106" i="9" s="1"/>
  <c r="BB105" i="9"/>
  <c r="BC9" i="9"/>
  <c r="BC105" i="9" s="1"/>
  <c r="BA12" i="3"/>
  <c r="H32" i="2"/>
  <c r="G505" i="2"/>
  <c r="AZ503" i="3"/>
  <c r="AB369" i="3"/>
  <c r="AB256" i="3"/>
  <c r="AC16" i="3"/>
  <c r="I456" i="3"/>
  <c r="I308" i="3"/>
  <c r="I293" i="3"/>
  <c r="I176" i="3"/>
  <c r="I382" i="5"/>
  <c r="I380" i="5"/>
  <c r="I405" i="5"/>
  <c r="AN59" i="9"/>
  <c r="H494" i="3"/>
  <c r="H496" i="3" s="1"/>
  <c r="W57" i="9"/>
  <c r="H439" i="3"/>
  <c r="N58" i="9"/>
  <c r="G481" i="3"/>
  <c r="G171" i="3"/>
  <c r="G182" i="3" s="1"/>
  <c r="G192" i="3"/>
  <c r="G268" i="3"/>
  <c r="G210" i="3"/>
  <c r="G412" i="3"/>
  <c r="G415" i="3"/>
  <c r="AB371" i="3"/>
  <c r="BM78" i="9"/>
  <c r="H319" i="3"/>
  <c r="G387" i="5"/>
  <c r="G444" i="3"/>
  <c r="AB372" i="3" l="1"/>
  <c r="AB374" i="3" s="1"/>
  <c r="AC367" i="3" s="1"/>
  <c r="AC124" i="3" s="1"/>
  <c r="AZ505" i="3"/>
  <c r="G506" i="2"/>
  <c r="AZ253" i="3"/>
  <c r="G254" i="2"/>
  <c r="G510" i="2"/>
  <c r="AZ508" i="3"/>
  <c r="BA32" i="3"/>
  <c r="H343" i="2"/>
  <c r="BA344" i="3" s="1"/>
  <c r="H88" i="2"/>
  <c r="BA311" i="3"/>
  <c r="G126" i="2"/>
  <c r="G135" i="2" s="1"/>
  <c r="AZ118" i="3"/>
  <c r="G464" i="2"/>
  <c r="AZ464" i="3" s="1"/>
  <c r="G177" i="2"/>
  <c r="AZ349" i="3"/>
  <c r="G350" i="2"/>
  <c r="H336" i="2" s="1"/>
  <c r="AZ350" i="3"/>
  <c r="H335" i="2"/>
  <c r="BF105" i="9"/>
  <c r="BG9" i="9"/>
  <c r="BG105" i="9" s="1"/>
  <c r="BA324" i="3"/>
  <c r="H327" i="2"/>
  <c r="BJ374" i="3"/>
  <c r="R367" i="2"/>
  <c r="G390" i="1"/>
  <c r="BA309" i="3"/>
  <c r="H33" i="2"/>
  <c r="BA13" i="3"/>
  <c r="H14" i="2"/>
  <c r="G207" i="3"/>
  <c r="G153" i="3"/>
  <c r="G419" i="3"/>
  <c r="G482" i="3"/>
  <c r="G413" i="3"/>
  <c r="H497" i="3"/>
  <c r="I406" i="5"/>
  <c r="I408" i="5" s="1"/>
  <c r="H34" i="2" l="1"/>
  <c r="H344" i="2"/>
  <c r="BA33" i="3"/>
  <c r="G382" i="2"/>
  <c r="G469" i="2"/>
  <c r="AZ469" i="3" s="1"/>
  <c r="H18" i="2"/>
  <c r="BO9" i="9"/>
  <c r="AZ135" i="3"/>
  <c r="G258" i="2"/>
  <c r="BV9" i="9"/>
  <c r="BV105" i="9" s="1"/>
  <c r="AZ254" i="3"/>
  <c r="BA327" i="3"/>
  <c r="H99" i="2"/>
  <c r="H345" i="2"/>
  <c r="BA346" i="3" s="1"/>
  <c r="BA336" i="3"/>
  <c r="H339" i="2"/>
  <c r="BA340" i="3" s="1"/>
  <c r="BA335" i="3"/>
  <c r="AZ177" i="3"/>
  <c r="G282" i="2"/>
  <c r="G363" i="2"/>
  <c r="BI9" i="9"/>
  <c r="G467" i="2"/>
  <c r="AZ126" i="3"/>
  <c r="H15" i="2"/>
  <c r="G255" i="2"/>
  <c r="H10" i="9"/>
  <c r="H106" i="9" s="1"/>
  <c r="BA14" i="3"/>
  <c r="R124" i="2"/>
  <c r="BK367" i="3"/>
  <c r="H340" i="2"/>
  <c r="BA341" i="3" s="1"/>
  <c r="BA337" i="3"/>
  <c r="H91" i="2"/>
  <c r="H312" i="2"/>
  <c r="BA88" i="3"/>
  <c r="AZ510" i="3"/>
  <c r="G512" i="2"/>
  <c r="H498" i="3"/>
  <c r="G154" i="3"/>
  <c r="G156" i="3" s="1"/>
  <c r="G420" i="3"/>
  <c r="AC371" i="3"/>
  <c r="BM79" i="9"/>
  <c r="AC36" i="3"/>
  <c r="G212" i="3"/>
  <c r="AZ512" i="3" l="1"/>
  <c r="G513" i="2"/>
  <c r="H292" i="2"/>
  <c r="BA292" i="3" s="1"/>
  <c r="I92" i="2"/>
  <c r="AP10" i="9"/>
  <c r="AP106" i="9" s="1"/>
  <c r="I93" i="2"/>
  <c r="BB93" i="3" s="1"/>
  <c r="H455" i="2"/>
  <c r="BA455" i="3" s="1"/>
  <c r="BA91" i="3"/>
  <c r="H491" i="2"/>
  <c r="G260" i="1"/>
  <c r="A260" i="1" s="1"/>
  <c r="R125" i="2"/>
  <c r="BM20" i="9"/>
  <c r="BM116" i="9" s="1"/>
  <c r="BK124" i="3"/>
  <c r="R36" i="2"/>
  <c r="R371" i="2"/>
  <c r="BK371" i="3" s="1"/>
  <c r="H17" i="2"/>
  <c r="BA15" i="3"/>
  <c r="H127" i="2"/>
  <c r="H35" i="2"/>
  <c r="AZ364" i="3"/>
  <c r="G364" i="2"/>
  <c r="H353" i="2" s="1"/>
  <c r="AZ382" i="3"/>
  <c r="G383" i="2"/>
  <c r="G284" i="2"/>
  <c r="AZ282" i="3"/>
  <c r="BO105" i="9"/>
  <c r="BP9" i="9"/>
  <c r="BP105" i="9" s="1"/>
  <c r="G474" i="2"/>
  <c r="AZ467" i="3"/>
  <c r="G472" i="2"/>
  <c r="E260" i="1"/>
  <c r="J10" i="9"/>
  <c r="J106" i="9" s="1"/>
  <c r="BA18" i="3"/>
  <c r="H131" i="2"/>
  <c r="BA131" i="3" s="1"/>
  <c r="H346" i="2"/>
  <c r="BA347" i="3" s="1"/>
  <c r="BA345" i="3"/>
  <c r="BA312" i="3"/>
  <c r="H313" i="2"/>
  <c r="AZ255" i="3"/>
  <c r="G257" i="2"/>
  <c r="BI105" i="9"/>
  <c r="BL9" i="9"/>
  <c r="H459" i="2"/>
  <c r="BA459" i="3" s="1"/>
  <c r="H328" i="2"/>
  <c r="H30" i="2"/>
  <c r="I101" i="2"/>
  <c r="BB101" i="3" s="1"/>
  <c r="AV10" i="9"/>
  <c r="AV106" i="9" s="1"/>
  <c r="BA99" i="3"/>
  <c r="I100" i="2"/>
  <c r="H295" i="2"/>
  <c r="BA295" i="3" s="1"/>
  <c r="BX9" i="9"/>
  <c r="BX105" i="9" s="1"/>
  <c r="G175" i="5"/>
  <c r="AZ258" i="3"/>
  <c r="O10" i="9"/>
  <c r="O106" i="9" s="1"/>
  <c r="BA34" i="3"/>
  <c r="AC369" i="3"/>
  <c r="AC372" i="3" s="1"/>
  <c r="AC374" i="3" s="1"/>
  <c r="AD367" i="3" s="1"/>
  <c r="AC256" i="3"/>
  <c r="AD16" i="3"/>
  <c r="G218" i="3"/>
  <c r="G225" i="3"/>
  <c r="BL105" i="9" l="1"/>
  <c r="BR9" i="9"/>
  <c r="BR105" i="9" s="1"/>
  <c r="H128" i="2"/>
  <c r="H130" i="2"/>
  <c r="BA130" i="3" s="1"/>
  <c r="AZ383" i="3"/>
  <c r="H377" i="2"/>
  <c r="H361" i="2"/>
  <c r="H37" i="2"/>
  <c r="BA35" i="3"/>
  <c r="R299" i="2"/>
  <c r="BK299" i="3" s="1"/>
  <c r="BK125" i="3"/>
  <c r="R466" i="2"/>
  <c r="BK466" i="3" s="1"/>
  <c r="BB92" i="3"/>
  <c r="I94" i="2"/>
  <c r="BB100" i="3"/>
  <c r="I102" i="2"/>
  <c r="H329" i="2"/>
  <c r="BA329" i="3" s="1"/>
  <c r="BA30" i="3"/>
  <c r="G402" i="2"/>
  <c r="G28" i="2"/>
  <c r="G400" i="2"/>
  <c r="G401" i="2"/>
  <c r="AZ472" i="3"/>
  <c r="G399" i="2"/>
  <c r="BA127" i="3"/>
  <c r="AG10" i="9"/>
  <c r="AG106" i="9" s="1"/>
  <c r="H355" i="2"/>
  <c r="BK10" i="9"/>
  <c r="BK106" i="9" s="1"/>
  <c r="BK36" i="3"/>
  <c r="R369" i="2"/>
  <c r="S16" i="2"/>
  <c r="BL16" i="3" s="1"/>
  <c r="R256" i="2"/>
  <c r="BK256" i="3" s="1"/>
  <c r="BA328" i="3"/>
  <c r="BW9" i="9"/>
  <c r="BW105" i="9" s="1"/>
  <c r="AZ257" i="3"/>
  <c r="G391" i="1"/>
  <c r="BA353" i="3"/>
  <c r="AZ474" i="3"/>
  <c r="G476" i="2"/>
  <c r="AZ284" i="3"/>
  <c r="F359" i="1"/>
  <c r="BA17" i="3"/>
  <c r="I10" i="9"/>
  <c r="I106" i="9" s="1"/>
  <c r="BA491" i="3"/>
  <c r="G158" i="3"/>
  <c r="G159" i="3"/>
  <c r="AD124" i="3"/>
  <c r="AD36" i="3" s="1"/>
  <c r="G222" i="3"/>
  <c r="G221" i="3"/>
  <c r="G220" i="3"/>
  <c r="H330" i="2" l="1"/>
  <c r="BA330" i="3" s="1"/>
  <c r="BA128" i="3"/>
  <c r="H133" i="2"/>
  <c r="G403" i="2"/>
  <c r="AZ403" i="3" s="1"/>
  <c r="G408" i="2"/>
  <c r="AZ399" i="3"/>
  <c r="BB102" i="3"/>
  <c r="I378" i="5"/>
  <c r="I460" i="2"/>
  <c r="BB460" i="3" s="1"/>
  <c r="AU11" i="9"/>
  <c r="AU107" i="9" s="1"/>
  <c r="I296" i="2"/>
  <c r="BB296" i="3" s="1"/>
  <c r="I502" i="2"/>
  <c r="BB502" i="3" s="1"/>
  <c r="I326" i="2"/>
  <c r="BB326" i="3" s="1"/>
  <c r="P10" i="9"/>
  <c r="P106" i="9" s="1"/>
  <c r="BA37" i="3"/>
  <c r="G241" i="2"/>
  <c r="AZ241" i="3" s="1"/>
  <c r="M9" i="9"/>
  <c r="G390" i="5"/>
  <c r="G394" i="5" s="1"/>
  <c r="AZ28" i="3"/>
  <c r="G71" i="2"/>
  <c r="G11" i="5"/>
  <c r="G207" i="5" s="1"/>
  <c r="G438" i="2"/>
  <c r="G139" i="2"/>
  <c r="AZ139" i="3" s="1"/>
  <c r="G169" i="2"/>
  <c r="AZ476" i="3"/>
  <c r="G478" i="2"/>
  <c r="BA355" i="3"/>
  <c r="H362" i="2"/>
  <c r="AZ402" i="3"/>
  <c r="G411" i="2"/>
  <c r="BA362" i="3"/>
  <c r="BA356" i="3"/>
  <c r="BK369" i="3"/>
  <c r="R372" i="2"/>
  <c r="AZ401" i="3"/>
  <c r="G410" i="2"/>
  <c r="I456" i="2"/>
  <c r="BB456" i="3" s="1"/>
  <c r="I308" i="2"/>
  <c r="BB308" i="3" s="1"/>
  <c r="I379" i="5"/>
  <c r="I383" i="5" s="1"/>
  <c r="I293" i="2"/>
  <c r="BB293" i="3" s="1"/>
  <c r="BB94" i="3"/>
  <c r="AN11" i="9"/>
  <c r="AN107" i="9" s="1"/>
  <c r="I176" i="2"/>
  <c r="I377" i="5"/>
  <c r="BA377" i="3"/>
  <c r="AZ400" i="3"/>
  <c r="G409" i="2"/>
  <c r="AD369" i="3"/>
  <c r="AD256" i="3"/>
  <c r="AE16" i="3"/>
  <c r="G160" i="3"/>
  <c r="G223" i="3"/>
  <c r="G227" i="3" s="1"/>
  <c r="AD371" i="3"/>
  <c r="BM80" i="9"/>
  <c r="G162" i="3"/>
  <c r="AO10" i="9" l="1"/>
  <c r="BA133" i="3"/>
  <c r="H378" i="2"/>
  <c r="H172" i="5"/>
  <c r="H492" i="2"/>
  <c r="H180" i="2"/>
  <c r="H314" i="2"/>
  <c r="H38" i="2"/>
  <c r="H29" i="2"/>
  <c r="AD372" i="3"/>
  <c r="AD374" i="3" s="1"/>
  <c r="AE367" i="3" s="1"/>
  <c r="AE124" i="3" s="1"/>
  <c r="BK372" i="3"/>
  <c r="R374" i="2"/>
  <c r="AZ411" i="3"/>
  <c r="G418" i="2"/>
  <c r="AZ418" i="3" s="1"/>
  <c r="AZ169" i="3"/>
  <c r="F354" i="1"/>
  <c r="F368" i="1"/>
  <c r="AZ71" i="3"/>
  <c r="G386" i="5"/>
  <c r="G388" i="5" s="1"/>
  <c r="AZ410" i="3"/>
  <c r="G417" i="2"/>
  <c r="G480" i="2"/>
  <c r="AZ478" i="3"/>
  <c r="AZ438" i="3"/>
  <c r="G444" i="2"/>
  <c r="AZ444" i="3" s="1"/>
  <c r="G415" i="2"/>
  <c r="AZ408" i="3"/>
  <c r="G412" i="2"/>
  <c r="G416" i="2"/>
  <c r="AZ416" i="3" s="1"/>
  <c r="AZ409" i="3"/>
  <c r="BB176" i="3"/>
  <c r="H357" i="1"/>
  <c r="W9" i="9"/>
  <c r="M105" i="9"/>
  <c r="G161" i="3"/>
  <c r="G334" i="5"/>
  <c r="G228" i="3"/>
  <c r="W105" i="9" l="1"/>
  <c r="BA314" i="3"/>
  <c r="BA378" i="3"/>
  <c r="H31" i="2"/>
  <c r="BA29" i="3"/>
  <c r="H317" i="2"/>
  <c r="BA317" i="3" s="1"/>
  <c r="BA180" i="3"/>
  <c r="H283" i="2"/>
  <c r="H379" i="2"/>
  <c r="BA379" i="3" s="1"/>
  <c r="H173" i="5"/>
  <c r="BA38" i="3"/>
  <c r="Q10" i="9"/>
  <c r="Q106" i="9" s="1"/>
  <c r="H440" i="2"/>
  <c r="BA440" i="3" s="1"/>
  <c r="BA492" i="3"/>
  <c r="H494" i="2"/>
  <c r="BA494" i="3" s="1"/>
  <c r="H493" i="2"/>
  <c r="AO106" i="9"/>
  <c r="G413" i="2"/>
  <c r="AZ412" i="3"/>
  <c r="AZ480" i="3"/>
  <c r="G481" i="2"/>
  <c r="AZ417" i="3"/>
  <c r="G170" i="2"/>
  <c r="AZ415" i="3"/>
  <c r="G419" i="2"/>
  <c r="AZ419" i="3" s="1"/>
  <c r="BK374" i="3"/>
  <c r="S367" i="2"/>
  <c r="G163" i="3"/>
  <c r="AE371" i="3"/>
  <c r="BM81" i="9"/>
  <c r="AE36" i="3"/>
  <c r="H381" i="2" l="1"/>
  <c r="BA381" i="3" s="1"/>
  <c r="H319" i="2"/>
  <c r="BA319" i="3" s="1"/>
  <c r="BA493" i="3"/>
  <c r="H496" i="2"/>
  <c r="BA283" i="3"/>
  <c r="N10" i="9"/>
  <c r="N106" i="9" s="1"/>
  <c r="H439" i="2"/>
  <c r="BA439" i="3" s="1"/>
  <c r="BA31" i="3"/>
  <c r="AZ481" i="3"/>
  <c r="G482" i="2"/>
  <c r="AZ482" i="3" s="1"/>
  <c r="BL367" i="3"/>
  <c r="S124" i="2"/>
  <c r="F355" i="1"/>
  <c r="G210" i="2"/>
  <c r="G268" i="2"/>
  <c r="AZ268" i="3" s="1"/>
  <c r="AZ170" i="3"/>
  <c r="G171" i="2"/>
  <c r="G192" i="2"/>
  <c r="G420" i="2"/>
  <c r="AZ420" i="3" s="1"/>
  <c r="G165" i="3"/>
  <c r="G267" i="3" s="1"/>
  <c r="AE369" i="3"/>
  <c r="AE372" i="3" s="1"/>
  <c r="AE374" i="3" s="1"/>
  <c r="AF367" i="3" s="1"/>
  <c r="AE256" i="3"/>
  <c r="AF16" i="3"/>
  <c r="BA496" i="3" l="1"/>
  <c r="H497" i="2"/>
  <c r="S125" i="2"/>
  <c r="BL124" i="3"/>
  <c r="S36" i="2"/>
  <c r="S371" i="2"/>
  <c r="BL371" i="3" s="1"/>
  <c r="BM21" i="9"/>
  <c r="BM117" i="9" s="1"/>
  <c r="F366" i="1"/>
  <c r="AZ192" i="3"/>
  <c r="AZ210" i="3"/>
  <c r="F380" i="1"/>
  <c r="AZ171" i="3"/>
  <c r="G182" i="2"/>
  <c r="F356" i="1"/>
  <c r="F361" i="1" s="1"/>
  <c r="AF124" i="3"/>
  <c r="AF36" i="3" s="1"/>
  <c r="AF369" i="3" s="1"/>
  <c r="G183" i="3"/>
  <c r="G139" i="5"/>
  <c r="BA497" i="3" l="1"/>
  <c r="H498" i="2"/>
  <c r="BA498" i="3" s="1"/>
  <c r="BL36" i="3"/>
  <c r="S256" i="2"/>
  <c r="BL256" i="3" s="1"/>
  <c r="T16" i="2"/>
  <c r="BM16" i="3" s="1"/>
  <c r="S369" i="2"/>
  <c r="G207" i="2"/>
  <c r="G153" i="2"/>
  <c r="AZ182" i="3"/>
  <c r="BL125" i="3"/>
  <c r="S466" i="2"/>
  <c r="BL466" i="3" s="1"/>
  <c r="S299" i="2"/>
  <c r="BL299" i="3" s="1"/>
  <c r="AF256" i="3"/>
  <c r="AF371" i="3"/>
  <c r="AF372" i="3" s="1"/>
  <c r="AF374" i="3" s="1"/>
  <c r="AG367" i="3" s="1"/>
  <c r="BM82" i="9"/>
  <c r="G184" i="3"/>
  <c r="AG16" i="3"/>
  <c r="BL369" i="3" l="1"/>
  <c r="S372" i="2"/>
  <c r="G154" i="2"/>
  <c r="AZ153" i="3"/>
  <c r="G212" i="2"/>
  <c r="AZ207" i="3"/>
  <c r="AG124" i="3"/>
  <c r="AG36" i="3" s="1"/>
  <c r="G95" i="4"/>
  <c r="G266" i="3"/>
  <c r="G270" i="3" s="1"/>
  <c r="G191" i="3"/>
  <c r="G330" i="5"/>
  <c r="G398" i="5"/>
  <c r="AZ154" i="3" l="1"/>
  <c r="G156" i="2"/>
  <c r="BL372" i="3"/>
  <c r="S374" i="2"/>
  <c r="G218" i="2"/>
  <c r="AZ212" i="3"/>
  <c r="G225" i="2"/>
  <c r="AZ225" i="3" s="1"/>
  <c r="AG369" i="3"/>
  <c r="AH16" i="3"/>
  <c r="AG256" i="3"/>
  <c r="AG371" i="3"/>
  <c r="BM83" i="9"/>
  <c r="G193" i="3"/>
  <c r="BL374" i="3" l="1"/>
  <c r="T367" i="2"/>
  <c r="G159" i="2"/>
  <c r="AZ156" i="3"/>
  <c r="G158" i="2"/>
  <c r="G221" i="2"/>
  <c r="AZ221" i="3" s="1"/>
  <c r="G220" i="2"/>
  <c r="AZ218" i="3"/>
  <c r="G222" i="2"/>
  <c r="AZ222" i="3" s="1"/>
  <c r="G201" i="3"/>
  <c r="G197" i="3"/>
  <c r="G199" i="3"/>
  <c r="G195" i="3"/>
  <c r="G198" i="3"/>
  <c r="G200" i="3"/>
  <c r="G196" i="3"/>
  <c r="G64" i="4"/>
  <c r="G331" i="5"/>
  <c r="AG372" i="3"/>
  <c r="AG374" i="3" s="1"/>
  <c r="AH367" i="3" s="1"/>
  <c r="G223" i="2" l="1"/>
  <c r="AZ220" i="3"/>
  <c r="G160" i="2"/>
  <c r="AZ159" i="3"/>
  <c r="BM367" i="3"/>
  <c r="T124" i="2"/>
  <c r="G162" i="2"/>
  <c r="AZ162" i="3" s="1"/>
  <c r="AZ158" i="3"/>
  <c r="I65" i="4"/>
  <c r="G324" i="4"/>
  <c r="Q306" i="1"/>
  <c r="BV259" i="1"/>
  <c r="G204" i="3"/>
  <c r="G515" i="3" s="1"/>
  <c r="T306" i="1"/>
  <c r="AH124" i="3"/>
  <c r="G322" i="4"/>
  <c r="O306" i="1"/>
  <c r="BT259" i="1"/>
  <c r="G321" i="4"/>
  <c r="G202" i="3"/>
  <c r="N306" i="1"/>
  <c r="BS259" i="1"/>
  <c r="G326" i="4"/>
  <c r="S306" i="1"/>
  <c r="BX259" i="1"/>
  <c r="G325" i="4"/>
  <c r="R306" i="1"/>
  <c r="BW259" i="1"/>
  <c r="G323" i="4"/>
  <c r="P306" i="1"/>
  <c r="BU259" i="1"/>
  <c r="AZ160" i="3" l="1"/>
  <c r="G161" i="2"/>
  <c r="BM124" i="3"/>
  <c r="T36" i="2"/>
  <c r="T371" i="2"/>
  <c r="BM371" i="3" s="1"/>
  <c r="BM22" i="9"/>
  <c r="BM118" i="9" s="1"/>
  <c r="T125" i="2"/>
  <c r="G227" i="2"/>
  <c r="AZ223" i="3"/>
  <c r="AH371" i="3"/>
  <c r="BM84" i="9"/>
  <c r="AH36" i="3"/>
  <c r="BO259" i="1"/>
  <c r="V259" i="1"/>
  <c r="M306" i="1"/>
  <c r="U306" i="1" s="1"/>
  <c r="BN259" i="1"/>
  <c r="U259" i="1"/>
  <c r="G484" i="3"/>
  <c r="G422" i="3"/>
  <c r="G145" i="3"/>
  <c r="G332" i="5"/>
  <c r="G203" i="3"/>
  <c r="I69" i="4"/>
  <c r="I71" i="4"/>
  <c r="I70" i="4"/>
  <c r="I68" i="4"/>
  <c r="I67" i="4"/>
  <c r="BP259" i="1"/>
  <c r="W259" i="1"/>
  <c r="X259" i="1"/>
  <c r="BQ259" i="1"/>
  <c r="BL259" i="1"/>
  <c r="S259" i="1"/>
  <c r="BM259" i="1"/>
  <c r="T259" i="1"/>
  <c r="BM36" i="3" l="1"/>
  <c r="T256" i="2"/>
  <c r="BM256" i="3" s="1"/>
  <c r="U16" i="2"/>
  <c r="BN16" i="3" s="1"/>
  <c r="T369" i="2"/>
  <c r="T299" i="2"/>
  <c r="BM299" i="3" s="1"/>
  <c r="T466" i="2"/>
  <c r="BM466" i="3" s="1"/>
  <c r="BM125" i="3"/>
  <c r="AZ161" i="3"/>
  <c r="G163" i="2"/>
  <c r="F393" i="1"/>
  <c r="G89" i="5"/>
  <c r="G345" i="5" s="1"/>
  <c r="G228" i="2"/>
  <c r="AZ228" i="3" s="1"/>
  <c r="F385" i="1"/>
  <c r="F371" i="1"/>
  <c r="AZ227" i="3"/>
  <c r="H302" i="3"/>
  <c r="G244" i="3"/>
  <c r="G146" i="3"/>
  <c r="G129" i="5" s="1"/>
  <c r="G197" i="5"/>
  <c r="Z57" i="9"/>
  <c r="G229" i="3"/>
  <c r="G148" i="3"/>
  <c r="AH369" i="3"/>
  <c r="AH372" i="3" s="1"/>
  <c r="AH374" i="3" s="1"/>
  <c r="AI367" i="3" s="1"/>
  <c r="AH256" i="3"/>
  <c r="AI16" i="3"/>
  <c r="BK259" i="1"/>
  <c r="R259" i="1"/>
  <c r="G333" i="5"/>
  <c r="G516" i="3"/>
  <c r="G424" i="3"/>
  <c r="G485" i="3"/>
  <c r="I72" i="4"/>
  <c r="G425" i="3" l="1"/>
  <c r="I74" i="4"/>
  <c r="I272" i="3"/>
  <c r="BM369" i="3"/>
  <c r="T372" i="2"/>
  <c r="G165" i="2"/>
  <c r="AZ163" i="3"/>
  <c r="AI124" i="3"/>
  <c r="G245" i="3"/>
  <c r="I73" i="4"/>
  <c r="G248" i="3"/>
  <c r="H8" i="3"/>
  <c r="AJ57" i="9"/>
  <c r="AL57" i="9" s="1"/>
  <c r="G335" i="5"/>
  <c r="G198" i="5"/>
  <c r="G166" i="2" l="1"/>
  <c r="AZ166" i="3" s="1"/>
  <c r="G267" i="2"/>
  <c r="AZ267" i="3" s="1"/>
  <c r="G112" i="5"/>
  <c r="G140" i="5" s="1"/>
  <c r="G183" i="2"/>
  <c r="AZ165" i="3"/>
  <c r="BM372" i="3"/>
  <c r="T374" i="2"/>
  <c r="G486" i="3"/>
  <c r="H450" i="3"/>
  <c r="H447" i="3"/>
  <c r="H390" i="3"/>
  <c r="H84" i="3"/>
  <c r="H20" i="3"/>
  <c r="H373" i="5"/>
  <c r="H19" i="3"/>
  <c r="F58" i="9"/>
  <c r="K58" i="9" s="1"/>
  <c r="G199" i="5"/>
  <c r="G200" i="5" s="1"/>
  <c r="G260" i="3"/>
  <c r="AI371" i="3"/>
  <c r="BM85" i="9"/>
  <c r="AI36" i="3"/>
  <c r="G259" i="3"/>
  <c r="G369" i="5" s="1"/>
  <c r="BT57" i="9"/>
  <c r="BY57" i="9" s="1"/>
  <c r="F363" i="1" l="1"/>
  <c r="F364" i="1" s="1"/>
  <c r="F375" i="1"/>
  <c r="AZ183" i="3"/>
  <c r="G184" i="2"/>
  <c r="BM374" i="3"/>
  <c r="U367" i="2"/>
  <c r="H85" i="3"/>
  <c r="H238" i="3"/>
  <c r="H195" i="5"/>
  <c r="H394" i="3"/>
  <c r="H392" i="3"/>
  <c r="H393" i="3"/>
  <c r="H391" i="3"/>
  <c r="AI369" i="3"/>
  <c r="AI372" i="3" s="1"/>
  <c r="AI374" i="3" s="1"/>
  <c r="AI256" i="3"/>
  <c r="AJ16" i="3"/>
  <c r="G391" i="5"/>
  <c r="G393" i="5"/>
  <c r="H232" i="3"/>
  <c r="G261" i="3"/>
  <c r="H365" i="5"/>
  <c r="H190" i="5"/>
  <c r="BN367" i="3" l="1"/>
  <c r="U124" i="2"/>
  <c r="G85" i="5"/>
  <c r="G342" i="5" s="1"/>
  <c r="G94" i="4"/>
  <c r="G266" i="2"/>
  <c r="G397" i="5"/>
  <c r="G399" i="5"/>
  <c r="AZ184" i="3"/>
  <c r="G191" i="2"/>
  <c r="F374" i="1"/>
  <c r="F377" i="1" s="1"/>
  <c r="F382" i="1" s="1"/>
  <c r="F384" i="1" s="1"/>
  <c r="F367" i="1"/>
  <c r="H240" i="3"/>
  <c r="AD58" i="9"/>
  <c r="H470" i="3"/>
  <c r="H290" i="3"/>
  <c r="H287" i="3"/>
  <c r="G395" i="5"/>
  <c r="AJ367" i="3"/>
  <c r="G262" i="3"/>
  <c r="H395" i="3"/>
  <c r="G271" i="2" l="1"/>
  <c r="G270" i="2"/>
  <c r="U125" i="2"/>
  <c r="U371" i="2"/>
  <c r="BN371" i="3" s="1"/>
  <c r="BM23" i="9"/>
  <c r="BM119" i="9" s="1"/>
  <c r="BN124" i="3"/>
  <c r="U36" i="2"/>
  <c r="AZ191" i="3"/>
  <c r="G193" i="2"/>
  <c r="AZ266" i="3"/>
  <c r="H405" i="3"/>
  <c r="H396" i="3"/>
  <c r="H303" i="3"/>
  <c r="AJ124" i="3"/>
  <c r="F386" i="1"/>
  <c r="AI58" i="9"/>
  <c r="G86" i="4" l="1"/>
  <c r="G200" i="2"/>
  <c r="G196" i="2"/>
  <c r="G197" i="2"/>
  <c r="G198" i="2"/>
  <c r="G201" i="2"/>
  <c r="G199" i="2"/>
  <c r="G195" i="2"/>
  <c r="AZ193" i="3"/>
  <c r="G32" i="4"/>
  <c r="I33" i="4" s="1"/>
  <c r="G86" i="5"/>
  <c r="G343" i="5" s="1"/>
  <c r="AZ270" i="3"/>
  <c r="BN36" i="3"/>
  <c r="U369" i="2"/>
  <c r="V16" i="2"/>
  <c r="BO16" i="3" s="1"/>
  <c r="U256" i="2"/>
  <c r="BN256" i="3" s="1"/>
  <c r="U299" i="2"/>
  <c r="BN299" i="3" s="1"/>
  <c r="BN125" i="3"/>
  <c r="U466" i="2"/>
  <c r="BN466" i="3" s="1"/>
  <c r="H95" i="3"/>
  <c r="H103" i="3" s="1"/>
  <c r="AJ371" i="3"/>
  <c r="BM86" i="9"/>
  <c r="AJ36" i="3"/>
  <c r="G313" i="4" l="1"/>
  <c r="K259" i="1" s="1"/>
  <c r="AZ195" i="3"/>
  <c r="G202" i="2"/>
  <c r="D306" i="1"/>
  <c r="AZ197" i="3"/>
  <c r="G315" i="4"/>
  <c r="M259" i="1" s="1"/>
  <c r="F306" i="1"/>
  <c r="AZ199" i="3"/>
  <c r="H306" i="1"/>
  <c r="G317" i="4"/>
  <c r="O259" i="1" s="1"/>
  <c r="G306" i="1"/>
  <c r="AZ198" i="3"/>
  <c r="G316" i="4"/>
  <c r="N259" i="1" s="1"/>
  <c r="BN369" i="3"/>
  <c r="U372" i="2"/>
  <c r="I58" i="4"/>
  <c r="I55" i="4"/>
  <c r="I54" i="4"/>
  <c r="I57" i="4"/>
  <c r="I56" i="4"/>
  <c r="AZ196" i="3"/>
  <c r="G314" i="4"/>
  <c r="L259" i="1" s="1"/>
  <c r="E306" i="1"/>
  <c r="G89" i="4"/>
  <c r="G274" i="2" s="1"/>
  <c r="G88" i="4"/>
  <c r="G273" i="2" s="1"/>
  <c r="AZ201" i="3"/>
  <c r="G204" i="2"/>
  <c r="J306" i="1"/>
  <c r="G318" i="4"/>
  <c r="P259" i="1" s="1"/>
  <c r="AZ200" i="3"/>
  <c r="I306" i="1"/>
  <c r="H331" i="3"/>
  <c r="H461" i="3"/>
  <c r="AW58" i="9"/>
  <c r="H501" i="3"/>
  <c r="H250" i="3"/>
  <c r="I10" i="3"/>
  <c r="H116" i="3"/>
  <c r="H117" i="3" s="1"/>
  <c r="AJ369" i="3"/>
  <c r="AJ372" i="3" s="1"/>
  <c r="AJ374" i="3" s="1"/>
  <c r="AK367" i="3" s="1"/>
  <c r="AJ256" i="3"/>
  <c r="AK16" i="3"/>
  <c r="H457" i="3"/>
  <c r="H320" i="3"/>
  <c r="AQ58" i="9"/>
  <c r="H175" i="3"/>
  <c r="I9" i="3"/>
  <c r="H249" i="3"/>
  <c r="C306" i="1" l="1"/>
  <c r="K306" i="1" s="1"/>
  <c r="G515" i="2"/>
  <c r="AZ515" i="3" s="1"/>
  <c r="AZ204" i="3"/>
  <c r="F394" i="1"/>
  <c r="BN372" i="3"/>
  <c r="U374" i="2"/>
  <c r="F370" i="1"/>
  <c r="F372" i="1" s="1"/>
  <c r="AZ202" i="3"/>
  <c r="G87" i="5"/>
  <c r="G344" i="5" s="1"/>
  <c r="G203" i="2"/>
  <c r="G145" i="2"/>
  <c r="G484" i="2"/>
  <c r="G422" i="2"/>
  <c r="I59" i="4"/>
  <c r="H251" i="3"/>
  <c r="BU58" i="9" s="1"/>
  <c r="I489" i="3"/>
  <c r="I96" i="3"/>
  <c r="I11" i="3"/>
  <c r="G59" i="9" s="1"/>
  <c r="H321" i="3"/>
  <c r="I306" i="3" s="1"/>
  <c r="H348" i="3"/>
  <c r="BF58" i="9"/>
  <c r="H508" i="3"/>
  <c r="H253" i="3"/>
  <c r="I13" i="3"/>
  <c r="AY58" i="9"/>
  <c r="H281" i="3"/>
  <c r="H347" i="3"/>
  <c r="H118" i="3"/>
  <c r="H126" i="3" s="1"/>
  <c r="BB58" i="9"/>
  <c r="I12" i="3"/>
  <c r="H252" i="3"/>
  <c r="AT58" i="9"/>
  <c r="AK124" i="3"/>
  <c r="AK36" i="3" s="1"/>
  <c r="H503" i="3"/>
  <c r="H332" i="3"/>
  <c r="I324" i="3" s="1"/>
  <c r="I61" i="4" l="1"/>
  <c r="I272" i="2"/>
  <c r="AZ484" i="3"/>
  <c r="G485" i="2"/>
  <c r="G146" i="2"/>
  <c r="G244" i="2"/>
  <c r="G17" i="5"/>
  <c r="H302" i="2"/>
  <c r="BA302" i="3" s="1"/>
  <c r="AZ145" i="3"/>
  <c r="G229" i="2"/>
  <c r="G148" i="2"/>
  <c r="Z9" i="9"/>
  <c r="AZ422" i="3"/>
  <c r="G424" i="2"/>
  <c r="AZ424" i="3" s="1"/>
  <c r="H254" i="3"/>
  <c r="BV58" i="9" s="1"/>
  <c r="I60" i="4"/>
  <c r="G516" i="2"/>
  <c r="AZ203" i="3"/>
  <c r="G88" i="5"/>
  <c r="J259" i="1"/>
  <c r="V367" i="2"/>
  <c r="BN374" i="3"/>
  <c r="AK369" i="3"/>
  <c r="AK256" i="3"/>
  <c r="AL16" i="3"/>
  <c r="I33" i="3"/>
  <c r="BG58" i="9"/>
  <c r="BC58" i="9"/>
  <c r="H350" i="3"/>
  <c r="I336" i="3" s="1"/>
  <c r="I309" i="3"/>
  <c r="H464" i="3"/>
  <c r="H177" i="3"/>
  <c r="I14" i="3"/>
  <c r="H59" i="9" s="1"/>
  <c r="I32" i="3"/>
  <c r="H349" i="3"/>
  <c r="I335" i="3" s="1"/>
  <c r="I327" i="3"/>
  <c r="I99" i="3" s="1"/>
  <c r="AK371" i="3"/>
  <c r="BM87" i="9"/>
  <c r="H505" i="3"/>
  <c r="H510" i="3"/>
  <c r="I310" i="3"/>
  <c r="AR59" i="9"/>
  <c r="AE59" i="9"/>
  <c r="AZ146" i="3" l="1"/>
  <c r="G109" i="5"/>
  <c r="G90" i="5"/>
  <c r="G346" i="5" s="1"/>
  <c r="AZ229" i="3"/>
  <c r="G245" i="2"/>
  <c r="AZ244" i="3"/>
  <c r="Z105" i="9"/>
  <c r="AJ9" i="9"/>
  <c r="AL9" i="9" s="1"/>
  <c r="AZ485" i="3"/>
  <c r="G425" i="2"/>
  <c r="AZ425" i="3" s="1"/>
  <c r="BO367" i="3"/>
  <c r="V124" i="2"/>
  <c r="AZ516" i="3"/>
  <c r="G384" i="5"/>
  <c r="AZ148" i="3"/>
  <c r="G248" i="2"/>
  <c r="H8" i="2"/>
  <c r="G213" i="5"/>
  <c r="G18" i="5"/>
  <c r="H467" i="3"/>
  <c r="H474" i="3" s="1"/>
  <c r="H363" i="3"/>
  <c r="BI58" i="9"/>
  <c r="H255" i="3"/>
  <c r="H257" i="3" s="1"/>
  <c r="BW58" i="9" s="1"/>
  <c r="I15" i="3"/>
  <c r="I311" i="3"/>
  <c r="I88" i="3" s="1"/>
  <c r="I340" i="3"/>
  <c r="H512" i="3"/>
  <c r="I339" i="3"/>
  <c r="H506" i="3"/>
  <c r="I343" i="3"/>
  <c r="I345" i="3" s="1"/>
  <c r="I34" i="3"/>
  <c r="H282" i="3"/>
  <c r="I344" i="3"/>
  <c r="I346" i="3" s="1"/>
  <c r="I459" i="3"/>
  <c r="I328" i="3"/>
  <c r="I295" i="3"/>
  <c r="AV59" i="9"/>
  <c r="J100" i="3"/>
  <c r="J101" i="3"/>
  <c r="I30" i="3"/>
  <c r="AK372" i="3"/>
  <c r="AK374" i="3" s="1"/>
  <c r="AL367" i="3" s="1"/>
  <c r="H472" i="3" l="1"/>
  <c r="H402" i="3" s="1"/>
  <c r="H411" i="3" s="1"/>
  <c r="H418" i="3" s="1"/>
  <c r="G259" i="2"/>
  <c r="BT9" i="9"/>
  <c r="AZ248" i="3"/>
  <c r="G214" i="5"/>
  <c r="G19" i="5"/>
  <c r="BM24" i="9"/>
  <c r="BM120" i="9" s="1"/>
  <c r="BO124" i="3"/>
  <c r="V36" i="2"/>
  <c r="V371" i="2"/>
  <c r="BO371" i="3" s="1"/>
  <c r="V125" i="2"/>
  <c r="AJ105" i="9"/>
  <c r="AL105" i="9"/>
  <c r="H390" i="2"/>
  <c r="H19" i="2"/>
  <c r="H372" i="5"/>
  <c r="H374" i="5" s="1"/>
  <c r="G389" i="1"/>
  <c r="H84" i="2"/>
  <c r="H450" i="2"/>
  <c r="BA450" i="3" s="1"/>
  <c r="H20" i="2"/>
  <c r="F10" i="9"/>
  <c r="I260" i="1"/>
  <c r="BA8" i="3"/>
  <c r="H447" i="2"/>
  <c r="BA447" i="3" s="1"/>
  <c r="G486" i="2"/>
  <c r="AZ486" i="3" s="1"/>
  <c r="F373" i="1"/>
  <c r="AZ245" i="3"/>
  <c r="G260" i="2"/>
  <c r="I329" i="3"/>
  <c r="I330" i="3" s="1"/>
  <c r="O59" i="9"/>
  <c r="AL124" i="3"/>
  <c r="H284" i="3"/>
  <c r="H513" i="3"/>
  <c r="I312" i="3"/>
  <c r="I91" i="3"/>
  <c r="J102" i="3"/>
  <c r="BL58" i="9"/>
  <c r="H476" i="3"/>
  <c r="H478" i="3" s="1"/>
  <c r="I127" i="3"/>
  <c r="I17" i="3"/>
  <c r="I59" i="9" s="1"/>
  <c r="I35" i="3"/>
  <c r="H364" i="3"/>
  <c r="I353" i="3" s="1"/>
  <c r="BA363" i="3"/>
  <c r="H28" i="3" l="1"/>
  <c r="H400" i="3"/>
  <c r="H409" i="3" s="1"/>
  <c r="H416" i="3" s="1"/>
  <c r="H401" i="3"/>
  <c r="H410" i="3" s="1"/>
  <c r="H417" i="3" s="1"/>
  <c r="H170" i="3" s="1"/>
  <c r="H399" i="3"/>
  <c r="H408" i="3" s="1"/>
  <c r="AZ260" i="3"/>
  <c r="W16" i="2"/>
  <c r="BP16" i="3" s="1"/>
  <c r="V369" i="2"/>
  <c r="V256" i="2"/>
  <c r="BO256" i="3" s="1"/>
  <c r="BO36" i="3"/>
  <c r="H10" i="5"/>
  <c r="H206" i="5" s="1"/>
  <c r="H232" i="2"/>
  <c r="BA232" i="3" s="1"/>
  <c r="H364" i="5"/>
  <c r="H366" i="5" s="1"/>
  <c r="BA19" i="3"/>
  <c r="G261" i="2"/>
  <c r="AZ261" i="3" s="1"/>
  <c r="BO125" i="3"/>
  <c r="V466" i="2"/>
  <c r="BO466" i="3" s="1"/>
  <c r="V299" i="2"/>
  <c r="BO299" i="3" s="1"/>
  <c r="BY9" i="9"/>
  <c r="BY105" i="9" s="1"/>
  <c r="BT105" i="9"/>
  <c r="K10" i="9"/>
  <c r="F106" i="9"/>
  <c r="H15" i="5"/>
  <c r="H212" i="5" s="1"/>
  <c r="BA84" i="3"/>
  <c r="H238" i="2"/>
  <c r="H85" i="2"/>
  <c r="H394" i="2"/>
  <c r="BA394" i="3" s="1"/>
  <c r="BA390" i="3"/>
  <c r="H391" i="2"/>
  <c r="H393" i="2"/>
  <c r="BA393" i="3" s="1"/>
  <c r="H392" i="2"/>
  <c r="BA392" i="3" s="1"/>
  <c r="G20" i="5"/>
  <c r="G215" i="5"/>
  <c r="AZ259" i="3"/>
  <c r="G368" i="5"/>
  <c r="G370" i="5" s="1"/>
  <c r="G144" i="5" s="1"/>
  <c r="H480" i="3"/>
  <c r="J502" i="3"/>
  <c r="J460" i="3"/>
  <c r="J326" i="3"/>
  <c r="J296" i="3"/>
  <c r="J381" i="5"/>
  <c r="AU60" i="9"/>
  <c r="I491" i="3"/>
  <c r="I455" i="3"/>
  <c r="I292" i="3"/>
  <c r="AP59" i="9"/>
  <c r="I29" i="3"/>
  <c r="J92" i="3"/>
  <c r="J93" i="3"/>
  <c r="H438" i="3"/>
  <c r="H241" i="3"/>
  <c r="H139" i="3"/>
  <c r="H71" i="3"/>
  <c r="H169" i="3"/>
  <c r="H392" i="5"/>
  <c r="H191" i="5"/>
  <c r="M58" i="9"/>
  <c r="AL371" i="3"/>
  <c r="BM88" i="9"/>
  <c r="AL36" i="3"/>
  <c r="I361" i="3"/>
  <c r="I37" i="3"/>
  <c r="I355" i="3"/>
  <c r="BK59" i="9"/>
  <c r="AG59" i="9"/>
  <c r="BR58" i="9"/>
  <c r="K106" i="9" l="1"/>
  <c r="H403" i="3"/>
  <c r="G262" i="2"/>
  <c r="H395" i="2"/>
  <c r="BA391" i="3"/>
  <c r="H287" i="2"/>
  <c r="H470" i="2"/>
  <c r="BA470" i="3" s="1"/>
  <c r="BA85" i="3"/>
  <c r="H290" i="2"/>
  <c r="BA290" i="3" s="1"/>
  <c r="BO369" i="3"/>
  <c r="V372" i="2"/>
  <c r="H240" i="2"/>
  <c r="BA238" i="3"/>
  <c r="AD10" i="9"/>
  <c r="AD106" i="9" s="1"/>
  <c r="I362" i="3"/>
  <c r="H415" i="3"/>
  <c r="H412" i="3"/>
  <c r="I493" i="3"/>
  <c r="BB361" i="3"/>
  <c r="AL369" i="3"/>
  <c r="AL372" i="3" s="1"/>
  <c r="AL374" i="3" s="1"/>
  <c r="AM367" i="3" s="1"/>
  <c r="AM16" i="3"/>
  <c r="AL256" i="3"/>
  <c r="H192" i="3"/>
  <c r="H171" i="3"/>
  <c r="H444" i="3"/>
  <c r="J94" i="3"/>
  <c r="H481" i="3"/>
  <c r="I440" i="3"/>
  <c r="P59" i="9"/>
  <c r="W58" i="9"/>
  <c r="H387" i="5"/>
  <c r="I317" i="3"/>
  <c r="I31" i="3"/>
  <c r="H210" i="3"/>
  <c r="H268" i="3"/>
  <c r="V374" i="2" l="1"/>
  <c r="BO372" i="3"/>
  <c r="H303" i="2"/>
  <c r="BA287" i="3"/>
  <c r="AI10" i="9"/>
  <c r="AI106" i="9" s="1"/>
  <c r="BA240" i="3"/>
  <c r="H405" i="2"/>
  <c r="BA405" i="3" s="1"/>
  <c r="BA395" i="3"/>
  <c r="H396" i="2"/>
  <c r="BA396" i="3" s="1"/>
  <c r="J456" i="3"/>
  <c r="J308" i="3"/>
  <c r="J293" i="3"/>
  <c r="J176" i="3"/>
  <c r="J405" i="5"/>
  <c r="AN60" i="9"/>
  <c r="J382" i="5"/>
  <c r="J380" i="5"/>
  <c r="I494" i="3"/>
  <c r="I496" i="3" s="1"/>
  <c r="H419" i="3"/>
  <c r="AM124" i="3"/>
  <c r="I439" i="3"/>
  <c r="N59" i="9"/>
  <c r="I319" i="3"/>
  <c r="H182" i="3"/>
  <c r="H482" i="3"/>
  <c r="H413" i="3"/>
  <c r="H95" i="2" l="1"/>
  <c r="BA303" i="3"/>
  <c r="BO374" i="3"/>
  <c r="W367" i="2"/>
  <c r="I497" i="3"/>
  <c r="AM371" i="3"/>
  <c r="BM89" i="9"/>
  <c r="AM36" i="3"/>
  <c r="H153" i="3"/>
  <c r="H207" i="3"/>
  <c r="J406" i="5"/>
  <c r="J408" i="5" s="1"/>
  <c r="H420" i="3"/>
  <c r="H103" i="2" l="1"/>
  <c r="W124" i="2"/>
  <c r="BP367" i="3"/>
  <c r="I9" i="2"/>
  <c r="AQ10" i="9"/>
  <c r="BA95" i="3"/>
  <c r="H249" i="2"/>
  <c r="BA249" i="3" s="1"/>
  <c r="H457" i="2"/>
  <c r="BA457" i="3" s="1"/>
  <c r="H320" i="2"/>
  <c r="AM369" i="3"/>
  <c r="AM372" i="3" s="1"/>
  <c r="AM374" i="3" s="1"/>
  <c r="AN367" i="3" s="1"/>
  <c r="AM256" i="3"/>
  <c r="AN16" i="3"/>
  <c r="H212" i="3"/>
  <c r="H154" i="3"/>
  <c r="H156" i="3" s="1"/>
  <c r="I498" i="3"/>
  <c r="W371" i="2" l="1"/>
  <c r="BP371" i="3" s="1"/>
  <c r="W125" i="2"/>
  <c r="BP124" i="3"/>
  <c r="W36" i="2"/>
  <c r="BM25" i="9"/>
  <c r="BM121" i="9" s="1"/>
  <c r="H321" i="2"/>
  <c r="BA320" i="3"/>
  <c r="AQ106" i="9"/>
  <c r="AT10" i="9"/>
  <c r="AT106" i="9" s="1"/>
  <c r="AW10" i="9"/>
  <c r="I10" i="2"/>
  <c r="BA103" i="3"/>
  <c r="H331" i="2"/>
  <c r="H501" i="2"/>
  <c r="H250" i="2"/>
  <c r="H461" i="2"/>
  <c r="BA461" i="3" s="1"/>
  <c r="H116" i="2"/>
  <c r="I489" i="2"/>
  <c r="BB489" i="3" s="1"/>
  <c r="I96" i="2"/>
  <c r="BB9" i="3"/>
  <c r="H175" i="2"/>
  <c r="H218" i="3"/>
  <c r="H225" i="3"/>
  <c r="AN124" i="3"/>
  <c r="X16" i="2" l="1"/>
  <c r="W256" i="2"/>
  <c r="BP256" i="3" s="1"/>
  <c r="W369" i="2"/>
  <c r="BP36" i="3"/>
  <c r="AR11" i="9"/>
  <c r="AR107" i="9" s="1"/>
  <c r="BB96" i="3"/>
  <c r="I310" i="2"/>
  <c r="BB310" i="3" s="1"/>
  <c r="AE11" i="9"/>
  <c r="AE107" i="9" s="1"/>
  <c r="BA250" i="3"/>
  <c r="H251" i="2"/>
  <c r="I11" i="2"/>
  <c r="BB10" i="3"/>
  <c r="BA501" i="3"/>
  <c r="H503" i="2"/>
  <c r="AW106" i="9"/>
  <c r="AY10" i="9"/>
  <c r="AY106" i="9" s="1"/>
  <c r="BA321" i="3"/>
  <c r="H260" i="1"/>
  <c r="I306" i="2"/>
  <c r="BP125" i="3"/>
  <c r="W299" i="2"/>
  <c r="BP299" i="3" s="1"/>
  <c r="W466" i="2"/>
  <c r="BP466" i="3" s="1"/>
  <c r="H281" i="2"/>
  <c r="BA281" i="3" s="1"/>
  <c r="BA175" i="3"/>
  <c r="BB10" i="9"/>
  <c r="H117" i="2"/>
  <c r="H347" i="2"/>
  <c r="BA116" i="3"/>
  <c r="I12" i="2"/>
  <c r="H252" i="2"/>
  <c r="BA252" i="3" s="1"/>
  <c r="H332" i="2"/>
  <c r="BA331" i="3"/>
  <c r="AN371" i="3"/>
  <c r="BM90" i="9"/>
  <c r="AN36" i="3"/>
  <c r="H221" i="3"/>
  <c r="H220" i="3"/>
  <c r="H222" i="3"/>
  <c r="H159" i="3"/>
  <c r="H158" i="3"/>
  <c r="I324" i="2" l="1"/>
  <c r="BA332" i="3"/>
  <c r="BA348" i="3"/>
  <c r="H349" i="2"/>
  <c r="I311" i="2"/>
  <c r="BB306" i="3"/>
  <c r="I309" i="2"/>
  <c r="BB11" i="3"/>
  <c r="G11" i="9"/>
  <c r="G107" i="9" s="1"/>
  <c r="W372" i="2"/>
  <c r="BP369" i="3"/>
  <c r="BA117" i="3"/>
  <c r="BF10" i="9"/>
  <c r="I13" i="2"/>
  <c r="H348" i="2"/>
  <c r="H508" i="2"/>
  <c r="H253" i="2"/>
  <c r="BA253" i="3" s="1"/>
  <c r="H118" i="2"/>
  <c r="H505" i="2"/>
  <c r="BA503" i="3"/>
  <c r="BA251" i="3"/>
  <c r="BU10" i="9"/>
  <c r="BU106" i="9" s="1"/>
  <c r="I32" i="2"/>
  <c r="BB12" i="3"/>
  <c r="BB106" i="9"/>
  <c r="BC10" i="9"/>
  <c r="BC106" i="9" s="1"/>
  <c r="BQ16" i="3"/>
  <c r="J83" i="1"/>
  <c r="H223" i="3"/>
  <c r="H227" i="3" s="1"/>
  <c r="AN369" i="3"/>
  <c r="AN372" i="3" s="1"/>
  <c r="AN374" i="3" s="1"/>
  <c r="AO367" i="3" s="1"/>
  <c r="AO16" i="3"/>
  <c r="AN256" i="3"/>
  <c r="H160" i="3"/>
  <c r="H162" i="3"/>
  <c r="I343" i="2" l="1"/>
  <c r="BB344" i="3" s="1"/>
  <c r="BB32" i="3"/>
  <c r="H510" i="2"/>
  <c r="BA508" i="3"/>
  <c r="BA350" i="3"/>
  <c r="I335" i="2"/>
  <c r="H254" i="2"/>
  <c r="BA505" i="3"/>
  <c r="H506" i="2"/>
  <c r="H350" i="2"/>
  <c r="I336" i="2" s="1"/>
  <c r="BA349" i="3"/>
  <c r="BB309" i="3"/>
  <c r="H390" i="1"/>
  <c r="H177" i="2"/>
  <c r="H126" i="2"/>
  <c r="H464" i="2"/>
  <c r="BA464" i="3" s="1"/>
  <c r="BA118" i="3"/>
  <c r="I14" i="2"/>
  <c r="I33" i="2"/>
  <c r="I34" i="2" s="1"/>
  <c r="BB13" i="3"/>
  <c r="BP372" i="3"/>
  <c r="W374" i="2"/>
  <c r="K83" i="1"/>
  <c r="M83" i="1"/>
  <c r="L83" i="1"/>
  <c r="BG10" i="9"/>
  <c r="BG106" i="9" s="1"/>
  <c r="BF106" i="9"/>
  <c r="BB311" i="3"/>
  <c r="I88" i="2"/>
  <c r="BB324" i="3"/>
  <c r="I327" i="2"/>
  <c r="H161" i="3"/>
  <c r="AO124" i="3"/>
  <c r="AO36" i="3" s="1"/>
  <c r="AO369" i="3" s="1"/>
  <c r="H334" i="5"/>
  <c r="H228" i="3"/>
  <c r="O11" i="9" l="1"/>
  <c r="O107" i="9" s="1"/>
  <c r="BB34" i="3"/>
  <c r="BP374" i="3"/>
  <c r="X367" i="2"/>
  <c r="BB14" i="3"/>
  <c r="H11" i="9"/>
  <c r="H107" i="9" s="1"/>
  <c r="H363" i="2"/>
  <c r="H255" i="2"/>
  <c r="I15" i="2"/>
  <c r="H467" i="2"/>
  <c r="BA126" i="3"/>
  <c r="BI10" i="9"/>
  <c r="BA254" i="3"/>
  <c r="BV10" i="9"/>
  <c r="BV106" i="9" s="1"/>
  <c r="I312" i="2"/>
  <c r="I91" i="2"/>
  <c r="BB88" i="3"/>
  <c r="BA177" i="3"/>
  <c r="H282" i="2"/>
  <c r="BB337" i="3"/>
  <c r="I340" i="2"/>
  <c r="BB341" i="3" s="1"/>
  <c r="BA510" i="3"/>
  <c r="H512" i="2"/>
  <c r="I345" i="2"/>
  <c r="BB346" i="3" s="1"/>
  <c r="BB335" i="3"/>
  <c r="BB336" i="3"/>
  <c r="I339" i="2"/>
  <c r="BB340" i="3" s="1"/>
  <c r="I99" i="2"/>
  <c r="BB327" i="3"/>
  <c r="N83" i="1"/>
  <c r="I344" i="2"/>
  <c r="BB33" i="3"/>
  <c r="H135" i="2"/>
  <c r="AO371" i="3"/>
  <c r="AO372" i="3" s="1"/>
  <c r="AO374" i="3" s="1"/>
  <c r="AP367" i="3" s="1"/>
  <c r="BM91" i="9"/>
  <c r="H163" i="3"/>
  <c r="AP16" i="3"/>
  <c r="AO256" i="3"/>
  <c r="I459" i="2" l="1"/>
  <c r="BB459" i="3" s="1"/>
  <c r="BB99" i="3"/>
  <c r="J100" i="2"/>
  <c r="AV11" i="9"/>
  <c r="AV107" i="9" s="1"/>
  <c r="I295" i="2"/>
  <c r="BB295" i="3" s="1"/>
  <c r="I30" i="2"/>
  <c r="J101" i="2"/>
  <c r="BC101" i="3" s="1"/>
  <c r="I328" i="2"/>
  <c r="BB328" i="3" s="1"/>
  <c r="G261" i="1"/>
  <c r="A261" i="1" s="1"/>
  <c r="J93" i="2"/>
  <c r="BC93" i="3" s="1"/>
  <c r="I491" i="2"/>
  <c r="BB91" i="3"/>
  <c r="J92" i="2"/>
  <c r="I292" i="2"/>
  <c r="BB292" i="3" s="1"/>
  <c r="I455" i="2"/>
  <c r="BB455" i="3" s="1"/>
  <c r="AP11" i="9"/>
  <c r="AP107" i="9" s="1"/>
  <c r="BL10" i="9"/>
  <c r="BI106" i="9"/>
  <c r="BA255" i="3"/>
  <c r="H257" i="2"/>
  <c r="BQ367" i="3"/>
  <c r="X124" i="2"/>
  <c r="BB345" i="3"/>
  <c r="I346" i="2"/>
  <c r="BB347" i="3" s="1"/>
  <c r="H513" i="2"/>
  <c r="BA512" i="3"/>
  <c r="BA282" i="3"/>
  <c r="H284" i="2"/>
  <c r="I313" i="2"/>
  <c r="BB312" i="3"/>
  <c r="BA364" i="3"/>
  <c r="H364" i="2"/>
  <c r="I353" i="2" s="1"/>
  <c r="BA467" i="3"/>
  <c r="H469" i="2"/>
  <c r="BA469" i="3" s="1"/>
  <c r="H382" i="2"/>
  <c r="H258" i="2"/>
  <c r="BA135" i="3"/>
  <c r="BO10" i="9"/>
  <c r="I18" i="2"/>
  <c r="I127" i="2"/>
  <c r="I17" i="2"/>
  <c r="I35" i="2"/>
  <c r="BB15" i="3"/>
  <c r="AP124" i="3"/>
  <c r="AP36" i="3" s="1"/>
  <c r="AP369" i="3" s="1"/>
  <c r="H165" i="3"/>
  <c r="H267" i="3" s="1"/>
  <c r="BB17" i="3" l="1"/>
  <c r="I11" i="9"/>
  <c r="I107" i="9" s="1"/>
  <c r="H474" i="2"/>
  <c r="AG11" i="9"/>
  <c r="AG107" i="9" s="1"/>
  <c r="BB127" i="3"/>
  <c r="I355" i="2"/>
  <c r="BK11" i="9"/>
  <c r="BK107" i="9" s="1"/>
  <c r="H175" i="5"/>
  <c r="BX10" i="9"/>
  <c r="BX106" i="9" s="1"/>
  <c r="BA258" i="3"/>
  <c r="BM26" i="9"/>
  <c r="BM122" i="9" s="1"/>
  <c r="X36" i="2"/>
  <c r="X371" i="2"/>
  <c r="BQ371" i="3" s="1"/>
  <c r="BQ124" i="3"/>
  <c r="BB491" i="3"/>
  <c r="J102" i="2"/>
  <c r="BC100" i="3"/>
  <c r="E261" i="1"/>
  <c r="J11" i="9"/>
  <c r="J107" i="9" s="1"/>
  <c r="BB18" i="3"/>
  <c r="I131" i="2"/>
  <c r="BB131" i="3" s="1"/>
  <c r="BA382" i="3"/>
  <c r="H383" i="2"/>
  <c r="H472" i="2"/>
  <c r="I130" i="2"/>
  <c r="BB130" i="3" s="1"/>
  <c r="I128" i="2"/>
  <c r="BL106" i="9"/>
  <c r="BB30" i="3"/>
  <c r="I329" i="2"/>
  <c r="I37" i="2"/>
  <c r="BB35" i="3"/>
  <c r="I361" i="2"/>
  <c r="BO106" i="9"/>
  <c r="BP10" i="9"/>
  <c r="BP106" i="9" s="1"/>
  <c r="H391" i="1"/>
  <c r="BB353" i="3"/>
  <c r="BA284" i="3"/>
  <c r="G359" i="1"/>
  <c r="BA257" i="3"/>
  <c r="BW10" i="9"/>
  <c r="BW106" i="9" s="1"/>
  <c r="J94" i="2"/>
  <c r="BC92" i="3"/>
  <c r="H183" i="3"/>
  <c r="H139" i="5"/>
  <c r="AQ16" i="3"/>
  <c r="AP371" i="3"/>
  <c r="AP372" i="3" s="1"/>
  <c r="AP374" i="3" s="1"/>
  <c r="AQ367" i="3" s="1"/>
  <c r="BM92" i="9"/>
  <c r="AP256" i="3"/>
  <c r="BR10" i="9" l="1"/>
  <c r="BR106" i="9" s="1"/>
  <c r="BB128" i="3"/>
  <c r="I133" i="2"/>
  <c r="BQ36" i="3"/>
  <c r="Y16" i="2"/>
  <c r="BR16" i="3" s="1"/>
  <c r="X256" i="2"/>
  <c r="BQ256" i="3" s="1"/>
  <c r="X369" i="2"/>
  <c r="H399" i="2"/>
  <c r="H28" i="2"/>
  <c r="BA472" i="3"/>
  <c r="H401" i="2"/>
  <c r="H402" i="2"/>
  <c r="H400" i="2"/>
  <c r="BA474" i="3"/>
  <c r="H476" i="2"/>
  <c r="P11" i="9"/>
  <c r="P107" i="9" s="1"/>
  <c r="BB37" i="3"/>
  <c r="I377" i="2"/>
  <c r="BA383" i="3"/>
  <c r="J296" i="2"/>
  <c r="BC296" i="3" s="1"/>
  <c r="J326" i="2"/>
  <c r="BC326" i="3" s="1"/>
  <c r="BC102" i="3"/>
  <c r="J378" i="5"/>
  <c r="J502" i="2"/>
  <c r="BC502" i="3" s="1"/>
  <c r="AU12" i="9"/>
  <c r="AU108" i="9" s="1"/>
  <c r="J460" i="2"/>
  <c r="BC460" i="3" s="1"/>
  <c r="I362" i="2"/>
  <c r="BB355" i="3"/>
  <c r="J377" i="5"/>
  <c r="J379" i="5"/>
  <c r="J383" i="5" s="1"/>
  <c r="J176" i="2"/>
  <c r="J308" i="2"/>
  <c r="BC308" i="3" s="1"/>
  <c r="J293" i="2"/>
  <c r="BC293" i="3" s="1"/>
  <c r="BC94" i="3"/>
  <c r="J456" i="2"/>
  <c r="BC456" i="3" s="1"/>
  <c r="AN12" i="9"/>
  <c r="AN108" i="9" s="1"/>
  <c r="BB356" i="3"/>
  <c r="BB362" i="3"/>
  <c r="BB329" i="3"/>
  <c r="I330" i="2"/>
  <c r="BB330" i="3" s="1"/>
  <c r="AQ124" i="3"/>
  <c r="H184" i="3"/>
  <c r="AO11" i="9" l="1"/>
  <c r="I314" i="2"/>
  <c r="I378" i="2"/>
  <c r="I180" i="2"/>
  <c r="I172" i="5"/>
  <c r="BB133" i="3"/>
  <c r="I492" i="2"/>
  <c r="I29" i="2"/>
  <c r="I38" i="2"/>
  <c r="I357" i="1"/>
  <c r="BC176" i="3"/>
  <c r="BB377" i="3"/>
  <c r="BA400" i="3"/>
  <c r="H409" i="2"/>
  <c r="H169" i="2"/>
  <c r="H241" i="2"/>
  <c r="BA241" i="3" s="1"/>
  <c r="BA28" i="3"/>
  <c r="H71" i="2"/>
  <c r="H139" i="2"/>
  <c r="BA139" i="3" s="1"/>
  <c r="H438" i="2"/>
  <c r="H390" i="5"/>
  <c r="H394" i="5" s="1"/>
  <c r="H11" i="5"/>
  <c r="H207" i="5" s="1"/>
  <c r="M10" i="9"/>
  <c r="H403" i="2"/>
  <c r="BA403" i="3" s="1"/>
  <c r="H408" i="2"/>
  <c r="BA399" i="3"/>
  <c r="BA402" i="3"/>
  <c r="H411" i="2"/>
  <c r="BQ369" i="3"/>
  <c r="X372" i="2"/>
  <c r="BA476" i="3"/>
  <c r="H478" i="2"/>
  <c r="BA401" i="3"/>
  <c r="H410" i="2"/>
  <c r="H95" i="4"/>
  <c r="H266" i="3"/>
  <c r="H270" i="3" s="1"/>
  <c r="H191" i="3"/>
  <c r="H398" i="5"/>
  <c r="H330" i="5"/>
  <c r="AQ371" i="3"/>
  <c r="BM93" i="9"/>
  <c r="AQ36" i="3"/>
  <c r="I283" i="2" l="1"/>
  <c r="BB180" i="3"/>
  <c r="BB492" i="3"/>
  <c r="I494" i="2"/>
  <c r="BB494" i="3" s="1"/>
  <c r="I493" i="2"/>
  <c r="BB378" i="3"/>
  <c r="I173" i="5"/>
  <c r="Q11" i="9"/>
  <c r="Q107" i="9" s="1"/>
  <c r="BB38" i="3"/>
  <c r="I379" i="2"/>
  <c r="BB379" i="3" s="1"/>
  <c r="I440" i="2"/>
  <c r="BB440" i="3" s="1"/>
  <c r="BB314" i="3"/>
  <c r="BB29" i="3"/>
  <c r="I317" i="2"/>
  <c r="BB317" i="3" s="1"/>
  <c r="I31" i="2"/>
  <c r="AO107" i="9"/>
  <c r="BA438" i="3"/>
  <c r="H444" i="2"/>
  <c r="BA444" i="3" s="1"/>
  <c r="M106" i="9"/>
  <c r="W10" i="9"/>
  <c r="H417" i="2"/>
  <c r="BA410" i="3"/>
  <c r="BQ372" i="3"/>
  <c r="X374" i="2"/>
  <c r="H386" i="5"/>
  <c r="H388" i="5" s="1"/>
  <c r="G368" i="1"/>
  <c r="BA71" i="3"/>
  <c r="BA409" i="3"/>
  <c r="H416" i="2"/>
  <c r="BA416" i="3" s="1"/>
  <c r="BA478" i="3"/>
  <c r="H480" i="2"/>
  <c r="BA411" i="3"/>
  <c r="H418" i="2"/>
  <c r="BA418" i="3" s="1"/>
  <c r="BA169" i="3"/>
  <c r="G354" i="1"/>
  <c r="H412" i="2"/>
  <c r="BA412" i="3" s="1"/>
  <c r="H415" i="2"/>
  <c r="BA408" i="3"/>
  <c r="AQ369" i="3"/>
  <c r="AQ372" i="3" s="1"/>
  <c r="AQ374" i="3" s="1"/>
  <c r="AR367" i="3" s="1"/>
  <c r="AQ256" i="3"/>
  <c r="AR16" i="3"/>
  <c r="H193" i="3"/>
  <c r="W106" i="9" l="1"/>
  <c r="I496" i="2"/>
  <c r="BB493" i="3"/>
  <c r="I319" i="2"/>
  <c r="BB319" i="3" s="1"/>
  <c r="I381" i="2"/>
  <c r="BB381" i="3" s="1"/>
  <c r="I439" i="2"/>
  <c r="BB439" i="3" s="1"/>
  <c r="N11" i="9"/>
  <c r="N107" i="9" s="1"/>
  <c r="BB31" i="3"/>
  <c r="BB283" i="3"/>
  <c r="H170" i="2"/>
  <c r="BA417" i="3"/>
  <c r="H413" i="2"/>
  <c r="BQ374" i="3"/>
  <c r="Y367" i="2"/>
  <c r="BA415" i="3"/>
  <c r="H419" i="2"/>
  <c r="BA419" i="3" s="1"/>
  <c r="H481" i="2"/>
  <c r="BA480" i="3"/>
  <c r="H200" i="3"/>
  <c r="H196" i="3"/>
  <c r="H198" i="3"/>
  <c r="H199" i="3"/>
  <c r="H201" i="3"/>
  <c r="H195" i="3"/>
  <c r="H197" i="3"/>
  <c r="H64" i="4"/>
  <c r="H331" i="5"/>
  <c r="AR124" i="3"/>
  <c r="I497" i="2" l="1"/>
  <c r="BB496" i="3"/>
  <c r="H420" i="2"/>
  <c r="BA420" i="3" s="1"/>
  <c r="H482" i="2"/>
  <c r="BA482" i="3" s="1"/>
  <c r="BA481" i="3"/>
  <c r="Y124" i="2"/>
  <c r="BR367" i="3"/>
  <c r="H268" i="2"/>
  <c r="BA268" i="3" s="1"/>
  <c r="BA170" i="3"/>
  <c r="H210" i="2"/>
  <c r="G355" i="1"/>
  <c r="H192" i="2"/>
  <c r="H171" i="2"/>
  <c r="H323" i="4"/>
  <c r="BU260" i="1"/>
  <c r="P307" i="1"/>
  <c r="AR371" i="3"/>
  <c r="BM94" i="9"/>
  <c r="J65" i="4"/>
  <c r="H322" i="4"/>
  <c r="O307" i="1"/>
  <c r="BT260" i="1"/>
  <c r="H204" i="3"/>
  <c r="H515" i="3" s="1"/>
  <c r="T307" i="1"/>
  <c r="H326" i="4"/>
  <c r="S307" i="1"/>
  <c r="BX260" i="1"/>
  <c r="H324" i="4"/>
  <c r="Q307" i="1"/>
  <c r="BV260" i="1"/>
  <c r="AR36" i="3"/>
  <c r="H321" i="4"/>
  <c r="H202" i="3"/>
  <c r="BS260" i="1"/>
  <c r="N307" i="1"/>
  <c r="H325" i="4"/>
  <c r="BW260" i="1"/>
  <c r="R307" i="1"/>
  <c r="I498" i="2" l="1"/>
  <c r="BB498" i="3" s="1"/>
  <c r="BB497" i="3"/>
  <c r="BA171" i="3"/>
  <c r="G356" i="1"/>
  <c r="G361" i="1" s="1"/>
  <c r="H182" i="2"/>
  <c r="G380" i="1"/>
  <c r="BA210" i="3"/>
  <c r="BA192" i="3"/>
  <c r="G366" i="1"/>
  <c r="BR124" i="3"/>
  <c r="Y371" i="2"/>
  <c r="BR371" i="3" s="1"/>
  <c r="BM27" i="9"/>
  <c r="BM123" i="9" s="1"/>
  <c r="Y36" i="2"/>
  <c r="BM260" i="1"/>
  <c r="T260" i="1"/>
  <c r="V260" i="1"/>
  <c r="BO260" i="1"/>
  <c r="H484" i="3"/>
  <c r="H422" i="3"/>
  <c r="H145" i="3"/>
  <c r="H332" i="5"/>
  <c r="H203" i="3"/>
  <c r="BQ260" i="1"/>
  <c r="X260" i="1"/>
  <c r="AR369" i="3"/>
  <c r="AR372" i="3" s="1"/>
  <c r="AR374" i="3" s="1"/>
  <c r="AS367" i="3" s="1"/>
  <c r="AR256" i="3"/>
  <c r="AS16" i="3"/>
  <c r="BN260" i="1"/>
  <c r="U260" i="1"/>
  <c r="BL260" i="1"/>
  <c r="S260" i="1"/>
  <c r="J68" i="4"/>
  <c r="J67" i="4"/>
  <c r="J69" i="4"/>
  <c r="J71" i="4"/>
  <c r="J70" i="4"/>
  <c r="BP260" i="1"/>
  <c r="W260" i="1"/>
  <c r="M307" i="1"/>
  <c r="U307" i="1" s="1"/>
  <c r="Z16" i="2" l="1"/>
  <c r="BS16" i="3" s="1"/>
  <c r="Y256" i="2"/>
  <c r="BR256" i="3" s="1"/>
  <c r="BR36" i="3"/>
  <c r="Y369" i="2"/>
  <c r="H153" i="2"/>
  <c r="BA182" i="3"/>
  <c r="H207" i="2"/>
  <c r="H485" i="3"/>
  <c r="J72" i="4"/>
  <c r="AS124" i="3"/>
  <c r="H244" i="3"/>
  <c r="I302" i="3"/>
  <c r="H146" i="3"/>
  <c r="H129" i="5" s="1"/>
  <c r="Z58" i="9"/>
  <c r="H197" i="5"/>
  <c r="H229" i="3"/>
  <c r="H148" i="3"/>
  <c r="R260" i="1"/>
  <c r="BK260" i="1"/>
  <c r="H333" i="5"/>
  <c r="H516" i="3"/>
  <c r="H424" i="3"/>
  <c r="J74" i="4" l="1"/>
  <c r="J272" i="3"/>
  <c r="Y372" i="2"/>
  <c r="BR369" i="3"/>
  <c r="H212" i="2"/>
  <c r="BA207" i="3"/>
  <c r="H154" i="2"/>
  <c r="BA153" i="3"/>
  <c r="J73" i="4"/>
  <c r="AJ58" i="9"/>
  <c r="AL58" i="9" s="1"/>
  <c r="AS371" i="3"/>
  <c r="E371" i="3" s="1"/>
  <c r="BM95" i="9"/>
  <c r="BM96" i="9" s="1"/>
  <c r="E124" i="3"/>
  <c r="H425" i="3"/>
  <c r="AS36" i="3"/>
  <c r="H335" i="5"/>
  <c r="H248" i="3"/>
  <c r="I8" i="3"/>
  <c r="H198" i="5"/>
  <c r="H245" i="3"/>
  <c r="H218" i="2" l="1"/>
  <c r="H225" i="2"/>
  <c r="BA225" i="3" s="1"/>
  <c r="BA212" i="3"/>
  <c r="BA154" i="3"/>
  <c r="H156" i="2"/>
  <c r="BR372" i="3"/>
  <c r="Y374" i="2"/>
  <c r="H259" i="3"/>
  <c r="H369" i="5" s="1"/>
  <c r="BT58" i="9"/>
  <c r="BY58" i="9" s="1"/>
  <c r="H199" i="5"/>
  <c r="H200" i="5" s="1"/>
  <c r="AS369" i="3"/>
  <c r="E36" i="3"/>
  <c r="AS256" i="3"/>
  <c r="AU371" i="2"/>
  <c r="AU124" i="2"/>
  <c r="H260" i="3"/>
  <c r="H486" i="3"/>
  <c r="I447" i="3"/>
  <c r="I450" i="3"/>
  <c r="I390" i="3"/>
  <c r="I20" i="3"/>
  <c r="I19" i="3"/>
  <c r="I373" i="5"/>
  <c r="F59" i="9"/>
  <c r="K59" i="9" s="1"/>
  <c r="I84" i="3"/>
  <c r="E256" i="3"/>
  <c r="AU256" i="2" l="1"/>
  <c r="E16" i="3"/>
  <c r="BR374" i="3"/>
  <c r="Z367" i="2"/>
  <c r="H159" i="2"/>
  <c r="BA156" i="3"/>
  <c r="H158" i="2"/>
  <c r="H220" i="2"/>
  <c r="BA218" i="3"/>
  <c r="H222" i="2"/>
  <c r="BA222" i="3" s="1"/>
  <c r="H221" i="2"/>
  <c r="BA221" i="3" s="1"/>
  <c r="H261" i="3"/>
  <c r="H262" i="3" s="1"/>
  <c r="I232" i="3"/>
  <c r="I365" i="5"/>
  <c r="I190" i="5"/>
  <c r="I238" i="3"/>
  <c r="I85" i="3"/>
  <c r="I195" i="5"/>
  <c r="AU36" i="2"/>
  <c r="H250" i="5"/>
  <c r="E369" i="3"/>
  <c r="AS372" i="3"/>
  <c r="AS374" i="3" s="1"/>
  <c r="I394" i="3"/>
  <c r="I392" i="3"/>
  <c r="I393" i="3"/>
  <c r="I391" i="3"/>
  <c r="H391" i="5"/>
  <c r="H393" i="5"/>
  <c r="E374" i="3"/>
  <c r="AU374" i="2" l="1"/>
  <c r="AU16" i="2"/>
  <c r="AU16" i="3"/>
  <c r="AV16" i="3" s="1"/>
  <c r="BA159" i="3"/>
  <c r="H160" i="2"/>
  <c r="H223" i="2"/>
  <c r="BA220" i="3"/>
  <c r="BS367" i="3"/>
  <c r="Z124" i="2"/>
  <c r="H162" i="2"/>
  <c r="BA162" i="3" s="1"/>
  <c r="BA158" i="3"/>
  <c r="H395" i="5"/>
  <c r="I395" i="3"/>
  <c r="I470" i="3"/>
  <c r="I290" i="3"/>
  <c r="I287" i="3"/>
  <c r="AU369" i="2"/>
  <c r="I240" i="3"/>
  <c r="AD59" i="9"/>
  <c r="H227" i="2" l="1"/>
  <c r="BA223" i="3"/>
  <c r="BM28" i="9"/>
  <c r="BM124" i="9" s="1"/>
  <c r="Z371" i="2"/>
  <c r="BS371" i="3" s="1"/>
  <c r="Z36" i="2"/>
  <c r="BS124" i="3"/>
  <c r="BA160" i="3"/>
  <c r="H161" i="2"/>
  <c r="I303" i="3"/>
  <c r="I396" i="3"/>
  <c r="I405" i="3"/>
  <c r="AI59" i="9"/>
  <c r="H163" i="2" l="1"/>
  <c r="BA161" i="3"/>
  <c r="Z369" i="2"/>
  <c r="AA16" i="2"/>
  <c r="BT16" i="3" s="1"/>
  <c r="Z256" i="2"/>
  <c r="BS256" i="3" s="1"/>
  <c r="BS36" i="3"/>
  <c r="G371" i="1"/>
  <c r="G393" i="1"/>
  <c r="BA227" i="3"/>
  <c r="H89" i="5"/>
  <c r="H345" i="5" s="1"/>
  <c r="G385" i="1"/>
  <c r="H228" i="2"/>
  <c r="BA228" i="3" s="1"/>
  <c r="I95" i="3"/>
  <c r="BS369" i="3" l="1"/>
  <c r="Z372" i="2"/>
  <c r="H165" i="2"/>
  <c r="BA163" i="3"/>
  <c r="I457" i="3"/>
  <c r="I320" i="3"/>
  <c r="AQ59" i="9"/>
  <c r="I249" i="3"/>
  <c r="J9" i="3"/>
  <c r="I103" i="3"/>
  <c r="I116" i="3" s="1"/>
  <c r="H166" i="2" l="1"/>
  <c r="BA166" i="3" s="1"/>
  <c r="H267" i="2"/>
  <c r="BA267" i="3" s="1"/>
  <c r="H112" i="5"/>
  <c r="H140" i="5" s="1"/>
  <c r="BA165" i="3"/>
  <c r="H183" i="2"/>
  <c r="BS372" i="3"/>
  <c r="Z374" i="2"/>
  <c r="I347" i="3"/>
  <c r="BB59" i="9"/>
  <c r="I252" i="3"/>
  <c r="J12" i="3"/>
  <c r="I321" i="3"/>
  <c r="J306" i="3" s="1"/>
  <c r="I175" i="3"/>
  <c r="I117" i="3"/>
  <c r="I461" i="3"/>
  <c r="I331" i="3"/>
  <c r="AW59" i="9"/>
  <c r="I501" i="3"/>
  <c r="J10" i="3"/>
  <c r="J11" i="3" s="1"/>
  <c r="G60" i="9" s="1"/>
  <c r="I250" i="3"/>
  <c r="I251" i="3" s="1"/>
  <c r="BU59" i="9" s="1"/>
  <c r="J489" i="3"/>
  <c r="J96" i="3"/>
  <c r="AT59" i="9"/>
  <c r="G375" i="1" l="1"/>
  <c r="BA183" i="3"/>
  <c r="H184" i="2"/>
  <c r="G363" i="1"/>
  <c r="G364" i="1" s="1"/>
  <c r="BS374" i="3"/>
  <c r="AA367" i="2"/>
  <c r="J310" i="3"/>
  <c r="J311" i="3" s="1"/>
  <c r="J88" i="3" s="1"/>
  <c r="AR60" i="9"/>
  <c r="AE60" i="9"/>
  <c r="I503" i="3"/>
  <c r="I281" i="3"/>
  <c r="I348" i="3"/>
  <c r="BF59" i="9"/>
  <c r="I508" i="3"/>
  <c r="I253" i="3"/>
  <c r="I254" i="3" s="1"/>
  <c r="BV59" i="9" s="1"/>
  <c r="J13" i="3"/>
  <c r="J14" i="3" s="1"/>
  <c r="H60" i="9" s="1"/>
  <c r="BC59" i="9"/>
  <c r="AY59" i="9"/>
  <c r="J32" i="3"/>
  <c r="I118" i="3"/>
  <c r="I126" i="3" s="1"/>
  <c r="I332" i="3"/>
  <c r="J324" i="3" s="1"/>
  <c r="J309" i="3"/>
  <c r="I349" i="3"/>
  <c r="J335" i="3" s="1"/>
  <c r="G374" i="1" l="1"/>
  <c r="G377" i="1" s="1"/>
  <c r="G382" i="1" s="1"/>
  <c r="G384" i="1" s="1"/>
  <c r="G386" i="1" s="1"/>
  <c r="G367" i="1"/>
  <c r="H85" i="5"/>
  <c r="H342" i="5" s="1"/>
  <c r="H94" i="4"/>
  <c r="H191" i="2"/>
  <c r="H397" i="5"/>
  <c r="H399" i="5"/>
  <c r="BA184" i="3"/>
  <c r="H266" i="2"/>
  <c r="BT367" i="3"/>
  <c r="AA124" i="2"/>
  <c r="I350" i="3"/>
  <c r="J336" i="3" s="1"/>
  <c r="J339" i="3"/>
  <c r="J312" i="3"/>
  <c r="J91" i="3"/>
  <c r="I510" i="3"/>
  <c r="I505" i="3"/>
  <c r="J343" i="3"/>
  <c r="J345" i="3" s="1"/>
  <c r="J327" i="3"/>
  <c r="J99" i="3" s="1"/>
  <c r="I464" i="3"/>
  <c r="I177" i="3"/>
  <c r="J33" i="3"/>
  <c r="J34" i="3" s="1"/>
  <c r="BG59" i="9"/>
  <c r="H271" i="2" l="1"/>
  <c r="H270" i="2"/>
  <c r="BT124" i="3"/>
  <c r="BM29" i="9"/>
  <c r="BM125" i="9" s="1"/>
  <c r="AA371" i="2"/>
  <c r="BT371" i="3" s="1"/>
  <c r="AA36" i="2"/>
  <c r="BA266" i="3"/>
  <c r="BA191" i="3"/>
  <c r="H193" i="2"/>
  <c r="O60" i="9"/>
  <c r="J459" i="3"/>
  <c r="J328" i="3"/>
  <c r="J295" i="3"/>
  <c r="AV60" i="9"/>
  <c r="K101" i="3"/>
  <c r="K100" i="3"/>
  <c r="J30" i="3"/>
  <c r="J491" i="3"/>
  <c r="J455" i="3"/>
  <c r="J292" i="3"/>
  <c r="AP60" i="9"/>
  <c r="J29" i="3"/>
  <c r="K93" i="3"/>
  <c r="K92" i="3"/>
  <c r="J340" i="3"/>
  <c r="I282" i="3"/>
  <c r="I506" i="3"/>
  <c r="I512" i="3"/>
  <c r="I467" i="3"/>
  <c r="I474" i="3" s="1"/>
  <c r="I363" i="3"/>
  <c r="BI59" i="9"/>
  <c r="J15" i="3"/>
  <c r="I255" i="3"/>
  <c r="I257" i="3" s="1"/>
  <c r="BW59" i="9" s="1"/>
  <c r="J344" i="3"/>
  <c r="J346" i="3" s="1"/>
  <c r="H86" i="4" l="1"/>
  <c r="BA193" i="3"/>
  <c r="H200" i="2"/>
  <c r="H196" i="2"/>
  <c r="H199" i="2"/>
  <c r="H201" i="2"/>
  <c r="H197" i="2"/>
  <c r="H195" i="2"/>
  <c r="H198" i="2"/>
  <c r="BT36" i="3"/>
  <c r="AB16" i="2"/>
  <c r="BU16" i="3" s="1"/>
  <c r="AA256" i="2"/>
  <c r="BT256" i="3" s="1"/>
  <c r="AA369" i="2"/>
  <c r="H32" i="4"/>
  <c r="J33" i="4" s="1"/>
  <c r="BA270" i="3"/>
  <c r="H86" i="5"/>
  <c r="H343" i="5" s="1"/>
  <c r="K102" i="3"/>
  <c r="K460" i="3" s="1"/>
  <c r="I364" i="3"/>
  <c r="J353" i="3" s="1"/>
  <c r="BB363" i="3"/>
  <c r="I513" i="3"/>
  <c r="J127" i="3"/>
  <c r="J17" i="3"/>
  <c r="I60" i="9" s="1"/>
  <c r="J35" i="3"/>
  <c r="I476" i="3"/>
  <c r="I478" i="3" s="1"/>
  <c r="K94" i="3"/>
  <c r="J493" i="3"/>
  <c r="I472" i="3"/>
  <c r="J329" i="3"/>
  <c r="J330" i="3" s="1"/>
  <c r="BL59" i="9"/>
  <c r="I284" i="3"/>
  <c r="J317" i="3"/>
  <c r="J31" i="3"/>
  <c r="K502" i="3"/>
  <c r="K381" i="5" l="1"/>
  <c r="K296" i="3"/>
  <c r="K326" i="3"/>
  <c r="AU61" i="9"/>
  <c r="H89" i="4"/>
  <c r="H274" i="2" s="1"/>
  <c r="H88" i="4"/>
  <c r="H273" i="2" s="1"/>
  <c r="BT369" i="3"/>
  <c r="AA372" i="2"/>
  <c r="G307" i="1"/>
  <c r="H316" i="4"/>
  <c r="N260" i="1" s="1"/>
  <c r="BA198" i="3"/>
  <c r="H317" i="4"/>
  <c r="O260" i="1" s="1"/>
  <c r="BA199" i="3"/>
  <c r="H307" i="1"/>
  <c r="D307" i="1"/>
  <c r="H313" i="4"/>
  <c r="K260" i="1" s="1"/>
  <c r="H202" i="2"/>
  <c r="BA195" i="3"/>
  <c r="H314" i="4"/>
  <c r="L260" i="1" s="1"/>
  <c r="E307" i="1"/>
  <c r="BA196" i="3"/>
  <c r="J57" i="4"/>
  <c r="J58" i="4"/>
  <c r="J55" i="4"/>
  <c r="J56" i="4"/>
  <c r="J54" i="4"/>
  <c r="F307" i="1"/>
  <c r="H315" i="4"/>
  <c r="M260" i="1" s="1"/>
  <c r="BA197" i="3"/>
  <c r="BA200" i="3"/>
  <c r="I307" i="1"/>
  <c r="H318" i="4"/>
  <c r="P260" i="1" s="1"/>
  <c r="H204" i="2"/>
  <c r="BA201" i="3"/>
  <c r="J307" i="1"/>
  <c r="J439" i="3"/>
  <c r="N60" i="9"/>
  <c r="I28" i="3"/>
  <c r="I400" i="3"/>
  <c r="I409" i="3" s="1"/>
  <c r="I416" i="3" s="1"/>
  <c r="I399" i="3"/>
  <c r="I401" i="3"/>
  <c r="I410" i="3" s="1"/>
  <c r="I417" i="3" s="1"/>
  <c r="I402" i="3"/>
  <c r="I411" i="3" s="1"/>
  <c r="I418" i="3" s="1"/>
  <c r="I480" i="3"/>
  <c r="J319" i="3"/>
  <c r="BR59" i="9"/>
  <c r="J494" i="3"/>
  <c r="J496" i="3" s="1"/>
  <c r="K456" i="3"/>
  <c r="K308" i="3"/>
  <c r="K293" i="3"/>
  <c r="K176" i="3"/>
  <c r="K405" i="5"/>
  <c r="K382" i="5"/>
  <c r="K380" i="5"/>
  <c r="AN61" i="9"/>
  <c r="J361" i="3"/>
  <c r="J37" i="3"/>
  <c r="J355" i="3"/>
  <c r="BK60" i="9"/>
  <c r="AG60" i="9"/>
  <c r="BT372" i="3" l="1"/>
  <c r="AA374" i="2"/>
  <c r="C307" i="1"/>
  <c r="K307" i="1" s="1"/>
  <c r="J59" i="4"/>
  <c r="G394" i="1"/>
  <c r="H515" i="2"/>
  <c r="BA515" i="3" s="1"/>
  <c r="BA204" i="3"/>
  <c r="BA202" i="3"/>
  <c r="H145" i="2"/>
  <c r="G370" i="1"/>
  <c r="G372" i="1" s="1"/>
  <c r="H484" i="2"/>
  <c r="H87" i="5"/>
  <c r="H344" i="5" s="1"/>
  <c r="H422" i="2"/>
  <c r="H203" i="2"/>
  <c r="J362" i="3"/>
  <c r="J497" i="3"/>
  <c r="BC361" i="3"/>
  <c r="K406" i="5"/>
  <c r="K408" i="5" s="1"/>
  <c r="I481" i="3"/>
  <c r="I482" i="3" s="1"/>
  <c r="I438" i="3"/>
  <c r="I241" i="3"/>
  <c r="I169" i="3"/>
  <c r="I139" i="3"/>
  <c r="I71" i="3"/>
  <c r="I392" i="5"/>
  <c r="I191" i="5"/>
  <c r="M59" i="9"/>
  <c r="I170" i="3"/>
  <c r="J440" i="3"/>
  <c r="P60" i="9"/>
  <c r="I403" i="3"/>
  <c r="I408" i="3"/>
  <c r="J61" i="4" l="1"/>
  <c r="J272" i="2"/>
  <c r="J60" i="4"/>
  <c r="H485" i="2"/>
  <c r="BA484" i="3"/>
  <c r="J260" i="1"/>
  <c r="H88" i="5"/>
  <c r="H516" i="2"/>
  <c r="BA203" i="3"/>
  <c r="BT374" i="3"/>
  <c r="AB367" i="2"/>
  <c r="BA422" i="3"/>
  <c r="H424" i="2"/>
  <c r="BA424" i="3" s="1"/>
  <c r="I302" i="2"/>
  <c r="BB302" i="3" s="1"/>
  <c r="BA145" i="3"/>
  <c r="H244" i="2"/>
  <c r="Z10" i="9"/>
  <c r="H146" i="2"/>
  <c r="H229" i="2"/>
  <c r="H148" i="2"/>
  <c r="H17" i="5"/>
  <c r="I171" i="3"/>
  <c r="I182" i="3" s="1"/>
  <c r="I192" i="3"/>
  <c r="I415" i="3"/>
  <c r="I412" i="3"/>
  <c r="I268" i="3"/>
  <c r="I210" i="3"/>
  <c r="I387" i="5"/>
  <c r="I444" i="3"/>
  <c r="W59" i="9"/>
  <c r="J498" i="3"/>
  <c r="BA229" i="3" l="1"/>
  <c r="H90" i="5"/>
  <c r="H346" i="5" s="1"/>
  <c r="H109" i="5"/>
  <c r="BA146" i="3"/>
  <c r="H213" i="5"/>
  <c r="H18" i="5"/>
  <c r="Z106" i="9"/>
  <c r="AJ10" i="9"/>
  <c r="AL10" i="9" s="1"/>
  <c r="BU367" i="3"/>
  <c r="AB124" i="2"/>
  <c r="H248" i="2"/>
  <c r="BA148" i="3"/>
  <c r="I8" i="2"/>
  <c r="H245" i="2"/>
  <c r="BA244" i="3"/>
  <c r="H384" i="5"/>
  <c r="BA516" i="3"/>
  <c r="BA485" i="3"/>
  <c r="H425" i="2"/>
  <c r="BA425" i="3" s="1"/>
  <c r="I207" i="3"/>
  <c r="I153" i="3"/>
  <c r="I413" i="3"/>
  <c r="I419" i="3"/>
  <c r="H260" i="2" l="1"/>
  <c r="BA245" i="3"/>
  <c r="G373" i="1"/>
  <c r="AL106" i="9"/>
  <c r="AJ106" i="9"/>
  <c r="BA248" i="3"/>
  <c r="BT10" i="9"/>
  <c r="H259" i="2"/>
  <c r="BM30" i="9"/>
  <c r="BM126" i="9" s="1"/>
  <c r="AB36" i="2"/>
  <c r="BU124" i="3"/>
  <c r="AB371" i="2"/>
  <c r="BU371" i="3" s="1"/>
  <c r="H19" i="5"/>
  <c r="H214" i="5"/>
  <c r="BB8" i="3"/>
  <c r="I447" i="2"/>
  <c r="BB447" i="3" s="1"/>
  <c r="H486" i="2"/>
  <c r="BA486" i="3" s="1"/>
  <c r="I450" i="2"/>
  <c r="BB450" i="3" s="1"/>
  <c r="I390" i="2"/>
  <c r="I372" i="5"/>
  <c r="I374" i="5" s="1"/>
  <c r="H389" i="1"/>
  <c r="I261" i="1"/>
  <c r="I84" i="2"/>
  <c r="F11" i="9"/>
  <c r="I19" i="2"/>
  <c r="I20" i="2"/>
  <c r="I154" i="3"/>
  <c r="I156" i="3" s="1"/>
  <c r="I420" i="3"/>
  <c r="I212" i="3"/>
  <c r="F107" i="9" l="1"/>
  <c r="K11" i="9"/>
  <c r="BA259" i="3"/>
  <c r="H368" i="5"/>
  <c r="H370" i="5" s="1"/>
  <c r="H144" i="5" s="1"/>
  <c r="I15" i="5"/>
  <c r="I212" i="5" s="1"/>
  <c r="I85" i="2"/>
  <c r="BB84" i="3"/>
  <c r="I238" i="2"/>
  <c r="I394" i="2"/>
  <c r="BB394" i="3" s="1"/>
  <c r="BB390" i="3"/>
  <c r="I391" i="2"/>
  <c r="I393" i="2"/>
  <c r="BB393" i="3" s="1"/>
  <c r="I392" i="2"/>
  <c r="BB392" i="3" s="1"/>
  <c r="BY10" i="9"/>
  <c r="BY106" i="9" s="1"/>
  <c r="BT106" i="9"/>
  <c r="AC16" i="2"/>
  <c r="BV16" i="3" s="1"/>
  <c r="AB256" i="2"/>
  <c r="BU256" i="3" s="1"/>
  <c r="AB369" i="2"/>
  <c r="BU36" i="3"/>
  <c r="BB19" i="3"/>
  <c r="H261" i="2"/>
  <c r="BA261" i="3" s="1"/>
  <c r="I364" i="5"/>
  <c r="I366" i="5" s="1"/>
  <c r="I10" i="5"/>
  <c r="I206" i="5" s="1"/>
  <c r="I232" i="2"/>
  <c r="BB232" i="3" s="1"/>
  <c r="H20" i="5"/>
  <c r="H215" i="5"/>
  <c r="BA260" i="3"/>
  <c r="I225" i="3"/>
  <c r="I218" i="3"/>
  <c r="K107" i="9" l="1"/>
  <c r="BB238" i="3"/>
  <c r="I240" i="2"/>
  <c r="AD11" i="9"/>
  <c r="AD107" i="9" s="1"/>
  <c r="I395" i="2"/>
  <c r="BB391" i="3"/>
  <c r="H262" i="2"/>
  <c r="BU369" i="3"/>
  <c r="AB372" i="2"/>
  <c r="I290" i="2"/>
  <c r="BB290" i="3" s="1"/>
  <c r="I287" i="2"/>
  <c r="BB85" i="3"/>
  <c r="I470" i="2"/>
  <c r="BB470" i="3" s="1"/>
  <c r="I158" i="3"/>
  <c r="I159" i="3"/>
  <c r="I220" i="3"/>
  <c r="I222" i="3"/>
  <c r="I221" i="3"/>
  <c r="BU372" i="3" l="1"/>
  <c r="AB374" i="2"/>
  <c r="I405" i="2"/>
  <c r="BB405" i="3" s="1"/>
  <c r="I396" i="2"/>
  <c r="BB396" i="3" s="1"/>
  <c r="BB395" i="3"/>
  <c r="BB287" i="3"/>
  <c r="I303" i="2"/>
  <c r="AI11" i="9"/>
  <c r="AI107" i="9" s="1"/>
  <c r="BB240" i="3"/>
  <c r="I223" i="3"/>
  <c r="I227" i="3" s="1"/>
  <c r="I160" i="3"/>
  <c r="I162" i="3"/>
  <c r="BB303" i="3" l="1"/>
  <c r="I95" i="2"/>
  <c r="I103" i="2" s="1"/>
  <c r="AC367" i="2"/>
  <c r="BU374" i="3"/>
  <c r="I161" i="3"/>
  <c r="I334" i="5"/>
  <c r="I228" i="3"/>
  <c r="I175" i="2" l="1"/>
  <c r="I250" i="2"/>
  <c r="BB250" i="3" s="1"/>
  <c r="AW11" i="9"/>
  <c r="I331" i="2"/>
  <c r="I461" i="2"/>
  <c r="BB461" i="3" s="1"/>
  <c r="BB103" i="3"/>
  <c r="J10" i="2"/>
  <c r="BC10" i="3" s="1"/>
  <c r="I501" i="2"/>
  <c r="BV367" i="3"/>
  <c r="AC124" i="2"/>
  <c r="BB95" i="3"/>
  <c r="I320" i="2"/>
  <c r="J9" i="2"/>
  <c r="I249" i="2"/>
  <c r="I457" i="2"/>
  <c r="BB457" i="3" s="1"/>
  <c r="AQ11" i="9"/>
  <c r="I116" i="2"/>
  <c r="I163" i="3"/>
  <c r="BB501" i="3" l="1"/>
  <c r="I503" i="2"/>
  <c r="I332" i="2"/>
  <c r="BB331" i="3"/>
  <c r="I251" i="2"/>
  <c r="BB249" i="3"/>
  <c r="BV124" i="3"/>
  <c r="AC371" i="2"/>
  <c r="BV371" i="3" s="1"/>
  <c r="AC36" i="2"/>
  <c r="BM31" i="9"/>
  <c r="BM127" i="9" s="1"/>
  <c r="AY11" i="9"/>
  <c r="AY107" i="9" s="1"/>
  <c r="AW107" i="9"/>
  <c r="I252" i="2"/>
  <c r="BB252" i="3" s="1"/>
  <c r="BB116" i="3"/>
  <c r="I347" i="2"/>
  <c r="J12" i="2"/>
  <c r="BB11" i="9"/>
  <c r="J96" i="2"/>
  <c r="BC9" i="3"/>
  <c r="J489" i="2"/>
  <c r="BC489" i="3" s="1"/>
  <c r="J11" i="2"/>
  <c r="AT11" i="9"/>
  <c r="AT107" i="9" s="1"/>
  <c r="AQ107" i="9"/>
  <c r="I321" i="2"/>
  <c r="BB320" i="3"/>
  <c r="I117" i="2"/>
  <c r="BB175" i="3"/>
  <c r="I281" i="2"/>
  <c r="BB281" i="3" s="1"/>
  <c r="I165" i="3"/>
  <c r="I267" i="3" s="1"/>
  <c r="H261" i="1" l="1"/>
  <c r="J306" i="2"/>
  <c r="BB321" i="3"/>
  <c r="J32" i="2"/>
  <c r="BC12" i="3"/>
  <c r="BB348" i="3"/>
  <c r="I349" i="2"/>
  <c r="J324" i="2"/>
  <c r="BB332" i="3"/>
  <c r="I508" i="2"/>
  <c r="I118" i="2"/>
  <c r="I348" i="2"/>
  <c r="BB117" i="3"/>
  <c r="BF11" i="9"/>
  <c r="I253" i="2"/>
  <c r="J13" i="2"/>
  <c r="AR12" i="9"/>
  <c r="AR108" i="9" s="1"/>
  <c r="AE12" i="9"/>
  <c r="AE108" i="9" s="1"/>
  <c r="BC96" i="3"/>
  <c r="J310" i="2"/>
  <c r="BC310" i="3" s="1"/>
  <c r="BB503" i="3"/>
  <c r="I505" i="2"/>
  <c r="BC11" i="3"/>
  <c r="G12" i="9"/>
  <c r="G108" i="9" s="1"/>
  <c r="BB107" i="9"/>
  <c r="BC11" i="9"/>
  <c r="BC107" i="9" s="1"/>
  <c r="AC369" i="2"/>
  <c r="AD16" i="2"/>
  <c r="BW16" i="3" s="1"/>
  <c r="BV36" i="3"/>
  <c r="AC256" i="2"/>
  <c r="BV256" i="3" s="1"/>
  <c r="BU11" i="9"/>
  <c r="BU107" i="9" s="1"/>
  <c r="BB251" i="3"/>
  <c r="I183" i="3"/>
  <c r="I139" i="5"/>
  <c r="J14" i="2" l="1"/>
  <c r="BC13" i="3"/>
  <c r="J33" i="2"/>
  <c r="I350" i="2"/>
  <c r="J336" i="2" s="1"/>
  <c r="BB349" i="3"/>
  <c r="J327" i="2"/>
  <c r="BC324" i="3"/>
  <c r="BC32" i="3"/>
  <c r="J343" i="2"/>
  <c r="BC344" i="3" s="1"/>
  <c r="BV369" i="3"/>
  <c r="AC372" i="2"/>
  <c r="BB253" i="3"/>
  <c r="I254" i="2"/>
  <c r="I126" i="2"/>
  <c r="I464" i="2"/>
  <c r="BB464" i="3" s="1"/>
  <c r="I177" i="2"/>
  <c r="BB118" i="3"/>
  <c r="J335" i="2"/>
  <c r="BB350" i="3"/>
  <c r="BG11" i="9"/>
  <c r="BG107" i="9" s="1"/>
  <c r="BF107" i="9"/>
  <c r="BB508" i="3"/>
  <c r="I510" i="2"/>
  <c r="J311" i="2"/>
  <c r="BC306" i="3"/>
  <c r="J309" i="2"/>
  <c r="I506" i="2"/>
  <c r="BB505" i="3"/>
  <c r="I184" i="3"/>
  <c r="BC311" i="3" l="1"/>
  <c r="J88" i="2"/>
  <c r="BB177" i="3"/>
  <c r="I282" i="2"/>
  <c r="J340" i="2"/>
  <c r="BC341" i="3" s="1"/>
  <c r="BC337" i="3"/>
  <c r="I512" i="2"/>
  <c r="BB510" i="3"/>
  <c r="BV372" i="3"/>
  <c r="AC374" i="2"/>
  <c r="J34" i="2"/>
  <c r="J344" i="2"/>
  <c r="BC33" i="3"/>
  <c r="I390" i="1"/>
  <c r="BC309" i="3"/>
  <c r="J15" i="2"/>
  <c r="I467" i="2"/>
  <c r="BB467" i="3" s="1"/>
  <c r="I363" i="2"/>
  <c r="BB126" i="3"/>
  <c r="I255" i="2"/>
  <c r="BI11" i="9"/>
  <c r="I135" i="2"/>
  <c r="J99" i="2"/>
  <c r="BC327" i="3"/>
  <c r="J345" i="2"/>
  <c r="BC346" i="3" s="1"/>
  <c r="J339" i="2"/>
  <c r="BC340" i="3" s="1"/>
  <c r="BC335" i="3"/>
  <c r="BC336" i="3"/>
  <c r="BV11" i="9"/>
  <c r="BV107" i="9" s="1"/>
  <c r="BB254" i="3"/>
  <c r="H12" i="9"/>
  <c r="H108" i="9" s="1"/>
  <c r="BC14" i="3"/>
  <c r="I95" i="4"/>
  <c r="I266" i="3"/>
  <c r="I270" i="3" s="1"/>
  <c r="I191" i="3"/>
  <c r="I398" i="5"/>
  <c r="I330" i="5"/>
  <c r="I257" i="2" l="1"/>
  <c r="BB255" i="3"/>
  <c r="BC15" i="3"/>
  <c r="J127" i="2"/>
  <c r="J17" i="2"/>
  <c r="J35" i="2"/>
  <c r="BC345" i="3"/>
  <c r="J346" i="2"/>
  <c r="BC347" i="3" s="1"/>
  <c r="BB282" i="3"/>
  <c r="I284" i="2"/>
  <c r="K100" i="2"/>
  <c r="BC99" i="3"/>
  <c r="J459" i="2"/>
  <c r="BC459" i="3" s="1"/>
  <c r="K101" i="2"/>
  <c r="BD101" i="3" s="1"/>
  <c r="J30" i="2"/>
  <c r="J328" i="2"/>
  <c r="BC328" i="3" s="1"/>
  <c r="J295" i="2"/>
  <c r="BC295" i="3" s="1"/>
  <c r="AV12" i="9"/>
  <c r="AV108" i="9" s="1"/>
  <c r="O12" i="9"/>
  <c r="O108" i="9" s="1"/>
  <c r="BC34" i="3"/>
  <c r="BB512" i="3"/>
  <c r="I513" i="2"/>
  <c r="I469" i="2"/>
  <c r="BB135" i="3"/>
  <c r="I258" i="2"/>
  <c r="J18" i="2"/>
  <c r="BO11" i="9"/>
  <c r="I382" i="2"/>
  <c r="BB364" i="3"/>
  <c r="I364" i="2"/>
  <c r="J353" i="2" s="1"/>
  <c r="BV374" i="3"/>
  <c r="AD367" i="2"/>
  <c r="J312" i="2"/>
  <c r="J91" i="2"/>
  <c r="BC88" i="3"/>
  <c r="BI107" i="9"/>
  <c r="BL11" i="9"/>
  <c r="BL107" i="9" s="1"/>
  <c r="I193" i="3"/>
  <c r="BW367" i="3" l="1"/>
  <c r="AD124" i="2"/>
  <c r="BB382" i="3"/>
  <c r="I383" i="2"/>
  <c r="AG12" i="9"/>
  <c r="AG108" i="9" s="1"/>
  <c r="BC127" i="3"/>
  <c r="J355" i="2"/>
  <c r="BC355" i="3" s="1"/>
  <c r="BK12" i="9"/>
  <c r="BK108" i="9" s="1"/>
  <c r="BO107" i="9"/>
  <c r="BP11" i="9"/>
  <c r="BB469" i="3"/>
  <c r="I472" i="2"/>
  <c r="I474" i="2"/>
  <c r="BC30" i="3"/>
  <c r="J329" i="2"/>
  <c r="BD100" i="3"/>
  <c r="K102" i="2"/>
  <c r="BC353" i="3"/>
  <c r="I391" i="1"/>
  <c r="H359" i="1"/>
  <c r="BB284" i="3"/>
  <c r="BC35" i="3"/>
  <c r="J361" i="2"/>
  <c r="J37" i="2"/>
  <c r="K93" i="2"/>
  <c r="BD93" i="3" s="1"/>
  <c r="AP12" i="9"/>
  <c r="AP108" i="9" s="1"/>
  <c r="J455" i="2"/>
  <c r="BC455" i="3" s="1"/>
  <c r="K92" i="2"/>
  <c r="J491" i="2"/>
  <c r="J292" i="2"/>
  <c r="BC292" i="3" s="1"/>
  <c r="BC91" i="3"/>
  <c r="G262" i="1"/>
  <c r="A262" i="1" s="1"/>
  <c r="J131" i="2"/>
  <c r="BC131" i="3" s="1"/>
  <c r="J12" i="9"/>
  <c r="J108" i="9" s="1"/>
  <c r="E262" i="1"/>
  <c r="BC18" i="3"/>
  <c r="BC312" i="3"/>
  <c r="J313" i="2"/>
  <c r="I175" i="5"/>
  <c r="BX11" i="9"/>
  <c r="BX107" i="9" s="1"/>
  <c r="BB258" i="3"/>
  <c r="I12" i="9"/>
  <c r="I108" i="9" s="1"/>
  <c r="BC17" i="3"/>
  <c r="BW11" i="9"/>
  <c r="BW107" i="9" s="1"/>
  <c r="BB257" i="3"/>
  <c r="I64" i="4"/>
  <c r="I331" i="5"/>
  <c r="I199" i="3"/>
  <c r="I195" i="3"/>
  <c r="I201" i="3"/>
  <c r="I197" i="3"/>
  <c r="I200" i="3"/>
  <c r="I198" i="3"/>
  <c r="I196" i="3"/>
  <c r="J362" i="2" l="1"/>
  <c r="BC37" i="3"/>
  <c r="P12" i="9"/>
  <c r="P108" i="9" s="1"/>
  <c r="I28" i="2"/>
  <c r="I400" i="2"/>
  <c r="BB472" i="3"/>
  <c r="I399" i="2"/>
  <c r="I401" i="2"/>
  <c r="I402" i="2"/>
  <c r="BB383" i="3"/>
  <c r="J377" i="2"/>
  <c r="BC362" i="3"/>
  <c r="BC356" i="3"/>
  <c r="BC329" i="3"/>
  <c r="J330" i="2"/>
  <c r="BC330" i="3" s="1"/>
  <c r="BC491" i="3"/>
  <c r="BP107" i="9"/>
  <c r="BR11" i="9"/>
  <c r="BR107" i="9" s="1"/>
  <c r="AD36" i="2"/>
  <c r="BM32" i="9"/>
  <c r="BM128" i="9" s="1"/>
  <c r="AD371" i="2"/>
  <c r="BW371" i="3" s="1"/>
  <c r="BW124" i="3"/>
  <c r="J128" i="2"/>
  <c r="J130" i="2"/>
  <c r="BC130" i="3" s="1"/>
  <c r="BD92" i="3"/>
  <c r="K94" i="2"/>
  <c r="K378" i="5"/>
  <c r="K502" i="2"/>
  <c r="BD502" i="3" s="1"/>
  <c r="K326" i="2"/>
  <c r="BD326" i="3" s="1"/>
  <c r="K460" i="2"/>
  <c r="BD460" i="3" s="1"/>
  <c r="BD102" i="3"/>
  <c r="AU13" i="9"/>
  <c r="AU109" i="9" s="1"/>
  <c r="K296" i="2"/>
  <c r="BD296" i="3" s="1"/>
  <c r="I476" i="2"/>
  <c r="BB474" i="3"/>
  <c r="I322" i="4"/>
  <c r="BT261" i="1"/>
  <c r="O308" i="1"/>
  <c r="I325" i="4"/>
  <c r="R308" i="1"/>
  <c r="BW261" i="1"/>
  <c r="I323" i="4"/>
  <c r="BU261" i="1"/>
  <c r="P308" i="1"/>
  <c r="K65" i="4"/>
  <c r="I324" i="4"/>
  <c r="Q308" i="1"/>
  <c r="BV261" i="1"/>
  <c r="I204" i="3"/>
  <c r="I515" i="3" s="1"/>
  <c r="T308" i="1"/>
  <c r="I326" i="4"/>
  <c r="BX261" i="1"/>
  <c r="S308" i="1"/>
  <c r="I321" i="4"/>
  <c r="I202" i="3"/>
  <c r="N308" i="1"/>
  <c r="BS261" i="1"/>
  <c r="BC128" i="3" l="1"/>
  <c r="J133" i="2"/>
  <c r="BW36" i="3"/>
  <c r="AD369" i="2"/>
  <c r="AD256" i="2"/>
  <c r="BW256" i="3" s="1"/>
  <c r="AE16" i="2"/>
  <c r="BX16" i="3" s="1"/>
  <c r="I411" i="2"/>
  <c r="BB402" i="3"/>
  <c r="I409" i="2"/>
  <c r="BB400" i="3"/>
  <c r="BB476" i="3"/>
  <c r="I478" i="2"/>
  <c r="K379" i="5"/>
  <c r="K383" i="5" s="1"/>
  <c r="AN13" i="9"/>
  <c r="AN109" i="9" s="1"/>
  <c r="BD94" i="3"/>
  <c r="K456" i="2"/>
  <c r="BD456" i="3" s="1"/>
  <c r="K176" i="2"/>
  <c r="K377" i="5"/>
  <c r="K293" i="2"/>
  <c r="BD293" i="3" s="1"/>
  <c r="K308" i="2"/>
  <c r="BD308" i="3" s="1"/>
  <c r="I410" i="2"/>
  <c r="BB401" i="3"/>
  <c r="I241" i="2"/>
  <c r="BB241" i="3" s="1"/>
  <c r="I71" i="2"/>
  <c r="I139" i="2"/>
  <c r="BB139" i="3" s="1"/>
  <c r="I11" i="5"/>
  <c r="I207" i="5" s="1"/>
  <c r="BB28" i="3"/>
  <c r="I169" i="2"/>
  <c r="I438" i="2"/>
  <c r="M11" i="9"/>
  <c r="I390" i="5"/>
  <c r="I394" i="5" s="1"/>
  <c r="BC377" i="3"/>
  <c r="BB399" i="3"/>
  <c r="I403" i="2"/>
  <c r="BB403" i="3" s="1"/>
  <c r="I408" i="2"/>
  <c r="BO261" i="1"/>
  <c r="V261" i="1"/>
  <c r="X261" i="1"/>
  <c r="BQ261" i="1"/>
  <c r="K71" i="4"/>
  <c r="K67" i="4"/>
  <c r="K68" i="4"/>
  <c r="K69" i="4"/>
  <c r="K70" i="4"/>
  <c r="BN261" i="1"/>
  <c r="U261" i="1"/>
  <c r="BL261" i="1"/>
  <c r="S261" i="1"/>
  <c r="M308" i="1"/>
  <c r="U308" i="1" s="1"/>
  <c r="I484" i="3"/>
  <c r="I422" i="3"/>
  <c r="I145" i="3"/>
  <c r="I332" i="5"/>
  <c r="I203" i="3"/>
  <c r="BP261" i="1"/>
  <c r="W261" i="1"/>
  <c r="BM261" i="1"/>
  <c r="T261" i="1"/>
  <c r="J314" i="2" l="1"/>
  <c r="J180" i="2"/>
  <c r="J172" i="5"/>
  <c r="AO12" i="9"/>
  <c r="J378" i="2"/>
  <c r="J492" i="2"/>
  <c r="BC133" i="3"/>
  <c r="J38" i="2"/>
  <c r="J29" i="2"/>
  <c r="BB169" i="3"/>
  <c r="H354" i="1"/>
  <c r="H368" i="1"/>
  <c r="I386" i="5"/>
  <c r="I388" i="5" s="1"/>
  <c r="BB71" i="3"/>
  <c r="BD176" i="3"/>
  <c r="J357" i="1"/>
  <c r="BB409" i="3"/>
  <c r="I416" i="2"/>
  <c r="BB416" i="3" s="1"/>
  <c r="I412" i="2"/>
  <c r="BB408" i="3"/>
  <c r="I415" i="2"/>
  <c r="M107" i="9"/>
  <c r="W11" i="9"/>
  <c r="BB478" i="3"/>
  <c r="I480" i="2"/>
  <c r="BW369" i="3"/>
  <c r="AD372" i="2"/>
  <c r="BB438" i="3"/>
  <c r="I444" i="2"/>
  <c r="BB444" i="3" s="1"/>
  <c r="BB410" i="3"/>
  <c r="I417" i="2"/>
  <c r="BB411" i="3"/>
  <c r="I418" i="2"/>
  <c r="BB418" i="3" s="1"/>
  <c r="BK261" i="1"/>
  <c r="R261" i="1"/>
  <c r="I333" i="5"/>
  <c r="I516" i="3"/>
  <c r="K72" i="4"/>
  <c r="I485" i="3"/>
  <c r="I424" i="3"/>
  <c r="J302" i="3"/>
  <c r="I244" i="3"/>
  <c r="I146" i="3"/>
  <c r="I129" i="5" s="1"/>
  <c r="I197" i="5"/>
  <c r="Z59" i="9"/>
  <c r="I229" i="3"/>
  <c r="I148" i="3"/>
  <c r="W107" i="9" l="1"/>
  <c r="K74" i="4"/>
  <c r="K272" i="3"/>
  <c r="BC29" i="3"/>
  <c r="J31" i="2"/>
  <c r="J317" i="2"/>
  <c r="BC317" i="3" s="1"/>
  <c r="BC492" i="3"/>
  <c r="J494" i="2"/>
  <c r="BC494" i="3" s="1"/>
  <c r="J493" i="2"/>
  <c r="BC180" i="3"/>
  <c r="J283" i="2"/>
  <c r="AO108" i="9"/>
  <c r="J440" i="2"/>
  <c r="BC440" i="3" s="1"/>
  <c r="J173" i="5"/>
  <c r="J379" i="2"/>
  <c r="BC379" i="3" s="1"/>
  <c r="Q12" i="9"/>
  <c r="Q108" i="9" s="1"/>
  <c r="BC38" i="3"/>
  <c r="BC378" i="3"/>
  <c r="BC314" i="3"/>
  <c r="I170" i="2"/>
  <c r="BB417" i="3"/>
  <c r="AD374" i="2"/>
  <c r="BW372" i="3"/>
  <c r="BB412" i="3"/>
  <c r="I413" i="2"/>
  <c r="BB480" i="3"/>
  <c r="I481" i="2"/>
  <c r="BB415" i="3"/>
  <c r="I419" i="2"/>
  <c r="BB419" i="3" s="1"/>
  <c r="I248" i="3"/>
  <c r="J8" i="3"/>
  <c r="I335" i="5"/>
  <c r="I198" i="5"/>
  <c r="I425" i="3"/>
  <c r="I245" i="3"/>
  <c r="AJ59" i="9"/>
  <c r="AL59" i="9" s="1"/>
  <c r="K73" i="4"/>
  <c r="J381" i="2" l="1"/>
  <c r="BC381" i="3" s="1"/>
  <c r="J319" i="2"/>
  <c r="BC319" i="3" s="1"/>
  <c r="BC31" i="3"/>
  <c r="N12" i="9"/>
  <c r="N108" i="9" s="1"/>
  <c r="J439" i="2"/>
  <c r="BC439" i="3" s="1"/>
  <c r="BC283" i="3"/>
  <c r="J496" i="2"/>
  <c r="BC493" i="3"/>
  <c r="I420" i="2"/>
  <c r="BB420" i="3" s="1"/>
  <c r="AE367" i="2"/>
  <c r="BW374" i="3"/>
  <c r="BB481" i="3"/>
  <c r="I482" i="2"/>
  <c r="BB482" i="3" s="1"/>
  <c r="I268" i="2"/>
  <c r="BB268" i="3" s="1"/>
  <c r="H355" i="1"/>
  <c r="BB170" i="3"/>
  <c r="I171" i="2"/>
  <c r="I192" i="2"/>
  <c r="I210" i="2"/>
  <c r="I260" i="3"/>
  <c r="I199" i="5"/>
  <c r="I200" i="5" s="1"/>
  <c r="J450" i="3"/>
  <c r="J447" i="3"/>
  <c r="J390" i="3"/>
  <c r="I486" i="3"/>
  <c r="J19" i="3"/>
  <c r="J84" i="3"/>
  <c r="J20" i="3"/>
  <c r="J373" i="5"/>
  <c r="F60" i="9"/>
  <c r="K60" i="9" s="1"/>
  <c r="I259" i="3"/>
  <c r="I369" i="5" s="1"/>
  <c r="BT59" i="9"/>
  <c r="BY59" i="9" s="1"/>
  <c r="BC496" i="3" l="1"/>
  <c r="J497" i="2"/>
  <c r="H380" i="1"/>
  <c r="BB210" i="3"/>
  <c r="H366" i="1"/>
  <c r="BB192" i="3"/>
  <c r="BX367" i="3"/>
  <c r="AE124" i="2"/>
  <c r="I182" i="2"/>
  <c r="H356" i="1"/>
  <c r="H361" i="1" s="1"/>
  <c r="BB171" i="3"/>
  <c r="I391" i="5"/>
  <c r="I393" i="5"/>
  <c r="I261" i="3"/>
  <c r="I262" i="3" s="1"/>
  <c r="J232" i="3"/>
  <c r="J190" i="5"/>
  <c r="J365" i="5"/>
  <c r="J238" i="3"/>
  <c r="J85" i="3"/>
  <c r="J195" i="5"/>
  <c r="J393" i="3"/>
  <c r="J391" i="3"/>
  <c r="J392" i="3"/>
  <c r="J394" i="3"/>
  <c r="J498" i="2" l="1"/>
  <c r="BC498" i="3" s="1"/>
  <c r="BC497" i="3"/>
  <c r="I207" i="2"/>
  <c r="BB182" i="3"/>
  <c r="I153" i="2"/>
  <c r="AE371" i="2"/>
  <c r="BX371" i="3" s="1"/>
  <c r="BM33" i="9"/>
  <c r="BM129" i="9" s="1"/>
  <c r="AE36" i="2"/>
  <c r="BX124" i="3"/>
  <c r="J395" i="3"/>
  <c r="J470" i="3"/>
  <c r="J290" i="3"/>
  <c r="J287" i="3"/>
  <c r="I395" i="5"/>
  <c r="J240" i="3"/>
  <c r="AD60" i="9"/>
  <c r="I154" i="2" l="1"/>
  <c r="BB153" i="3"/>
  <c r="AE369" i="2"/>
  <c r="AE256" i="2"/>
  <c r="BX256" i="3" s="1"/>
  <c r="AF16" i="2"/>
  <c r="BY16" i="3" s="1"/>
  <c r="BX36" i="3"/>
  <c r="I212" i="2"/>
  <c r="BB207" i="3"/>
  <c r="AI60" i="9"/>
  <c r="J303" i="3"/>
  <c r="J405" i="3"/>
  <c r="J396" i="3"/>
  <c r="BB212" i="3" l="1"/>
  <c r="I218" i="2"/>
  <c r="I225" i="2"/>
  <c r="BB225" i="3" s="1"/>
  <c r="BX369" i="3"/>
  <c r="AE372" i="2"/>
  <c r="I156" i="2"/>
  <c r="BB154" i="3"/>
  <c r="J95" i="3"/>
  <c r="I222" i="2" l="1"/>
  <c r="BB222" i="3" s="1"/>
  <c r="BB218" i="3"/>
  <c r="I220" i="2"/>
  <c r="I221" i="2"/>
  <c r="BB221" i="3" s="1"/>
  <c r="BB156" i="3"/>
  <c r="I158" i="2"/>
  <c r="I159" i="2"/>
  <c r="BX372" i="3"/>
  <c r="AE374" i="2"/>
  <c r="J457" i="3"/>
  <c r="J320" i="3"/>
  <c r="AQ60" i="9"/>
  <c r="K9" i="3"/>
  <c r="J249" i="3"/>
  <c r="J103" i="3"/>
  <c r="J116" i="3" s="1"/>
  <c r="BB220" i="3" l="1"/>
  <c r="I223" i="2"/>
  <c r="I160" i="2"/>
  <c r="BB159" i="3"/>
  <c r="I162" i="2"/>
  <c r="BB162" i="3" s="1"/>
  <c r="BB158" i="3"/>
  <c r="BX374" i="3"/>
  <c r="AF367" i="2"/>
  <c r="J347" i="3"/>
  <c r="BB60" i="9"/>
  <c r="K12" i="3"/>
  <c r="J252" i="3"/>
  <c r="J461" i="3"/>
  <c r="J331" i="3"/>
  <c r="AW60" i="9"/>
  <c r="J501" i="3"/>
  <c r="K10" i="3"/>
  <c r="K11" i="3" s="1"/>
  <c r="G61" i="9" s="1"/>
  <c r="J250" i="3"/>
  <c r="J251" i="3" s="1"/>
  <c r="BU60" i="9" s="1"/>
  <c r="AT60" i="9"/>
  <c r="J117" i="3"/>
  <c r="K489" i="3"/>
  <c r="K96" i="3"/>
  <c r="J321" i="3"/>
  <c r="K306" i="3" s="1"/>
  <c r="J175" i="3"/>
  <c r="BY367" i="3" l="1"/>
  <c r="AF124" i="2"/>
  <c r="BB160" i="3"/>
  <c r="I161" i="2"/>
  <c r="BB223" i="3"/>
  <c r="I227" i="2"/>
  <c r="J348" i="3"/>
  <c r="BF60" i="9"/>
  <c r="J508" i="3"/>
  <c r="J253" i="3"/>
  <c r="J254" i="3" s="1"/>
  <c r="BV60" i="9" s="1"/>
  <c r="K13" i="3"/>
  <c r="K14" i="3" s="1"/>
  <c r="H61" i="9" s="1"/>
  <c r="AY60" i="9"/>
  <c r="J281" i="3"/>
  <c r="J332" i="3"/>
  <c r="K324" i="3" s="1"/>
  <c r="BC60" i="9"/>
  <c r="J503" i="3"/>
  <c r="J118" i="3"/>
  <c r="J126" i="3" s="1"/>
  <c r="K309" i="3"/>
  <c r="K310" i="3"/>
  <c r="K311" i="3" s="1"/>
  <c r="K88" i="3" s="1"/>
  <c r="AR61" i="9"/>
  <c r="AE61" i="9"/>
  <c r="K32" i="3"/>
  <c r="J349" i="3"/>
  <c r="K335" i="3" s="1"/>
  <c r="I163" i="2" l="1"/>
  <c r="BB161" i="3"/>
  <c r="H393" i="1"/>
  <c r="BB227" i="3"/>
  <c r="I89" i="5"/>
  <c r="I345" i="5" s="1"/>
  <c r="H385" i="1"/>
  <c r="H371" i="1"/>
  <c r="I228" i="2"/>
  <c r="BB228" i="3" s="1"/>
  <c r="BY124" i="3"/>
  <c r="AF371" i="2"/>
  <c r="BY371" i="3" s="1"/>
  <c r="BM34" i="9"/>
  <c r="BM130" i="9" s="1"/>
  <c r="AF36" i="2"/>
  <c r="K343" i="3"/>
  <c r="K345" i="3" s="1"/>
  <c r="K339" i="3"/>
  <c r="J505" i="3"/>
  <c r="J464" i="3"/>
  <c r="J177" i="3"/>
  <c r="J510" i="3"/>
  <c r="K327" i="3"/>
  <c r="K99" i="3" s="1"/>
  <c r="K33" i="3"/>
  <c r="K344" i="3" s="1"/>
  <c r="BG60" i="9"/>
  <c r="K312" i="3"/>
  <c r="K91" i="3"/>
  <c r="J350" i="3"/>
  <c r="K336" i="3" s="1"/>
  <c r="AF256" i="2" l="1"/>
  <c r="BY256" i="3" s="1"/>
  <c r="AF369" i="2"/>
  <c r="BY36" i="3"/>
  <c r="AG16" i="2"/>
  <c r="BZ16" i="3" s="1"/>
  <c r="I165" i="2"/>
  <c r="BB163" i="3"/>
  <c r="K346" i="3"/>
  <c r="K340" i="3"/>
  <c r="K34" i="3"/>
  <c r="O61" i="9" s="1"/>
  <c r="K459" i="3"/>
  <c r="K295" i="3"/>
  <c r="K328" i="3"/>
  <c r="AV61" i="9"/>
  <c r="L101" i="3"/>
  <c r="L100" i="3"/>
  <c r="K30" i="3"/>
  <c r="J467" i="3"/>
  <c r="J474" i="3" s="1"/>
  <c r="J363" i="3"/>
  <c r="BI60" i="9"/>
  <c r="K15" i="3"/>
  <c r="J255" i="3"/>
  <c r="J257" i="3" s="1"/>
  <c r="BW60" i="9" s="1"/>
  <c r="J506" i="3"/>
  <c r="K455" i="3"/>
  <c r="K491" i="3"/>
  <c r="K493" i="3" s="1"/>
  <c r="K292" i="3"/>
  <c r="AP61" i="9"/>
  <c r="L92" i="3"/>
  <c r="L93" i="3"/>
  <c r="K29" i="3"/>
  <c r="J512" i="3"/>
  <c r="J282" i="3"/>
  <c r="I166" i="2" l="1"/>
  <c r="BB166" i="3" s="1"/>
  <c r="I267" i="2"/>
  <c r="BB267" i="3" s="1"/>
  <c r="L102" i="3"/>
  <c r="L381" i="5" s="1"/>
  <c r="AF372" i="2"/>
  <c r="BY369" i="3"/>
  <c r="I183" i="2"/>
  <c r="BB165" i="3"/>
  <c r="I112" i="5"/>
  <c r="I140" i="5" s="1"/>
  <c r="J476" i="3"/>
  <c r="J478" i="3" s="1"/>
  <c r="K329" i="3"/>
  <c r="K330" i="3" s="1"/>
  <c r="J472" i="3"/>
  <c r="J513" i="3"/>
  <c r="L94" i="3"/>
  <c r="BL60" i="9"/>
  <c r="BR60" i="9" s="1"/>
  <c r="L502" i="3"/>
  <c r="K494" i="3"/>
  <c r="K496" i="3" s="1"/>
  <c r="K497" i="3" s="1"/>
  <c r="K498" i="3" s="1"/>
  <c r="J364" i="3"/>
  <c r="K353" i="3" s="1"/>
  <c r="BC363" i="3"/>
  <c r="J284" i="3"/>
  <c r="K317" i="3"/>
  <c r="K31" i="3"/>
  <c r="K127" i="3"/>
  <c r="K17" i="3"/>
  <c r="I61" i="9" s="1"/>
  <c r="K35" i="3"/>
  <c r="L326" i="3" l="1"/>
  <c r="L460" i="3"/>
  <c r="L296" i="3"/>
  <c r="AU62" i="9"/>
  <c r="H375" i="1"/>
  <c r="I184" i="2"/>
  <c r="H363" i="1"/>
  <c r="H364" i="1" s="1"/>
  <c r="BB183" i="3"/>
  <c r="BY372" i="3"/>
  <c r="AF374" i="2"/>
  <c r="K355" i="3"/>
  <c r="BK61" i="9"/>
  <c r="AG61" i="9"/>
  <c r="K361" i="3"/>
  <c r="BD361" i="3" s="1"/>
  <c r="K37" i="3"/>
  <c r="K439" i="3"/>
  <c r="N61" i="9"/>
  <c r="J28" i="3"/>
  <c r="J400" i="3"/>
  <c r="J409" i="3" s="1"/>
  <c r="J416" i="3" s="1"/>
  <c r="J399" i="3"/>
  <c r="J402" i="3"/>
  <c r="J411" i="3" s="1"/>
  <c r="J418" i="3" s="1"/>
  <c r="J401" i="3"/>
  <c r="J410" i="3" s="1"/>
  <c r="J417" i="3" s="1"/>
  <c r="J480" i="3"/>
  <c r="K319" i="3"/>
  <c r="L456" i="3"/>
  <c r="L293" i="3"/>
  <c r="L308" i="3"/>
  <c r="L176" i="3"/>
  <c r="L405" i="5"/>
  <c r="L406" i="5" s="1"/>
  <c r="L382" i="5"/>
  <c r="L380" i="5"/>
  <c r="AN62" i="9"/>
  <c r="K362" i="3" l="1"/>
  <c r="H374" i="1"/>
  <c r="H377" i="1" s="1"/>
  <c r="H382" i="1" s="1"/>
  <c r="H384" i="1" s="1"/>
  <c r="H386" i="1" s="1"/>
  <c r="H367" i="1"/>
  <c r="BY374" i="3"/>
  <c r="AG367" i="2"/>
  <c r="I399" i="5"/>
  <c r="BB184" i="3"/>
  <c r="I266" i="2"/>
  <c r="I94" i="4"/>
  <c r="I191" i="2"/>
  <c r="I397" i="5"/>
  <c r="I85" i="5"/>
  <c r="I342" i="5" s="1"/>
  <c r="J170" i="3"/>
  <c r="J438" i="3"/>
  <c r="J241" i="3"/>
  <c r="J71" i="3"/>
  <c r="J169" i="3"/>
  <c r="J139" i="3"/>
  <c r="J191" i="5"/>
  <c r="M60" i="9"/>
  <c r="J392" i="5"/>
  <c r="J403" i="3"/>
  <c r="J408" i="3"/>
  <c r="L408" i="5"/>
  <c r="J481" i="3"/>
  <c r="K440" i="3"/>
  <c r="P61" i="9"/>
  <c r="I271" i="2" l="1"/>
  <c r="I270" i="2"/>
  <c r="BZ367" i="3"/>
  <c r="AG124" i="2"/>
  <c r="BB266" i="3"/>
  <c r="I193" i="2"/>
  <c r="BB191" i="3"/>
  <c r="J192" i="3"/>
  <c r="J171" i="3"/>
  <c r="J182" i="3" s="1"/>
  <c r="J482" i="3"/>
  <c r="J412" i="3"/>
  <c r="J415" i="3"/>
  <c r="W60" i="9"/>
  <c r="J387" i="5"/>
  <c r="J268" i="3"/>
  <c r="J210" i="3"/>
  <c r="J444" i="3"/>
  <c r="I86" i="4" l="1"/>
  <c r="I89" i="4" s="1"/>
  <c r="I274" i="2" s="1"/>
  <c r="I32" i="4"/>
  <c r="K33" i="4" s="1"/>
  <c r="BB270" i="3"/>
  <c r="I86" i="5"/>
  <c r="I343" i="5" s="1"/>
  <c r="BZ124" i="3"/>
  <c r="AG371" i="2"/>
  <c r="BZ371" i="3" s="1"/>
  <c r="BM35" i="9"/>
  <c r="BM131" i="9" s="1"/>
  <c r="AG36" i="2"/>
  <c r="I201" i="2"/>
  <c r="I195" i="2"/>
  <c r="I200" i="2"/>
  <c r="I198" i="2"/>
  <c r="I197" i="2"/>
  <c r="I196" i="2"/>
  <c r="I199" i="2"/>
  <c r="BB193" i="3"/>
  <c r="J207" i="3"/>
  <c r="J153" i="3"/>
  <c r="J419" i="3"/>
  <c r="J413" i="3"/>
  <c r="I316" i="4" l="1"/>
  <c r="N261" i="1" s="1"/>
  <c r="BB198" i="3"/>
  <c r="G308" i="1"/>
  <c r="BZ36" i="3"/>
  <c r="AG369" i="2"/>
  <c r="AG256" i="2"/>
  <c r="BZ256" i="3" s="1"/>
  <c r="AH16" i="2"/>
  <c r="CA16" i="3" s="1"/>
  <c r="H308" i="1"/>
  <c r="I317" i="4"/>
  <c r="O261" i="1" s="1"/>
  <c r="BB199" i="3"/>
  <c r="I318" i="4"/>
  <c r="P261" i="1" s="1"/>
  <c r="BB200" i="3"/>
  <c r="I308" i="1"/>
  <c r="E308" i="1"/>
  <c r="I314" i="4"/>
  <c r="L261" i="1" s="1"/>
  <c r="BB196" i="3"/>
  <c r="D308" i="1"/>
  <c r="BB195" i="3"/>
  <c r="I202" i="2"/>
  <c r="I313" i="4"/>
  <c r="K261" i="1" s="1"/>
  <c r="F308" i="1"/>
  <c r="I315" i="4"/>
  <c r="M261" i="1" s="1"/>
  <c r="BB197" i="3"/>
  <c r="BB201" i="3"/>
  <c r="I204" i="2"/>
  <c r="J308" i="1"/>
  <c r="K58" i="4"/>
  <c r="K54" i="4"/>
  <c r="K55" i="4"/>
  <c r="K56" i="4"/>
  <c r="K57" i="4"/>
  <c r="J154" i="3"/>
  <c r="J156" i="3" s="1"/>
  <c r="J212" i="3"/>
  <c r="J420" i="3"/>
  <c r="K59" i="4" l="1"/>
  <c r="BB202" i="3"/>
  <c r="I484" i="2"/>
  <c r="H370" i="1"/>
  <c r="H372" i="1" s="1"/>
  <c r="I203" i="2"/>
  <c r="I422" i="2"/>
  <c r="I145" i="2"/>
  <c r="I87" i="5"/>
  <c r="I344" i="5" s="1"/>
  <c r="H394" i="1"/>
  <c r="I515" i="2"/>
  <c r="BB515" i="3" s="1"/>
  <c r="BB204" i="3"/>
  <c r="C308" i="1"/>
  <c r="K308" i="1" s="1"/>
  <c r="BZ369" i="3"/>
  <c r="AG372" i="2"/>
  <c r="J225" i="3"/>
  <c r="J218" i="3"/>
  <c r="K61" i="4" l="1"/>
  <c r="K272" i="2"/>
  <c r="Z11" i="9"/>
  <c r="I148" i="2"/>
  <c r="I17" i="5"/>
  <c r="I244" i="2"/>
  <c r="J302" i="2"/>
  <c r="BC302" i="3" s="1"/>
  <c r="BB145" i="3"/>
  <c r="I146" i="2"/>
  <c r="I229" i="2"/>
  <c r="BB484" i="3"/>
  <c r="I485" i="2"/>
  <c r="BZ372" i="3"/>
  <c r="AG374" i="2"/>
  <c r="I424" i="2"/>
  <c r="BB424" i="3" s="1"/>
  <c r="BB422" i="3"/>
  <c r="J261" i="1"/>
  <c r="BB203" i="3"/>
  <c r="I88" i="5"/>
  <c r="I516" i="2"/>
  <c r="K60" i="4"/>
  <c r="J222" i="3"/>
  <c r="J221" i="3"/>
  <c r="J220" i="3"/>
  <c r="J159" i="3"/>
  <c r="J158" i="3"/>
  <c r="AH367" i="2" l="1"/>
  <c r="BZ374" i="3"/>
  <c r="BB229" i="3"/>
  <c r="I90" i="5"/>
  <c r="I346" i="5" s="1"/>
  <c r="I245" i="2"/>
  <c r="BB244" i="3"/>
  <c r="I109" i="5"/>
  <c r="BB146" i="3"/>
  <c r="I213" i="5"/>
  <c r="I18" i="5"/>
  <c r="BB516" i="3"/>
  <c r="I384" i="5"/>
  <c r="BB485" i="3"/>
  <c r="I425" i="2"/>
  <c r="BB425" i="3" s="1"/>
  <c r="BB148" i="3"/>
  <c r="I248" i="2"/>
  <c r="J8" i="2"/>
  <c r="Z107" i="9"/>
  <c r="AJ11" i="9"/>
  <c r="AL11" i="9" s="1"/>
  <c r="J162" i="3"/>
  <c r="J223" i="3"/>
  <c r="J227" i="3" s="1"/>
  <c r="J160" i="3"/>
  <c r="BT11" i="9" l="1"/>
  <c r="BB248" i="3"/>
  <c r="I259" i="2"/>
  <c r="AL107" i="9"/>
  <c r="AJ107" i="9"/>
  <c r="I214" i="5"/>
  <c r="I19" i="5"/>
  <c r="I262" i="1"/>
  <c r="I486" i="2"/>
  <c r="BB486" i="3" s="1"/>
  <c r="F12" i="9"/>
  <c r="J390" i="2"/>
  <c r="J450" i="2"/>
  <c r="BC450" i="3" s="1"/>
  <c r="BC8" i="3"/>
  <c r="J20" i="2"/>
  <c r="J19" i="2"/>
  <c r="J372" i="5"/>
  <c r="J374" i="5" s="1"/>
  <c r="J447" i="2"/>
  <c r="BC447" i="3" s="1"/>
  <c r="J84" i="2"/>
  <c r="I389" i="1"/>
  <c r="BB245" i="3"/>
  <c r="I260" i="2"/>
  <c r="H373" i="1"/>
  <c r="CA367" i="3"/>
  <c r="AH124" i="2"/>
  <c r="J161" i="3"/>
  <c r="J334" i="5"/>
  <c r="J228" i="3"/>
  <c r="BM36" i="9" l="1"/>
  <c r="BM132" i="9" s="1"/>
  <c r="AH36" i="2"/>
  <c r="CA124" i="3"/>
  <c r="AH371" i="2"/>
  <c r="CA371" i="3" s="1"/>
  <c r="BC19" i="3"/>
  <c r="J10" i="5"/>
  <c r="J206" i="5" s="1"/>
  <c r="J364" i="5"/>
  <c r="J366" i="5" s="1"/>
  <c r="I261" i="2"/>
  <c r="BB261" i="3" s="1"/>
  <c r="J232" i="2"/>
  <c r="BC232" i="3" s="1"/>
  <c r="J392" i="2"/>
  <c r="BC392" i="3" s="1"/>
  <c r="J391" i="2"/>
  <c r="BC390" i="3"/>
  <c r="J394" i="2"/>
  <c r="BC394" i="3" s="1"/>
  <c r="J393" i="2"/>
  <c r="BC393" i="3" s="1"/>
  <c r="I215" i="5"/>
  <c r="I20" i="5"/>
  <c r="BB259" i="3"/>
  <c r="I368" i="5"/>
  <c r="I370" i="5" s="1"/>
  <c r="I144" i="5" s="1"/>
  <c r="F108" i="9"/>
  <c r="K12" i="9"/>
  <c r="J238" i="2"/>
  <c r="BC84" i="3"/>
  <c r="J85" i="2"/>
  <c r="J15" i="5"/>
  <c r="J212" i="5" s="1"/>
  <c r="BB260" i="3"/>
  <c r="BY11" i="9"/>
  <c r="BY107" i="9" s="1"/>
  <c r="BT107" i="9"/>
  <c r="J163" i="3"/>
  <c r="K108" i="9" l="1"/>
  <c r="I262" i="2"/>
  <c r="J240" i="2"/>
  <c r="AD12" i="9"/>
  <c r="AD108" i="9" s="1"/>
  <c r="BC238" i="3"/>
  <c r="AI16" i="2"/>
  <c r="CB16" i="3" s="1"/>
  <c r="AH256" i="2"/>
  <c r="CA256" i="3" s="1"/>
  <c r="CA36" i="3"/>
  <c r="AH369" i="2"/>
  <c r="J470" i="2"/>
  <c r="BC470" i="3" s="1"/>
  <c r="BC85" i="3"/>
  <c r="J290" i="2"/>
  <c r="BC290" i="3" s="1"/>
  <c r="J287" i="2"/>
  <c r="BC391" i="3"/>
  <c r="J395" i="2"/>
  <c r="J165" i="3"/>
  <c r="J267" i="3" s="1"/>
  <c r="J303" i="2" l="1"/>
  <c r="BC287" i="3"/>
  <c r="CA369" i="3"/>
  <c r="AH372" i="2"/>
  <c r="BC395" i="3"/>
  <c r="J405" i="2"/>
  <c r="BC405" i="3" s="1"/>
  <c r="J396" i="2"/>
  <c r="BC396" i="3" s="1"/>
  <c r="BC240" i="3"/>
  <c r="AI12" i="9"/>
  <c r="AI108" i="9" s="1"/>
  <c r="J183" i="3"/>
  <c r="J139" i="5"/>
  <c r="CA372" i="3" l="1"/>
  <c r="AH374" i="2"/>
  <c r="J95" i="2"/>
  <c r="BC303" i="3"/>
  <c r="J184" i="3"/>
  <c r="J457" i="2" l="1"/>
  <c r="BC457" i="3" s="1"/>
  <c r="BC95" i="3"/>
  <c r="J249" i="2"/>
  <c r="J320" i="2"/>
  <c r="AQ12" i="9"/>
  <c r="J103" i="2"/>
  <c r="K9" i="2"/>
  <c r="CA374" i="3"/>
  <c r="AI367" i="2"/>
  <c r="J95" i="4"/>
  <c r="J266" i="3"/>
  <c r="J270" i="3" s="1"/>
  <c r="J191" i="3"/>
  <c r="J330" i="5"/>
  <c r="J398" i="5"/>
  <c r="K489" i="2" l="1"/>
  <c r="BD489" i="3" s="1"/>
  <c r="BD9" i="3"/>
  <c r="K96" i="2"/>
  <c r="BC249" i="3"/>
  <c r="J461" i="2"/>
  <c r="BC461" i="3" s="1"/>
  <c r="AW12" i="9"/>
  <c r="K10" i="2"/>
  <c r="BC103" i="3"/>
  <c r="J331" i="2"/>
  <c r="J501" i="2"/>
  <c r="J250" i="2"/>
  <c r="BC250" i="3" s="1"/>
  <c r="J116" i="2"/>
  <c r="AI124" i="2"/>
  <c r="CB367" i="3"/>
  <c r="AT12" i="9"/>
  <c r="AT108" i="9" s="1"/>
  <c r="AQ108" i="9"/>
  <c r="BC320" i="3"/>
  <c r="J321" i="2"/>
  <c r="J175" i="2"/>
  <c r="J193" i="3"/>
  <c r="K11" i="2" l="1"/>
  <c r="BD10" i="3"/>
  <c r="H262" i="1"/>
  <c r="BC321" i="3"/>
  <c r="K306" i="2"/>
  <c r="AW108" i="9"/>
  <c r="AY12" i="9"/>
  <c r="AY108" i="9" s="1"/>
  <c r="BC175" i="3"/>
  <c r="J281" i="2"/>
  <c r="BC281" i="3" s="1"/>
  <c r="J503" i="2"/>
  <c r="BC501" i="3"/>
  <c r="CB124" i="3"/>
  <c r="AI371" i="2"/>
  <c r="CB371" i="3" s="1"/>
  <c r="BM37" i="9"/>
  <c r="BM133" i="9" s="1"/>
  <c r="AI36" i="2"/>
  <c r="BC331" i="3"/>
  <c r="J332" i="2"/>
  <c r="AR13" i="9"/>
  <c r="AR109" i="9" s="1"/>
  <c r="AE13" i="9"/>
  <c r="AE109" i="9" s="1"/>
  <c r="BD96" i="3"/>
  <c r="K310" i="2"/>
  <c r="BD310" i="3" s="1"/>
  <c r="J347" i="2"/>
  <c r="K12" i="2"/>
  <c r="BB12" i="9"/>
  <c r="J117" i="2"/>
  <c r="J252" i="2"/>
  <c r="BC252" i="3" s="1"/>
  <c r="BC116" i="3"/>
  <c r="J251" i="2"/>
  <c r="J64" i="4"/>
  <c r="J331" i="5"/>
  <c r="J198" i="3"/>
  <c r="J200" i="3"/>
  <c r="J196" i="3"/>
  <c r="J201" i="3"/>
  <c r="J195" i="3"/>
  <c r="J197" i="3"/>
  <c r="J199" i="3"/>
  <c r="BC251" i="3" l="1"/>
  <c r="BU12" i="9"/>
  <c r="BU108" i="9" s="1"/>
  <c r="BC12" i="9"/>
  <c r="BC108" i="9" s="1"/>
  <c r="BB108" i="9"/>
  <c r="BD12" i="3"/>
  <c r="K32" i="2"/>
  <c r="CB36" i="3"/>
  <c r="AI256" i="2"/>
  <c r="AJ16" i="2"/>
  <c r="CC16" i="3" s="1"/>
  <c r="AI369" i="2"/>
  <c r="BC348" i="3"/>
  <c r="J349" i="2"/>
  <c r="J505" i="2"/>
  <c r="BC503" i="3"/>
  <c r="J118" i="2"/>
  <c r="BC117" i="3"/>
  <c r="BF12" i="9"/>
  <c r="K13" i="2"/>
  <c r="J253" i="2"/>
  <c r="J348" i="2"/>
  <c r="J508" i="2"/>
  <c r="BC332" i="3"/>
  <c r="K324" i="2"/>
  <c r="K311" i="2"/>
  <c r="K309" i="2"/>
  <c r="BD306" i="3"/>
  <c r="G13" i="9"/>
  <c r="G109" i="9" s="1"/>
  <c r="BD11" i="3"/>
  <c r="J204" i="3"/>
  <c r="J515" i="3" s="1"/>
  <c r="T309" i="1"/>
  <c r="J325" i="4"/>
  <c r="BW262" i="1"/>
  <c r="R309" i="1"/>
  <c r="J322" i="4"/>
  <c r="O309" i="1"/>
  <c r="BT262" i="1"/>
  <c r="J326" i="4"/>
  <c r="S309" i="1"/>
  <c r="BX262" i="1"/>
  <c r="J323" i="4"/>
  <c r="BU262" i="1"/>
  <c r="P309" i="1"/>
  <c r="J321" i="4"/>
  <c r="J202" i="3"/>
  <c r="BS262" i="1"/>
  <c r="N309" i="1"/>
  <c r="L65" i="4"/>
  <c r="J324" i="4"/>
  <c r="Q309" i="1"/>
  <c r="BV262" i="1"/>
  <c r="K327" i="2" l="1"/>
  <c r="BD324" i="3"/>
  <c r="BC253" i="3"/>
  <c r="J254" i="2"/>
  <c r="J464" i="2"/>
  <c r="BC464" i="3" s="1"/>
  <c r="J177" i="2"/>
  <c r="BC118" i="3"/>
  <c r="J126" i="2"/>
  <c r="J135" i="2" s="1"/>
  <c r="BD13" i="3"/>
  <c r="K33" i="2"/>
  <c r="CB369" i="3"/>
  <c r="AI372" i="2"/>
  <c r="K343" i="2"/>
  <c r="BD344" i="3" s="1"/>
  <c r="BD32" i="3"/>
  <c r="J390" i="1"/>
  <c r="BD309" i="3"/>
  <c r="J510" i="2"/>
  <c r="BC508" i="3"/>
  <c r="BG12" i="9"/>
  <c r="BG108" i="9" s="1"/>
  <c r="BF108" i="9"/>
  <c r="J506" i="2"/>
  <c r="BC505" i="3"/>
  <c r="BD311" i="3"/>
  <c r="K88" i="2"/>
  <c r="J350" i="2"/>
  <c r="K336" i="2" s="1"/>
  <c r="BC349" i="3"/>
  <c r="K335" i="2"/>
  <c r="BC350" i="3"/>
  <c r="CB256" i="3"/>
  <c r="K14" i="2"/>
  <c r="BM262" i="1"/>
  <c r="T262" i="1"/>
  <c r="BP262" i="1"/>
  <c r="W262" i="1"/>
  <c r="BN262" i="1"/>
  <c r="U262" i="1"/>
  <c r="BQ262" i="1"/>
  <c r="X262" i="1"/>
  <c r="V262" i="1"/>
  <c r="BO262" i="1"/>
  <c r="J422" i="3"/>
  <c r="J484" i="3"/>
  <c r="J145" i="3"/>
  <c r="J332" i="5"/>
  <c r="J203" i="3"/>
  <c r="BL262" i="1"/>
  <c r="S262" i="1"/>
  <c r="L70" i="4"/>
  <c r="L69" i="4"/>
  <c r="L67" i="4"/>
  <c r="L71" i="4"/>
  <c r="L68" i="4"/>
  <c r="M309" i="1"/>
  <c r="U309" i="1" s="1"/>
  <c r="K91" i="2" l="1"/>
  <c r="K312" i="2"/>
  <c r="BD88" i="3"/>
  <c r="CB372" i="3"/>
  <c r="AI374" i="2"/>
  <c r="J382" i="2"/>
  <c r="BC135" i="3"/>
  <c r="J258" i="2"/>
  <c r="K18" i="2"/>
  <c r="J469" i="2"/>
  <c r="BC469" i="3" s="1"/>
  <c r="BO12" i="9"/>
  <c r="BD327" i="3"/>
  <c r="K99" i="2"/>
  <c r="BD336" i="3"/>
  <c r="BD335" i="3"/>
  <c r="K339" i="2"/>
  <c r="BD340" i="3" s="1"/>
  <c r="K345" i="2"/>
  <c r="BD346" i="3" s="1"/>
  <c r="BC126" i="3"/>
  <c r="K15" i="2"/>
  <c r="J255" i="2"/>
  <c r="J363" i="2"/>
  <c r="BI12" i="9"/>
  <c r="J467" i="2"/>
  <c r="BC254" i="3"/>
  <c r="BV12" i="9"/>
  <c r="BV108" i="9" s="1"/>
  <c r="H13" i="9"/>
  <c r="H109" i="9" s="1"/>
  <c r="BD14" i="3"/>
  <c r="K34" i="2"/>
  <c r="K344" i="2"/>
  <c r="BD345" i="3" s="1"/>
  <c r="BD33" i="3"/>
  <c r="BD337" i="3"/>
  <c r="K340" i="2"/>
  <c r="BD341" i="3" s="1"/>
  <c r="BC510" i="3"/>
  <c r="J512" i="2"/>
  <c r="BC177" i="3"/>
  <c r="J282" i="2"/>
  <c r="R262" i="1"/>
  <c r="BK262" i="1"/>
  <c r="J333" i="5"/>
  <c r="J516" i="3"/>
  <c r="J424" i="3"/>
  <c r="L72" i="4"/>
  <c r="K302" i="3"/>
  <c r="J244" i="3"/>
  <c r="J146" i="3"/>
  <c r="J129" i="5" s="1"/>
  <c r="J197" i="5"/>
  <c r="Z60" i="9"/>
  <c r="J229" i="3"/>
  <c r="J148" i="3"/>
  <c r="J485" i="3"/>
  <c r="L74" i="4" l="1"/>
  <c r="L272" i="3"/>
  <c r="K346" i="2"/>
  <c r="BD347" i="3" s="1"/>
  <c r="J425" i="3"/>
  <c r="J284" i="2"/>
  <c r="BC282" i="3"/>
  <c r="BC255" i="3"/>
  <c r="J257" i="2"/>
  <c r="J175" i="5"/>
  <c r="BX12" i="9"/>
  <c r="BX108" i="9" s="1"/>
  <c r="BC258" i="3"/>
  <c r="BD34" i="3"/>
  <c r="O13" i="9"/>
  <c r="O109" i="9" s="1"/>
  <c r="BC467" i="3"/>
  <c r="J472" i="2"/>
  <c r="J474" i="2"/>
  <c r="K17" i="2"/>
  <c r="BD15" i="3"/>
  <c r="K35" i="2"/>
  <c r="K127" i="2"/>
  <c r="BO108" i="9"/>
  <c r="BP12" i="9"/>
  <c r="BP108" i="9" s="1"/>
  <c r="J513" i="2"/>
  <c r="BC512" i="3"/>
  <c r="BI108" i="9"/>
  <c r="BL12" i="9"/>
  <c r="J383" i="2"/>
  <c r="BC382" i="3"/>
  <c r="K313" i="2"/>
  <c r="BD312" i="3"/>
  <c r="J364" i="2"/>
  <c r="K353" i="2" s="1"/>
  <c r="BC364" i="3"/>
  <c r="K295" i="2"/>
  <c r="BD295" i="3" s="1"/>
  <c r="K30" i="2"/>
  <c r="K328" i="2"/>
  <c r="BD328" i="3" s="1"/>
  <c r="L101" i="2"/>
  <c r="BE101" i="3" s="1"/>
  <c r="K459" i="2"/>
  <c r="BD459" i="3" s="1"/>
  <c r="L100" i="2"/>
  <c r="AV13" i="9"/>
  <c r="AV109" i="9" s="1"/>
  <c r="BD99" i="3"/>
  <c r="J13" i="9"/>
  <c r="J109" i="9" s="1"/>
  <c r="E263" i="1"/>
  <c r="K131" i="2"/>
  <c r="BD131" i="3" s="1"/>
  <c r="BD18" i="3"/>
  <c r="AJ367" i="2"/>
  <c r="CB374" i="3"/>
  <c r="K292" i="2"/>
  <c r="BD292" i="3" s="1"/>
  <c r="K491" i="2"/>
  <c r="L93" i="2"/>
  <c r="BE93" i="3" s="1"/>
  <c r="BD91" i="3"/>
  <c r="G263" i="1"/>
  <c r="A263" i="1" s="1"/>
  <c r="AP13" i="9"/>
  <c r="AP109" i="9" s="1"/>
  <c r="K455" i="2"/>
  <c r="BD455" i="3" s="1"/>
  <c r="L92" i="2"/>
  <c r="J248" i="3"/>
  <c r="K8" i="3"/>
  <c r="J335" i="5"/>
  <c r="J198" i="5"/>
  <c r="AJ60" i="9"/>
  <c r="AL60" i="9" s="1"/>
  <c r="L73" i="4"/>
  <c r="J245" i="3"/>
  <c r="CC367" i="3" l="1"/>
  <c r="AJ124" i="2"/>
  <c r="BE100" i="3"/>
  <c r="L102" i="2"/>
  <c r="BD30" i="3"/>
  <c r="K329" i="2"/>
  <c r="BL108" i="9"/>
  <c r="BR12" i="9"/>
  <c r="BR108" i="9" s="1"/>
  <c r="BD491" i="3"/>
  <c r="K130" i="2"/>
  <c r="BD130" i="3" s="1"/>
  <c r="K128" i="2"/>
  <c r="BD17" i="3"/>
  <c r="I13" i="9"/>
  <c r="I109" i="9" s="1"/>
  <c r="I359" i="1"/>
  <c r="BC284" i="3"/>
  <c r="AG13" i="9"/>
  <c r="AG109" i="9" s="1"/>
  <c r="K355" i="2"/>
  <c r="BD355" i="3" s="1"/>
  <c r="BK13" i="9"/>
  <c r="BK109" i="9" s="1"/>
  <c r="BD127" i="3"/>
  <c r="BC474" i="3"/>
  <c r="J476" i="2"/>
  <c r="BC257" i="3"/>
  <c r="BW12" i="9"/>
  <c r="BW108" i="9" s="1"/>
  <c r="BE92" i="3"/>
  <c r="L94" i="2"/>
  <c r="J391" i="1"/>
  <c r="BD353" i="3"/>
  <c r="BC383" i="3"/>
  <c r="K377" i="2"/>
  <c r="BD35" i="3"/>
  <c r="K37" i="2"/>
  <c r="K361" i="2"/>
  <c r="BC472" i="3"/>
  <c r="J402" i="2"/>
  <c r="J28" i="2"/>
  <c r="J400" i="2"/>
  <c r="J401" i="2"/>
  <c r="J399" i="2"/>
  <c r="J486" i="3"/>
  <c r="K447" i="3"/>
  <c r="K450" i="3"/>
  <c r="K390" i="3"/>
  <c r="K84" i="3"/>
  <c r="K20" i="3"/>
  <c r="K19" i="3"/>
  <c r="K373" i="5"/>
  <c r="F61" i="9"/>
  <c r="K61" i="9" s="1"/>
  <c r="J259" i="3"/>
  <c r="J369" i="5" s="1"/>
  <c r="BT60" i="9"/>
  <c r="BY60" i="9" s="1"/>
  <c r="J260" i="3"/>
  <c r="J199" i="5"/>
  <c r="J200" i="5" s="1"/>
  <c r="BD128" i="3" l="1"/>
  <c r="K133" i="2"/>
  <c r="J403" i="2"/>
  <c r="BC403" i="3" s="1"/>
  <c r="BC399" i="3"/>
  <c r="J408" i="2"/>
  <c r="J411" i="2"/>
  <c r="BC402" i="3"/>
  <c r="BE102" i="3"/>
  <c r="L326" i="2"/>
  <c r="BE326" i="3" s="1"/>
  <c r="L378" i="5"/>
  <c r="L460" i="2"/>
  <c r="BE460" i="3" s="1"/>
  <c r="L502" i="2"/>
  <c r="BE502" i="3" s="1"/>
  <c r="L296" i="2"/>
  <c r="BE296" i="3" s="1"/>
  <c r="AU14" i="9"/>
  <c r="AU110" i="9" s="1"/>
  <c r="BC401" i="3"/>
  <c r="J410" i="2"/>
  <c r="BD377" i="3"/>
  <c r="BC400" i="3"/>
  <c r="J409" i="2"/>
  <c r="BD362" i="3"/>
  <c r="BD356" i="3"/>
  <c r="L377" i="5"/>
  <c r="L176" i="2"/>
  <c r="L293" i="2"/>
  <c r="BE293" i="3" s="1"/>
  <c r="AN14" i="9"/>
  <c r="AN110" i="9" s="1"/>
  <c r="L379" i="5"/>
  <c r="L383" i="5" s="1"/>
  <c r="L308" i="2"/>
  <c r="BE308" i="3" s="1"/>
  <c r="BE94" i="3"/>
  <c r="L456" i="2"/>
  <c r="BE456" i="3" s="1"/>
  <c r="BC476" i="3"/>
  <c r="J478" i="2"/>
  <c r="BD329" i="3"/>
  <c r="K330" i="2"/>
  <c r="BD330" i="3" s="1"/>
  <c r="AJ36" i="2"/>
  <c r="AJ371" i="2"/>
  <c r="CC371" i="3" s="1"/>
  <c r="CC124" i="3"/>
  <c r="BM38" i="9"/>
  <c r="BM134" i="9" s="1"/>
  <c r="J241" i="2"/>
  <c r="BC241" i="3" s="1"/>
  <c r="J390" i="5"/>
  <c r="J394" i="5" s="1"/>
  <c r="J169" i="2"/>
  <c r="J139" i="2"/>
  <c r="BC139" i="3" s="1"/>
  <c r="BC28" i="3"/>
  <c r="J11" i="5"/>
  <c r="J207" i="5" s="1"/>
  <c r="J71" i="2"/>
  <c r="J438" i="2"/>
  <c r="M12" i="9"/>
  <c r="P13" i="9"/>
  <c r="P109" i="9" s="1"/>
  <c r="BD37" i="3"/>
  <c r="K362" i="2"/>
  <c r="K232" i="3"/>
  <c r="J261" i="3"/>
  <c r="J262" i="3" s="1"/>
  <c r="K190" i="5"/>
  <c r="K365" i="5"/>
  <c r="K393" i="3"/>
  <c r="K391" i="3"/>
  <c r="K394" i="3"/>
  <c r="K392" i="3"/>
  <c r="J393" i="5"/>
  <c r="K238" i="3"/>
  <c r="K85" i="3"/>
  <c r="K195" i="5"/>
  <c r="AO13" i="9" l="1"/>
  <c r="AO109" i="9" s="1"/>
  <c r="K378" i="2"/>
  <c r="K314" i="2"/>
  <c r="K492" i="2"/>
  <c r="BD133" i="3"/>
  <c r="K172" i="5"/>
  <c r="K180" i="2"/>
  <c r="K38" i="2"/>
  <c r="K29" i="2"/>
  <c r="J391" i="5"/>
  <c r="J395" i="5" s="1"/>
  <c r="M108" i="9"/>
  <c r="W12" i="9"/>
  <c r="AJ256" i="2"/>
  <c r="CC256" i="3" s="1"/>
  <c r="AJ369" i="2"/>
  <c r="CC36" i="3"/>
  <c r="AK16" i="2"/>
  <c r="CD16" i="3" s="1"/>
  <c r="BC478" i="3"/>
  <c r="J480" i="2"/>
  <c r="BE176" i="3"/>
  <c r="K357" i="1"/>
  <c r="BC409" i="3"/>
  <c r="J416" i="2"/>
  <c r="BC416" i="3" s="1"/>
  <c r="BC410" i="3"/>
  <c r="J417" i="2"/>
  <c r="J418" i="2"/>
  <c r="BC418" i="3" s="1"/>
  <c r="BC411" i="3"/>
  <c r="BC438" i="3"/>
  <c r="J444" i="2"/>
  <c r="BC444" i="3" s="1"/>
  <c r="J412" i="2"/>
  <c r="BC412" i="3" s="1"/>
  <c r="BC408" i="3"/>
  <c r="J415" i="2"/>
  <c r="BC71" i="3"/>
  <c r="I368" i="1"/>
  <c r="J386" i="5"/>
  <c r="J388" i="5" s="1"/>
  <c r="BC169" i="3"/>
  <c r="I354" i="1"/>
  <c r="K470" i="3"/>
  <c r="K290" i="3"/>
  <c r="K287" i="3"/>
  <c r="K240" i="3"/>
  <c r="AD61" i="9"/>
  <c r="K395" i="3"/>
  <c r="W108" i="9" l="1"/>
  <c r="J413" i="2"/>
  <c r="K379" i="2"/>
  <c r="BD379" i="3" s="1"/>
  <c r="K173" i="5"/>
  <c r="Q13" i="9"/>
  <c r="Q109" i="9" s="1"/>
  <c r="BD38" i="3"/>
  <c r="K440" i="2"/>
  <c r="BD440" i="3" s="1"/>
  <c r="BD492" i="3"/>
  <c r="K494" i="2"/>
  <c r="BD494" i="3" s="1"/>
  <c r="K493" i="2"/>
  <c r="BD180" i="3"/>
  <c r="K283" i="2"/>
  <c r="BD283" i="3" s="1"/>
  <c r="BD314" i="3"/>
  <c r="BD378" i="3"/>
  <c r="K381" i="2"/>
  <c r="BD381" i="3" s="1"/>
  <c r="K31" i="2"/>
  <c r="BD29" i="3"/>
  <c r="K317" i="2"/>
  <c r="BD317" i="3" s="1"/>
  <c r="K303" i="3"/>
  <c r="BC480" i="3"/>
  <c r="J481" i="2"/>
  <c r="AJ372" i="2"/>
  <c r="CC369" i="3"/>
  <c r="BC417" i="3"/>
  <c r="J170" i="2"/>
  <c r="BC415" i="3"/>
  <c r="J419" i="2"/>
  <c r="K396" i="3"/>
  <c r="K405" i="3"/>
  <c r="AI61" i="9"/>
  <c r="K95" i="3"/>
  <c r="K319" i="2" l="1"/>
  <c r="BD319" i="3" s="1"/>
  <c r="BD493" i="3"/>
  <c r="K496" i="2"/>
  <c r="N13" i="9"/>
  <c r="N109" i="9" s="1"/>
  <c r="K439" i="2"/>
  <c r="BD439" i="3" s="1"/>
  <c r="BD31" i="3"/>
  <c r="BC481" i="3"/>
  <c r="J482" i="2"/>
  <c r="BC482" i="3" s="1"/>
  <c r="BC170" i="3"/>
  <c r="J268" i="2"/>
  <c r="BC268" i="3" s="1"/>
  <c r="J171" i="2"/>
  <c r="J210" i="2"/>
  <c r="J192" i="2"/>
  <c r="I355" i="1"/>
  <c r="BC419" i="3"/>
  <c r="J420" i="2"/>
  <c r="BC420" i="3" s="1"/>
  <c r="CC372" i="3"/>
  <c r="AJ374" i="2"/>
  <c r="K457" i="3"/>
  <c r="K320" i="3"/>
  <c r="K321" i="3" s="1"/>
  <c r="L306" i="3" s="1"/>
  <c r="AQ61" i="9"/>
  <c r="AT61" i="9" s="1"/>
  <c r="L9" i="3"/>
  <c r="K249" i="3"/>
  <c r="K103" i="3"/>
  <c r="K175" i="3" s="1"/>
  <c r="K281" i="3" s="1"/>
  <c r="K497" i="2" l="1"/>
  <c r="BD496" i="3"/>
  <c r="BC192" i="3"/>
  <c r="I366" i="1"/>
  <c r="I380" i="1"/>
  <c r="BC210" i="3"/>
  <c r="I356" i="1"/>
  <c r="I361" i="1" s="1"/>
  <c r="BC171" i="3"/>
  <c r="CC374" i="3"/>
  <c r="AK367" i="2"/>
  <c r="J182" i="2"/>
  <c r="K461" i="3"/>
  <c r="K331" i="3"/>
  <c r="K332" i="3" s="1"/>
  <c r="L324" i="3" s="1"/>
  <c r="AW61" i="9"/>
  <c r="AY61" i="9" s="1"/>
  <c r="K501" i="3"/>
  <c r="K503" i="3" s="1"/>
  <c r="K505" i="3" s="1"/>
  <c r="K506" i="3" s="1"/>
  <c r="L10" i="3"/>
  <c r="L11" i="3" s="1"/>
  <c r="G62" i="9" s="1"/>
  <c r="K250" i="3"/>
  <c r="K251" i="3" s="1"/>
  <c r="BU61" i="9" s="1"/>
  <c r="L309" i="3"/>
  <c r="L489" i="3"/>
  <c r="L96" i="3"/>
  <c r="K116" i="3"/>
  <c r="BD497" i="3" l="1"/>
  <c r="K498" i="2"/>
  <c r="BD498" i="3" s="1"/>
  <c r="CD367" i="3"/>
  <c r="AK124" i="2"/>
  <c r="J207" i="2"/>
  <c r="J153" i="2"/>
  <c r="BC182" i="3"/>
  <c r="L310" i="3"/>
  <c r="AR62" i="9"/>
  <c r="AE62" i="9"/>
  <c r="L327" i="3"/>
  <c r="L99" i="3" s="1"/>
  <c r="M100" i="3" s="1"/>
  <c r="K347" i="3"/>
  <c r="K349" i="3" s="1"/>
  <c r="L335" i="3" s="1"/>
  <c r="BB61" i="9"/>
  <c r="BC61" i="9" s="1"/>
  <c r="K252" i="3"/>
  <c r="L12" i="3"/>
  <c r="K117" i="3"/>
  <c r="BC153" i="3" l="1"/>
  <c r="J154" i="2"/>
  <c r="BC207" i="3"/>
  <c r="J212" i="2"/>
  <c r="AK36" i="2"/>
  <c r="CD124" i="3"/>
  <c r="AK371" i="2"/>
  <c r="CD371" i="3" s="1"/>
  <c r="BM39" i="9"/>
  <c r="BM135" i="9" s="1"/>
  <c r="M101" i="3"/>
  <c r="M102" i="3" s="1"/>
  <c r="L30" i="3"/>
  <c r="L459" i="3"/>
  <c r="L328" i="3"/>
  <c r="L295" i="3"/>
  <c r="AV62" i="9"/>
  <c r="L311" i="3"/>
  <c r="L88" i="3" s="1"/>
  <c r="K348" i="3"/>
  <c r="K350" i="3" s="1"/>
  <c r="L336" i="3" s="1"/>
  <c r="BF61" i="9"/>
  <c r="BG61" i="9" s="1"/>
  <c r="K508" i="3"/>
  <c r="K510" i="3" s="1"/>
  <c r="K512" i="3" s="1"/>
  <c r="K513" i="3" s="1"/>
  <c r="L13" i="3"/>
  <c r="L14" i="3" s="1"/>
  <c r="H62" i="9" s="1"/>
  <c r="K253" i="3"/>
  <c r="K254" i="3" s="1"/>
  <c r="BV61" i="9" s="1"/>
  <c r="K118" i="3"/>
  <c r="K126" i="3" s="1"/>
  <c r="L32" i="3"/>
  <c r="L339" i="3"/>
  <c r="J225" i="2" l="1"/>
  <c r="BC225" i="3" s="1"/>
  <c r="J218" i="2"/>
  <c r="BC212" i="3"/>
  <c r="J156" i="2"/>
  <c r="BC154" i="3"/>
  <c r="AK369" i="2"/>
  <c r="CD36" i="3"/>
  <c r="AK256" i="2"/>
  <c r="CD256" i="3" s="1"/>
  <c r="AL16" i="2"/>
  <c r="CE16" i="3" s="1"/>
  <c r="M326" i="3"/>
  <c r="M502" i="3"/>
  <c r="M381" i="5"/>
  <c r="AU63" i="9"/>
  <c r="M296" i="3"/>
  <c r="M460" i="3"/>
  <c r="L340" i="3"/>
  <c r="K464" i="3"/>
  <c r="K177" i="3"/>
  <c r="K282" i="3" s="1"/>
  <c r="K284" i="3" s="1"/>
  <c r="L33" i="3"/>
  <c r="L344" i="3" s="1"/>
  <c r="L346" i="3" s="1"/>
  <c r="L343" i="3"/>
  <c r="L345" i="3" s="1"/>
  <c r="L312" i="3"/>
  <c r="L91" i="3"/>
  <c r="L329" i="3"/>
  <c r="L330" i="3" s="1"/>
  <c r="J159" i="2" l="1"/>
  <c r="J158" i="2"/>
  <c r="BC156" i="3"/>
  <c r="AK372" i="2"/>
  <c r="CD369" i="3"/>
  <c r="BC218" i="3"/>
  <c r="J220" i="2"/>
  <c r="J221" i="2"/>
  <c r="BC221" i="3" s="1"/>
  <c r="J222" i="2"/>
  <c r="BC222" i="3" s="1"/>
  <c r="K467" i="3"/>
  <c r="K363" i="3"/>
  <c r="BI61" i="9"/>
  <c r="BL61" i="9" s="1"/>
  <c r="BR61" i="9" s="1"/>
  <c r="K255" i="3"/>
  <c r="K257" i="3" s="1"/>
  <c r="BW61" i="9" s="1"/>
  <c r="L15" i="3"/>
  <c r="K472" i="3"/>
  <c r="K474" i="3"/>
  <c r="L34" i="3"/>
  <c r="O62" i="9" s="1"/>
  <c r="L491" i="3"/>
  <c r="L493" i="3" s="1"/>
  <c r="L455" i="3"/>
  <c r="L292" i="3"/>
  <c r="AP62" i="9"/>
  <c r="L29" i="3"/>
  <c r="M93" i="3"/>
  <c r="M92" i="3"/>
  <c r="CD372" i="3" l="1"/>
  <c r="AK374" i="2"/>
  <c r="J223" i="2"/>
  <c r="BC220" i="3"/>
  <c r="J162" i="2"/>
  <c r="BC162" i="3" s="1"/>
  <c r="BC158" i="3"/>
  <c r="J160" i="2"/>
  <c r="BC159" i="3"/>
  <c r="L494" i="3"/>
  <c r="L496" i="3" s="1"/>
  <c r="L497" i="3" s="1"/>
  <c r="L498" i="3" s="1"/>
  <c r="M94" i="3"/>
  <c r="K476" i="3"/>
  <c r="K478" i="3" s="1"/>
  <c r="K364" i="3"/>
  <c r="L353" i="3" s="1"/>
  <c r="BD363" i="3"/>
  <c r="L317" i="3"/>
  <c r="L31" i="3"/>
  <c r="K28" i="3"/>
  <c r="K399" i="3"/>
  <c r="K402" i="3"/>
  <c r="K411" i="3" s="1"/>
  <c r="K418" i="3" s="1"/>
  <c r="K401" i="3"/>
  <c r="K410" i="3" s="1"/>
  <c r="K417" i="3" s="1"/>
  <c r="K170" i="3" s="1"/>
  <c r="K400" i="3"/>
  <c r="K409" i="3" s="1"/>
  <c r="K416" i="3" s="1"/>
  <c r="L127" i="3"/>
  <c r="L17" i="3"/>
  <c r="I62" i="9" s="1"/>
  <c r="L35" i="3"/>
  <c r="BC160" i="3" l="1"/>
  <c r="J161" i="2"/>
  <c r="J227" i="2"/>
  <c r="BC223" i="3"/>
  <c r="CD374" i="3"/>
  <c r="AL367" i="2"/>
  <c r="L355" i="3"/>
  <c r="AG62" i="9"/>
  <c r="BK62" i="9"/>
  <c r="K480" i="3"/>
  <c r="L361" i="3"/>
  <c r="BE361" i="3" s="1"/>
  <c r="L37" i="3"/>
  <c r="K403" i="3"/>
  <c r="K408" i="3"/>
  <c r="M456" i="3"/>
  <c r="M308" i="3"/>
  <c r="M293" i="3"/>
  <c r="M176" i="3"/>
  <c r="M382" i="5"/>
  <c r="M380" i="5"/>
  <c r="M405" i="5"/>
  <c r="M406" i="5" s="1"/>
  <c r="AN63" i="9"/>
  <c r="K438" i="3"/>
  <c r="K444" i="3" s="1"/>
  <c r="K169" i="3"/>
  <c r="K241" i="3"/>
  <c r="K139" i="3"/>
  <c r="K191" i="5"/>
  <c r="K71" i="3"/>
  <c r="K392" i="5"/>
  <c r="M61" i="9"/>
  <c r="W61" i="9" s="1"/>
  <c r="L439" i="3"/>
  <c r="N62" i="9"/>
  <c r="K268" i="3"/>
  <c r="K210" i="3"/>
  <c r="L319" i="3"/>
  <c r="J89" i="5" l="1"/>
  <c r="J345" i="5" s="1"/>
  <c r="I385" i="1"/>
  <c r="I371" i="1"/>
  <c r="J228" i="2"/>
  <c r="BC228" i="3" s="1"/>
  <c r="I393" i="1"/>
  <c r="BC227" i="3"/>
  <c r="AL124" i="2"/>
  <c r="CE367" i="3"/>
  <c r="J163" i="2"/>
  <c r="BC161" i="3"/>
  <c r="L362" i="3"/>
  <c r="K481" i="3"/>
  <c r="K387" i="5"/>
  <c r="K171" i="3"/>
  <c r="K182" i="3" s="1"/>
  <c r="K192" i="3"/>
  <c r="M408" i="5"/>
  <c r="K415" i="3"/>
  <c r="K419" i="3" s="1"/>
  <c r="K420" i="3" s="1"/>
  <c r="K412" i="3"/>
  <c r="K413" i="3" s="1"/>
  <c r="L440" i="3"/>
  <c r="P62" i="9"/>
  <c r="AL36" i="2" l="1"/>
  <c r="AL371" i="2"/>
  <c r="CE371" i="3" s="1"/>
  <c r="BM40" i="9"/>
  <c r="BM136" i="9" s="1"/>
  <c r="CE124" i="3"/>
  <c r="BC163" i="3"/>
  <c r="J165" i="2"/>
  <c r="K207" i="3"/>
  <c r="K212" i="3" s="1"/>
  <c r="K153" i="3"/>
  <c r="K154" i="3" s="1"/>
  <c r="K156" i="3" s="1"/>
  <c r="K482" i="3"/>
  <c r="J166" i="2" l="1"/>
  <c r="BC166" i="3" s="1"/>
  <c r="J267" i="2"/>
  <c r="BC267" i="3" s="1"/>
  <c r="J112" i="5"/>
  <c r="J140" i="5" s="1"/>
  <c r="J183" i="2"/>
  <c r="BC165" i="3"/>
  <c r="CE36" i="3"/>
  <c r="AL369" i="2"/>
  <c r="AL256" i="2"/>
  <c r="CE256" i="3" s="1"/>
  <c r="AM16" i="2"/>
  <c r="CF16" i="3" s="1"/>
  <c r="K158" i="3"/>
  <c r="K162" i="3" s="1"/>
  <c r="K159" i="3"/>
  <c r="K160" i="3" s="1"/>
  <c r="K161" i="3" s="1"/>
  <c r="K225" i="3"/>
  <c r="K218" i="3"/>
  <c r="BC183" i="3" l="1"/>
  <c r="J184" i="2"/>
  <c r="I375" i="1"/>
  <c r="I363" i="1"/>
  <c r="I364" i="1" s="1"/>
  <c r="CE369" i="3"/>
  <c r="AL372" i="2"/>
  <c r="K222" i="3"/>
  <c r="K221" i="3"/>
  <c r="K220" i="3"/>
  <c r="K163" i="3"/>
  <c r="K165" i="3" s="1"/>
  <c r="K267" i="3" s="1"/>
  <c r="I367" i="1" l="1"/>
  <c r="I374" i="1"/>
  <c r="I377" i="1" s="1"/>
  <c r="I382" i="1" s="1"/>
  <c r="I384" i="1" s="1"/>
  <c r="I386" i="1" s="1"/>
  <c r="CE372" i="3"/>
  <c r="AL374" i="2"/>
  <c r="J191" i="2"/>
  <c r="J397" i="5"/>
  <c r="J85" i="5"/>
  <c r="J342" i="5" s="1"/>
  <c r="J266" i="2"/>
  <c r="BC184" i="3"/>
  <c r="J399" i="5"/>
  <c r="J94" i="4"/>
  <c r="K183" i="3"/>
  <c r="K184" i="3" s="1"/>
  <c r="K166" i="3"/>
  <c r="K139" i="5"/>
  <c r="K223" i="3"/>
  <c r="K227" i="3" s="1"/>
  <c r="J270" i="2" l="1"/>
  <c r="J271" i="2"/>
  <c r="BC266" i="3"/>
  <c r="AM367" i="2"/>
  <c r="CE374" i="3"/>
  <c r="BC191" i="3"/>
  <c r="J193" i="2"/>
  <c r="K334" i="5"/>
  <c r="K228" i="3"/>
  <c r="K95" i="4"/>
  <c r="K266" i="3"/>
  <c r="K270" i="3" s="1"/>
  <c r="K191" i="3"/>
  <c r="K193" i="3" s="1"/>
  <c r="K330" i="5"/>
  <c r="K398" i="5"/>
  <c r="J86" i="4" l="1"/>
  <c r="CF367" i="3"/>
  <c r="AM124" i="2"/>
  <c r="J200" i="2"/>
  <c r="J196" i="2"/>
  <c r="J198" i="2"/>
  <c r="J199" i="2"/>
  <c r="J197" i="2"/>
  <c r="J201" i="2"/>
  <c r="J195" i="2"/>
  <c r="BC193" i="3"/>
  <c r="J86" i="5"/>
  <c r="J343" i="5" s="1"/>
  <c r="J32" i="4"/>
  <c r="L33" i="4" s="1"/>
  <c r="BC270" i="3"/>
  <c r="K201" i="3"/>
  <c r="K197" i="3"/>
  <c r="K199" i="3"/>
  <c r="K195" i="3"/>
  <c r="K196" i="3"/>
  <c r="K198" i="3"/>
  <c r="K200" i="3"/>
  <c r="K64" i="4"/>
  <c r="M65" i="4" s="1"/>
  <c r="K331" i="5"/>
  <c r="J309" i="1" l="1"/>
  <c r="BC201" i="3"/>
  <c r="J204" i="2"/>
  <c r="E309" i="1"/>
  <c r="J314" i="4"/>
  <c r="L262" i="1" s="1"/>
  <c r="BC196" i="3"/>
  <c r="BC197" i="3"/>
  <c r="F309" i="1"/>
  <c r="J315" i="4"/>
  <c r="M262" i="1" s="1"/>
  <c r="I309" i="1"/>
  <c r="J318" i="4"/>
  <c r="P262" i="1" s="1"/>
  <c r="BC200" i="3"/>
  <c r="H309" i="1"/>
  <c r="J317" i="4"/>
  <c r="O262" i="1" s="1"/>
  <c r="BC199" i="3"/>
  <c r="BM41" i="9"/>
  <c r="BM137" i="9" s="1"/>
  <c r="CF124" i="3"/>
  <c r="AM371" i="2"/>
  <c r="CF371" i="3" s="1"/>
  <c r="AM36" i="2"/>
  <c r="L55" i="4"/>
  <c r="L54" i="4"/>
  <c r="L57" i="4"/>
  <c r="L56" i="4"/>
  <c r="L58" i="4"/>
  <c r="J313" i="4"/>
  <c r="K262" i="1" s="1"/>
  <c r="BC195" i="3"/>
  <c r="J202" i="2"/>
  <c r="D309" i="1"/>
  <c r="BC198" i="3"/>
  <c r="G309" i="1"/>
  <c r="J316" i="4"/>
  <c r="N262" i="1" s="1"/>
  <c r="K326" i="4"/>
  <c r="S310" i="1"/>
  <c r="BX263" i="1"/>
  <c r="K321" i="4"/>
  <c r="K202" i="3"/>
  <c r="N310" i="1"/>
  <c r="BS263" i="1"/>
  <c r="K324" i="4"/>
  <c r="BV263" i="1"/>
  <c r="Q310" i="1"/>
  <c r="K325" i="4"/>
  <c r="R310" i="1"/>
  <c r="BW263" i="1"/>
  <c r="K323" i="4"/>
  <c r="P310" i="1"/>
  <c r="BU263" i="1"/>
  <c r="M69" i="4"/>
  <c r="M71" i="4"/>
  <c r="M70" i="4"/>
  <c r="M68" i="4"/>
  <c r="M67" i="4"/>
  <c r="K322" i="4"/>
  <c r="O310" i="1"/>
  <c r="BT263" i="1"/>
  <c r="K204" i="3"/>
  <c r="K515" i="3" s="1"/>
  <c r="T310" i="1"/>
  <c r="C309" i="1" l="1"/>
  <c r="K309" i="1" s="1"/>
  <c r="J87" i="5"/>
  <c r="J344" i="5" s="1"/>
  <c r="J203" i="2"/>
  <c r="J422" i="2"/>
  <c r="J145" i="2"/>
  <c r="I370" i="1"/>
  <c r="I372" i="1" s="1"/>
  <c r="BC202" i="3"/>
  <c r="J484" i="2"/>
  <c r="AM256" i="2"/>
  <c r="CF256" i="3" s="1"/>
  <c r="AN16" i="2"/>
  <c r="CG16" i="3" s="1"/>
  <c r="AM369" i="2"/>
  <c r="CF36" i="3"/>
  <c r="I394" i="1"/>
  <c r="J515" i="2"/>
  <c r="BC515" i="3" s="1"/>
  <c r="BC204" i="3"/>
  <c r="L59" i="4"/>
  <c r="BO263" i="1"/>
  <c r="V263" i="1"/>
  <c r="BM263" i="1"/>
  <c r="T263" i="1"/>
  <c r="U263" i="1"/>
  <c r="BN263" i="1"/>
  <c r="BP263" i="1"/>
  <c r="W263" i="1"/>
  <c r="M310" i="1"/>
  <c r="U310" i="1" s="1"/>
  <c r="M72" i="4"/>
  <c r="K484" i="3"/>
  <c r="K485" i="3" s="1"/>
  <c r="K422" i="3"/>
  <c r="K424" i="3" s="1"/>
  <c r="K145" i="3"/>
  <c r="K332" i="5"/>
  <c r="K203" i="3"/>
  <c r="BQ263" i="1"/>
  <c r="X263" i="1"/>
  <c r="BL263" i="1"/>
  <c r="S263" i="1"/>
  <c r="L61" i="4" l="1"/>
  <c r="L272" i="2"/>
  <c r="M74" i="4"/>
  <c r="M272" i="3"/>
  <c r="L60" i="4"/>
  <c r="BC484" i="3"/>
  <c r="J485" i="2"/>
  <c r="BC422" i="3"/>
  <c r="J424" i="2"/>
  <c r="BC424" i="3" s="1"/>
  <c r="CF369" i="3"/>
  <c r="AM372" i="2"/>
  <c r="J88" i="5"/>
  <c r="J516" i="2"/>
  <c r="BC203" i="3"/>
  <c r="J262" i="1"/>
  <c r="J229" i="2"/>
  <c r="Z12" i="9"/>
  <c r="K302" i="2"/>
  <c r="BD302" i="3" s="1"/>
  <c r="J244" i="2"/>
  <c r="J17" i="5"/>
  <c r="J148" i="2"/>
  <c r="J146" i="2"/>
  <c r="BC145" i="3"/>
  <c r="BK263" i="1"/>
  <c r="R263" i="1"/>
  <c r="K333" i="5"/>
  <c r="K516" i="3"/>
  <c r="K425" i="3"/>
  <c r="L302" i="3"/>
  <c r="K244" i="3"/>
  <c r="K245" i="3" s="1"/>
  <c r="K260" i="3" s="1"/>
  <c r="K146" i="3"/>
  <c r="K129" i="5" s="1"/>
  <c r="K197" i="5"/>
  <c r="K198" i="5" s="1"/>
  <c r="Z61" i="9"/>
  <c r="AJ61" i="9" s="1"/>
  <c r="AL61" i="9" s="1"/>
  <c r="K229" i="3"/>
  <c r="K335" i="5" s="1"/>
  <c r="K148" i="3"/>
  <c r="M73" i="4"/>
  <c r="BC146" i="3" l="1"/>
  <c r="J109" i="5"/>
  <c r="J248" i="2"/>
  <c r="BC148" i="3"/>
  <c r="K8" i="2"/>
  <c r="Z108" i="9"/>
  <c r="AJ12" i="9"/>
  <c r="AL12" i="9" s="1"/>
  <c r="BC516" i="3"/>
  <c r="J384" i="5"/>
  <c r="J213" i="5"/>
  <c r="J18" i="5"/>
  <c r="J90" i="5"/>
  <c r="J346" i="5" s="1"/>
  <c r="BC229" i="3"/>
  <c r="BC244" i="3"/>
  <c r="J245" i="2"/>
  <c r="CF372" i="3"/>
  <c r="AM374" i="2"/>
  <c r="BC485" i="3"/>
  <c r="J425" i="2"/>
  <c r="BC425" i="3" s="1"/>
  <c r="K248" i="3"/>
  <c r="L8" i="3"/>
  <c r="K199" i="5"/>
  <c r="K200" i="5" s="1"/>
  <c r="BC245" i="3" l="1"/>
  <c r="J260" i="2"/>
  <c r="BC260" i="3" s="1"/>
  <c r="I373" i="1"/>
  <c r="J214" i="5"/>
  <c r="J19" i="5"/>
  <c r="AL108" i="9"/>
  <c r="AJ108" i="9"/>
  <c r="BT12" i="9"/>
  <c r="BC248" i="3"/>
  <c r="J259" i="2"/>
  <c r="AN367" i="2"/>
  <c r="CF374" i="3"/>
  <c r="K372" i="5"/>
  <c r="K374" i="5" s="1"/>
  <c r="K19" i="2"/>
  <c r="K390" i="2"/>
  <c r="I263" i="1"/>
  <c r="BD8" i="3"/>
  <c r="J486" i="2"/>
  <c r="BC486" i="3" s="1"/>
  <c r="K84" i="2"/>
  <c r="K20" i="2"/>
  <c r="J389" i="1"/>
  <c r="K447" i="2"/>
  <c r="BD447" i="3" s="1"/>
  <c r="F13" i="9"/>
  <c r="K450" i="2"/>
  <c r="BD450" i="3" s="1"/>
  <c r="K486" i="3"/>
  <c r="L450" i="3"/>
  <c r="L447" i="3"/>
  <c r="L390" i="3"/>
  <c r="L84" i="3"/>
  <c r="L20" i="3"/>
  <c r="L19" i="3"/>
  <c r="L373" i="5"/>
  <c r="F62" i="9"/>
  <c r="K62" i="9" s="1"/>
  <c r="K259" i="3"/>
  <c r="K369" i="5" s="1"/>
  <c r="BT61" i="9"/>
  <c r="BY61" i="9" s="1"/>
  <c r="BT108" i="9" l="1"/>
  <c r="BY12" i="9"/>
  <c r="BY108" i="9" s="1"/>
  <c r="K85" i="2"/>
  <c r="K238" i="2"/>
  <c r="K15" i="5"/>
  <c r="K212" i="5" s="1"/>
  <c r="BD84" i="3"/>
  <c r="K392" i="2"/>
  <c r="BD392" i="3" s="1"/>
  <c r="K391" i="2"/>
  <c r="K394" i="2"/>
  <c r="BD394" i="3" s="1"/>
  <c r="K393" i="2"/>
  <c r="BD393" i="3" s="1"/>
  <c r="BD390" i="3"/>
  <c r="AN124" i="2"/>
  <c r="CG367" i="3"/>
  <c r="K232" i="2"/>
  <c r="BD232" i="3" s="1"/>
  <c r="BD19" i="3"/>
  <c r="K10" i="5"/>
  <c r="K206" i="5" s="1"/>
  <c r="K364" i="5"/>
  <c r="K366" i="5" s="1"/>
  <c r="J261" i="2"/>
  <c r="J368" i="5"/>
  <c r="J370" i="5" s="1"/>
  <c r="J144" i="5" s="1"/>
  <c r="BC259" i="3"/>
  <c r="K13" i="9"/>
  <c r="F109" i="9"/>
  <c r="J20" i="5"/>
  <c r="J215" i="5"/>
  <c r="L238" i="3"/>
  <c r="L85" i="3"/>
  <c r="L195" i="5"/>
  <c r="L393" i="3"/>
  <c r="L391" i="3"/>
  <c r="L394" i="3"/>
  <c r="L392" i="3"/>
  <c r="L232" i="3"/>
  <c r="K261" i="3"/>
  <c r="K262" i="3" s="1"/>
  <c r="L365" i="5"/>
  <c r="L190" i="5"/>
  <c r="K393" i="5"/>
  <c r="K109" i="9" l="1"/>
  <c r="BC261" i="3"/>
  <c r="J262" i="2"/>
  <c r="AN36" i="2"/>
  <c r="CG124" i="3"/>
  <c r="BM42" i="9"/>
  <c r="BM138" i="9" s="1"/>
  <c r="AN371" i="2"/>
  <c r="CG371" i="3" s="1"/>
  <c r="K395" i="2"/>
  <c r="BD391" i="3"/>
  <c r="K240" i="2"/>
  <c r="AD13" i="9"/>
  <c r="AD109" i="9" s="1"/>
  <c r="BD238" i="3"/>
  <c r="K470" i="2"/>
  <c r="BD470" i="3" s="1"/>
  <c r="K287" i="2"/>
  <c r="K290" i="2"/>
  <c r="BD290" i="3" s="1"/>
  <c r="BD85" i="3"/>
  <c r="L395" i="3"/>
  <c r="L240" i="3"/>
  <c r="AD62" i="9"/>
  <c r="L470" i="3"/>
  <c r="L290" i="3"/>
  <c r="L287" i="3"/>
  <c r="K396" i="2" l="1"/>
  <c r="BD396" i="3" s="1"/>
  <c r="BD395" i="3"/>
  <c r="K405" i="2"/>
  <c r="BD405" i="3" s="1"/>
  <c r="CG36" i="3"/>
  <c r="AN256" i="2"/>
  <c r="CG256" i="3" s="1"/>
  <c r="AN369" i="2"/>
  <c r="AO16" i="2"/>
  <c r="CH16" i="3" s="1"/>
  <c r="K303" i="2"/>
  <c r="BD287" i="3"/>
  <c r="AI13" i="9"/>
  <c r="AI109" i="9" s="1"/>
  <c r="BD240" i="3"/>
  <c r="L303" i="3"/>
  <c r="AI62" i="9"/>
  <c r="L405" i="3"/>
  <c r="L396" i="3"/>
  <c r="L95" i="3" l="1"/>
  <c r="AQ62" i="9" s="1"/>
  <c r="AT62" i="9" s="1"/>
  <c r="BD303" i="3"/>
  <c r="K95" i="2"/>
  <c r="CG369" i="3"/>
  <c r="AN372" i="2"/>
  <c r="L103" i="3" l="1"/>
  <c r="L461" i="3" s="1"/>
  <c r="L320" i="3"/>
  <c r="L321" i="3" s="1"/>
  <c r="M306" i="3" s="1"/>
  <c r="M309" i="3" s="1"/>
  <c r="L249" i="3"/>
  <c r="L457" i="3"/>
  <c r="M9" i="3"/>
  <c r="M96" i="3" s="1"/>
  <c r="AN374" i="2"/>
  <c r="CG372" i="3"/>
  <c r="K249" i="2"/>
  <c r="AQ13" i="9"/>
  <c r="K457" i="2"/>
  <c r="BD457" i="3" s="1"/>
  <c r="K103" i="2"/>
  <c r="K175" i="2" s="1"/>
  <c r="BD95" i="3"/>
  <c r="K320" i="2"/>
  <c r="L9" i="2"/>
  <c r="L331" i="3"/>
  <c r="L332" i="3" s="1"/>
  <c r="M324" i="3" s="1"/>
  <c r="AW62" i="9"/>
  <c r="AY62" i="9" s="1"/>
  <c r="L501" i="3"/>
  <c r="L503" i="3" s="1"/>
  <c r="L505" i="3" s="1"/>
  <c r="L506" i="3" s="1"/>
  <c r="L250" i="3"/>
  <c r="M10" i="3"/>
  <c r="L175" i="3"/>
  <c r="L281" i="3" s="1"/>
  <c r="L116" i="3"/>
  <c r="M489" i="3" l="1"/>
  <c r="L251" i="3"/>
  <c r="BU62" i="9" s="1"/>
  <c r="K116" i="2"/>
  <c r="L12" i="2" s="1"/>
  <c r="L32" i="2" s="1"/>
  <c r="K281" i="2"/>
  <c r="BD281" i="3" s="1"/>
  <c r="BD175" i="3"/>
  <c r="BD320" i="3"/>
  <c r="K321" i="2"/>
  <c r="AQ109" i="9"/>
  <c r="AT13" i="9"/>
  <c r="AT109" i="9" s="1"/>
  <c r="BD249" i="3"/>
  <c r="K461" i="2"/>
  <c r="BD461" i="3" s="1"/>
  <c r="K331" i="2"/>
  <c r="K250" i="2"/>
  <c r="BD250" i="3" s="1"/>
  <c r="L10" i="2"/>
  <c r="BD103" i="3"/>
  <c r="AW13" i="9"/>
  <c r="K501" i="2"/>
  <c r="BE9" i="3"/>
  <c r="L96" i="2"/>
  <c r="L489" i="2"/>
  <c r="BE489" i="3" s="1"/>
  <c r="AO367" i="2"/>
  <c r="CG374" i="3"/>
  <c r="M310" i="3"/>
  <c r="AR63" i="9"/>
  <c r="AE63" i="9"/>
  <c r="L347" i="3"/>
  <c r="L349" i="3" s="1"/>
  <c r="M335" i="3" s="1"/>
  <c r="BB62" i="9"/>
  <c r="BC62" i="9" s="1"/>
  <c r="M12" i="3"/>
  <c r="L252" i="3"/>
  <c r="M327" i="3"/>
  <c r="M99" i="3" s="1"/>
  <c r="N100" i="3" s="1"/>
  <c r="M11" i="3"/>
  <c r="G63" i="9" s="1"/>
  <c r="L117" i="3"/>
  <c r="BD116" i="3" l="1"/>
  <c r="K252" i="2"/>
  <c r="BD252" i="3" s="1"/>
  <c r="BE12" i="3"/>
  <c r="BB13" i="9"/>
  <c r="K117" i="2"/>
  <c r="K253" i="2" s="1"/>
  <c r="BD253" i="3" s="1"/>
  <c r="K347" i="2"/>
  <c r="BE96" i="3"/>
  <c r="L310" i="2"/>
  <c r="BE310" i="3" s="1"/>
  <c r="AR14" i="9"/>
  <c r="AR110" i="9" s="1"/>
  <c r="AE14" i="9"/>
  <c r="AE110" i="9" s="1"/>
  <c r="L11" i="2"/>
  <c r="BE10" i="3"/>
  <c r="K251" i="2"/>
  <c r="AO124" i="2"/>
  <c r="CH367" i="3"/>
  <c r="BD501" i="3"/>
  <c r="K503" i="2"/>
  <c r="AW109" i="9"/>
  <c r="AY13" i="9"/>
  <c r="AY109" i="9" s="1"/>
  <c r="K332" i="2"/>
  <c r="BD331" i="3"/>
  <c r="L306" i="2"/>
  <c r="H263" i="1"/>
  <c r="BD321" i="3"/>
  <c r="BE32" i="3"/>
  <c r="L343" i="2"/>
  <c r="BE344" i="3" s="1"/>
  <c r="L348" i="3"/>
  <c r="L350" i="3" s="1"/>
  <c r="M336" i="3" s="1"/>
  <c r="BF62" i="9"/>
  <c r="BG62" i="9" s="1"/>
  <c r="L508" i="3"/>
  <c r="L510" i="3" s="1"/>
  <c r="L512" i="3" s="1"/>
  <c r="L513" i="3" s="1"/>
  <c r="M13" i="3"/>
  <c r="M14" i="3" s="1"/>
  <c r="H63" i="9" s="1"/>
  <c r="L253" i="3"/>
  <c r="L254" i="3" s="1"/>
  <c r="BV62" i="9" s="1"/>
  <c r="M459" i="3"/>
  <c r="M328" i="3"/>
  <c r="M295" i="3"/>
  <c r="AV63" i="9"/>
  <c r="L118" i="3"/>
  <c r="L126" i="3" s="1"/>
  <c r="M339" i="3"/>
  <c r="M32" i="3"/>
  <c r="M30" i="3"/>
  <c r="N101" i="3"/>
  <c r="N102" i="3" s="1"/>
  <c r="M311" i="3"/>
  <c r="M88" i="3" s="1"/>
  <c r="BF13" i="9" l="1"/>
  <c r="BF109" i="9" s="1"/>
  <c r="BD117" i="3"/>
  <c r="K349" i="2"/>
  <c r="BD348" i="3"/>
  <c r="K118" i="2"/>
  <c r="K508" i="2"/>
  <c r="K348" i="2"/>
  <c r="K350" i="2" s="1"/>
  <c r="L336" i="2" s="1"/>
  <c r="BE337" i="3" s="1"/>
  <c r="BB109" i="9"/>
  <c r="BC13" i="9"/>
  <c r="BC109" i="9" s="1"/>
  <c r="L13" i="2"/>
  <c r="L33" i="2" s="1"/>
  <c r="BE33" i="3" s="1"/>
  <c r="K254" i="2"/>
  <c r="BD254" i="3" s="1"/>
  <c r="L309" i="2"/>
  <c r="BE306" i="3"/>
  <c r="L311" i="2"/>
  <c r="AO371" i="2"/>
  <c r="CH371" i="3" s="1"/>
  <c r="AO36" i="2"/>
  <c r="BM43" i="9"/>
  <c r="BM139" i="9" s="1"/>
  <c r="CH124" i="3"/>
  <c r="BD503" i="3"/>
  <c r="K505" i="2"/>
  <c r="BU13" i="9"/>
  <c r="BU109" i="9" s="1"/>
  <c r="BD251" i="3"/>
  <c r="BD332" i="3"/>
  <c r="L324" i="2"/>
  <c r="G14" i="9"/>
  <c r="G110" i="9" s="1"/>
  <c r="BE11" i="3"/>
  <c r="N502" i="3"/>
  <c r="N460" i="3"/>
  <c r="N326" i="3"/>
  <c r="N296" i="3"/>
  <c r="N381" i="5"/>
  <c r="AU64" i="9"/>
  <c r="M329" i="3"/>
  <c r="M330" i="3" s="1"/>
  <c r="M340" i="3"/>
  <c r="M312" i="3"/>
  <c r="N88" i="3"/>
  <c r="M91" i="3"/>
  <c r="M343" i="3"/>
  <c r="M345" i="3" s="1"/>
  <c r="L464" i="3"/>
  <c r="L177" i="3"/>
  <c r="L282" i="3" s="1"/>
  <c r="L284" i="3" s="1"/>
  <c r="M33" i="3"/>
  <c r="M344" i="3" s="1"/>
  <c r="M346" i="3" s="1"/>
  <c r="BG13" i="9" l="1"/>
  <c r="BG109" i="9" s="1"/>
  <c r="BD349" i="3"/>
  <c r="L340" i="2"/>
  <c r="BE341" i="3" s="1"/>
  <c r="L34" i="2"/>
  <c r="O14" i="9" s="1"/>
  <c r="O110" i="9" s="1"/>
  <c r="BD508" i="3"/>
  <c r="K510" i="2"/>
  <c r="L14" i="2"/>
  <c r="K177" i="2"/>
  <c r="K126" i="2"/>
  <c r="K464" i="2"/>
  <c r="BD464" i="3" s="1"/>
  <c r="BD118" i="3"/>
  <c r="L344" i="2"/>
  <c r="BE345" i="3" s="1"/>
  <c r="BE13" i="3"/>
  <c r="L335" i="2"/>
  <c r="BD350" i="3"/>
  <c r="BV13" i="9"/>
  <c r="BV109" i="9" s="1"/>
  <c r="BE311" i="3"/>
  <c r="L88" i="2"/>
  <c r="L327" i="2"/>
  <c r="BE324" i="3"/>
  <c r="BD505" i="3"/>
  <c r="K506" i="2"/>
  <c r="AO369" i="2"/>
  <c r="AO256" i="2"/>
  <c r="CH256" i="3" s="1"/>
  <c r="CH36" i="3"/>
  <c r="AP16" i="2"/>
  <c r="CI16" i="3" s="1"/>
  <c r="K390" i="1"/>
  <c r="BE309" i="3"/>
  <c r="L363" i="3"/>
  <c r="L467" i="3"/>
  <c r="L474" i="3" s="1"/>
  <c r="BI62" i="9"/>
  <c r="BL62" i="9" s="1"/>
  <c r="BR62" i="9" s="1"/>
  <c r="L255" i="3"/>
  <c r="L257" i="3" s="1"/>
  <c r="BW62" i="9" s="1"/>
  <c r="M15" i="3"/>
  <c r="M34" i="3"/>
  <c r="O63" i="9" s="1"/>
  <c r="M491" i="3"/>
  <c r="M493" i="3" s="1"/>
  <c r="M292" i="3"/>
  <c r="M455" i="3"/>
  <c r="AP63" i="9"/>
  <c r="N92" i="3"/>
  <c r="N93" i="3"/>
  <c r="M29" i="3"/>
  <c r="N312" i="3"/>
  <c r="O88" i="3"/>
  <c r="L346" i="2" l="1"/>
  <c r="BE347" i="3" s="1"/>
  <c r="BE34" i="3"/>
  <c r="BD126" i="3"/>
  <c r="K135" i="2"/>
  <c r="L15" i="2"/>
  <c r="K363" i="2"/>
  <c r="BI13" i="9"/>
  <c r="K467" i="2"/>
  <c r="K255" i="2"/>
  <c r="K282" i="2"/>
  <c r="BD177" i="3"/>
  <c r="BE14" i="3"/>
  <c r="H14" i="9"/>
  <c r="H110" i="9" s="1"/>
  <c r="BE336" i="3"/>
  <c r="L345" i="2"/>
  <c r="BE346" i="3" s="1"/>
  <c r="L339" i="2"/>
  <c r="BE340" i="3" s="1"/>
  <c r="BE335" i="3"/>
  <c r="K512" i="2"/>
  <c r="BD510" i="3"/>
  <c r="AO372" i="2"/>
  <c r="CH369" i="3"/>
  <c r="BE327" i="3"/>
  <c r="L99" i="2"/>
  <c r="L91" i="2"/>
  <c r="L312" i="2"/>
  <c r="BE88" i="3"/>
  <c r="L472" i="3"/>
  <c r="L28" i="3" s="1"/>
  <c r="M317" i="3"/>
  <c r="M31" i="3"/>
  <c r="L476" i="3"/>
  <c r="L478" i="3" s="1"/>
  <c r="N94" i="3"/>
  <c r="M127" i="3"/>
  <c r="M17" i="3"/>
  <c r="I63" i="9" s="1"/>
  <c r="M35" i="3"/>
  <c r="L364" i="3"/>
  <c r="M353" i="3" s="1"/>
  <c r="O312" i="3"/>
  <c r="P88" i="3"/>
  <c r="M494" i="3"/>
  <c r="M496" i="3" s="1"/>
  <c r="M497" i="3" s="1"/>
  <c r="M498" i="3" s="1"/>
  <c r="BD512" i="3" l="1"/>
  <c r="K513" i="2"/>
  <c r="BD282" i="3"/>
  <c r="K284" i="2"/>
  <c r="BD467" i="3"/>
  <c r="BL13" i="9"/>
  <c r="BI109" i="9"/>
  <c r="K257" i="2"/>
  <c r="BD255" i="3"/>
  <c r="BD364" i="3"/>
  <c r="K364" i="2"/>
  <c r="L353" i="2" s="1"/>
  <c r="L35" i="2"/>
  <c r="BE15" i="3"/>
  <c r="L127" i="2"/>
  <c r="L17" i="2"/>
  <c r="K469" i="2"/>
  <c r="BD469" i="3" s="1"/>
  <c r="K382" i="2"/>
  <c r="BO13" i="9"/>
  <c r="L18" i="2"/>
  <c r="BD135" i="3"/>
  <c r="K258" i="2"/>
  <c r="L400" i="3"/>
  <c r="L409" i="3" s="1"/>
  <c r="L416" i="3" s="1"/>
  <c r="L402" i="3"/>
  <c r="L411" i="3" s="1"/>
  <c r="L418" i="3" s="1"/>
  <c r="BE312" i="3"/>
  <c r="L313" i="2"/>
  <c r="L399" i="3"/>
  <c r="L408" i="3" s="1"/>
  <c r="AP14" i="9"/>
  <c r="AP110" i="9" s="1"/>
  <c r="L292" i="2"/>
  <c r="BE292" i="3" s="1"/>
  <c r="L491" i="2"/>
  <c r="M92" i="2"/>
  <c r="M93" i="2"/>
  <c r="BF93" i="3" s="1"/>
  <c r="L455" i="2"/>
  <c r="BE455" i="3" s="1"/>
  <c r="BE91" i="3"/>
  <c r="G264" i="1"/>
  <c r="A264" i="1" s="1"/>
  <c r="AO374" i="2"/>
  <c r="CH372" i="3"/>
  <c r="L459" i="2"/>
  <c r="BE459" i="3" s="1"/>
  <c r="L328" i="2"/>
  <c r="L295" i="2"/>
  <c r="BE295" i="3" s="1"/>
  <c r="M100" i="2"/>
  <c r="BE99" i="3"/>
  <c r="L30" i="2"/>
  <c r="AV14" i="9"/>
  <c r="AV110" i="9" s="1"/>
  <c r="M101" i="2"/>
  <c r="BF101" i="3" s="1"/>
  <c r="L401" i="3"/>
  <c r="L410" i="3" s="1"/>
  <c r="L417" i="3" s="1"/>
  <c r="L170" i="3" s="1"/>
  <c r="L268" i="3" s="1"/>
  <c r="M355" i="3"/>
  <c r="BK63" i="9"/>
  <c r="AG63" i="9"/>
  <c r="L438" i="3"/>
  <c r="L444" i="3" s="1"/>
  <c r="L241" i="3"/>
  <c r="L169" i="3"/>
  <c r="L139" i="3"/>
  <c r="L71" i="3"/>
  <c r="L392" i="5"/>
  <c r="M62" i="9"/>
  <c r="W62" i="9" s="1"/>
  <c r="L191" i="5"/>
  <c r="M439" i="3"/>
  <c r="N63" i="9"/>
  <c r="M361" i="3"/>
  <c r="BF361" i="3" s="1"/>
  <c r="M37" i="3"/>
  <c r="N456" i="3"/>
  <c r="N293" i="3"/>
  <c r="N308" i="3"/>
  <c r="N176" i="3"/>
  <c r="AN64" i="9"/>
  <c r="N405" i="5"/>
  <c r="N406" i="5" s="1"/>
  <c r="N382" i="5"/>
  <c r="N380" i="5"/>
  <c r="M319" i="3"/>
  <c r="P312" i="3"/>
  <c r="Q88" i="3"/>
  <c r="L480" i="3"/>
  <c r="K472" i="2" l="1"/>
  <c r="K399" i="2" s="1"/>
  <c r="BE127" i="3"/>
  <c r="AG14" i="9"/>
  <c r="AG110" i="9" s="1"/>
  <c r="BK14" i="9"/>
  <c r="BK110" i="9" s="1"/>
  <c r="L355" i="2"/>
  <c r="BE355" i="3" s="1"/>
  <c r="BL109" i="9"/>
  <c r="BE35" i="3"/>
  <c r="L361" i="2"/>
  <c r="L37" i="2"/>
  <c r="K474" i="2"/>
  <c r="E264" i="1"/>
  <c r="J14" i="9"/>
  <c r="J110" i="9" s="1"/>
  <c r="L131" i="2"/>
  <c r="BE131" i="3" s="1"/>
  <c r="BE18" i="3"/>
  <c r="BE353" i="3"/>
  <c r="K391" i="1"/>
  <c r="K175" i="5"/>
  <c r="BD258" i="3"/>
  <c r="BX13" i="9"/>
  <c r="BX109" i="9" s="1"/>
  <c r="BP13" i="9"/>
  <c r="BP109" i="9" s="1"/>
  <c r="BO109" i="9"/>
  <c r="J359" i="1"/>
  <c r="BD284" i="3"/>
  <c r="K28" i="2"/>
  <c r="BD382" i="3"/>
  <c r="K383" i="2"/>
  <c r="BW13" i="9"/>
  <c r="BW109" i="9" s="1"/>
  <c r="BD257" i="3"/>
  <c r="I14" i="9"/>
  <c r="I110" i="9" s="1"/>
  <c r="BE17" i="3"/>
  <c r="L210" i="3"/>
  <c r="M102" i="2"/>
  <c r="BF100" i="3"/>
  <c r="BE491" i="3"/>
  <c r="L128" i="2"/>
  <c r="L130" i="2"/>
  <c r="BE130" i="3" s="1"/>
  <c r="AP367" i="2"/>
  <c r="CH374" i="3"/>
  <c r="L329" i="2"/>
  <c r="BE329" i="3" s="1"/>
  <c r="BE30" i="3"/>
  <c r="BE328" i="3"/>
  <c r="M94" i="2"/>
  <c r="BF92" i="3"/>
  <c r="M362" i="3"/>
  <c r="L403" i="3"/>
  <c r="Q312" i="3"/>
  <c r="R88" i="3"/>
  <c r="N408" i="5"/>
  <c r="M440" i="3"/>
  <c r="P63" i="9"/>
  <c r="L171" i="3"/>
  <c r="L182" i="3" s="1"/>
  <c r="L192" i="3"/>
  <c r="L481" i="3"/>
  <c r="L387" i="5"/>
  <c r="L415" i="3"/>
  <c r="L419" i="3" s="1"/>
  <c r="L412" i="3"/>
  <c r="L413" i="3" s="1"/>
  <c r="K400" i="2" l="1"/>
  <c r="K409" i="2" s="1"/>
  <c r="BD472" i="3"/>
  <c r="K402" i="2"/>
  <c r="K411" i="2" s="1"/>
  <c r="K401" i="2"/>
  <c r="K410" i="2" s="1"/>
  <c r="BD383" i="3"/>
  <c r="L377" i="2"/>
  <c r="BE377" i="3" s="1"/>
  <c r="BE356" i="3"/>
  <c r="BE362" i="3"/>
  <c r="BR13" i="9"/>
  <c r="BR109" i="9" s="1"/>
  <c r="K408" i="2"/>
  <c r="BD399" i="3"/>
  <c r="K169" i="2"/>
  <c r="K139" i="2"/>
  <c r="BD139" i="3" s="1"/>
  <c r="BD28" i="3"/>
  <c r="K438" i="2"/>
  <c r="K71" i="2"/>
  <c r="K11" i="5"/>
  <c r="K207" i="5" s="1"/>
  <c r="M13" i="9"/>
  <c r="K241" i="2"/>
  <c r="BD241" i="3" s="1"/>
  <c r="K390" i="5"/>
  <c r="BD474" i="3"/>
  <c r="K476" i="2"/>
  <c r="L362" i="2"/>
  <c r="BE363" i="3" s="1"/>
  <c r="P14" i="9"/>
  <c r="P110" i="9" s="1"/>
  <c r="BE37" i="3"/>
  <c r="BE128" i="3"/>
  <c r="L133" i="2"/>
  <c r="CI367" i="3"/>
  <c r="AP124" i="2"/>
  <c r="M377" i="5"/>
  <c r="BF94" i="3"/>
  <c r="M176" i="2"/>
  <c r="M293" i="2"/>
  <c r="BF293" i="3" s="1"/>
  <c r="M308" i="2"/>
  <c r="BF308" i="3" s="1"/>
  <c r="M379" i="5"/>
  <c r="M383" i="5" s="1"/>
  <c r="M456" i="2"/>
  <c r="BF456" i="3" s="1"/>
  <c r="AN15" i="9"/>
  <c r="AN111" i="9" s="1"/>
  <c r="L330" i="2"/>
  <c r="BE330" i="3" s="1"/>
  <c r="BF102" i="3"/>
  <c r="M326" i="2"/>
  <c r="BF326" i="3" s="1"/>
  <c r="M296" i="2"/>
  <c r="BF296" i="3" s="1"/>
  <c r="AU15" i="9"/>
  <c r="AU111" i="9" s="1"/>
  <c r="M460" i="2"/>
  <c r="BF460" i="3" s="1"/>
  <c r="M502" i="2"/>
  <c r="BF502" i="3" s="1"/>
  <c r="M378" i="5"/>
  <c r="L153" i="3"/>
  <c r="L154" i="3" s="1"/>
  <c r="L156" i="3" s="1"/>
  <c r="L207" i="3"/>
  <c r="L212" i="3" s="1"/>
  <c r="L420" i="3"/>
  <c r="R312" i="3"/>
  <c r="S88" i="3"/>
  <c r="L482" i="3"/>
  <c r="BD400" i="3" l="1"/>
  <c r="BD401" i="3"/>
  <c r="BD402" i="3"/>
  <c r="K403" i="2"/>
  <c r="BD403" i="3" s="1"/>
  <c r="BD438" i="3"/>
  <c r="K444" i="2"/>
  <c r="BD444" i="3" s="1"/>
  <c r="BD476" i="3"/>
  <c r="K478" i="2"/>
  <c r="BD411" i="3"/>
  <c r="K418" i="2"/>
  <c r="BD418" i="3" s="1"/>
  <c r="K394" i="5"/>
  <c r="K391" i="5"/>
  <c r="K395" i="5" s="1"/>
  <c r="BD169" i="3"/>
  <c r="J354" i="1"/>
  <c r="M109" i="9"/>
  <c r="W13" i="9"/>
  <c r="K415" i="2"/>
  <c r="BD408" i="3"/>
  <c r="K412" i="2"/>
  <c r="BD412" i="3" s="1"/>
  <c r="K416" i="2"/>
  <c r="BD416" i="3" s="1"/>
  <c r="BD409" i="3"/>
  <c r="K386" i="5"/>
  <c r="K388" i="5" s="1"/>
  <c r="BD71" i="3"/>
  <c r="J368" i="1"/>
  <c r="K417" i="2"/>
  <c r="BD410" i="3"/>
  <c r="AO14" i="9"/>
  <c r="AO110" i="9" s="1"/>
  <c r="L314" i="2"/>
  <c r="L180" i="2"/>
  <c r="L378" i="2"/>
  <c r="BE133" i="3"/>
  <c r="L492" i="2"/>
  <c r="L172" i="5"/>
  <c r="L38" i="2"/>
  <c r="L29" i="2"/>
  <c r="BF176" i="3"/>
  <c r="L357" i="1"/>
  <c r="CI124" i="3"/>
  <c r="AP371" i="2"/>
  <c r="CI371" i="3" s="1"/>
  <c r="BM44" i="9"/>
  <c r="BM140" i="9" s="1"/>
  <c r="AP36" i="2"/>
  <c r="L218" i="3"/>
  <c r="L225" i="3"/>
  <c r="S312" i="3"/>
  <c r="T88" i="3"/>
  <c r="L159" i="3"/>
  <c r="L160" i="3" s="1"/>
  <c r="L161" i="3" s="1"/>
  <c r="L158" i="3"/>
  <c r="L162" i="3" s="1"/>
  <c r="W109" i="9" l="1"/>
  <c r="K170" i="2"/>
  <c r="BD417" i="3"/>
  <c r="BD415" i="3"/>
  <c r="K419" i="2"/>
  <c r="BD419" i="3" s="1"/>
  <c r="K480" i="2"/>
  <c r="BD478" i="3"/>
  <c r="K413" i="2"/>
  <c r="BE180" i="3"/>
  <c r="L283" i="2"/>
  <c r="BE283" i="3" s="1"/>
  <c r="BE492" i="3"/>
  <c r="L493" i="2"/>
  <c r="L494" i="2"/>
  <c r="BE494" i="3" s="1"/>
  <c r="BE314" i="3"/>
  <c r="L379" i="2"/>
  <c r="BE379" i="3" s="1"/>
  <c r="L440" i="2"/>
  <c r="BE440" i="3" s="1"/>
  <c r="BE38" i="3"/>
  <c r="Q14" i="9"/>
  <c r="Q110" i="9" s="1"/>
  <c r="L173" i="5"/>
  <c r="BE378" i="3"/>
  <c r="BE29" i="3"/>
  <c r="L31" i="2"/>
  <c r="L317" i="2"/>
  <c r="BE317" i="3" s="1"/>
  <c r="AQ16" i="2"/>
  <c r="CJ16" i="3" s="1"/>
  <c r="AP256" i="2"/>
  <c r="CI256" i="3" s="1"/>
  <c r="CI36" i="3"/>
  <c r="AP369" i="2"/>
  <c r="T312" i="3"/>
  <c r="U88" i="3"/>
  <c r="L221" i="3"/>
  <c r="L220" i="3"/>
  <c r="L222" i="3"/>
  <c r="L163" i="3"/>
  <c r="L165" i="3" s="1"/>
  <c r="L267" i="3" s="1"/>
  <c r="BD480" i="3" l="1"/>
  <c r="K481" i="2"/>
  <c r="K420" i="2"/>
  <c r="BD420" i="3" s="1"/>
  <c r="K268" i="2"/>
  <c r="BD268" i="3" s="1"/>
  <c r="BD170" i="3"/>
  <c r="K210" i="2"/>
  <c r="K192" i="2"/>
  <c r="K171" i="2"/>
  <c r="J355" i="1"/>
  <c r="L319" i="2"/>
  <c r="BE319" i="3" s="1"/>
  <c r="L381" i="2"/>
  <c r="BE381" i="3" s="1"/>
  <c r="BE31" i="3"/>
  <c r="L439" i="2"/>
  <c r="BE439" i="3" s="1"/>
  <c r="N14" i="9"/>
  <c r="N110" i="9" s="1"/>
  <c r="L496" i="2"/>
  <c r="BE493" i="3"/>
  <c r="AP372" i="2"/>
  <c r="CI369" i="3"/>
  <c r="L183" i="3"/>
  <c r="L184" i="3" s="1"/>
  <c r="L166" i="3"/>
  <c r="L139" i="5"/>
  <c r="V88" i="3"/>
  <c r="U312" i="3"/>
  <c r="L223" i="3"/>
  <c r="L227" i="3" s="1"/>
  <c r="BD192" i="3" l="1"/>
  <c r="J366" i="1"/>
  <c r="BD210" i="3"/>
  <c r="J380" i="1"/>
  <c r="K182" i="2"/>
  <c r="BD171" i="3"/>
  <c r="J356" i="1"/>
  <c r="J361" i="1" s="1"/>
  <c r="K482" i="2"/>
  <c r="BD482" i="3" s="1"/>
  <c r="BD481" i="3"/>
  <c r="BE496" i="3"/>
  <c r="L497" i="2"/>
  <c r="CI372" i="3"/>
  <c r="AP374" i="2"/>
  <c r="L334" i="5"/>
  <c r="L228" i="3"/>
  <c r="V312" i="3"/>
  <c r="W88" i="3"/>
  <c r="L95" i="4"/>
  <c r="L266" i="3"/>
  <c r="L270" i="3" s="1"/>
  <c r="L191" i="3"/>
  <c r="L193" i="3" s="1"/>
  <c r="L398" i="5"/>
  <c r="L330" i="5"/>
  <c r="K153" i="2" l="1"/>
  <c r="BD182" i="3"/>
  <c r="K207" i="2"/>
  <c r="BE497" i="3"/>
  <c r="L498" i="2"/>
  <c r="BE498" i="3" s="1"/>
  <c r="AQ367" i="2"/>
  <c r="CI374" i="3"/>
  <c r="L200" i="3"/>
  <c r="L196" i="3"/>
  <c r="L198" i="3"/>
  <c r="L195" i="3"/>
  <c r="L197" i="3"/>
  <c r="L201" i="3"/>
  <c r="L199" i="3"/>
  <c r="L64" i="4"/>
  <c r="N65" i="4" s="1"/>
  <c r="L331" i="5"/>
  <c r="W312" i="3"/>
  <c r="X88" i="3"/>
  <c r="BD207" i="3" l="1"/>
  <c r="K212" i="2"/>
  <c r="K154" i="2"/>
  <c r="BD153" i="3"/>
  <c r="CJ367" i="3"/>
  <c r="AQ124" i="2"/>
  <c r="L325" i="4"/>
  <c r="BW264" i="1"/>
  <c r="R311" i="1"/>
  <c r="L324" i="4"/>
  <c r="Q311" i="1"/>
  <c r="BV264" i="1"/>
  <c r="L204" i="3"/>
  <c r="L515" i="3" s="1"/>
  <c r="T311" i="1"/>
  <c r="L322" i="4"/>
  <c r="O311" i="1"/>
  <c r="BT264" i="1"/>
  <c r="X312" i="3"/>
  <c r="Y88" i="3"/>
  <c r="L323" i="4"/>
  <c r="BU264" i="1"/>
  <c r="P311" i="1"/>
  <c r="L326" i="4"/>
  <c r="S311" i="1"/>
  <c r="BX264" i="1"/>
  <c r="N68" i="4"/>
  <c r="N71" i="4"/>
  <c r="N70" i="4"/>
  <c r="N67" i="4"/>
  <c r="N69" i="4"/>
  <c r="L321" i="4"/>
  <c r="L202" i="3"/>
  <c r="BS264" i="1"/>
  <c r="N311" i="1"/>
  <c r="BD154" i="3" l="1"/>
  <c r="K156" i="2"/>
  <c r="K225" i="2"/>
  <c r="BD225" i="3" s="1"/>
  <c r="K218" i="2"/>
  <c r="BD212" i="3"/>
  <c r="AQ371" i="2"/>
  <c r="CJ371" i="3" s="1"/>
  <c r="CJ124" i="3"/>
  <c r="BM45" i="9"/>
  <c r="BM141" i="9" s="1"/>
  <c r="AQ36" i="2"/>
  <c r="M311" i="1"/>
  <c r="U311" i="1" s="1"/>
  <c r="L484" i="3"/>
  <c r="L485" i="3" s="1"/>
  <c r="L422" i="3"/>
  <c r="L424" i="3" s="1"/>
  <c r="L145" i="3"/>
  <c r="Z62" i="9" s="1"/>
  <c r="L332" i="5"/>
  <c r="L203" i="3"/>
  <c r="BO264" i="1"/>
  <c r="V264" i="1"/>
  <c r="BN264" i="1"/>
  <c r="U264" i="1"/>
  <c r="BQ264" i="1"/>
  <c r="X264" i="1"/>
  <c r="BL264" i="1"/>
  <c r="S264" i="1"/>
  <c r="N72" i="4"/>
  <c r="Y312" i="3"/>
  <c r="Z88" i="3"/>
  <c r="BM264" i="1"/>
  <c r="T264" i="1"/>
  <c r="BP264" i="1"/>
  <c r="W264" i="1"/>
  <c r="N74" i="4" l="1"/>
  <c r="N272" i="3"/>
  <c r="BD218" i="3"/>
  <c r="K221" i="2"/>
  <c r="BD221" i="3" s="1"/>
  <c r="K222" i="2"/>
  <c r="BD222" i="3" s="1"/>
  <c r="K220" i="2"/>
  <c r="K159" i="2"/>
  <c r="K158" i="2"/>
  <c r="BD156" i="3"/>
  <c r="AR16" i="2"/>
  <c r="CK16" i="3" s="1"/>
  <c r="AQ369" i="2"/>
  <c r="CJ36" i="3"/>
  <c r="AQ256" i="2"/>
  <c r="CJ256" i="3" s="1"/>
  <c r="L425" i="3"/>
  <c r="M302" i="3"/>
  <c r="L244" i="3"/>
  <c r="L245" i="3" s="1"/>
  <c r="L260" i="3" s="1"/>
  <c r="L146" i="3"/>
  <c r="L129" i="5" s="1"/>
  <c r="AJ62" i="9"/>
  <c r="AL62" i="9" s="1"/>
  <c r="L197" i="5"/>
  <c r="L198" i="5" s="1"/>
  <c r="L199" i="5" s="1"/>
  <c r="L200" i="5" s="1"/>
  <c r="L229" i="3"/>
  <c r="L335" i="5" s="1"/>
  <c r="L148" i="3"/>
  <c r="Z312" i="3"/>
  <c r="AA88" i="3"/>
  <c r="N73" i="4"/>
  <c r="BK264" i="1"/>
  <c r="R264" i="1"/>
  <c r="L333" i="5"/>
  <c r="L516" i="3"/>
  <c r="K162" i="2" l="1"/>
  <c r="BD162" i="3" s="1"/>
  <c r="BD158" i="3"/>
  <c r="BD159" i="3"/>
  <c r="K160" i="2"/>
  <c r="K223" i="2"/>
  <c r="BD220" i="3"/>
  <c r="CJ369" i="3"/>
  <c r="AQ372" i="2"/>
  <c r="AA312" i="3"/>
  <c r="AB88" i="3"/>
  <c r="M8" i="3"/>
  <c r="L248" i="3"/>
  <c r="K227" i="2" l="1"/>
  <c r="BD223" i="3"/>
  <c r="BD160" i="3"/>
  <c r="K161" i="2"/>
  <c r="CJ372" i="3"/>
  <c r="AQ374" i="2"/>
  <c r="L486" i="3"/>
  <c r="M450" i="3"/>
  <c r="M390" i="3"/>
  <c r="M447" i="3"/>
  <c r="M20" i="3"/>
  <c r="M84" i="3"/>
  <c r="M19" i="3"/>
  <c r="M373" i="5"/>
  <c r="F63" i="9"/>
  <c r="K63" i="9" s="1"/>
  <c r="L259" i="3"/>
  <c r="L369" i="5" s="1"/>
  <c r="BT62" i="9"/>
  <c r="BY62" i="9" s="1"/>
  <c r="AB312" i="3"/>
  <c r="AC88" i="3"/>
  <c r="BD161" i="3" l="1"/>
  <c r="K163" i="2"/>
  <c r="J385" i="1"/>
  <c r="K89" i="5"/>
  <c r="K345" i="5" s="1"/>
  <c r="BD227" i="3"/>
  <c r="J371" i="1"/>
  <c r="J393" i="1"/>
  <c r="K228" i="2"/>
  <c r="BD228" i="3" s="1"/>
  <c r="CJ374" i="3"/>
  <c r="AR367" i="2"/>
  <c r="AC312" i="3"/>
  <c r="AD88" i="3"/>
  <c r="L261" i="3"/>
  <c r="L262" i="3" s="1"/>
  <c r="M232" i="3"/>
  <c r="M365" i="5"/>
  <c r="M190" i="5"/>
  <c r="M238" i="3"/>
  <c r="M85" i="3"/>
  <c r="M195" i="5"/>
  <c r="M394" i="3"/>
  <c r="M392" i="3"/>
  <c r="M393" i="3"/>
  <c r="M391" i="3"/>
  <c r="L393" i="5"/>
  <c r="K165" i="2" l="1"/>
  <c r="K267" i="2" s="1"/>
  <c r="BD163" i="3"/>
  <c r="CK367" i="3"/>
  <c r="AR124" i="2"/>
  <c r="M470" i="3"/>
  <c r="M290" i="3"/>
  <c r="M287" i="3"/>
  <c r="M395" i="3"/>
  <c r="AD312" i="3"/>
  <c r="AE88" i="3"/>
  <c r="M240" i="3"/>
  <c r="AD63" i="9"/>
  <c r="BD165" i="3" l="1"/>
  <c r="K112" i="5"/>
  <c r="K140" i="5" s="1"/>
  <c r="K166" i="2"/>
  <c r="BD166" i="3" s="1"/>
  <c r="BD267" i="3"/>
  <c r="K183" i="2"/>
  <c r="M303" i="3"/>
  <c r="BM46" i="9"/>
  <c r="BM142" i="9" s="1"/>
  <c r="AR36" i="2"/>
  <c r="CK124" i="3"/>
  <c r="AR371" i="2"/>
  <c r="CK371" i="3" s="1"/>
  <c r="AE312" i="3"/>
  <c r="AF88" i="3"/>
  <c r="M396" i="3"/>
  <c r="M405" i="3"/>
  <c r="AI63" i="9"/>
  <c r="M95" i="3" l="1"/>
  <c r="AQ63" i="9" s="1"/>
  <c r="AT63" i="9" s="1"/>
  <c r="K184" i="2"/>
  <c r="J363" i="1"/>
  <c r="J364" i="1" s="1"/>
  <c r="BD183" i="3"/>
  <c r="J375" i="1"/>
  <c r="CK36" i="3"/>
  <c r="AR256" i="2"/>
  <c r="CK256" i="3" s="1"/>
  <c r="AR369" i="2"/>
  <c r="AS16" i="2"/>
  <c r="CL16" i="3" s="1"/>
  <c r="AF312" i="3"/>
  <c r="AG88" i="3"/>
  <c r="M249" i="3" l="1"/>
  <c r="M320" i="3"/>
  <c r="M321" i="3" s="1"/>
  <c r="N306" i="3" s="1"/>
  <c r="N309" i="3" s="1"/>
  <c r="N9" i="3"/>
  <c r="N96" i="3" s="1"/>
  <c r="M457" i="3"/>
  <c r="M103" i="3"/>
  <c r="M175" i="3" s="1"/>
  <c r="M281" i="3" s="1"/>
  <c r="J367" i="1"/>
  <c r="J374" i="1"/>
  <c r="J377" i="1" s="1"/>
  <c r="J382" i="1" s="1"/>
  <c r="J384" i="1" s="1"/>
  <c r="J386" i="1" s="1"/>
  <c r="K266" i="2"/>
  <c r="BD184" i="3"/>
  <c r="K399" i="5"/>
  <c r="K85" i="5"/>
  <c r="K342" i="5" s="1"/>
  <c r="K191" i="2"/>
  <c r="K397" i="5"/>
  <c r="K94" i="4"/>
  <c r="AR372" i="2"/>
  <c r="CK369" i="3"/>
  <c r="AG312" i="3"/>
  <c r="AH88" i="3"/>
  <c r="M461" i="3"/>
  <c r="M116" i="3" l="1"/>
  <c r="M250" i="3"/>
  <c r="M251" i="3" s="1"/>
  <c r="BU63" i="9" s="1"/>
  <c r="M501" i="3"/>
  <c r="M503" i="3" s="1"/>
  <c r="M505" i="3" s="1"/>
  <c r="M506" i="3" s="1"/>
  <c r="N489" i="3"/>
  <c r="AW63" i="9"/>
  <c r="AY63" i="9" s="1"/>
  <c r="N10" i="3"/>
  <c r="N11" i="3" s="1"/>
  <c r="G64" i="9" s="1"/>
  <c r="M331" i="3"/>
  <c r="M332" i="3" s="1"/>
  <c r="N324" i="3" s="1"/>
  <c r="N327" i="3" s="1"/>
  <c r="N99" i="3" s="1"/>
  <c r="K271" i="2"/>
  <c r="K270" i="2"/>
  <c r="K193" i="2"/>
  <c r="BD191" i="3"/>
  <c r="BD266" i="3"/>
  <c r="AR374" i="2"/>
  <c r="CK372" i="3"/>
  <c r="M347" i="3"/>
  <c r="M349" i="3" s="1"/>
  <c r="N335" i="3" s="1"/>
  <c r="BB63" i="9"/>
  <c r="BC63" i="9" s="1"/>
  <c r="N12" i="3"/>
  <c r="M252" i="3"/>
  <c r="M117" i="3"/>
  <c r="M118" i="3" s="1"/>
  <c r="M126" i="3" s="1"/>
  <c r="AH312" i="3"/>
  <c r="AI88" i="3"/>
  <c r="N310" i="3"/>
  <c r="AR64" i="9"/>
  <c r="AE64" i="9"/>
  <c r="N30" i="3" l="1"/>
  <c r="N329" i="3" s="1"/>
  <c r="K86" i="4"/>
  <c r="K86" i="5"/>
  <c r="K343" i="5" s="1"/>
  <c r="K32" i="4"/>
  <c r="M33" i="4" s="1"/>
  <c r="BD270" i="3"/>
  <c r="K201" i="2"/>
  <c r="K196" i="2"/>
  <c r="K197" i="2"/>
  <c r="BD193" i="3"/>
  <c r="K200" i="2"/>
  <c r="K198" i="2"/>
  <c r="K199" i="2"/>
  <c r="K195" i="2"/>
  <c r="CK374" i="3"/>
  <c r="AS367" i="2"/>
  <c r="M464" i="3"/>
  <c r="M177" i="3"/>
  <c r="M282" i="3" s="1"/>
  <c r="M284" i="3" s="1"/>
  <c r="N459" i="3"/>
  <c r="N328" i="3"/>
  <c r="N295" i="3"/>
  <c r="AV64" i="9"/>
  <c r="N339" i="3"/>
  <c r="N315" i="3"/>
  <c r="N89" i="3" s="1"/>
  <c r="M348" i="3"/>
  <c r="M350" i="3" s="1"/>
  <c r="N336" i="3" s="1"/>
  <c r="BF63" i="9"/>
  <c r="BG63" i="9" s="1"/>
  <c r="M508" i="3"/>
  <c r="M510" i="3" s="1"/>
  <c r="M512" i="3" s="1"/>
  <c r="M513" i="3" s="1"/>
  <c r="N13" i="3"/>
  <c r="N14" i="3" s="1"/>
  <c r="H64" i="9" s="1"/>
  <c r="M253" i="3"/>
  <c r="M254" i="3" s="1"/>
  <c r="BV63" i="9" s="1"/>
  <c r="N32" i="3"/>
  <c r="O101" i="3"/>
  <c r="AI312" i="3"/>
  <c r="AJ88" i="3"/>
  <c r="K314" i="4" l="1"/>
  <c r="L263" i="1" s="1"/>
  <c r="BD196" i="3"/>
  <c r="E310" i="1"/>
  <c r="K204" i="2"/>
  <c r="J310" i="1"/>
  <c r="BD201" i="3"/>
  <c r="D310" i="1"/>
  <c r="K313" i="4"/>
  <c r="K263" i="1" s="1"/>
  <c r="BD195" i="3"/>
  <c r="K202" i="2"/>
  <c r="K315" i="4"/>
  <c r="M263" i="1" s="1"/>
  <c r="F310" i="1"/>
  <c r="BD197" i="3"/>
  <c r="H310" i="1"/>
  <c r="BD199" i="3"/>
  <c r="K317" i="4"/>
  <c r="O263" i="1" s="1"/>
  <c r="BD198" i="3"/>
  <c r="G310" i="1"/>
  <c r="K316" i="4"/>
  <c r="N263" i="1" s="1"/>
  <c r="M55" i="4"/>
  <c r="M56" i="4"/>
  <c r="M58" i="4"/>
  <c r="M57" i="4"/>
  <c r="M54" i="4"/>
  <c r="K318" i="4"/>
  <c r="P263" i="1" s="1"/>
  <c r="BD200" i="3"/>
  <c r="I310" i="1"/>
  <c r="AS124" i="2"/>
  <c r="CL367" i="3"/>
  <c r="N316" i="3"/>
  <c r="N91" i="3"/>
  <c r="M467" i="3"/>
  <c r="M472" i="3" s="1"/>
  <c r="M363" i="3"/>
  <c r="M364" i="3" s="1"/>
  <c r="N353" i="3" s="1"/>
  <c r="BI63" i="9"/>
  <c r="BL63" i="9" s="1"/>
  <c r="BR63" i="9" s="1"/>
  <c r="M255" i="3"/>
  <c r="M257" i="3" s="1"/>
  <c r="BW63" i="9" s="1"/>
  <c r="N15" i="3"/>
  <c r="N343" i="3"/>
  <c r="N345" i="3" s="1"/>
  <c r="N340" i="3"/>
  <c r="N330" i="3"/>
  <c r="N33" i="3"/>
  <c r="N344" i="3" s="1"/>
  <c r="N346" i="3" s="1"/>
  <c r="AJ312" i="3"/>
  <c r="AK88" i="3"/>
  <c r="C310" i="1" l="1"/>
  <c r="K310" i="1" s="1"/>
  <c r="M59" i="4"/>
  <c r="M272" i="2" s="1"/>
  <c r="BD204" i="3"/>
  <c r="J394" i="1"/>
  <c r="K515" i="2"/>
  <c r="BD515" i="3" s="1"/>
  <c r="K422" i="2"/>
  <c r="K145" i="2"/>
  <c r="K87" i="5"/>
  <c r="K344" i="5" s="1"/>
  <c r="BD202" i="3"/>
  <c r="K484" i="2"/>
  <c r="J370" i="1"/>
  <c r="J372" i="1" s="1"/>
  <c r="K203" i="2"/>
  <c r="M474" i="3"/>
  <c r="M476" i="3" s="1"/>
  <c r="M478" i="3" s="1"/>
  <c r="CL124" i="3"/>
  <c r="AS36" i="2"/>
  <c r="AS371" i="2"/>
  <c r="BM47" i="9"/>
  <c r="E124" i="2"/>
  <c r="N491" i="3"/>
  <c r="N493" i="3" s="1"/>
  <c r="N455" i="3"/>
  <c r="N292" i="3"/>
  <c r="AP64" i="9"/>
  <c r="O93" i="3"/>
  <c r="N29" i="3"/>
  <c r="N34" i="3"/>
  <c r="O64" i="9" s="1"/>
  <c r="AK312" i="3"/>
  <c r="AL88" i="3"/>
  <c r="N127" i="3"/>
  <c r="N17" i="3"/>
  <c r="I64" i="9" s="1"/>
  <c r="N35" i="3"/>
  <c r="M28" i="3"/>
  <c r="M399" i="3"/>
  <c r="M402" i="3"/>
  <c r="M411" i="3" s="1"/>
  <c r="M418" i="3" s="1"/>
  <c r="M401" i="3"/>
  <c r="M410" i="3" s="1"/>
  <c r="M417" i="3" s="1"/>
  <c r="M170" i="3" s="1"/>
  <c r="M400" i="3"/>
  <c r="M409" i="3" s="1"/>
  <c r="M416" i="3" s="1"/>
  <c r="M61" i="4" l="1"/>
  <c r="M60" i="4"/>
  <c r="L302" i="2"/>
  <c r="BE302" i="3" s="1"/>
  <c r="K244" i="2"/>
  <c r="K17" i="5"/>
  <c r="K229" i="2"/>
  <c r="K148" i="2"/>
  <c r="K146" i="2"/>
  <c r="Z13" i="9"/>
  <c r="BD145" i="3"/>
  <c r="K424" i="2"/>
  <c r="BD424" i="3" s="1"/>
  <c r="BD422" i="3"/>
  <c r="K88" i="5"/>
  <c r="J263" i="1"/>
  <c r="K516" i="2"/>
  <c r="BD203" i="3"/>
  <c r="BD484" i="3"/>
  <c r="K485" i="2"/>
  <c r="BM143" i="9"/>
  <c r="BM144" i="9" s="1"/>
  <c r="BM48" i="9"/>
  <c r="E371" i="2"/>
  <c r="CL371" i="3"/>
  <c r="E36" i="2"/>
  <c r="AS256" i="2"/>
  <c r="AS369" i="2"/>
  <c r="CL36" i="3"/>
  <c r="I156" i="1"/>
  <c r="AU124" i="3"/>
  <c r="AV124" i="3" s="1"/>
  <c r="AV124" i="2"/>
  <c r="M403" i="3"/>
  <c r="M408" i="3"/>
  <c r="M438" i="3"/>
  <c r="M444" i="3" s="1"/>
  <c r="M241" i="3"/>
  <c r="M169" i="3"/>
  <c r="M139" i="3"/>
  <c r="M71" i="3"/>
  <c r="M392" i="5"/>
  <c r="M63" i="9"/>
  <c r="W63" i="9" s="1"/>
  <c r="M191" i="5"/>
  <c r="AL312" i="3"/>
  <c r="AM88" i="3"/>
  <c r="N494" i="3"/>
  <c r="N496" i="3" s="1"/>
  <c r="N497" i="3" s="1"/>
  <c r="N498" i="3" s="1"/>
  <c r="N361" i="3"/>
  <c r="BG361" i="3" s="1"/>
  <c r="N37" i="3"/>
  <c r="M480" i="3"/>
  <c r="N317" i="3"/>
  <c r="N31" i="3"/>
  <c r="M268" i="3"/>
  <c r="M210" i="3"/>
  <c r="N355" i="3"/>
  <c r="AG64" i="9"/>
  <c r="BK64" i="9"/>
  <c r="E256" i="2"/>
  <c r="AV256" i="2" l="1"/>
  <c r="AU256" i="3"/>
  <c r="AV256" i="3" s="1"/>
  <c r="E16" i="2"/>
  <c r="CL256" i="3"/>
  <c r="BD485" i="3"/>
  <c r="K425" i="2"/>
  <c r="BD425" i="3" s="1"/>
  <c r="AJ13" i="9"/>
  <c r="AL13" i="9" s="1"/>
  <c r="Z109" i="9"/>
  <c r="BD146" i="3"/>
  <c r="K109" i="5"/>
  <c r="BD516" i="3"/>
  <c r="K384" i="5"/>
  <c r="BD148" i="3"/>
  <c r="L8" i="2"/>
  <c r="K248" i="2"/>
  <c r="K90" i="5"/>
  <c r="K346" i="5" s="1"/>
  <c r="BD229" i="3"/>
  <c r="K18" i="5"/>
  <c r="K213" i="5"/>
  <c r="K245" i="2"/>
  <c r="BD244" i="3"/>
  <c r="E369" i="2"/>
  <c r="AS372" i="2"/>
  <c r="CL369" i="3"/>
  <c r="AU371" i="3"/>
  <c r="AV371" i="3" s="1"/>
  <c r="AV371" i="2"/>
  <c r="AV36" i="2"/>
  <c r="H58" i="5"/>
  <c r="H303" i="5" s="1"/>
  <c r="AU36" i="3"/>
  <c r="AV36" i="3" s="1"/>
  <c r="N362" i="3"/>
  <c r="N439" i="3"/>
  <c r="N64" i="9"/>
  <c r="M387" i="5"/>
  <c r="N319" i="3"/>
  <c r="M481" i="3"/>
  <c r="N440" i="3"/>
  <c r="P64" i="9"/>
  <c r="AM312" i="3"/>
  <c r="AN88" i="3"/>
  <c r="M192" i="3"/>
  <c r="M171" i="3"/>
  <c r="M182" i="3" s="1"/>
  <c r="M415" i="3"/>
  <c r="M419" i="3" s="1"/>
  <c r="M420" i="3" s="1"/>
  <c r="M412" i="3"/>
  <c r="M413" i="3" s="1"/>
  <c r="J156" i="1" l="1"/>
  <c r="F44" i="1"/>
  <c r="AV16" i="2"/>
  <c r="BD245" i="3"/>
  <c r="K260" i="2"/>
  <c r="BD260" i="3" s="1"/>
  <c r="J373" i="1"/>
  <c r="K19" i="5"/>
  <c r="K214" i="5"/>
  <c r="K259" i="2"/>
  <c r="BD248" i="3"/>
  <c r="BT13" i="9"/>
  <c r="AL109" i="9"/>
  <c r="AJ109" i="9"/>
  <c r="L372" i="5"/>
  <c r="L374" i="5" s="1"/>
  <c r="L390" i="2"/>
  <c r="L450" i="2"/>
  <c r="BE450" i="3" s="1"/>
  <c r="L84" i="2"/>
  <c r="L19" i="2"/>
  <c r="K389" i="1"/>
  <c r="K486" i="2"/>
  <c r="BD486" i="3" s="1"/>
  <c r="I264" i="1"/>
  <c r="L20" i="2"/>
  <c r="F14" i="9"/>
  <c r="BE8" i="3"/>
  <c r="L447" i="2"/>
  <c r="BE447" i="3" s="1"/>
  <c r="CL372" i="3"/>
  <c r="AS374" i="2"/>
  <c r="AU369" i="3"/>
  <c r="AV369" i="3" s="1"/>
  <c r="AV369" i="2"/>
  <c r="M207" i="3"/>
  <c r="M212" i="3" s="1"/>
  <c r="M153" i="3"/>
  <c r="M154" i="3" s="1"/>
  <c r="M156" i="3" s="1"/>
  <c r="M482" i="3"/>
  <c r="AN312" i="3"/>
  <c r="AO88" i="3"/>
  <c r="E374" i="2"/>
  <c r="AU374" i="3" l="1"/>
  <c r="AV374" i="3" s="1"/>
  <c r="AV374" i="2"/>
  <c r="CL374" i="3"/>
  <c r="L364" i="5"/>
  <c r="L366" i="5" s="1"/>
  <c r="K261" i="2"/>
  <c r="BD261" i="3" s="1"/>
  <c r="L232" i="2"/>
  <c r="BE232" i="3" s="1"/>
  <c r="BE19" i="3"/>
  <c r="L10" i="5"/>
  <c r="L206" i="5" s="1"/>
  <c r="BY13" i="9"/>
  <c r="BY109" i="9" s="1"/>
  <c r="BT109" i="9"/>
  <c r="L85" i="2"/>
  <c r="BE84" i="3"/>
  <c r="L238" i="2"/>
  <c r="L15" i="5"/>
  <c r="L212" i="5" s="1"/>
  <c r="BD259" i="3"/>
  <c r="K368" i="5"/>
  <c r="K370" i="5" s="1"/>
  <c r="K144" i="5" s="1"/>
  <c r="F110" i="9"/>
  <c r="K14" i="9"/>
  <c r="L393" i="2"/>
  <c r="BE393" i="3" s="1"/>
  <c r="L391" i="2"/>
  <c r="L392" i="2"/>
  <c r="BE392" i="3" s="1"/>
  <c r="L394" i="2"/>
  <c r="BE394" i="3" s="1"/>
  <c r="BE390" i="3"/>
  <c r="K20" i="5"/>
  <c r="K215" i="5"/>
  <c r="M158" i="3"/>
  <c r="M162" i="3" s="1"/>
  <c r="M159" i="3"/>
  <c r="M160" i="3" s="1"/>
  <c r="M161" i="3" s="1"/>
  <c r="AO312" i="3"/>
  <c r="AP88" i="3"/>
  <c r="M225" i="3"/>
  <c r="M218" i="3"/>
  <c r="K110" i="9" l="1"/>
  <c r="K262" i="2"/>
  <c r="BE391" i="3"/>
  <c r="L395" i="2"/>
  <c r="L240" i="2"/>
  <c r="AD14" i="9"/>
  <c r="AD110" i="9" s="1"/>
  <c r="BE238" i="3"/>
  <c r="L470" i="2"/>
  <c r="BE470" i="3" s="1"/>
  <c r="L287" i="2"/>
  <c r="L290" i="2"/>
  <c r="BE290" i="3" s="1"/>
  <c r="BE85" i="3"/>
  <c r="AP312" i="3"/>
  <c r="AQ88" i="3"/>
  <c r="M163" i="3"/>
  <c r="M165" i="3" s="1"/>
  <c r="M267" i="3" s="1"/>
  <c r="M220" i="3"/>
  <c r="M222" i="3"/>
  <c r="M221" i="3"/>
  <c r="L303" i="2" l="1"/>
  <c r="BE287" i="3"/>
  <c r="BE240" i="3"/>
  <c r="AI14" i="9"/>
  <c r="AI110" i="9" s="1"/>
  <c r="BE395" i="3"/>
  <c r="L405" i="2"/>
  <c r="BE405" i="3" s="1"/>
  <c r="L396" i="2"/>
  <c r="BE396" i="3" s="1"/>
  <c r="M166" i="3"/>
  <c r="M183" i="3"/>
  <c r="M184" i="3" s="1"/>
  <c r="M139" i="5"/>
  <c r="AQ312" i="3"/>
  <c r="AR88" i="3"/>
  <c r="M223" i="3"/>
  <c r="M227" i="3" s="1"/>
  <c r="BE303" i="3" l="1"/>
  <c r="L95" i="2"/>
  <c r="M334" i="5"/>
  <c r="M228" i="3"/>
  <c r="AR312" i="3"/>
  <c r="AS88" i="3"/>
  <c r="M95" i="4"/>
  <c r="M266" i="3"/>
  <c r="M270" i="3" s="1"/>
  <c r="M191" i="3"/>
  <c r="M193" i="3" s="1"/>
  <c r="M398" i="5"/>
  <c r="M330" i="5"/>
  <c r="L103" i="2" l="1"/>
  <c r="L175" i="2" s="1"/>
  <c r="AQ14" i="9"/>
  <c r="L249" i="2"/>
  <c r="M9" i="2"/>
  <c r="BE95" i="3"/>
  <c r="L457" i="2"/>
  <c r="BE457" i="3" s="1"/>
  <c r="L320" i="2"/>
  <c r="M199" i="3"/>
  <c r="M195" i="3"/>
  <c r="M201" i="3"/>
  <c r="M197" i="3"/>
  <c r="M196" i="3"/>
  <c r="M198" i="3"/>
  <c r="M200" i="3"/>
  <c r="AS312" i="3"/>
  <c r="E312" i="3" s="1"/>
  <c r="E88" i="3"/>
  <c r="M64" i="4"/>
  <c r="O65" i="4" s="1"/>
  <c r="M331" i="5"/>
  <c r="L116" i="2" l="1"/>
  <c r="M12" i="2" s="1"/>
  <c r="L281" i="2"/>
  <c r="BE281" i="3" s="1"/>
  <c r="BE175" i="3"/>
  <c r="BF9" i="3"/>
  <c r="M96" i="2"/>
  <c r="M489" i="2"/>
  <c r="BF489" i="3" s="1"/>
  <c r="BE249" i="3"/>
  <c r="AQ110" i="9"/>
  <c r="AT14" i="9"/>
  <c r="AT110" i="9" s="1"/>
  <c r="BE320" i="3"/>
  <c r="L321" i="2"/>
  <c r="L331" i="2"/>
  <c r="L501" i="2"/>
  <c r="L250" i="2"/>
  <c r="BE250" i="3" s="1"/>
  <c r="BE103" i="3"/>
  <c r="L461" i="2"/>
  <c r="BE461" i="3" s="1"/>
  <c r="AW14" i="9"/>
  <c r="M10" i="2"/>
  <c r="BF10" i="3" s="1"/>
  <c r="AU88" i="2"/>
  <c r="M326" i="4"/>
  <c r="BX265" i="1"/>
  <c r="S312" i="1"/>
  <c r="M323" i="4"/>
  <c r="BU265" i="1"/>
  <c r="P312" i="1"/>
  <c r="O71" i="4"/>
  <c r="O67" i="4"/>
  <c r="O68" i="4"/>
  <c r="O70" i="4"/>
  <c r="O69" i="4"/>
  <c r="M204" i="3"/>
  <c r="M515" i="3" s="1"/>
  <c r="T312" i="1"/>
  <c r="AU312" i="2"/>
  <c r="M324" i="4"/>
  <c r="Q312" i="1"/>
  <c r="BV265" i="1"/>
  <c r="M321" i="4"/>
  <c r="M202" i="3"/>
  <c r="N312" i="1"/>
  <c r="BS265" i="1"/>
  <c r="M322" i="4"/>
  <c r="BT265" i="1"/>
  <c r="O312" i="1"/>
  <c r="M325" i="4"/>
  <c r="R312" i="1"/>
  <c r="BW265" i="1"/>
  <c r="BB14" i="9" l="1"/>
  <c r="L117" i="2"/>
  <c r="L118" i="2" s="1"/>
  <c r="BE118" i="3" s="1"/>
  <c r="L252" i="2"/>
  <c r="BE252" i="3" s="1"/>
  <c r="L347" i="2"/>
  <c r="BE348" i="3" s="1"/>
  <c r="BE116" i="3"/>
  <c r="L251" i="2"/>
  <c r="BE501" i="3"/>
  <c r="L503" i="2"/>
  <c r="BF12" i="3"/>
  <c r="M32" i="2"/>
  <c r="AE15" i="9"/>
  <c r="AE111" i="9" s="1"/>
  <c r="M310" i="2"/>
  <c r="BF310" i="3" s="1"/>
  <c r="AR15" i="9"/>
  <c r="AR111" i="9" s="1"/>
  <c r="BF96" i="3"/>
  <c r="BE331" i="3"/>
  <c r="L332" i="2"/>
  <c r="M11" i="2"/>
  <c r="BE321" i="3"/>
  <c r="M306" i="2"/>
  <c r="H264" i="1"/>
  <c r="BB110" i="9"/>
  <c r="BC14" i="9"/>
  <c r="BC110" i="9" s="1"/>
  <c r="AY14" i="9"/>
  <c r="AY110" i="9" s="1"/>
  <c r="AW110" i="9"/>
  <c r="BM265" i="1"/>
  <c r="T265" i="1"/>
  <c r="BL265" i="1"/>
  <c r="S265" i="1"/>
  <c r="M312" i="1"/>
  <c r="U312" i="1" s="1"/>
  <c r="M484" i="3"/>
  <c r="M485" i="3" s="1"/>
  <c r="M422" i="3"/>
  <c r="M424" i="3" s="1"/>
  <c r="M145" i="3"/>
  <c r="M332" i="5"/>
  <c r="M203" i="3"/>
  <c r="BO265" i="1"/>
  <c r="V265" i="1"/>
  <c r="X265" i="1"/>
  <c r="BQ265" i="1"/>
  <c r="BP265" i="1"/>
  <c r="W265" i="1"/>
  <c r="O72" i="4"/>
  <c r="BN265" i="1"/>
  <c r="U265" i="1"/>
  <c r="L349" i="2" l="1"/>
  <c r="BE350" i="3" s="1"/>
  <c r="O74" i="4"/>
  <c r="O272" i="3"/>
  <c r="L348" i="2"/>
  <c r="BE349" i="3" s="1"/>
  <c r="L508" i="2"/>
  <c r="BE508" i="3" s="1"/>
  <c r="BF14" i="9"/>
  <c r="BF110" i="9" s="1"/>
  <c r="BE117" i="3"/>
  <c r="L253" i="2"/>
  <c r="BE253" i="3" s="1"/>
  <c r="L126" i="2"/>
  <c r="L135" i="2" s="1"/>
  <c r="M18" i="2" s="1"/>
  <c r="BF18" i="3" s="1"/>
  <c r="L177" i="2"/>
  <c r="L282" i="2" s="1"/>
  <c r="L464" i="2"/>
  <c r="BE464" i="3" s="1"/>
  <c r="M13" i="2"/>
  <c r="M14" i="2" s="1"/>
  <c r="BF14" i="3" s="1"/>
  <c r="M309" i="2"/>
  <c r="BF306" i="3"/>
  <c r="M311" i="2"/>
  <c r="BU14" i="9"/>
  <c r="BU110" i="9" s="1"/>
  <c r="BE251" i="3"/>
  <c r="BF11" i="3"/>
  <c r="G15" i="9"/>
  <c r="G111" i="9" s="1"/>
  <c r="M335" i="2"/>
  <c r="M343" i="2"/>
  <c r="BF344" i="3" s="1"/>
  <c r="BF32" i="3"/>
  <c r="BE332" i="3"/>
  <c r="M324" i="2"/>
  <c r="BE503" i="3"/>
  <c r="L505" i="2"/>
  <c r="N302" i="3"/>
  <c r="M244" i="3"/>
  <c r="M245" i="3" s="1"/>
  <c r="M260" i="3" s="1"/>
  <c r="M146" i="3"/>
  <c r="M129" i="5" s="1"/>
  <c r="M197" i="5"/>
  <c r="M198" i="5" s="1"/>
  <c r="M199" i="5" s="1"/>
  <c r="M200" i="5" s="1"/>
  <c r="Z63" i="9"/>
  <c r="AJ63" i="9" s="1"/>
  <c r="AL63" i="9" s="1"/>
  <c r="M148" i="3"/>
  <c r="M229" i="3"/>
  <c r="M335" i="5" s="1"/>
  <c r="O73" i="4"/>
  <c r="BK265" i="1"/>
  <c r="R265" i="1"/>
  <c r="M333" i="5"/>
  <c r="M516" i="3"/>
  <c r="M425" i="3"/>
  <c r="BG14" i="9" l="1"/>
  <c r="BG110" i="9" s="1"/>
  <c r="L350" i="2"/>
  <c r="M336" i="2" s="1"/>
  <c r="BF337" i="3" s="1"/>
  <c r="L510" i="2"/>
  <c r="BE510" i="3" s="1"/>
  <c r="L254" i="2"/>
  <c r="BV14" i="9" s="1"/>
  <c r="BV110" i="9" s="1"/>
  <c r="BE177" i="3"/>
  <c r="M33" i="2"/>
  <c r="M34" i="2" s="1"/>
  <c r="O15" i="9" s="1"/>
  <c r="O111" i="9" s="1"/>
  <c r="BF13" i="3"/>
  <c r="BI14" i="9"/>
  <c r="BL14" i="9" s="1"/>
  <c r="BL110" i="9" s="1"/>
  <c r="M15" i="2"/>
  <c r="M17" i="2" s="1"/>
  <c r="L255" i="2"/>
  <c r="L257" i="2" s="1"/>
  <c r="BE126" i="3"/>
  <c r="H15" i="9"/>
  <c r="H111" i="9" s="1"/>
  <c r="L467" i="2"/>
  <c r="BE467" i="3" s="1"/>
  <c r="BE135" i="3"/>
  <c r="L363" i="2"/>
  <c r="BE364" i="3" s="1"/>
  <c r="BO14" i="9"/>
  <c r="BO110" i="9" s="1"/>
  <c r="L258" i="2"/>
  <c r="L382" i="2"/>
  <c r="BE382" i="3" s="1"/>
  <c r="L469" i="2"/>
  <c r="BE469" i="3" s="1"/>
  <c r="M131" i="2"/>
  <c r="BF131" i="3" s="1"/>
  <c r="J15" i="9"/>
  <c r="J111" i="9" s="1"/>
  <c r="E265" i="1"/>
  <c r="BE505" i="3"/>
  <c r="L506" i="2"/>
  <c r="M339" i="2"/>
  <c r="BF340" i="3" s="1"/>
  <c r="BF336" i="3"/>
  <c r="BF335" i="3"/>
  <c r="M345" i="2"/>
  <c r="BF346" i="3" s="1"/>
  <c r="M88" i="2"/>
  <c r="BF311" i="3"/>
  <c r="L512" i="2"/>
  <c r="L284" i="2"/>
  <c r="BE282" i="3"/>
  <c r="M327" i="2"/>
  <c r="BF324" i="3"/>
  <c r="L390" i="1"/>
  <c r="BF309" i="3"/>
  <c r="M248" i="3"/>
  <c r="N8" i="3"/>
  <c r="BE254" i="3" l="1"/>
  <c r="BI110" i="9"/>
  <c r="M340" i="2"/>
  <c r="BF341" i="3" s="1"/>
  <c r="BE255" i="3"/>
  <c r="M344" i="2"/>
  <c r="BF345" i="3" s="1"/>
  <c r="BF33" i="3"/>
  <c r="L474" i="2"/>
  <c r="BE474" i="3" s="1"/>
  <c r="BF15" i="3"/>
  <c r="M35" i="2"/>
  <c r="M37" i="2" s="1"/>
  <c r="M127" i="2"/>
  <c r="BK15" i="9" s="1"/>
  <c r="BK111" i="9" s="1"/>
  <c r="BF34" i="3"/>
  <c r="L364" i="2"/>
  <c r="M353" i="2" s="1"/>
  <c r="BF353" i="3" s="1"/>
  <c r="L472" i="2"/>
  <c r="L401" i="2" s="1"/>
  <c r="BE401" i="3" s="1"/>
  <c r="L383" i="2"/>
  <c r="M377" i="2" s="1"/>
  <c r="BF377" i="3" s="1"/>
  <c r="BP14" i="9"/>
  <c r="BP110" i="9" s="1"/>
  <c r="L175" i="5"/>
  <c r="BX14" i="9"/>
  <c r="BX110" i="9" s="1"/>
  <c r="BE258" i="3"/>
  <c r="BE512" i="3"/>
  <c r="L513" i="2"/>
  <c r="M346" i="2"/>
  <c r="BF347" i="3" s="1"/>
  <c r="BE257" i="3"/>
  <c r="BW14" i="9"/>
  <c r="BW110" i="9" s="1"/>
  <c r="M91" i="2"/>
  <c r="N88" i="2"/>
  <c r="BF88" i="3"/>
  <c r="M312" i="2"/>
  <c r="I15" i="9"/>
  <c r="I111" i="9" s="1"/>
  <c r="BF17" i="3"/>
  <c r="BF327" i="3"/>
  <c r="M99" i="2"/>
  <c r="K359" i="1"/>
  <c r="BE284" i="3"/>
  <c r="M259" i="3"/>
  <c r="M369" i="5" s="1"/>
  <c r="BT63" i="9"/>
  <c r="BY63" i="9" s="1"/>
  <c r="M486" i="3"/>
  <c r="N450" i="3"/>
  <c r="N447" i="3"/>
  <c r="N390" i="3"/>
  <c r="N84" i="3"/>
  <c r="N19" i="3"/>
  <c r="N20" i="3"/>
  <c r="N373" i="5"/>
  <c r="F64" i="9"/>
  <c r="K64" i="9" s="1"/>
  <c r="L410" i="2" l="1"/>
  <c r="L399" i="2"/>
  <c r="L408" i="2" s="1"/>
  <c r="L476" i="2"/>
  <c r="L478" i="2" s="1"/>
  <c r="BE478" i="3" s="1"/>
  <c r="M361" i="2"/>
  <c r="BF362" i="3" s="1"/>
  <c r="L402" i="2"/>
  <c r="L411" i="2" s="1"/>
  <c r="AG15" i="9"/>
  <c r="AG111" i="9" s="1"/>
  <c r="M355" i="2"/>
  <c r="BF355" i="3" s="1"/>
  <c r="BF127" i="3"/>
  <c r="BR14" i="9"/>
  <c r="BR110" i="9" s="1"/>
  <c r="BF35" i="3"/>
  <c r="L391" i="1"/>
  <c r="L28" i="2"/>
  <c r="M14" i="9" s="1"/>
  <c r="W14" i="9" s="1"/>
  <c r="BE383" i="3"/>
  <c r="L400" i="2"/>
  <c r="L403" i="2" s="1"/>
  <c r="BE403" i="3" s="1"/>
  <c r="BE472" i="3"/>
  <c r="BE399" i="3"/>
  <c r="BF312" i="3"/>
  <c r="M313" i="2"/>
  <c r="BF37" i="3"/>
  <c r="P15" i="9"/>
  <c r="P111" i="9" s="1"/>
  <c r="M328" i="2"/>
  <c r="AV15" i="9"/>
  <c r="AV111" i="9" s="1"/>
  <c r="M295" i="2"/>
  <c r="BF295" i="3" s="1"/>
  <c r="N100" i="2"/>
  <c r="M459" i="2"/>
  <c r="BF459" i="3" s="1"/>
  <c r="BF99" i="3"/>
  <c r="N101" i="2"/>
  <c r="BG101" i="3" s="1"/>
  <c r="M30" i="2"/>
  <c r="O88" i="2"/>
  <c r="N312" i="2"/>
  <c r="BG312" i="3" s="1"/>
  <c r="BG88" i="3"/>
  <c r="AP15" i="9"/>
  <c r="AP111" i="9" s="1"/>
  <c r="BF91" i="3"/>
  <c r="M292" i="2"/>
  <c r="BF292" i="3" s="1"/>
  <c r="G265" i="1"/>
  <c r="A265" i="1" s="1"/>
  <c r="N92" i="2"/>
  <c r="M455" i="2"/>
  <c r="BF455" i="3" s="1"/>
  <c r="M491" i="2"/>
  <c r="BF491" i="3" s="1"/>
  <c r="N93" i="2"/>
  <c r="BG93" i="3" s="1"/>
  <c r="BE408" i="3"/>
  <c r="L415" i="2"/>
  <c r="BE410" i="3"/>
  <c r="L417" i="2"/>
  <c r="BE411" i="3"/>
  <c r="L418" i="2"/>
  <c r="BE418" i="3" s="1"/>
  <c r="M393" i="5"/>
  <c r="N394" i="3"/>
  <c r="N392" i="3"/>
  <c r="N391" i="3"/>
  <c r="N393" i="3"/>
  <c r="N232" i="3"/>
  <c r="M261" i="3"/>
  <c r="M262" i="3" s="1"/>
  <c r="N190" i="5"/>
  <c r="N365" i="5"/>
  <c r="N238" i="3"/>
  <c r="N85" i="3"/>
  <c r="N195" i="5"/>
  <c r="L480" i="2" l="1"/>
  <c r="W110" i="9"/>
  <c r="BF356" i="3"/>
  <c r="BE402" i="3"/>
  <c r="BE476" i="3"/>
  <c r="M362" i="2"/>
  <c r="BF363" i="3" s="1"/>
  <c r="L438" i="2"/>
  <c r="BE438" i="3" s="1"/>
  <c r="M110" i="9"/>
  <c r="L169" i="2"/>
  <c r="L11" i="5"/>
  <c r="L207" i="5" s="1"/>
  <c r="BE28" i="3"/>
  <c r="L139" i="2"/>
  <c r="BE139" i="3" s="1"/>
  <c r="L71" i="2"/>
  <c r="K368" i="1" s="1"/>
  <c r="L241" i="2"/>
  <c r="BE241" i="3" s="1"/>
  <c r="L390" i="5"/>
  <c r="L409" i="2"/>
  <c r="BE400" i="3"/>
  <c r="M128" i="2"/>
  <c r="M130" i="2"/>
  <c r="BF130" i="3" s="1"/>
  <c r="BG100" i="3"/>
  <c r="N102" i="2"/>
  <c r="N94" i="2"/>
  <c r="BG92" i="3"/>
  <c r="BF30" i="3"/>
  <c r="M329" i="2"/>
  <c r="BF329" i="3" s="1"/>
  <c r="O312" i="2"/>
  <c r="BH312" i="3" s="1"/>
  <c r="P88" i="2"/>
  <c r="BH88" i="3"/>
  <c r="BF328" i="3"/>
  <c r="BE480" i="3"/>
  <c r="L481" i="2"/>
  <c r="BE415" i="3"/>
  <c r="BE417" i="3"/>
  <c r="L170" i="2"/>
  <c r="N470" i="3"/>
  <c r="N290" i="3"/>
  <c r="N287" i="3"/>
  <c r="N240" i="3"/>
  <c r="AD64" i="9"/>
  <c r="N395" i="3"/>
  <c r="L444" i="2" l="1"/>
  <c r="BE444" i="3" s="1"/>
  <c r="L386" i="5"/>
  <c r="L388" i="5" s="1"/>
  <c r="BE71" i="3"/>
  <c r="BE169" i="3"/>
  <c r="K354" i="1"/>
  <c r="L394" i="5"/>
  <c r="L391" i="5"/>
  <c r="L395" i="5" s="1"/>
  <c r="BE409" i="3"/>
  <c r="L416" i="2"/>
  <c r="L412" i="2"/>
  <c r="N303" i="3"/>
  <c r="M330" i="2"/>
  <c r="BF330" i="3" s="1"/>
  <c r="AN16" i="9"/>
  <c r="AN112" i="9" s="1"/>
  <c r="N308" i="2"/>
  <c r="BG308" i="3" s="1"/>
  <c r="N176" i="2"/>
  <c r="N379" i="5"/>
  <c r="N383" i="5" s="1"/>
  <c r="BG94" i="3"/>
  <c r="N293" i="2"/>
  <c r="BG293" i="3" s="1"/>
  <c r="N456" i="2"/>
  <c r="BG456" i="3" s="1"/>
  <c r="N377" i="5"/>
  <c r="N326" i="2"/>
  <c r="BG326" i="3" s="1"/>
  <c r="N378" i="5"/>
  <c r="N502" i="2"/>
  <c r="BG502" i="3" s="1"/>
  <c r="N296" i="2"/>
  <c r="BG296" i="3" s="1"/>
  <c r="AU16" i="9"/>
  <c r="AU112" i="9" s="1"/>
  <c r="N460" i="2"/>
  <c r="BG460" i="3" s="1"/>
  <c r="BG102" i="3"/>
  <c r="Q88" i="2"/>
  <c r="BI88" i="3"/>
  <c r="P312" i="2"/>
  <c r="BI312" i="3" s="1"/>
  <c r="M133" i="2"/>
  <c r="E128" i="2"/>
  <c r="BF128" i="3"/>
  <c r="K355" i="1"/>
  <c r="BE170" i="3"/>
  <c r="L268" i="2"/>
  <c r="BE268" i="3" s="1"/>
  <c r="L210" i="2"/>
  <c r="L171" i="2"/>
  <c r="L192" i="2"/>
  <c r="BE481" i="3"/>
  <c r="L482" i="2"/>
  <c r="BE482" i="3" s="1"/>
  <c r="AI64" i="9"/>
  <c r="N95" i="3"/>
  <c r="N405" i="3"/>
  <c r="N396" i="3"/>
  <c r="BE412" i="3" l="1"/>
  <c r="L413" i="2"/>
  <c r="BE416" i="3"/>
  <c r="L419" i="2"/>
  <c r="D385" i="2"/>
  <c r="AV128" i="2"/>
  <c r="AU128" i="3"/>
  <c r="AV128" i="3" s="1"/>
  <c r="C253" i="1"/>
  <c r="M314" i="2"/>
  <c r="M492" i="2"/>
  <c r="M180" i="2"/>
  <c r="E133" i="2"/>
  <c r="AO15" i="9"/>
  <c r="M38" i="2"/>
  <c r="BF133" i="3"/>
  <c r="M29" i="2"/>
  <c r="M378" i="2"/>
  <c r="M172" i="5"/>
  <c r="BG176" i="3"/>
  <c r="M357" i="1"/>
  <c r="R88" i="2"/>
  <c r="BJ88" i="3"/>
  <c r="Q312" i="2"/>
  <c r="BJ312" i="3" s="1"/>
  <c r="BE210" i="3"/>
  <c r="K380" i="1"/>
  <c r="K366" i="1"/>
  <c r="BE192" i="3"/>
  <c r="L182" i="2"/>
  <c r="K356" i="1"/>
  <c r="K361" i="1" s="1"/>
  <c r="BE171" i="3"/>
  <c r="N457" i="3"/>
  <c r="N320" i="3"/>
  <c r="N321" i="3" s="1"/>
  <c r="O306" i="3" s="1"/>
  <c r="AQ64" i="9"/>
  <c r="AT64" i="9" s="1"/>
  <c r="O9" i="3"/>
  <c r="N249" i="3"/>
  <c r="N103" i="3"/>
  <c r="BE419" i="3" l="1"/>
  <c r="L420" i="2"/>
  <c r="BE420" i="3" s="1"/>
  <c r="M283" i="2"/>
  <c r="BF180" i="3"/>
  <c r="E180" i="2"/>
  <c r="D172" i="5"/>
  <c r="E172" i="5"/>
  <c r="BF492" i="3"/>
  <c r="E492" i="2"/>
  <c r="M493" i="2"/>
  <c r="M494" i="2"/>
  <c r="BF494" i="3" s="1"/>
  <c r="BF378" i="3"/>
  <c r="E378" i="2"/>
  <c r="AU378" i="3" s="1"/>
  <c r="AV378" i="3" s="1"/>
  <c r="BF314" i="3"/>
  <c r="E314" i="2"/>
  <c r="F75" i="5"/>
  <c r="F320" i="5" s="1"/>
  <c r="M16" i="1"/>
  <c r="AV133" i="2"/>
  <c r="I44" i="5"/>
  <c r="AU133" i="3"/>
  <c r="AV133" i="3" s="1"/>
  <c r="D151" i="5"/>
  <c r="BF29" i="3"/>
  <c r="M317" i="2"/>
  <c r="BF317" i="3" s="1"/>
  <c r="M31" i="2"/>
  <c r="M173" i="5"/>
  <c r="Q15" i="9"/>
  <c r="Q111" i="9" s="1"/>
  <c r="M440" i="2"/>
  <c r="BF440" i="3" s="1"/>
  <c r="BF38" i="3"/>
  <c r="M379" i="2"/>
  <c r="BF379" i="3" s="1"/>
  <c r="R312" i="2"/>
  <c r="BK312" i="3" s="1"/>
  <c r="S88" i="2"/>
  <c r="BK88" i="3"/>
  <c r="AO111" i="9"/>
  <c r="AO144" i="9" s="1"/>
  <c r="AO48" i="9"/>
  <c r="BE182" i="3"/>
  <c r="L207" i="2"/>
  <c r="L153" i="2"/>
  <c r="O489" i="3"/>
  <c r="O96" i="3"/>
  <c r="O92" i="3"/>
  <c r="O94" i="3" s="1"/>
  <c r="N461" i="3"/>
  <c r="N331" i="3"/>
  <c r="N332" i="3" s="1"/>
  <c r="O324" i="3" s="1"/>
  <c r="AW64" i="9"/>
  <c r="AY64" i="9" s="1"/>
  <c r="N501" i="3"/>
  <c r="N503" i="3" s="1"/>
  <c r="N505" i="3" s="1"/>
  <c r="N506" i="3" s="1"/>
  <c r="N250" i="3"/>
  <c r="N251" i="3" s="1"/>
  <c r="BU64" i="9" s="1"/>
  <c r="O10" i="3"/>
  <c r="N116" i="3"/>
  <c r="N175" i="3"/>
  <c r="N281" i="3" s="1"/>
  <c r="M439" i="2" l="1"/>
  <c r="BF439" i="3" s="1"/>
  <c r="N15" i="9"/>
  <c r="N111" i="9" s="1"/>
  <c r="BF31" i="3"/>
  <c r="M496" i="2"/>
  <c r="BF493" i="3"/>
  <c r="BL88" i="3"/>
  <c r="S312" i="2"/>
  <c r="BL312" i="3" s="1"/>
  <c r="T88" i="2"/>
  <c r="M319" i="2"/>
  <c r="BF319" i="3" s="1"/>
  <c r="AV314" i="2"/>
  <c r="AU314" i="3"/>
  <c r="AV314" i="3" s="1"/>
  <c r="M381" i="2"/>
  <c r="BF381" i="3" s="1"/>
  <c r="I289" i="5"/>
  <c r="I47" i="5"/>
  <c r="I292" i="5" s="1"/>
  <c r="AU180" i="3"/>
  <c r="AV180" i="3" s="1"/>
  <c r="AV180" i="2"/>
  <c r="AE36" i="1"/>
  <c r="AC39" i="1"/>
  <c r="BF283" i="3"/>
  <c r="E283" i="2"/>
  <c r="L154" i="2"/>
  <c r="BE153" i="3"/>
  <c r="BE207" i="3"/>
  <c r="L212" i="2"/>
  <c r="N347" i="3"/>
  <c r="N349" i="3" s="1"/>
  <c r="O335" i="3" s="1"/>
  <c r="BB64" i="9"/>
  <c r="BC64" i="9" s="1"/>
  <c r="N252" i="3"/>
  <c r="O12" i="3"/>
  <c r="O100" i="3"/>
  <c r="O102" i="3" s="1"/>
  <c r="O382" i="5" s="1"/>
  <c r="O11" i="3"/>
  <c r="G65" i="9" s="1"/>
  <c r="O310" i="3"/>
  <c r="AR65" i="9"/>
  <c r="AE65" i="9"/>
  <c r="O456" i="3"/>
  <c r="O308" i="3"/>
  <c r="O293" i="3"/>
  <c r="O405" i="5"/>
  <c r="O406" i="5" s="1"/>
  <c r="O380" i="5"/>
  <c r="AN65" i="9"/>
  <c r="N117" i="3"/>
  <c r="BM88" i="3" l="1"/>
  <c r="T312" i="2"/>
  <c r="BM312" i="3" s="1"/>
  <c r="U88" i="2"/>
  <c r="AV283" i="2"/>
  <c r="AU283" i="3"/>
  <c r="AV283" i="3" s="1"/>
  <c r="BF496" i="3"/>
  <c r="M497" i="2"/>
  <c r="BE154" i="3"/>
  <c r="L156" i="2"/>
  <c r="BE212" i="3"/>
  <c r="L218" i="2"/>
  <c r="L225" i="2"/>
  <c r="BE225" i="3" s="1"/>
  <c r="O176" i="3"/>
  <c r="O315" i="3"/>
  <c r="O89" i="3" s="1"/>
  <c r="O309" i="3"/>
  <c r="N348" i="3"/>
  <c r="N350" i="3" s="1"/>
  <c r="O336" i="3" s="1"/>
  <c r="BF64" i="9"/>
  <c r="BG64" i="9" s="1"/>
  <c r="N508" i="3"/>
  <c r="N510" i="3" s="1"/>
  <c r="N512" i="3" s="1"/>
  <c r="N513" i="3" s="1"/>
  <c r="O13" i="3"/>
  <c r="O14" i="3" s="1"/>
  <c r="H65" i="9" s="1"/>
  <c r="N253" i="3"/>
  <c r="N254" i="3" s="1"/>
  <c r="BV64" i="9" s="1"/>
  <c r="O408" i="5"/>
  <c r="O502" i="3"/>
  <c r="O326" i="3"/>
  <c r="O460" i="3"/>
  <c r="O296" i="3"/>
  <c r="O381" i="5"/>
  <c r="AU65" i="9"/>
  <c r="N118" i="3"/>
  <c r="N126" i="3" s="1"/>
  <c r="O32" i="3"/>
  <c r="O339" i="3"/>
  <c r="BF497" i="3" l="1"/>
  <c r="M498" i="2"/>
  <c r="BF498" i="3" s="1"/>
  <c r="BN88" i="3"/>
  <c r="U312" i="2"/>
  <c r="BN312" i="3" s="1"/>
  <c r="V88" i="2"/>
  <c r="L221" i="2"/>
  <c r="BE221" i="3" s="1"/>
  <c r="L220" i="2"/>
  <c r="BE218" i="3"/>
  <c r="L222" i="2"/>
  <c r="BE222" i="3" s="1"/>
  <c r="L159" i="2"/>
  <c r="BE156" i="3"/>
  <c r="L158" i="2"/>
  <c r="O33" i="3"/>
  <c r="O344" i="3" s="1"/>
  <c r="O346" i="3" s="1"/>
  <c r="O316" i="3"/>
  <c r="O91" i="3"/>
  <c r="O343" i="3"/>
  <c r="O345" i="3" s="1"/>
  <c r="N464" i="3"/>
  <c r="N177" i="3"/>
  <c r="N282" i="3" s="1"/>
  <c r="N284" i="3" s="1"/>
  <c r="O327" i="3"/>
  <c r="O99" i="3" s="1"/>
  <c r="O340" i="3"/>
  <c r="BO88" i="3" l="1"/>
  <c r="V312" i="2"/>
  <c r="BO312" i="3" s="1"/>
  <c r="W88" i="2"/>
  <c r="O34" i="3"/>
  <c r="O65" i="9" s="1"/>
  <c r="L162" i="2"/>
  <c r="BE162" i="3" s="1"/>
  <c r="BE158" i="3"/>
  <c r="BE159" i="3"/>
  <c r="L160" i="2"/>
  <c r="BE220" i="3"/>
  <c r="L223" i="2"/>
  <c r="O491" i="3"/>
  <c r="O493" i="3" s="1"/>
  <c r="O455" i="3"/>
  <c r="O292" i="3"/>
  <c r="AP65" i="9"/>
  <c r="P93" i="3"/>
  <c r="O29" i="3"/>
  <c r="O459" i="3"/>
  <c r="O328" i="3"/>
  <c r="O295" i="3"/>
  <c r="AV65" i="9"/>
  <c r="O30" i="3"/>
  <c r="P101" i="3"/>
  <c r="N467" i="3"/>
  <c r="N474" i="3" s="1"/>
  <c r="N363" i="3"/>
  <c r="N364" i="3" s="1"/>
  <c r="O353" i="3" s="1"/>
  <c r="BI64" i="9"/>
  <c r="BL64" i="9" s="1"/>
  <c r="BR64" i="9" s="1"/>
  <c r="O15" i="3"/>
  <c r="N255" i="3"/>
  <c r="N257" i="3" s="1"/>
  <c r="BW64" i="9" s="1"/>
  <c r="BP88" i="3" l="1"/>
  <c r="X88" i="2"/>
  <c r="W312" i="2"/>
  <c r="BP312" i="3" s="1"/>
  <c r="BE160" i="3"/>
  <c r="L161" i="2"/>
  <c r="BE223" i="3"/>
  <c r="L227" i="2"/>
  <c r="N476" i="3"/>
  <c r="N478" i="3" s="1"/>
  <c r="N472" i="3"/>
  <c r="O317" i="3"/>
  <c r="O31" i="3"/>
  <c r="O329" i="3"/>
  <c r="O330" i="3" s="1"/>
  <c r="O127" i="3"/>
  <c r="O17" i="3"/>
  <c r="I65" i="9" s="1"/>
  <c r="O35" i="3"/>
  <c r="O494" i="3"/>
  <c r="O496" i="3" s="1"/>
  <c r="O497" i="3" s="1"/>
  <c r="O498" i="3" s="1"/>
  <c r="BQ88" i="3" l="1"/>
  <c r="Y88" i="2"/>
  <c r="X312" i="2"/>
  <c r="BQ312" i="3" s="1"/>
  <c r="BE227" i="3"/>
  <c r="K385" i="1"/>
  <c r="K393" i="1"/>
  <c r="L89" i="5"/>
  <c r="L345" i="5" s="1"/>
  <c r="K371" i="1"/>
  <c r="L228" i="2"/>
  <c r="BE228" i="3" s="1"/>
  <c r="BE161" i="3"/>
  <c r="L163" i="2"/>
  <c r="O355" i="3"/>
  <c r="BK65" i="9"/>
  <c r="AG65" i="9"/>
  <c r="O439" i="3"/>
  <c r="N65" i="9"/>
  <c r="N28" i="3"/>
  <c r="N399" i="3"/>
  <c r="N402" i="3"/>
  <c r="N411" i="3" s="1"/>
  <c r="N418" i="3" s="1"/>
  <c r="N401" i="3"/>
  <c r="N410" i="3" s="1"/>
  <c r="N417" i="3" s="1"/>
  <c r="N170" i="3" s="1"/>
  <c r="N400" i="3"/>
  <c r="N409" i="3" s="1"/>
  <c r="N416" i="3" s="1"/>
  <c r="O361" i="3"/>
  <c r="BH361" i="3" s="1"/>
  <c r="O37" i="3"/>
  <c r="O319" i="3"/>
  <c r="N480" i="3"/>
  <c r="Z88" i="2" l="1"/>
  <c r="Y312" i="2"/>
  <c r="BR312" i="3" s="1"/>
  <c r="BR88" i="3"/>
  <c r="L165" i="2"/>
  <c r="L267" i="2" s="1"/>
  <c r="BE163" i="3"/>
  <c r="N438" i="3"/>
  <c r="N444" i="3" s="1"/>
  <c r="N241" i="3"/>
  <c r="N169" i="3"/>
  <c r="N71" i="3"/>
  <c r="N139" i="3"/>
  <c r="N191" i="5"/>
  <c r="M64" i="9"/>
  <c r="W64" i="9" s="1"/>
  <c r="N392" i="5"/>
  <c r="N268" i="3"/>
  <c r="N210" i="3"/>
  <c r="O362" i="3"/>
  <c r="N481" i="3"/>
  <c r="O440" i="3"/>
  <c r="P65" i="9"/>
  <c r="N403" i="3"/>
  <c r="N408" i="3"/>
  <c r="Z312" i="2" l="1"/>
  <c r="BS312" i="3" s="1"/>
  <c r="AA88" i="2"/>
  <c r="BS88" i="3"/>
  <c r="BE165" i="3"/>
  <c r="L112" i="5"/>
  <c r="L140" i="5" s="1"/>
  <c r="L183" i="2"/>
  <c r="L166" i="2"/>
  <c r="BE166" i="3" s="1"/>
  <c r="BE267" i="3"/>
  <c r="N171" i="3"/>
  <c r="N182" i="3" s="1"/>
  <c r="N192" i="3"/>
  <c r="N412" i="3"/>
  <c r="N413" i="3" s="1"/>
  <c r="N415" i="3"/>
  <c r="N419" i="3" s="1"/>
  <c r="N420" i="3" s="1"/>
  <c r="N387" i="5"/>
  <c r="N482" i="3"/>
  <c r="BT88" i="3" l="1"/>
  <c r="AB88" i="2"/>
  <c r="AA312" i="2"/>
  <c r="BT312" i="3" s="1"/>
  <c r="K363" i="1"/>
  <c r="K364" i="1" s="1"/>
  <c r="K375" i="1"/>
  <c r="L184" i="2"/>
  <c r="BE183" i="3"/>
  <c r="N153" i="3"/>
  <c r="N154" i="3" s="1"/>
  <c r="N156" i="3" s="1"/>
  <c r="N207" i="3"/>
  <c r="N212" i="3" s="1"/>
  <c r="AB312" i="2" l="1"/>
  <c r="BU312" i="3" s="1"/>
  <c r="BU88" i="3"/>
  <c r="AC88" i="2"/>
  <c r="K374" i="1"/>
  <c r="K377" i="1" s="1"/>
  <c r="K382" i="1" s="1"/>
  <c r="K384" i="1" s="1"/>
  <c r="K386" i="1" s="1"/>
  <c r="K367" i="1"/>
  <c r="BE184" i="3"/>
  <c r="L266" i="2"/>
  <c r="L191" i="2"/>
  <c r="L399" i="5"/>
  <c r="L94" i="4"/>
  <c r="L397" i="5"/>
  <c r="L85" i="5"/>
  <c r="L342" i="5" s="1"/>
  <c r="N225" i="3"/>
  <c r="N218" i="3"/>
  <c r="N159" i="3"/>
  <c r="N160" i="3" s="1"/>
  <c r="N161" i="3" s="1"/>
  <c r="N158" i="3"/>
  <c r="N162" i="3" s="1"/>
  <c r="L271" i="2" l="1"/>
  <c r="L86" i="4" s="1"/>
  <c r="L270" i="2"/>
  <c r="AC312" i="2"/>
  <c r="BV312" i="3" s="1"/>
  <c r="BV88" i="3"/>
  <c r="AD88" i="2"/>
  <c r="BE266" i="3"/>
  <c r="L193" i="2"/>
  <c r="BE191" i="3"/>
  <c r="N222" i="3"/>
  <c r="N221" i="3"/>
  <c r="N220" i="3"/>
  <c r="N163" i="3"/>
  <c r="N165" i="3" s="1"/>
  <c r="N267" i="3" s="1"/>
  <c r="AD312" i="2" l="1"/>
  <c r="BW312" i="3" s="1"/>
  <c r="AE88" i="2"/>
  <c r="BW88" i="3"/>
  <c r="L201" i="2"/>
  <c r="L199" i="2"/>
  <c r="L197" i="2"/>
  <c r="L195" i="2"/>
  <c r="L200" i="2"/>
  <c r="L198" i="2"/>
  <c r="BE193" i="3"/>
  <c r="L196" i="2"/>
  <c r="L32" i="4"/>
  <c r="N33" i="4" s="1"/>
  <c r="BE270" i="3"/>
  <c r="L86" i="5"/>
  <c r="L343" i="5" s="1"/>
  <c r="N166" i="3"/>
  <c r="N183" i="3"/>
  <c r="N184" i="3" s="1"/>
  <c r="N139" i="5"/>
  <c r="N223" i="3"/>
  <c r="N227" i="3" s="1"/>
  <c r="AF88" i="2" l="1"/>
  <c r="BX88" i="3"/>
  <c r="AE312" i="2"/>
  <c r="BX312" i="3" s="1"/>
  <c r="I311" i="1"/>
  <c r="L318" i="4"/>
  <c r="P264" i="1" s="1"/>
  <c r="BE200" i="3"/>
  <c r="BE201" i="3"/>
  <c r="L204" i="2"/>
  <c r="J311" i="1"/>
  <c r="E311" i="1"/>
  <c r="L314" i="4"/>
  <c r="L264" i="1" s="1"/>
  <c r="BE196" i="3"/>
  <c r="BE195" i="3"/>
  <c r="L202" i="2"/>
  <c r="D311" i="1"/>
  <c r="L313" i="4"/>
  <c r="K264" i="1" s="1"/>
  <c r="BE197" i="3"/>
  <c r="F311" i="1"/>
  <c r="L315" i="4"/>
  <c r="M264" i="1" s="1"/>
  <c r="N55" i="4"/>
  <c r="N57" i="4"/>
  <c r="N58" i="4"/>
  <c r="N56" i="4"/>
  <c r="N54" i="4"/>
  <c r="BE198" i="3"/>
  <c r="G311" i="1"/>
  <c r="L316" i="4"/>
  <c r="N264" i="1" s="1"/>
  <c r="L317" i="4"/>
  <c r="O264" i="1" s="1"/>
  <c r="BE199" i="3"/>
  <c r="H311" i="1"/>
  <c r="N334" i="5"/>
  <c r="N228" i="3"/>
  <c r="N95" i="4"/>
  <c r="N191" i="3"/>
  <c r="N193" i="3" s="1"/>
  <c r="N266" i="3"/>
  <c r="N270" i="3" s="1"/>
  <c r="N330" i="5"/>
  <c r="N398" i="5"/>
  <c r="AG88" i="2" l="1"/>
  <c r="AF312" i="2"/>
  <c r="BY312" i="3" s="1"/>
  <c r="BY88" i="3"/>
  <c r="N59" i="4"/>
  <c r="N272" i="2" s="1"/>
  <c r="C311" i="1"/>
  <c r="K311" i="1" s="1"/>
  <c r="L422" i="2"/>
  <c r="BE202" i="3"/>
  <c r="L87" i="5"/>
  <c r="L344" i="5" s="1"/>
  <c r="L484" i="2"/>
  <c r="K370" i="1"/>
  <c r="K372" i="1" s="1"/>
  <c r="L145" i="2"/>
  <c r="L203" i="2"/>
  <c r="K394" i="1"/>
  <c r="L515" i="2"/>
  <c r="BE515" i="3" s="1"/>
  <c r="BE204" i="3"/>
  <c r="N64" i="4"/>
  <c r="P65" i="4" s="1"/>
  <c r="N331" i="5"/>
  <c r="N198" i="3"/>
  <c r="N200" i="3"/>
  <c r="N196" i="3"/>
  <c r="N197" i="3"/>
  <c r="N199" i="3"/>
  <c r="N195" i="3"/>
  <c r="N201" i="3"/>
  <c r="N60" i="4" l="1"/>
  <c r="N61" i="4"/>
  <c r="AH88" i="2"/>
  <c r="AG312" i="2"/>
  <c r="BZ312" i="3" s="1"/>
  <c r="BZ88" i="3"/>
  <c r="L88" i="5"/>
  <c r="L516" i="2"/>
  <c r="BE203" i="3"/>
  <c r="J264" i="1"/>
  <c r="L244" i="2"/>
  <c r="L229" i="2"/>
  <c r="Z14" i="9"/>
  <c r="L148" i="2"/>
  <c r="BE145" i="3"/>
  <c r="M302" i="2"/>
  <c r="BF302" i="3" s="1"/>
  <c r="L146" i="2"/>
  <c r="L17" i="5"/>
  <c r="BE422" i="3"/>
  <c r="L424" i="2"/>
  <c r="BE424" i="3" s="1"/>
  <c r="BE484" i="3"/>
  <c r="L485" i="2"/>
  <c r="N321" i="4"/>
  <c r="N202" i="3"/>
  <c r="BS266" i="1"/>
  <c r="N313" i="1"/>
  <c r="N326" i="4"/>
  <c r="S313" i="1"/>
  <c r="BX266" i="1"/>
  <c r="P70" i="4"/>
  <c r="P68" i="4"/>
  <c r="P67" i="4"/>
  <c r="P69" i="4"/>
  <c r="P71" i="4"/>
  <c r="N325" i="4"/>
  <c r="BW266" i="1"/>
  <c r="R313" i="1"/>
  <c r="N323" i="4"/>
  <c r="BU266" i="1"/>
  <c r="P313" i="1"/>
  <c r="N324" i="4"/>
  <c r="Q313" i="1"/>
  <c r="BV266" i="1"/>
  <c r="N204" i="3"/>
  <c r="N515" i="3" s="1"/>
  <c r="T313" i="1"/>
  <c r="N322" i="4"/>
  <c r="O313" i="1"/>
  <c r="BT266" i="1"/>
  <c r="AH312" i="2" l="1"/>
  <c r="CA312" i="3" s="1"/>
  <c r="CA88" i="3"/>
  <c r="AI88" i="2"/>
  <c r="L245" i="2"/>
  <c r="BE244" i="3"/>
  <c r="L213" i="5"/>
  <c r="L18" i="5"/>
  <c r="BE148" i="3"/>
  <c r="M8" i="2"/>
  <c r="L248" i="2"/>
  <c r="L425" i="2"/>
  <c r="BE425" i="3" s="1"/>
  <c r="BE485" i="3"/>
  <c r="L109" i="5"/>
  <c r="BE146" i="3"/>
  <c r="AJ14" i="9"/>
  <c r="AL14" i="9" s="1"/>
  <c r="Z110" i="9"/>
  <c r="BE229" i="3"/>
  <c r="L90" i="5"/>
  <c r="L346" i="5" s="1"/>
  <c r="BE516" i="3"/>
  <c r="L384" i="5"/>
  <c r="BN266" i="1"/>
  <c r="U266" i="1"/>
  <c r="V266" i="1"/>
  <c r="BO266" i="1"/>
  <c r="BP266" i="1"/>
  <c r="W266" i="1"/>
  <c r="P72" i="4"/>
  <c r="N484" i="3"/>
  <c r="N485" i="3" s="1"/>
  <c r="N422" i="3"/>
  <c r="N424" i="3" s="1"/>
  <c r="N145" i="3"/>
  <c r="N332" i="5"/>
  <c r="N203" i="3"/>
  <c r="BQ266" i="1"/>
  <c r="X266" i="1"/>
  <c r="BL266" i="1"/>
  <c r="S266" i="1"/>
  <c r="BM266" i="1"/>
  <c r="T266" i="1"/>
  <c r="M313" i="1"/>
  <c r="U313" i="1" s="1"/>
  <c r="P74" i="4" l="1"/>
  <c r="P272" i="3"/>
  <c r="CB88" i="3"/>
  <c r="AI312" i="2"/>
  <c r="CB312" i="3" s="1"/>
  <c r="AJ88" i="2"/>
  <c r="L19" i="5"/>
  <c r="L214" i="5"/>
  <c r="AL110" i="9"/>
  <c r="AJ110" i="9"/>
  <c r="L259" i="2"/>
  <c r="BT14" i="9"/>
  <c r="BE248" i="3"/>
  <c r="M447" i="2"/>
  <c r="BF447" i="3" s="1"/>
  <c r="M19" i="2"/>
  <c r="M84" i="2"/>
  <c r="F15" i="9"/>
  <c r="M450" i="2"/>
  <c r="BF450" i="3" s="1"/>
  <c r="BF8" i="3"/>
  <c r="L389" i="1"/>
  <c r="M20" i="2"/>
  <c r="M390" i="2"/>
  <c r="M372" i="5"/>
  <c r="M374" i="5" s="1"/>
  <c r="I265" i="1"/>
  <c r="L486" i="2"/>
  <c r="BE486" i="3" s="1"/>
  <c r="BE245" i="3"/>
  <c r="L260" i="2"/>
  <c r="K373" i="1"/>
  <c r="N425" i="3"/>
  <c r="R266" i="1"/>
  <c r="BK266" i="1"/>
  <c r="N333" i="5"/>
  <c r="N516" i="3"/>
  <c r="P73" i="4"/>
  <c r="O302" i="3"/>
  <c r="N244" i="3"/>
  <c r="N245" i="3" s="1"/>
  <c r="N260" i="3" s="1"/>
  <c r="N146" i="3"/>
  <c r="N129" i="5" s="1"/>
  <c r="N197" i="5"/>
  <c r="N198" i="5" s="1"/>
  <c r="N199" i="5" s="1"/>
  <c r="N200" i="5" s="1"/>
  <c r="Z64" i="9"/>
  <c r="AJ64" i="9" s="1"/>
  <c r="AL64" i="9" s="1"/>
  <c r="N148" i="3"/>
  <c r="N229" i="3"/>
  <c r="N335" i="5" s="1"/>
  <c r="AK88" i="2" l="1"/>
  <c r="CC88" i="3"/>
  <c r="AJ312" i="2"/>
  <c r="CC312" i="3" s="1"/>
  <c r="M232" i="2"/>
  <c r="BF232" i="3" s="1"/>
  <c r="L261" i="2"/>
  <c r="BE261" i="3" s="1"/>
  <c r="M10" i="5"/>
  <c r="M206" i="5" s="1"/>
  <c r="M364" i="5"/>
  <c r="M366" i="5" s="1"/>
  <c r="BF19" i="3"/>
  <c r="BE259" i="3"/>
  <c r="L368" i="5"/>
  <c r="L370" i="5" s="1"/>
  <c r="L144" i="5" s="1"/>
  <c r="L20" i="5"/>
  <c r="L215" i="5"/>
  <c r="BE260" i="3"/>
  <c r="M391" i="2"/>
  <c r="M394" i="2"/>
  <c r="BF394" i="3" s="1"/>
  <c r="BF390" i="3"/>
  <c r="M392" i="2"/>
  <c r="BF392" i="3" s="1"/>
  <c r="M393" i="2"/>
  <c r="BF393" i="3" s="1"/>
  <c r="F111" i="9"/>
  <c r="K15" i="9"/>
  <c r="M15" i="5"/>
  <c r="M212" i="5" s="1"/>
  <c r="BF84" i="3"/>
  <c r="M238" i="2"/>
  <c r="M85" i="2"/>
  <c r="BY14" i="9"/>
  <c r="BY110" i="9" s="1"/>
  <c r="BT110" i="9"/>
  <c r="O8" i="3"/>
  <c r="N248" i="3"/>
  <c r="K111" i="9" l="1"/>
  <c r="AL88" i="2"/>
  <c r="CD88" i="3"/>
  <c r="AK312" i="2"/>
  <c r="CD312" i="3" s="1"/>
  <c r="L262" i="2"/>
  <c r="BF85" i="3"/>
  <c r="M290" i="2"/>
  <c r="BF290" i="3" s="1"/>
  <c r="M470" i="2"/>
  <c r="BF470" i="3" s="1"/>
  <c r="M287" i="2"/>
  <c r="BF238" i="3"/>
  <c r="M240" i="2"/>
  <c r="AD15" i="9"/>
  <c r="AD111" i="9" s="1"/>
  <c r="BF391" i="3"/>
  <c r="M395" i="2"/>
  <c r="N259" i="3"/>
  <c r="N369" i="5" s="1"/>
  <c r="BT64" i="9"/>
  <c r="BY64" i="9" s="1"/>
  <c r="N486" i="3"/>
  <c r="O450" i="3"/>
  <c r="O447" i="3"/>
  <c r="O390" i="3"/>
  <c r="O84" i="3"/>
  <c r="O19" i="3"/>
  <c r="F65" i="9"/>
  <c r="K65" i="9" s="1"/>
  <c r="O373" i="5"/>
  <c r="O20" i="3"/>
  <c r="CE88" i="3" l="1"/>
  <c r="AM88" i="2"/>
  <c r="AL312" i="2"/>
  <c r="CE312" i="3" s="1"/>
  <c r="M303" i="2"/>
  <c r="BF287" i="3"/>
  <c r="BF240" i="3"/>
  <c r="AI15" i="9"/>
  <c r="AI111" i="9" s="1"/>
  <c r="M396" i="2"/>
  <c r="BF396" i="3" s="1"/>
  <c r="BF395" i="3"/>
  <c r="M405" i="2"/>
  <c r="BF405" i="3" s="1"/>
  <c r="O238" i="3"/>
  <c r="O85" i="3"/>
  <c r="O195" i="5"/>
  <c r="O232" i="3"/>
  <c r="N261" i="3"/>
  <c r="N262" i="3" s="1"/>
  <c r="O190" i="5"/>
  <c r="O365" i="5"/>
  <c r="O393" i="3"/>
  <c r="O391" i="3"/>
  <c r="O394" i="3"/>
  <c r="O392" i="3"/>
  <c r="N393" i="5"/>
  <c r="CF88" i="3" l="1"/>
  <c r="AN88" i="2"/>
  <c r="AM312" i="2"/>
  <c r="CF312" i="3" s="1"/>
  <c r="BF303" i="3"/>
  <c r="M95" i="2"/>
  <c r="O395" i="3"/>
  <c r="O470" i="3"/>
  <c r="O290" i="3"/>
  <c r="O287" i="3"/>
  <c r="O240" i="3"/>
  <c r="AD65" i="9"/>
  <c r="O303" i="3" l="1"/>
  <c r="CG88" i="3"/>
  <c r="AO88" i="2"/>
  <c r="AN312" i="2"/>
  <c r="CG312" i="3" s="1"/>
  <c r="M457" i="2"/>
  <c r="BF457" i="3" s="1"/>
  <c r="AQ15" i="9"/>
  <c r="BF95" i="3"/>
  <c r="M249" i="2"/>
  <c r="M320" i="2"/>
  <c r="N9" i="2"/>
  <c r="M103" i="2"/>
  <c r="AI65" i="9"/>
  <c r="O396" i="3"/>
  <c r="O405" i="3"/>
  <c r="O95" i="3" l="1"/>
  <c r="O103" i="3" s="1"/>
  <c r="O501" i="3" s="1"/>
  <c r="O503" i="3" s="1"/>
  <c r="O505" i="3" s="1"/>
  <c r="O506" i="3" s="1"/>
  <c r="AO312" i="2"/>
  <c r="CH312" i="3" s="1"/>
  <c r="CH88" i="3"/>
  <c r="AP88" i="2"/>
  <c r="BF103" i="3"/>
  <c r="M461" i="2"/>
  <c r="M501" i="2"/>
  <c r="M331" i="2"/>
  <c r="M250" i="2"/>
  <c r="BF250" i="3" s="1"/>
  <c r="AW15" i="9"/>
  <c r="N10" i="2"/>
  <c r="N11" i="2" s="1"/>
  <c r="N489" i="2"/>
  <c r="BG9" i="3"/>
  <c r="N96" i="2"/>
  <c r="AQ111" i="9"/>
  <c r="AT15" i="9"/>
  <c r="AT111" i="9" s="1"/>
  <c r="M321" i="2"/>
  <c r="BF320" i="3"/>
  <c r="BF249" i="3"/>
  <c r="M175" i="2"/>
  <c r="M116" i="2"/>
  <c r="M117" i="2" s="1"/>
  <c r="O249" i="3" l="1"/>
  <c r="O457" i="3"/>
  <c r="P9" i="3"/>
  <c r="P96" i="3" s="1"/>
  <c r="O250" i="3"/>
  <c r="O175" i="3"/>
  <c r="O281" i="3" s="1"/>
  <c r="AW65" i="9"/>
  <c r="AY65" i="9" s="1"/>
  <c r="O320" i="3"/>
  <c r="O321" i="3" s="1"/>
  <c r="P306" i="3" s="1"/>
  <c r="O331" i="3"/>
  <c r="O332" i="3" s="1"/>
  <c r="P324" i="3" s="1"/>
  <c r="O116" i="3"/>
  <c r="P12" i="3" s="1"/>
  <c r="AQ65" i="9"/>
  <c r="AT65" i="9" s="1"/>
  <c r="P10" i="3"/>
  <c r="P100" i="3" s="1"/>
  <c r="P102" i="3" s="1"/>
  <c r="O461" i="3"/>
  <c r="M251" i="2"/>
  <c r="BU15" i="9" s="1"/>
  <c r="BU111" i="9" s="1"/>
  <c r="CI88" i="3"/>
  <c r="AP312" i="2"/>
  <c r="CI312" i="3" s="1"/>
  <c r="AQ88" i="2"/>
  <c r="BF117" i="3"/>
  <c r="BF15" i="9"/>
  <c r="M508" i="2"/>
  <c r="M348" i="2"/>
  <c r="N13" i="2"/>
  <c r="M253" i="2"/>
  <c r="BF253" i="3" s="1"/>
  <c r="BF175" i="3"/>
  <c r="M281" i="2"/>
  <c r="N306" i="2"/>
  <c r="H265" i="1"/>
  <c r="BF321" i="3"/>
  <c r="BG489" i="3"/>
  <c r="M332" i="2"/>
  <c r="BF331" i="3"/>
  <c r="BG11" i="3"/>
  <c r="G16" i="9"/>
  <c r="G112" i="9" s="1"/>
  <c r="BG10" i="3"/>
  <c r="M503" i="2"/>
  <c r="BF501" i="3"/>
  <c r="BG96" i="3"/>
  <c r="N310" i="2"/>
  <c r="BG310" i="3" s="1"/>
  <c r="AR16" i="9"/>
  <c r="AR112" i="9" s="1"/>
  <c r="AE16" i="9"/>
  <c r="AE112" i="9" s="1"/>
  <c r="AW111" i="9"/>
  <c r="AY15" i="9"/>
  <c r="BF461" i="3"/>
  <c r="M347" i="2"/>
  <c r="M252" i="2"/>
  <c r="BB15" i="9"/>
  <c r="N12" i="2"/>
  <c r="BF116" i="3"/>
  <c r="M118" i="2"/>
  <c r="P489" i="3"/>
  <c r="P92" i="3"/>
  <c r="P94" i="3" s="1"/>
  <c r="O117" i="3" l="1"/>
  <c r="O251" i="3"/>
  <c r="BU65" i="9" s="1"/>
  <c r="P11" i="3"/>
  <c r="G66" i="9" s="1"/>
  <c r="O252" i="3"/>
  <c r="BF251" i="3"/>
  <c r="BB65" i="9"/>
  <c r="BC65" i="9" s="1"/>
  <c r="O347" i="3"/>
  <c r="O349" i="3" s="1"/>
  <c r="P335" i="3" s="1"/>
  <c r="P339" i="3" s="1"/>
  <c r="AR88" i="2"/>
  <c r="AQ312" i="2"/>
  <c r="CJ312" i="3" s="1"/>
  <c r="CJ88" i="3"/>
  <c r="M177" i="2"/>
  <c r="M464" i="2"/>
  <c r="BF118" i="3"/>
  <c r="M126" i="2"/>
  <c r="M135" i="2" s="1"/>
  <c r="BF252" i="3"/>
  <c r="M254" i="2"/>
  <c r="BF281" i="3"/>
  <c r="M350" i="2"/>
  <c r="N336" i="2" s="1"/>
  <c r="BF349" i="3"/>
  <c r="M349" i="2"/>
  <c r="BF348" i="3"/>
  <c r="AY111" i="9"/>
  <c r="BF332" i="3"/>
  <c r="N324" i="2"/>
  <c r="BF508" i="3"/>
  <c r="M510" i="2"/>
  <c r="BG12" i="3"/>
  <c r="N32" i="2"/>
  <c r="N14" i="2"/>
  <c r="BF503" i="3"/>
  <c r="M505" i="2"/>
  <c r="BF111" i="9"/>
  <c r="BG15" i="9"/>
  <c r="BG111" i="9" s="1"/>
  <c r="BB111" i="9"/>
  <c r="BC15" i="9"/>
  <c r="BC111" i="9" s="1"/>
  <c r="BG306" i="3"/>
  <c r="N309" i="2"/>
  <c r="N315" i="2"/>
  <c r="N313" i="2"/>
  <c r="N130" i="2" s="1"/>
  <c r="BG13" i="3"/>
  <c r="N33" i="2"/>
  <c r="O348" i="3"/>
  <c r="O350" i="3" s="1"/>
  <c r="P336" i="3" s="1"/>
  <c r="BF65" i="9"/>
  <c r="BG65" i="9" s="1"/>
  <c r="O508" i="3"/>
  <c r="O510" i="3" s="1"/>
  <c r="O512" i="3" s="1"/>
  <c r="O513" i="3" s="1"/>
  <c r="P13" i="3"/>
  <c r="P14" i="3" s="1"/>
  <c r="H66" i="9" s="1"/>
  <c r="O253" i="3"/>
  <c r="O254" i="3" s="1"/>
  <c r="BV65" i="9" s="1"/>
  <c r="P502" i="3"/>
  <c r="P460" i="3"/>
  <c r="P326" i="3"/>
  <c r="P296" i="3"/>
  <c r="P381" i="5"/>
  <c r="AU66" i="9"/>
  <c r="O118" i="3"/>
  <c r="O126" i="3" s="1"/>
  <c r="P310" i="3"/>
  <c r="AR66" i="9"/>
  <c r="AE66" i="9"/>
  <c r="P32" i="3"/>
  <c r="P456" i="3"/>
  <c r="P308" i="3"/>
  <c r="P293" i="3"/>
  <c r="P176" i="3"/>
  <c r="P405" i="5"/>
  <c r="P406" i="5" s="1"/>
  <c r="P382" i="5"/>
  <c r="P380" i="5"/>
  <c r="AN66" i="9"/>
  <c r="AR312" i="2" l="1"/>
  <c r="CK312" i="3" s="1"/>
  <c r="CK88" i="3"/>
  <c r="AS88" i="2"/>
  <c r="BF135" i="3"/>
  <c r="N18" i="2"/>
  <c r="M469" i="2"/>
  <c r="BF469" i="3" s="1"/>
  <c r="M258" i="2"/>
  <c r="M382" i="2"/>
  <c r="BO15" i="9"/>
  <c r="BG324" i="3"/>
  <c r="N327" i="2"/>
  <c r="BF177" i="3"/>
  <c r="M282" i="2"/>
  <c r="BG130" i="3"/>
  <c r="E130" i="2"/>
  <c r="H16" i="9"/>
  <c r="H112" i="9" s="1"/>
  <c r="BG14" i="3"/>
  <c r="BF350" i="3"/>
  <c r="N335" i="2"/>
  <c r="M363" i="2"/>
  <c r="M255" i="2"/>
  <c r="M467" i="2"/>
  <c r="BF467" i="3" s="1"/>
  <c r="N15" i="2"/>
  <c r="BF126" i="3"/>
  <c r="BI15" i="9"/>
  <c r="N34" i="2"/>
  <c r="BG33" i="3"/>
  <c r="N344" i="2"/>
  <c r="BG345" i="3" s="1"/>
  <c r="BG315" i="3"/>
  <c r="N89" i="2"/>
  <c r="BG32" i="3"/>
  <c r="N343" i="2"/>
  <c r="BG344" i="3" s="1"/>
  <c r="BF510" i="3"/>
  <c r="M512" i="2"/>
  <c r="BF254" i="3"/>
  <c r="BV15" i="9"/>
  <c r="BV111" i="9" s="1"/>
  <c r="BG309" i="3"/>
  <c r="M390" i="1"/>
  <c r="BF505" i="3"/>
  <c r="M506" i="2"/>
  <c r="BG337" i="3"/>
  <c r="N340" i="2"/>
  <c r="BG341" i="3" s="1"/>
  <c r="BF464" i="3"/>
  <c r="P315" i="3"/>
  <c r="P89" i="3" s="1"/>
  <c r="P309" i="3"/>
  <c r="P343" i="3"/>
  <c r="P345" i="3" s="1"/>
  <c r="P327" i="3"/>
  <c r="P99" i="3" s="1"/>
  <c r="P408" i="5"/>
  <c r="P340" i="3"/>
  <c r="O464" i="3"/>
  <c r="O177" i="3"/>
  <c r="O282" i="3" s="1"/>
  <c r="O284" i="3" s="1"/>
  <c r="P33" i="3"/>
  <c r="P344" i="3" s="1"/>
  <c r="P346" i="3" s="1"/>
  <c r="E88" i="2" l="1"/>
  <c r="CL88" i="3"/>
  <c r="AS312" i="2"/>
  <c r="N346" i="2"/>
  <c r="BG347" i="3" s="1"/>
  <c r="M474" i="2"/>
  <c r="BF474" i="3" s="1"/>
  <c r="M472" i="2"/>
  <c r="M402" i="2" s="1"/>
  <c r="BF364" i="3"/>
  <c r="M364" i="2"/>
  <c r="N353" i="2" s="1"/>
  <c r="BF258" i="3"/>
  <c r="M175" i="5"/>
  <c r="BX15" i="9"/>
  <c r="BX111" i="9" s="1"/>
  <c r="N17" i="2"/>
  <c r="N35" i="2"/>
  <c r="BG15" i="3"/>
  <c r="N127" i="2"/>
  <c r="N345" i="2"/>
  <c r="BG346" i="3" s="1"/>
  <c r="N339" i="2"/>
  <c r="BG340" i="3" s="1"/>
  <c r="BG336" i="3"/>
  <c r="BG335" i="3"/>
  <c r="AV130" i="2"/>
  <c r="AU130" i="3"/>
  <c r="AV130" i="3" s="1"/>
  <c r="BG89" i="3"/>
  <c r="N316" i="2"/>
  <c r="N91" i="2"/>
  <c r="BG34" i="3"/>
  <c r="O16" i="9"/>
  <c r="O112" i="9" s="1"/>
  <c r="BG327" i="3"/>
  <c r="N99" i="2"/>
  <c r="BP15" i="9"/>
  <c r="BP111" i="9" s="1"/>
  <c r="BO111" i="9"/>
  <c r="BG18" i="3"/>
  <c r="N131" i="2"/>
  <c r="BG131" i="3" s="1"/>
  <c r="N38" i="2"/>
  <c r="E266" i="1"/>
  <c r="J16" i="9"/>
  <c r="J112" i="9" s="1"/>
  <c r="BF512" i="3"/>
  <c r="M513" i="2"/>
  <c r="BL15" i="9"/>
  <c r="BI111" i="9"/>
  <c r="BF255" i="3"/>
  <c r="M257" i="2"/>
  <c r="BF282" i="3"/>
  <c r="M284" i="2"/>
  <c r="BF382" i="3"/>
  <c r="M383" i="2"/>
  <c r="P34" i="3"/>
  <c r="O66" i="9" s="1"/>
  <c r="P328" i="3"/>
  <c r="P459" i="3"/>
  <c r="P295" i="3"/>
  <c r="AV66" i="9"/>
  <c r="P30" i="3"/>
  <c r="Q101" i="3"/>
  <c r="P316" i="3"/>
  <c r="P91" i="3"/>
  <c r="O467" i="3"/>
  <c r="O472" i="3" s="1"/>
  <c r="O363" i="3"/>
  <c r="O364" i="3" s="1"/>
  <c r="P353" i="3" s="1"/>
  <c r="BI65" i="9"/>
  <c r="BL65" i="9" s="1"/>
  <c r="BR65" i="9" s="1"/>
  <c r="P15" i="3"/>
  <c r="O255" i="3"/>
  <c r="O257" i="3" s="1"/>
  <c r="BW65" i="9" s="1"/>
  <c r="CL312" i="3" l="1"/>
  <c r="E312" i="2"/>
  <c r="AV88" i="2"/>
  <c r="I148" i="1"/>
  <c r="AU88" i="3"/>
  <c r="AV88" i="3" s="1"/>
  <c r="M400" i="2"/>
  <c r="BF400" i="3" s="1"/>
  <c r="M401" i="2"/>
  <c r="BF401" i="3" s="1"/>
  <c r="BF472" i="3"/>
  <c r="M399" i="2"/>
  <c r="BF399" i="3" s="1"/>
  <c r="M476" i="2"/>
  <c r="BF476" i="3" s="1"/>
  <c r="M28" i="2"/>
  <c r="BF28" i="3" s="1"/>
  <c r="BL111" i="9"/>
  <c r="BR15" i="9"/>
  <c r="BR111" i="9" s="1"/>
  <c r="N459" i="2"/>
  <c r="BG459" i="3" s="1"/>
  <c r="AV16" i="9"/>
  <c r="AV112" i="9" s="1"/>
  <c r="BG99" i="3"/>
  <c r="N328" i="2"/>
  <c r="N295" i="2"/>
  <c r="BG295" i="3" s="1"/>
  <c r="N30" i="2"/>
  <c r="O101" i="2"/>
  <c r="BH101" i="3" s="1"/>
  <c r="N455" i="2"/>
  <c r="BG455" i="3" s="1"/>
  <c r="AP16" i="9"/>
  <c r="AP112" i="9" s="1"/>
  <c r="N491" i="2"/>
  <c r="BG91" i="3"/>
  <c r="N292" i="2"/>
  <c r="BG292" i="3" s="1"/>
  <c r="G266" i="1"/>
  <c r="A266" i="1" s="1"/>
  <c r="N29" i="2"/>
  <c r="O93" i="2"/>
  <c r="BH93" i="3" s="1"/>
  <c r="BG17" i="3"/>
  <c r="I16" i="9"/>
  <c r="I112" i="9" s="1"/>
  <c r="BF383" i="3"/>
  <c r="N377" i="2"/>
  <c r="BW15" i="9"/>
  <c r="BW111" i="9" s="1"/>
  <c r="BF257" i="3"/>
  <c r="BG316" i="3"/>
  <c r="N355" i="2"/>
  <c r="BG355" i="3" s="1"/>
  <c r="BK16" i="9"/>
  <c r="BK112" i="9" s="1"/>
  <c r="BG127" i="3"/>
  <c r="AG16" i="9"/>
  <c r="AG112" i="9" s="1"/>
  <c r="M411" i="2"/>
  <c r="BF402" i="3"/>
  <c r="BG353" i="3"/>
  <c r="M391" i="1"/>
  <c r="BF284" i="3"/>
  <c r="L359" i="1"/>
  <c r="BG38" i="3"/>
  <c r="N379" i="2"/>
  <c r="BG379" i="3" s="1"/>
  <c r="N173" i="5"/>
  <c r="Q16" i="9"/>
  <c r="Q112" i="9" s="1"/>
  <c r="N361" i="2"/>
  <c r="N37" i="2"/>
  <c r="BG35" i="3"/>
  <c r="O28" i="3"/>
  <c r="O402" i="3"/>
  <c r="O411" i="3" s="1"/>
  <c r="O418" i="3" s="1"/>
  <c r="O401" i="3"/>
  <c r="O410" i="3" s="1"/>
  <c r="O417" i="3" s="1"/>
  <c r="O170" i="3" s="1"/>
  <c r="O400" i="3"/>
  <c r="O409" i="3" s="1"/>
  <c r="O416" i="3" s="1"/>
  <c r="O399" i="3"/>
  <c r="O474" i="3"/>
  <c r="P127" i="3"/>
  <c r="P17" i="3"/>
  <c r="I66" i="9" s="1"/>
  <c r="P35" i="3"/>
  <c r="P491" i="3"/>
  <c r="P493" i="3" s="1"/>
  <c r="P455" i="3"/>
  <c r="P292" i="3"/>
  <c r="AP66" i="9"/>
  <c r="Q93" i="3"/>
  <c r="P29" i="3"/>
  <c r="P329" i="3"/>
  <c r="M139" i="2" l="1"/>
  <c r="BF139" i="3" s="1"/>
  <c r="M478" i="2"/>
  <c r="BF478" i="3" s="1"/>
  <c r="M409" i="2"/>
  <c r="M416" i="2" s="1"/>
  <c r="BF416" i="3" s="1"/>
  <c r="AV312" i="2"/>
  <c r="AU312" i="3"/>
  <c r="AV312" i="3" s="1"/>
  <c r="M408" i="2"/>
  <c r="M415" i="2" s="1"/>
  <c r="M438" i="2"/>
  <c r="BF438" i="3" s="1"/>
  <c r="M410" i="2"/>
  <c r="BF410" i="3" s="1"/>
  <c r="M403" i="2"/>
  <c r="BF403" i="3" s="1"/>
  <c r="M11" i="5"/>
  <c r="M207" i="5" s="1"/>
  <c r="M169" i="2"/>
  <c r="L354" i="1" s="1"/>
  <c r="M390" i="5"/>
  <c r="M391" i="5" s="1"/>
  <c r="M395" i="5" s="1"/>
  <c r="M241" i="2"/>
  <c r="BF241" i="3" s="1"/>
  <c r="M15" i="9"/>
  <c r="W15" i="9" s="1"/>
  <c r="M71" i="2"/>
  <c r="M386" i="5" s="1"/>
  <c r="M388" i="5" s="1"/>
  <c r="N362" i="2"/>
  <c r="BG363" i="3" s="1"/>
  <c r="N440" i="2"/>
  <c r="BG440" i="3" s="1"/>
  <c r="P16" i="9"/>
  <c r="P112" i="9" s="1"/>
  <c r="BG37" i="3"/>
  <c r="BG356" i="3"/>
  <c r="BG362" i="3"/>
  <c r="BG328" i="3"/>
  <c r="BF411" i="3"/>
  <c r="M418" i="2"/>
  <c r="BF418" i="3" s="1"/>
  <c r="BG377" i="3"/>
  <c r="N381" i="2"/>
  <c r="BG381" i="3" s="1"/>
  <c r="BG29" i="3"/>
  <c r="N317" i="2"/>
  <c r="N31" i="2"/>
  <c r="BG491" i="3"/>
  <c r="N494" i="2"/>
  <c r="BG494" i="3" s="1"/>
  <c r="N493" i="2"/>
  <c r="BG30" i="3"/>
  <c r="N329" i="2"/>
  <c r="BG329" i="3" s="1"/>
  <c r="P317" i="3"/>
  <c r="P31" i="3"/>
  <c r="P494" i="3"/>
  <c r="P496" i="3" s="1"/>
  <c r="P497" i="3" s="1"/>
  <c r="P498" i="3" s="1"/>
  <c r="P361" i="3"/>
  <c r="BI361" i="3" s="1"/>
  <c r="P37" i="3"/>
  <c r="P355" i="3"/>
  <c r="BK66" i="9"/>
  <c r="AG66" i="9"/>
  <c r="O476" i="3"/>
  <c r="O478" i="3" s="1"/>
  <c r="O268" i="3"/>
  <c r="O210" i="3"/>
  <c r="P330" i="3"/>
  <c r="O403" i="3"/>
  <c r="O408" i="3"/>
  <c r="O438" i="3"/>
  <c r="O444" i="3" s="1"/>
  <c r="O169" i="3"/>
  <c r="O241" i="3"/>
  <c r="O139" i="3"/>
  <c r="O71" i="3"/>
  <c r="O191" i="5"/>
  <c r="M65" i="9"/>
  <c r="W65" i="9" s="1"/>
  <c r="O392" i="5"/>
  <c r="W111" i="9" l="1"/>
  <c r="BF408" i="3"/>
  <c r="M480" i="2"/>
  <c r="BF480" i="3" s="1"/>
  <c r="BF409" i="3"/>
  <c r="M111" i="9"/>
  <c r="M412" i="2"/>
  <c r="BF412" i="3" s="1"/>
  <c r="M444" i="2"/>
  <c r="BF444" i="3" s="1"/>
  <c r="M394" i="5"/>
  <c r="M417" i="2"/>
  <c r="M170" i="2" s="1"/>
  <c r="BF71" i="3"/>
  <c r="BF169" i="3"/>
  <c r="L368" i="1"/>
  <c r="BG317" i="3"/>
  <c r="N319" i="2"/>
  <c r="BG319" i="3" s="1"/>
  <c r="M481" i="2"/>
  <c r="N330" i="2"/>
  <c r="BG330" i="3" s="1"/>
  <c r="BF415" i="3"/>
  <c r="N496" i="2"/>
  <c r="BG493" i="3"/>
  <c r="N439" i="2"/>
  <c r="BG439" i="3" s="1"/>
  <c r="N16" i="9"/>
  <c r="N112" i="9" s="1"/>
  <c r="BG31" i="3"/>
  <c r="O171" i="3"/>
  <c r="O182" i="3" s="1"/>
  <c r="O192" i="3"/>
  <c r="P319" i="3"/>
  <c r="O387" i="5"/>
  <c r="O480" i="3"/>
  <c r="P362" i="3"/>
  <c r="P440" i="3"/>
  <c r="P66" i="9"/>
  <c r="O412" i="3"/>
  <c r="O413" i="3" s="1"/>
  <c r="O415" i="3"/>
  <c r="O419" i="3" s="1"/>
  <c r="P439" i="3"/>
  <c r="N66" i="9"/>
  <c r="M413" i="2" l="1"/>
  <c r="M419" i="2"/>
  <c r="M420" i="2" s="1"/>
  <c r="BF420" i="3" s="1"/>
  <c r="BF417" i="3"/>
  <c r="N497" i="2"/>
  <c r="BG496" i="3"/>
  <c r="M268" i="2"/>
  <c r="BF268" i="3" s="1"/>
  <c r="L355" i="1"/>
  <c r="BF170" i="3"/>
  <c r="M210" i="2"/>
  <c r="M171" i="2"/>
  <c r="M192" i="2"/>
  <c r="BF481" i="3"/>
  <c r="M482" i="2"/>
  <c r="BF482" i="3" s="1"/>
  <c r="O207" i="3"/>
  <c r="O212" i="3" s="1"/>
  <c r="O153" i="3"/>
  <c r="O154" i="3" s="1"/>
  <c r="O156" i="3" s="1"/>
  <c r="O481" i="3"/>
  <c r="O420" i="3"/>
  <c r="BF419" i="3" l="1"/>
  <c r="BF192" i="3"/>
  <c r="L366" i="1"/>
  <c r="M182" i="2"/>
  <c r="BF171" i="3"/>
  <c r="L356" i="1"/>
  <c r="L361" i="1" s="1"/>
  <c r="BF210" i="3"/>
  <c r="L380" i="1"/>
  <c r="BG497" i="3"/>
  <c r="N498" i="2"/>
  <c r="BG498" i="3" s="1"/>
  <c r="O482" i="3"/>
  <c r="O158" i="3"/>
  <c r="O162" i="3" s="1"/>
  <c r="O159" i="3"/>
  <c r="O160" i="3" s="1"/>
  <c r="O161" i="3" s="1"/>
  <c r="O218" i="3"/>
  <c r="O225" i="3"/>
  <c r="M207" i="2" l="1"/>
  <c r="BF182" i="3"/>
  <c r="M153" i="2"/>
  <c r="O163" i="3"/>
  <c r="O165" i="3" s="1"/>
  <c r="O267" i="3" s="1"/>
  <c r="O222" i="3"/>
  <c r="O221" i="3"/>
  <c r="O220" i="3"/>
  <c r="BF153" i="3" l="1"/>
  <c r="M154" i="2"/>
  <c r="BF207" i="3"/>
  <c r="M212" i="2"/>
  <c r="O223" i="3"/>
  <c r="O227" i="3" s="1"/>
  <c r="O183" i="3"/>
  <c r="O184" i="3" s="1"/>
  <c r="O139" i="5"/>
  <c r="O166" i="3"/>
  <c r="BF212" i="3" l="1"/>
  <c r="M225" i="2"/>
  <c r="BF225" i="3" s="1"/>
  <c r="M218" i="2"/>
  <c r="BF154" i="3"/>
  <c r="M156" i="2"/>
  <c r="O334" i="5"/>
  <c r="O228" i="3"/>
  <c r="O95" i="4"/>
  <c r="O266" i="3"/>
  <c r="O270" i="3" s="1"/>
  <c r="O191" i="3"/>
  <c r="O193" i="3" s="1"/>
  <c r="O330" i="5"/>
  <c r="O398" i="5"/>
  <c r="M158" i="2" l="1"/>
  <c r="BF156" i="3"/>
  <c r="M159" i="2"/>
  <c r="M222" i="2"/>
  <c r="BF222" i="3" s="1"/>
  <c r="BF218" i="3"/>
  <c r="M221" i="2"/>
  <c r="BF221" i="3" s="1"/>
  <c r="M220" i="2"/>
  <c r="O201" i="3"/>
  <c r="O197" i="3"/>
  <c r="O199" i="3"/>
  <c r="O195" i="3"/>
  <c r="O198" i="3"/>
  <c r="O200" i="3"/>
  <c r="O196" i="3"/>
  <c r="O64" i="4"/>
  <c r="Q65" i="4" s="1"/>
  <c r="O331" i="5"/>
  <c r="M223" i="2" l="1"/>
  <c r="BF220" i="3"/>
  <c r="BF159" i="3"/>
  <c r="M160" i="2"/>
  <c r="BF158" i="3"/>
  <c r="M162" i="2"/>
  <c r="BF162" i="3" s="1"/>
  <c r="O326" i="4"/>
  <c r="S314" i="1"/>
  <c r="BX267" i="1"/>
  <c r="O325" i="4"/>
  <c r="BW267" i="1"/>
  <c r="R314" i="1"/>
  <c r="Q69" i="4"/>
  <c r="Q71" i="4"/>
  <c r="Q68" i="4"/>
  <c r="Q70" i="4"/>
  <c r="Q67" i="4"/>
  <c r="O323" i="4"/>
  <c r="P314" i="1"/>
  <c r="BU267" i="1"/>
  <c r="O324" i="4"/>
  <c r="BV267" i="1"/>
  <c r="Q314" i="1"/>
  <c r="O204" i="3"/>
  <c r="O515" i="3" s="1"/>
  <c r="T314" i="1"/>
  <c r="O322" i="4"/>
  <c r="O314" i="1"/>
  <c r="BT267" i="1"/>
  <c r="O321" i="4"/>
  <c r="O202" i="3"/>
  <c r="N314" i="1"/>
  <c r="BS267" i="1"/>
  <c r="M314" i="1" l="1"/>
  <c r="U314" i="1" s="1"/>
  <c r="BF160" i="3"/>
  <c r="M161" i="2"/>
  <c r="BF223" i="3"/>
  <c r="M227" i="2"/>
  <c r="Q72" i="4"/>
  <c r="BM267" i="1"/>
  <c r="T267" i="1"/>
  <c r="BN267" i="1"/>
  <c r="U267" i="1"/>
  <c r="BP267" i="1"/>
  <c r="W267" i="1"/>
  <c r="O484" i="3"/>
  <c r="O485" i="3" s="1"/>
  <c r="O422" i="3"/>
  <c r="O424" i="3" s="1"/>
  <c r="O145" i="3"/>
  <c r="O332" i="5"/>
  <c r="O203" i="3"/>
  <c r="BO267" i="1"/>
  <c r="V267" i="1"/>
  <c r="BL267" i="1"/>
  <c r="S267" i="1"/>
  <c r="BQ267" i="1"/>
  <c r="X267" i="1"/>
  <c r="Q74" i="4" l="1"/>
  <c r="Q272" i="3"/>
  <c r="Q73" i="4"/>
  <c r="M89" i="5"/>
  <c r="M345" i="5" s="1"/>
  <c r="L371" i="1"/>
  <c r="L393" i="1"/>
  <c r="BF227" i="3"/>
  <c r="L385" i="1"/>
  <c r="M228" i="2"/>
  <c r="BF228" i="3" s="1"/>
  <c r="BF161" i="3"/>
  <c r="M163" i="2"/>
  <c r="BK267" i="1"/>
  <c r="R267" i="1"/>
  <c r="O333" i="5"/>
  <c r="O516" i="3"/>
  <c r="O425" i="3"/>
  <c r="P302" i="3"/>
  <c r="O244" i="3"/>
  <c r="O245" i="3" s="1"/>
  <c r="O260" i="3" s="1"/>
  <c r="O146" i="3"/>
  <c r="O129" i="5" s="1"/>
  <c r="O197" i="5"/>
  <c r="O198" i="5" s="1"/>
  <c r="O199" i="5" s="1"/>
  <c r="O200" i="5" s="1"/>
  <c r="Z65" i="9"/>
  <c r="AJ65" i="9" s="1"/>
  <c r="AL65" i="9" s="1"/>
  <c r="O148" i="3"/>
  <c r="O229" i="3"/>
  <c r="O335" i="5" s="1"/>
  <c r="M165" i="2" l="1"/>
  <c r="M267" i="2" s="1"/>
  <c r="BF163" i="3"/>
  <c r="P8" i="3"/>
  <c r="O248" i="3"/>
  <c r="BF165" i="3" l="1"/>
  <c r="M112" i="5"/>
  <c r="M140" i="5" s="1"/>
  <c r="M183" i="2"/>
  <c r="M166" i="2"/>
  <c r="BF166" i="3" s="1"/>
  <c r="BF267" i="3"/>
  <c r="O259" i="3"/>
  <c r="O369" i="5" s="1"/>
  <c r="BT65" i="9"/>
  <c r="BY65" i="9" s="1"/>
  <c r="O486" i="3"/>
  <c r="P450" i="3"/>
  <c r="P447" i="3"/>
  <c r="P390" i="3"/>
  <c r="P84" i="3"/>
  <c r="P20" i="3"/>
  <c r="P373" i="5"/>
  <c r="P19" i="3"/>
  <c r="F66" i="9"/>
  <c r="K66" i="9" s="1"/>
  <c r="M184" i="2" l="1"/>
  <c r="L363" i="1"/>
  <c r="L364" i="1" s="1"/>
  <c r="L375" i="1"/>
  <c r="BF183" i="3"/>
  <c r="P232" i="3"/>
  <c r="O261" i="3"/>
  <c r="O262" i="3" s="1"/>
  <c r="P365" i="5"/>
  <c r="P190" i="5"/>
  <c r="O393" i="5"/>
  <c r="P238" i="3"/>
  <c r="P85" i="3"/>
  <c r="P195" i="5"/>
  <c r="P394" i="3"/>
  <c r="P392" i="3"/>
  <c r="P393" i="3"/>
  <c r="P391" i="3"/>
  <c r="L374" i="1" l="1"/>
  <c r="L377" i="1" s="1"/>
  <c r="L382" i="1" s="1"/>
  <c r="L384" i="1" s="1"/>
  <c r="L386" i="1" s="1"/>
  <c r="L367" i="1"/>
  <c r="BF184" i="3"/>
  <c r="M85" i="5"/>
  <c r="M342" i="5" s="1"/>
  <c r="M191" i="2"/>
  <c r="M399" i="5"/>
  <c r="M266" i="2"/>
  <c r="M94" i="4"/>
  <c r="M397" i="5"/>
  <c r="P240" i="3"/>
  <c r="AD66" i="9"/>
  <c r="P395" i="3"/>
  <c r="P470" i="3"/>
  <c r="P290" i="3"/>
  <c r="P287" i="3"/>
  <c r="P303" i="3" s="1"/>
  <c r="M271" i="2" l="1"/>
  <c r="M86" i="4" s="1"/>
  <c r="M270" i="2"/>
  <c r="BF266" i="3"/>
  <c r="M193" i="2"/>
  <c r="BF191" i="3"/>
  <c r="P405" i="3"/>
  <c r="P396" i="3"/>
  <c r="P95" i="3"/>
  <c r="AI66" i="9"/>
  <c r="M200" i="2" l="1"/>
  <c r="M195" i="2"/>
  <c r="M201" i="2"/>
  <c r="M196" i="2"/>
  <c r="BF193" i="3"/>
  <c r="M198" i="2"/>
  <c r="M197" i="2"/>
  <c r="M199" i="2"/>
  <c r="M32" i="4"/>
  <c r="O33" i="4" s="1"/>
  <c r="BF270" i="3"/>
  <c r="M86" i="5"/>
  <c r="M343" i="5" s="1"/>
  <c r="P457" i="3"/>
  <c r="P320" i="3"/>
  <c r="P321" i="3" s="1"/>
  <c r="Q306" i="3" s="1"/>
  <c r="AQ66" i="9"/>
  <c r="AT66" i="9" s="1"/>
  <c r="P249" i="3"/>
  <c r="Q9" i="3"/>
  <c r="P103" i="3"/>
  <c r="M317" i="4" l="1"/>
  <c r="O265" i="1" s="1"/>
  <c r="BF199" i="3"/>
  <c r="H312" i="1"/>
  <c r="M314" i="4"/>
  <c r="L265" i="1" s="1"/>
  <c r="BF196" i="3"/>
  <c r="E312" i="1"/>
  <c r="O56" i="4"/>
  <c r="O58" i="4"/>
  <c r="O54" i="4"/>
  <c r="O57" i="4"/>
  <c r="O55" i="4"/>
  <c r="M315" i="4"/>
  <c r="M265" i="1" s="1"/>
  <c r="BF197" i="3"/>
  <c r="F312" i="1"/>
  <c r="M204" i="2"/>
  <c r="J312" i="1"/>
  <c r="BF201" i="3"/>
  <c r="G312" i="1"/>
  <c r="M316" i="4"/>
  <c r="N265" i="1" s="1"/>
  <c r="BF198" i="3"/>
  <c r="M202" i="2"/>
  <c r="D312" i="1"/>
  <c r="M313" i="4"/>
  <c r="K265" i="1" s="1"/>
  <c r="BF195" i="3"/>
  <c r="I312" i="1"/>
  <c r="M318" i="4"/>
  <c r="P265" i="1" s="1"/>
  <c r="BF200" i="3"/>
  <c r="P461" i="3"/>
  <c r="P331" i="3"/>
  <c r="P332" i="3" s="1"/>
  <c r="Q324" i="3" s="1"/>
  <c r="AW66" i="9"/>
  <c r="AY66" i="9" s="1"/>
  <c r="P501" i="3"/>
  <c r="P503" i="3" s="1"/>
  <c r="P505" i="3" s="1"/>
  <c r="P506" i="3" s="1"/>
  <c r="P250" i="3"/>
  <c r="P251" i="3" s="1"/>
  <c r="BU66" i="9" s="1"/>
  <c r="Q10" i="3"/>
  <c r="Q11" i="3" s="1"/>
  <c r="G67" i="9" s="1"/>
  <c r="P175" i="3"/>
  <c r="P281" i="3" s="1"/>
  <c r="P116" i="3"/>
  <c r="Q489" i="3"/>
  <c r="Q96" i="3"/>
  <c r="Q92" i="3"/>
  <c r="Q94" i="3" s="1"/>
  <c r="M515" i="2" l="1"/>
  <c r="BF515" i="3" s="1"/>
  <c r="BF204" i="3"/>
  <c r="L394" i="1"/>
  <c r="C312" i="1"/>
  <c r="K312" i="1" s="1"/>
  <c r="M422" i="2"/>
  <c r="M145" i="2"/>
  <c r="BF202" i="3"/>
  <c r="M87" i="5"/>
  <c r="M344" i="5" s="1"/>
  <c r="M484" i="2"/>
  <c r="L370" i="1"/>
  <c r="L372" i="1" s="1"/>
  <c r="M203" i="2"/>
  <c r="O59" i="4"/>
  <c r="Q456" i="3"/>
  <c r="Q308" i="3"/>
  <c r="Q293" i="3"/>
  <c r="Q380" i="5"/>
  <c r="AN67" i="9"/>
  <c r="Q405" i="5"/>
  <c r="Q406" i="5" s="1"/>
  <c r="P347" i="3"/>
  <c r="P349" i="3" s="1"/>
  <c r="Q335" i="3" s="1"/>
  <c r="BB66" i="9"/>
  <c r="BC66" i="9" s="1"/>
  <c r="Q12" i="3"/>
  <c r="P252" i="3"/>
  <c r="P117" i="3"/>
  <c r="Q310" i="3"/>
  <c r="AE67" i="9"/>
  <c r="AR67" i="9"/>
  <c r="Q100" i="3"/>
  <c r="Q102" i="3" s="1"/>
  <c r="Q176" i="3" s="1"/>
  <c r="O61" i="4" l="1"/>
  <c r="O272" i="2"/>
  <c r="O60" i="4"/>
  <c r="BF203" i="3"/>
  <c r="J265" i="1"/>
  <c r="M88" i="5"/>
  <c r="M516" i="2"/>
  <c r="M244" i="2"/>
  <c r="M229" i="2"/>
  <c r="N302" i="2"/>
  <c r="BG302" i="3" s="1"/>
  <c r="BF145" i="3"/>
  <c r="Z15" i="9"/>
  <c r="M146" i="2"/>
  <c r="M17" i="5"/>
  <c r="M148" i="2"/>
  <c r="M485" i="2"/>
  <c r="BF484" i="3"/>
  <c r="BF422" i="3"/>
  <c r="M424" i="2"/>
  <c r="BF424" i="3" s="1"/>
  <c r="Q32" i="3"/>
  <c r="Q309" i="3"/>
  <c r="Q315" i="3"/>
  <c r="Q89" i="3" s="1"/>
  <c r="Q382" i="5"/>
  <c r="P348" i="3"/>
  <c r="P350" i="3" s="1"/>
  <c r="Q336" i="3" s="1"/>
  <c r="BF66" i="9"/>
  <c r="BG66" i="9" s="1"/>
  <c r="P508" i="3"/>
  <c r="P510" i="3" s="1"/>
  <c r="P512" i="3" s="1"/>
  <c r="P513" i="3" s="1"/>
  <c r="P253" i="3"/>
  <c r="P254" i="3" s="1"/>
  <c r="BV66" i="9" s="1"/>
  <c r="Q13" i="3"/>
  <c r="Q14" i="3" s="1"/>
  <c r="H67" i="9" s="1"/>
  <c r="Q339" i="3"/>
  <c r="Q408" i="5"/>
  <c r="Q502" i="3"/>
  <c r="Q460" i="3"/>
  <c r="Q326" i="3"/>
  <c r="Q296" i="3"/>
  <c r="Q381" i="5"/>
  <c r="AU67" i="9"/>
  <c r="P118" i="3"/>
  <c r="P126" i="3" s="1"/>
  <c r="BF148" i="3" l="1"/>
  <c r="M248" i="2"/>
  <c r="N8" i="2"/>
  <c r="M18" i="5"/>
  <c r="M213" i="5"/>
  <c r="BF516" i="3"/>
  <c r="M384" i="5"/>
  <c r="BF146" i="3"/>
  <c r="M109" i="5"/>
  <c r="BF229" i="3"/>
  <c r="M90" i="5"/>
  <c r="M346" i="5" s="1"/>
  <c r="BF485" i="3"/>
  <c r="M425" i="2"/>
  <c r="BF425" i="3" s="1"/>
  <c r="AJ15" i="9"/>
  <c r="AL15" i="9" s="1"/>
  <c r="Z111" i="9"/>
  <c r="BF244" i="3"/>
  <c r="M245" i="2"/>
  <c r="Q316" i="3"/>
  <c r="Q91" i="3"/>
  <c r="Q327" i="3"/>
  <c r="Q99" i="3" s="1"/>
  <c r="P464" i="3"/>
  <c r="P177" i="3"/>
  <c r="P282" i="3" s="1"/>
  <c r="P284" i="3" s="1"/>
  <c r="Q33" i="3"/>
  <c r="Q344" i="3" s="1"/>
  <c r="Q346" i="3" s="1"/>
  <c r="Q340" i="3"/>
  <c r="Q343" i="3"/>
  <c r="Q345" i="3" s="1"/>
  <c r="M214" i="5" l="1"/>
  <c r="M19" i="5"/>
  <c r="M486" i="2"/>
  <c r="BF486" i="3" s="1"/>
  <c r="N372" i="5"/>
  <c r="N374" i="5" s="1"/>
  <c r="I266" i="1"/>
  <c r="BG8" i="3"/>
  <c r="N84" i="2"/>
  <c r="N450" i="2"/>
  <c r="BG450" i="3" s="1"/>
  <c r="N19" i="2"/>
  <c r="N390" i="2"/>
  <c r="N447" i="2"/>
  <c r="BG447" i="3" s="1"/>
  <c r="M389" i="1"/>
  <c r="F16" i="9"/>
  <c r="N20" i="2"/>
  <c r="AL111" i="9"/>
  <c r="AJ111" i="9"/>
  <c r="BF248" i="3"/>
  <c r="M259" i="2"/>
  <c r="BT15" i="9"/>
  <c r="BF245" i="3"/>
  <c r="M260" i="2"/>
  <c r="L373" i="1"/>
  <c r="Q491" i="3"/>
  <c r="Q493" i="3" s="1"/>
  <c r="Q455" i="3"/>
  <c r="Q292" i="3"/>
  <c r="AP67" i="9"/>
  <c r="R93" i="3"/>
  <c r="Q29" i="3"/>
  <c r="Q459" i="3"/>
  <c r="Q328" i="3"/>
  <c r="Q295" i="3"/>
  <c r="AV67" i="9"/>
  <c r="Q30" i="3"/>
  <c r="R101" i="3"/>
  <c r="Q34" i="3"/>
  <c r="O67" i="9" s="1"/>
  <c r="P467" i="3"/>
  <c r="P474" i="3" s="1"/>
  <c r="P363" i="3"/>
  <c r="P364" i="3" s="1"/>
  <c r="Q353" i="3" s="1"/>
  <c r="BI66" i="9"/>
  <c r="BL66" i="9" s="1"/>
  <c r="BR66" i="9" s="1"/>
  <c r="Q15" i="3"/>
  <c r="P255" i="3"/>
  <c r="P257" i="3" s="1"/>
  <c r="BW66" i="9" s="1"/>
  <c r="BF259" i="3" l="1"/>
  <c r="M368" i="5"/>
  <c r="M370" i="5" s="1"/>
  <c r="M144" i="5" s="1"/>
  <c r="BF260" i="3"/>
  <c r="N238" i="2"/>
  <c r="N15" i="5"/>
  <c r="N212" i="5" s="1"/>
  <c r="BG84" i="3"/>
  <c r="N85" i="2"/>
  <c r="N392" i="2"/>
  <c r="BG392" i="3" s="1"/>
  <c r="BG390" i="3"/>
  <c r="N391" i="2"/>
  <c r="N393" i="2"/>
  <c r="BG393" i="3" s="1"/>
  <c r="N394" i="2"/>
  <c r="BG394" i="3" s="1"/>
  <c r="M20" i="5"/>
  <c r="M215" i="5"/>
  <c r="BT111" i="9"/>
  <c r="BY15" i="9"/>
  <c r="BY111" i="9" s="1"/>
  <c r="F112" i="9"/>
  <c r="K16" i="9"/>
  <c r="M261" i="2"/>
  <c r="BF261" i="3" s="1"/>
  <c r="N364" i="5"/>
  <c r="N366" i="5" s="1"/>
  <c r="N232" i="2"/>
  <c r="BG232" i="3" s="1"/>
  <c r="BG19" i="3"/>
  <c r="N10" i="5"/>
  <c r="N206" i="5" s="1"/>
  <c r="P476" i="3"/>
  <c r="P478" i="3" s="1"/>
  <c r="Q127" i="3"/>
  <c r="Q17" i="3"/>
  <c r="I67" i="9" s="1"/>
  <c r="Q35" i="3"/>
  <c r="Q317" i="3"/>
  <c r="Q31" i="3"/>
  <c r="P472" i="3"/>
  <c r="Q494" i="3"/>
  <c r="Q496" i="3" s="1"/>
  <c r="Q497" i="3" s="1"/>
  <c r="Q498" i="3" s="1"/>
  <c r="Q329" i="3"/>
  <c r="Q330" i="3" s="1"/>
  <c r="K112" i="9" l="1"/>
  <c r="BG85" i="3"/>
  <c r="N290" i="2"/>
  <c r="BG290" i="3" s="1"/>
  <c r="N470" i="2"/>
  <c r="BG470" i="3" s="1"/>
  <c r="N287" i="2"/>
  <c r="M262" i="2"/>
  <c r="BG391" i="3"/>
  <c r="N395" i="2"/>
  <c r="AD16" i="9"/>
  <c r="AD112" i="9" s="1"/>
  <c r="BG238" i="3"/>
  <c r="N240" i="2"/>
  <c r="Q319" i="3"/>
  <c r="Q361" i="3"/>
  <c r="BJ361" i="3" s="1"/>
  <c r="Q37" i="3"/>
  <c r="Q355" i="3"/>
  <c r="BK67" i="9"/>
  <c r="AG67" i="9"/>
  <c r="P28" i="3"/>
  <c r="P400" i="3"/>
  <c r="P409" i="3" s="1"/>
  <c r="P416" i="3" s="1"/>
  <c r="P399" i="3"/>
  <c r="P402" i="3"/>
  <c r="P411" i="3" s="1"/>
  <c r="P418" i="3" s="1"/>
  <c r="P401" i="3"/>
  <c r="P410" i="3" s="1"/>
  <c r="P417" i="3" s="1"/>
  <c r="P170" i="3" s="1"/>
  <c r="P480" i="3"/>
  <c r="Q439" i="3"/>
  <c r="N67" i="9"/>
  <c r="N303" i="2" l="1"/>
  <c r="BG287" i="3"/>
  <c r="BG395" i="3"/>
  <c r="N396" i="2"/>
  <c r="BG396" i="3" s="1"/>
  <c r="N405" i="2"/>
  <c r="BG405" i="3" s="1"/>
  <c r="BG240" i="3"/>
  <c r="AI16" i="9"/>
  <c r="AI112" i="9" s="1"/>
  <c r="P481" i="3"/>
  <c r="P482" i="3" s="1"/>
  <c r="P210" i="3"/>
  <c r="P268" i="3"/>
  <c r="P438" i="3"/>
  <c r="P444" i="3" s="1"/>
  <c r="P241" i="3"/>
  <c r="P139" i="3"/>
  <c r="P169" i="3"/>
  <c r="P71" i="3"/>
  <c r="P392" i="5"/>
  <c r="P191" i="5"/>
  <c r="M66" i="9"/>
  <c r="W66" i="9" s="1"/>
  <c r="Q362" i="3"/>
  <c r="P403" i="3"/>
  <c r="P408" i="3"/>
  <c r="Q440" i="3"/>
  <c r="P67" i="9"/>
  <c r="BG303" i="3" l="1"/>
  <c r="N95" i="2"/>
  <c r="P387" i="5"/>
  <c r="P415" i="3"/>
  <c r="P419" i="3" s="1"/>
  <c r="P420" i="3" s="1"/>
  <c r="P412" i="3"/>
  <c r="P413" i="3" s="1"/>
  <c r="P192" i="3"/>
  <c r="P171" i="3"/>
  <c r="P182" i="3" s="1"/>
  <c r="N320" i="2" l="1"/>
  <c r="N249" i="2"/>
  <c r="BG95" i="3"/>
  <c r="O9" i="2"/>
  <c r="N457" i="2"/>
  <c r="BG457" i="3" s="1"/>
  <c r="AQ16" i="9"/>
  <c r="N103" i="2"/>
  <c r="P153" i="3"/>
  <c r="P154" i="3" s="1"/>
  <c r="P156" i="3" s="1"/>
  <c r="P207" i="3"/>
  <c r="P212" i="3" s="1"/>
  <c r="N175" i="2" l="1"/>
  <c r="AQ112" i="9"/>
  <c r="AT16" i="9"/>
  <c r="AT112" i="9" s="1"/>
  <c r="BG249" i="3"/>
  <c r="N321" i="2"/>
  <c r="BG320" i="3"/>
  <c r="AW16" i="9"/>
  <c r="N331" i="2"/>
  <c r="N501" i="2"/>
  <c r="BG103" i="3"/>
  <c r="N250" i="2"/>
  <c r="BG250" i="3" s="1"/>
  <c r="N461" i="2"/>
  <c r="BG461" i="3" s="1"/>
  <c r="O10" i="2"/>
  <c r="O92" i="2"/>
  <c r="O489" i="2"/>
  <c r="BH489" i="3" s="1"/>
  <c r="G30" i="1"/>
  <c r="O96" i="2"/>
  <c r="BH9" i="3"/>
  <c r="N116" i="2"/>
  <c r="P159" i="3"/>
  <c r="P160" i="3" s="1"/>
  <c r="P161" i="3" s="1"/>
  <c r="P158" i="3"/>
  <c r="P162" i="3" s="1"/>
  <c r="P218" i="3"/>
  <c r="P225" i="3"/>
  <c r="AE17" i="9" l="1"/>
  <c r="AE113" i="9" s="1"/>
  <c r="AR17" i="9"/>
  <c r="AR113" i="9" s="1"/>
  <c r="O310" i="2"/>
  <c r="BH310" i="3" s="1"/>
  <c r="BH96" i="3"/>
  <c r="N347" i="2"/>
  <c r="BB16" i="9"/>
  <c r="BG116" i="3"/>
  <c r="O12" i="2"/>
  <c r="N252" i="2"/>
  <c r="O100" i="2"/>
  <c r="BH10" i="3"/>
  <c r="G31" i="1"/>
  <c r="BG501" i="3"/>
  <c r="N503" i="2"/>
  <c r="H266" i="1"/>
  <c r="BG321" i="3"/>
  <c r="O306" i="2"/>
  <c r="O11" i="2"/>
  <c r="N332" i="2"/>
  <c r="BG331" i="3"/>
  <c r="N251" i="2"/>
  <c r="N281" i="2"/>
  <c r="BG175" i="3"/>
  <c r="O94" i="2"/>
  <c r="BH92" i="3"/>
  <c r="AW112" i="9"/>
  <c r="AY16" i="9"/>
  <c r="AY112" i="9" s="1"/>
  <c r="N117" i="2"/>
  <c r="N118" i="2" s="1"/>
  <c r="P221" i="3"/>
  <c r="P220" i="3"/>
  <c r="P222" i="3"/>
  <c r="P163" i="3"/>
  <c r="P165" i="3" s="1"/>
  <c r="P267" i="3" s="1"/>
  <c r="N464" i="2" l="1"/>
  <c r="N177" i="2"/>
  <c r="BG118" i="3"/>
  <c r="N126" i="2"/>
  <c r="O324" i="2"/>
  <c r="BG332" i="3"/>
  <c r="O32" i="2"/>
  <c r="BH12" i="3"/>
  <c r="BG281" i="3"/>
  <c r="G17" i="9"/>
  <c r="G113" i="9" s="1"/>
  <c r="BH11" i="3"/>
  <c r="BG503" i="3"/>
  <c r="N505" i="2"/>
  <c r="BH100" i="3"/>
  <c r="O102" i="2"/>
  <c r="O176" i="2" s="1"/>
  <c r="BG251" i="3"/>
  <c r="BU16" i="9"/>
  <c r="BU112" i="9" s="1"/>
  <c r="BH306" i="3"/>
  <c r="BC16" i="9"/>
  <c r="BB112" i="9"/>
  <c r="N348" i="2"/>
  <c r="O13" i="2"/>
  <c r="BF16" i="9"/>
  <c r="N508" i="2"/>
  <c r="BG117" i="3"/>
  <c r="N253" i="2"/>
  <c r="BG253" i="3" s="1"/>
  <c r="O308" i="2"/>
  <c r="BH308" i="3" s="1"/>
  <c r="BH94" i="3"/>
  <c r="L181" i="1"/>
  <c r="AN17" i="9"/>
  <c r="AN113" i="9" s="1"/>
  <c r="O293" i="2"/>
  <c r="BH293" i="3" s="1"/>
  <c r="O456" i="2"/>
  <c r="BH456" i="3" s="1"/>
  <c r="O377" i="5"/>
  <c r="BG252" i="3"/>
  <c r="BG348" i="3"/>
  <c r="N349" i="2"/>
  <c r="P183" i="3"/>
  <c r="P184" i="3" s="1"/>
  <c r="P166" i="3"/>
  <c r="P139" i="5"/>
  <c r="P223" i="3"/>
  <c r="P227" i="3" s="1"/>
  <c r="N254" i="2" l="1"/>
  <c r="BG254" i="3" s="1"/>
  <c r="BG508" i="3"/>
  <c r="N510" i="2"/>
  <c r="O379" i="5"/>
  <c r="O383" i="5" s="1"/>
  <c r="O326" i="2"/>
  <c r="O327" i="2" s="1"/>
  <c r="L182" i="1"/>
  <c r="BH102" i="3"/>
  <c r="O460" i="2"/>
  <c r="BH460" i="3" s="1"/>
  <c r="AU17" i="9"/>
  <c r="AU113" i="9" s="1"/>
  <c r="O296" i="2"/>
  <c r="BH296" i="3" s="1"/>
  <c r="O378" i="5"/>
  <c r="O502" i="2"/>
  <c r="BH502" i="3" s="1"/>
  <c r="N135" i="2"/>
  <c r="BG126" i="3"/>
  <c r="N255" i="2"/>
  <c r="N467" i="2"/>
  <c r="BG467" i="3" s="1"/>
  <c r="O15" i="2"/>
  <c r="BI16" i="9"/>
  <c r="N363" i="2"/>
  <c r="BG16" i="9"/>
  <c r="BG112" i="9" s="1"/>
  <c r="BF112" i="9"/>
  <c r="BC112" i="9"/>
  <c r="O309" i="2"/>
  <c r="O343" i="2"/>
  <c r="BH344" i="3" s="1"/>
  <c r="BH32" i="3"/>
  <c r="BG350" i="3"/>
  <c r="O335" i="2"/>
  <c r="BH176" i="3"/>
  <c r="N357" i="1"/>
  <c r="O14" i="2"/>
  <c r="BH13" i="3"/>
  <c r="O33" i="2"/>
  <c r="O34" i="2" s="1"/>
  <c r="O315" i="2"/>
  <c r="N506" i="2"/>
  <c r="BG505" i="3"/>
  <c r="N282" i="2"/>
  <c r="BG177" i="3"/>
  <c r="N350" i="2"/>
  <c r="O336" i="2" s="1"/>
  <c r="BG349" i="3"/>
  <c r="O313" i="2"/>
  <c r="BH324" i="3"/>
  <c r="BG464" i="3"/>
  <c r="P334" i="5"/>
  <c r="P228" i="3"/>
  <c r="P95" i="4"/>
  <c r="P266" i="3"/>
  <c r="P270" i="3" s="1"/>
  <c r="P191" i="3"/>
  <c r="P193" i="3" s="1"/>
  <c r="P398" i="5"/>
  <c r="P330" i="5"/>
  <c r="BV16" i="9" l="1"/>
  <c r="BV112" i="9" s="1"/>
  <c r="BH34" i="3"/>
  <c r="O17" i="9"/>
  <c r="O113" i="9" s="1"/>
  <c r="BH315" i="3"/>
  <c r="O89" i="2"/>
  <c r="BG364" i="3"/>
  <c r="N364" i="2"/>
  <c r="O353" i="2" s="1"/>
  <c r="BG255" i="3"/>
  <c r="N257" i="2"/>
  <c r="BG510" i="3"/>
  <c r="N512" i="2"/>
  <c r="BG282" i="3"/>
  <c r="N284" i="2"/>
  <c r="O344" i="2"/>
  <c r="BH345" i="3" s="1"/>
  <c r="BH33" i="3"/>
  <c r="BI112" i="9"/>
  <c r="BL16" i="9"/>
  <c r="BL112" i="9" s="1"/>
  <c r="BH336" i="3"/>
  <c r="O339" i="2"/>
  <c r="BH340" i="3" s="1"/>
  <c r="O345" i="2"/>
  <c r="BH346" i="3" s="1"/>
  <c r="BH335" i="3"/>
  <c r="O35" i="2"/>
  <c r="O127" i="2"/>
  <c r="BH15" i="3"/>
  <c r="O17" i="2"/>
  <c r="N469" i="2"/>
  <c r="BO16" i="9"/>
  <c r="BG135" i="3"/>
  <c r="N258" i="2"/>
  <c r="N382" i="2"/>
  <c r="O18" i="2"/>
  <c r="BH326" i="3"/>
  <c r="BH327" i="3"/>
  <c r="O99" i="2"/>
  <c r="BH337" i="3"/>
  <c r="O340" i="2"/>
  <c r="BH341" i="3" s="1"/>
  <c r="BH14" i="3"/>
  <c r="H17" i="9"/>
  <c r="H113" i="9" s="1"/>
  <c r="BH309" i="3"/>
  <c r="N390" i="1"/>
  <c r="P64" i="4"/>
  <c r="R65" i="4" s="1"/>
  <c r="P331" i="5"/>
  <c r="P200" i="3"/>
  <c r="P196" i="3"/>
  <c r="P198" i="3"/>
  <c r="P199" i="3"/>
  <c r="P201" i="3"/>
  <c r="P197" i="3"/>
  <c r="P195" i="3"/>
  <c r="O346" i="2" l="1"/>
  <c r="BH347" i="3" s="1"/>
  <c r="O91" i="2"/>
  <c r="BH89" i="3"/>
  <c r="O316" i="2"/>
  <c r="O328" i="2"/>
  <c r="H31" i="1"/>
  <c r="AV17" i="9"/>
  <c r="AV113" i="9" s="1"/>
  <c r="BH99" i="3"/>
  <c r="P101" i="2"/>
  <c r="BI101" i="3" s="1"/>
  <c r="O295" i="2"/>
  <c r="BH295" i="3" s="1"/>
  <c r="O30" i="2"/>
  <c r="O459" i="2"/>
  <c r="BH459" i="3" s="1"/>
  <c r="J182" i="1"/>
  <c r="H182" i="1" s="1"/>
  <c r="E183" i="1" s="1"/>
  <c r="J17" i="9"/>
  <c r="J113" i="9" s="1"/>
  <c r="E267" i="1"/>
  <c r="O38" i="2"/>
  <c r="BH18" i="3"/>
  <c r="O131" i="2"/>
  <c r="BH131" i="3" s="1"/>
  <c r="BO112" i="9"/>
  <c r="BP16" i="9"/>
  <c r="BP112" i="9" s="1"/>
  <c r="BK17" i="9"/>
  <c r="BK113" i="9" s="1"/>
  <c r="AG17" i="9"/>
  <c r="AG113" i="9" s="1"/>
  <c r="BH127" i="3"/>
  <c r="O355" i="2"/>
  <c r="BH355" i="3" s="1"/>
  <c r="BG512" i="3"/>
  <c r="N513" i="2"/>
  <c r="BH353" i="3"/>
  <c r="N391" i="1"/>
  <c r="BG382" i="3"/>
  <c r="N383" i="2"/>
  <c r="BG469" i="3"/>
  <c r="N474" i="2"/>
  <c r="N472" i="2"/>
  <c r="BH35" i="3"/>
  <c r="O361" i="2"/>
  <c r="O37" i="2"/>
  <c r="N175" i="5"/>
  <c r="BG258" i="3"/>
  <c r="BX16" i="9"/>
  <c r="BX112" i="9" s="1"/>
  <c r="BH17" i="3"/>
  <c r="I17" i="9"/>
  <c r="I113" i="9" s="1"/>
  <c r="M359" i="1"/>
  <c r="BG284" i="3"/>
  <c r="BG257" i="3"/>
  <c r="BW16" i="9"/>
  <c r="BW112" i="9" s="1"/>
  <c r="P322" i="4"/>
  <c r="O315" i="1"/>
  <c r="BT268" i="1"/>
  <c r="P204" i="3"/>
  <c r="P515" i="3" s="1"/>
  <c r="T315" i="1"/>
  <c r="P326" i="4"/>
  <c r="S315" i="1"/>
  <c r="BX268" i="1"/>
  <c r="R68" i="4"/>
  <c r="R69" i="4"/>
  <c r="R71" i="4"/>
  <c r="R70" i="4"/>
  <c r="R67" i="4"/>
  <c r="P325" i="4"/>
  <c r="BW268" i="1"/>
  <c r="R315" i="1"/>
  <c r="P323" i="4"/>
  <c r="P315" i="1"/>
  <c r="BU268" i="1"/>
  <c r="P321" i="4"/>
  <c r="P202" i="3"/>
  <c r="BS268" i="1"/>
  <c r="N315" i="1"/>
  <c r="P324" i="4"/>
  <c r="Q315" i="1"/>
  <c r="BV268" i="1"/>
  <c r="BR16" i="9" l="1"/>
  <c r="BR112" i="9" s="1"/>
  <c r="O362" i="2"/>
  <c r="BH363" i="3" s="1"/>
  <c r="O440" i="2"/>
  <c r="BH440" i="3" s="1"/>
  <c r="P17" i="9"/>
  <c r="P113" i="9" s="1"/>
  <c r="BH37" i="3"/>
  <c r="N476" i="2"/>
  <c r="BG474" i="3"/>
  <c r="BH328" i="3"/>
  <c r="BH362" i="3"/>
  <c r="BH356" i="3"/>
  <c r="O173" i="5"/>
  <c r="Q17" i="9"/>
  <c r="Q113" i="9" s="1"/>
  <c r="BH38" i="3"/>
  <c r="O379" i="2"/>
  <c r="BH379" i="3" s="1"/>
  <c r="BH316" i="3"/>
  <c r="O377" i="2"/>
  <c r="BG383" i="3"/>
  <c r="BH30" i="3"/>
  <c r="O329" i="2"/>
  <c r="BH329" i="3" s="1"/>
  <c r="N399" i="2"/>
  <c r="BG472" i="3"/>
  <c r="N402" i="2"/>
  <c r="N28" i="2"/>
  <c r="N401" i="2"/>
  <c r="N400" i="2"/>
  <c r="AP17" i="9"/>
  <c r="AP113" i="9" s="1"/>
  <c r="G267" i="1"/>
  <c r="A267" i="1" s="1"/>
  <c r="BH91" i="3"/>
  <c r="H30" i="1"/>
  <c r="P93" i="2"/>
  <c r="BI93" i="3" s="1"/>
  <c r="O491" i="2"/>
  <c r="O455" i="2"/>
  <c r="BH455" i="3" s="1"/>
  <c r="O29" i="2"/>
  <c r="O292" i="2"/>
  <c r="BH292" i="3" s="1"/>
  <c r="J181" i="1"/>
  <c r="H181" i="1" s="1"/>
  <c r="M315" i="1"/>
  <c r="U315" i="1" s="1"/>
  <c r="R72" i="4"/>
  <c r="P484" i="3"/>
  <c r="P485" i="3" s="1"/>
  <c r="P422" i="3"/>
  <c r="P424" i="3" s="1"/>
  <c r="P145" i="3"/>
  <c r="P332" i="5"/>
  <c r="P203" i="3"/>
  <c r="BN268" i="1"/>
  <c r="U268" i="1"/>
  <c r="BL268" i="1"/>
  <c r="S268" i="1"/>
  <c r="BO268" i="1"/>
  <c r="V268" i="1"/>
  <c r="BP268" i="1"/>
  <c r="W268" i="1"/>
  <c r="BQ268" i="1"/>
  <c r="X268" i="1"/>
  <c r="BM268" i="1"/>
  <c r="T268" i="1"/>
  <c r="R74" i="4" l="1"/>
  <c r="R272" i="3"/>
  <c r="P425" i="3"/>
  <c r="BG401" i="3"/>
  <c r="N410" i="2"/>
  <c r="BG399" i="3"/>
  <c r="N403" i="2"/>
  <c r="BG403" i="3" s="1"/>
  <c r="N408" i="2"/>
  <c r="O381" i="2"/>
  <c r="BH381" i="3" s="1"/>
  <c r="BH377" i="3"/>
  <c r="BG476" i="3"/>
  <c r="N478" i="2"/>
  <c r="BH491" i="3"/>
  <c r="O494" i="2"/>
  <c r="BH494" i="3" s="1"/>
  <c r="O493" i="2"/>
  <c r="N241" i="2"/>
  <c r="BG241" i="3" s="1"/>
  <c r="N11" i="5"/>
  <c r="N207" i="5" s="1"/>
  <c r="M16" i="9"/>
  <c r="N71" i="2"/>
  <c r="BG28" i="3"/>
  <c r="N438" i="2"/>
  <c r="N390" i="5"/>
  <c r="N139" i="2"/>
  <c r="BG139" i="3" s="1"/>
  <c r="N169" i="2"/>
  <c r="O330" i="2"/>
  <c r="BH330" i="3" s="1"/>
  <c r="BG402" i="3"/>
  <c r="N411" i="2"/>
  <c r="O317" i="2"/>
  <c r="O31" i="2"/>
  <c r="BH29" i="3"/>
  <c r="BG400" i="3"/>
  <c r="N409" i="2"/>
  <c r="BK268" i="1"/>
  <c r="R268" i="1"/>
  <c r="P333" i="5"/>
  <c r="P516" i="3"/>
  <c r="R73" i="4"/>
  <c r="P244" i="3"/>
  <c r="P245" i="3" s="1"/>
  <c r="P260" i="3" s="1"/>
  <c r="Q302" i="3"/>
  <c r="P146" i="3"/>
  <c r="P129" i="5" s="1"/>
  <c r="Z66" i="9"/>
  <c r="AJ66" i="9" s="1"/>
  <c r="AL66" i="9" s="1"/>
  <c r="P197" i="5"/>
  <c r="P198" i="5" s="1"/>
  <c r="P199" i="5" s="1"/>
  <c r="P200" i="5" s="1"/>
  <c r="P229" i="3"/>
  <c r="P335" i="5" s="1"/>
  <c r="P148" i="3"/>
  <c r="M368" i="1" l="1"/>
  <c r="N386" i="5"/>
  <c r="N388" i="5" s="1"/>
  <c r="BG71" i="3"/>
  <c r="BH493" i="3"/>
  <c r="O496" i="2"/>
  <c r="N416" i="2"/>
  <c r="BG416" i="3" s="1"/>
  <c r="BG409" i="3"/>
  <c r="N17" i="9"/>
  <c r="N113" i="9" s="1"/>
  <c r="O439" i="2"/>
  <c r="BH439" i="3" s="1"/>
  <c r="BH31" i="3"/>
  <c r="N394" i="5"/>
  <c r="N391" i="5"/>
  <c r="N395" i="5" s="1"/>
  <c r="W16" i="9"/>
  <c r="M112" i="9"/>
  <c r="BH317" i="3"/>
  <c r="O319" i="2"/>
  <c r="BH319" i="3" s="1"/>
  <c r="BG438" i="3"/>
  <c r="N444" i="2"/>
  <c r="BG444" i="3" s="1"/>
  <c r="BG410" i="3"/>
  <c r="N417" i="2"/>
  <c r="N418" i="2"/>
  <c r="BG418" i="3" s="1"/>
  <c r="BG411" i="3"/>
  <c r="BG169" i="3"/>
  <c r="M354" i="1"/>
  <c r="BG478" i="3"/>
  <c r="N480" i="2"/>
  <c r="BG408" i="3"/>
  <c r="N412" i="2"/>
  <c r="BG412" i="3" s="1"/>
  <c r="N415" i="2"/>
  <c r="P248" i="3"/>
  <c r="Q8" i="3"/>
  <c r="W112" i="9" l="1"/>
  <c r="N413" i="2"/>
  <c r="N481" i="2"/>
  <c r="BG480" i="3"/>
  <c r="BG417" i="3"/>
  <c r="N170" i="2"/>
  <c r="BG415" i="3"/>
  <c r="N419" i="2"/>
  <c r="BG419" i="3" s="1"/>
  <c r="BH496" i="3"/>
  <c r="O497" i="2"/>
  <c r="P259" i="3"/>
  <c r="P369" i="5" s="1"/>
  <c r="BT66" i="9"/>
  <c r="BY66" i="9" s="1"/>
  <c r="P486" i="3"/>
  <c r="Q447" i="3"/>
  <c r="Q450" i="3"/>
  <c r="Q390" i="3"/>
  <c r="Q20" i="3"/>
  <c r="Q19" i="3"/>
  <c r="Q84" i="3"/>
  <c r="Q373" i="5"/>
  <c r="F67" i="9"/>
  <c r="K67" i="9" s="1"/>
  <c r="N420" i="2" l="1"/>
  <c r="BG420" i="3" s="1"/>
  <c r="BH497" i="3"/>
  <c r="O498" i="2"/>
  <c r="BH498" i="3" s="1"/>
  <c r="BG170" i="3"/>
  <c r="N210" i="2"/>
  <c r="N268" i="2"/>
  <c r="BG268" i="3" s="1"/>
  <c r="M355" i="1"/>
  <c r="N171" i="2"/>
  <c r="N192" i="2"/>
  <c r="BG481" i="3"/>
  <c r="N482" i="2"/>
  <c r="BG482" i="3" s="1"/>
  <c r="P393" i="5"/>
  <c r="Q238" i="3"/>
  <c r="Q85" i="3"/>
  <c r="Q195" i="5"/>
  <c r="P261" i="3"/>
  <c r="P262" i="3" s="1"/>
  <c r="Q232" i="3"/>
  <c r="Q365" i="5"/>
  <c r="Q190" i="5"/>
  <c r="Q394" i="3"/>
  <c r="Q392" i="3"/>
  <c r="Q393" i="3"/>
  <c r="Q391" i="3"/>
  <c r="M366" i="1" l="1"/>
  <c r="BG192" i="3"/>
  <c r="N182" i="2"/>
  <c r="BG171" i="3"/>
  <c r="M356" i="1"/>
  <c r="M361" i="1" s="1"/>
  <c r="M380" i="1"/>
  <c r="BG210" i="3"/>
  <c r="Q470" i="3"/>
  <c r="Q290" i="3"/>
  <c r="Q287" i="3"/>
  <c r="Q395" i="3"/>
  <c r="Q240" i="3"/>
  <c r="AD67" i="9"/>
  <c r="BG182" i="3" l="1"/>
  <c r="N207" i="2"/>
  <c r="N153" i="2"/>
  <c r="Q303" i="3"/>
  <c r="AI67" i="9"/>
  <c r="Q396" i="3"/>
  <c r="Q405" i="3"/>
  <c r="Q95" i="3" l="1"/>
  <c r="N154" i="2"/>
  <c r="BG153" i="3"/>
  <c r="BG207" i="3"/>
  <c r="N212" i="2"/>
  <c r="Q103" i="3" l="1"/>
  <c r="Q501" i="3" s="1"/>
  <c r="Q503" i="3" s="1"/>
  <c r="Q505" i="3" s="1"/>
  <c r="Q506" i="3" s="1"/>
  <c r="Q320" i="3"/>
  <c r="Q321" i="3" s="1"/>
  <c r="R306" i="3" s="1"/>
  <c r="Q249" i="3"/>
  <c r="AQ67" i="9"/>
  <c r="AT67" i="9" s="1"/>
  <c r="Q457" i="3"/>
  <c r="R9" i="3"/>
  <c r="R96" i="3" s="1"/>
  <c r="BG212" i="3"/>
  <c r="N225" i="2"/>
  <c r="BG225" i="3" s="1"/>
  <c r="N218" i="2"/>
  <c r="N156" i="2"/>
  <c r="BG154" i="3"/>
  <c r="AW67" i="9"/>
  <c r="AY67" i="9" s="1"/>
  <c r="Q250" i="3"/>
  <c r="R489" i="3" l="1"/>
  <c r="Q116" i="3"/>
  <c r="Q117" i="3" s="1"/>
  <c r="R92" i="3"/>
  <c r="R94" i="3" s="1"/>
  <c r="Q331" i="3"/>
  <c r="Q332" i="3" s="1"/>
  <c r="R324" i="3" s="1"/>
  <c r="Q175" i="3"/>
  <c r="Q281" i="3" s="1"/>
  <c r="Q251" i="3"/>
  <c r="BU67" i="9" s="1"/>
  <c r="R10" i="3"/>
  <c r="R11" i="3" s="1"/>
  <c r="G68" i="9" s="1"/>
  <c r="Q461" i="3"/>
  <c r="BG156" i="3"/>
  <c r="N158" i="2"/>
  <c r="N159" i="2"/>
  <c r="N221" i="2"/>
  <c r="BG221" i="3" s="1"/>
  <c r="N222" i="2"/>
  <c r="BG222" i="3" s="1"/>
  <c r="BG218" i="3"/>
  <c r="N220" i="2"/>
  <c r="Q348" i="3"/>
  <c r="Q350" i="3" s="1"/>
  <c r="R336" i="3" s="1"/>
  <c r="BF67" i="9"/>
  <c r="BG67" i="9" s="1"/>
  <c r="Q508" i="3"/>
  <c r="Q510" i="3" s="1"/>
  <c r="Q512" i="3" s="1"/>
  <c r="Q513" i="3" s="1"/>
  <c r="R13" i="3"/>
  <c r="Q253" i="3"/>
  <c r="R310" i="3"/>
  <c r="AE68" i="9"/>
  <c r="AR68" i="9"/>
  <c r="R308" i="3"/>
  <c r="R293" i="3"/>
  <c r="R456" i="3"/>
  <c r="R405" i="5"/>
  <c r="R406" i="5" s="1"/>
  <c r="AN68" i="9"/>
  <c r="R380" i="5"/>
  <c r="Q347" i="3"/>
  <c r="Q349" i="3" s="1"/>
  <c r="R335" i="3" s="1"/>
  <c r="Q118" i="3"/>
  <c r="Q126" i="3" s="1"/>
  <c r="BB67" i="9"/>
  <c r="BC67" i="9" s="1"/>
  <c r="R12" i="3"/>
  <c r="Q252" i="3"/>
  <c r="R100" i="3"/>
  <c r="R102" i="3" s="1"/>
  <c r="Q254" i="3" l="1"/>
  <c r="BV67" i="9" s="1"/>
  <c r="BG220" i="3"/>
  <c r="N223" i="2"/>
  <c r="BG159" i="3"/>
  <c r="N160" i="2"/>
  <c r="BG158" i="3"/>
  <c r="N162" i="2"/>
  <c r="BG162" i="3" s="1"/>
  <c r="R502" i="3"/>
  <c r="R460" i="3"/>
  <c r="R296" i="3"/>
  <c r="R326" i="3"/>
  <c r="R381" i="5"/>
  <c r="AU68" i="9"/>
  <c r="Q464" i="3"/>
  <c r="Q177" i="3"/>
  <c r="Q282" i="3" s="1"/>
  <c r="Q284" i="3" s="1"/>
  <c r="R408" i="5"/>
  <c r="R309" i="3"/>
  <c r="R315" i="3"/>
  <c r="R89" i="3" s="1"/>
  <c r="R111" i="3"/>
  <c r="R33" i="3" s="1"/>
  <c r="R344" i="3" s="1"/>
  <c r="R339" i="3"/>
  <c r="R176" i="3"/>
  <c r="R14" i="3"/>
  <c r="H68" i="9" s="1"/>
  <c r="R32" i="3"/>
  <c r="R382" i="5"/>
  <c r="N161" i="2" l="1"/>
  <c r="BG160" i="3"/>
  <c r="N227" i="2"/>
  <c r="BG223" i="3"/>
  <c r="R327" i="3"/>
  <c r="R99" i="3" s="1"/>
  <c r="R316" i="3"/>
  <c r="R91" i="3"/>
  <c r="R343" i="3"/>
  <c r="R345" i="3" s="1"/>
  <c r="R34" i="3"/>
  <c r="O68" i="9" s="1"/>
  <c r="R509" i="3"/>
  <c r="R338" i="3"/>
  <c r="BD68" i="9"/>
  <c r="R112" i="3"/>
  <c r="Q467" i="3"/>
  <c r="Q472" i="3" s="1"/>
  <c r="Q363" i="3"/>
  <c r="Q364" i="3" s="1"/>
  <c r="R353" i="3" s="1"/>
  <c r="BI67" i="9"/>
  <c r="BL67" i="9" s="1"/>
  <c r="BR67" i="9" s="1"/>
  <c r="R15" i="3"/>
  <c r="Q255" i="3"/>
  <c r="Q257" i="3" s="1"/>
  <c r="BW67" i="9" s="1"/>
  <c r="BG227" i="3" l="1"/>
  <c r="M371" i="1"/>
  <c r="N89" i="5"/>
  <c r="N345" i="5" s="1"/>
  <c r="M393" i="1"/>
  <c r="M385" i="1"/>
  <c r="N228" i="2"/>
  <c r="BG228" i="3" s="1"/>
  <c r="BG161" i="3"/>
  <c r="N163" i="2"/>
  <c r="Q28" i="3"/>
  <c r="Q399" i="3"/>
  <c r="Q400" i="3"/>
  <c r="Q409" i="3" s="1"/>
  <c r="Q416" i="3" s="1"/>
  <c r="Q402" i="3"/>
  <c r="Q411" i="3" s="1"/>
  <c r="Q418" i="3" s="1"/>
  <c r="Q401" i="3"/>
  <c r="Q410" i="3" s="1"/>
  <c r="Q417" i="3" s="1"/>
  <c r="Q170" i="3" s="1"/>
  <c r="Q474" i="3"/>
  <c r="R459" i="3"/>
  <c r="R328" i="3"/>
  <c r="R295" i="3"/>
  <c r="AV68" i="9"/>
  <c r="R30" i="3"/>
  <c r="S101" i="3"/>
  <c r="R340" i="3"/>
  <c r="R346" i="3"/>
  <c r="R127" i="3"/>
  <c r="R17" i="3"/>
  <c r="I68" i="9" s="1"/>
  <c r="R35" i="3"/>
  <c r="R463" i="3"/>
  <c r="R297" i="3"/>
  <c r="R178" i="3"/>
  <c r="R491" i="3"/>
  <c r="R493" i="3" s="1"/>
  <c r="R455" i="3"/>
  <c r="R292" i="3"/>
  <c r="AP68" i="9"/>
  <c r="R29" i="3"/>
  <c r="S93" i="3"/>
  <c r="N165" i="2" l="1"/>
  <c r="N267" i="2" s="1"/>
  <c r="BG163" i="3"/>
  <c r="R361" i="3"/>
  <c r="BK361" i="3" s="1"/>
  <c r="R37" i="3"/>
  <c r="R355" i="3"/>
  <c r="BK68" i="9"/>
  <c r="AG68" i="9"/>
  <c r="Q476" i="3"/>
  <c r="Q478" i="3" s="1"/>
  <c r="R317" i="3"/>
  <c r="R31" i="3"/>
  <c r="Q403" i="3"/>
  <c r="Q408" i="3"/>
  <c r="R329" i="3"/>
  <c r="R330" i="3" s="1"/>
  <c r="R494" i="3"/>
  <c r="R496" i="3" s="1"/>
  <c r="R497" i="3" s="1"/>
  <c r="R498" i="3" s="1"/>
  <c r="Q268" i="3"/>
  <c r="Q210" i="3"/>
  <c r="Q438" i="3"/>
  <c r="Q444" i="3" s="1"/>
  <c r="Q241" i="3"/>
  <c r="Q169" i="3"/>
  <c r="Q139" i="3"/>
  <c r="Q71" i="3"/>
  <c r="Q392" i="5"/>
  <c r="M67" i="9"/>
  <c r="W67" i="9" s="1"/>
  <c r="Q191" i="5"/>
  <c r="BG165" i="3" l="1"/>
  <c r="N112" i="5"/>
  <c r="N140" i="5" s="1"/>
  <c r="BG267" i="3"/>
  <c r="N183" i="2"/>
  <c r="N166" i="2"/>
  <c r="BG166" i="3" s="1"/>
  <c r="Q171" i="3"/>
  <c r="Q182" i="3" s="1"/>
  <c r="Q192" i="3"/>
  <c r="R439" i="3"/>
  <c r="N68" i="9"/>
  <c r="R362" i="3"/>
  <c r="Q415" i="3"/>
  <c r="Q419" i="3" s="1"/>
  <c r="Q412" i="3"/>
  <c r="Q413" i="3" s="1"/>
  <c r="R319" i="3"/>
  <c r="R440" i="3"/>
  <c r="P68" i="9"/>
  <c r="Q480" i="3"/>
  <c r="Q387" i="5"/>
  <c r="M375" i="1" l="1"/>
  <c r="N184" i="2"/>
  <c r="M363" i="1"/>
  <c r="M364" i="1" s="1"/>
  <c r="BG183" i="3"/>
  <c r="Q207" i="3"/>
  <c r="Q212" i="3" s="1"/>
  <c r="Q153" i="3"/>
  <c r="Q154" i="3" s="1"/>
  <c r="Q156" i="3" s="1"/>
  <c r="Q481" i="3"/>
  <c r="Q420" i="3"/>
  <c r="M374" i="1" l="1"/>
  <c r="M377" i="1" s="1"/>
  <c r="M382" i="1" s="1"/>
  <c r="M384" i="1" s="1"/>
  <c r="M386" i="1" s="1"/>
  <c r="M367" i="1"/>
  <c r="BG184" i="3"/>
  <c r="N191" i="2"/>
  <c r="N399" i="5"/>
  <c r="N94" i="4"/>
  <c r="N397" i="5"/>
  <c r="N266" i="2"/>
  <c r="N85" i="5"/>
  <c r="N342" i="5" s="1"/>
  <c r="Q158" i="3"/>
  <c r="Q162" i="3" s="1"/>
  <c r="Q159" i="3"/>
  <c r="Q160" i="3" s="1"/>
  <c r="Q161" i="3" s="1"/>
  <c r="Q482" i="3"/>
  <c r="Q225" i="3"/>
  <c r="Q218" i="3"/>
  <c r="N271" i="2" l="1"/>
  <c r="N86" i="4" s="1"/>
  <c r="N270" i="2"/>
  <c r="BG266" i="3"/>
  <c r="BG191" i="3"/>
  <c r="N193" i="2"/>
  <c r="Q163" i="3"/>
  <c r="Q165" i="3" s="1"/>
  <c r="Q267" i="3" s="1"/>
  <c r="Q220" i="3"/>
  <c r="Q222" i="3"/>
  <c r="Q221" i="3"/>
  <c r="Q223" i="3" l="1"/>
  <c r="Q227" i="3" s="1"/>
  <c r="Q334" i="5" s="1"/>
  <c r="BG193" i="3"/>
  <c r="N200" i="2"/>
  <c r="N199" i="2"/>
  <c r="N197" i="2"/>
  <c r="N195" i="2"/>
  <c r="N201" i="2"/>
  <c r="N198" i="2"/>
  <c r="N196" i="2"/>
  <c r="BG270" i="3"/>
  <c r="N86" i="5"/>
  <c r="N343" i="5" s="1"/>
  <c r="N32" i="4"/>
  <c r="P33" i="4" s="1"/>
  <c r="Q183" i="3"/>
  <c r="Q184" i="3" s="1"/>
  <c r="Q166" i="3"/>
  <c r="Q139" i="5"/>
  <c r="Q228" i="3" l="1"/>
  <c r="P54" i="4"/>
  <c r="P56" i="4"/>
  <c r="P55" i="4"/>
  <c r="P58" i="4"/>
  <c r="P57" i="4"/>
  <c r="N314" i="4"/>
  <c r="L266" i="1" s="1"/>
  <c r="BG196" i="3"/>
  <c r="E313" i="1"/>
  <c r="BG197" i="3"/>
  <c r="F313" i="1"/>
  <c r="N315" i="4"/>
  <c r="M266" i="1" s="1"/>
  <c r="N316" i="4"/>
  <c r="N266" i="1" s="1"/>
  <c r="BG198" i="3"/>
  <c r="G313" i="1"/>
  <c r="H313" i="1"/>
  <c r="N317" i="4"/>
  <c r="O266" i="1" s="1"/>
  <c r="BG199" i="3"/>
  <c r="BG201" i="3"/>
  <c r="N204" i="2"/>
  <c r="J313" i="1"/>
  <c r="I313" i="1"/>
  <c r="N318" i="4"/>
  <c r="P266" i="1" s="1"/>
  <c r="BG200" i="3"/>
  <c r="BG195" i="3"/>
  <c r="N202" i="2"/>
  <c r="D313" i="1"/>
  <c r="N313" i="4"/>
  <c r="K266" i="1" s="1"/>
  <c r="Q95" i="4"/>
  <c r="Q266" i="3"/>
  <c r="Q270" i="3" s="1"/>
  <c r="Q191" i="3"/>
  <c r="Q193" i="3" s="1"/>
  <c r="Q398" i="5"/>
  <c r="Q330" i="5"/>
  <c r="BG204" i="3" l="1"/>
  <c r="M394" i="1"/>
  <c r="N515" i="2"/>
  <c r="BG515" i="3" s="1"/>
  <c r="C313" i="1"/>
  <c r="K313" i="1" s="1"/>
  <c r="N484" i="2"/>
  <c r="N145" i="2"/>
  <c r="BG202" i="3"/>
  <c r="M370" i="1"/>
  <c r="M372" i="1" s="1"/>
  <c r="N422" i="2"/>
  <c r="N87" i="5"/>
  <c r="N344" i="5" s="1"/>
  <c r="N203" i="2"/>
  <c r="P59" i="4"/>
  <c r="Q64" i="4"/>
  <c r="S65" i="4" s="1"/>
  <c r="Q331" i="5"/>
  <c r="Q199" i="3"/>
  <c r="Q195" i="3"/>
  <c r="Q201" i="3"/>
  <c r="Q197" i="3"/>
  <c r="Q200" i="3"/>
  <c r="Q198" i="3"/>
  <c r="Q196" i="3"/>
  <c r="P61" i="4" l="1"/>
  <c r="P272" i="2"/>
  <c r="P60" i="4"/>
  <c r="J266" i="1"/>
  <c r="N516" i="2"/>
  <c r="BG203" i="3"/>
  <c r="N88" i="5"/>
  <c r="Z16" i="9"/>
  <c r="N17" i="5"/>
  <c r="N148" i="2"/>
  <c r="O302" i="2"/>
  <c r="BH302" i="3" s="1"/>
  <c r="N244" i="2"/>
  <c r="N146" i="2"/>
  <c r="BG145" i="3"/>
  <c r="N229" i="2"/>
  <c r="BG422" i="3"/>
  <c r="N424" i="2"/>
  <c r="BG424" i="3" s="1"/>
  <c r="BG484" i="3"/>
  <c r="N485" i="2"/>
  <c r="Q321" i="4"/>
  <c r="Q202" i="3"/>
  <c r="N316" i="1"/>
  <c r="BS269" i="1"/>
  <c r="Q325" i="4"/>
  <c r="R316" i="1"/>
  <c r="BW269" i="1"/>
  <c r="Q326" i="4"/>
  <c r="BX269" i="1"/>
  <c r="S316" i="1"/>
  <c r="Q323" i="4"/>
  <c r="BU269" i="1"/>
  <c r="P316" i="1"/>
  <c r="Q322" i="4"/>
  <c r="BT269" i="1"/>
  <c r="O316" i="1"/>
  <c r="Q324" i="4"/>
  <c r="Q316" i="1"/>
  <c r="BV269" i="1"/>
  <c r="Q204" i="3"/>
  <c r="Q515" i="3" s="1"/>
  <c r="T316" i="1"/>
  <c r="S71" i="4"/>
  <c r="S67" i="4"/>
  <c r="S70" i="4"/>
  <c r="S68" i="4"/>
  <c r="S69" i="4"/>
  <c r="BG148" i="3" l="1"/>
  <c r="O8" i="2"/>
  <c r="N248" i="2"/>
  <c r="BG485" i="3"/>
  <c r="N425" i="2"/>
  <c r="BG425" i="3" s="1"/>
  <c r="BG146" i="3"/>
  <c r="N109" i="5"/>
  <c r="N18" i="5"/>
  <c r="N213" i="5"/>
  <c r="N384" i="5"/>
  <c r="BG516" i="3"/>
  <c r="N90" i="5"/>
  <c r="N346" i="5" s="1"/>
  <c r="BG229" i="3"/>
  <c r="N245" i="2"/>
  <c r="BG244" i="3"/>
  <c r="Z112" i="9"/>
  <c r="AJ16" i="9"/>
  <c r="AL16" i="9" s="1"/>
  <c r="BO269" i="1"/>
  <c r="V269" i="1"/>
  <c r="BN269" i="1"/>
  <c r="U269" i="1"/>
  <c r="M316" i="1"/>
  <c r="U316" i="1" s="1"/>
  <c r="S72" i="4"/>
  <c r="Q484" i="3"/>
  <c r="Q485" i="3" s="1"/>
  <c r="Q422" i="3"/>
  <c r="Q424" i="3" s="1"/>
  <c r="Q145" i="3"/>
  <c r="Q332" i="5"/>
  <c r="Q203" i="3"/>
  <c r="X269" i="1"/>
  <c r="BQ269" i="1"/>
  <c r="BM269" i="1"/>
  <c r="T269" i="1"/>
  <c r="BP269" i="1"/>
  <c r="W269" i="1"/>
  <c r="BL269" i="1"/>
  <c r="S269" i="1"/>
  <c r="S74" i="4" l="1"/>
  <c r="S272" i="3"/>
  <c r="N214" i="5"/>
  <c r="N19" i="5"/>
  <c r="BT16" i="9"/>
  <c r="BG248" i="3"/>
  <c r="N259" i="2"/>
  <c r="O450" i="2"/>
  <c r="BH450" i="3" s="1"/>
  <c r="F17" i="9"/>
  <c r="O372" i="5"/>
  <c r="O374" i="5" s="1"/>
  <c r="O447" i="2"/>
  <c r="BH447" i="3" s="1"/>
  <c r="BH8" i="3"/>
  <c r="O84" i="2"/>
  <c r="O19" i="2"/>
  <c r="I267" i="1"/>
  <c r="O390" i="2"/>
  <c r="O20" i="2"/>
  <c r="N389" i="1"/>
  <c r="N486" i="2"/>
  <c r="BG486" i="3" s="1"/>
  <c r="N260" i="2"/>
  <c r="BG245" i="3"/>
  <c r="M373" i="1"/>
  <c r="AJ112" i="9"/>
  <c r="AL112" i="9"/>
  <c r="S73" i="4"/>
  <c r="R302" i="3"/>
  <c r="Q244" i="3"/>
  <c r="Q245" i="3" s="1"/>
  <c r="Q260" i="3" s="1"/>
  <c r="Q146" i="3"/>
  <c r="Q129" i="5" s="1"/>
  <c r="Z67" i="9"/>
  <c r="AJ67" i="9" s="1"/>
  <c r="AL67" i="9" s="1"/>
  <c r="Q197" i="5"/>
  <c r="Q198" i="5" s="1"/>
  <c r="Q199" i="5" s="1"/>
  <c r="Q200" i="5" s="1"/>
  <c r="Q148" i="3"/>
  <c r="Q229" i="3"/>
  <c r="Q335" i="5" s="1"/>
  <c r="BK269" i="1"/>
  <c r="R269" i="1"/>
  <c r="Q333" i="5"/>
  <c r="Q516" i="3"/>
  <c r="Q425" i="3"/>
  <c r="BG260" i="3" l="1"/>
  <c r="O232" i="2"/>
  <c r="BH232" i="3" s="1"/>
  <c r="BH19" i="3"/>
  <c r="O10" i="5"/>
  <c r="O206" i="5" s="1"/>
  <c r="N261" i="2"/>
  <c r="BG261" i="3" s="1"/>
  <c r="O364" i="5"/>
  <c r="O366" i="5" s="1"/>
  <c r="BH84" i="3"/>
  <c r="O238" i="2"/>
  <c r="O85" i="2"/>
  <c r="O15" i="5"/>
  <c r="O212" i="5" s="1"/>
  <c r="K17" i="9"/>
  <c r="F113" i="9"/>
  <c r="BY16" i="9"/>
  <c r="BY112" i="9" s="1"/>
  <c r="BT112" i="9"/>
  <c r="O392" i="2"/>
  <c r="BH392" i="3" s="1"/>
  <c r="O391" i="2"/>
  <c r="O393" i="2"/>
  <c r="BH393" i="3" s="1"/>
  <c r="BH390" i="3"/>
  <c r="O394" i="2"/>
  <c r="BH394" i="3" s="1"/>
  <c r="N215" i="5"/>
  <c r="N20" i="5"/>
  <c r="N368" i="5"/>
  <c r="N370" i="5" s="1"/>
  <c r="N144" i="5" s="1"/>
  <c r="BG259" i="3"/>
  <c r="R8" i="3"/>
  <c r="Q248" i="3"/>
  <c r="K113" i="9" l="1"/>
  <c r="BH85" i="3"/>
  <c r="O470" i="2"/>
  <c r="BH470" i="3" s="1"/>
  <c r="O290" i="2"/>
  <c r="BH290" i="3" s="1"/>
  <c r="O287" i="2"/>
  <c r="BH391" i="3"/>
  <c r="O395" i="2"/>
  <c r="BH238" i="3"/>
  <c r="AD17" i="9"/>
  <c r="AD113" i="9" s="1"/>
  <c r="O240" i="2"/>
  <c r="N262" i="2"/>
  <c r="Q259" i="3"/>
  <c r="Q369" i="5" s="1"/>
  <c r="BT67" i="9"/>
  <c r="BY67" i="9" s="1"/>
  <c r="Q486" i="3"/>
  <c r="R450" i="3"/>
  <c r="R447" i="3"/>
  <c r="R390" i="3"/>
  <c r="R19" i="3"/>
  <c r="R84" i="3"/>
  <c r="R20" i="3"/>
  <c r="F68" i="9"/>
  <c r="K68" i="9" s="1"/>
  <c r="R373" i="5"/>
  <c r="BH287" i="3" l="1"/>
  <c r="O303" i="2"/>
  <c r="BH395" i="3"/>
  <c r="O405" i="2"/>
  <c r="BH405" i="3" s="1"/>
  <c r="O396" i="2"/>
  <c r="BH396" i="3" s="1"/>
  <c r="BH240" i="3"/>
  <c r="AI17" i="9"/>
  <c r="AI113" i="9" s="1"/>
  <c r="Q393" i="5"/>
  <c r="R238" i="3"/>
  <c r="R85" i="3"/>
  <c r="R195" i="5"/>
  <c r="Q261" i="3"/>
  <c r="Q262" i="3" s="1"/>
  <c r="R232" i="3"/>
  <c r="R190" i="5"/>
  <c r="R365" i="5"/>
  <c r="R393" i="3"/>
  <c r="R391" i="3"/>
  <c r="R392" i="3"/>
  <c r="R394" i="3"/>
  <c r="BH303" i="3" l="1"/>
  <c r="O95" i="2"/>
  <c r="R395" i="3"/>
  <c r="R470" i="3"/>
  <c r="R290" i="3"/>
  <c r="R287" i="3"/>
  <c r="R240" i="3"/>
  <c r="AD68" i="9"/>
  <c r="O457" i="2" l="1"/>
  <c r="O249" i="2"/>
  <c r="O320" i="2"/>
  <c r="AQ17" i="9"/>
  <c r="BH95" i="3"/>
  <c r="P9" i="2"/>
  <c r="O103" i="2"/>
  <c r="AI68" i="9"/>
  <c r="R405" i="3"/>
  <c r="R396" i="3"/>
  <c r="R303" i="3"/>
  <c r="AW17" i="9" l="1"/>
  <c r="BH103" i="3"/>
  <c r="O501" i="2"/>
  <c r="O250" i="2"/>
  <c r="BH250" i="3" s="1"/>
  <c r="O461" i="2"/>
  <c r="BH461" i="3" s="1"/>
  <c r="O331" i="2"/>
  <c r="P10" i="2"/>
  <c r="P11" i="2" s="1"/>
  <c r="O116" i="2"/>
  <c r="AT17" i="9"/>
  <c r="AQ113" i="9"/>
  <c r="O175" i="2"/>
  <c r="BH320" i="3"/>
  <c r="O321" i="2"/>
  <c r="BI9" i="3"/>
  <c r="P489" i="2"/>
  <c r="BI489" i="3" s="1"/>
  <c r="P96" i="2"/>
  <c r="P92" i="2"/>
  <c r="BH249" i="3"/>
  <c r="BH457" i="3"/>
  <c r="R95" i="3"/>
  <c r="O251" i="2" l="1"/>
  <c r="BH251" i="3" s="1"/>
  <c r="BH175" i="3"/>
  <c r="O281" i="2"/>
  <c r="BI11" i="3"/>
  <c r="G18" i="9"/>
  <c r="G114" i="9" s="1"/>
  <c r="BI10" i="3"/>
  <c r="P100" i="2"/>
  <c r="O503" i="2"/>
  <c r="BH501" i="3"/>
  <c r="P94" i="2"/>
  <c r="BI92" i="3"/>
  <c r="H267" i="1"/>
  <c r="BH321" i="3"/>
  <c r="P306" i="2"/>
  <c r="AT113" i="9"/>
  <c r="BH331" i="3"/>
  <c r="O332" i="2"/>
  <c r="AR18" i="9"/>
  <c r="AR114" i="9" s="1"/>
  <c r="AE18" i="9"/>
  <c r="AE114" i="9" s="1"/>
  <c r="P310" i="2"/>
  <c r="BI310" i="3" s="1"/>
  <c r="BI96" i="3"/>
  <c r="O117" i="2"/>
  <c r="BH116" i="3"/>
  <c r="L184" i="1"/>
  <c r="H184" i="1" s="1"/>
  <c r="O252" i="2"/>
  <c r="P12" i="2"/>
  <c r="O347" i="2"/>
  <c r="BB17" i="9"/>
  <c r="AW113" i="9"/>
  <c r="AY17" i="9"/>
  <c r="AY113" i="9" s="1"/>
  <c r="R103" i="3"/>
  <c r="R175" i="3" s="1"/>
  <c r="R281" i="3" s="1"/>
  <c r="R457" i="3"/>
  <c r="R320" i="3"/>
  <c r="R321" i="3" s="1"/>
  <c r="S306" i="3" s="1"/>
  <c r="AQ68" i="9"/>
  <c r="AT68" i="9" s="1"/>
  <c r="S9" i="3"/>
  <c r="R249" i="3"/>
  <c r="BU17" i="9" l="1"/>
  <c r="BU113" i="9" s="1"/>
  <c r="BH348" i="3"/>
  <c r="O349" i="2"/>
  <c r="P32" i="2"/>
  <c r="BI12" i="3"/>
  <c r="BH332" i="3"/>
  <c r="P324" i="2"/>
  <c r="BI306" i="3"/>
  <c r="P308" i="2"/>
  <c r="P293" i="2"/>
  <c r="BI293" i="3" s="1"/>
  <c r="BI94" i="3"/>
  <c r="P377" i="5"/>
  <c r="P456" i="2"/>
  <c r="BI456" i="3" s="1"/>
  <c r="AN18" i="9"/>
  <c r="AN114" i="9" s="1"/>
  <c r="BF17" i="9"/>
  <c r="O253" i="2"/>
  <c r="BH253" i="3" s="1"/>
  <c r="O348" i="2"/>
  <c r="O508" i="2"/>
  <c r="BH117" i="3"/>
  <c r="P13" i="2"/>
  <c r="BI100" i="3"/>
  <c r="P102" i="2"/>
  <c r="BH281" i="3"/>
  <c r="BH252" i="3"/>
  <c r="BB113" i="9"/>
  <c r="BC17" i="9"/>
  <c r="BC113" i="9" s="1"/>
  <c r="O118" i="2"/>
  <c r="BH503" i="3"/>
  <c r="O505" i="2"/>
  <c r="R461" i="3"/>
  <c r="R331" i="3"/>
  <c r="R332" i="3" s="1"/>
  <c r="S324" i="3" s="1"/>
  <c r="AW68" i="9"/>
  <c r="AY68" i="9" s="1"/>
  <c r="R501" i="3"/>
  <c r="R503" i="3" s="1"/>
  <c r="R505" i="3" s="1"/>
  <c r="R506" i="3" s="1"/>
  <c r="R250" i="3"/>
  <c r="R251" i="3" s="1"/>
  <c r="BU68" i="9" s="1"/>
  <c r="S10" i="3"/>
  <c r="S11" i="3" s="1"/>
  <c r="G69" i="9" s="1"/>
  <c r="S489" i="3"/>
  <c r="S96" i="3"/>
  <c r="S92" i="3"/>
  <c r="S94" i="3" s="1"/>
  <c r="R116" i="3"/>
  <c r="BI13" i="3" l="1"/>
  <c r="P33" i="2"/>
  <c r="P34" i="2" s="1"/>
  <c r="BI308" i="3"/>
  <c r="P315" i="2"/>
  <c r="P343" i="2"/>
  <c r="BI344" i="3" s="1"/>
  <c r="BI32" i="3"/>
  <c r="O506" i="2"/>
  <c r="BH505" i="3"/>
  <c r="BG17" i="9"/>
  <c r="BG113" i="9" s="1"/>
  <c r="BF113" i="9"/>
  <c r="P309" i="2"/>
  <c r="BI324" i="3"/>
  <c r="P14" i="2"/>
  <c r="P379" i="5"/>
  <c r="P383" i="5" s="1"/>
  <c r="P460" i="2"/>
  <c r="BI460" i="3" s="1"/>
  <c r="BI102" i="3"/>
  <c r="P502" i="2"/>
  <c r="BI502" i="3" s="1"/>
  <c r="AU18" i="9"/>
  <c r="AU114" i="9" s="1"/>
  <c r="P326" i="2"/>
  <c r="BI326" i="3" s="1"/>
  <c r="P296" i="2"/>
  <c r="BI296" i="3" s="1"/>
  <c r="P378" i="5"/>
  <c r="BH508" i="3"/>
  <c r="O510" i="2"/>
  <c r="P176" i="2"/>
  <c r="P313" i="2"/>
  <c r="BH350" i="3"/>
  <c r="P335" i="2"/>
  <c r="O177" i="2"/>
  <c r="O464" i="2"/>
  <c r="BH118" i="3"/>
  <c r="O126" i="2"/>
  <c r="O254" i="2"/>
  <c r="BH349" i="3"/>
  <c r="O350" i="2"/>
  <c r="P336" i="2" s="1"/>
  <c r="R347" i="3"/>
  <c r="R349" i="3" s="1"/>
  <c r="S335" i="3" s="1"/>
  <c r="BB68" i="9"/>
  <c r="BC68" i="9" s="1"/>
  <c r="S12" i="3"/>
  <c r="R252" i="3"/>
  <c r="R117" i="3"/>
  <c r="R118" i="3" s="1"/>
  <c r="R126" i="3" s="1"/>
  <c r="S100" i="3"/>
  <c r="S102" i="3" s="1"/>
  <c r="S176" i="3" s="1"/>
  <c r="S456" i="3"/>
  <c r="S308" i="3"/>
  <c r="S293" i="3"/>
  <c r="AN69" i="9"/>
  <c r="S405" i="5"/>
  <c r="S406" i="5" s="1"/>
  <c r="S380" i="5"/>
  <c r="S310" i="3"/>
  <c r="AR69" i="9"/>
  <c r="AE69" i="9"/>
  <c r="P327" i="2" l="1"/>
  <c r="P99" i="2" s="1"/>
  <c r="BI34" i="3"/>
  <c r="O18" i="9"/>
  <c r="O114" i="9" s="1"/>
  <c r="O135" i="2"/>
  <c r="O363" i="2"/>
  <c r="P15" i="2"/>
  <c r="BI17" i="9"/>
  <c r="BH126" i="3"/>
  <c r="O467" i="2"/>
  <c r="BH467" i="3" s="1"/>
  <c r="O255" i="2"/>
  <c r="P339" i="2"/>
  <c r="BI340" i="3" s="1"/>
  <c r="P345" i="2"/>
  <c r="BI346" i="3" s="1"/>
  <c r="BI336" i="3"/>
  <c r="BI335" i="3"/>
  <c r="BH510" i="3"/>
  <c r="O512" i="2"/>
  <c r="P340" i="2"/>
  <c r="BI341" i="3" s="1"/>
  <c r="BI337" i="3"/>
  <c r="BH464" i="3"/>
  <c r="P344" i="2"/>
  <c r="BI345" i="3" s="1"/>
  <c r="BI33" i="3"/>
  <c r="BH254" i="3"/>
  <c r="BV17" i="9"/>
  <c r="BV113" i="9" s="1"/>
  <c r="O282" i="2"/>
  <c r="BH177" i="3"/>
  <c r="BI176" i="3"/>
  <c r="O357" i="1"/>
  <c r="BI14" i="3"/>
  <c r="H18" i="9"/>
  <c r="H114" i="9" s="1"/>
  <c r="BI309" i="3"/>
  <c r="O390" i="1"/>
  <c r="BI315" i="3"/>
  <c r="P89" i="2"/>
  <c r="S382" i="5"/>
  <c r="R464" i="3"/>
  <c r="R177" i="3"/>
  <c r="R282" i="3" s="1"/>
  <c r="R284" i="3" s="1"/>
  <c r="S502" i="3"/>
  <c r="S460" i="3"/>
  <c r="S326" i="3"/>
  <c r="S296" i="3"/>
  <c r="AU69" i="9"/>
  <c r="S381" i="5"/>
  <c r="S339" i="3"/>
  <c r="R348" i="3"/>
  <c r="R350" i="3" s="1"/>
  <c r="S336" i="3" s="1"/>
  <c r="BF68" i="9"/>
  <c r="BG68" i="9" s="1"/>
  <c r="R508" i="3"/>
  <c r="R510" i="3" s="1"/>
  <c r="R512" i="3" s="1"/>
  <c r="R513" i="3" s="1"/>
  <c r="S13" i="3"/>
  <c r="R253" i="3"/>
  <c r="R254" i="3" s="1"/>
  <c r="BV68" i="9" s="1"/>
  <c r="S408" i="5"/>
  <c r="S309" i="3"/>
  <c r="S315" i="3"/>
  <c r="S89" i="3" s="1"/>
  <c r="S32" i="3"/>
  <c r="BI327" i="3" l="1"/>
  <c r="P459" i="2"/>
  <c r="BI459" i="3" s="1"/>
  <c r="BI99" i="3"/>
  <c r="AV18" i="9"/>
  <c r="AV114" i="9" s="1"/>
  <c r="P328" i="2"/>
  <c r="P295" i="2"/>
  <c r="BI295" i="3" s="1"/>
  <c r="P30" i="2"/>
  <c r="Q101" i="2"/>
  <c r="BJ101" i="3" s="1"/>
  <c r="BH364" i="3"/>
  <c r="O364" i="2"/>
  <c r="P353" i="2" s="1"/>
  <c r="P346" i="2"/>
  <c r="BI347" i="3" s="1"/>
  <c r="BH512" i="3"/>
  <c r="O513" i="2"/>
  <c r="BH135" i="3"/>
  <c r="O258" i="2"/>
  <c r="O469" i="2"/>
  <c r="BO17" i="9"/>
  <c r="O382" i="2"/>
  <c r="P18" i="2"/>
  <c r="BI89" i="3"/>
  <c r="P316" i="2"/>
  <c r="P91" i="2"/>
  <c r="BI113" i="9"/>
  <c r="BL17" i="9"/>
  <c r="BH282" i="3"/>
  <c r="O284" i="2"/>
  <c r="BH255" i="3"/>
  <c r="O257" i="2"/>
  <c r="P17" i="2"/>
  <c r="P127" i="2"/>
  <c r="BI15" i="3"/>
  <c r="P35" i="2"/>
  <c r="S111" i="3"/>
  <c r="S33" i="3" s="1"/>
  <c r="R467" i="3"/>
  <c r="R474" i="3" s="1"/>
  <c r="R363" i="3"/>
  <c r="R364" i="3" s="1"/>
  <c r="S353" i="3" s="1"/>
  <c r="BI68" i="9"/>
  <c r="BL68" i="9" s="1"/>
  <c r="BR68" i="9" s="1"/>
  <c r="R255" i="3"/>
  <c r="R257" i="3" s="1"/>
  <c r="BW68" i="9" s="1"/>
  <c r="S15" i="3"/>
  <c r="S327" i="3"/>
  <c r="S99" i="3" s="1"/>
  <c r="S343" i="3"/>
  <c r="S345" i="3" s="1"/>
  <c r="S316" i="3"/>
  <c r="T89" i="3"/>
  <c r="S91" i="3"/>
  <c r="S14" i="3"/>
  <c r="H69" i="9" s="1"/>
  <c r="R472" i="3" l="1"/>
  <c r="R401" i="3" s="1"/>
  <c r="R410" i="3" s="1"/>
  <c r="R417" i="3" s="1"/>
  <c r="R170" i="3" s="1"/>
  <c r="BI17" i="3"/>
  <c r="I18" i="9"/>
  <c r="I114" i="9" s="1"/>
  <c r="BI316" i="3"/>
  <c r="BO113" i="9"/>
  <c r="BP17" i="9"/>
  <c r="BP113" i="9" s="1"/>
  <c r="BI328" i="3"/>
  <c r="BI35" i="3"/>
  <c r="P361" i="2"/>
  <c r="P37" i="2"/>
  <c r="BH257" i="3"/>
  <c r="BW17" i="9"/>
  <c r="BW113" i="9" s="1"/>
  <c r="BL113" i="9"/>
  <c r="BR17" i="9"/>
  <c r="BR113" i="9" s="1"/>
  <c r="BH469" i="3"/>
  <c r="O474" i="2"/>
  <c r="O472" i="2"/>
  <c r="BI18" i="3"/>
  <c r="P131" i="2"/>
  <c r="BI131" i="3" s="1"/>
  <c r="J18" i="9"/>
  <c r="J114" i="9" s="1"/>
  <c r="P38" i="2"/>
  <c r="E268" i="1"/>
  <c r="BX17" i="9"/>
  <c r="BX113" i="9" s="1"/>
  <c r="O175" i="5"/>
  <c r="BH258" i="3"/>
  <c r="BI30" i="3"/>
  <c r="P329" i="2"/>
  <c r="BI329" i="3" s="1"/>
  <c r="P355" i="2"/>
  <c r="BI355" i="3" s="1"/>
  <c r="BK18" i="9"/>
  <c r="BK114" i="9" s="1"/>
  <c r="AG18" i="9"/>
  <c r="AG114" i="9" s="1"/>
  <c r="BI127" i="3"/>
  <c r="BH284" i="3"/>
  <c r="N359" i="1"/>
  <c r="P292" i="2"/>
  <c r="BI292" i="3" s="1"/>
  <c r="BI91" i="3"/>
  <c r="AP18" i="9"/>
  <c r="AP114" i="9" s="1"/>
  <c r="P455" i="2"/>
  <c r="BI455" i="3" s="1"/>
  <c r="G268" i="1"/>
  <c r="A268" i="1" s="1"/>
  <c r="Q93" i="2"/>
  <c r="BJ93" i="3" s="1"/>
  <c r="P491" i="2"/>
  <c r="P29" i="2"/>
  <c r="BH382" i="3"/>
  <c r="O383" i="2"/>
  <c r="BI353" i="3"/>
  <c r="O391" i="1"/>
  <c r="R476" i="3"/>
  <c r="R478" i="3" s="1"/>
  <c r="S344" i="3"/>
  <c r="S34" i="3"/>
  <c r="O69" i="9" s="1"/>
  <c r="S459" i="3"/>
  <c r="S295" i="3"/>
  <c r="S328" i="3"/>
  <c r="AV69" i="9"/>
  <c r="T101" i="3"/>
  <c r="S30" i="3"/>
  <c r="R28" i="3"/>
  <c r="R399" i="3"/>
  <c r="S491" i="3"/>
  <c r="S493" i="3" s="1"/>
  <c r="S455" i="3"/>
  <c r="S292" i="3"/>
  <c r="AP69" i="9"/>
  <c r="T93" i="3"/>
  <c r="S29" i="3"/>
  <c r="S509" i="3"/>
  <c r="S338" i="3"/>
  <c r="BD69" i="9"/>
  <c r="S112" i="3"/>
  <c r="S127" i="3"/>
  <c r="S17" i="3"/>
  <c r="I69" i="9" s="1"/>
  <c r="S35" i="3"/>
  <c r="T316" i="3"/>
  <c r="U89" i="3"/>
  <c r="T91" i="3"/>
  <c r="R400" i="3" l="1"/>
  <c r="R409" i="3" s="1"/>
  <c r="R416" i="3" s="1"/>
  <c r="R402" i="3"/>
  <c r="R411" i="3" s="1"/>
  <c r="R418" i="3" s="1"/>
  <c r="P362" i="2"/>
  <c r="BI363" i="3" s="1"/>
  <c r="BH383" i="3"/>
  <c r="P377" i="2"/>
  <c r="P330" i="2"/>
  <c r="BI330" i="3" s="1"/>
  <c r="P18" i="9"/>
  <c r="P114" i="9" s="1"/>
  <c r="P440" i="2"/>
  <c r="BI440" i="3" s="1"/>
  <c r="BI37" i="3"/>
  <c r="BI29" i="3"/>
  <c r="P31" i="2"/>
  <c r="P317" i="2"/>
  <c r="Q18" i="9"/>
  <c r="Q114" i="9" s="1"/>
  <c r="P173" i="5"/>
  <c r="P379" i="2"/>
  <c r="BI379" i="3" s="1"/>
  <c r="BI38" i="3"/>
  <c r="O28" i="2"/>
  <c r="O400" i="2"/>
  <c r="O399" i="2"/>
  <c r="O402" i="2"/>
  <c r="BH472" i="3"/>
  <c r="O401" i="2"/>
  <c r="BI356" i="3"/>
  <c r="BI362" i="3"/>
  <c r="BI491" i="3"/>
  <c r="P494" i="2"/>
  <c r="BI494" i="3" s="1"/>
  <c r="P493" i="2"/>
  <c r="BH474" i="3"/>
  <c r="O476" i="2"/>
  <c r="S340" i="3"/>
  <c r="S346" i="3"/>
  <c r="S329" i="3"/>
  <c r="S330" i="3" s="1"/>
  <c r="S355" i="3"/>
  <c r="AG69" i="9"/>
  <c r="BK69" i="9"/>
  <c r="R268" i="3"/>
  <c r="R210" i="3"/>
  <c r="S463" i="3"/>
  <c r="S178" i="3"/>
  <c r="S297" i="3"/>
  <c r="R403" i="3"/>
  <c r="R408" i="3"/>
  <c r="R480" i="3"/>
  <c r="U316" i="3"/>
  <c r="V89" i="3"/>
  <c r="U91" i="3"/>
  <c r="S317" i="3"/>
  <c r="S31" i="3"/>
  <c r="R438" i="3"/>
  <c r="R444" i="3" s="1"/>
  <c r="R241" i="3"/>
  <c r="R71" i="3"/>
  <c r="R169" i="3"/>
  <c r="R191" i="5"/>
  <c r="R139" i="3"/>
  <c r="R392" i="5"/>
  <c r="M68" i="9"/>
  <c r="W68" i="9" s="1"/>
  <c r="T455" i="3"/>
  <c r="T292" i="3"/>
  <c r="AP70" i="9"/>
  <c r="S361" i="3"/>
  <c r="BL361" i="3" s="1"/>
  <c r="S37" i="3"/>
  <c r="S494" i="3"/>
  <c r="S496" i="3" s="1"/>
  <c r="S497" i="3" s="1"/>
  <c r="S498" i="3" s="1"/>
  <c r="BH401" i="3" l="1"/>
  <c r="O410" i="2"/>
  <c r="BH400" i="3"/>
  <c r="O409" i="2"/>
  <c r="BI31" i="3"/>
  <c r="P439" i="2"/>
  <c r="BI439" i="3" s="1"/>
  <c r="N18" i="9"/>
  <c r="N114" i="9" s="1"/>
  <c r="BH476" i="3"/>
  <c r="O478" i="2"/>
  <c r="O438" i="2"/>
  <c r="O390" i="5"/>
  <c r="O11" i="5"/>
  <c r="O207" i="5" s="1"/>
  <c r="O241" i="2"/>
  <c r="BH241" i="3" s="1"/>
  <c r="BH28" i="3"/>
  <c r="O71" i="2"/>
  <c r="O169" i="2"/>
  <c r="M17" i="9"/>
  <c r="O139" i="2"/>
  <c r="BH139" i="3" s="1"/>
  <c r="BH402" i="3"/>
  <c r="O411" i="2"/>
  <c r="BI377" i="3"/>
  <c r="P381" i="2"/>
  <c r="BI381" i="3" s="1"/>
  <c r="P496" i="2"/>
  <c r="BI493" i="3"/>
  <c r="O408" i="2"/>
  <c r="BH399" i="3"/>
  <c r="O403" i="2"/>
  <c r="BH403" i="3" s="1"/>
  <c r="BI317" i="3"/>
  <c r="P319" i="2"/>
  <c r="BI319" i="3" s="1"/>
  <c r="R171" i="3"/>
  <c r="R182" i="3" s="1"/>
  <c r="R192" i="3"/>
  <c r="S319" i="3"/>
  <c r="R387" i="5"/>
  <c r="R412" i="3"/>
  <c r="R413" i="3" s="1"/>
  <c r="R415" i="3"/>
  <c r="R419" i="3" s="1"/>
  <c r="R420" i="3" s="1"/>
  <c r="S362" i="3"/>
  <c r="U455" i="3"/>
  <c r="U292" i="3"/>
  <c r="AP71" i="9"/>
  <c r="R481" i="3"/>
  <c r="S440" i="3"/>
  <c r="P69" i="9"/>
  <c r="S439" i="3"/>
  <c r="N69" i="9"/>
  <c r="V316" i="3"/>
  <c r="W89" i="3"/>
  <c r="V91" i="3"/>
  <c r="BI496" i="3" l="1"/>
  <c r="P497" i="2"/>
  <c r="BH169" i="3"/>
  <c r="N354" i="1"/>
  <c r="BH409" i="3"/>
  <c r="O416" i="2"/>
  <c r="BH416" i="3" s="1"/>
  <c r="O386" i="5"/>
  <c r="O388" i="5" s="1"/>
  <c r="N368" i="1"/>
  <c r="BH71" i="3"/>
  <c r="O391" i="5"/>
  <c r="O395" i="5" s="1"/>
  <c r="O394" i="5"/>
  <c r="BH408" i="3"/>
  <c r="O412" i="2"/>
  <c r="BH412" i="3" s="1"/>
  <c r="O415" i="2"/>
  <c r="O444" i="2"/>
  <c r="BH444" i="3" s="1"/>
  <c r="BH438" i="3"/>
  <c r="O417" i="2"/>
  <c r="BH410" i="3"/>
  <c r="BH411" i="3"/>
  <c r="O418" i="2"/>
  <c r="BH418" i="3" s="1"/>
  <c r="W17" i="9"/>
  <c r="M113" i="9"/>
  <c r="BH478" i="3"/>
  <c r="O480" i="2"/>
  <c r="R207" i="3"/>
  <c r="R212" i="3" s="1"/>
  <c r="R153" i="3"/>
  <c r="R154" i="3" s="1"/>
  <c r="R156" i="3" s="1"/>
  <c r="W316" i="3"/>
  <c r="X89" i="3"/>
  <c r="W91" i="3"/>
  <c r="V455" i="3"/>
  <c r="V292" i="3"/>
  <c r="AP72" i="9"/>
  <c r="R482" i="3"/>
  <c r="W113" i="9" l="1"/>
  <c r="O413" i="2"/>
  <c r="O170" i="2"/>
  <c r="BH417" i="3"/>
  <c r="BH480" i="3"/>
  <c r="O481" i="2"/>
  <c r="BI497" i="3"/>
  <c r="P498" i="2"/>
  <c r="BI498" i="3" s="1"/>
  <c r="BH415" i="3"/>
  <c r="O419" i="2"/>
  <c r="BH419" i="3" s="1"/>
  <c r="W455" i="3"/>
  <c r="W292" i="3"/>
  <c r="AP73" i="9"/>
  <c r="R225" i="3"/>
  <c r="R218" i="3"/>
  <c r="R159" i="3"/>
  <c r="R160" i="3" s="1"/>
  <c r="R161" i="3" s="1"/>
  <c r="R158" i="3"/>
  <c r="R162" i="3" s="1"/>
  <c r="X316" i="3"/>
  <c r="Y89" i="3"/>
  <c r="X91" i="3"/>
  <c r="O420" i="2" l="1"/>
  <c r="BH420" i="3" s="1"/>
  <c r="BH481" i="3"/>
  <c r="O482" i="2"/>
  <c r="BH482" i="3" s="1"/>
  <c r="O268" i="2"/>
  <c r="BH268" i="3" s="1"/>
  <c r="N355" i="1"/>
  <c r="O210" i="2"/>
  <c r="BH170" i="3"/>
  <c r="O192" i="2"/>
  <c r="O171" i="2"/>
  <c r="O182" i="2" s="1"/>
  <c r="X455" i="3"/>
  <c r="X292" i="3"/>
  <c r="AP74" i="9"/>
  <c r="R163" i="3"/>
  <c r="R165" i="3" s="1"/>
  <c r="R267" i="3" s="1"/>
  <c r="Y316" i="3"/>
  <c r="Z89" i="3"/>
  <c r="Y91" i="3"/>
  <c r="R222" i="3"/>
  <c r="R221" i="3"/>
  <c r="R220" i="3"/>
  <c r="BH192" i="3" l="1"/>
  <c r="N366" i="1"/>
  <c r="BH182" i="3"/>
  <c r="O207" i="2"/>
  <c r="O153" i="2"/>
  <c r="N380" i="1"/>
  <c r="BH210" i="3"/>
  <c r="BH171" i="3"/>
  <c r="N356" i="1"/>
  <c r="N361" i="1" s="1"/>
  <c r="R166" i="3"/>
  <c r="R183" i="3"/>
  <c r="R184" i="3" s="1"/>
  <c r="R139" i="5"/>
  <c r="R223" i="3"/>
  <c r="R227" i="3" s="1"/>
  <c r="Y455" i="3"/>
  <c r="Y292" i="3"/>
  <c r="AP75" i="9"/>
  <c r="Z316" i="3"/>
  <c r="AA89" i="3"/>
  <c r="Z91" i="3"/>
  <c r="BH207" i="3" l="1"/>
  <c r="O212" i="2"/>
  <c r="BH153" i="3"/>
  <c r="O154" i="2"/>
  <c r="R334" i="5"/>
  <c r="R228" i="3"/>
  <c r="R95" i="4"/>
  <c r="R266" i="3"/>
  <c r="R270" i="3" s="1"/>
  <c r="R191" i="3"/>
  <c r="R193" i="3" s="1"/>
  <c r="R330" i="5"/>
  <c r="R398" i="5"/>
  <c r="AA316" i="3"/>
  <c r="AB89" i="3"/>
  <c r="AA91" i="3"/>
  <c r="Z455" i="3"/>
  <c r="Z292" i="3"/>
  <c r="AP76" i="9"/>
  <c r="O156" i="2" l="1"/>
  <c r="BH154" i="3"/>
  <c r="BH212" i="3"/>
  <c r="O225" i="2"/>
  <c r="BH225" i="3" s="1"/>
  <c r="O218" i="2"/>
  <c r="R64" i="4"/>
  <c r="T65" i="4" s="1"/>
  <c r="R331" i="5"/>
  <c r="AB316" i="3"/>
  <c r="AC89" i="3"/>
  <c r="AB91" i="3"/>
  <c r="AA455" i="3"/>
  <c r="AA292" i="3"/>
  <c r="AP77" i="9"/>
  <c r="R198" i="3"/>
  <c r="R200" i="3"/>
  <c r="R196" i="3"/>
  <c r="R201" i="3"/>
  <c r="R195" i="3"/>
  <c r="R199" i="3"/>
  <c r="R197" i="3"/>
  <c r="O222" i="2" l="1"/>
  <c r="BH222" i="3" s="1"/>
  <c r="O221" i="2"/>
  <c r="BH221" i="3" s="1"/>
  <c r="O220" i="2"/>
  <c r="BH218" i="3"/>
  <c r="O158" i="2"/>
  <c r="BH156" i="3"/>
  <c r="O159" i="2"/>
  <c r="R323" i="4"/>
  <c r="BU270" i="1"/>
  <c r="P317" i="1"/>
  <c r="R322" i="4"/>
  <c r="O317" i="1"/>
  <c r="BT270" i="1"/>
  <c r="R325" i="4"/>
  <c r="BW270" i="1"/>
  <c r="R317" i="1"/>
  <c r="R326" i="4"/>
  <c r="S317" i="1"/>
  <c r="BX270" i="1"/>
  <c r="R321" i="4"/>
  <c r="R202" i="3"/>
  <c r="BS270" i="1"/>
  <c r="N317" i="1"/>
  <c r="AB455" i="3"/>
  <c r="AB292" i="3"/>
  <c r="AP78" i="9"/>
  <c r="R204" i="3"/>
  <c r="R515" i="3" s="1"/>
  <c r="T317" i="1"/>
  <c r="R324" i="4"/>
  <c r="Q317" i="1"/>
  <c r="BV270" i="1"/>
  <c r="AC316" i="3"/>
  <c r="AD89" i="3"/>
  <c r="AC91" i="3"/>
  <c r="T70" i="4"/>
  <c r="T71" i="4"/>
  <c r="T68" i="4"/>
  <c r="T67" i="4"/>
  <c r="T69" i="4"/>
  <c r="BH159" i="3" l="1"/>
  <c r="O160" i="2"/>
  <c r="BH220" i="3"/>
  <c r="O223" i="2"/>
  <c r="BH158" i="3"/>
  <c r="O162" i="2"/>
  <c r="BH162" i="3" s="1"/>
  <c r="T72" i="4"/>
  <c r="AC455" i="3"/>
  <c r="AC292" i="3"/>
  <c r="AP79" i="9"/>
  <c r="M317" i="1"/>
  <c r="U317" i="1" s="1"/>
  <c r="BM270" i="1"/>
  <c r="T270" i="1"/>
  <c r="AD316" i="3"/>
  <c r="AE89" i="3"/>
  <c r="AD91" i="3"/>
  <c r="V270" i="1"/>
  <c r="BO270" i="1"/>
  <c r="BP270" i="1"/>
  <c r="W270" i="1"/>
  <c r="R484" i="3"/>
  <c r="R485" i="3" s="1"/>
  <c r="R422" i="3"/>
  <c r="R424" i="3" s="1"/>
  <c r="R145" i="3"/>
  <c r="R332" i="5"/>
  <c r="R203" i="3"/>
  <c r="BQ270" i="1"/>
  <c r="X270" i="1"/>
  <c r="S270" i="1"/>
  <c r="BL270" i="1"/>
  <c r="BN270" i="1"/>
  <c r="U270" i="1"/>
  <c r="T74" i="4" l="1"/>
  <c r="T272" i="3"/>
  <c r="O227" i="2"/>
  <c r="BH223" i="3"/>
  <c r="BH160" i="3"/>
  <c r="O161" i="2"/>
  <c r="R425" i="3"/>
  <c r="R270" i="1"/>
  <c r="BK270" i="1"/>
  <c r="R333" i="5"/>
  <c r="R516" i="3"/>
  <c r="AD455" i="3"/>
  <c r="AD292" i="3"/>
  <c r="AP80" i="9"/>
  <c r="AE316" i="3"/>
  <c r="AF89" i="3"/>
  <c r="AE91" i="3"/>
  <c r="S302" i="3"/>
  <c r="R244" i="3"/>
  <c r="R245" i="3" s="1"/>
  <c r="R260" i="3" s="1"/>
  <c r="R146" i="3"/>
  <c r="R129" i="5" s="1"/>
  <c r="R197" i="5"/>
  <c r="R198" i="5" s="1"/>
  <c r="R199" i="5" s="1"/>
  <c r="R200" i="5" s="1"/>
  <c r="Z68" i="9"/>
  <c r="AJ68" i="9" s="1"/>
  <c r="AL68" i="9" s="1"/>
  <c r="R148" i="3"/>
  <c r="R229" i="3"/>
  <c r="R335" i="5" s="1"/>
  <c r="T73" i="4"/>
  <c r="BH161" i="3" l="1"/>
  <c r="O163" i="2"/>
  <c r="BH227" i="3"/>
  <c r="N371" i="1"/>
  <c r="N393" i="1"/>
  <c r="O89" i="5"/>
  <c r="O345" i="5" s="1"/>
  <c r="N385" i="1"/>
  <c r="O228" i="2"/>
  <c r="BH228" i="3" s="1"/>
  <c r="S8" i="3"/>
  <c r="R248" i="3"/>
  <c r="AF316" i="3"/>
  <c r="AG89" i="3"/>
  <c r="AF91" i="3"/>
  <c r="AE455" i="3"/>
  <c r="AE292" i="3"/>
  <c r="AP81" i="9"/>
  <c r="BH163" i="3" l="1"/>
  <c r="O165" i="2"/>
  <c r="O267" i="2" s="1"/>
  <c r="AG316" i="3"/>
  <c r="AH89" i="3"/>
  <c r="AG91" i="3"/>
  <c r="R486" i="3"/>
  <c r="S447" i="3"/>
  <c r="S450" i="3"/>
  <c r="S390" i="3"/>
  <c r="S84" i="3"/>
  <c r="S20" i="3"/>
  <c r="S19" i="3"/>
  <c r="S373" i="5"/>
  <c r="F69" i="9"/>
  <c r="K69" i="9" s="1"/>
  <c r="AF455" i="3"/>
  <c r="AF292" i="3"/>
  <c r="AP82" i="9"/>
  <c r="R259" i="3"/>
  <c r="R369" i="5" s="1"/>
  <c r="BT68" i="9"/>
  <c r="BY68" i="9" s="1"/>
  <c r="O166" i="2" l="1"/>
  <c r="BH166" i="3" s="1"/>
  <c r="O183" i="2"/>
  <c r="BH165" i="3"/>
  <c r="O112" i="5"/>
  <c r="O140" i="5" s="1"/>
  <c r="BH267" i="3"/>
  <c r="S238" i="3"/>
  <c r="S195" i="5"/>
  <c r="S85" i="3"/>
  <c r="S232" i="3"/>
  <c r="R261" i="3"/>
  <c r="R262" i="3" s="1"/>
  <c r="S190" i="5"/>
  <c r="S365" i="5"/>
  <c r="S393" i="3"/>
  <c r="S391" i="3"/>
  <c r="S394" i="3"/>
  <c r="S392" i="3"/>
  <c r="AG455" i="3"/>
  <c r="AG292" i="3"/>
  <c r="AP83" i="9"/>
  <c r="AH316" i="3"/>
  <c r="AI89" i="3"/>
  <c r="AH91" i="3"/>
  <c r="R393" i="5"/>
  <c r="N375" i="1" l="1"/>
  <c r="O184" i="2"/>
  <c r="BH183" i="3"/>
  <c r="N363" i="1"/>
  <c r="N364" i="1" s="1"/>
  <c r="AH455" i="3"/>
  <c r="AH292" i="3"/>
  <c r="AP84" i="9"/>
  <c r="S240" i="3"/>
  <c r="AD69" i="9"/>
  <c r="AI316" i="3"/>
  <c r="AJ89" i="3"/>
  <c r="AI91" i="3"/>
  <c r="S395" i="3"/>
  <c r="S470" i="3"/>
  <c r="S290" i="3"/>
  <c r="S287" i="3"/>
  <c r="N374" i="1" l="1"/>
  <c r="N377" i="1" s="1"/>
  <c r="N382" i="1" s="1"/>
  <c r="N384" i="1" s="1"/>
  <c r="N386" i="1" s="1"/>
  <c r="N367" i="1"/>
  <c r="O266" i="2"/>
  <c r="O191" i="2"/>
  <c r="O94" i="4"/>
  <c r="O85" i="5"/>
  <c r="O342" i="5" s="1"/>
  <c r="BH184" i="3"/>
  <c r="O397" i="5"/>
  <c r="O399" i="5"/>
  <c r="S303" i="3"/>
  <c r="AJ316" i="3"/>
  <c r="AK89" i="3"/>
  <c r="AJ91" i="3"/>
  <c r="S396" i="3"/>
  <c r="S405" i="3"/>
  <c r="AI455" i="3"/>
  <c r="AI292" i="3"/>
  <c r="AP85" i="9"/>
  <c r="AI69" i="9"/>
  <c r="S95" i="3" l="1"/>
  <c r="S249" i="3" s="1"/>
  <c r="O271" i="2"/>
  <c r="O86" i="4" s="1"/>
  <c r="O270" i="2"/>
  <c r="BH191" i="3"/>
  <c r="O193" i="2"/>
  <c r="BH266" i="3"/>
  <c r="AJ455" i="3"/>
  <c r="AJ292" i="3"/>
  <c r="AP86" i="9"/>
  <c r="AK316" i="3"/>
  <c r="AL89" i="3"/>
  <c r="AK91" i="3"/>
  <c r="S103" i="3" l="1"/>
  <c r="T9" i="3"/>
  <c r="AQ69" i="9"/>
  <c r="AT69" i="9" s="1"/>
  <c r="S320" i="3"/>
  <c r="S321" i="3" s="1"/>
  <c r="T306" i="3" s="1"/>
  <c r="S457" i="3"/>
  <c r="O86" i="5"/>
  <c r="O343" i="5" s="1"/>
  <c r="O32" i="4"/>
  <c r="Q33" i="4" s="1"/>
  <c r="BH270" i="3"/>
  <c r="O201" i="2"/>
  <c r="O199" i="2"/>
  <c r="O200" i="2"/>
  <c r="O198" i="2"/>
  <c r="O197" i="2"/>
  <c r="O195" i="2"/>
  <c r="BH193" i="3"/>
  <c r="O196" i="2"/>
  <c r="T489" i="3"/>
  <c r="T96" i="3"/>
  <c r="L124" i="1"/>
  <c r="T92" i="3"/>
  <c r="T94" i="3" s="1"/>
  <c r="AL316" i="3"/>
  <c r="AM89" i="3"/>
  <c r="AL91" i="3"/>
  <c r="S461" i="3"/>
  <c r="S331" i="3"/>
  <c r="S332" i="3" s="1"/>
  <c r="T324" i="3" s="1"/>
  <c r="AW69" i="9"/>
  <c r="AY69" i="9" s="1"/>
  <c r="S501" i="3"/>
  <c r="S503" i="3" s="1"/>
  <c r="S505" i="3" s="1"/>
  <c r="S506" i="3" s="1"/>
  <c r="S250" i="3"/>
  <c r="S251" i="3" s="1"/>
  <c r="BU69" i="9" s="1"/>
  <c r="T10" i="3"/>
  <c r="S116" i="3"/>
  <c r="S117" i="3" s="1"/>
  <c r="AK455" i="3"/>
  <c r="AK292" i="3"/>
  <c r="AP87" i="9"/>
  <c r="S175" i="3"/>
  <c r="S281" i="3" s="1"/>
  <c r="E314" i="1" l="1"/>
  <c r="BH196" i="3"/>
  <c r="O314" i="4"/>
  <c r="L267" i="1" s="1"/>
  <c r="G314" i="1"/>
  <c r="BH198" i="3"/>
  <c r="O316" i="4"/>
  <c r="N267" i="1" s="1"/>
  <c r="BH200" i="3"/>
  <c r="I314" i="1"/>
  <c r="O318" i="4"/>
  <c r="P267" i="1" s="1"/>
  <c r="Q58" i="4"/>
  <c r="Q55" i="4"/>
  <c r="Q54" i="4"/>
  <c r="Q57" i="4"/>
  <c r="Q56" i="4"/>
  <c r="BH195" i="3"/>
  <c r="O202" i="2"/>
  <c r="D314" i="1"/>
  <c r="O313" i="4"/>
  <c r="K267" i="1" s="1"/>
  <c r="O317" i="4"/>
  <c r="O267" i="1" s="1"/>
  <c r="BH199" i="3"/>
  <c r="H314" i="1"/>
  <c r="O315" i="4"/>
  <c r="M267" i="1" s="1"/>
  <c r="BH197" i="3"/>
  <c r="F314" i="1"/>
  <c r="O204" i="2"/>
  <c r="J314" i="1"/>
  <c r="BH201" i="3"/>
  <c r="T456" i="3"/>
  <c r="T308" i="3"/>
  <c r="T293" i="3"/>
  <c r="T405" i="5"/>
  <c r="T406" i="5" s="1"/>
  <c r="T380" i="5"/>
  <c r="AN70" i="9"/>
  <c r="T491" i="3"/>
  <c r="T493" i="3" s="1"/>
  <c r="T494" i="3" s="1"/>
  <c r="T310" i="3"/>
  <c r="AE70" i="9"/>
  <c r="AR70" i="9"/>
  <c r="T100" i="3"/>
  <c r="T102" i="3" s="1"/>
  <c r="T382" i="5" s="1"/>
  <c r="T29" i="3"/>
  <c r="AL455" i="3"/>
  <c r="AL292" i="3"/>
  <c r="AP88" i="9"/>
  <c r="T11" i="3"/>
  <c r="G70" i="9" s="1"/>
  <c r="S348" i="3"/>
  <c r="S350" i="3" s="1"/>
  <c r="T336" i="3" s="1"/>
  <c r="BF69" i="9"/>
  <c r="BG69" i="9" s="1"/>
  <c r="S508" i="3"/>
  <c r="S510" i="3" s="1"/>
  <c r="S512" i="3" s="1"/>
  <c r="S513" i="3" s="1"/>
  <c r="T13" i="3"/>
  <c r="S253" i="3"/>
  <c r="S347" i="3"/>
  <c r="S349" i="3" s="1"/>
  <c r="T335" i="3" s="1"/>
  <c r="S118" i="3"/>
  <c r="S126" i="3" s="1"/>
  <c r="BB69" i="9"/>
  <c r="BC69" i="9" s="1"/>
  <c r="T12" i="3"/>
  <c r="S252" i="3"/>
  <c r="AM316" i="3"/>
  <c r="AN89" i="3"/>
  <c r="AM91" i="3"/>
  <c r="U93" i="3"/>
  <c r="O422" i="2" l="1"/>
  <c r="N370" i="1"/>
  <c r="N372" i="1" s="1"/>
  <c r="O484" i="2"/>
  <c r="O145" i="2"/>
  <c r="BH202" i="3"/>
  <c r="O87" i="5"/>
  <c r="O344" i="5" s="1"/>
  <c r="O203" i="2"/>
  <c r="Q59" i="4"/>
  <c r="O515" i="2"/>
  <c r="BH515" i="3" s="1"/>
  <c r="BH204" i="3"/>
  <c r="N394" i="1"/>
  <c r="C314" i="1"/>
  <c r="K314" i="1" s="1"/>
  <c r="S254" i="3"/>
  <c r="BV69" i="9" s="1"/>
  <c r="T339" i="3"/>
  <c r="AM455" i="3"/>
  <c r="AM292" i="3"/>
  <c r="AP89" i="9"/>
  <c r="T176" i="3"/>
  <c r="AN316" i="3"/>
  <c r="AO89" i="3"/>
  <c r="AN91" i="3"/>
  <c r="S464" i="3"/>
  <c r="S177" i="3"/>
  <c r="S282" i="3" s="1"/>
  <c r="S284" i="3" s="1"/>
  <c r="T111" i="3"/>
  <c r="T33" i="3" s="1"/>
  <c r="T496" i="3"/>
  <c r="T497" i="3" s="1"/>
  <c r="T498" i="3" s="1"/>
  <c r="T317" i="3"/>
  <c r="T319" i="3" s="1"/>
  <c r="T309" i="3"/>
  <c r="T14" i="3"/>
  <c r="H70" i="9" s="1"/>
  <c r="T32" i="3"/>
  <c r="T502" i="3"/>
  <c r="T460" i="3"/>
  <c r="T296" i="3"/>
  <c r="T326" i="3"/>
  <c r="T381" i="5"/>
  <c r="AU70" i="9"/>
  <c r="T408" i="5"/>
  <c r="Q61" i="4" l="1"/>
  <c r="Q272" i="2"/>
  <c r="Q60" i="4"/>
  <c r="O146" i="2"/>
  <c r="O229" i="2"/>
  <c r="P302" i="2"/>
  <c r="BI302" i="3" s="1"/>
  <c r="BH145" i="3"/>
  <c r="Z17" i="9"/>
  <c r="O244" i="2"/>
  <c r="O17" i="5"/>
  <c r="O148" i="2"/>
  <c r="BH203" i="3"/>
  <c r="J267" i="1"/>
  <c r="O88" i="5"/>
  <c r="O516" i="2"/>
  <c r="BH484" i="3"/>
  <c r="O485" i="2"/>
  <c r="O424" i="2"/>
  <c r="BH424" i="3" s="1"/>
  <c r="BH422" i="3"/>
  <c r="T344" i="3"/>
  <c r="AN455" i="3"/>
  <c r="AN292" i="3"/>
  <c r="AP90" i="9"/>
  <c r="S467" i="3"/>
  <c r="S474" i="3" s="1"/>
  <c r="S363" i="3"/>
  <c r="S364" i="3" s="1"/>
  <c r="T353" i="3" s="1"/>
  <c r="BI69" i="9"/>
  <c r="BL69" i="9" s="1"/>
  <c r="BR69" i="9" s="1"/>
  <c r="S255" i="3"/>
  <c r="S257" i="3" s="1"/>
  <c r="BW69" i="9" s="1"/>
  <c r="T15" i="3"/>
  <c r="AO316" i="3"/>
  <c r="AP89" i="3"/>
  <c r="AO91" i="3"/>
  <c r="T327" i="3"/>
  <c r="T99" i="3" s="1"/>
  <c r="T343" i="3"/>
  <c r="T345" i="3" s="1"/>
  <c r="T34" i="3"/>
  <c r="O70" i="9" s="1"/>
  <c r="T509" i="3"/>
  <c r="T338" i="3"/>
  <c r="BD70" i="9"/>
  <c r="T112" i="3"/>
  <c r="S472" i="3" l="1"/>
  <c r="S28" i="3" s="1"/>
  <c r="AJ17" i="9"/>
  <c r="AL17" i="9" s="1"/>
  <c r="Z113" i="9"/>
  <c r="O109" i="5"/>
  <c r="BH146" i="3"/>
  <c r="BH516" i="3"/>
  <c r="O384" i="5"/>
  <c r="P8" i="2"/>
  <c r="BH148" i="3"/>
  <c r="O248" i="2"/>
  <c r="O213" i="5"/>
  <c r="O18" i="5"/>
  <c r="BH485" i="3"/>
  <c r="O425" i="2"/>
  <c r="BH425" i="3" s="1"/>
  <c r="BH244" i="3"/>
  <c r="O245" i="2"/>
  <c r="BH229" i="3"/>
  <c r="O90" i="5"/>
  <c r="O346" i="5" s="1"/>
  <c r="T346" i="3"/>
  <c r="T340" i="3"/>
  <c r="T127" i="3"/>
  <c r="T17" i="3"/>
  <c r="I70" i="9" s="1"/>
  <c r="L125" i="1"/>
  <c r="T35" i="3"/>
  <c r="S476" i="3"/>
  <c r="S478" i="3" s="1"/>
  <c r="AO455" i="3"/>
  <c r="AO292" i="3"/>
  <c r="AP91" i="9"/>
  <c r="T463" i="3"/>
  <c r="T297" i="3"/>
  <c r="T178" i="3"/>
  <c r="AP316" i="3"/>
  <c r="AQ89" i="3"/>
  <c r="AP91" i="3"/>
  <c r="T459" i="3"/>
  <c r="T328" i="3"/>
  <c r="T295" i="3"/>
  <c r="AV70" i="9"/>
  <c r="U101" i="3"/>
  <c r="T30" i="3"/>
  <c r="S399" i="3" l="1"/>
  <c r="S400" i="3"/>
  <c r="S409" i="3" s="1"/>
  <c r="S416" i="3" s="1"/>
  <c r="S401" i="3"/>
  <c r="S410" i="3" s="1"/>
  <c r="S417" i="3" s="1"/>
  <c r="S170" i="3" s="1"/>
  <c r="S268" i="3" s="1"/>
  <c r="S402" i="3"/>
  <c r="S411" i="3" s="1"/>
  <c r="S418" i="3" s="1"/>
  <c r="BH245" i="3"/>
  <c r="O260" i="2"/>
  <c r="N373" i="1"/>
  <c r="O19" i="5"/>
  <c r="O214" i="5"/>
  <c r="P19" i="2"/>
  <c r="F18" i="9"/>
  <c r="P450" i="2"/>
  <c r="BI450" i="3" s="1"/>
  <c r="P372" i="5"/>
  <c r="P374" i="5" s="1"/>
  <c r="BI8" i="3"/>
  <c r="P447" i="2"/>
  <c r="BI447" i="3" s="1"/>
  <c r="O389" i="1"/>
  <c r="O486" i="2"/>
  <c r="BH486" i="3" s="1"/>
  <c r="I268" i="1"/>
  <c r="P390" i="2"/>
  <c r="P20" i="2"/>
  <c r="P84" i="2"/>
  <c r="BH248" i="3"/>
  <c r="O259" i="2"/>
  <c r="BT17" i="9"/>
  <c r="AJ113" i="9"/>
  <c r="AL113" i="9"/>
  <c r="AQ316" i="3"/>
  <c r="AR89" i="3"/>
  <c r="AQ91" i="3"/>
  <c r="T361" i="3"/>
  <c r="BM361" i="3" s="1"/>
  <c r="T37" i="3"/>
  <c r="T355" i="3"/>
  <c r="BK70" i="9"/>
  <c r="AG70" i="9"/>
  <c r="T329" i="3"/>
  <c r="T330" i="3" s="1"/>
  <c r="T31" i="3"/>
  <c r="S408" i="3"/>
  <c r="S438" i="3"/>
  <c r="S444" i="3" s="1"/>
  <c r="S169" i="3"/>
  <c r="S241" i="3"/>
  <c r="S139" i="3"/>
  <c r="S71" i="3"/>
  <c r="S191" i="5"/>
  <c r="M69" i="9"/>
  <c r="W69" i="9" s="1"/>
  <c r="S392" i="5"/>
  <c r="S480" i="3"/>
  <c r="AP455" i="3"/>
  <c r="AP292" i="3"/>
  <c r="AP92" i="9"/>
  <c r="S210" i="3" l="1"/>
  <c r="S403" i="3"/>
  <c r="BT113" i="9"/>
  <c r="BY17" i="9"/>
  <c r="BY113" i="9" s="1"/>
  <c r="P393" i="2"/>
  <c r="BI393" i="3" s="1"/>
  <c r="P391" i="2"/>
  <c r="P394" i="2"/>
  <c r="BI394" i="3" s="1"/>
  <c r="BI390" i="3"/>
  <c r="P392" i="2"/>
  <c r="BI392" i="3" s="1"/>
  <c r="F114" i="9"/>
  <c r="K18" i="9"/>
  <c r="BH259" i="3"/>
  <c r="O368" i="5"/>
  <c r="O370" i="5" s="1"/>
  <c r="O144" i="5" s="1"/>
  <c r="P364" i="5"/>
  <c r="P366" i="5" s="1"/>
  <c r="P232" i="2"/>
  <c r="BI232" i="3" s="1"/>
  <c r="P10" i="5"/>
  <c r="P206" i="5" s="1"/>
  <c r="O261" i="2"/>
  <c r="BH261" i="3" s="1"/>
  <c r="BI19" i="3"/>
  <c r="BH260" i="3"/>
  <c r="BI84" i="3"/>
  <c r="P238" i="2"/>
  <c r="P85" i="2"/>
  <c r="P15" i="5"/>
  <c r="P212" i="5" s="1"/>
  <c r="O20" i="5"/>
  <c r="O215" i="5"/>
  <c r="S415" i="3"/>
  <c r="S419" i="3" s="1"/>
  <c r="S420" i="3" s="1"/>
  <c r="S412" i="3"/>
  <c r="S413" i="3" s="1"/>
  <c r="T439" i="3"/>
  <c r="N70" i="9"/>
  <c r="S192" i="3"/>
  <c r="S171" i="3"/>
  <c r="S182" i="3" s="1"/>
  <c r="T362" i="3"/>
  <c r="AQ455" i="3"/>
  <c r="AQ292" i="3"/>
  <c r="AP93" i="9"/>
  <c r="S387" i="5"/>
  <c r="T440" i="3"/>
  <c r="P70" i="9"/>
  <c r="AR316" i="3"/>
  <c r="AS89" i="3"/>
  <c r="AR91" i="3"/>
  <c r="S481" i="3"/>
  <c r="K114" i="9" l="1"/>
  <c r="O262" i="2"/>
  <c r="BI391" i="3"/>
  <c r="P395" i="2"/>
  <c r="P290" i="2"/>
  <c r="BI290" i="3" s="1"/>
  <c r="P470" i="2"/>
  <c r="BI470" i="3" s="1"/>
  <c r="BI85" i="3"/>
  <c r="P287" i="2"/>
  <c r="P240" i="2"/>
  <c r="BI238" i="3"/>
  <c r="AD18" i="9"/>
  <c r="AD114" i="9" s="1"/>
  <c r="S482" i="3"/>
  <c r="AR455" i="3"/>
  <c r="AR292" i="3"/>
  <c r="AP94" i="9"/>
  <c r="S207" i="3"/>
  <c r="S212" i="3" s="1"/>
  <c r="S153" i="3"/>
  <c r="S154" i="3" s="1"/>
  <c r="S156" i="3" s="1"/>
  <c r="AS316" i="3"/>
  <c r="E316" i="3" s="1"/>
  <c r="E89" i="3"/>
  <c r="AS91" i="3"/>
  <c r="BI240" i="3" l="1"/>
  <c r="AI18" i="9"/>
  <c r="AI114" i="9" s="1"/>
  <c r="BI287" i="3"/>
  <c r="P303" i="2"/>
  <c r="BI395" i="3"/>
  <c r="P405" i="2"/>
  <c r="BI405" i="3" s="1"/>
  <c r="P396" i="2"/>
  <c r="BI396" i="3" s="1"/>
  <c r="AU89" i="2"/>
  <c r="AU316" i="2"/>
  <c r="S158" i="3"/>
  <c r="S162" i="3" s="1"/>
  <c r="S159" i="3"/>
  <c r="S160" i="3" s="1"/>
  <c r="S161" i="3" s="1"/>
  <c r="AS292" i="3"/>
  <c r="E292" i="3" s="1"/>
  <c r="AS455" i="3"/>
  <c r="AP95" i="9"/>
  <c r="E91" i="3"/>
  <c r="S225" i="3"/>
  <c r="S218" i="3"/>
  <c r="BI303" i="3" l="1"/>
  <c r="P95" i="2"/>
  <c r="S163" i="3"/>
  <c r="S165" i="3" s="1"/>
  <c r="E455" i="3"/>
  <c r="AU91" i="2"/>
  <c r="AU292" i="2"/>
  <c r="S222" i="3"/>
  <c r="S221" i="3"/>
  <c r="S220" i="3"/>
  <c r="AP96" i="9"/>
  <c r="S183" i="3" l="1"/>
  <c r="S184" i="3" s="1"/>
  <c r="S267" i="3"/>
  <c r="S139" i="5"/>
  <c r="BI95" i="3"/>
  <c r="P249" i="2"/>
  <c r="Q9" i="2"/>
  <c r="P457" i="2"/>
  <c r="AQ18" i="9"/>
  <c r="P320" i="2"/>
  <c r="P103" i="2"/>
  <c r="P175" i="2" s="1"/>
  <c r="S166" i="3"/>
  <c r="S223" i="3"/>
  <c r="S227" i="3" s="1"/>
  <c r="S95" i="4"/>
  <c r="S266" i="3"/>
  <c r="S270" i="3" s="1"/>
  <c r="S330" i="5"/>
  <c r="S191" i="3"/>
  <c r="S193" i="3" s="1"/>
  <c r="S398" i="5"/>
  <c r="S331" i="5" l="1"/>
  <c r="P116" i="2"/>
  <c r="P461" i="2"/>
  <c r="BI461" i="3" s="1"/>
  <c r="Q10" i="2"/>
  <c r="Q11" i="2" s="1"/>
  <c r="P331" i="2"/>
  <c r="AW18" i="9"/>
  <c r="BI103" i="3"/>
  <c r="P501" i="2"/>
  <c r="P250" i="2"/>
  <c r="BI250" i="3" s="1"/>
  <c r="BI457" i="3"/>
  <c r="BI175" i="3"/>
  <c r="P281" i="2"/>
  <c r="Q92" i="2"/>
  <c r="Q96" i="2"/>
  <c r="BJ9" i="3"/>
  <c r="Q489" i="2"/>
  <c r="BJ489" i="3" s="1"/>
  <c r="BI320" i="3"/>
  <c r="P321" i="2"/>
  <c r="BI249" i="3"/>
  <c r="AQ114" i="9"/>
  <c r="AT18" i="9"/>
  <c r="S201" i="3"/>
  <c r="S197" i="3"/>
  <c r="S199" i="3"/>
  <c r="S195" i="3"/>
  <c r="S196" i="3"/>
  <c r="S200" i="3"/>
  <c r="S198" i="3"/>
  <c r="S334" i="5"/>
  <c r="S228" i="3"/>
  <c r="S64" i="4" l="1"/>
  <c r="U65" i="4" s="1"/>
  <c r="P251" i="2"/>
  <c r="BI251" i="3" s="1"/>
  <c r="BI331" i="3"/>
  <c r="P332" i="2"/>
  <c r="AR19" i="9"/>
  <c r="AR115" i="9" s="1"/>
  <c r="AE19" i="9"/>
  <c r="AE115" i="9" s="1"/>
  <c r="BJ96" i="3"/>
  <c r="Q310" i="2"/>
  <c r="BJ310" i="3" s="1"/>
  <c r="BI501" i="3"/>
  <c r="P503" i="2"/>
  <c r="BJ10" i="3"/>
  <c r="Q100" i="2"/>
  <c r="AT114" i="9"/>
  <c r="BJ11" i="3"/>
  <c r="G19" i="9"/>
  <c r="G115" i="9" s="1"/>
  <c r="BJ92" i="3"/>
  <c r="Q94" i="2"/>
  <c r="H268" i="1"/>
  <c r="BI321" i="3"/>
  <c r="Q306" i="2"/>
  <c r="BI281" i="3"/>
  <c r="AW114" i="9"/>
  <c r="AY18" i="9"/>
  <c r="AY114" i="9" s="1"/>
  <c r="BB18" i="9"/>
  <c r="Q12" i="2"/>
  <c r="P347" i="2"/>
  <c r="P252" i="2"/>
  <c r="BI116" i="3"/>
  <c r="P117" i="2"/>
  <c r="S321" i="4"/>
  <c r="S202" i="3"/>
  <c r="N318" i="1"/>
  <c r="BS271" i="1"/>
  <c r="S326" i="4"/>
  <c r="S318" i="1"/>
  <c r="BX271" i="1"/>
  <c r="S325" i="4"/>
  <c r="BW271" i="1"/>
  <c r="R318" i="1"/>
  <c r="S324" i="4"/>
  <c r="BV271" i="1"/>
  <c r="Q318" i="1"/>
  <c r="S323" i="4"/>
  <c r="P318" i="1"/>
  <c r="BU271" i="1"/>
  <c r="S322" i="4"/>
  <c r="O318" i="1"/>
  <c r="BT271" i="1"/>
  <c r="S204" i="3"/>
  <c r="S515" i="3" s="1"/>
  <c r="T318" i="1"/>
  <c r="U69" i="4"/>
  <c r="U68" i="4"/>
  <c r="U67" i="4"/>
  <c r="U70" i="4"/>
  <c r="U71" i="4"/>
  <c r="BU18" i="9" l="1"/>
  <c r="BU114" i="9" s="1"/>
  <c r="BB114" i="9"/>
  <c r="BC18" i="9"/>
  <c r="Q456" i="2"/>
  <c r="BJ456" i="3" s="1"/>
  <c r="AN19" i="9"/>
  <c r="AN115" i="9" s="1"/>
  <c r="BJ94" i="3"/>
  <c r="Q308" i="2"/>
  <c r="Q315" i="2" s="1"/>
  <c r="Q377" i="5"/>
  <c r="Q293" i="2"/>
  <c r="BJ293" i="3" s="1"/>
  <c r="BJ100" i="3"/>
  <c r="Q102" i="2"/>
  <c r="BI252" i="3"/>
  <c r="BJ306" i="3"/>
  <c r="P348" i="2"/>
  <c r="Q13" i="2"/>
  <c r="BF18" i="9"/>
  <c r="P508" i="2"/>
  <c r="BI117" i="3"/>
  <c r="P253" i="2"/>
  <c r="BI253" i="3" s="1"/>
  <c r="P349" i="2"/>
  <c r="BI348" i="3"/>
  <c r="BI503" i="3"/>
  <c r="P505" i="2"/>
  <c r="BI332" i="3"/>
  <c r="Q324" i="2"/>
  <c r="P118" i="2"/>
  <c r="Q32" i="2"/>
  <c r="BJ12" i="3"/>
  <c r="U72" i="4"/>
  <c r="BO271" i="1"/>
  <c r="V271" i="1"/>
  <c r="BQ271" i="1"/>
  <c r="X271" i="1"/>
  <c r="M318" i="1"/>
  <c r="U318" i="1" s="1"/>
  <c r="BP271" i="1"/>
  <c r="W271" i="1"/>
  <c r="S484" i="3"/>
  <c r="S485" i="3" s="1"/>
  <c r="S422" i="3"/>
  <c r="S424" i="3" s="1"/>
  <c r="S145" i="3"/>
  <c r="S332" i="5"/>
  <c r="S203" i="3"/>
  <c r="BM271" i="1"/>
  <c r="T271" i="1"/>
  <c r="BN271" i="1"/>
  <c r="U271" i="1"/>
  <c r="BL271" i="1"/>
  <c r="S271" i="1"/>
  <c r="U74" i="4" l="1"/>
  <c r="U272" i="3"/>
  <c r="Q313" i="2"/>
  <c r="BJ32" i="3"/>
  <c r="Q343" i="2"/>
  <c r="BJ344" i="3" s="1"/>
  <c r="BI505" i="3"/>
  <c r="P506" i="2"/>
  <c r="Q14" i="2"/>
  <c r="BJ13" i="3"/>
  <c r="Q33" i="2"/>
  <c r="BJ315" i="3"/>
  <c r="Q89" i="2"/>
  <c r="BJ102" i="3"/>
  <c r="Q460" i="2"/>
  <c r="BJ460" i="3" s="1"/>
  <c r="Q378" i="5"/>
  <c r="Q326" i="2"/>
  <c r="BJ326" i="3" s="1"/>
  <c r="Q296" i="2"/>
  <c r="BJ296" i="3" s="1"/>
  <c r="Q502" i="2"/>
  <c r="BJ502" i="3" s="1"/>
  <c r="AU19" i="9"/>
  <c r="AU115" i="9" s="1"/>
  <c r="BI118" i="3"/>
  <c r="P464" i="2"/>
  <c r="P177" i="2"/>
  <c r="P126" i="2"/>
  <c r="P135" i="2" s="1"/>
  <c r="BI349" i="3"/>
  <c r="P350" i="2"/>
  <c r="Q336" i="2" s="1"/>
  <c r="BJ308" i="3"/>
  <c r="BJ324" i="3"/>
  <c r="P510" i="2"/>
  <c r="BI508" i="3"/>
  <c r="Q309" i="2"/>
  <c r="P254" i="2"/>
  <c r="Q176" i="2"/>
  <c r="Q379" i="5"/>
  <c r="Q383" i="5" s="1"/>
  <c r="BC114" i="9"/>
  <c r="BI350" i="3"/>
  <c r="Q335" i="2"/>
  <c r="BF114" i="9"/>
  <c r="BG18" i="9"/>
  <c r="BG114" i="9" s="1"/>
  <c r="T302" i="3"/>
  <c r="S146" i="3"/>
  <c r="S129" i="5" s="1"/>
  <c r="S244" i="3"/>
  <c r="S245" i="3" s="1"/>
  <c r="S260" i="3" s="1"/>
  <c r="S197" i="5"/>
  <c r="S198" i="5" s="1"/>
  <c r="S199" i="5" s="1"/>
  <c r="S200" i="5" s="1"/>
  <c r="Z69" i="9"/>
  <c r="AJ69" i="9" s="1"/>
  <c r="AL69" i="9" s="1"/>
  <c r="S229" i="3"/>
  <c r="S335" i="5" s="1"/>
  <c r="S148" i="3"/>
  <c r="BK271" i="1"/>
  <c r="R271" i="1"/>
  <c r="S333" i="5"/>
  <c r="S516" i="3"/>
  <c r="S425" i="3"/>
  <c r="U73" i="4"/>
  <c r="Q327" i="2" l="1"/>
  <c r="Q99" i="2" s="1"/>
  <c r="P390" i="1"/>
  <c r="BJ309" i="3"/>
  <c r="BJ337" i="3"/>
  <c r="Q340" i="2"/>
  <c r="BJ341" i="3" s="1"/>
  <c r="BI177" i="3"/>
  <c r="P282" i="2"/>
  <c r="BJ33" i="3"/>
  <c r="Q344" i="2"/>
  <c r="BJ345" i="3" s="1"/>
  <c r="Q339" i="2"/>
  <c r="BJ340" i="3" s="1"/>
  <c r="BJ335" i="3"/>
  <c r="BJ336" i="3"/>
  <c r="Q345" i="2"/>
  <c r="BJ346" i="3" s="1"/>
  <c r="BI464" i="3"/>
  <c r="Q34" i="2"/>
  <c r="BJ176" i="3"/>
  <c r="P357" i="1"/>
  <c r="BI510" i="3"/>
  <c r="P512" i="2"/>
  <c r="P469" i="2"/>
  <c r="BI469" i="3" s="1"/>
  <c r="P258" i="2"/>
  <c r="P382" i="2"/>
  <c r="BO18" i="9"/>
  <c r="BI135" i="3"/>
  <c r="Q18" i="2"/>
  <c r="BJ89" i="3"/>
  <c r="Q316" i="2"/>
  <c r="Q91" i="2"/>
  <c r="H19" i="9"/>
  <c r="H115" i="9" s="1"/>
  <c r="BJ14" i="3"/>
  <c r="BV18" i="9"/>
  <c r="BV114" i="9" s="1"/>
  <c r="BI254" i="3"/>
  <c r="P467" i="2"/>
  <c r="BI467" i="3" s="1"/>
  <c r="BI18" i="9"/>
  <c r="P363" i="2"/>
  <c r="P255" i="2"/>
  <c r="BI126" i="3"/>
  <c r="Q15" i="2"/>
  <c r="S248" i="3"/>
  <c r="T8" i="3"/>
  <c r="BJ327" i="3" l="1"/>
  <c r="P474" i="2"/>
  <c r="P257" i="2"/>
  <c r="BI255" i="3"/>
  <c r="BI364" i="3"/>
  <c r="P364" i="2"/>
  <c r="Q353" i="2" s="1"/>
  <c r="Q491" i="2"/>
  <c r="BJ91" i="3"/>
  <c r="Q292" i="2"/>
  <c r="BJ292" i="3" s="1"/>
  <c r="R93" i="2"/>
  <c r="BK93" i="3" s="1"/>
  <c r="AP19" i="9"/>
  <c r="AP115" i="9" s="1"/>
  <c r="Q455" i="2"/>
  <c r="BJ455" i="3" s="1"/>
  <c r="G269" i="1"/>
  <c r="A269" i="1" s="1"/>
  <c r="Q29" i="2"/>
  <c r="BI114" i="9"/>
  <c r="BL18" i="9"/>
  <c r="BJ316" i="3"/>
  <c r="Q459" i="2"/>
  <c r="BJ459" i="3" s="1"/>
  <c r="Q328" i="2"/>
  <c r="Q295" i="2"/>
  <c r="BJ295" i="3" s="1"/>
  <c r="BJ99" i="3"/>
  <c r="AV19" i="9"/>
  <c r="AV115" i="9" s="1"/>
  <c r="Q30" i="2"/>
  <c r="R101" i="2"/>
  <c r="BK101" i="3" s="1"/>
  <c r="BJ15" i="3"/>
  <c r="Q127" i="2"/>
  <c r="Q17" i="2"/>
  <c r="Q35" i="2"/>
  <c r="BO114" i="9"/>
  <c r="BP18" i="9"/>
  <c r="BP114" i="9" s="1"/>
  <c r="P513" i="2"/>
  <c r="BI512" i="3"/>
  <c r="BJ34" i="3"/>
  <c r="O19" i="9"/>
  <c r="O115" i="9" s="1"/>
  <c r="P383" i="2"/>
  <c r="BI382" i="3"/>
  <c r="P472" i="2"/>
  <c r="Q38" i="2"/>
  <c r="BJ18" i="3"/>
  <c r="Q131" i="2"/>
  <c r="BJ131" i="3" s="1"/>
  <c r="J19" i="9"/>
  <c r="J115" i="9" s="1"/>
  <c r="E269" i="1"/>
  <c r="P175" i="5"/>
  <c r="BX18" i="9"/>
  <c r="BX114" i="9" s="1"/>
  <c r="BI258" i="3"/>
  <c r="BI474" i="3"/>
  <c r="P476" i="2"/>
  <c r="BI282" i="3"/>
  <c r="P284" i="2"/>
  <c r="Q346" i="2"/>
  <c r="BJ347" i="3" s="1"/>
  <c r="S486" i="3"/>
  <c r="T450" i="3"/>
  <c r="T447" i="3"/>
  <c r="T390" i="3"/>
  <c r="T84" i="3"/>
  <c r="T20" i="3"/>
  <c r="T19" i="3"/>
  <c r="F70" i="9"/>
  <c r="K70" i="9" s="1"/>
  <c r="T373" i="5"/>
  <c r="L123" i="1"/>
  <c r="C127" i="1" s="1"/>
  <c r="S259" i="3"/>
  <c r="S369" i="5" s="1"/>
  <c r="BT69" i="9"/>
  <c r="BY69" i="9" s="1"/>
  <c r="BI284" i="3" l="1"/>
  <c r="O359" i="1"/>
  <c r="P28" i="2"/>
  <c r="P399" i="2"/>
  <c r="BI472" i="3"/>
  <c r="P402" i="2"/>
  <c r="P401" i="2"/>
  <c r="P400" i="2"/>
  <c r="Q317" i="2"/>
  <c r="Q31" i="2"/>
  <c r="BJ29" i="3"/>
  <c r="P391" i="1"/>
  <c r="BJ353" i="3"/>
  <c r="BJ35" i="3"/>
  <c r="Q361" i="2"/>
  <c r="Q37" i="2"/>
  <c r="BI476" i="3"/>
  <c r="P478" i="2"/>
  <c r="BI383" i="3"/>
  <c r="Q377" i="2"/>
  <c r="I19" i="9"/>
  <c r="I115" i="9" s="1"/>
  <c r="BJ17" i="3"/>
  <c r="BJ30" i="3"/>
  <c r="Q329" i="2"/>
  <c r="BJ329" i="3" s="1"/>
  <c r="BJ328" i="3"/>
  <c r="BL114" i="9"/>
  <c r="BR18" i="9"/>
  <c r="BR114" i="9" s="1"/>
  <c r="Q19" i="9"/>
  <c r="Q115" i="9" s="1"/>
  <c r="BJ38" i="3"/>
  <c r="Q379" i="2"/>
  <c r="BJ379" i="3" s="1"/>
  <c r="Q173" i="5"/>
  <c r="AG19" i="9"/>
  <c r="AG115" i="9" s="1"/>
  <c r="BJ127" i="3"/>
  <c r="Q355" i="2"/>
  <c r="BJ355" i="3" s="1"/>
  <c r="BK19" i="9"/>
  <c r="BK115" i="9" s="1"/>
  <c r="Q493" i="2"/>
  <c r="BJ491" i="3"/>
  <c r="Q494" i="2"/>
  <c r="BJ494" i="3" s="1"/>
  <c r="BI257" i="3"/>
  <c r="BW18" i="9"/>
  <c r="BW114" i="9" s="1"/>
  <c r="T238" i="3"/>
  <c r="T85" i="3"/>
  <c r="T195" i="5"/>
  <c r="T393" i="3"/>
  <c r="T391" i="3"/>
  <c r="T394" i="3"/>
  <c r="T392" i="3"/>
  <c r="S393" i="5"/>
  <c r="T232" i="3"/>
  <c r="S261" i="3"/>
  <c r="S262" i="3" s="1"/>
  <c r="T365" i="5"/>
  <c r="T190" i="5"/>
  <c r="Q362" i="2" l="1"/>
  <c r="BJ363" i="3" s="1"/>
  <c r="Q330" i="2"/>
  <c r="BJ330" i="3" s="1"/>
  <c r="BI478" i="3"/>
  <c r="P480" i="2"/>
  <c r="BI400" i="3"/>
  <c r="P409" i="2"/>
  <c r="BI399" i="3"/>
  <c r="P403" i="2"/>
  <c r="BI403" i="3" s="1"/>
  <c r="P408" i="2"/>
  <c r="BJ493" i="3"/>
  <c r="Q496" i="2"/>
  <c r="BI401" i="3"/>
  <c r="P410" i="2"/>
  <c r="BI28" i="3"/>
  <c r="P390" i="5"/>
  <c r="P169" i="2"/>
  <c r="M18" i="9"/>
  <c r="P139" i="2"/>
  <c r="BI139" i="3" s="1"/>
  <c r="P71" i="2"/>
  <c r="P438" i="2"/>
  <c r="P241" i="2"/>
  <c r="BI241" i="3" s="1"/>
  <c r="P11" i="5"/>
  <c r="P207" i="5" s="1"/>
  <c r="Q381" i="2"/>
  <c r="BJ381" i="3" s="1"/>
  <c r="BJ377" i="3"/>
  <c r="Q440" i="2"/>
  <c r="BJ440" i="3" s="1"/>
  <c r="P19" i="9"/>
  <c r="P115" i="9" s="1"/>
  <c r="BJ37" i="3"/>
  <c r="BJ31" i="3"/>
  <c r="Q439" i="2"/>
  <c r="BJ439" i="3" s="1"/>
  <c r="N19" i="9"/>
  <c r="N115" i="9" s="1"/>
  <c r="BI402" i="3"/>
  <c r="P411" i="2"/>
  <c r="BJ362" i="3"/>
  <c r="BJ356" i="3"/>
  <c r="BJ317" i="3"/>
  <c r="Q319" i="2"/>
  <c r="BJ319" i="3" s="1"/>
  <c r="T470" i="3"/>
  <c r="T290" i="3"/>
  <c r="T287" i="3"/>
  <c r="T303" i="3" s="1"/>
  <c r="T395" i="3"/>
  <c r="T240" i="3"/>
  <c r="AD70" i="9"/>
  <c r="BI438" i="3" l="1"/>
  <c r="P444" i="2"/>
  <c r="BI444" i="3" s="1"/>
  <c r="O354" i="1"/>
  <c r="BI169" i="3"/>
  <c r="O368" i="1"/>
  <c r="BI71" i="3"/>
  <c r="P386" i="5"/>
  <c r="P388" i="5" s="1"/>
  <c r="P394" i="5"/>
  <c r="P391" i="5"/>
  <c r="P395" i="5" s="1"/>
  <c r="Q497" i="2"/>
  <c r="BJ496" i="3"/>
  <c r="BI480" i="3"/>
  <c r="P481" i="2"/>
  <c r="P416" i="2"/>
  <c r="BI416" i="3" s="1"/>
  <c r="BI409" i="3"/>
  <c r="P418" i="2"/>
  <c r="BI418" i="3" s="1"/>
  <c r="BI411" i="3"/>
  <c r="W18" i="9"/>
  <c r="M114" i="9"/>
  <c r="BI410" i="3"/>
  <c r="P417" i="2"/>
  <c r="BI408" i="3"/>
  <c r="P415" i="2"/>
  <c r="P412" i="2"/>
  <c r="AI70" i="9"/>
  <c r="T405" i="3"/>
  <c r="T396" i="3"/>
  <c r="T95" i="3"/>
  <c r="T103" i="3" s="1"/>
  <c r="W114" i="9" l="1"/>
  <c r="BI417" i="3"/>
  <c r="P170" i="2"/>
  <c r="BI481" i="3"/>
  <c r="P482" i="2"/>
  <c r="BI482" i="3" s="1"/>
  <c r="BI412" i="3"/>
  <c r="P413" i="2"/>
  <c r="BI415" i="3"/>
  <c r="P419" i="2"/>
  <c r="BJ497" i="3"/>
  <c r="Q498" i="2"/>
  <c r="BJ498" i="3" s="1"/>
  <c r="T461" i="3"/>
  <c r="T331" i="3"/>
  <c r="T332" i="3" s="1"/>
  <c r="U324" i="3" s="1"/>
  <c r="AW70" i="9"/>
  <c r="AY70" i="9" s="1"/>
  <c r="T501" i="3"/>
  <c r="T503" i="3" s="1"/>
  <c r="T505" i="3" s="1"/>
  <c r="T506" i="3" s="1"/>
  <c r="T250" i="3"/>
  <c r="U10" i="3"/>
  <c r="T116" i="3"/>
  <c r="T457" i="3"/>
  <c r="T320" i="3"/>
  <c r="T321" i="3" s="1"/>
  <c r="U306" i="3" s="1"/>
  <c r="AQ70" i="9"/>
  <c r="AT70" i="9" s="1"/>
  <c r="T249" i="3"/>
  <c r="U9" i="3"/>
  <c r="T175" i="3"/>
  <c r="T281" i="3" s="1"/>
  <c r="T251" i="3" l="1"/>
  <c r="BU70" i="9" s="1"/>
  <c r="P420" i="2"/>
  <c r="BI420" i="3" s="1"/>
  <c r="BI419" i="3"/>
  <c r="O355" i="1"/>
  <c r="P210" i="2"/>
  <c r="BI170" i="3"/>
  <c r="P268" i="2"/>
  <c r="BI268" i="3" s="1"/>
  <c r="P171" i="2"/>
  <c r="P192" i="2"/>
  <c r="U100" i="3"/>
  <c r="U102" i="3" s="1"/>
  <c r="U489" i="3"/>
  <c r="U96" i="3"/>
  <c r="U11" i="3"/>
  <c r="G71" i="9" s="1"/>
  <c r="U92" i="3"/>
  <c r="U94" i="3" s="1"/>
  <c r="V93" i="3" s="1"/>
  <c r="T347" i="3"/>
  <c r="T349" i="3" s="1"/>
  <c r="U335" i="3" s="1"/>
  <c r="BB70" i="9"/>
  <c r="BC70" i="9" s="1"/>
  <c r="U12" i="3"/>
  <c r="T252" i="3"/>
  <c r="T117" i="3"/>
  <c r="BI192" i="3" l="1"/>
  <c r="O366" i="1"/>
  <c r="BI210" i="3"/>
  <c r="O380" i="1"/>
  <c r="O356" i="1"/>
  <c r="O361" i="1" s="1"/>
  <c r="BI171" i="3"/>
  <c r="P182" i="2"/>
  <c r="T348" i="3"/>
  <c r="T350" i="3" s="1"/>
  <c r="U336" i="3" s="1"/>
  <c r="BF70" i="9"/>
  <c r="BG70" i="9" s="1"/>
  <c r="T508" i="3"/>
  <c r="T510" i="3" s="1"/>
  <c r="T512" i="3" s="1"/>
  <c r="T513" i="3" s="1"/>
  <c r="U13" i="3"/>
  <c r="U14" i="3" s="1"/>
  <c r="H71" i="9" s="1"/>
  <c r="T253" i="3"/>
  <c r="T254" i="3" s="1"/>
  <c r="BV70" i="9" s="1"/>
  <c r="T118" i="3"/>
  <c r="T126" i="3" s="1"/>
  <c r="U32" i="3"/>
  <c r="U29" i="3"/>
  <c r="U310" i="3"/>
  <c r="AR71" i="9"/>
  <c r="AE71" i="9"/>
  <c r="U502" i="3"/>
  <c r="U460" i="3"/>
  <c r="U326" i="3"/>
  <c r="U296" i="3"/>
  <c r="U381" i="5"/>
  <c r="AU71" i="9"/>
  <c r="U339" i="3"/>
  <c r="U113" i="3" s="1"/>
  <c r="U456" i="3"/>
  <c r="U308" i="3"/>
  <c r="U293" i="3"/>
  <c r="U176" i="3"/>
  <c r="U382" i="5"/>
  <c r="U380" i="5"/>
  <c r="AN71" i="9"/>
  <c r="U405" i="5"/>
  <c r="U406" i="5" s="1"/>
  <c r="U408" i="5" s="1"/>
  <c r="U491" i="3"/>
  <c r="U493" i="3" s="1"/>
  <c r="P207" i="2" l="1"/>
  <c r="BI182" i="3"/>
  <c r="P153" i="2"/>
  <c r="U494" i="3"/>
  <c r="U496" i="3" s="1"/>
  <c r="U497" i="3" s="1"/>
  <c r="U498" i="3" s="1"/>
  <c r="U341" i="3"/>
  <c r="BA71" i="9"/>
  <c r="U115" i="3"/>
  <c r="T464" i="3"/>
  <c r="T177" i="3"/>
  <c r="T282" i="3" s="1"/>
  <c r="T284" i="3" s="1"/>
  <c r="U327" i="3"/>
  <c r="U99" i="3" s="1"/>
  <c r="U317" i="3"/>
  <c r="U319" i="3" s="1"/>
  <c r="U343" i="3"/>
  <c r="U111" i="3"/>
  <c r="U309" i="3"/>
  <c r="P154" i="2" l="1"/>
  <c r="BI153" i="3"/>
  <c r="BI207" i="3"/>
  <c r="P212" i="2"/>
  <c r="T467" i="3"/>
  <c r="T472" i="3" s="1"/>
  <c r="T363" i="3"/>
  <c r="T364" i="3" s="1"/>
  <c r="U353" i="3" s="1"/>
  <c r="BI70" i="9"/>
  <c r="BL70" i="9" s="1"/>
  <c r="BR70" i="9" s="1"/>
  <c r="U15" i="3"/>
  <c r="T255" i="3"/>
  <c r="T257" i="3" s="1"/>
  <c r="BW70" i="9" s="1"/>
  <c r="U509" i="3"/>
  <c r="U338" i="3"/>
  <c r="BD71" i="9"/>
  <c r="U112" i="3"/>
  <c r="U33" i="3"/>
  <c r="U459" i="3"/>
  <c r="U328" i="3"/>
  <c r="U295" i="3"/>
  <c r="AV71" i="9"/>
  <c r="V101" i="3"/>
  <c r="U30" i="3"/>
  <c r="T474" i="3"/>
  <c r="U345" i="3"/>
  <c r="U462" i="3"/>
  <c r="U298" i="3"/>
  <c r="BI212" i="3" l="1"/>
  <c r="P218" i="2"/>
  <c r="P225" i="2"/>
  <c r="BI225" i="3" s="1"/>
  <c r="P156" i="2"/>
  <c r="BI154" i="3"/>
  <c r="U344" i="3"/>
  <c r="U346" i="3" s="1"/>
  <c r="U34" i="3"/>
  <c r="O71" i="9" s="1"/>
  <c r="U340" i="3"/>
  <c r="U127" i="3"/>
  <c r="U17" i="3"/>
  <c r="I71" i="9" s="1"/>
  <c r="U35" i="3"/>
  <c r="U329" i="3"/>
  <c r="U330" i="3" s="1"/>
  <c r="U31" i="3"/>
  <c r="T476" i="3"/>
  <c r="T478" i="3" s="1"/>
  <c r="U463" i="3"/>
  <c r="U297" i="3"/>
  <c r="U178" i="3"/>
  <c r="T28" i="3"/>
  <c r="T402" i="3"/>
  <c r="T411" i="3" s="1"/>
  <c r="T418" i="3" s="1"/>
  <c r="T399" i="3"/>
  <c r="T400" i="3"/>
  <c r="T409" i="3" s="1"/>
  <c r="T416" i="3" s="1"/>
  <c r="T401" i="3"/>
  <c r="T410" i="3" s="1"/>
  <c r="T417" i="3" s="1"/>
  <c r="T170" i="3" s="1"/>
  <c r="P222" i="2" l="1"/>
  <c r="BI222" i="3" s="1"/>
  <c r="P221" i="2"/>
  <c r="BI221" i="3" s="1"/>
  <c r="BI218" i="3"/>
  <c r="P220" i="2"/>
  <c r="P159" i="2"/>
  <c r="BI156" i="3"/>
  <c r="P158" i="2"/>
  <c r="T438" i="3"/>
  <c r="T444" i="3" s="1"/>
  <c r="T241" i="3"/>
  <c r="T169" i="3"/>
  <c r="T139" i="3"/>
  <c r="T71" i="3"/>
  <c r="T392" i="5"/>
  <c r="T191" i="5"/>
  <c r="M70" i="9"/>
  <c r="W70" i="9" s="1"/>
  <c r="T480" i="3"/>
  <c r="U361" i="3"/>
  <c r="BN361" i="3" s="1"/>
  <c r="U37" i="3"/>
  <c r="U355" i="3"/>
  <c r="AG71" i="9"/>
  <c r="BK71" i="9"/>
  <c r="T210" i="3"/>
  <c r="T268" i="3"/>
  <c r="T403" i="3"/>
  <c r="T408" i="3"/>
  <c r="U439" i="3"/>
  <c r="N71" i="9"/>
  <c r="P223" i="2" l="1"/>
  <c r="BI220" i="3"/>
  <c r="P160" i="2"/>
  <c r="BI159" i="3"/>
  <c r="BI158" i="3"/>
  <c r="P162" i="2"/>
  <c r="BI162" i="3" s="1"/>
  <c r="U362" i="3"/>
  <c r="T481" i="3"/>
  <c r="U440" i="3"/>
  <c r="P71" i="9"/>
  <c r="T387" i="5"/>
  <c r="T415" i="3"/>
  <c r="T419" i="3" s="1"/>
  <c r="T420" i="3" s="1"/>
  <c r="T412" i="3"/>
  <c r="T413" i="3" s="1"/>
  <c r="T192" i="3"/>
  <c r="T171" i="3"/>
  <c r="T182" i="3" s="1"/>
  <c r="BI160" i="3" l="1"/>
  <c r="P161" i="2"/>
  <c r="BI223" i="3"/>
  <c r="P227" i="2"/>
  <c r="T153" i="3"/>
  <c r="T154" i="3" s="1"/>
  <c r="T156" i="3" s="1"/>
  <c r="T207" i="3"/>
  <c r="T212" i="3" s="1"/>
  <c r="T482" i="3"/>
  <c r="O371" i="1" l="1"/>
  <c r="BI227" i="3"/>
  <c r="O385" i="1"/>
  <c r="P89" i="5"/>
  <c r="P345" i="5" s="1"/>
  <c r="O393" i="1"/>
  <c r="P228" i="2"/>
  <c r="BI228" i="3" s="1"/>
  <c r="P163" i="2"/>
  <c r="BI161" i="3"/>
  <c r="T218" i="3"/>
  <c r="T225" i="3"/>
  <c r="T159" i="3"/>
  <c r="T160" i="3" s="1"/>
  <c r="T161" i="3" s="1"/>
  <c r="T158" i="3"/>
  <c r="T162" i="3" s="1"/>
  <c r="BI163" i="3" l="1"/>
  <c r="P165" i="2"/>
  <c r="P267" i="2" s="1"/>
  <c r="T163" i="3"/>
  <c r="T165" i="3" s="1"/>
  <c r="T267" i="3" s="1"/>
  <c r="T222" i="3"/>
  <c r="T221" i="3"/>
  <c r="T220" i="3"/>
  <c r="P112" i="5" l="1"/>
  <c r="P140" i="5" s="1"/>
  <c r="BI267" i="3"/>
  <c r="P183" i="2"/>
  <c r="BI165" i="3"/>
  <c r="P166" i="2"/>
  <c r="BI166" i="3" s="1"/>
  <c r="T223" i="3"/>
  <c r="T227" i="3" s="1"/>
  <c r="T334" i="5" s="1"/>
  <c r="T183" i="3"/>
  <c r="T184" i="3" s="1"/>
  <c r="T166" i="3"/>
  <c r="T139" i="5"/>
  <c r="T228" i="3" l="1"/>
  <c r="BI183" i="3"/>
  <c r="O363" i="1"/>
  <c r="O364" i="1" s="1"/>
  <c r="P184" i="2"/>
  <c r="O375" i="1"/>
  <c r="T95" i="4"/>
  <c r="T266" i="3"/>
  <c r="T270" i="3" s="1"/>
  <c r="T191" i="3"/>
  <c r="T193" i="3" s="1"/>
  <c r="T398" i="5"/>
  <c r="T330" i="5"/>
  <c r="P191" i="2" l="1"/>
  <c r="P399" i="5"/>
  <c r="P266" i="2"/>
  <c r="BI184" i="3"/>
  <c r="P85" i="5"/>
  <c r="P342" i="5" s="1"/>
  <c r="P94" i="4"/>
  <c r="P397" i="5"/>
  <c r="O374" i="1"/>
  <c r="O377" i="1" s="1"/>
  <c r="O382" i="1" s="1"/>
  <c r="O384" i="1" s="1"/>
  <c r="O386" i="1" s="1"/>
  <c r="O367" i="1"/>
  <c r="T64" i="4"/>
  <c r="V65" i="4" s="1"/>
  <c r="T331" i="5"/>
  <c r="T200" i="3"/>
  <c r="T196" i="3"/>
  <c r="T198" i="3"/>
  <c r="T195" i="3"/>
  <c r="T197" i="3"/>
  <c r="T201" i="3"/>
  <c r="T199" i="3"/>
  <c r="P271" i="2" l="1"/>
  <c r="P86" i="4" s="1"/>
  <c r="P270" i="2"/>
  <c r="BI266" i="3"/>
  <c r="P193" i="2"/>
  <c r="BI191" i="3"/>
  <c r="T322" i="4"/>
  <c r="O319" i="1"/>
  <c r="BT272" i="1"/>
  <c r="V68" i="4"/>
  <c r="V69" i="4"/>
  <c r="V67" i="4"/>
  <c r="V71" i="4"/>
  <c r="V70" i="4"/>
  <c r="T326" i="4"/>
  <c r="S319" i="1"/>
  <c r="BX272" i="1"/>
  <c r="T204" i="3"/>
  <c r="T515" i="3" s="1"/>
  <c r="T319" i="1"/>
  <c r="T321" i="4"/>
  <c r="T202" i="3"/>
  <c r="BS272" i="1"/>
  <c r="N319" i="1"/>
  <c r="T323" i="4"/>
  <c r="BU272" i="1"/>
  <c r="P319" i="1"/>
  <c r="T325" i="4"/>
  <c r="BW272" i="1"/>
  <c r="R319" i="1"/>
  <c r="T324" i="4"/>
  <c r="Q319" i="1"/>
  <c r="BV272" i="1"/>
  <c r="BI193" i="3" l="1"/>
  <c r="P196" i="2"/>
  <c r="P201" i="2"/>
  <c r="P200" i="2"/>
  <c r="P195" i="2"/>
  <c r="P199" i="2"/>
  <c r="P197" i="2"/>
  <c r="P198" i="2"/>
  <c r="BI270" i="3"/>
  <c r="P86" i="5"/>
  <c r="P343" i="5" s="1"/>
  <c r="P32" i="4"/>
  <c r="R33" i="4" s="1"/>
  <c r="BL272" i="1"/>
  <c r="S272" i="1"/>
  <c r="BN272" i="1"/>
  <c r="U272" i="1"/>
  <c r="M319" i="1"/>
  <c r="U319" i="1" s="1"/>
  <c r="BP272" i="1"/>
  <c r="W272" i="1"/>
  <c r="V72" i="4"/>
  <c r="V272" i="1"/>
  <c r="BO272" i="1"/>
  <c r="T484" i="3"/>
  <c r="T485" i="3" s="1"/>
  <c r="T422" i="3"/>
  <c r="T424" i="3" s="1"/>
  <c r="T145" i="3"/>
  <c r="T332" i="5"/>
  <c r="T203" i="3"/>
  <c r="BQ272" i="1"/>
  <c r="X272" i="1"/>
  <c r="BM272" i="1"/>
  <c r="T272" i="1"/>
  <c r="V74" i="4" l="1"/>
  <c r="V272" i="3"/>
  <c r="R57" i="4"/>
  <c r="R55" i="4"/>
  <c r="R54" i="4"/>
  <c r="R58" i="4"/>
  <c r="R56" i="4"/>
  <c r="G315" i="1"/>
  <c r="BI198" i="3"/>
  <c r="P316" i="4"/>
  <c r="N268" i="1" s="1"/>
  <c r="I315" i="1"/>
  <c r="P318" i="4"/>
  <c r="P268" i="1" s="1"/>
  <c r="BI200" i="3"/>
  <c r="BI197" i="3"/>
  <c r="F315" i="1"/>
  <c r="P315" i="4"/>
  <c r="M268" i="1" s="1"/>
  <c r="J315" i="1"/>
  <c r="P204" i="2"/>
  <c r="BI201" i="3"/>
  <c r="H315" i="1"/>
  <c r="BI199" i="3"/>
  <c r="P317" i="4"/>
  <c r="O268" i="1" s="1"/>
  <c r="BI196" i="3"/>
  <c r="E315" i="1"/>
  <c r="P314" i="4"/>
  <c r="L268" i="1" s="1"/>
  <c r="P202" i="2"/>
  <c r="D315" i="1"/>
  <c r="P313" i="4"/>
  <c r="K268" i="1" s="1"/>
  <c r="BI195" i="3"/>
  <c r="T425" i="3"/>
  <c r="V73" i="4"/>
  <c r="R272" i="1"/>
  <c r="BK272" i="1"/>
  <c r="T333" i="5"/>
  <c r="T516" i="3"/>
  <c r="U302" i="3"/>
  <c r="T244" i="3"/>
  <c r="T245" i="3" s="1"/>
  <c r="T260" i="3" s="1"/>
  <c r="T146" i="3"/>
  <c r="T129" i="5" s="1"/>
  <c r="T197" i="5"/>
  <c r="T198" i="5" s="1"/>
  <c r="T199" i="5" s="1"/>
  <c r="T200" i="5" s="1"/>
  <c r="Z70" i="9"/>
  <c r="AJ70" i="9" s="1"/>
  <c r="AL70" i="9" s="1"/>
  <c r="T229" i="3"/>
  <c r="T335" i="5" s="1"/>
  <c r="T148" i="3"/>
  <c r="BI202" i="3" l="1"/>
  <c r="P87" i="5"/>
  <c r="P344" i="5" s="1"/>
  <c r="P484" i="2"/>
  <c r="O370" i="1"/>
  <c r="O372" i="1" s="1"/>
  <c r="P422" i="2"/>
  <c r="P145" i="2"/>
  <c r="P203" i="2"/>
  <c r="O394" i="1"/>
  <c r="BI204" i="3"/>
  <c r="P515" i="2"/>
  <c r="BI515" i="3" s="1"/>
  <c r="R59" i="4"/>
  <c r="C315" i="1"/>
  <c r="K315" i="1" s="1"/>
  <c r="T248" i="3"/>
  <c r="U8" i="3"/>
  <c r="R61" i="4" l="1"/>
  <c r="R272" i="2"/>
  <c r="R60" i="4"/>
  <c r="P88" i="5"/>
  <c r="P516" i="2"/>
  <c r="BI203" i="3"/>
  <c r="J268" i="1"/>
  <c r="BI484" i="3"/>
  <c r="P485" i="2"/>
  <c r="Q302" i="2"/>
  <c r="BJ302" i="3" s="1"/>
  <c r="P148" i="2"/>
  <c r="P17" i="5"/>
  <c r="P229" i="2"/>
  <c r="BI145" i="3"/>
  <c r="Z18" i="9"/>
  <c r="P146" i="2"/>
  <c r="P244" i="2"/>
  <c r="BI422" i="3"/>
  <c r="P424" i="2"/>
  <c r="BI424" i="3" s="1"/>
  <c r="T486" i="3"/>
  <c r="U450" i="3"/>
  <c r="U390" i="3"/>
  <c r="U447" i="3"/>
  <c r="U20" i="3"/>
  <c r="U84" i="3"/>
  <c r="U19" i="3"/>
  <c r="U373" i="5"/>
  <c r="F71" i="9"/>
  <c r="K71" i="9" s="1"/>
  <c r="T259" i="3"/>
  <c r="T369" i="5" s="1"/>
  <c r="BT70" i="9"/>
  <c r="BY70" i="9" s="1"/>
  <c r="Z114" i="9" l="1"/>
  <c r="AJ18" i="9"/>
  <c r="AL18" i="9" s="1"/>
  <c r="Q8" i="2"/>
  <c r="BI148" i="3"/>
  <c r="P248" i="2"/>
  <c r="BI146" i="3"/>
  <c r="P109" i="5"/>
  <c r="BI244" i="3"/>
  <c r="P245" i="2"/>
  <c r="BI229" i="3"/>
  <c r="P90" i="5"/>
  <c r="P346" i="5" s="1"/>
  <c r="P425" i="2"/>
  <c r="BI425" i="3" s="1"/>
  <c r="BI485" i="3"/>
  <c r="BI516" i="3"/>
  <c r="P384" i="5"/>
  <c r="P18" i="5"/>
  <c r="P213" i="5"/>
  <c r="T393" i="5"/>
  <c r="T261" i="3"/>
  <c r="T262" i="3" s="1"/>
  <c r="U232" i="3"/>
  <c r="U365" i="5"/>
  <c r="U190" i="5"/>
  <c r="U394" i="3"/>
  <c r="U392" i="3"/>
  <c r="U393" i="3"/>
  <c r="U391" i="3"/>
  <c r="U238" i="3"/>
  <c r="U85" i="3"/>
  <c r="U195" i="5"/>
  <c r="P214" i="5" l="1"/>
  <c r="P19" i="5"/>
  <c r="P486" i="2"/>
  <c r="BI486" i="3" s="1"/>
  <c r="Q84" i="2"/>
  <c r="F19" i="9"/>
  <c r="Q450" i="2"/>
  <c r="BJ450" i="3" s="1"/>
  <c r="Q19" i="2"/>
  <c r="Q20" i="2"/>
  <c r="Q447" i="2"/>
  <c r="BJ447" i="3" s="1"/>
  <c r="Q372" i="5"/>
  <c r="Q374" i="5" s="1"/>
  <c r="I269" i="1"/>
  <c r="BJ8" i="3"/>
  <c r="Q390" i="2"/>
  <c r="P389" i="1"/>
  <c r="AJ114" i="9"/>
  <c r="AL114" i="9"/>
  <c r="BI245" i="3"/>
  <c r="P260" i="2"/>
  <c r="O373" i="1"/>
  <c r="BI248" i="3"/>
  <c r="P259" i="2"/>
  <c r="BT18" i="9"/>
  <c r="U470" i="3"/>
  <c r="U290" i="3"/>
  <c r="U287" i="3"/>
  <c r="U240" i="3"/>
  <c r="AD71" i="9"/>
  <c r="U395" i="3"/>
  <c r="U303" i="3" l="1"/>
  <c r="Q238" i="2"/>
  <c r="Q15" i="5"/>
  <c r="Q212" i="5" s="1"/>
  <c r="Q85" i="2"/>
  <c r="BJ84" i="3"/>
  <c r="Q364" i="5"/>
  <c r="Q366" i="5" s="1"/>
  <c r="BJ19" i="3"/>
  <c r="Q232" i="2"/>
  <c r="BJ232" i="3" s="1"/>
  <c r="P261" i="2"/>
  <c r="BI261" i="3" s="1"/>
  <c r="Q10" i="5"/>
  <c r="Q206" i="5" s="1"/>
  <c r="BT114" i="9"/>
  <c r="BY18" i="9"/>
  <c r="BY114" i="9" s="1"/>
  <c r="BI260" i="3"/>
  <c r="P215" i="5"/>
  <c r="P20" i="5"/>
  <c r="BI259" i="3"/>
  <c r="P368" i="5"/>
  <c r="P370" i="5" s="1"/>
  <c r="P144" i="5" s="1"/>
  <c r="Q391" i="2"/>
  <c r="Q394" i="2"/>
  <c r="BJ394" i="3" s="1"/>
  <c r="BJ390" i="3"/>
  <c r="Q392" i="2"/>
  <c r="BJ392" i="3" s="1"/>
  <c r="Q393" i="2"/>
  <c r="BJ393" i="3" s="1"/>
  <c r="K19" i="9"/>
  <c r="F115" i="9"/>
  <c r="U396" i="3"/>
  <c r="U405" i="3"/>
  <c r="AI71" i="9"/>
  <c r="U95" i="3" l="1"/>
  <c r="U103" i="3" s="1"/>
  <c r="U461" i="3" s="1"/>
  <c r="K115" i="9"/>
  <c r="P262" i="2"/>
  <c r="BJ391" i="3"/>
  <c r="Q395" i="2"/>
  <c r="Q290" i="2"/>
  <c r="BJ290" i="3" s="1"/>
  <c r="Q470" i="2"/>
  <c r="BJ470" i="3" s="1"/>
  <c r="BJ85" i="3"/>
  <c r="Q287" i="2"/>
  <c r="BJ238" i="3"/>
  <c r="Q240" i="2"/>
  <c r="AD19" i="9"/>
  <c r="AD115" i="9" s="1"/>
  <c r="U249" i="3" l="1"/>
  <c r="V9" i="3"/>
  <c r="V96" i="3" s="1"/>
  <c r="AW71" i="9"/>
  <c r="AY71" i="9" s="1"/>
  <c r="AQ71" i="9"/>
  <c r="AT71" i="9" s="1"/>
  <c r="U457" i="3"/>
  <c r="U116" i="3"/>
  <c r="U117" i="3" s="1"/>
  <c r="U348" i="3" s="1"/>
  <c r="U350" i="3" s="1"/>
  <c r="V336" i="3" s="1"/>
  <c r="U250" i="3"/>
  <c r="U251" i="3" s="1"/>
  <c r="BU71" i="9" s="1"/>
  <c r="U501" i="3"/>
  <c r="U503" i="3" s="1"/>
  <c r="U505" i="3" s="1"/>
  <c r="U506" i="3" s="1"/>
  <c r="U331" i="3"/>
  <c r="U332" i="3" s="1"/>
  <c r="V324" i="3" s="1"/>
  <c r="U175" i="3"/>
  <c r="U281" i="3" s="1"/>
  <c r="U320" i="3"/>
  <c r="U321" i="3" s="1"/>
  <c r="V306" i="3" s="1"/>
  <c r="V10" i="3"/>
  <c r="V11" i="3" s="1"/>
  <c r="G72" i="9" s="1"/>
  <c r="AI19" i="9"/>
  <c r="AI115" i="9" s="1"/>
  <c r="BJ240" i="3"/>
  <c r="Q303" i="2"/>
  <c r="BJ287" i="3"/>
  <c r="BJ395" i="3"/>
  <c r="Q396" i="2"/>
  <c r="BJ396" i="3" s="1"/>
  <c r="Q405" i="2"/>
  <c r="BJ405" i="3" s="1"/>
  <c r="V489" i="3"/>
  <c r="V92" i="3"/>
  <c r="V94" i="3" s="1"/>
  <c r="W93" i="3" s="1"/>
  <c r="U347" i="3"/>
  <c r="U349" i="3" s="1"/>
  <c r="V335" i="3" s="1"/>
  <c r="BB71" i="9"/>
  <c r="BC71" i="9" s="1"/>
  <c r="V12" i="3"/>
  <c r="BF71" i="9"/>
  <c r="BG71" i="9" s="1"/>
  <c r="U508" i="3"/>
  <c r="U510" i="3" s="1"/>
  <c r="U512" i="3" s="1"/>
  <c r="U513" i="3" s="1"/>
  <c r="V100" i="3" l="1"/>
  <c r="V102" i="3" s="1"/>
  <c r="V382" i="5" s="1"/>
  <c r="V13" i="3"/>
  <c r="U252" i="3"/>
  <c r="U253" i="3"/>
  <c r="U118" i="3"/>
  <c r="U126" i="3" s="1"/>
  <c r="BJ303" i="3"/>
  <c r="Q95" i="2"/>
  <c r="V110" i="3"/>
  <c r="V32" i="3" s="1"/>
  <c r="V14" i="3"/>
  <c r="H72" i="9" s="1"/>
  <c r="V310" i="3"/>
  <c r="AE72" i="9"/>
  <c r="AR72" i="9"/>
  <c r="V456" i="3"/>
  <c r="V293" i="3"/>
  <c r="V308" i="3"/>
  <c r="AN72" i="9"/>
  <c r="V380" i="5"/>
  <c r="V405" i="5"/>
  <c r="V406" i="5" s="1"/>
  <c r="V491" i="3"/>
  <c r="V493" i="3" s="1"/>
  <c r="V494" i="3" s="1"/>
  <c r="V111" i="3"/>
  <c r="V33" i="3" s="1"/>
  <c r="V344" i="3" s="1"/>
  <c r="U464" i="3"/>
  <c r="V29" i="3"/>
  <c r="U177" i="3" l="1"/>
  <c r="U282" i="3" s="1"/>
  <c r="U284" i="3" s="1"/>
  <c r="V381" i="5"/>
  <c r="V176" i="3"/>
  <c r="U254" i="3"/>
  <c r="BV71" i="9" s="1"/>
  <c r="V502" i="3"/>
  <c r="AU72" i="9"/>
  <c r="V296" i="3"/>
  <c r="V326" i="3"/>
  <c r="V327" i="3" s="1"/>
  <c r="V99" i="3" s="1"/>
  <c r="V460" i="3"/>
  <c r="Q103" i="2"/>
  <c r="BJ95" i="3"/>
  <c r="Q249" i="2"/>
  <c r="Q320" i="2"/>
  <c r="R9" i="2"/>
  <c r="Q457" i="2"/>
  <c r="AQ19" i="9"/>
  <c r="U467" i="3"/>
  <c r="U472" i="3" s="1"/>
  <c r="U363" i="3"/>
  <c r="U364" i="3" s="1"/>
  <c r="V353" i="3" s="1"/>
  <c r="BI71" i="9"/>
  <c r="BL71" i="9" s="1"/>
  <c r="BR71" i="9" s="1"/>
  <c r="V15" i="3"/>
  <c r="U255" i="3"/>
  <c r="U257" i="3" s="1"/>
  <c r="BW71" i="9" s="1"/>
  <c r="V496" i="3"/>
  <c r="V497" i="3" s="1"/>
  <c r="V498" i="3" s="1"/>
  <c r="V343" i="3"/>
  <c r="V34" i="3"/>
  <c r="O72" i="9" s="1"/>
  <c r="V408" i="5"/>
  <c r="V337" i="3"/>
  <c r="V112" i="3"/>
  <c r="AZ72" i="9"/>
  <c r="V317" i="3"/>
  <c r="V319" i="3" s="1"/>
  <c r="V509" i="3"/>
  <c r="V338" i="3"/>
  <c r="BD72" i="9"/>
  <c r="V309" i="3"/>
  <c r="U474" i="3" l="1"/>
  <c r="BJ457" i="3"/>
  <c r="R489" i="2"/>
  <c r="R92" i="2"/>
  <c r="R96" i="2"/>
  <c r="BK9" i="3"/>
  <c r="Q175" i="2"/>
  <c r="Q461" i="2"/>
  <c r="BJ461" i="3" s="1"/>
  <c r="R10" i="2"/>
  <c r="AW19" i="9"/>
  <c r="BJ103" i="3"/>
  <c r="Q501" i="2"/>
  <c r="Q331" i="2"/>
  <c r="Q250" i="2"/>
  <c r="BJ250" i="3" s="1"/>
  <c r="BJ320" i="3"/>
  <c r="Q321" i="2"/>
  <c r="Q116" i="2"/>
  <c r="AQ115" i="9"/>
  <c r="AT19" i="9"/>
  <c r="BJ249" i="3"/>
  <c r="V459" i="3"/>
  <c r="V328" i="3"/>
  <c r="V295" i="3"/>
  <c r="AV72" i="9"/>
  <c r="V30" i="3"/>
  <c r="W101" i="3"/>
  <c r="V127" i="3"/>
  <c r="V17" i="3"/>
  <c r="I72" i="9" s="1"/>
  <c r="V35" i="3"/>
  <c r="V340" i="3"/>
  <c r="V114" i="3" s="1"/>
  <c r="V463" i="3"/>
  <c r="V297" i="3"/>
  <c r="V178" i="3"/>
  <c r="U476" i="3"/>
  <c r="U478" i="3" s="1"/>
  <c r="V339" i="3"/>
  <c r="V113" i="3" s="1"/>
  <c r="U28" i="3"/>
  <c r="U400" i="3"/>
  <c r="U409" i="3" s="1"/>
  <c r="U416" i="3" s="1"/>
  <c r="U399" i="3"/>
  <c r="U402" i="3"/>
  <c r="U411" i="3" s="1"/>
  <c r="U418" i="3" s="1"/>
  <c r="U401" i="3"/>
  <c r="U410" i="3" s="1"/>
  <c r="U417" i="3" s="1"/>
  <c r="U170" i="3" s="1"/>
  <c r="Q251" i="2" l="1"/>
  <c r="BJ251" i="3" s="1"/>
  <c r="Q117" i="2"/>
  <c r="Q347" i="2"/>
  <c r="BB19" i="9"/>
  <c r="BJ116" i="3"/>
  <c r="R12" i="2"/>
  <c r="Q252" i="2"/>
  <c r="BJ331" i="3"/>
  <c r="Q332" i="2"/>
  <c r="R11" i="2"/>
  <c r="BK10" i="3"/>
  <c r="R100" i="2"/>
  <c r="BK489" i="3"/>
  <c r="BJ321" i="3"/>
  <c r="R306" i="2"/>
  <c r="H269" i="1"/>
  <c r="BJ501" i="3"/>
  <c r="Q503" i="2"/>
  <c r="AT115" i="9"/>
  <c r="BJ175" i="3"/>
  <c r="Q281" i="2"/>
  <c r="BK96" i="3"/>
  <c r="AE20" i="9"/>
  <c r="AE116" i="9" s="1"/>
  <c r="R310" i="2"/>
  <c r="BK310" i="3" s="1"/>
  <c r="AR20" i="9"/>
  <c r="AR116" i="9" s="1"/>
  <c r="AW115" i="9"/>
  <c r="AY19" i="9"/>
  <c r="AY115" i="9" s="1"/>
  <c r="R94" i="2"/>
  <c r="BK92" i="3"/>
  <c r="V341" i="3"/>
  <c r="V345" i="3" s="1"/>
  <c r="V115" i="3"/>
  <c r="BA72" i="9"/>
  <c r="U403" i="3"/>
  <c r="U408" i="3"/>
  <c r="U480" i="3"/>
  <c r="V361" i="3"/>
  <c r="BO361" i="3" s="1"/>
  <c r="V37" i="3"/>
  <c r="V355" i="3"/>
  <c r="BK72" i="9"/>
  <c r="AG72" i="9"/>
  <c r="V329" i="3"/>
  <c r="V330" i="3" s="1"/>
  <c r="V31" i="3"/>
  <c r="U268" i="3"/>
  <c r="U210" i="3"/>
  <c r="U438" i="3"/>
  <c r="U444" i="3" s="1"/>
  <c r="U241" i="3"/>
  <c r="U169" i="3"/>
  <c r="U139" i="3"/>
  <c r="U71" i="3"/>
  <c r="U392" i="5"/>
  <c r="M71" i="9"/>
  <c r="W71" i="9" s="1"/>
  <c r="U191" i="5"/>
  <c r="V342" i="3"/>
  <c r="V346" i="3" s="1"/>
  <c r="BE72" i="9"/>
  <c r="BU19" i="9" l="1"/>
  <c r="BU115" i="9" s="1"/>
  <c r="BK12" i="3"/>
  <c r="R32" i="2"/>
  <c r="R324" i="2"/>
  <c r="BJ332" i="3"/>
  <c r="Q508" i="2"/>
  <c r="BJ117" i="3"/>
  <c r="Q253" i="2"/>
  <c r="BJ253" i="3" s="1"/>
  <c r="Q348" i="2"/>
  <c r="R13" i="2"/>
  <c r="BF19" i="9"/>
  <c r="BJ503" i="3"/>
  <c r="Q505" i="2"/>
  <c r="BJ348" i="3"/>
  <c r="Q349" i="2"/>
  <c r="BK100" i="3"/>
  <c r="R102" i="2"/>
  <c r="R379" i="5" s="1"/>
  <c r="R383" i="5" s="1"/>
  <c r="Q118" i="2"/>
  <c r="BK11" i="3"/>
  <c r="G20" i="9"/>
  <c r="G116" i="9" s="1"/>
  <c r="R293" i="2"/>
  <c r="BK293" i="3" s="1"/>
  <c r="BK94" i="3"/>
  <c r="AN20" i="9"/>
  <c r="AN116" i="9" s="1"/>
  <c r="R456" i="2"/>
  <c r="BK456" i="3" s="1"/>
  <c r="R377" i="5"/>
  <c r="R308" i="2"/>
  <c r="BK308" i="3" s="1"/>
  <c r="BJ281" i="3"/>
  <c r="BK306" i="3"/>
  <c r="BJ252" i="3"/>
  <c r="BB115" i="9"/>
  <c r="BC19" i="9"/>
  <c r="BC115" i="9" s="1"/>
  <c r="U171" i="3"/>
  <c r="U182" i="3" s="1"/>
  <c r="U192" i="3"/>
  <c r="V362" i="3"/>
  <c r="U481" i="3"/>
  <c r="V440" i="3"/>
  <c r="P72" i="9"/>
  <c r="V462" i="3"/>
  <c r="V298" i="3"/>
  <c r="U387" i="5"/>
  <c r="V439" i="3"/>
  <c r="N72" i="9"/>
  <c r="U415" i="3"/>
  <c r="U419" i="3" s="1"/>
  <c r="U412" i="3"/>
  <c r="U413" i="3" s="1"/>
  <c r="R315" i="2" l="1"/>
  <c r="R89" i="2" s="1"/>
  <c r="Q254" i="2"/>
  <c r="BV19" i="9" s="1"/>
  <c r="BV115" i="9" s="1"/>
  <c r="R176" i="2"/>
  <c r="BK176" i="3" s="1"/>
  <c r="BF115" i="9"/>
  <c r="BG19" i="9"/>
  <c r="BG115" i="9" s="1"/>
  <c r="G33" i="1"/>
  <c r="BK13" i="3"/>
  <c r="R111" i="2"/>
  <c r="R33" i="2" s="1"/>
  <c r="Q510" i="2"/>
  <c r="BJ508" i="3"/>
  <c r="BK32" i="3"/>
  <c r="R343" i="2"/>
  <c r="BK344" i="3" s="1"/>
  <c r="Q464" i="2"/>
  <c r="Q177" i="2"/>
  <c r="BJ118" i="3"/>
  <c r="Q126" i="2"/>
  <c r="R313" i="2"/>
  <c r="R326" i="2"/>
  <c r="BK326" i="3" s="1"/>
  <c r="AU20" i="9"/>
  <c r="AU116" i="9" s="1"/>
  <c r="R502" i="2"/>
  <c r="BK502" i="3" s="1"/>
  <c r="R296" i="2"/>
  <c r="BK296" i="3" s="1"/>
  <c r="R460" i="2"/>
  <c r="BK460" i="3" s="1"/>
  <c r="BK102" i="3"/>
  <c r="R378" i="5"/>
  <c r="BJ505" i="3"/>
  <c r="Q506" i="2"/>
  <c r="BJ349" i="3"/>
  <c r="Q350" i="2"/>
  <c r="R336" i="2" s="1"/>
  <c r="R14" i="2"/>
  <c r="BJ350" i="3"/>
  <c r="R335" i="2"/>
  <c r="R309" i="2"/>
  <c r="BK324" i="3"/>
  <c r="U207" i="3"/>
  <c r="U212" i="3" s="1"/>
  <c r="U153" i="3"/>
  <c r="U154" i="3" s="1"/>
  <c r="U156" i="3" s="1"/>
  <c r="U420" i="3"/>
  <c r="U482" i="3"/>
  <c r="BJ254" i="3" l="1"/>
  <c r="BK315" i="3"/>
  <c r="R327" i="2"/>
  <c r="BK327" i="3" s="1"/>
  <c r="BK33" i="3"/>
  <c r="R344" i="2"/>
  <c r="BK345" i="3" s="1"/>
  <c r="R34" i="2"/>
  <c r="BK337" i="3"/>
  <c r="BJ177" i="3"/>
  <c r="Q282" i="2"/>
  <c r="BJ510" i="3"/>
  <c r="Q512" i="2"/>
  <c r="BK309" i="3"/>
  <c r="Q390" i="1"/>
  <c r="BK14" i="3"/>
  <c r="H20" i="9"/>
  <c r="H116" i="9" s="1"/>
  <c r="BK336" i="3"/>
  <c r="BK335" i="3"/>
  <c r="R345" i="2"/>
  <c r="BK346" i="3" s="1"/>
  <c r="R339" i="2"/>
  <c r="BK340" i="3" s="1"/>
  <c r="BJ464" i="3"/>
  <c r="Q135" i="2"/>
  <c r="Q467" i="2"/>
  <c r="BJ467" i="3" s="1"/>
  <c r="BI19" i="9"/>
  <c r="Q255" i="2"/>
  <c r="BJ126" i="3"/>
  <c r="R15" i="2"/>
  <c r="Q363" i="2"/>
  <c r="R91" i="2"/>
  <c r="BK89" i="3"/>
  <c r="R316" i="2"/>
  <c r="R509" i="2"/>
  <c r="BK509" i="3" s="1"/>
  <c r="BD20" i="9"/>
  <c r="BD116" i="9" s="1"/>
  <c r="BK111" i="3"/>
  <c r="R112" i="2"/>
  <c r="R338" i="2"/>
  <c r="BK339" i="3" s="1"/>
  <c r="U158" i="3"/>
  <c r="U162" i="3" s="1"/>
  <c r="U159" i="3"/>
  <c r="U160" i="3" s="1"/>
  <c r="U161" i="3" s="1"/>
  <c r="U225" i="3"/>
  <c r="U218" i="3"/>
  <c r="R99" i="2" l="1"/>
  <c r="BK99" i="3" s="1"/>
  <c r="BO19" i="9"/>
  <c r="BJ135" i="3"/>
  <c r="Q258" i="2"/>
  <c r="Q469" i="2"/>
  <c r="R18" i="2"/>
  <c r="Q382" i="2"/>
  <c r="R455" i="2"/>
  <c r="BK455" i="3" s="1"/>
  <c r="BK91" i="3"/>
  <c r="G270" i="1"/>
  <c r="A270" i="1" s="1"/>
  <c r="R491" i="2"/>
  <c r="AP20" i="9"/>
  <c r="AP116" i="9" s="1"/>
  <c r="R292" i="2"/>
  <c r="BK292" i="3" s="1"/>
  <c r="S93" i="2"/>
  <c r="BL93" i="3" s="1"/>
  <c r="R29" i="2"/>
  <c r="Q257" i="2"/>
  <c r="BJ255" i="3"/>
  <c r="BK34" i="3"/>
  <c r="O20" i="9"/>
  <c r="O116" i="9" s="1"/>
  <c r="BJ282" i="3"/>
  <c r="Q284" i="2"/>
  <c r="BJ364" i="3"/>
  <c r="Q364" i="2"/>
  <c r="R353" i="2" s="1"/>
  <c r="BI115" i="9"/>
  <c r="BL19" i="9"/>
  <c r="BJ512" i="3"/>
  <c r="Q513" i="2"/>
  <c r="R346" i="2"/>
  <c r="BK347" i="3" s="1"/>
  <c r="R178" i="2"/>
  <c r="R297" i="2"/>
  <c r="BK297" i="3" s="1"/>
  <c r="BK112" i="3"/>
  <c r="R463" i="2"/>
  <c r="BK463" i="3" s="1"/>
  <c r="BK316" i="3"/>
  <c r="BK15" i="3"/>
  <c r="R127" i="2"/>
  <c r="R17" i="2"/>
  <c r="R35" i="2"/>
  <c r="Q472" i="2"/>
  <c r="R340" i="2"/>
  <c r="BK341" i="3" s="1"/>
  <c r="U163" i="3"/>
  <c r="U165" i="3" s="1"/>
  <c r="U267" i="3" s="1"/>
  <c r="U220" i="3"/>
  <c r="U222" i="3"/>
  <c r="U221" i="3"/>
  <c r="S101" i="2" l="1"/>
  <c r="BL101" i="3" s="1"/>
  <c r="R30" i="2"/>
  <c r="BK30" i="3" s="1"/>
  <c r="R295" i="2"/>
  <c r="BK295" i="3" s="1"/>
  <c r="R328" i="2"/>
  <c r="BK328" i="3" s="1"/>
  <c r="R459" i="2"/>
  <c r="BK459" i="3" s="1"/>
  <c r="AV20" i="9"/>
  <c r="AV116" i="9" s="1"/>
  <c r="BJ469" i="3"/>
  <c r="Q474" i="2"/>
  <c r="BK17" i="3"/>
  <c r="I20" i="9"/>
  <c r="I116" i="9" s="1"/>
  <c r="Q357" i="1"/>
  <c r="BK178" i="3"/>
  <c r="BL115" i="9"/>
  <c r="P359" i="1"/>
  <c r="BJ284" i="3"/>
  <c r="BJ257" i="3"/>
  <c r="BW19" i="9"/>
  <c r="BW115" i="9" s="1"/>
  <c r="BX19" i="9"/>
  <c r="BX115" i="9" s="1"/>
  <c r="BJ258" i="3"/>
  <c r="Q175" i="5"/>
  <c r="BK35" i="3"/>
  <c r="R361" i="2"/>
  <c r="R37" i="2"/>
  <c r="R355" i="2"/>
  <c r="BK355" i="3" s="1"/>
  <c r="BK127" i="3"/>
  <c r="AG20" i="9"/>
  <c r="AG116" i="9" s="1"/>
  <c r="BK20" i="9"/>
  <c r="BK116" i="9" s="1"/>
  <c r="BK29" i="3"/>
  <c r="R317" i="2"/>
  <c r="BK491" i="3"/>
  <c r="R494" i="2"/>
  <c r="BK494" i="3" s="1"/>
  <c r="R493" i="2"/>
  <c r="BJ382" i="3"/>
  <c r="Q383" i="2"/>
  <c r="Q401" i="2"/>
  <c r="BJ472" i="3"/>
  <c r="Q400" i="2"/>
  <c r="Q28" i="2"/>
  <c r="Q399" i="2"/>
  <c r="Q402" i="2"/>
  <c r="BK353" i="3"/>
  <c r="Q391" i="1"/>
  <c r="J20" i="9"/>
  <c r="J116" i="9" s="1"/>
  <c r="E270" i="1"/>
  <c r="BK18" i="3"/>
  <c r="R131" i="2"/>
  <c r="BK131" i="3" s="1"/>
  <c r="R38" i="2"/>
  <c r="BP19" i="9"/>
  <c r="BP115" i="9" s="1"/>
  <c r="BO115" i="9"/>
  <c r="U139" i="5"/>
  <c r="U183" i="3"/>
  <c r="U184" i="3" s="1"/>
  <c r="U266" i="3" s="1"/>
  <c r="U270" i="3" s="1"/>
  <c r="U166" i="3"/>
  <c r="U223" i="3"/>
  <c r="U227" i="3" s="1"/>
  <c r="R31" i="2" l="1"/>
  <c r="R439" i="2" s="1"/>
  <c r="BK439" i="3" s="1"/>
  <c r="R362" i="2"/>
  <c r="BK363" i="3" s="1"/>
  <c r="R329" i="2"/>
  <c r="BK329" i="3" s="1"/>
  <c r="BR19" i="9"/>
  <c r="BR115" i="9" s="1"/>
  <c r="U95" i="4"/>
  <c r="Q411" i="2"/>
  <c r="BJ402" i="3"/>
  <c r="BK493" i="3"/>
  <c r="R496" i="2"/>
  <c r="BJ400" i="3"/>
  <c r="Q409" i="2"/>
  <c r="BJ399" i="3"/>
  <c r="Q403" i="2"/>
  <c r="BJ403" i="3" s="1"/>
  <c r="Q408" i="2"/>
  <c r="BJ401" i="3"/>
  <c r="Q410" i="2"/>
  <c r="BK317" i="3"/>
  <c r="R319" i="2"/>
  <c r="BK319" i="3" s="1"/>
  <c r="P20" i="9"/>
  <c r="P116" i="9" s="1"/>
  <c r="R440" i="2"/>
  <c r="BK440" i="3" s="1"/>
  <c r="BK37" i="3"/>
  <c r="Q476" i="2"/>
  <c r="BJ474" i="3"/>
  <c r="R379" i="2"/>
  <c r="BK379" i="3" s="1"/>
  <c r="R173" i="5"/>
  <c r="Q20" i="9"/>
  <c r="Q116" i="9" s="1"/>
  <c r="BK38" i="3"/>
  <c r="BJ28" i="3"/>
  <c r="Q169" i="2"/>
  <c r="Q71" i="2"/>
  <c r="Q390" i="5"/>
  <c r="Q241" i="2"/>
  <c r="BJ241" i="3" s="1"/>
  <c r="Q438" i="2"/>
  <c r="Q139" i="2"/>
  <c r="BJ139" i="3" s="1"/>
  <c r="Q11" i="5"/>
  <c r="Q207" i="5" s="1"/>
  <c r="M19" i="9"/>
  <c r="R377" i="2"/>
  <c r="BJ383" i="3"/>
  <c r="BK362" i="3"/>
  <c r="BK356" i="3"/>
  <c r="U330" i="5"/>
  <c r="U398" i="5"/>
  <c r="U191" i="3"/>
  <c r="U193" i="3" s="1"/>
  <c r="U199" i="3" s="1"/>
  <c r="U334" i="5"/>
  <c r="U228" i="3"/>
  <c r="U64" i="4"/>
  <c r="W65" i="4" s="1"/>
  <c r="U331" i="5"/>
  <c r="BK31" i="3" l="1"/>
  <c r="N20" i="9"/>
  <c r="N116" i="9" s="1"/>
  <c r="R330" i="2"/>
  <c r="BK330" i="3" s="1"/>
  <c r="U197" i="3"/>
  <c r="P320" i="1" s="1"/>
  <c r="U201" i="3"/>
  <c r="T320" i="1" s="1"/>
  <c r="U200" i="3"/>
  <c r="S320" i="1" s="1"/>
  <c r="U198" i="3"/>
  <c r="U324" i="4" s="1"/>
  <c r="U195" i="3"/>
  <c r="N320" i="1" s="1"/>
  <c r="U196" i="3"/>
  <c r="U322" i="4" s="1"/>
  <c r="BJ438" i="3"/>
  <c r="Q444" i="2"/>
  <c r="BJ444" i="3" s="1"/>
  <c r="BJ169" i="3"/>
  <c r="P354" i="1"/>
  <c r="M115" i="9"/>
  <c r="W19" i="9"/>
  <c r="BJ410" i="3"/>
  <c r="Q417" i="2"/>
  <c r="Q394" i="5"/>
  <c r="Q391" i="5"/>
  <c r="Q395" i="5" s="1"/>
  <c r="BJ409" i="3"/>
  <c r="Q416" i="2"/>
  <c r="BJ416" i="3" s="1"/>
  <c r="BJ411" i="3"/>
  <c r="Q418" i="2"/>
  <c r="BJ418" i="3" s="1"/>
  <c r="R381" i="2"/>
  <c r="BK381" i="3" s="1"/>
  <c r="BK377" i="3"/>
  <c r="Q386" i="5"/>
  <c r="Q388" i="5" s="1"/>
  <c r="BJ71" i="3"/>
  <c r="P368" i="1"/>
  <c r="Q478" i="2"/>
  <c r="BJ476" i="3"/>
  <c r="Q415" i="2"/>
  <c r="Q412" i="2"/>
  <c r="BJ412" i="3" s="1"/>
  <c r="BJ408" i="3"/>
  <c r="BK496" i="3"/>
  <c r="R497" i="2"/>
  <c r="U325" i="4"/>
  <c r="R320" i="1"/>
  <c r="BW273" i="1"/>
  <c r="W71" i="4"/>
  <c r="W67" i="4"/>
  <c r="W69" i="4"/>
  <c r="W70" i="4"/>
  <c r="W68" i="4"/>
  <c r="BU273" i="1" l="1"/>
  <c r="U323" i="4"/>
  <c r="U273" i="1" s="1"/>
  <c r="W115" i="9"/>
  <c r="U326" i="4"/>
  <c r="BQ273" i="1" s="1"/>
  <c r="BX273" i="1"/>
  <c r="BT273" i="1"/>
  <c r="O320" i="1"/>
  <c r="U202" i="3"/>
  <c r="U422" i="3" s="1"/>
  <c r="U424" i="3" s="1"/>
  <c r="BV273" i="1"/>
  <c r="U204" i="3"/>
  <c r="U515" i="3" s="1"/>
  <c r="Q320" i="1"/>
  <c r="M320" i="1" s="1"/>
  <c r="U320" i="1" s="1"/>
  <c r="U321" i="4"/>
  <c r="S273" i="1" s="1"/>
  <c r="BS273" i="1"/>
  <c r="W72" i="4"/>
  <c r="BK497" i="3"/>
  <c r="R498" i="2"/>
  <c r="BK498" i="3" s="1"/>
  <c r="BJ415" i="3"/>
  <c r="Q419" i="2"/>
  <c r="BJ419" i="3" s="1"/>
  <c r="BJ478" i="3"/>
  <c r="Q413" i="2"/>
  <c r="Q480" i="2"/>
  <c r="BJ417" i="3"/>
  <c r="Q170" i="2"/>
  <c r="BM273" i="1"/>
  <c r="T273" i="1"/>
  <c r="BP273" i="1"/>
  <c r="W273" i="1"/>
  <c r="BO273" i="1"/>
  <c r="V273" i="1"/>
  <c r="BN273" i="1" l="1"/>
  <c r="W74" i="4"/>
  <c r="W272" i="3"/>
  <c r="U484" i="3"/>
  <c r="U485" i="3" s="1"/>
  <c r="U425" i="3" s="1"/>
  <c r="X273" i="1"/>
  <c r="U203" i="3"/>
  <c r="R273" i="1" s="1"/>
  <c r="U332" i="5"/>
  <c r="U145" i="3"/>
  <c r="V302" i="3" s="1"/>
  <c r="BL273" i="1"/>
  <c r="W73" i="4"/>
  <c r="BJ480" i="3"/>
  <c r="Q481" i="2"/>
  <c r="Q420" i="2"/>
  <c r="BJ420" i="3" s="1"/>
  <c r="BJ170" i="3"/>
  <c r="P355" i="1"/>
  <c r="Q210" i="2"/>
  <c r="Q268" i="2"/>
  <c r="BJ268" i="3" s="1"/>
  <c r="Q192" i="2"/>
  <c r="Q171" i="2"/>
  <c r="U333" i="5" l="1"/>
  <c r="U516" i="3"/>
  <c r="BK273" i="1"/>
  <c r="U229" i="3"/>
  <c r="U335" i="5" s="1"/>
  <c r="Z71" i="9"/>
  <c r="AJ71" i="9" s="1"/>
  <c r="AL71" i="9" s="1"/>
  <c r="U146" i="3"/>
  <c r="U129" i="5" s="1"/>
  <c r="U148" i="3"/>
  <c r="V8" i="3" s="1"/>
  <c r="U244" i="3"/>
  <c r="U245" i="3" s="1"/>
  <c r="U260" i="3" s="1"/>
  <c r="U197" i="5"/>
  <c r="U198" i="5" s="1"/>
  <c r="U199" i="5" s="1"/>
  <c r="U200" i="5" s="1"/>
  <c r="BJ192" i="3"/>
  <c r="P366" i="1"/>
  <c r="P380" i="1"/>
  <c r="BJ210" i="3"/>
  <c r="BJ481" i="3"/>
  <c r="Q482" i="2"/>
  <c r="BJ482" i="3" s="1"/>
  <c r="Q182" i="2"/>
  <c r="BJ171" i="3"/>
  <c r="P356" i="1"/>
  <c r="P361" i="1" s="1"/>
  <c r="U248" i="3" l="1"/>
  <c r="U259" i="3" s="1"/>
  <c r="U369" i="5" s="1"/>
  <c r="Q153" i="2"/>
  <c r="Q207" i="2"/>
  <c r="BJ182" i="3"/>
  <c r="U486" i="3"/>
  <c r="V450" i="3"/>
  <c r="V447" i="3"/>
  <c r="V390" i="3"/>
  <c r="V84" i="3"/>
  <c r="V19" i="3"/>
  <c r="V20" i="3"/>
  <c r="F72" i="9"/>
  <c r="K72" i="9" s="1"/>
  <c r="V373" i="5"/>
  <c r="BT71" i="9" l="1"/>
  <c r="BY71" i="9" s="1"/>
  <c r="Q212" i="2"/>
  <c r="BJ207" i="3"/>
  <c r="BJ153" i="3"/>
  <c r="Q154" i="2"/>
  <c r="V238" i="3"/>
  <c r="V85" i="3"/>
  <c r="V195" i="5"/>
  <c r="U393" i="5"/>
  <c r="V394" i="3"/>
  <c r="V392" i="3"/>
  <c r="V391" i="3"/>
  <c r="V393" i="3"/>
  <c r="V232" i="3"/>
  <c r="U261" i="3"/>
  <c r="U262" i="3" s="1"/>
  <c r="V190" i="5"/>
  <c r="V365" i="5"/>
  <c r="Q156" i="2" l="1"/>
  <c r="BJ154" i="3"/>
  <c r="Q225" i="2"/>
  <c r="BJ225" i="3" s="1"/>
  <c r="BJ212" i="3"/>
  <c r="Q218" i="2"/>
  <c r="V395" i="3"/>
  <c r="V470" i="3"/>
  <c r="V290" i="3"/>
  <c r="V287" i="3"/>
  <c r="V240" i="3"/>
  <c r="AD72" i="9"/>
  <c r="V303" i="3" l="1"/>
  <c r="BJ218" i="3"/>
  <c r="Q221" i="2"/>
  <c r="BJ221" i="3" s="1"/>
  <c r="Q222" i="2"/>
  <c r="BJ222" i="3" s="1"/>
  <c r="Q220" i="2"/>
  <c r="Q158" i="2"/>
  <c r="BJ156" i="3"/>
  <c r="Q159" i="2"/>
  <c r="V405" i="3"/>
  <c r="V396" i="3"/>
  <c r="AI72" i="9"/>
  <c r="V95" i="3" l="1"/>
  <c r="AQ72" i="9" s="1"/>
  <c r="AT72" i="9" s="1"/>
  <c r="Q160" i="2"/>
  <c r="BJ159" i="3"/>
  <c r="BJ220" i="3"/>
  <c r="Q223" i="2"/>
  <c r="BJ158" i="3"/>
  <c r="Q162" i="2"/>
  <c r="BJ162" i="3" s="1"/>
  <c r="V320" i="3" l="1"/>
  <c r="V321" i="3" s="1"/>
  <c r="W306" i="3" s="1"/>
  <c r="V249" i="3"/>
  <c r="V103" i="3"/>
  <c r="V116" i="3" s="1"/>
  <c r="V252" i="3" s="1"/>
  <c r="W9" i="3"/>
  <c r="W92" i="3" s="1"/>
  <c r="W94" i="3" s="1"/>
  <c r="V457" i="3"/>
  <c r="Q227" i="2"/>
  <c r="BJ223" i="3"/>
  <c r="BJ160" i="3"/>
  <c r="Q161" i="2"/>
  <c r="W96" i="3" l="1"/>
  <c r="W310" i="3" s="1"/>
  <c r="W489" i="3"/>
  <c r="V501" i="3"/>
  <c r="V503" i="3" s="1"/>
  <c r="V505" i="3" s="1"/>
  <c r="V506" i="3" s="1"/>
  <c r="W12" i="3"/>
  <c r="W110" i="3" s="1"/>
  <c r="W337" i="3" s="1"/>
  <c r="V331" i="3"/>
  <c r="V332" i="3" s="1"/>
  <c r="W324" i="3" s="1"/>
  <c r="V461" i="3"/>
  <c r="W10" i="3"/>
  <c r="W11" i="3" s="1"/>
  <c r="G73" i="9" s="1"/>
  <c r="V117" i="3"/>
  <c r="V118" i="3" s="1"/>
  <c r="V126" i="3" s="1"/>
  <c r="BI72" i="9" s="1"/>
  <c r="BL72" i="9" s="1"/>
  <c r="V347" i="3"/>
  <c r="V349" i="3" s="1"/>
  <c r="W335" i="3" s="1"/>
  <c r="BB72" i="9"/>
  <c r="BC72" i="9" s="1"/>
  <c r="AW72" i="9"/>
  <c r="AY72" i="9" s="1"/>
  <c r="V175" i="3"/>
  <c r="V281" i="3" s="1"/>
  <c r="V250" i="3"/>
  <c r="V251" i="3" s="1"/>
  <c r="BU72" i="9" s="1"/>
  <c r="Q163" i="2"/>
  <c r="BJ161" i="3"/>
  <c r="Q89" i="5"/>
  <c r="Q345" i="5" s="1"/>
  <c r="P371" i="1"/>
  <c r="P385" i="1"/>
  <c r="BJ227" i="3"/>
  <c r="P393" i="1"/>
  <c r="Q228" i="2"/>
  <c r="BJ228" i="3" s="1"/>
  <c r="AR73" i="9"/>
  <c r="AE73" i="9"/>
  <c r="W456" i="3"/>
  <c r="W308" i="3"/>
  <c r="W293" i="3"/>
  <c r="AN73" i="9"/>
  <c r="W405" i="5"/>
  <c r="W406" i="5" s="1"/>
  <c r="W408" i="5" s="1"/>
  <c r="W380" i="5"/>
  <c r="W491" i="3"/>
  <c r="W493" i="3" s="1"/>
  <c r="W494" i="3" s="1"/>
  <c r="X93" i="3"/>
  <c r="W29" i="3"/>
  <c r="W100" i="3" l="1"/>
  <c r="W102" i="3" s="1"/>
  <c r="W176" i="3" s="1"/>
  <c r="V177" i="3"/>
  <c r="V282" i="3" s="1"/>
  <c r="V284" i="3" s="1"/>
  <c r="V255" i="3"/>
  <c r="V257" i="3" s="1"/>
  <c r="BW72" i="9" s="1"/>
  <c r="W32" i="3"/>
  <c r="W343" i="3" s="1"/>
  <c r="AZ73" i="9"/>
  <c r="W15" i="3"/>
  <c r="W35" i="3" s="1"/>
  <c r="V253" i="3"/>
  <c r="V254" i="3" s="1"/>
  <c r="BV72" i="9" s="1"/>
  <c r="V363" i="3"/>
  <c r="V364" i="3" s="1"/>
  <c r="W353" i="3" s="1"/>
  <c r="V467" i="3"/>
  <c r="V348" i="3"/>
  <c r="V350" i="3" s="1"/>
  <c r="W336" i="3" s="1"/>
  <c r="V464" i="3"/>
  <c r="V472" i="3" s="1"/>
  <c r="W13" i="3"/>
  <c r="W14" i="3" s="1"/>
  <c r="H73" i="9" s="1"/>
  <c r="V508" i="3"/>
  <c r="V510" i="3" s="1"/>
  <c r="V512" i="3" s="1"/>
  <c r="V513" i="3" s="1"/>
  <c r="BF72" i="9"/>
  <c r="BG72" i="9" s="1"/>
  <c r="BR72" i="9" s="1"/>
  <c r="BJ163" i="3"/>
  <c r="Q165" i="2"/>
  <c r="Q267" i="2" s="1"/>
  <c r="W296" i="3"/>
  <c r="W326" i="3"/>
  <c r="W327" i="3" s="1"/>
  <c r="W99" i="3" s="1"/>
  <c r="W381" i="5"/>
  <c r="W460" i="3"/>
  <c r="AU73" i="9"/>
  <c r="W502" i="3"/>
  <c r="W317" i="3"/>
  <c r="W319" i="3" s="1"/>
  <c r="W339" i="3"/>
  <c r="W113" i="3" s="1"/>
  <c r="W309" i="3"/>
  <c r="W496" i="3"/>
  <c r="W497" i="3" s="1"/>
  <c r="W498" i="3" s="1"/>
  <c r="W17" i="3"/>
  <c r="I73" i="9" s="1"/>
  <c r="V474" i="3" l="1"/>
  <c r="W382" i="5"/>
  <c r="W127" i="3"/>
  <c r="W355" i="3" s="1"/>
  <c r="W111" i="3"/>
  <c r="W33" i="3" s="1"/>
  <c r="W344" i="3" s="1"/>
  <c r="Q183" i="2"/>
  <c r="Q166" i="2"/>
  <c r="BJ166" i="3" s="1"/>
  <c r="Q112" i="5"/>
  <c r="Q140" i="5" s="1"/>
  <c r="BJ165" i="3"/>
  <c r="BJ267" i="3"/>
  <c r="V28" i="3"/>
  <c r="V400" i="3"/>
  <c r="V409" i="3" s="1"/>
  <c r="V416" i="3" s="1"/>
  <c r="V399" i="3"/>
  <c r="V402" i="3"/>
  <c r="V411" i="3" s="1"/>
  <c r="V418" i="3" s="1"/>
  <c r="V401" i="3"/>
  <c r="V410" i="3" s="1"/>
  <c r="V417" i="3" s="1"/>
  <c r="V170" i="3" s="1"/>
  <c r="W459" i="3"/>
  <c r="W328" i="3"/>
  <c r="W295" i="3"/>
  <c r="AV73" i="9"/>
  <c r="W30" i="3"/>
  <c r="X101" i="3"/>
  <c r="W361" i="3"/>
  <c r="BP361" i="3" s="1"/>
  <c r="W37" i="3"/>
  <c r="V476" i="3"/>
  <c r="V478" i="3" s="1"/>
  <c r="W341" i="3"/>
  <c r="W345" i="3" s="1"/>
  <c r="BA73" i="9"/>
  <c r="BK73" i="9" l="1"/>
  <c r="AG73" i="9"/>
  <c r="W112" i="3"/>
  <c r="W463" i="3" s="1"/>
  <c r="W338" i="3"/>
  <c r="W340" i="3" s="1"/>
  <c r="W114" i="3" s="1"/>
  <c r="W115" i="3" s="1"/>
  <c r="W462" i="3" s="1"/>
  <c r="BD73" i="9"/>
  <c r="W34" i="3"/>
  <c r="O73" i="9" s="1"/>
  <c r="W509" i="3"/>
  <c r="P375" i="1"/>
  <c r="BJ183" i="3"/>
  <c r="P363" i="1"/>
  <c r="P364" i="1" s="1"/>
  <c r="Q184" i="2"/>
  <c r="W362" i="3"/>
  <c r="V268" i="3"/>
  <c r="V210" i="3"/>
  <c r="V438" i="3"/>
  <c r="V444" i="3" s="1"/>
  <c r="V241" i="3"/>
  <c r="V169" i="3"/>
  <c r="V71" i="3"/>
  <c r="V139" i="3"/>
  <c r="V191" i="5"/>
  <c r="V392" i="5"/>
  <c r="M72" i="9"/>
  <c r="W72" i="9" s="1"/>
  <c r="W329" i="3"/>
  <c r="W330" i="3" s="1"/>
  <c r="W31" i="3"/>
  <c r="W440" i="3"/>
  <c r="P73" i="9"/>
  <c r="V480" i="3"/>
  <c r="V403" i="3"/>
  <c r="V408" i="3"/>
  <c r="W297" i="3" l="1"/>
  <c r="W178" i="3"/>
  <c r="BE73" i="9"/>
  <c r="W342" i="3"/>
  <c r="W346" i="3" s="1"/>
  <c r="W298" i="3"/>
  <c r="Q266" i="2"/>
  <c r="Q94" i="4"/>
  <c r="Q85" i="5"/>
  <c r="Q342" i="5" s="1"/>
  <c r="Q191" i="2"/>
  <c r="Q399" i="5"/>
  <c r="Q397" i="5"/>
  <c r="BJ184" i="3"/>
  <c r="P367" i="1"/>
  <c r="P374" i="1"/>
  <c r="P377" i="1" s="1"/>
  <c r="P382" i="1" s="1"/>
  <c r="P384" i="1" s="1"/>
  <c r="P386" i="1" s="1"/>
  <c r="V387" i="5"/>
  <c r="V412" i="3"/>
  <c r="V413" i="3" s="1"/>
  <c r="V415" i="3"/>
  <c r="V419" i="3" s="1"/>
  <c r="V420" i="3" s="1"/>
  <c r="W439" i="3"/>
  <c r="N73" i="9"/>
  <c r="V171" i="3"/>
  <c r="V182" i="3" s="1"/>
  <c r="V192" i="3"/>
  <c r="V481" i="3"/>
  <c r="Q270" i="2" l="1"/>
  <c r="Q271" i="2"/>
  <c r="Q86" i="4" s="1"/>
  <c r="BJ191" i="3"/>
  <c r="Q193" i="2"/>
  <c r="BJ266" i="3"/>
  <c r="V207" i="3"/>
  <c r="V212" i="3" s="1"/>
  <c r="V153" i="3"/>
  <c r="V154" i="3" s="1"/>
  <c r="V156" i="3" s="1"/>
  <c r="V482" i="3"/>
  <c r="Q32" i="4" l="1"/>
  <c r="S33" i="4" s="1"/>
  <c r="BJ270" i="3"/>
  <c r="Q86" i="5"/>
  <c r="Q343" i="5" s="1"/>
  <c r="BJ193" i="3"/>
  <c r="Q195" i="2"/>
  <c r="Q200" i="2"/>
  <c r="Q198" i="2"/>
  <c r="Q196" i="2"/>
  <c r="Q197" i="2"/>
  <c r="Q199" i="2"/>
  <c r="Q201" i="2"/>
  <c r="V159" i="3"/>
  <c r="V160" i="3" s="1"/>
  <c r="V161" i="3" s="1"/>
  <c r="V158" i="3"/>
  <c r="V162" i="3" s="1"/>
  <c r="V225" i="3"/>
  <c r="V218" i="3"/>
  <c r="BJ201" i="3" l="1"/>
  <c r="Q204" i="2"/>
  <c r="J316" i="1"/>
  <c r="Q316" i="4"/>
  <c r="N269" i="1" s="1"/>
  <c r="BJ198" i="3"/>
  <c r="G316" i="1"/>
  <c r="BJ199" i="3"/>
  <c r="H316" i="1"/>
  <c r="Q317" i="4"/>
  <c r="O269" i="1" s="1"/>
  <c r="Q318" i="4"/>
  <c r="P269" i="1" s="1"/>
  <c r="BJ200" i="3"/>
  <c r="I316" i="1"/>
  <c r="Q315" i="4"/>
  <c r="M269" i="1" s="1"/>
  <c r="F316" i="1"/>
  <c r="BJ197" i="3"/>
  <c r="D316" i="1"/>
  <c r="Q313" i="4"/>
  <c r="K269" i="1" s="1"/>
  <c r="BJ195" i="3"/>
  <c r="Q202" i="2"/>
  <c r="S58" i="4"/>
  <c r="S56" i="4"/>
  <c r="S57" i="4"/>
  <c r="S54" i="4"/>
  <c r="S55" i="4"/>
  <c r="BJ196" i="3"/>
  <c r="Q314" i="4"/>
  <c r="L269" i="1" s="1"/>
  <c r="E316" i="1"/>
  <c r="V222" i="3"/>
  <c r="V221" i="3"/>
  <c r="V220" i="3"/>
  <c r="V163" i="3"/>
  <c r="V165" i="3" s="1"/>
  <c r="V267" i="3" s="1"/>
  <c r="C316" i="1" l="1"/>
  <c r="K316" i="1" s="1"/>
  <c r="S59" i="4"/>
  <c r="BJ202" i="3"/>
  <c r="Q145" i="2"/>
  <c r="Q484" i="2"/>
  <c r="Q422" i="2"/>
  <c r="P370" i="1"/>
  <c r="P372" i="1" s="1"/>
  <c r="Q87" i="5"/>
  <c r="Q344" i="5" s="1"/>
  <c r="Q203" i="2"/>
  <c r="BJ204" i="3"/>
  <c r="Q515" i="2"/>
  <c r="BJ515" i="3" s="1"/>
  <c r="P394" i="1"/>
  <c r="V223" i="3"/>
  <c r="V227" i="3" s="1"/>
  <c r="V166" i="3"/>
  <c r="V183" i="3"/>
  <c r="V184" i="3" s="1"/>
  <c r="V139" i="5"/>
  <c r="S61" i="4" l="1"/>
  <c r="S272" i="2"/>
  <c r="Q88" i="5"/>
  <c r="Q516" i="2"/>
  <c r="J269" i="1"/>
  <c r="BJ203" i="3"/>
  <c r="Q485" i="2"/>
  <c r="BJ484" i="3"/>
  <c r="Q146" i="2"/>
  <c r="Q17" i="5"/>
  <c r="Q244" i="2"/>
  <c r="Q148" i="2"/>
  <c r="R302" i="2"/>
  <c r="BK302" i="3" s="1"/>
  <c r="BJ145" i="3"/>
  <c r="Z19" i="9"/>
  <c r="Q229" i="2"/>
  <c r="BJ422" i="3"/>
  <c r="Q424" i="2"/>
  <c r="BJ424" i="3" s="1"/>
  <c r="S60" i="4"/>
  <c r="V334" i="5"/>
  <c r="V228" i="3"/>
  <c r="V95" i="4"/>
  <c r="V191" i="3"/>
  <c r="V193" i="3" s="1"/>
  <c r="V266" i="3"/>
  <c r="V270" i="3" s="1"/>
  <c r="V330" i="5"/>
  <c r="V398" i="5"/>
  <c r="Z115" i="9" l="1"/>
  <c r="AJ19" i="9"/>
  <c r="AL19" i="9" s="1"/>
  <c r="BJ485" i="3"/>
  <c r="Q425" i="2"/>
  <c r="BJ425" i="3" s="1"/>
  <c r="Q213" i="5"/>
  <c r="Q18" i="5"/>
  <c r="BJ146" i="3"/>
  <c r="Q109" i="5"/>
  <c r="BJ229" i="3"/>
  <c r="Q90" i="5"/>
  <c r="Q346" i="5" s="1"/>
  <c r="BJ148" i="3"/>
  <c r="Q248" i="2"/>
  <c r="R8" i="2"/>
  <c r="Q384" i="5"/>
  <c r="BJ516" i="3"/>
  <c r="BJ244" i="3"/>
  <c r="Q245" i="2"/>
  <c r="V64" i="4"/>
  <c r="X65" i="4" s="1"/>
  <c r="V331" i="5"/>
  <c r="V198" i="3"/>
  <c r="V200" i="3"/>
  <c r="V196" i="3"/>
  <c r="V197" i="3"/>
  <c r="V199" i="3"/>
  <c r="V195" i="3"/>
  <c r="V201" i="3"/>
  <c r="BJ248" i="3" l="1"/>
  <c r="Q259" i="2"/>
  <c r="BT19" i="9"/>
  <c r="Q19" i="5"/>
  <c r="Q214" i="5"/>
  <c r="AJ115" i="9"/>
  <c r="AL115" i="9"/>
  <c r="BJ245" i="3"/>
  <c r="Q260" i="2"/>
  <c r="P373" i="1"/>
  <c r="Q486" i="2"/>
  <c r="BJ486" i="3" s="1"/>
  <c r="R390" i="2"/>
  <c r="F20" i="9"/>
  <c r="R450" i="2"/>
  <c r="BK450" i="3" s="1"/>
  <c r="R19" i="2"/>
  <c r="Q389" i="1"/>
  <c r="R447" i="2"/>
  <c r="BK447" i="3" s="1"/>
  <c r="R372" i="5"/>
  <c r="R374" i="5" s="1"/>
  <c r="I270" i="1"/>
  <c r="R84" i="2"/>
  <c r="BK8" i="3"/>
  <c r="R20" i="2"/>
  <c r="V322" i="4"/>
  <c r="O321" i="1"/>
  <c r="BT274" i="1"/>
  <c r="X70" i="4"/>
  <c r="X71" i="4"/>
  <c r="X69" i="4"/>
  <c r="X68" i="4"/>
  <c r="X67" i="4"/>
  <c r="V326" i="4"/>
  <c r="S321" i="1"/>
  <c r="BX274" i="1"/>
  <c r="V204" i="3"/>
  <c r="V515" i="3" s="1"/>
  <c r="T321" i="1"/>
  <c r="V325" i="4"/>
  <c r="BW274" i="1"/>
  <c r="R321" i="1"/>
  <c r="V321" i="4"/>
  <c r="V202" i="3"/>
  <c r="BS274" i="1"/>
  <c r="N321" i="1"/>
  <c r="V323" i="4"/>
  <c r="BU274" i="1"/>
  <c r="P321" i="1"/>
  <c r="V324" i="4"/>
  <c r="Q321" i="1"/>
  <c r="BV274" i="1"/>
  <c r="R15" i="5" l="1"/>
  <c r="R212" i="5" s="1"/>
  <c r="R238" i="2"/>
  <c r="BK84" i="3"/>
  <c r="R85" i="2"/>
  <c r="BK390" i="3"/>
  <c r="R391" i="2"/>
  <c r="R394" i="2"/>
  <c r="BK394" i="3" s="1"/>
  <c r="R392" i="2"/>
  <c r="BK392" i="3" s="1"/>
  <c r="R393" i="2"/>
  <c r="BK393" i="3" s="1"/>
  <c r="Q20" i="5"/>
  <c r="Q215" i="5"/>
  <c r="BK19" i="3"/>
  <c r="R10" i="5"/>
  <c r="R206" i="5" s="1"/>
  <c r="Q261" i="2"/>
  <c r="BJ261" i="3" s="1"/>
  <c r="R232" i="2"/>
  <c r="BK232" i="3" s="1"/>
  <c r="R364" i="5"/>
  <c r="R366" i="5" s="1"/>
  <c r="BT115" i="9"/>
  <c r="BY19" i="9"/>
  <c r="BY115" i="9" s="1"/>
  <c r="BJ259" i="3"/>
  <c r="Q368" i="5"/>
  <c r="Q370" i="5" s="1"/>
  <c r="Q144" i="5" s="1"/>
  <c r="F116" i="9"/>
  <c r="K20" i="9"/>
  <c r="BJ260" i="3"/>
  <c r="BQ274" i="1"/>
  <c r="X274" i="1"/>
  <c r="V484" i="3"/>
  <c r="V485" i="3" s="1"/>
  <c r="V422" i="3"/>
  <c r="V424" i="3" s="1"/>
  <c r="V145" i="3"/>
  <c r="V332" i="5"/>
  <c r="V203" i="3"/>
  <c r="BP274" i="1"/>
  <c r="W274" i="1"/>
  <c r="BM274" i="1"/>
  <c r="T274" i="1"/>
  <c r="BN274" i="1"/>
  <c r="U274" i="1"/>
  <c r="BL274" i="1"/>
  <c r="S274" i="1"/>
  <c r="BO274" i="1"/>
  <c r="V274" i="1"/>
  <c r="M321" i="1"/>
  <c r="U321" i="1" s="1"/>
  <c r="X72" i="4"/>
  <c r="K116" i="9" l="1"/>
  <c r="X74" i="4"/>
  <c r="X272" i="3"/>
  <c r="Q262" i="2"/>
  <c r="V425" i="3"/>
  <c r="R470" i="2"/>
  <c r="BK470" i="3" s="1"/>
  <c r="R290" i="2"/>
  <c r="BK290" i="3" s="1"/>
  <c r="BK85" i="3"/>
  <c r="R287" i="2"/>
  <c r="BK391" i="3"/>
  <c r="R395" i="2"/>
  <c r="AD20" i="9"/>
  <c r="AD116" i="9" s="1"/>
  <c r="BK238" i="3"/>
  <c r="R240" i="2"/>
  <c r="X73" i="4"/>
  <c r="BK274" i="1"/>
  <c r="R274" i="1"/>
  <c r="V333" i="5"/>
  <c r="V516" i="3"/>
  <c r="W302" i="3"/>
  <c r="V244" i="3"/>
  <c r="V245" i="3" s="1"/>
  <c r="V260" i="3" s="1"/>
  <c r="V146" i="3"/>
  <c r="V129" i="5" s="1"/>
  <c r="V197" i="5"/>
  <c r="V198" i="5" s="1"/>
  <c r="V199" i="5" s="1"/>
  <c r="V200" i="5" s="1"/>
  <c r="Z72" i="9"/>
  <c r="AJ72" i="9" s="1"/>
  <c r="AL72" i="9" s="1"/>
  <c r="V148" i="3"/>
  <c r="V229" i="3"/>
  <c r="V335" i="5" s="1"/>
  <c r="BK287" i="3" l="1"/>
  <c r="R303" i="2"/>
  <c r="R396" i="2"/>
  <c r="BK396" i="3" s="1"/>
  <c r="BK395" i="3"/>
  <c r="R405" i="2"/>
  <c r="BK405" i="3" s="1"/>
  <c r="BK240" i="3"/>
  <c r="AI20" i="9"/>
  <c r="AI116" i="9" s="1"/>
  <c r="V248" i="3"/>
  <c r="W8" i="3"/>
  <c r="BK303" i="3" l="1"/>
  <c r="R95" i="2"/>
  <c r="R103" i="2" s="1"/>
  <c r="V486" i="3"/>
  <c r="W450" i="3"/>
  <c r="W447" i="3"/>
  <c r="W390" i="3"/>
  <c r="W84" i="3"/>
  <c r="W19" i="3"/>
  <c r="W20" i="3"/>
  <c r="F73" i="9"/>
  <c r="K73" i="9" s="1"/>
  <c r="W373" i="5"/>
  <c r="V259" i="3"/>
  <c r="V369" i="5" s="1"/>
  <c r="BT72" i="9"/>
  <c r="BY72" i="9" s="1"/>
  <c r="R501" i="2" l="1"/>
  <c r="R461" i="2"/>
  <c r="BK461" i="3" s="1"/>
  <c r="S10" i="2"/>
  <c r="AW20" i="9"/>
  <c r="R250" i="2"/>
  <c r="BK250" i="3" s="1"/>
  <c r="R331" i="2"/>
  <c r="BK103" i="3"/>
  <c r="R116" i="2"/>
  <c r="R117" i="2" s="1"/>
  <c r="BK95" i="3"/>
  <c r="AQ20" i="9"/>
  <c r="R457" i="2"/>
  <c r="R320" i="2"/>
  <c r="S9" i="2"/>
  <c r="R249" i="2"/>
  <c r="R175" i="2"/>
  <c r="V393" i="5"/>
  <c r="W232" i="3"/>
  <c r="V261" i="3"/>
  <c r="V262" i="3" s="1"/>
  <c r="W190" i="5"/>
  <c r="W365" i="5"/>
  <c r="W393" i="3"/>
  <c r="W391" i="3"/>
  <c r="W394" i="3"/>
  <c r="W392" i="3"/>
  <c r="W238" i="3"/>
  <c r="W85" i="3"/>
  <c r="W195" i="5"/>
  <c r="R348" i="2" l="1"/>
  <c r="R253" i="2"/>
  <c r="BK253" i="3" s="1"/>
  <c r="BF20" i="9"/>
  <c r="R508" i="2"/>
  <c r="BK117" i="3"/>
  <c r="S13" i="2"/>
  <c r="BK249" i="3"/>
  <c r="R251" i="2"/>
  <c r="AQ116" i="9"/>
  <c r="AT20" i="9"/>
  <c r="AW116" i="9"/>
  <c r="AY20" i="9"/>
  <c r="AY116" i="9" s="1"/>
  <c r="S96" i="2"/>
  <c r="S11" i="2"/>
  <c r="S92" i="2"/>
  <c r="BL9" i="3"/>
  <c r="S489" i="2"/>
  <c r="BL10" i="3"/>
  <c r="S100" i="2"/>
  <c r="BK320" i="3"/>
  <c r="R321" i="2"/>
  <c r="BK331" i="3"/>
  <c r="R332" i="2"/>
  <c r="R281" i="2"/>
  <c r="BK175" i="3"/>
  <c r="BK457" i="3"/>
  <c r="BK116" i="3"/>
  <c r="S12" i="2"/>
  <c r="R347" i="2"/>
  <c r="BB20" i="9"/>
  <c r="R252" i="2"/>
  <c r="R118" i="2"/>
  <c r="R503" i="2"/>
  <c r="BK501" i="3"/>
  <c r="W395" i="3"/>
  <c r="W470" i="3"/>
  <c r="W290" i="3"/>
  <c r="W287" i="3"/>
  <c r="W240" i="3"/>
  <c r="AD73" i="9"/>
  <c r="BK252" i="3" l="1"/>
  <c r="R254" i="2"/>
  <c r="BB116" i="9"/>
  <c r="BC20" i="9"/>
  <c r="BC116" i="9" s="1"/>
  <c r="BK281" i="3"/>
  <c r="BK251" i="3"/>
  <c r="BU20" i="9"/>
  <c r="BU116" i="9" s="1"/>
  <c r="R510" i="2"/>
  <c r="BK508" i="3"/>
  <c r="R505" i="2"/>
  <c r="BK503" i="3"/>
  <c r="BK348" i="3"/>
  <c r="R349" i="2"/>
  <c r="S324" i="2"/>
  <c r="BK332" i="3"/>
  <c r="BL92" i="3"/>
  <c r="S94" i="2"/>
  <c r="BF116" i="9"/>
  <c r="BG20" i="9"/>
  <c r="BG116" i="9" s="1"/>
  <c r="BK118" i="3"/>
  <c r="R177" i="2"/>
  <c r="R464" i="2"/>
  <c r="R126" i="2"/>
  <c r="BL12" i="3"/>
  <c r="S14" i="2"/>
  <c r="S32" i="2"/>
  <c r="BL11" i="3"/>
  <c r="G21" i="9"/>
  <c r="G117" i="9" s="1"/>
  <c r="AT116" i="9"/>
  <c r="BL13" i="3"/>
  <c r="S111" i="2"/>
  <c r="S33" i="2" s="1"/>
  <c r="BK321" i="3"/>
  <c r="H270" i="1"/>
  <c r="S306" i="2"/>
  <c r="S102" i="2"/>
  <c r="BL100" i="3"/>
  <c r="BL489" i="3"/>
  <c r="S310" i="2"/>
  <c r="BL310" i="3" s="1"/>
  <c r="AR21" i="9"/>
  <c r="AR117" i="9" s="1"/>
  <c r="AE21" i="9"/>
  <c r="AE117" i="9" s="1"/>
  <c r="BL96" i="3"/>
  <c r="BK349" i="3"/>
  <c r="R350" i="2"/>
  <c r="S336" i="2" s="1"/>
  <c r="W303" i="3"/>
  <c r="AI73" i="9"/>
  <c r="W396" i="3"/>
  <c r="W405" i="3"/>
  <c r="W95" i="3" l="1"/>
  <c r="S344" i="2"/>
  <c r="BL345" i="3" s="1"/>
  <c r="BL33" i="3"/>
  <c r="BL337" i="3"/>
  <c r="R135" i="2"/>
  <c r="R467" i="2"/>
  <c r="BK467" i="3" s="1"/>
  <c r="S15" i="2"/>
  <c r="R363" i="2"/>
  <c r="BI20" i="9"/>
  <c r="BK126" i="3"/>
  <c r="R255" i="2"/>
  <c r="S343" i="2"/>
  <c r="BL344" i="3" s="1"/>
  <c r="BL32" i="3"/>
  <c r="S34" i="2"/>
  <c r="BK464" i="3"/>
  <c r="BL324" i="3"/>
  <c r="R506" i="2"/>
  <c r="BK505" i="3"/>
  <c r="S379" i="5"/>
  <c r="S383" i="5" s="1"/>
  <c r="BL102" i="3"/>
  <c r="S502" i="2"/>
  <c r="BL502" i="3" s="1"/>
  <c r="S378" i="5"/>
  <c r="S460" i="2"/>
  <c r="BL460" i="3" s="1"/>
  <c r="AU21" i="9"/>
  <c r="AU117" i="9" s="1"/>
  <c r="S326" i="2"/>
  <c r="BL326" i="3" s="1"/>
  <c r="S296" i="2"/>
  <c r="BL296" i="3" s="1"/>
  <c r="H21" i="9"/>
  <c r="H117" i="9" s="1"/>
  <c r="BL14" i="3"/>
  <c r="BK177" i="3"/>
  <c r="R282" i="2"/>
  <c r="S308" i="2"/>
  <c r="BL308" i="3" s="1"/>
  <c r="BL94" i="3"/>
  <c r="S293" i="2"/>
  <c r="BL293" i="3" s="1"/>
  <c r="S456" i="2"/>
  <c r="BL456" i="3" s="1"/>
  <c r="S377" i="5"/>
  <c r="AN21" i="9"/>
  <c r="AN117" i="9" s="1"/>
  <c r="S176" i="2"/>
  <c r="BK350" i="3"/>
  <c r="S335" i="2"/>
  <c r="BK254" i="3"/>
  <c r="BV20" i="9"/>
  <c r="BV116" i="9" s="1"/>
  <c r="BL306" i="3"/>
  <c r="S338" i="2"/>
  <c r="BL339" i="3" s="1"/>
  <c r="BD21" i="9"/>
  <c r="BD117" i="9" s="1"/>
  <c r="BL111" i="3"/>
  <c r="S112" i="2"/>
  <c r="S509" i="2"/>
  <c r="BL509" i="3" s="1"/>
  <c r="BK510" i="3"/>
  <c r="R512" i="2"/>
  <c r="AQ73" i="9" l="1"/>
  <c r="AT73" i="9" s="1"/>
  <c r="W103" i="3"/>
  <c r="W116" i="3" s="1"/>
  <c r="W347" i="3" s="1"/>
  <c r="W349" i="3" s="1"/>
  <c r="X335" i="3" s="1"/>
  <c r="W320" i="3"/>
  <c r="W321" i="3" s="1"/>
  <c r="X306" i="3" s="1"/>
  <c r="W249" i="3"/>
  <c r="W457" i="3"/>
  <c r="X9" i="3"/>
  <c r="X489" i="3" s="1"/>
  <c r="S315" i="2"/>
  <c r="BL315" i="3" s="1"/>
  <c r="S313" i="2"/>
  <c r="BL336" i="3"/>
  <c r="BL335" i="3"/>
  <c r="S339" i="2"/>
  <c r="BL340" i="3" s="1"/>
  <c r="S345" i="2"/>
  <c r="BL346" i="3" s="1"/>
  <c r="S327" i="2"/>
  <c r="BK255" i="3"/>
  <c r="R257" i="2"/>
  <c r="BL15" i="3"/>
  <c r="S17" i="2"/>
  <c r="S35" i="2"/>
  <c r="S127" i="2"/>
  <c r="S340" i="2"/>
  <c r="BL341" i="3" s="1"/>
  <c r="S463" i="2"/>
  <c r="BL463" i="3" s="1"/>
  <c r="BL112" i="3"/>
  <c r="S297" i="2"/>
  <c r="BL297" i="3" s="1"/>
  <c r="S178" i="2"/>
  <c r="BL178" i="3" s="1"/>
  <c r="S309" i="2"/>
  <c r="BK282" i="3"/>
  <c r="R284" i="2"/>
  <c r="BL34" i="3"/>
  <c r="O21" i="9"/>
  <c r="O117" i="9" s="1"/>
  <c r="BK512" i="3"/>
  <c r="R513" i="2"/>
  <c r="BL176" i="3"/>
  <c r="BI116" i="9"/>
  <c r="BL20" i="9"/>
  <c r="R469" i="2"/>
  <c r="BO20" i="9"/>
  <c r="BK135" i="3"/>
  <c r="S18" i="2"/>
  <c r="R382" i="2"/>
  <c r="R258" i="2"/>
  <c r="BK364" i="3"/>
  <c r="R364" i="2"/>
  <c r="S353" i="2" s="1"/>
  <c r="S346" i="2"/>
  <c r="BL347" i="3" s="1"/>
  <c r="W331" i="3"/>
  <c r="W332" i="3" s="1"/>
  <c r="X324" i="3" s="1"/>
  <c r="W501" i="3"/>
  <c r="W503" i="3" s="1"/>
  <c r="W505" i="3" s="1"/>
  <c r="W506" i="3" s="1"/>
  <c r="W175" i="3"/>
  <c r="W281" i="3" s="1"/>
  <c r="X92" i="3" l="1"/>
  <c r="X94" i="3" s="1"/>
  <c r="BB73" i="9"/>
  <c r="BC73" i="9" s="1"/>
  <c r="AW73" i="9"/>
  <c r="AY73" i="9" s="1"/>
  <c r="X96" i="3"/>
  <c r="AE74" i="9" s="1"/>
  <c r="W252" i="3"/>
  <c r="X10" i="3"/>
  <c r="X11" i="3" s="1"/>
  <c r="G74" i="9" s="1"/>
  <c r="W117" i="3"/>
  <c r="W508" i="3" s="1"/>
  <c r="W510" i="3" s="1"/>
  <c r="W512" i="3" s="1"/>
  <c r="W513" i="3" s="1"/>
  <c r="X12" i="3"/>
  <c r="X110" i="3" s="1"/>
  <c r="X32" i="3" s="1"/>
  <c r="W250" i="3"/>
  <c r="W251" i="3" s="1"/>
  <c r="BU73" i="9" s="1"/>
  <c r="W461" i="3"/>
  <c r="S89" i="2"/>
  <c r="S316" i="2" s="1"/>
  <c r="BK258" i="3"/>
  <c r="R175" i="5"/>
  <c r="BX20" i="9"/>
  <c r="BX116" i="9" s="1"/>
  <c r="BO116" i="9"/>
  <c r="BP20" i="9"/>
  <c r="BP116" i="9" s="1"/>
  <c r="R357" i="1"/>
  <c r="BL309" i="3"/>
  <c r="R390" i="1"/>
  <c r="BL353" i="3"/>
  <c r="R391" i="1"/>
  <c r="R383" i="2"/>
  <c r="BK382" i="3"/>
  <c r="BK469" i="3"/>
  <c r="R474" i="2"/>
  <c r="R472" i="2"/>
  <c r="BK21" i="9"/>
  <c r="BK117" i="9" s="1"/>
  <c r="AG21" i="9"/>
  <c r="AG117" i="9" s="1"/>
  <c r="BL127" i="3"/>
  <c r="S355" i="2"/>
  <c r="BL355" i="3" s="1"/>
  <c r="BK257" i="3"/>
  <c r="BW20" i="9"/>
  <c r="BW116" i="9" s="1"/>
  <c r="BL18" i="3"/>
  <c r="S131" i="2"/>
  <c r="BL131" i="3" s="1"/>
  <c r="J21" i="9"/>
  <c r="J117" i="9" s="1"/>
  <c r="E271" i="1"/>
  <c r="BL116" i="9"/>
  <c r="Q359" i="1"/>
  <c r="BK284" i="3"/>
  <c r="S37" i="2"/>
  <c r="S361" i="2"/>
  <c r="BL35" i="3"/>
  <c r="BL17" i="3"/>
  <c r="I21" i="9"/>
  <c r="I117" i="9" s="1"/>
  <c r="BL327" i="3"/>
  <c r="S99" i="2"/>
  <c r="W348" i="3"/>
  <c r="W350" i="3" s="1"/>
  <c r="X336" i="3" s="1"/>
  <c r="BF73" i="9"/>
  <c r="BG73" i="9" s="1"/>
  <c r="X456" i="3"/>
  <c r="X308" i="3"/>
  <c r="X293" i="3"/>
  <c r="X405" i="5"/>
  <c r="X406" i="5" s="1"/>
  <c r="X380" i="5"/>
  <c r="AN74" i="9"/>
  <c r="X100" i="3"/>
  <c r="X102" i="3" s="1"/>
  <c r="Y93" i="3"/>
  <c r="X310" i="3" l="1"/>
  <c r="W118" i="3"/>
  <c r="W126" i="3" s="1"/>
  <c r="X13" i="3"/>
  <c r="W253" i="3"/>
  <c r="W254" i="3" s="1"/>
  <c r="BV73" i="9" s="1"/>
  <c r="BL89" i="3"/>
  <c r="X29" i="3"/>
  <c r="X317" i="3" s="1"/>
  <c r="X319" i="3" s="1"/>
  <c r="X491" i="3"/>
  <c r="X493" i="3" s="1"/>
  <c r="X494" i="3" s="1"/>
  <c r="AR74" i="9"/>
  <c r="T89" i="2"/>
  <c r="U89" i="2" s="1"/>
  <c r="S91" i="2"/>
  <c r="S455" i="2" s="1"/>
  <c r="BL455" i="3" s="1"/>
  <c r="BR20" i="9"/>
  <c r="BR116" i="9" s="1"/>
  <c r="P21" i="9"/>
  <c r="P117" i="9" s="1"/>
  <c r="BL37" i="3"/>
  <c r="BL316" i="3"/>
  <c r="R28" i="2"/>
  <c r="BK472" i="3"/>
  <c r="R401" i="2"/>
  <c r="R400" i="2"/>
  <c r="R399" i="2"/>
  <c r="R402" i="2"/>
  <c r="BK383" i="3"/>
  <c r="S377" i="2"/>
  <c r="BK474" i="3"/>
  <c r="R476" i="2"/>
  <c r="S362" i="2"/>
  <c r="BL363" i="3" s="1"/>
  <c r="BL99" i="3"/>
  <c r="S295" i="2"/>
  <c r="BL295" i="3" s="1"/>
  <c r="S328" i="2"/>
  <c r="AV21" i="9"/>
  <c r="AV117" i="9" s="1"/>
  <c r="S459" i="2"/>
  <c r="BL459" i="3" s="1"/>
  <c r="T101" i="2"/>
  <c r="BM101" i="3" s="1"/>
  <c r="S30" i="2"/>
  <c r="BL362" i="3"/>
  <c r="BL356" i="3"/>
  <c r="S491" i="2"/>
  <c r="AP21" i="9"/>
  <c r="AP117" i="9" s="1"/>
  <c r="G271" i="1"/>
  <c r="A271" i="1" s="1"/>
  <c r="BL91" i="3"/>
  <c r="S292" i="2"/>
  <c r="BL292" i="3" s="1"/>
  <c r="T93" i="2"/>
  <c r="BM93" i="3" s="1"/>
  <c r="X343" i="3"/>
  <c r="X337" i="3"/>
  <c r="AZ74" i="9"/>
  <c r="X408" i="5"/>
  <c r="W464" i="3"/>
  <c r="W177" i="3"/>
  <c r="W282" i="3" s="1"/>
  <c r="W284" i="3" s="1"/>
  <c r="X502" i="3"/>
  <c r="X460" i="3"/>
  <c r="X326" i="3"/>
  <c r="X296" i="3"/>
  <c r="X381" i="5"/>
  <c r="AU74" i="9"/>
  <c r="X176" i="3"/>
  <c r="X111" i="3"/>
  <c r="X112" i="3" s="1"/>
  <c r="X14" i="3"/>
  <c r="H74" i="9" s="1"/>
  <c r="X382" i="5"/>
  <c r="X309" i="3"/>
  <c r="X496" i="3" l="1"/>
  <c r="X497" i="3" s="1"/>
  <c r="X498" i="3" s="1"/>
  <c r="S29" i="2"/>
  <c r="T316" i="2"/>
  <c r="BM316" i="3" s="1"/>
  <c r="T91" i="2"/>
  <c r="T292" i="2" s="1"/>
  <c r="BM292" i="3" s="1"/>
  <c r="BM89" i="3"/>
  <c r="BL29" i="3"/>
  <c r="S317" i="2"/>
  <c r="S31" i="2"/>
  <c r="R410" i="2"/>
  <c r="BK401" i="3"/>
  <c r="BL30" i="3"/>
  <c r="S329" i="2"/>
  <c r="BL329" i="3" s="1"/>
  <c r="BL328" i="3"/>
  <c r="BK476" i="3"/>
  <c r="R478" i="2"/>
  <c r="R411" i="2"/>
  <c r="BK402" i="3"/>
  <c r="BL491" i="3"/>
  <c r="S493" i="2"/>
  <c r="S494" i="2"/>
  <c r="BL494" i="3" s="1"/>
  <c r="AP22" i="9"/>
  <c r="AP118" i="9" s="1"/>
  <c r="BK399" i="3"/>
  <c r="R403" i="2"/>
  <c r="BK403" i="3" s="1"/>
  <c r="R408" i="2"/>
  <c r="R241" i="2"/>
  <c r="BK241" i="3" s="1"/>
  <c r="R169" i="2"/>
  <c r="BK28" i="3"/>
  <c r="R71" i="2"/>
  <c r="R390" i="5"/>
  <c r="R438" i="2"/>
  <c r="R11" i="5"/>
  <c r="R207" i="5" s="1"/>
  <c r="R139" i="2"/>
  <c r="BK139" i="3" s="1"/>
  <c r="M20" i="9"/>
  <c r="U91" i="2"/>
  <c r="BN89" i="3"/>
  <c r="U316" i="2"/>
  <c r="BN316" i="3" s="1"/>
  <c r="V89" i="2"/>
  <c r="S129" i="2"/>
  <c r="BL377" i="3"/>
  <c r="R409" i="2"/>
  <c r="BK400" i="3"/>
  <c r="X463" i="3"/>
  <c r="X297" i="3"/>
  <c r="X178" i="3"/>
  <c r="W467" i="3"/>
  <c r="W363" i="3"/>
  <c r="W364" i="3" s="1"/>
  <c r="X353" i="3" s="1"/>
  <c r="BI73" i="9"/>
  <c r="BL73" i="9" s="1"/>
  <c r="BR73" i="9" s="1"/>
  <c r="W255" i="3"/>
  <c r="W257" i="3" s="1"/>
  <c r="BW73" i="9" s="1"/>
  <c r="X15" i="3"/>
  <c r="X509" i="3"/>
  <c r="X338" i="3"/>
  <c r="BD74" i="9"/>
  <c r="X327" i="3"/>
  <c r="X99" i="3" s="1"/>
  <c r="X339" i="3"/>
  <c r="X113" i="3" s="1"/>
  <c r="X33" i="3"/>
  <c r="G272" i="1" l="1"/>
  <c r="BM91" i="3"/>
  <c r="T455" i="2"/>
  <c r="BM455" i="3" s="1"/>
  <c r="BL129" i="3"/>
  <c r="S134" i="2"/>
  <c r="S330" i="2"/>
  <c r="BL330" i="3" s="1"/>
  <c r="BN91" i="3"/>
  <c r="G273" i="1"/>
  <c r="U455" i="2"/>
  <c r="BN455" i="3" s="1"/>
  <c r="AP23" i="9"/>
  <c r="AP119" i="9" s="1"/>
  <c r="U292" i="2"/>
  <c r="BN292" i="3" s="1"/>
  <c r="S496" i="2"/>
  <c r="BL493" i="3"/>
  <c r="R480" i="2"/>
  <c r="BK478" i="3"/>
  <c r="BK409" i="3"/>
  <c r="R416" i="2"/>
  <c r="BK416" i="3" s="1"/>
  <c r="V316" i="2"/>
  <c r="BO316" i="3" s="1"/>
  <c r="W89" i="2"/>
  <c r="V91" i="2"/>
  <c r="BO89" i="3"/>
  <c r="BK438" i="3"/>
  <c r="R444" i="2"/>
  <c r="BK444" i="3" s="1"/>
  <c r="Q354" i="1"/>
  <c r="BK169" i="3"/>
  <c r="BL31" i="3"/>
  <c r="S439" i="2"/>
  <c r="BL439" i="3" s="1"/>
  <c r="N21" i="9"/>
  <c r="N117" i="9" s="1"/>
  <c r="M116" i="9"/>
  <c r="W20" i="9"/>
  <c r="R394" i="5"/>
  <c r="R391" i="5"/>
  <c r="R395" i="5" s="1"/>
  <c r="BL317" i="3"/>
  <c r="S319" i="2"/>
  <c r="BL319" i="3" s="1"/>
  <c r="Q368" i="1"/>
  <c r="R386" i="5"/>
  <c r="R388" i="5" s="1"/>
  <c r="BK71" i="3"/>
  <c r="R415" i="2"/>
  <c r="BK408" i="3"/>
  <c r="R412" i="2"/>
  <c r="BK412" i="3" s="1"/>
  <c r="BK411" i="3"/>
  <c r="R418" i="2"/>
  <c r="BK418" i="3" s="1"/>
  <c r="R417" i="2"/>
  <c r="BK410" i="3"/>
  <c r="X127" i="3"/>
  <c r="X17" i="3"/>
  <c r="I74" i="9" s="1"/>
  <c r="W472" i="3"/>
  <c r="W474" i="3"/>
  <c r="X344" i="3"/>
  <c r="X34" i="3"/>
  <c r="O74" i="9" s="1"/>
  <c r="X328" i="3"/>
  <c r="X459" i="3"/>
  <c r="X295" i="3"/>
  <c r="AV74" i="9"/>
  <c r="X30" i="3"/>
  <c r="Y101" i="3"/>
  <c r="X340" i="3"/>
  <c r="X114" i="3" s="1"/>
  <c r="X115" i="3" s="1"/>
  <c r="X341" i="3"/>
  <c r="X345" i="3" s="1"/>
  <c r="BA74" i="9"/>
  <c r="W116" i="9" l="1"/>
  <c r="S174" i="5"/>
  <c r="BN21" i="9"/>
  <c r="S380" i="2"/>
  <c r="S468" i="2"/>
  <c r="BL134" i="3"/>
  <c r="S300" i="2"/>
  <c r="S38" i="2"/>
  <c r="R170" i="2"/>
  <c r="BK417" i="3"/>
  <c r="R413" i="2"/>
  <c r="R419" i="2"/>
  <c r="BK415" i="3"/>
  <c r="V455" i="2"/>
  <c r="BO455" i="3" s="1"/>
  <c r="V292" i="2"/>
  <c r="BO292" i="3" s="1"/>
  <c r="G274" i="1"/>
  <c r="BO91" i="3"/>
  <c r="AP24" i="9"/>
  <c r="AP120" i="9" s="1"/>
  <c r="W316" i="2"/>
  <c r="BP316" i="3" s="1"/>
  <c r="X89" i="2"/>
  <c r="W91" i="2"/>
  <c r="BP89" i="3"/>
  <c r="S497" i="2"/>
  <c r="BL496" i="3"/>
  <c r="BK480" i="3"/>
  <c r="R481" i="2"/>
  <c r="X329" i="3"/>
  <c r="X330" i="3" s="1"/>
  <c r="X31" i="3"/>
  <c r="W476" i="3"/>
  <c r="W478" i="3" s="1"/>
  <c r="X342" i="3"/>
  <c r="X346" i="3" s="1"/>
  <c r="BE74" i="9"/>
  <c r="W28" i="3"/>
  <c r="W401" i="3"/>
  <c r="W410" i="3" s="1"/>
  <c r="W417" i="3" s="1"/>
  <c r="W170" i="3" s="1"/>
  <c r="W399" i="3"/>
  <c r="W400" i="3"/>
  <c r="W409" i="3" s="1"/>
  <c r="W416" i="3" s="1"/>
  <c r="W402" i="3"/>
  <c r="W411" i="3" s="1"/>
  <c r="W418" i="3" s="1"/>
  <c r="X462" i="3"/>
  <c r="X298" i="3"/>
  <c r="X355" i="3"/>
  <c r="BK74" i="9"/>
  <c r="AG74" i="9"/>
  <c r="S173" i="5" l="1"/>
  <c r="S440" i="2"/>
  <c r="BL440" i="3" s="1"/>
  <c r="S379" i="2"/>
  <c r="Q21" i="9"/>
  <c r="Q117" i="9" s="1"/>
  <c r="BL38" i="3"/>
  <c r="BL468" i="3"/>
  <c r="BL380" i="3"/>
  <c r="BL300" i="3"/>
  <c r="BN117" i="9"/>
  <c r="BL497" i="3"/>
  <c r="S498" i="2"/>
  <c r="BL498" i="3" s="1"/>
  <c r="R420" i="2"/>
  <c r="BK420" i="3" s="1"/>
  <c r="BK419" i="3"/>
  <c r="BK481" i="3"/>
  <c r="R482" i="2"/>
  <c r="BK482" i="3" s="1"/>
  <c r="W455" i="2"/>
  <c r="BP455" i="3" s="1"/>
  <c r="AP25" i="9"/>
  <c r="AP121" i="9" s="1"/>
  <c r="BP91" i="3"/>
  <c r="G275" i="1"/>
  <c r="W292" i="2"/>
  <c r="BP292" i="3" s="1"/>
  <c r="Y89" i="2"/>
  <c r="X91" i="2"/>
  <c r="BQ89" i="3"/>
  <c r="X316" i="2"/>
  <c r="BQ316" i="3" s="1"/>
  <c r="Q355" i="1"/>
  <c r="BK170" i="3"/>
  <c r="R268" i="2"/>
  <c r="BK268" i="3" s="1"/>
  <c r="R210" i="2"/>
  <c r="R171" i="2"/>
  <c r="R192" i="2"/>
  <c r="W268" i="3"/>
  <c r="W210" i="3"/>
  <c r="W438" i="3"/>
  <c r="W444" i="3" s="1"/>
  <c r="W169" i="3"/>
  <c r="W241" i="3"/>
  <c r="W139" i="3"/>
  <c r="W71" i="3"/>
  <c r="W191" i="5"/>
  <c r="M73" i="9"/>
  <c r="W73" i="9" s="1"/>
  <c r="W392" i="5"/>
  <c r="X357" i="3"/>
  <c r="W403" i="3"/>
  <c r="W408" i="3"/>
  <c r="W480" i="3"/>
  <c r="X439" i="3"/>
  <c r="N74" i="9"/>
  <c r="BL379" i="3" l="1"/>
  <c r="S381" i="2"/>
  <c r="BL381" i="3" s="1"/>
  <c r="R182" i="2"/>
  <c r="BK171" i="3"/>
  <c r="Q356" i="1"/>
  <c r="Q361" i="1" s="1"/>
  <c r="Y91" i="2"/>
  <c r="Y316" i="2"/>
  <c r="BR316" i="3" s="1"/>
  <c r="Z89" i="2"/>
  <c r="BR89" i="3"/>
  <c r="BK210" i="3"/>
  <c r="Q380" i="1"/>
  <c r="BK192" i="3"/>
  <c r="Q366" i="1"/>
  <c r="X292" i="2"/>
  <c r="BQ292" i="3" s="1"/>
  <c r="K181" i="1"/>
  <c r="BQ91" i="3"/>
  <c r="G276" i="1"/>
  <c r="X455" i="2"/>
  <c r="BQ455" i="3" s="1"/>
  <c r="AP26" i="9"/>
  <c r="AP122" i="9" s="1"/>
  <c r="W481" i="3"/>
  <c r="W412" i="3"/>
  <c r="W413" i="3" s="1"/>
  <c r="W415" i="3"/>
  <c r="W419" i="3" s="1"/>
  <c r="W420" i="3" s="1"/>
  <c r="BQ357" i="3"/>
  <c r="X121" i="3"/>
  <c r="W171" i="3"/>
  <c r="W182" i="3" s="1"/>
  <c r="W192" i="3"/>
  <c r="W387" i="5"/>
  <c r="Z91" i="2" l="1"/>
  <c r="AA89" i="2"/>
  <c r="BS89" i="3"/>
  <c r="Z316" i="2"/>
  <c r="BS316" i="3" s="1"/>
  <c r="BR91" i="3"/>
  <c r="G277" i="1"/>
  <c r="Y455" i="2"/>
  <c r="BR455" i="3" s="1"/>
  <c r="AP27" i="9"/>
  <c r="AP123" i="9" s="1"/>
  <c r="Y292" i="2"/>
  <c r="BR292" i="3" s="1"/>
  <c r="R153" i="2"/>
  <c r="BK182" i="3"/>
  <c r="R207" i="2"/>
  <c r="W207" i="3"/>
  <c r="W212" i="3" s="1"/>
  <c r="W153" i="3"/>
  <c r="W154" i="3" s="1"/>
  <c r="W156" i="3" s="1"/>
  <c r="X358" i="3"/>
  <c r="W482" i="3"/>
  <c r="BK207" i="3" l="1"/>
  <c r="R212" i="2"/>
  <c r="R154" i="2"/>
  <c r="BK153" i="3"/>
  <c r="AB89" i="2"/>
  <c r="AA316" i="2"/>
  <c r="BT316" i="3" s="1"/>
  <c r="BT89" i="3"/>
  <c r="AA91" i="2"/>
  <c r="Z455" i="2"/>
  <c r="BS455" i="3" s="1"/>
  <c r="BS91" i="3"/>
  <c r="G278" i="1"/>
  <c r="Z292" i="2"/>
  <c r="BS292" i="3" s="1"/>
  <c r="AP28" i="9"/>
  <c r="AP124" i="9" s="1"/>
  <c r="X359" i="3"/>
  <c r="X122" i="3" s="1"/>
  <c r="W158" i="3"/>
  <c r="W162" i="3" s="1"/>
  <c r="W159" i="3"/>
  <c r="W160" i="3" s="1"/>
  <c r="W161" i="3" s="1"/>
  <c r="W218" i="3"/>
  <c r="W225" i="3"/>
  <c r="AA455" i="2" l="1"/>
  <c r="BT455" i="3" s="1"/>
  <c r="AA292" i="2"/>
  <c r="BT292" i="3" s="1"/>
  <c r="AP29" i="9"/>
  <c r="AP125" i="9" s="1"/>
  <c r="BT91" i="3"/>
  <c r="G279" i="1"/>
  <c r="BK154" i="3"/>
  <c r="R156" i="2"/>
  <c r="R225" i="2"/>
  <c r="BK225" i="3" s="1"/>
  <c r="R218" i="2"/>
  <c r="BK212" i="3"/>
  <c r="W163" i="3"/>
  <c r="W165" i="3" s="1"/>
  <c r="AB91" i="2"/>
  <c r="BU89" i="3"/>
  <c r="AB316" i="2"/>
  <c r="BU316" i="3" s="1"/>
  <c r="AC89" i="2"/>
  <c r="W222" i="3"/>
  <c r="W221" i="3"/>
  <c r="W220" i="3"/>
  <c r="X360" i="3"/>
  <c r="X123" i="3"/>
  <c r="W166" i="3" l="1"/>
  <c r="W267" i="3"/>
  <c r="W139" i="5"/>
  <c r="AP30" i="9"/>
  <c r="AP126" i="9" s="1"/>
  <c r="BU91" i="3"/>
  <c r="G280" i="1"/>
  <c r="AB455" i="2"/>
  <c r="BU455" i="3" s="1"/>
  <c r="AB292" i="2"/>
  <c r="BU292" i="3" s="1"/>
  <c r="AC91" i="2"/>
  <c r="AD89" i="2"/>
  <c r="BV89" i="3"/>
  <c r="AC316" i="2"/>
  <c r="BV316" i="3" s="1"/>
  <c r="BK156" i="3"/>
  <c r="R159" i="2"/>
  <c r="R158" i="2"/>
  <c r="W183" i="3"/>
  <c r="W184" i="3" s="1"/>
  <c r="W266" i="3" s="1"/>
  <c r="W270" i="3" s="1"/>
  <c r="R220" i="2"/>
  <c r="R221" i="2"/>
  <c r="BK221" i="3" s="1"/>
  <c r="R222" i="2"/>
  <c r="BK222" i="3" s="1"/>
  <c r="BK218" i="3"/>
  <c r="W223" i="3"/>
  <c r="W227" i="3" s="1"/>
  <c r="X125" i="3"/>
  <c r="BH74" i="9"/>
  <c r="X35" i="3"/>
  <c r="W95" i="4" l="1"/>
  <c r="W398" i="5"/>
  <c r="W330" i="5"/>
  <c r="W191" i="3"/>
  <c r="W193" i="3" s="1"/>
  <c r="W197" i="3" s="1"/>
  <c r="BK159" i="3"/>
  <c r="R160" i="2"/>
  <c r="AE89" i="2"/>
  <c r="AD91" i="2"/>
  <c r="BW89" i="3"/>
  <c r="AD316" i="2"/>
  <c r="BW316" i="3" s="1"/>
  <c r="BK220" i="3"/>
  <c r="R223" i="2"/>
  <c r="AP31" i="9"/>
  <c r="AP127" i="9" s="1"/>
  <c r="BV91" i="3"/>
  <c r="G281" i="1"/>
  <c r="AC455" i="2"/>
  <c r="BV455" i="3" s="1"/>
  <c r="AC292" i="2"/>
  <c r="BV292" i="3" s="1"/>
  <c r="BK158" i="3"/>
  <c r="R162" i="2"/>
  <c r="BK162" i="3" s="1"/>
  <c r="W334" i="5"/>
  <c r="W228" i="3"/>
  <c r="X466" i="3"/>
  <c r="X299" i="3"/>
  <c r="W201" i="3"/>
  <c r="X361" i="3"/>
  <c r="X37" i="3"/>
  <c r="W64" i="4"/>
  <c r="Y65" i="4" s="1"/>
  <c r="W331" i="5"/>
  <c r="W200" i="3" l="1"/>
  <c r="S322" i="1" s="1"/>
  <c r="W198" i="3"/>
  <c r="BV275" i="1" s="1"/>
  <c r="W195" i="3"/>
  <c r="BS275" i="1" s="1"/>
  <c r="W196" i="3"/>
  <c r="W322" i="4" s="1"/>
  <c r="W199" i="3"/>
  <c r="R322" i="1" s="1"/>
  <c r="BK223" i="3"/>
  <c r="R227" i="2"/>
  <c r="G282" i="1"/>
  <c r="AP32" i="9"/>
  <c r="AP128" i="9" s="1"/>
  <c r="AD292" i="2"/>
  <c r="BW292" i="3" s="1"/>
  <c r="BW91" i="3"/>
  <c r="AD455" i="2"/>
  <c r="BW455" i="3" s="1"/>
  <c r="AE316" i="2"/>
  <c r="BX316" i="3" s="1"/>
  <c r="AF89" i="2"/>
  <c r="AE91" i="2"/>
  <c r="BX89" i="3"/>
  <c r="R161" i="2"/>
  <c r="BK160" i="3"/>
  <c r="X440" i="3"/>
  <c r="P74" i="9"/>
  <c r="W323" i="4"/>
  <c r="P322" i="1"/>
  <c r="BU275" i="1"/>
  <c r="Y69" i="4"/>
  <c r="Y71" i="4"/>
  <c r="Y70" i="4"/>
  <c r="Y68" i="4"/>
  <c r="Y67" i="4"/>
  <c r="X362" i="3"/>
  <c r="T322" i="1"/>
  <c r="W326" i="4" l="1"/>
  <c r="BQ275" i="1" s="1"/>
  <c r="N322" i="1"/>
  <c r="W321" i="4"/>
  <c r="BL275" i="1" s="1"/>
  <c r="Q322" i="1"/>
  <c r="W324" i="4"/>
  <c r="BO275" i="1" s="1"/>
  <c r="W325" i="4"/>
  <c r="BP275" i="1" s="1"/>
  <c r="BW275" i="1"/>
  <c r="BX275" i="1"/>
  <c r="W204" i="3"/>
  <c r="W515" i="3" s="1"/>
  <c r="O322" i="1"/>
  <c r="BT275" i="1"/>
  <c r="W202" i="3"/>
  <c r="W332" i="5" s="1"/>
  <c r="R163" i="2"/>
  <c r="BK161" i="3"/>
  <c r="AE292" i="2"/>
  <c r="BX292" i="3" s="1"/>
  <c r="BX91" i="3"/>
  <c r="G283" i="1"/>
  <c r="AE455" i="2"/>
  <c r="BX455" i="3" s="1"/>
  <c r="AP33" i="9"/>
  <c r="AP129" i="9" s="1"/>
  <c r="R89" i="5"/>
  <c r="R345" i="5" s="1"/>
  <c r="Q371" i="1"/>
  <c r="Q393" i="1"/>
  <c r="BK227" i="3"/>
  <c r="Q385" i="1"/>
  <c r="R228" i="2"/>
  <c r="BK228" i="3" s="1"/>
  <c r="BY89" i="3"/>
  <c r="AF316" i="2"/>
  <c r="BY316" i="3" s="1"/>
  <c r="AG89" i="2"/>
  <c r="AF91" i="2"/>
  <c r="Y72" i="4"/>
  <c r="Y272" i="3" s="1"/>
  <c r="S275" i="1"/>
  <c r="BN275" i="1"/>
  <c r="U275" i="1"/>
  <c r="BM275" i="1"/>
  <c r="T275" i="1"/>
  <c r="Y74" i="4" l="1"/>
  <c r="X275" i="1"/>
  <c r="M322" i="1"/>
  <c r="U322" i="1" s="1"/>
  <c r="V275" i="1"/>
  <c r="W275" i="1"/>
  <c r="W145" i="3"/>
  <c r="Z73" i="9" s="1"/>
  <c r="AJ73" i="9" s="1"/>
  <c r="AL73" i="9" s="1"/>
  <c r="W422" i="3"/>
  <c r="W424" i="3" s="1"/>
  <c r="W203" i="3"/>
  <c r="W333" i="5" s="1"/>
  <c r="W484" i="3"/>
  <c r="W485" i="3" s="1"/>
  <c r="Y73" i="4"/>
  <c r="AG91" i="2"/>
  <c r="AG316" i="2"/>
  <c r="BZ316" i="3" s="1"/>
  <c r="BZ89" i="3"/>
  <c r="AH89" i="2"/>
  <c r="BY91" i="3"/>
  <c r="AP34" i="9"/>
  <c r="AP130" i="9" s="1"/>
  <c r="AF455" i="2"/>
  <c r="BY455" i="3" s="1"/>
  <c r="AF292" i="2"/>
  <c r="BY292" i="3" s="1"/>
  <c r="G284" i="1"/>
  <c r="BK163" i="3"/>
  <c r="R165" i="2"/>
  <c r="R267" i="2" s="1"/>
  <c r="X302" i="3"/>
  <c r="W244" i="3"/>
  <c r="W245" i="3" s="1"/>
  <c r="W260" i="3" s="1"/>
  <c r="W146" i="3"/>
  <c r="W129" i="5" s="1"/>
  <c r="W425" i="3" l="1"/>
  <c r="W229" i="3"/>
  <c r="W335" i="5" s="1"/>
  <c r="R275" i="1"/>
  <c r="BK275" i="1"/>
  <c r="W148" i="3"/>
  <c r="W248" i="3" s="1"/>
  <c r="W197" i="5"/>
  <c r="W198" i="5" s="1"/>
  <c r="W199" i="5" s="1"/>
  <c r="W200" i="5" s="1"/>
  <c r="W516" i="3"/>
  <c r="AI89" i="2"/>
  <c r="AH316" i="2"/>
  <c r="CA316" i="3" s="1"/>
  <c r="AH91" i="2"/>
  <c r="CA89" i="3"/>
  <c r="R112" i="5"/>
  <c r="R140" i="5" s="1"/>
  <c r="R183" i="2"/>
  <c r="R166" i="2"/>
  <c r="BK166" i="3" s="1"/>
  <c r="BK165" i="3"/>
  <c r="BK267" i="3"/>
  <c r="AG455" i="2"/>
  <c r="BZ455" i="3" s="1"/>
  <c r="AP35" i="9"/>
  <c r="AP131" i="9" s="1"/>
  <c r="AG292" i="2"/>
  <c r="BZ292" i="3" s="1"/>
  <c r="BZ91" i="3"/>
  <c r="G285" i="1"/>
  <c r="X8" i="3"/>
  <c r="AH292" i="2" l="1"/>
  <c r="CA292" i="3" s="1"/>
  <c r="AH455" i="2"/>
  <c r="CA455" i="3" s="1"/>
  <c r="CA91" i="3"/>
  <c r="G286" i="1"/>
  <c r="AP36" i="9"/>
  <c r="AP132" i="9" s="1"/>
  <c r="Q363" i="1"/>
  <c r="Q364" i="1" s="1"/>
  <c r="BK183" i="3"/>
  <c r="Q375" i="1"/>
  <c r="R184" i="2"/>
  <c r="AI316" i="2"/>
  <c r="CB316" i="3" s="1"/>
  <c r="AI91" i="2"/>
  <c r="CB89" i="3"/>
  <c r="AJ89" i="2"/>
  <c r="W486" i="3"/>
  <c r="X450" i="3"/>
  <c r="X447" i="3"/>
  <c r="X390" i="3"/>
  <c r="X84" i="3"/>
  <c r="X20" i="3"/>
  <c r="F74" i="9"/>
  <c r="K74" i="9" s="1"/>
  <c r="X19" i="3"/>
  <c r="X373" i="5"/>
  <c r="W259" i="3"/>
  <c r="W369" i="5" s="1"/>
  <c r="BT73" i="9"/>
  <c r="BY73" i="9" s="1"/>
  <c r="AP37" i="9" l="1"/>
  <c r="AP133" i="9" s="1"/>
  <c r="AI292" i="2"/>
  <c r="CB292" i="3" s="1"/>
  <c r="AI455" i="2"/>
  <c r="CB455" i="3" s="1"/>
  <c r="G287" i="1"/>
  <c r="CB91" i="3"/>
  <c r="Q374" i="1"/>
  <c r="Q377" i="1" s="1"/>
  <c r="Q382" i="1" s="1"/>
  <c r="Q384" i="1" s="1"/>
  <c r="Q386" i="1" s="1"/>
  <c r="Q367" i="1"/>
  <c r="AJ316" i="2"/>
  <c r="CC316" i="3" s="1"/>
  <c r="AK89" i="2"/>
  <c r="AJ91" i="2"/>
  <c r="CC89" i="3"/>
  <c r="R94" i="4"/>
  <c r="R85" i="5"/>
  <c r="R342" i="5" s="1"/>
  <c r="BK184" i="3"/>
  <c r="R397" i="5"/>
  <c r="R266" i="2"/>
  <c r="R399" i="5"/>
  <c r="R191" i="2"/>
  <c r="X232" i="3"/>
  <c r="W261" i="3"/>
  <c r="W262" i="3" s="1"/>
  <c r="X365" i="5"/>
  <c r="X190" i="5"/>
  <c r="W393" i="5"/>
  <c r="X238" i="3"/>
  <c r="X85" i="3"/>
  <c r="X195" i="5"/>
  <c r="X394" i="3"/>
  <c r="X392" i="3"/>
  <c r="X393" i="3"/>
  <c r="X391" i="3"/>
  <c r="R270" i="2" l="1"/>
  <c r="R271" i="2"/>
  <c r="R86" i="4" s="1"/>
  <c r="BK266" i="3"/>
  <c r="BK191" i="3"/>
  <c r="R193" i="2"/>
  <c r="G288" i="1"/>
  <c r="CC91" i="3"/>
  <c r="AP38" i="9"/>
  <c r="AP134" i="9" s="1"/>
  <c r="AJ455" i="2"/>
  <c r="CC455" i="3" s="1"/>
  <c r="AJ292" i="2"/>
  <c r="CC292" i="3" s="1"/>
  <c r="CD89" i="3"/>
  <c r="AL89" i="2"/>
  <c r="AK91" i="2"/>
  <c r="AK316" i="2"/>
  <c r="X240" i="3"/>
  <c r="AD74" i="9"/>
  <c r="X395" i="3"/>
  <c r="X470" i="3"/>
  <c r="X290" i="3"/>
  <c r="X287" i="3"/>
  <c r="X303" i="3" s="1"/>
  <c r="CD91" i="3" l="1"/>
  <c r="G289" i="1"/>
  <c r="AK455" i="2"/>
  <c r="AP39" i="9"/>
  <c r="AK292" i="2"/>
  <c r="R199" i="2"/>
  <c r="R201" i="2"/>
  <c r="R200" i="2"/>
  <c r="R195" i="2"/>
  <c r="R198" i="2"/>
  <c r="R197" i="2"/>
  <c r="BK193" i="3"/>
  <c r="R196" i="2"/>
  <c r="AL316" i="2"/>
  <c r="CE316" i="3" s="1"/>
  <c r="AM89" i="2"/>
  <c r="AL91" i="2"/>
  <c r="CE89" i="3"/>
  <c r="CD316" i="3"/>
  <c r="R32" i="4"/>
  <c r="T33" i="4" s="1"/>
  <c r="BK270" i="3"/>
  <c r="R86" i="5"/>
  <c r="R343" i="5" s="1"/>
  <c r="AI74" i="9"/>
  <c r="X95" i="3"/>
  <c r="X405" i="3"/>
  <c r="X396" i="3"/>
  <c r="T55" i="4" l="1"/>
  <c r="T57" i="4"/>
  <c r="T56" i="4"/>
  <c r="T54" i="4"/>
  <c r="T58" i="4"/>
  <c r="F317" i="1"/>
  <c r="R315" i="4"/>
  <c r="M270" i="1" s="1"/>
  <c r="BK197" i="3"/>
  <c r="BK201" i="3"/>
  <c r="R204" i="2"/>
  <c r="J317" i="1"/>
  <c r="AP135" i="9"/>
  <c r="BK198" i="3"/>
  <c r="R316" i="4"/>
  <c r="N270" i="1" s="1"/>
  <c r="G317" i="1"/>
  <c r="BK199" i="3"/>
  <c r="H317" i="1"/>
  <c r="R317" i="4"/>
  <c r="O270" i="1" s="1"/>
  <c r="CD455" i="3"/>
  <c r="CE91" i="3"/>
  <c r="AP40" i="9"/>
  <c r="AP136" i="9" s="1"/>
  <c r="AL455" i="2"/>
  <c r="CE455" i="3" s="1"/>
  <c r="AL292" i="2"/>
  <c r="CE292" i="3" s="1"/>
  <c r="G290" i="1"/>
  <c r="R314" i="4"/>
  <c r="L270" i="1" s="1"/>
  <c r="BK196" i="3"/>
  <c r="E317" i="1"/>
  <c r="R313" i="4"/>
  <c r="K270" i="1" s="1"/>
  <c r="BK195" i="3"/>
  <c r="R202" i="2"/>
  <c r="D317" i="1"/>
  <c r="AM91" i="2"/>
  <c r="CF89" i="3"/>
  <c r="AM316" i="2"/>
  <c r="AN89" i="2"/>
  <c r="R318" i="4"/>
  <c r="P270" i="1" s="1"/>
  <c r="BK200" i="3"/>
  <c r="I317" i="1"/>
  <c r="CD292" i="3"/>
  <c r="X457" i="3"/>
  <c r="X320" i="3"/>
  <c r="X321" i="3" s="1"/>
  <c r="Y306" i="3" s="1"/>
  <c r="AQ74" i="9"/>
  <c r="AT74" i="9" s="1"/>
  <c r="Y9" i="3"/>
  <c r="X249" i="3"/>
  <c r="X103" i="3"/>
  <c r="T59" i="4" l="1"/>
  <c r="R145" i="2"/>
  <c r="BK202" i="3"/>
  <c r="R87" i="5"/>
  <c r="R344" i="5" s="1"/>
  <c r="R422" i="2"/>
  <c r="R484" i="2"/>
  <c r="Q370" i="1"/>
  <c r="Q372" i="1" s="1"/>
  <c r="R203" i="2"/>
  <c r="AP41" i="9"/>
  <c r="AP137" i="9" s="1"/>
  <c r="AM455" i="2"/>
  <c r="CF455" i="3" s="1"/>
  <c r="CF91" i="3"/>
  <c r="G291" i="1"/>
  <c r="AM292" i="2"/>
  <c r="AN91" i="2"/>
  <c r="CG89" i="3"/>
  <c r="AN316" i="2"/>
  <c r="CG316" i="3" s="1"/>
  <c r="AO89" i="2"/>
  <c r="BK204" i="3"/>
  <c r="R515" i="2"/>
  <c r="BK515" i="3" s="1"/>
  <c r="Q394" i="1"/>
  <c r="CF316" i="3"/>
  <c r="C317" i="1"/>
  <c r="K317" i="1" s="1"/>
  <c r="X461" i="3"/>
  <c r="X331" i="3"/>
  <c r="X332" i="3" s="1"/>
  <c r="Y324" i="3" s="1"/>
  <c r="AW74" i="9"/>
  <c r="AY74" i="9" s="1"/>
  <c r="X501" i="3"/>
  <c r="X503" i="3" s="1"/>
  <c r="X505" i="3" s="1"/>
  <c r="X506" i="3" s="1"/>
  <c r="X250" i="3"/>
  <c r="X251" i="3" s="1"/>
  <c r="BU74" i="9" s="1"/>
  <c r="Y10" i="3"/>
  <c r="Y11" i="3" s="1"/>
  <c r="G75" i="9" s="1"/>
  <c r="X116" i="3"/>
  <c r="X175" i="3"/>
  <c r="X281" i="3" s="1"/>
  <c r="Y489" i="3"/>
  <c r="Y96" i="3"/>
  <c r="Y92" i="3"/>
  <c r="Y94" i="3" s="1"/>
  <c r="T61" i="4" l="1"/>
  <c r="T272" i="2"/>
  <c r="T60" i="4"/>
  <c r="AP42" i="9"/>
  <c r="AN455" i="2"/>
  <c r="AN292" i="2"/>
  <c r="CG292" i="3" s="1"/>
  <c r="G292" i="1"/>
  <c r="CG91" i="3"/>
  <c r="BK422" i="3"/>
  <c r="R424" i="2"/>
  <c r="BK424" i="3" s="1"/>
  <c r="AO91" i="2"/>
  <c r="AO316" i="2"/>
  <c r="AP89" i="2"/>
  <c r="CH89" i="3"/>
  <c r="CF292" i="3"/>
  <c r="BK203" i="3"/>
  <c r="R516" i="2"/>
  <c r="J270" i="1"/>
  <c r="R88" i="5"/>
  <c r="BK484" i="3"/>
  <c r="R485" i="2"/>
  <c r="R146" i="2"/>
  <c r="R148" i="2"/>
  <c r="R229" i="2"/>
  <c r="S302" i="2"/>
  <c r="BL302" i="3" s="1"/>
  <c r="R17" i="5"/>
  <c r="BK145" i="3"/>
  <c r="Z20" i="9"/>
  <c r="R244" i="2"/>
  <c r="Y456" i="3"/>
  <c r="Y308" i="3"/>
  <c r="Y293" i="3"/>
  <c r="Y380" i="5"/>
  <c r="AN75" i="9"/>
  <c r="Y405" i="5"/>
  <c r="Y406" i="5" s="1"/>
  <c r="Y408" i="5" s="1"/>
  <c r="Y491" i="3"/>
  <c r="Y493" i="3" s="1"/>
  <c r="Y494" i="3" s="1"/>
  <c r="Y100" i="3"/>
  <c r="Y102" i="3" s="1"/>
  <c r="Y176" i="3" s="1"/>
  <c r="Y29" i="3"/>
  <c r="Z93" i="3"/>
  <c r="Y310" i="3"/>
  <c r="AR75" i="9"/>
  <c r="AE75" i="9"/>
  <c r="X347" i="3"/>
  <c r="X349" i="3" s="1"/>
  <c r="Y335" i="3" s="1"/>
  <c r="BB74" i="9"/>
  <c r="BC74" i="9" s="1"/>
  <c r="Y12" i="3"/>
  <c r="X252" i="3"/>
  <c r="X117" i="3"/>
  <c r="AJ20" i="9" l="1"/>
  <c r="AL20" i="9" s="1"/>
  <c r="Z116" i="9"/>
  <c r="BK229" i="3"/>
  <c r="R90" i="5"/>
  <c r="R346" i="5" s="1"/>
  <c r="BK516" i="3"/>
  <c r="R384" i="5"/>
  <c r="BK148" i="3"/>
  <c r="R248" i="2"/>
  <c r="S8" i="2"/>
  <c r="AQ89" i="2"/>
  <c r="AP316" i="2"/>
  <c r="CI316" i="3" s="1"/>
  <c r="CI89" i="3"/>
  <c r="AP91" i="2"/>
  <c r="CG455" i="3"/>
  <c r="R213" i="5"/>
  <c r="R18" i="5"/>
  <c r="BK146" i="3"/>
  <c r="R109" i="5"/>
  <c r="CH316" i="3"/>
  <c r="AP138" i="9"/>
  <c r="BK244" i="3"/>
  <c r="R245" i="2"/>
  <c r="R425" i="2"/>
  <c r="BK425" i="3" s="1"/>
  <c r="BK485" i="3"/>
  <c r="AO455" i="2"/>
  <c r="CH455" i="3" s="1"/>
  <c r="AP43" i="9"/>
  <c r="AP139" i="9" s="1"/>
  <c r="AO292" i="2"/>
  <c r="CH91" i="3"/>
  <c r="G293" i="1"/>
  <c r="Y496" i="3"/>
  <c r="Y497" i="3" s="1"/>
  <c r="Y498" i="3" s="1"/>
  <c r="Y502" i="3"/>
  <c r="Y460" i="3"/>
  <c r="Y326" i="3"/>
  <c r="Y296" i="3"/>
  <c r="Y381" i="5"/>
  <c r="AU75" i="9"/>
  <c r="X348" i="3"/>
  <c r="X350" i="3" s="1"/>
  <c r="Y336" i="3" s="1"/>
  <c r="BF74" i="9"/>
  <c r="BG74" i="9" s="1"/>
  <c r="Y13" i="3"/>
  <c r="Y14" i="3" s="1"/>
  <c r="H75" i="9" s="1"/>
  <c r="X508" i="3"/>
  <c r="X510" i="3" s="1"/>
  <c r="X512" i="3" s="1"/>
  <c r="X513" i="3" s="1"/>
  <c r="X253" i="3"/>
  <c r="X254" i="3" s="1"/>
  <c r="BV74" i="9" s="1"/>
  <c r="X118" i="3"/>
  <c r="X126" i="3" s="1"/>
  <c r="Y317" i="3"/>
  <c r="Y319" i="3" s="1"/>
  <c r="Y309" i="3"/>
  <c r="Y110" i="3"/>
  <c r="Y32" i="3" s="1"/>
  <c r="Y382" i="5"/>
  <c r="BK248" i="3" l="1"/>
  <c r="BT20" i="9"/>
  <c r="R259" i="2"/>
  <c r="CH292" i="3"/>
  <c r="AQ91" i="2"/>
  <c r="CJ89" i="3"/>
  <c r="AR89" i="2"/>
  <c r="AQ316" i="2"/>
  <c r="R260" i="2"/>
  <c r="BK245" i="3"/>
  <c r="Q373" i="1"/>
  <c r="R19" i="5"/>
  <c r="R214" i="5"/>
  <c r="G294" i="1"/>
  <c r="AP292" i="2"/>
  <c r="CI292" i="3" s="1"/>
  <c r="CI91" i="3"/>
  <c r="AP44" i="9"/>
  <c r="AP140" i="9" s="1"/>
  <c r="AP455" i="2"/>
  <c r="CI455" i="3" s="1"/>
  <c r="BL8" i="3"/>
  <c r="S84" i="2"/>
  <c r="F21" i="9"/>
  <c r="S390" i="2"/>
  <c r="S20" i="2"/>
  <c r="S19" i="2"/>
  <c r="R486" i="2"/>
  <c r="BK486" i="3" s="1"/>
  <c r="S447" i="2"/>
  <c r="R389" i="1"/>
  <c r="S450" i="2"/>
  <c r="S372" i="5"/>
  <c r="S374" i="5" s="1"/>
  <c r="I271" i="1"/>
  <c r="AJ116" i="9"/>
  <c r="AL116" i="9"/>
  <c r="Y343" i="3"/>
  <c r="X464" i="3"/>
  <c r="X177" i="3"/>
  <c r="X282" i="3" s="1"/>
  <c r="X284" i="3" s="1"/>
  <c r="Y337" i="3"/>
  <c r="AZ75" i="9"/>
  <c r="Y327" i="3"/>
  <c r="Y99" i="3" s="1"/>
  <c r="Y111" i="3"/>
  <c r="Y112" i="3" s="1"/>
  <c r="F117" i="9" l="1"/>
  <c r="K21" i="9"/>
  <c r="BK260" i="3"/>
  <c r="AQ455" i="2"/>
  <c r="CJ455" i="3" s="1"/>
  <c r="AQ292" i="2"/>
  <c r="CJ292" i="3" s="1"/>
  <c r="AP45" i="9"/>
  <c r="AP141" i="9" s="1"/>
  <c r="CJ91" i="3"/>
  <c r="G295" i="1"/>
  <c r="BL450" i="3"/>
  <c r="S10" i="5"/>
  <c r="S206" i="5" s="1"/>
  <c r="S364" i="5"/>
  <c r="S366" i="5" s="1"/>
  <c r="BL19" i="3"/>
  <c r="R261" i="2"/>
  <c r="BK261" i="3" s="1"/>
  <c r="S232" i="2"/>
  <c r="BL232" i="3" s="1"/>
  <c r="BL84" i="3"/>
  <c r="S85" i="2"/>
  <c r="S238" i="2"/>
  <c r="S15" i="5"/>
  <c r="S212" i="5" s="1"/>
  <c r="R215" i="5"/>
  <c r="R20" i="5"/>
  <c r="CJ316" i="3"/>
  <c r="R368" i="5"/>
  <c r="R370" i="5" s="1"/>
  <c r="R144" i="5" s="1"/>
  <c r="BK259" i="3"/>
  <c r="CK89" i="3"/>
  <c r="AR316" i="2"/>
  <c r="CK316" i="3" s="1"/>
  <c r="AS89" i="2"/>
  <c r="AR91" i="2"/>
  <c r="BT116" i="9"/>
  <c r="BY20" i="9"/>
  <c r="BY116" i="9" s="1"/>
  <c r="BL447" i="3"/>
  <c r="S392" i="2"/>
  <c r="S393" i="2"/>
  <c r="BL390" i="3"/>
  <c r="S391" i="2"/>
  <c r="S394" i="2"/>
  <c r="Y33" i="3"/>
  <c r="Y344" i="3" s="1"/>
  <c r="Y463" i="3"/>
  <c r="Y297" i="3"/>
  <c r="Y178" i="3"/>
  <c r="Y509" i="3"/>
  <c r="Y338" i="3"/>
  <c r="BD75" i="9"/>
  <c r="Y339" i="3"/>
  <c r="Y113" i="3" s="1"/>
  <c r="Y459" i="3"/>
  <c r="Y295" i="3"/>
  <c r="AV75" i="9"/>
  <c r="Y328" i="3"/>
  <c r="Z101" i="3"/>
  <c r="Y30" i="3"/>
  <c r="X467" i="3"/>
  <c r="X472" i="3" s="1"/>
  <c r="X363" i="3"/>
  <c r="X364" i="3" s="1"/>
  <c r="Y353" i="3" s="1"/>
  <c r="BI74" i="9"/>
  <c r="BL74" i="9" s="1"/>
  <c r="BR74" i="9" s="1"/>
  <c r="Y15" i="3"/>
  <c r="X255" i="3"/>
  <c r="X257" i="3" s="1"/>
  <c r="BW74" i="9" s="1"/>
  <c r="K117" i="9" l="1"/>
  <c r="Y34" i="3"/>
  <c r="O75" i="9" s="1"/>
  <c r="BL394" i="3"/>
  <c r="BL392" i="3"/>
  <c r="S395" i="2"/>
  <c r="BL391" i="3"/>
  <c r="CK91" i="3"/>
  <c r="AP46" i="9"/>
  <c r="AP142" i="9" s="1"/>
  <c r="AR455" i="2"/>
  <c r="CK455" i="3" s="1"/>
  <c r="AR292" i="2"/>
  <c r="G296" i="1"/>
  <c r="BL238" i="3"/>
  <c r="S240" i="2"/>
  <c r="AD21" i="9"/>
  <c r="AD117" i="9" s="1"/>
  <c r="R262" i="2"/>
  <c r="CL89" i="3"/>
  <c r="AS316" i="2"/>
  <c r="CL316" i="3" s="1"/>
  <c r="AS91" i="2"/>
  <c r="E89" i="2"/>
  <c r="BL85" i="3"/>
  <c r="S290" i="2"/>
  <c r="BL290" i="3" s="1"/>
  <c r="S470" i="2"/>
  <c r="BL470" i="3" s="1"/>
  <c r="S287" i="2"/>
  <c r="BL393" i="3"/>
  <c r="X28" i="3"/>
  <c r="X402" i="3"/>
  <c r="X411" i="3" s="1"/>
  <c r="X418" i="3" s="1"/>
  <c r="X399" i="3"/>
  <c r="X401" i="3"/>
  <c r="X410" i="3" s="1"/>
  <c r="X417" i="3" s="1"/>
  <c r="X170" i="3" s="1"/>
  <c r="X400" i="3"/>
  <c r="X409" i="3" s="1"/>
  <c r="X416" i="3" s="1"/>
  <c r="Y127" i="3"/>
  <c r="Y17" i="3"/>
  <c r="I75" i="9" s="1"/>
  <c r="X474" i="3"/>
  <c r="Y329" i="3"/>
  <c r="Y330" i="3" s="1"/>
  <c r="Y31" i="3"/>
  <c r="Y341" i="3"/>
  <c r="Y345" i="3" s="1"/>
  <c r="BA75" i="9"/>
  <c r="Y340" i="3"/>
  <c r="Y114" i="3" s="1"/>
  <c r="BL240" i="3" l="1"/>
  <c r="AI21" i="9"/>
  <c r="AI117" i="9" s="1"/>
  <c r="BL395" i="3"/>
  <c r="S405" i="2"/>
  <c r="BL405" i="3" s="1"/>
  <c r="S396" i="2"/>
  <c r="BL396" i="3" s="1"/>
  <c r="BL287" i="3"/>
  <c r="S303" i="2"/>
  <c r="AU89" i="3"/>
  <c r="AV89" i="3" s="1"/>
  <c r="AV89" i="2"/>
  <c r="I149" i="1"/>
  <c r="E316" i="2"/>
  <c r="CL91" i="3"/>
  <c r="G297" i="1"/>
  <c r="AS455" i="2"/>
  <c r="AS292" i="2"/>
  <c r="CL292" i="3" s="1"/>
  <c r="AP47" i="9"/>
  <c r="E91" i="2"/>
  <c r="CK292" i="3"/>
  <c r="X476" i="3"/>
  <c r="X478" i="3" s="1"/>
  <c r="X438" i="3"/>
  <c r="X444" i="3" s="1"/>
  <c r="X241" i="3"/>
  <c r="X139" i="3"/>
  <c r="X71" i="3"/>
  <c r="X169" i="3"/>
  <c r="X392" i="5"/>
  <c r="X191" i="5"/>
  <c r="M74" i="9"/>
  <c r="W74" i="9" s="1"/>
  <c r="X210" i="3"/>
  <c r="X268" i="3"/>
  <c r="Y355" i="3"/>
  <c r="AG75" i="9"/>
  <c r="BK75" i="9"/>
  <c r="X403" i="3"/>
  <c r="X408" i="3"/>
  <c r="Y342" i="3"/>
  <c r="Y346" i="3" s="1"/>
  <c r="BE75" i="9"/>
  <c r="Y115" i="3"/>
  <c r="Y439" i="3"/>
  <c r="N75" i="9"/>
  <c r="E292" i="2" l="1"/>
  <c r="AU292" i="3" s="1"/>
  <c r="AV292" i="3" s="1"/>
  <c r="AP143" i="9"/>
  <c r="AP144" i="9" s="1"/>
  <c r="AP48" i="9"/>
  <c r="AV316" i="2"/>
  <c r="AU316" i="3"/>
  <c r="AV316" i="3" s="1"/>
  <c r="BL303" i="3"/>
  <c r="S95" i="2"/>
  <c r="S103" i="2" s="1"/>
  <c r="CL455" i="3"/>
  <c r="E455" i="2"/>
  <c r="AV91" i="2"/>
  <c r="AU91" i="3"/>
  <c r="AV91" i="3" s="1"/>
  <c r="Y462" i="3"/>
  <c r="Y298" i="3"/>
  <c r="X192" i="3"/>
  <c r="X171" i="3"/>
  <c r="X182" i="3" s="1"/>
  <c r="X480" i="3"/>
  <c r="X415" i="3"/>
  <c r="X419" i="3" s="1"/>
  <c r="X412" i="3"/>
  <c r="X413" i="3" s="1"/>
  <c r="Y357" i="3"/>
  <c r="X387" i="5"/>
  <c r="AV292" i="2" l="1"/>
  <c r="S116" i="2"/>
  <c r="S117" i="2" s="1"/>
  <c r="AW21" i="9"/>
  <c r="BL103" i="3"/>
  <c r="S501" i="2"/>
  <c r="S461" i="2"/>
  <c r="BL461" i="3" s="1"/>
  <c r="T10" i="2"/>
  <c r="S331" i="2"/>
  <c r="S250" i="2"/>
  <c r="BL250" i="3" s="1"/>
  <c r="S320" i="2"/>
  <c r="AQ21" i="9"/>
  <c r="S457" i="2"/>
  <c r="S249" i="2"/>
  <c r="BL95" i="3"/>
  <c r="T9" i="2"/>
  <c r="S175" i="2"/>
  <c r="X153" i="3"/>
  <c r="X154" i="3" s="1"/>
  <c r="X156" i="3" s="1"/>
  <c r="X207" i="3"/>
  <c r="X212" i="3" s="1"/>
  <c r="BR357" i="3"/>
  <c r="Y121" i="3"/>
  <c r="X481" i="3"/>
  <c r="X420" i="3"/>
  <c r="BL175" i="3" l="1"/>
  <c r="S281" i="2"/>
  <c r="BL457" i="3"/>
  <c r="S503" i="2"/>
  <c r="BL501" i="3"/>
  <c r="BM9" i="3"/>
  <c r="T92" i="2"/>
  <c r="T489" i="2"/>
  <c r="T96" i="2"/>
  <c r="K124" i="1"/>
  <c r="AT21" i="9"/>
  <c r="AQ117" i="9"/>
  <c r="S332" i="2"/>
  <c r="BL331" i="3"/>
  <c r="BL320" i="3"/>
  <c r="S321" i="2"/>
  <c r="T11" i="2"/>
  <c r="BM10" i="3"/>
  <c r="T100" i="2"/>
  <c r="AW117" i="9"/>
  <c r="AY21" i="9"/>
  <c r="AY117" i="9" s="1"/>
  <c r="BL249" i="3"/>
  <c r="S251" i="2"/>
  <c r="BL117" i="3"/>
  <c r="S253" i="2"/>
  <c r="BL253" i="3" s="1"/>
  <c r="S348" i="2"/>
  <c r="T13" i="2"/>
  <c r="BF21" i="9"/>
  <c r="S508" i="2"/>
  <c r="BB21" i="9"/>
  <c r="S252" i="2"/>
  <c r="BL116" i="3"/>
  <c r="T12" i="2"/>
  <c r="S347" i="2"/>
  <c r="S118" i="2"/>
  <c r="X482" i="3"/>
  <c r="X218" i="3"/>
  <c r="X225" i="3"/>
  <c r="Y358" i="3"/>
  <c r="X159" i="3"/>
  <c r="X160" i="3" s="1"/>
  <c r="X161" i="3" s="1"/>
  <c r="X158" i="3"/>
  <c r="X162" i="3" s="1"/>
  <c r="BM12" i="3" l="1"/>
  <c r="T32" i="2"/>
  <c r="BL118" i="3"/>
  <c r="S177" i="2"/>
  <c r="S464" i="2"/>
  <c r="S126" i="2"/>
  <c r="S349" i="2"/>
  <c r="BL348" i="3"/>
  <c r="BB117" i="9"/>
  <c r="BC21" i="9"/>
  <c r="BC117" i="9" s="1"/>
  <c r="S350" i="2"/>
  <c r="T336" i="2" s="1"/>
  <c r="BL349" i="3"/>
  <c r="BL321" i="3"/>
  <c r="T306" i="2"/>
  <c r="H271" i="1"/>
  <c r="A272" i="1" s="1"/>
  <c r="T102" i="2"/>
  <c r="BM100" i="3"/>
  <c r="AT117" i="9"/>
  <c r="T310" i="2"/>
  <c r="BM310" i="3" s="1"/>
  <c r="AR22" i="9"/>
  <c r="AR118" i="9" s="1"/>
  <c r="AE22" i="9"/>
  <c r="AE118" i="9" s="1"/>
  <c r="BM96" i="3"/>
  <c r="S510" i="2"/>
  <c r="BL508" i="3"/>
  <c r="BF117" i="9"/>
  <c r="BG21" i="9"/>
  <c r="BG117" i="9" s="1"/>
  <c r="BM489" i="3"/>
  <c r="BL503" i="3"/>
  <c r="S505" i="2"/>
  <c r="BL281" i="3"/>
  <c r="BL252" i="3"/>
  <c r="S254" i="2"/>
  <c r="T14" i="2"/>
  <c r="T111" i="2"/>
  <c r="BM13" i="3"/>
  <c r="BU21" i="9"/>
  <c r="BU117" i="9" s="1"/>
  <c r="BL251" i="3"/>
  <c r="BM11" i="3"/>
  <c r="G22" i="9"/>
  <c r="G118" i="9" s="1"/>
  <c r="BL332" i="3"/>
  <c r="T324" i="2"/>
  <c r="BM92" i="3"/>
  <c r="T94" i="2"/>
  <c r="X163" i="3"/>
  <c r="X165" i="3" s="1"/>
  <c r="X267" i="3" s="1"/>
  <c r="Y359" i="3"/>
  <c r="Y122" i="3" s="1"/>
  <c r="X221" i="3"/>
  <c r="X220" i="3"/>
  <c r="X222" i="3"/>
  <c r="BL254" i="3" l="1"/>
  <c r="BV21" i="9"/>
  <c r="BV117" i="9" s="1"/>
  <c r="BL505" i="3"/>
  <c r="S506" i="2"/>
  <c r="BL510" i="3"/>
  <c r="S512" i="2"/>
  <c r="T176" i="2"/>
  <c r="AU22" i="9"/>
  <c r="AU118" i="9" s="1"/>
  <c r="BM102" i="3"/>
  <c r="T502" i="2"/>
  <c r="BM502" i="3" s="1"/>
  <c r="T460" i="2"/>
  <c r="BM460" i="3" s="1"/>
  <c r="T326" i="2"/>
  <c r="BM326" i="3" s="1"/>
  <c r="T296" i="2"/>
  <c r="BM296" i="3" s="1"/>
  <c r="T378" i="5"/>
  <c r="BL177" i="3"/>
  <c r="S282" i="2"/>
  <c r="T377" i="5"/>
  <c r="T456" i="2"/>
  <c r="BM456" i="3" s="1"/>
  <c r="T293" i="2"/>
  <c r="BM293" i="3" s="1"/>
  <c r="BM94" i="3"/>
  <c r="AN22" i="9"/>
  <c r="AN118" i="9" s="1"/>
  <c r="T308" i="2"/>
  <c r="BM308" i="3" s="1"/>
  <c r="T491" i="2"/>
  <c r="T379" i="5"/>
  <c r="T383" i="5" s="1"/>
  <c r="T29" i="2"/>
  <c r="U93" i="2"/>
  <c r="BN93" i="3" s="1"/>
  <c r="BM337" i="3"/>
  <c r="T335" i="2"/>
  <c r="BL350" i="3"/>
  <c r="T33" i="2"/>
  <c r="T509" i="2"/>
  <c r="BM509" i="3" s="1"/>
  <c r="T112" i="2"/>
  <c r="T338" i="2"/>
  <c r="BM339" i="3" s="1"/>
  <c r="BM111" i="3"/>
  <c r="BD22" i="9"/>
  <c r="BD118" i="9" s="1"/>
  <c r="BM306" i="3"/>
  <c r="S135" i="2"/>
  <c r="BL126" i="3"/>
  <c r="S255" i="2"/>
  <c r="S467" i="2"/>
  <c r="BL467" i="3" s="1"/>
  <c r="T15" i="2"/>
  <c r="S363" i="2"/>
  <c r="BI21" i="9"/>
  <c r="BM32" i="3"/>
  <c r="T343" i="2"/>
  <c r="BM344" i="3" s="1"/>
  <c r="BM324" i="3"/>
  <c r="BM14" i="3"/>
  <c r="H22" i="9"/>
  <c r="H118" i="9" s="1"/>
  <c r="BL464" i="3"/>
  <c r="X139" i="5"/>
  <c r="X166" i="3"/>
  <c r="X223" i="3"/>
  <c r="X227" i="3" s="1"/>
  <c r="X334" i="5" s="1"/>
  <c r="X183" i="3"/>
  <c r="X184" i="3" s="1"/>
  <c r="X266" i="3" s="1"/>
  <c r="X270" i="3" s="1"/>
  <c r="Y360" i="3"/>
  <c r="Y123" i="3"/>
  <c r="T309" i="2" l="1"/>
  <c r="T313" i="2"/>
  <c r="T327" i="2"/>
  <c r="T99" i="2" s="1"/>
  <c r="T340" i="2"/>
  <c r="BM341" i="3" s="1"/>
  <c r="BL21" i="9"/>
  <c r="BI117" i="9"/>
  <c r="BL364" i="3"/>
  <c r="S364" i="2"/>
  <c r="T353" i="2" s="1"/>
  <c r="BL282" i="3"/>
  <c r="S284" i="2"/>
  <c r="T127" i="2"/>
  <c r="BM15" i="3"/>
  <c r="T35" i="2"/>
  <c r="T17" i="2"/>
  <c r="K125" i="1"/>
  <c r="S469" i="2"/>
  <c r="BO21" i="9"/>
  <c r="S382" i="2"/>
  <c r="S258" i="2"/>
  <c r="BL135" i="3"/>
  <c r="T18" i="2"/>
  <c r="T463" i="2"/>
  <c r="BM463" i="3" s="1"/>
  <c r="BM112" i="3"/>
  <c r="T297" i="2"/>
  <c r="BM297" i="3" s="1"/>
  <c r="T178" i="2"/>
  <c r="BM178" i="3" s="1"/>
  <c r="BM335" i="3"/>
  <c r="T339" i="2"/>
  <c r="BM340" i="3" s="1"/>
  <c r="T345" i="2"/>
  <c r="BM346" i="3" s="1"/>
  <c r="BM336" i="3"/>
  <c r="BM491" i="3"/>
  <c r="T493" i="2"/>
  <c r="T494" i="2"/>
  <c r="BM494" i="3" s="1"/>
  <c r="BM176" i="3"/>
  <c r="BL512" i="3"/>
  <c r="S513" i="2"/>
  <c r="BL255" i="3"/>
  <c r="S257" i="2"/>
  <c r="S390" i="1"/>
  <c r="BM309" i="3"/>
  <c r="T34" i="2"/>
  <c r="T344" i="2"/>
  <c r="BM33" i="3"/>
  <c r="T317" i="2"/>
  <c r="BM29" i="3"/>
  <c r="X330" i="5"/>
  <c r="X95" i="4"/>
  <c r="X398" i="5"/>
  <c r="X191" i="3"/>
  <c r="X193" i="3" s="1"/>
  <c r="X198" i="3" s="1"/>
  <c r="X228" i="3"/>
  <c r="Y125" i="3"/>
  <c r="BH75" i="9"/>
  <c r="Y35" i="3"/>
  <c r="X64" i="4"/>
  <c r="Z65" i="4" s="1"/>
  <c r="X331" i="5"/>
  <c r="BM327" i="3" l="1"/>
  <c r="BM345" i="3"/>
  <c r="T346" i="2"/>
  <c r="BM347" i="3" s="1"/>
  <c r="BL257" i="3"/>
  <c r="BW21" i="9"/>
  <c r="BW117" i="9" s="1"/>
  <c r="BL469" i="3"/>
  <c r="S474" i="2"/>
  <c r="S472" i="2"/>
  <c r="BM353" i="3"/>
  <c r="S391" i="1"/>
  <c r="BX21" i="9"/>
  <c r="BX117" i="9" s="1"/>
  <c r="S175" i="5"/>
  <c r="BL258" i="3"/>
  <c r="BK22" i="9"/>
  <c r="BK118" i="9" s="1"/>
  <c r="BM127" i="3"/>
  <c r="T355" i="2"/>
  <c r="BM355" i="3" s="1"/>
  <c r="AG22" i="9"/>
  <c r="AG118" i="9" s="1"/>
  <c r="BM34" i="3"/>
  <c r="O22" i="9"/>
  <c r="O118" i="9" s="1"/>
  <c r="BM493" i="3"/>
  <c r="T496" i="2"/>
  <c r="BM317" i="3"/>
  <c r="T319" i="2"/>
  <c r="BM319" i="3" s="1"/>
  <c r="S357" i="1"/>
  <c r="BL382" i="3"/>
  <c r="S383" i="2"/>
  <c r="BM17" i="3"/>
  <c r="I22" i="9"/>
  <c r="I118" i="9" s="1"/>
  <c r="BL284" i="3"/>
  <c r="R359" i="1"/>
  <c r="BM99" i="3"/>
  <c r="T459" i="2"/>
  <c r="BM459" i="3" s="1"/>
  <c r="T328" i="2"/>
  <c r="T295" i="2"/>
  <c r="BM295" i="3" s="1"/>
  <c r="AV22" i="9"/>
  <c r="AV118" i="9" s="1"/>
  <c r="U101" i="2"/>
  <c r="BN101" i="3" s="1"/>
  <c r="T30" i="2"/>
  <c r="J22" i="9"/>
  <c r="J118" i="9" s="1"/>
  <c r="E272" i="1"/>
  <c r="BM18" i="3"/>
  <c r="T131" i="2"/>
  <c r="BO117" i="9"/>
  <c r="BP21" i="9"/>
  <c r="BP117" i="9" s="1"/>
  <c r="T361" i="2"/>
  <c r="BM35" i="3"/>
  <c r="T37" i="2"/>
  <c r="BL117" i="9"/>
  <c r="X197" i="3"/>
  <c r="X323" i="4" s="1"/>
  <c r="X196" i="3"/>
  <c r="X322" i="4" s="1"/>
  <c r="X201" i="3"/>
  <c r="T323" i="1" s="1"/>
  <c r="X200" i="3"/>
  <c r="BX276" i="1" s="1"/>
  <c r="X199" i="3"/>
  <c r="X325" i="4" s="1"/>
  <c r="X195" i="3"/>
  <c r="Y361" i="3"/>
  <c r="Y37" i="3"/>
  <c r="Z68" i="4"/>
  <c r="Z67" i="4"/>
  <c r="Z71" i="4"/>
  <c r="Z70" i="4"/>
  <c r="Z69" i="4"/>
  <c r="X324" i="4"/>
  <c r="Q323" i="1"/>
  <c r="BV276" i="1"/>
  <c r="Y466" i="3"/>
  <c r="Y299" i="3"/>
  <c r="BR21" i="9" l="1"/>
  <c r="BR117" i="9" s="1"/>
  <c r="BT276" i="1"/>
  <c r="O323" i="1"/>
  <c r="BU276" i="1"/>
  <c r="P323" i="1"/>
  <c r="T362" i="2"/>
  <c r="BM363" i="3" s="1"/>
  <c r="BM356" i="3"/>
  <c r="BM362" i="3"/>
  <c r="BM131" i="3"/>
  <c r="E131" i="2"/>
  <c r="T329" i="2"/>
  <c r="BM329" i="3" s="1"/>
  <c r="BM30" i="3"/>
  <c r="T31" i="2"/>
  <c r="BM328" i="3"/>
  <c r="T330" i="2"/>
  <c r="BM330" i="3" s="1"/>
  <c r="BM496" i="3"/>
  <c r="T497" i="2"/>
  <c r="S28" i="2"/>
  <c r="BL472" i="3"/>
  <c r="S399" i="2"/>
  <c r="S402" i="2"/>
  <c r="S401" i="2"/>
  <c r="S400" i="2"/>
  <c r="P22" i="9"/>
  <c r="P118" i="9" s="1"/>
  <c r="BM37" i="3"/>
  <c r="BL474" i="3"/>
  <c r="S476" i="2"/>
  <c r="BL383" i="3"/>
  <c r="T377" i="2"/>
  <c r="X326" i="4"/>
  <c r="X276" i="1" s="1"/>
  <c r="S323" i="1"/>
  <c r="X204" i="3"/>
  <c r="X515" i="3" s="1"/>
  <c r="R323" i="1"/>
  <c r="BW276" i="1"/>
  <c r="X202" i="3"/>
  <c r="X145" i="3" s="1"/>
  <c r="N323" i="1"/>
  <c r="BS276" i="1"/>
  <c r="X321" i="4"/>
  <c r="BL276" i="1" s="1"/>
  <c r="Y362" i="3"/>
  <c r="BM276" i="1"/>
  <c r="T276" i="1"/>
  <c r="BO276" i="1"/>
  <c r="V276" i="1"/>
  <c r="BP276" i="1"/>
  <c r="W276" i="1"/>
  <c r="Z72" i="4"/>
  <c r="Y440" i="3"/>
  <c r="P75" i="9"/>
  <c r="BN276" i="1"/>
  <c r="U276" i="1"/>
  <c r="Z74" i="4" l="1"/>
  <c r="Z272" i="3"/>
  <c r="BQ276" i="1"/>
  <c r="X422" i="3"/>
  <c r="X424" i="3" s="1"/>
  <c r="X203" i="3"/>
  <c r="X516" i="3" s="1"/>
  <c r="X484" i="3"/>
  <c r="X485" i="3" s="1"/>
  <c r="X332" i="5"/>
  <c r="BL402" i="3"/>
  <c r="S411" i="2"/>
  <c r="BM497" i="3"/>
  <c r="T498" i="2"/>
  <c r="BM498" i="3" s="1"/>
  <c r="T439" i="2"/>
  <c r="BM439" i="3" s="1"/>
  <c r="N22" i="9"/>
  <c r="N118" i="9" s="1"/>
  <c r="BM31" i="3"/>
  <c r="BL476" i="3"/>
  <c r="S478" i="2"/>
  <c r="BL399" i="3"/>
  <c r="S403" i="2"/>
  <c r="BL403" i="3" s="1"/>
  <c r="S408" i="2"/>
  <c r="BL400" i="3"/>
  <c r="S409" i="2"/>
  <c r="T129" i="2"/>
  <c r="T134" i="2" s="1"/>
  <c r="BM377" i="3"/>
  <c r="BL401" i="3"/>
  <c r="S410" i="2"/>
  <c r="S169" i="2"/>
  <c r="M21" i="9"/>
  <c r="S11" i="5"/>
  <c r="S207" i="5" s="1"/>
  <c r="BL28" i="3"/>
  <c r="S139" i="2"/>
  <c r="BL139" i="3" s="1"/>
  <c r="S438" i="2"/>
  <c r="S71" i="2"/>
  <c r="S241" i="2"/>
  <c r="BL241" i="3" s="1"/>
  <c r="S390" i="5"/>
  <c r="AU131" i="3"/>
  <c r="AV131" i="3" s="1"/>
  <c r="AV131" i="2"/>
  <c r="M323" i="1"/>
  <c r="U323" i="1" s="1"/>
  <c r="S276" i="1"/>
  <c r="X244" i="3"/>
  <c r="X245" i="3" s="1"/>
  <c r="X260" i="3" s="1"/>
  <c r="Y302" i="3"/>
  <c r="X146" i="3"/>
  <c r="X129" i="5" s="1"/>
  <c r="Z74" i="9"/>
  <c r="AJ74" i="9" s="1"/>
  <c r="AL74" i="9" s="1"/>
  <c r="X197" i="5"/>
  <c r="X198" i="5" s="1"/>
  <c r="X199" i="5" s="1"/>
  <c r="X200" i="5" s="1"/>
  <c r="X148" i="3"/>
  <c r="X229" i="3"/>
  <c r="X335" i="5" s="1"/>
  <c r="Z73" i="4"/>
  <c r="BK276" i="1"/>
  <c r="X333" i="5" l="1"/>
  <c r="R276" i="1"/>
  <c r="X425" i="3"/>
  <c r="T174" i="5"/>
  <c r="T468" i="2"/>
  <c r="T380" i="2"/>
  <c r="BN22" i="9"/>
  <c r="T300" i="2"/>
  <c r="BM134" i="3"/>
  <c r="E134" i="2"/>
  <c r="T38" i="2"/>
  <c r="S391" i="5"/>
  <c r="S395" i="5" s="1"/>
  <c r="S394" i="5"/>
  <c r="BL169" i="3"/>
  <c r="R354" i="1"/>
  <c r="BM129" i="3"/>
  <c r="E129" i="2"/>
  <c r="BL408" i="3"/>
  <c r="S412" i="2"/>
  <c r="BL412" i="3" s="1"/>
  <c r="S415" i="2"/>
  <c r="BL410" i="3"/>
  <c r="S417" i="2"/>
  <c r="BL71" i="3"/>
  <c r="S386" i="5"/>
  <c r="S388" i="5" s="1"/>
  <c r="R368" i="1"/>
  <c r="BL409" i="3"/>
  <c r="S416" i="2"/>
  <c r="BL416" i="3" s="1"/>
  <c r="BL411" i="3"/>
  <c r="S418" i="2"/>
  <c r="BL418" i="3" s="1"/>
  <c r="BL438" i="3"/>
  <c r="S444" i="2"/>
  <c r="BL444" i="3" s="1"/>
  <c r="M117" i="9"/>
  <c r="W21" i="9"/>
  <c r="S480" i="2"/>
  <c r="BL478" i="3"/>
  <c r="X248" i="3"/>
  <c r="Y8" i="3"/>
  <c r="W117" i="9" l="1"/>
  <c r="T173" i="5"/>
  <c r="BM38" i="3"/>
  <c r="T440" i="2"/>
  <c r="BM440" i="3" s="1"/>
  <c r="T379" i="2"/>
  <c r="Q22" i="9"/>
  <c r="Q118" i="9" s="1"/>
  <c r="BN118" i="9"/>
  <c r="BN144" i="9" s="1"/>
  <c r="BN48" i="9"/>
  <c r="D153" i="5"/>
  <c r="AU134" i="3"/>
  <c r="AV134" i="3" s="1"/>
  <c r="E45" i="5"/>
  <c r="E290" i="5" s="1"/>
  <c r="I76" i="5"/>
  <c r="I321" i="5" s="1"/>
  <c r="AV134" i="2"/>
  <c r="BM380" i="3"/>
  <c r="E380" i="2"/>
  <c r="AU380" i="3" s="1"/>
  <c r="AV380" i="3" s="1"/>
  <c r="BM468" i="3"/>
  <c r="E468" i="2"/>
  <c r="BM300" i="3"/>
  <c r="E300" i="2"/>
  <c r="D174" i="5"/>
  <c r="E174" i="5"/>
  <c r="S413" i="2"/>
  <c r="D253" i="1"/>
  <c r="AU129" i="3"/>
  <c r="AV129" i="3" s="1"/>
  <c r="D386" i="2"/>
  <c r="AV129" i="2"/>
  <c r="BL415" i="3"/>
  <c r="S419" i="2"/>
  <c r="BL419" i="3" s="1"/>
  <c r="BL480" i="3"/>
  <c r="S481" i="2"/>
  <c r="BL417" i="3"/>
  <c r="S170" i="2"/>
  <c r="X486" i="3"/>
  <c r="Y447" i="3"/>
  <c r="Y450" i="3"/>
  <c r="Y390" i="3"/>
  <c r="Y20" i="3"/>
  <c r="Y19" i="3"/>
  <c r="Y373" i="5"/>
  <c r="F75" i="9"/>
  <c r="K75" i="9" s="1"/>
  <c r="Y84" i="3"/>
  <c r="X259" i="3"/>
  <c r="X369" i="5" s="1"/>
  <c r="BT74" i="9"/>
  <c r="BY74" i="9" s="1"/>
  <c r="BM379" i="3" l="1"/>
  <c r="T381" i="2"/>
  <c r="BM381" i="3" s="1"/>
  <c r="AU300" i="3"/>
  <c r="AV300" i="3" s="1"/>
  <c r="AV300" i="2"/>
  <c r="BL481" i="3"/>
  <c r="S482" i="2"/>
  <c r="BL482" i="3" s="1"/>
  <c r="S210" i="2"/>
  <c r="R355" i="1"/>
  <c r="BL170" i="3"/>
  <c r="S268" i="2"/>
  <c r="BL268" i="3" s="1"/>
  <c r="S192" i="2"/>
  <c r="S171" i="2"/>
  <c r="S420" i="2"/>
  <c r="BL420" i="3" s="1"/>
  <c r="Y238" i="3"/>
  <c r="Y85" i="3"/>
  <c r="Y195" i="5"/>
  <c r="X261" i="3"/>
  <c r="X262" i="3" s="1"/>
  <c r="Y232" i="3"/>
  <c r="Y365" i="5"/>
  <c r="Y190" i="5"/>
  <c r="Y394" i="3"/>
  <c r="Y392" i="3"/>
  <c r="Y393" i="3"/>
  <c r="Y391" i="3"/>
  <c r="X393" i="5"/>
  <c r="S182" i="2" l="1"/>
  <c r="R356" i="1"/>
  <c r="R361" i="1" s="1"/>
  <c r="BL171" i="3"/>
  <c r="BL192" i="3"/>
  <c r="R366" i="1"/>
  <c r="BL210" i="3"/>
  <c r="R380" i="1"/>
  <c r="Y470" i="3"/>
  <c r="Y290" i="3"/>
  <c r="Y287" i="3"/>
  <c r="Y240" i="3"/>
  <c r="AD75" i="9"/>
  <c r="Y395" i="3"/>
  <c r="S207" i="2" l="1"/>
  <c r="S153" i="2"/>
  <c r="BL182" i="3"/>
  <c r="Y303" i="3"/>
  <c r="AI75" i="9"/>
  <c r="Y396" i="3"/>
  <c r="Y405" i="3"/>
  <c r="Y95" i="3" l="1"/>
  <c r="Y320" i="3" s="1"/>
  <c r="Y321" i="3" s="1"/>
  <c r="Z306" i="3" s="1"/>
  <c r="S154" i="2"/>
  <c r="BL153" i="3"/>
  <c r="BL207" i="3"/>
  <c r="S212" i="2"/>
  <c r="Z9" i="3" l="1"/>
  <c r="Z96" i="3" s="1"/>
  <c r="Y457" i="3"/>
  <c r="Y249" i="3"/>
  <c r="Y103" i="3"/>
  <c r="Y175" i="3" s="1"/>
  <c r="Y281" i="3" s="1"/>
  <c r="AQ75" i="9"/>
  <c r="AT75" i="9" s="1"/>
  <c r="BL212" i="3"/>
  <c r="S225" i="2"/>
  <c r="BL225" i="3" s="1"/>
  <c r="S218" i="2"/>
  <c r="BL154" i="3"/>
  <c r="S156" i="2"/>
  <c r="Y331" i="3" l="1"/>
  <c r="Y332" i="3" s="1"/>
  <c r="Z324" i="3" s="1"/>
  <c r="Y250" i="3"/>
  <c r="Y251" i="3" s="1"/>
  <c r="BU75" i="9" s="1"/>
  <c r="Y116" i="3"/>
  <c r="BB75" i="9" s="1"/>
  <c r="BC75" i="9" s="1"/>
  <c r="Z92" i="3"/>
  <c r="Z94" i="3" s="1"/>
  <c r="AA93" i="3" s="1"/>
  <c r="Z489" i="3"/>
  <c r="Y501" i="3"/>
  <c r="Y503" i="3" s="1"/>
  <c r="Y505" i="3" s="1"/>
  <c r="Y506" i="3" s="1"/>
  <c r="AW75" i="9"/>
  <c r="AY75" i="9" s="1"/>
  <c r="Z10" i="3"/>
  <c r="Z100" i="3" s="1"/>
  <c r="Z102" i="3" s="1"/>
  <c r="Z382" i="5" s="1"/>
  <c r="Y461" i="3"/>
  <c r="BL218" i="3"/>
  <c r="S222" i="2"/>
  <c r="BL222" i="3" s="1"/>
  <c r="S221" i="2"/>
  <c r="BL221" i="3" s="1"/>
  <c r="S220" i="2"/>
  <c r="BL156" i="3"/>
  <c r="S158" i="2"/>
  <c r="S159" i="2"/>
  <c r="Y347" i="3"/>
  <c r="Y349" i="3" s="1"/>
  <c r="Z335" i="3" s="1"/>
  <c r="Y252" i="3"/>
  <c r="Z310" i="3"/>
  <c r="AE76" i="9"/>
  <c r="AR76" i="9"/>
  <c r="Y117" i="3"/>
  <c r="AN76" i="9" l="1"/>
  <c r="Z12" i="3"/>
  <c r="Z110" i="3" s="1"/>
  <c r="Z32" i="3" s="1"/>
  <c r="Z29" i="3"/>
  <c r="Z317" i="3" s="1"/>
  <c r="Z405" i="5"/>
  <c r="Z406" i="5" s="1"/>
  <c r="Z408" i="5" s="1"/>
  <c r="Z491" i="3"/>
  <c r="Z493" i="3" s="1"/>
  <c r="Z293" i="3"/>
  <c r="Z380" i="5"/>
  <c r="Z308" i="3"/>
  <c r="Z309" i="3" s="1"/>
  <c r="Z456" i="3"/>
  <c r="Z11" i="3"/>
  <c r="G76" i="9" s="1"/>
  <c r="BL159" i="3"/>
  <c r="S160" i="2"/>
  <c r="BL220" i="3"/>
  <c r="S223" i="2"/>
  <c r="BL158" i="3"/>
  <c r="S162" i="2"/>
  <c r="BL162" i="3" s="1"/>
  <c r="Z494" i="3"/>
  <c r="Z496" i="3" s="1"/>
  <c r="Z497" i="3" s="1"/>
  <c r="Z176" i="3"/>
  <c r="Y348" i="3"/>
  <c r="Y350" i="3" s="1"/>
  <c r="Z336" i="3" s="1"/>
  <c r="BF75" i="9"/>
  <c r="BG75" i="9" s="1"/>
  <c r="Y508" i="3"/>
  <c r="Y510" i="3" s="1"/>
  <c r="Y512" i="3" s="1"/>
  <c r="Y513" i="3" s="1"/>
  <c r="Z13" i="3"/>
  <c r="Y253" i="3"/>
  <c r="Y254" i="3" s="1"/>
  <c r="BV75" i="9" s="1"/>
  <c r="Z502" i="3"/>
  <c r="Z460" i="3"/>
  <c r="Z326" i="3"/>
  <c r="Z296" i="3"/>
  <c r="Z381" i="5"/>
  <c r="AU76" i="9"/>
  <c r="Y118" i="3"/>
  <c r="Y126" i="3" s="1"/>
  <c r="Z498" i="3" l="1"/>
  <c r="BL223" i="3"/>
  <c r="S227" i="2"/>
  <c r="BL160" i="3"/>
  <c r="S161" i="2"/>
  <c r="Z319" i="3"/>
  <c r="Y464" i="3"/>
  <c r="Y177" i="3"/>
  <c r="Y282" i="3" s="1"/>
  <c r="Y284" i="3" s="1"/>
  <c r="Z327" i="3"/>
  <c r="Z99" i="3" s="1"/>
  <c r="Z111" i="3"/>
  <c r="Z112" i="3" s="1"/>
  <c r="Z14" i="3"/>
  <c r="H76" i="9" s="1"/>
  <c r="Z343" i="3"/>
  <c r="Z337" i="3"/>
  <c r="AZ76" i="9"/>
  <c r="BL161" i="3" l="1"/>
  <c r="S163" i="2"/>
  <c r="BL227" i="3"/>
  <c r="S89" i="5"/>
  <c r="S345" i="5" s="1"/>
  <c r="R393" i="1"/>
  <c r="R385" i="1"/>
  <c r="R371" i="1"/>
  <c r="S228" i="2"/>
  <c r="BL228" i="3" s="1"/>
  <c r="Z339" i="3"/>
  <c r="Z113" i="3" s="1"/>
  <c r="Z509" i="3"/>
  <c r="Z338" i="3"/>
  <c r="BD76" i="9"/>
  <c r="Z459" i="3"/>
  <c r="Z328" i="3"/>
  <c r="Z295" i="3"/>
  <c r="AV76" i="9"/>
  <c r="AA101" i="3"/>
  <c r="Z30" i="3"/>
  <c r="Z463" i="3"/>
  <c r="Z297" i="3"/>
  <c r="Z178" i="3"/>
  <c r="Z33" i="3"/>
  <c r="Y467" i="3"/>
  <c r="Y363" i="3"/>
  <c r="Y364" i="3" s="1"/>
  <c r="Z353" i="3" s="1"/>
  <c r="BI75" i="9"/>
  <c r="BL75" i="9" s="1"/>
  <c r="BR75" i="9" s="1"/>
  <c r="Y255" i="3"/>
  <c r="Y257" i="3" s="1"/>
  <c r="BW75" i="9" s="1"/>
  <c r="Z15" i="3"/>
  <c r="BL163" i="3" l="1"/>
  <c r="S165" i="2"/>
  <c r="S267" i="2" s="1"/>
  <c r="Z344" i="3"/>
  <c r="Z34" i="3"/>
  <c r="O76" i="9" s="1"/>
  <c r="Z329" i="3"/>
  <c r="Z31" i="3"/>
  <c r="Z341" i="3"/>
  <c r="Z345" i="3" s="1"/>
  <c r="BA76" i="9"/>
  <c r="Z127" i="3"/>
  <c r="Z17" i="3"/>
  <c r="I76" i="9" s="1"/>
  <c r="Y472" i="3"/>
  <c r="Y474" i="3"/>
  <c r="Z330" i="3"/>
  <c r="Z340" i="3"/>
  <c r="Z114" i="3" s="1"/>
  <c r="S166" i="2" l="1"/>
  <c r="BL166" i="3" s="1"/>
  <c r="S112" i="5"/>
  <c r="S140" i="5" s="1"/>
  <c r="BL165" i="3"/>
  <c r="BL267" i="3"/>
  <c r="S183" i="2"/>
  <c r="Z439" i="3"/>
  <c r="N76" i="9"/>
  <c r="Z342" i="3"/>
  <c r="Z346" i="3" s="1"/>
  <c r="BE76" i="9"/>
  <c r="Y28" i="3"/>
  <c r="Y401" i="3"/>
  <c r="Y410" i="3" s="1"/>
  <c r="Y417" i="3" s="1"/>
  <c r="Y170" i="3" s="1"/>
  <c r="Y400" i="3"/>
  <c r="Y409" i="3" s="1"/>
  <c r="Y416" i="3" s="1"/>
  <c r="Y399" i="3"/>
  <c r="Y402" i="3"/>
  <c r="Y411" i="3" s="1"/>
  <c r="Y418" i="3" s="1"/>
  <c r="Z115" i="3"/>
  <c r="Y476" i="3"/>
  <c r="Y478" i="3" s="1"/>
  <c r="Z355" i="3"/>
  <c r="BK76" i="9"/>
  <c r="AG76" i="9"/>
  <c r="R375" i="1" l="1"/>
  <c r="R363" i="1"/>
  <c r="R364" i="1" s="1"/>
  <c r="BL183" i="3"/>
  <c r="S184" i="2"/>
  <c r="Z357" i="3"/>
  <c r="Z462" i="3"/>
  <c r="Z298" i="3"/>
  <c r="Y268" i="3"/>
  <c r="Y210" i="3"/>
  <c r="Y480" i="3"/>
  <c r="Y438" i="3"/>
  <c r="Y444" i="3" s="1"/>
  <c r="Y241" i="3"/>
  <c r="Y169" i="3"/>
  <c r="Y139" i="3"/>
  <c r="Y71" i="3"/>
  <c r="Y392" i="5"/>
  <c r="M75" i="9"/>
  <c r="W75" i="9" s="1"/>
  <c r="Y191" i="5"/>
  <c r="Y403" i="3"/>
  <c r="Y408" i="3"/>
  <c r="S191" i="2" l="1"/>
  <c r="S399" i="5"/>
  <c r="S94" i="4"/>
  <c r="S397" i="5"/>
  <c r="BL184" i="3"/>
  <c r="S85" i="5"/>
  <c r="S342" i="5" s="1"/>
  <c r="S266" i="2"/>
  <c r="R367" i="1"/>
  <c r="R374" i="1"/>
  <c r="R377" i="1" s="1"/>
  <c r="R382" i="1" s="1"/>
  <c r="R384" i="1" s="1"/>
  <c r="R386" i="1" s="1"/>
  <c r="Y171" i="3"/>
  <c r="Y182" i="3" s="1"/>
  <c r="Y192" i="3"/>
  <c r="Y481" i="3"/>
  <c r="Y415" i="3"/>
  <c r="Y419" i="3" s="1"/>
  <c r="Y420" i="3" s="1"/>
  <c r="Y412" i="3"/>
  <c r="Y413" i="3" s="1"/>
  <c r="Y387" i="5"/>
  <c r="BS357" i="3"/>
  <c r="Z121" i="3"/>
  <c r="S271" i="2" l="1"/>
  <c r="S86" i="4" s="1"/>
  <c r="S270" i="2"/>
  <c r="BL266" i="3"/>
  <c r="S193" i="2"/>
  <c r="BL191" i="3"/>
  <c r="Y207" i="3"/>
  <c r="Y212" i="3" s="1"/>
  <c r="Y153" i="3"/>
  <c r="Y154" i="3" s="1"/>
  <c r="Y156" i="3" s="1"/>
  <c r="Y482" i="3"/>
  <c r="Z358" i="3"/>
  <c r="S197" i="2" l="1"/>
  <c r="S196" i="2"/>
  <c r="BL193" i="3"/>
  <c r="S200" i="2"/>
  <c r="S198" i="2"/>
  <c r="S199" i="2"/>
  <c r="S201" i="2"/>
  <c r="S195" i="2"/>
  <c r="BL270" i="3"/>
  <c r="S86" i="5"/>
  <c r="S343" i="5" s="1"/>
  <c r="S32" i="4"/>
  <c r="U33" i="4" s="1"/>
  <c r="Z359" i="3"/>
  <c r="Z122" i="3" s="1"/>
  <c r="Y158" i="3"/>
  <c r="Y162" i="3" s="1"/>
  <c r="Y159" i="3"/>
  <c r="Y160" i="3" s="1"/>
  <c r="Y161" i="3" s="1"/>
  <c r="Y225" i="3"/>
  <c r="Y218" i="3"/>
  <c r="D318" i="1" l="1"/>
  <c r="S313" i="4"/>
  <c r="K271" i="1" s="1"/>
  <c r="BL195" i="3"/>
  <c r="S202" i="2"/>
  <c r="S318" i="4"/>
  <c r="P271" i="1" s="1"/>
  <c r="BL200" i="3"/>
  <c r="I318" i="1"/>
  <c r="BL201" i="3"/>
  <c r="S204" i="2"/>
  <c r="J318" i="1"/>
  <c r="H318" i="1"/>
  <c r="S317" i="4"/>
  <c r="O271" i="1" s="1"/>
  <c r="BL199" i="3"/>
  <c r="BL196" i="3"/>
  <c r="E318" i="1"/>
  <c r="S314" i="4"/>
  <c r="L271" i="1" s="1"/>
  <c r="U56" i="4"/>
  <c r="U57" i="4"/>
  <c r="U54" i="4"/>
  <c r="U55" i="4"/>
  <c r="U58" i="4"/>
  <c r="BL198" i="3"/>
  <c r="G318" i="1"/>
  <c r="S316" i="4"/>
  <c r="N271" i="1" s="1"/>
  <c r="S315" i="4"/>
  <c r="M271" i="1" s="1"/>
  <c r="BL197" i="3"/>
  <c r="F318" i="1"/>
  <c r="Y163" i="3"/>
  <c r="Y165" i="3" s="1"/>
  <c r="Y267" i="3" s="1"/>
  <c r="Y220" i="3"/>
  <c r="Y222" i="3"/>
  <c r="Y221" i="3"/>
  <c r="Z360" i="3"/>
  <c r="Z123" i="3"/>
  <c r="S145" i="2" l="1"/>
  <c r="R370" i="1"/>
  <c r="R372" i="1" s="1"/>
  <c r="S484" i="2"/>
  <c r="S422" i="2"/>
  <c r="BL202" i="3"/>
  <c r="S87" i="5"/>
  <c r="S344" i="5" s="1"/>
  <c r="S203" i="2"/>
  <c r="U59" i="4"/>
  <c r="BL204" i="3"/>
  <c r="R394" i="1"/>
  <c r="S515" i="2"/>
  <c r="BL515" i="3" s="1"/>
  <c r="C318" i="1"/>
  <c r="K318" i="1" s="1"/>
  <c r="Z125" i="3"/>
  <c r="BH76" i="9"/>
  <c r="Z35" i="3"/>
  <c r="Y223" i="3"/>
  <c r="Y227" i="3" s="1"/>
  <c r="Y183" i="3"/>
  <c r="Y184" i="3" s="1"/>
  <c r="Y166" i="3"/>
  <c r="Y139" i="5"/>
  <c r="U61" i="4" l="1"/>
  <c r="U272" i="2"/>
  <c r="U60" i="4"/>
  <c r="BL422" i="3"/>
  <c r="S424" i="2"/>
  <c r="BL424" i="3" s="1"/>
  <c r="BL203" i="3"/>
  <c r="S516" i="2"/>
  <c r="J271" i="1"/>
  <c r="S88" i="5"/>
  <c r="BL484" i="3"/>
  <c r="S485" i="2"/>
  <c r="S244" i="2"/>
  <c r="S148" i="2"/>
  <c r="Z21" i="9"/>
  <c r="BL145" i="3"/>
  <c r="S146" i="2"/>
  <c r="T302" i="2"/>
  <c r="BM302" i="3" s="1"/>
  <c r="S17" i="5"/>
  <c r="S229" i="2"/>
  <c r="Z361" i="3"/>
  <c r="Z37" i="3"/>
  <c r="Z466" i="3"/>
  <c r="Z299" i="3"/>
  <c r="Y95" i="4"/>
  <c r="Y266" i="3"/>
  <c r="Y270" i="3" s="1"/>
  <c r="Y191" i="3"/>
  <c r="Y193" i="3" s="1"/>
  <c r="Y398" i="5"/>
  <c r="Y330" i="5"/>
  <c r="Y334" i="5"/>
  <c r="Y228" i="3"/>
  <c r="BL146" i="3" l="1"/>
  <c r="S109" i="5"/>
  <c r="S245" i="2"/>
  <c r="BL244" i="3"/>
  <c r="BL229" i="3"/>
  <c r="S90" i="5"/>
  <c r="S346" i="5" s="1"/>
  <c r="S18" i="5"/>
  <c r="S213" i="5"/>
  <c r="Z117" i="9"/>
  <c r="AJ21" i="9"/>
  <c r="AL21" i="9" s="1"/>
  <c r="BL485" i="3"/>
  <c r="S425" i="2"/>
  <c r="BL425" i="3" s="1"/>
  <c r="BL516" i="3"/>
  <c r="S384" i="5"/>
  <c r="BL148" i="3"/>
  <c r="S248" i="2"/>
  <c r="T8" i="2"/>
  <c r="Y64" i="4"/>
  <c r="AA65" i="4" s="1"/>
  <c r="Y331" i="5"/>
  <c r="Z362" i="3"/>
  <c r="Y199" i="3"/>
  <c r="Y195" i="3"/>
  <c r="Y201" i="3"/>
  <c r="Y197" i="3"/>
  <c r="Y200" i="3"/>
  <c r="Y198" i="3"/>
  <c r="Y196" i="3"/>
  <c r="Z440" i="3"/>
  <c r="P76" i="9"/>
  <c r="BL248" i="3" l="1"/>
  <c r="BT21" i="9"/>
  <c r="S259" i="2"/>
  <c r="S19" i="5"/>
  <c r="S214" i="5"/>
  <c r="BL245" i="3"/>
  <c r="S260" i="2"/>
  <c r="R373" i="1"/>
  <c r="AL117" i="9"/>
  <c r="AJ117" i="9"/>
  <c r="S486" i="2"/>
  <c r="BL486" i="3" s="1"/>
  <c r="T20" i="2"/>
  <c r="F22" i="9"/>
  <c r="T450" i="2"/>
  <c r="T19" i="2"/>
  <c r="K123" i="1"/>
  <c r="BM8" i="3"/>
  <c r="T447" i="2"/>
  <c r="T372" i="5"/>
  <c r="T374" i="5" s="1"/>
  <c r="I272" i="1"/>
  <c r="T390" i="2"/>
  <c r="S389" i="1"/>
  <c r="T84" i="2"/>
  <c r="Y322" i="4"/>
  <c r="O324" i="1"/>
  <c r="BT277" i="1"/>
  <c r="Y323" i="4"/>
  <c r="BU277" i="1"/>
  <c r="P324" i="1"/>
  <c r="Y324" i="4"/>
  <c r="Q324" i="1"/>
  <c r="BV277" i="1"/>
  <c r="Y204" i="3"/>
  <c r="Y515" i="3" s="1"/>
  <c r="T324" i="1"/>
  <c r="AA71" i="4"/>
  <c r="AA67" i="4"/>
  <c r="AA68" i="4"/>
  <c r="AA69" i="4"/>
  <c r="AA70" i="4"/>
  <c r="Y321" i="4"/>
  <c r="Y202" i="3"/>
  <c r="N324" i="1"/>
  <c r="BS277" i="1"/>
  <c r="Y326" i="4"/>
  <c r="BX277" i="1"/>
  <c r="S324" i="1"/>
  <c r="Y325" i="4"/>
  <c r="R324" i="1"/>
  <c r="BW277" i="1"/>
  <c r="C126" i="1" l="1"/>
  <c r="AK126" i="1" s="1"/>
  <c r="AK122" i="1"/>
  <c r="S20" i="5"/>
  <c r="S215" i="5"/>
  <c r="T85" i="2"/>
  <c r="T238" i="2"/>
  <c r="BM84" i="3"/>
  <c r="T15" i="5"/>
  <c r="T212" i="5" s="1"/>
  <c r="T232" i="2"/>
  <c r="BM232" i="3" s="1"/>
  <c r="T10" i="5"/>
  <c r="T206" i="5" s="1"/>
  <c r="BM19" i="3"/>
  <c r="T364" i="5"/>
  <c r="T366" i="5" s="1"/>
  <c r="S261" i="2"/>
  <c r="BL261" i="3" s="1"/>
  <c r="BL260" i="3"/>
  <c r="BL259" i="3"/>
  <c r="S368" i="5"/>
  <c r="S370" i="5" s="1"/>
  <c r="S144" i="5" s="1"/>
  <c r="BM447" i="3"/>
  <c r="BM450" i="3"/>
  <c r="BT117" i="9"/>
  <c r="BY21" i="9"/>
  <c r="BY117" i="9" s="1"/>
  <c r="T392" i="2"/>
  <c r="BM390" i="3"/>
  <c r="T393" i="2"/>
  <c r="T394" i="2"/>
  <c r="T391" i="2"/>
  <c r="F118" i="9"/>
  <c r="K22" i="9"/>
  <c r="Y484" i="3"/>
  <c r="Y485" i="3" s="1"/>
  <c r="Y422" i="3"/>
  <c r="Y424" i="3" s="1"/>
  <c r="Y145" i="3"/>
  <c r="Y332" i="5"/>
  <c r="Y203" i="3"/>
  <c r="U277" i="1"/>
  <c r="BN277" i="1"/>
  <c r="BP277" i="1"/>
  <c r="W277" i="1"/>
  <c r="BL277" i="1"/>
  <c r="S277" i="1"/>
  <c r="AA72" i="4"/>
  <c r="BO277" i="1"/>
  <c r="V277" i="1"/>
  <c r="X277" i="1"/>
  <c r="BQ277" i="1"/>
  <c r="M324" i="1"/>
  <c r="U324" i="1" s="1"/>
  <c r="BM277" i="1"/>
  <c r="T277" i="1"/>
  <c r="K118" i="9" l="1"/>
  <c r="AA74" i="4"/>
  <c r="AA272" i="3"/>
  <c r="S262" i="2"/>
  <c r="BM393" i="3"/>
  <c r="BM391" i="3"/>
  <c r="T395" i="2"/>
  <c r="BM238" i="3"/>
  <c r="T240" i="2"/>
  <c r="AD22" i="9"/>
  <c r="AD118" i="9" s="1"/>
  <c r="BM392" i="3"/>
  <c r="BM394" i="3"/>
  <c r="T470" i="2"/>
  <c r="BM470" i="3" s="1"/>
  <c r="BM85" i="3"/>
  <c r="T290" i="2"/>
  <c r="BM290" i="3" s="1"/>
  <c r="T287" i="2"/>
  <c r="Y425" i="3"/>
  <c r="BK277" i="1"/>
  <c r="R277" i="1"/>
  <c r="Y333" i="5"/>
  <c r="Y516" i="3"/>
  <c r="AA73" i="4"/>
  <c r="Z302" i="3"/>
  <c r="Y244" i="3"/>
  <c r="Y245" i="3" s="1"/>
  <c r="Y260" i="3" s="1"/>
  <c r="Y146" i="3"/>
  <c r="Y129" i="5" s="1"/>
  <c r="Z75" i="9"/>
  <c r="AJ75" i="9" s="1"/>
  <c r="AL75" i="9" s="1"/>
  <c r="Y197" i="5"/>
  <c r="Y198" i="5" s="1"/>
  <c r="Y199" i="5" s="1"/>
  <c r="Y200" i="5" s="1"/>
  <c r="Y229" i="3"/>
  <c r="Y335" i="5" s="1"/>
  <c r="Y148" i="3"/>
  <c r="BM287" i="3" l="1"/>
  <c r="T303" i="2"/>
  <c r="BM395" i="3"/>
  <c r="T405" i="2"/>
  <c r="BM405" i="3" s="1"/>
  <c r="T396" i="2"/>
  <c r="BM396" i="3" s="1"/>
  <c r="BM240" i="3"/>
  <c r="AI22" i="9"/>
  <c r="AI118" i="9" s="1"/>
  <c r="Z8" i="3"/>
  <c r="Y248" i="3"/>
  <c r="BM303" i="3" l="1"/>
  <c r="T95" i="2"/>
  <c r="T103" i="2" s="1"/>
  <c r="Y259" i="3"/>
  <c r="Y369" i="5" s="1"/>
  <c r="BT75" i="9"/>
  <c r="BY75" i="9" s="1"/>
  <c r="Z450" i="3"/>
  <c r="Z447" i="3"/>
  <c r="Y486" i="3"/>
  <c r="Z390" i="3"/>
  <c r="Z19" i="3"/>
  <c r="Z84" i="3"/>
  <c r="Z20" i="3"/>
  <c r="F76" i="9"/>
  <c r="K76" i="9" s="1"/>
  <c r="Z373" i="5"/>
  <c r="T116" i="2" l="1"/>
  <c r="T117" i="2" s="1"/>
  <c r="BM103" i="3"/>
  <c r="T501" i="2"/>
  <c r="T461" i="2"/>
  <c r="BM461" i="3" s="1"/>
  <c r="T250" i="2"/>
  <c r="BM250" i="3" s="1"/>
  <c r="T331" i="2"/>
  <c r="U10" i="2"/>
  <c r="AW22" i="9"/>
  <c r="AQ22" i="9"/>
  <c r="BM95" i="3"/>
  <c r="T249" i="2"/>
  <c r="T320" i="2"/>
  <c r="U9" i="2"/>
  <c r="T457" i="2"/>
  <c r="T175" i="2"/>
  <c r="Y261" i="3"/>
  <c r="Y262" i="3" s="1"/>
  <c r="Z232" i="3"/>
  <c r="Z190" i="5"/>
  <c r="Z365" i="5"/>
  <c r="Z393" i="3"/>
  <c r="Z391" i="3"/>
  <c r="Z394" i="3"/>
  <c r="Z392" i="3"/>
  <c r="Z238" i="3"/>
  <c r="Z85" i="3"/>
  <c r="Z195" i="5"/>
  <c r="Y393" i="5"/>
  <c r="BM175" i="3" l="1"/>
  <c r="T281" i="2"/>
  <c r="T251" i="2"/>
  <c r="BM249" i="3"/>
  <c r="AW118" i="9"/>
  <c r="AY22" i="9"/>
  <c r="AY118" i="9" s="1"/>
  <c r="BM457" i="3"/>
  <c r="U11" i="2"/>
  <c r="BN10" i="3"/>
  <c r="U100" i="2"/>
  <c r="BM501" i="3"/>
  <c r="T503" i="2"/>
  <c r="U92" i="2"/>
  <c r="U489" i="2"/>
  <c r="BN9" i="3"/>
  <c r="U96" i="2"/>
  <c r="AQ118" i="9"/>
  <c r="AT22" i="9"/>
  <c r="T332" i="2"/>
  <c r="BM331" i="3"/>
  <c r="BM320" i="3"/>
  <c r="T321" i="2"/>
  <c r="T118" i="2"/>
  <c r="BM117" i="3"/>
  <c r="U13" i="2"/>
  <c r="T253" i="2"/>
  <c r="BM253" i="3" s="1"/>
  <c r="T348" i="2"/>
  <c r="BF22" i="9"/>
  <c r="T508" i="2"/>
  <c r="U12" i="2"/>
  <c r="BM116" i="3"/>
  <c r="T252" i="2"/>
  <c r="T347" i="2"/>
  <c r="BB22" i="9"/>
  <c r="Z470" i="3"/>
  <c r="Z290" i="3"/>
  <c r="Z287" i="3"/>
  <c r="Z240" i="3"/>
  <c r="AD76" i="9"/>
  <c r="Z395" i="3"/>
  <c r="Z303" i="3" l="1"/>
  <c r="AE23" i="9"/>
  <c r="AE119" i="9" s="1"/>
  <c r="BN96" i="3"/>
  <c r="U310" i="2"/>
  <c r="BN310" i="3" s="1"/>
  <c r="AR23" i="9"/>
  <c r="AR119" i="9" s="1"/>
  <c r="BM503" i="3"/>
  <c r="T505" i="2"/>
  <c r="BN100" i="3"/>
  <c r="U102" i="2"/>
  <c r="BM348" i="3"/>
  <c r="T349" i="2"/>
  <c r="U14" i="2"/>
  <c r="BN13" i="3"/>
  <c r="U111" i="2"/>
  <c r="U33" i="2" s="1"/>
  <c r="BM251" i="3"/>
  <c r="BU22" i="9"/>
  <c r="BU118" i="9" s="1"/>
  <c r="BC22" i="9"/>
  <c r="BC118" i="9" s="1"/>
  <c r="BB118" i="9"/>
  <c r="BM321" i="3"/>
  <c r="U306" i="2"/>
  <c r="H272" i="1"/>
  <c r="A273" i="1" s="1"/>
  <c r="BM508" i="3"/>
  <c r="T510" i="2"/>
  <c r="BM252" i="3"/>
  <c r="T254" i="2"/>
  <c r="BF118" i="9"/>
  <c r="BG22" i="9"/>
  <c r="BG118" i="9" s="1"/>
  <c r="BN489" i="3"/>
  <c r="BN11" i="3"/>
  <c r="G23" i="9"/>
  <c r="G119" i="9" s="1"/>
  <c r="BM281" i="3"/>
  <c r="BN12" i="3"/>
  <c r="U32" i="2"/>
  <c r="AT118" i="9"/>
  <c r="T350" i="2"/>
  <c r="U336" i="2" s="1"/>
  <c r="BM349" i="3"/>
  <c r="BM118" i="3"/>
  <c r="T464" i="2"/>
  <c r="T177" i="2"/>
  <c r="T126" i="2"/>
  <c r="BM332" i="3"/>
  <c r="U324" i="2"/>
  <c r="U94" i="2"/>
  <c r="BN92" i="3"/>
  <c r="Z95" i="3"/>
  <c r="Z405" i="3"/>
  <c r="Z396" i="3"/>
  <c r="AI76" i="9"/>
  <c r="BN33" i="3" l="1"/>
  <c r="U344" i="2"/>
  <c r="BN345" i="3" s="1"/>
  <c r="BN32" i="3"/>
  <c r="U343" i="2"/>
  <c r="BN344" i="3" s="1"/>
  <c r="U34" i="2"/>
  <c r="BN306" i="3"/>
  <c r="U379" i="5"/>
  <c r="U383" i="5" s="1"/>
  <c r="U460" i="2"/>
  <c r="BN460" i="3" s="1"/>
  <c r="U502" i="2"/>
  <c r="BN502" i="3" s="1"/>
  <c r="U326" i="2"/>
  <c r="BN326" i="3" s="1"/>
  <c r="AU23" i="9"/>
  <c r="AU119" i="9" s="1"/>
  <c r="U296" i="2"/>
  <c r="BN296" i="3" s="1"/>
  <c r="BN102" i="3"/>
  <c r="U378" i="5"/>
  <c r="T135" i="2"/>
  <c r="T467" i="2"/>
  <c r="BM467" i="3" s="1"/>
  <c r="BI22" i="9"/>
  <c r="U15" i="2"/>
  <c r="BM126" i="3"/>
  <c r="T255" i="2"/>
  <c r="T363" i="2"/>
  <c r="U456" i="2"/>
  <c r="BN456" i="3" s="1"/>
  <c r="BN94" i="3"/>
  <c r="U308" i="2"/>
  <c r="BN308" i="3" s="1"/>
  <c r="U293" i="2"/>
  <c r="BN293" i="3" s="1"/>
  <c r="AN23" i="9"/>
  <c r="AN119" i="9" s="1"/>
  <c r="U377" i="5"/>
  <c r="U491" i="2"/>
  <c r="U176" i="2"/>
  <c r="BN176" i="3" s="1"/>
  <c r="U29" i="2"/>
  <c r="V93" i="2"/>
  <c r="BO93" i="3" s="1"/>
  <c r="BN337" i="3"/>
  <c r="BM510" i="3"/>
  <c r="T512" i="2"/>
  <c r="BN14" i="3"/>
  <c r="H23" i="9"/>
  <c r="H119" i="9" s="1"/>
  <c r="BM177" i="3"/>
  <c r="T282" i="2"/>
  <c r="BN324" i="3"/>
  <c r="U327" i="2"/>
  <c r="BM464" i="3"/>
  <c r="BM350" i="3"/>
  <c r="U335" i="2"/>
  <c r="T506" i="2"/>
  <c r="BM505" i="3"/>
  <c r="BM254" i="3"/>
  <c r="BV22" i="9"/>
  <c r="BV118" i="9" s="1"/>
  <c r="U509" i="2"/>
  <c r="BN509" i="3" s="1"/>
  <c r="BD23" i="9"/>
  <c r="BD119" i="9" s="1"/>
  <c r="BN111" i="3"/>
  <c r="U112" i="2"/>
  <c r="U338" i="2"/>
  <c r="BN339" i="3" s="1"/>
  <c r="Z457" i="3"/>
  <c r="Z320" i="3"/>
  <c r="Z321" i="3" s="1"/>
  <c r="AA306" i="3" s="1"/>
  <c r="AQ76" i="9"/>
  <c r="AT76" i="9" s="1"/>
  <c r="Z249" i="3"/>
  <c r="AA9" i="3"/>
  <c r="Z103" i="3"/>
  <c r="U340" i="2" l="1"/>
  <c r="BN341" i="3" s="1"/>
  <c r="BM364" i="3"/>
  <c r="T364" i="2"/>
  <c r="U353" i="2" s="1"/>
  <c r="BI118" i="9"/>
  <c r="BL22" i="9"/>
  <c r="U313" i="2"/>
  <c r="BN112" i="3"/>
  <c r="U178" i="2"/>
  <c r="U297" i="2"/>
  <c r="BN297" i="3" s="1"/>
  <c r="U463" i="2"/>
  <c r="BN463" i="3" s="1"/>
  <c r="BN335" i="3"/>
  <c r="U339" i="2"/>
  <c r="BN336" i="3"/>
  <c r="BM282" i="3"/>
  <c r="T284" i="2"/>
  <c r="T513" i="2"/>
  <c r="BM512" i="3"/>
  <c r="BN491" i="3"/>
  <c r="U494" i="2"/>
  <c r="BN494" i="3" s="1"/>
  <c r="U493" i="2"/>
  <c r="BM255" i="3"/>
  <c r="T257" i="2"/>
  <c r="U309" i="2"/>
  <c r="T382" i="2"/>
  <c r="BO22" i="9"/>
  <c r="T469" i="2"/>
  <c r="U18" i="2"/>
  <c r="BM135" i="3"/>
  <c r="T258" i="2"/>
  <c r="BN327" i="3"/>
  <c r="U99" i="2"/>
  <c r="U346" i="2"/>
  <c r="BN347" i="3" s="1"/>
  <c r="BN29" i="3"/>
  <c r="U317" i="2"/>
  <c r="BN317" i="3" s="1"/>
  <c r="BN15" i="3"/>
  <c r="U127" i="2"/>
  <c r="U17" i="2"/>
  <c r="U35" i="2"/>
  <c r="U319" i="2"/>
  <c r="BN319" i="3" s="1"/>
  <c r="BN34" i="3"/>
  <c r="O23" i="9"/>
  <c r="O119" i="9" s="1"/>
  <c r="Z116" i="3"/>
  <c r="Z117" i="3" s="1"/>
  <c r="Z461" i="3"/>
  <c r="Z331" i="3"/>
  <c r="Z332" i="3" s="1"/>
  <c r="AA324" i="3" s="1"/>
  <c r="AW76" i="9"/>
  <c r="AY76" i="9" s="1"/>
  <c r="Z501" i="3"/>
  <c r="Z503" i="3" s="1"/>
  <c r="Z505" i="3" s="1"/>
  <c r="Z506" i="3" s="1"/>
  <c r="AA10" i="3"/>
  <c r="AA11" i="3" s="1"/>
  <c r="G77" i="9" s="1"/>
  <c r="Z250" i="3"/>
  <c r="Z251" i="3" s="1"/>
  <c r="BU76" i="9" s="1"/>
  <c r="Z175" i="3"/>
  <c r="Z281" i="3" s="1"/>
  <c r="AA489" i="3"/>
  <c r="AA96" i="3"/>
  <c r="AA92" i="3"/>
  <c r="AA94" i="3" s="1"/>
  <c r="BN17" i="3" l="1"/>
  <c r="I23" i="9"/>
  <c r="I119" i="9" s="1"/>
  <c r="U459" i="2"/>
  <c r="BN459" i="3" s="1"/>
  <c r="AV23" i="9"/>
  <c r="AV119" i="9" s="1"/>
  <c r="BN99" i="3"/>
  <c r="U295" i="2"/>
  <c r="BN295" i="3" s="1"/>
  <c r="U328" i="2"/>
  <c r="V101" i="2"/>
  <c r="BO101" i="3" s="1"/>
  <c r="U30" i="2"/>
  <c r="E273" i="1"/>
  <c r="U38" i="2"/>
  <c r="BN18" i="3"/>
  <c r="J23" i="9"/>
  <c r="J119" i="9" s="1"/>
  <c r="BN309" i="3"/>
  <c r="T390" i="1"/>
  <c r="S359" i="1"/>
  <c r="BM284" i="3"/>
  <c r="BN340" i="3"/>
  <c r="U113" i="2"/>
  <c r="T357" i="1"/>
  <c r="BN178" i="3"/>
  <c r="U355" i="2"/>
  <c r="BN355" i="3" s="1"/>
  <c r="BK23" i="9"/>
  <c r="BK119" i="9" s="1"/>
  <c r="AG23" i="9"/>
  <c r="AG119" i="9" s="1"/>
  <c r="BN127" i="3"/>
  <c r="BM469" i="3"/>
  <c r="T472" i="2"/>
  <c r="T474" i="2"/>
  <c r="BM257" i="3"/>
  <c r="BW22" i="9"/>
  <c r="BW118" i="9" s="1"/>
  <c r="BN353" i="3"/>
  <c r="T391" i="1"/>
  <c r="BM258" i="3"/>
  <c r="T175" i="5"/>
  <c r="BX22" i="9"/>
  <c r="BX118" i="9" s="1"/>
  <c r="BP22" i="9"/>
  <c r="BP118" i="9" s="1"/>
  <c r="BO118" i="9"/>
  <c r="U361" i="2"/>
  <c r="U37" i="2"/>
  <c r="BN35" i="3"/>
  <c r="T383" i="2"/>
  <c r="BM382" i="3"/>
  <c r="BN493" i="3"/>
  <c r="U496" i="2"/>
  <c r="BL118" i="9"/>
  <c r="AA456" i="3"/>
  <c r="AA308" i="3"/>
  <c r="AA293" i="3"/>
  <c r="AN77" i="9"/>
  <c r="AA405" i="5"/>
  <c r="AA406" i="5" s="1"/>
  <c r="AA380" i="5"/>
  <c r="AA491" i="3"/>
  <c r="AA493" i="3" s="1"/>
  <c r="AA494" i="3" s="1"/>
  <c r="AB93" i="3"/>
  <c r="AA310" i="3"/>
  <c r="AR77" i="9"/>
  <c r="AE77" i="9"/>
  <c r="AA100" i="3"/>
  <c r="AA102" i="3" s="1"/>
  <c r="AA176" i="3" s="1"/>
  <c r="Z347" i="3"/>
  <c r="Z349" i="3" s="1"/>
  <c r="AA335" i="3" s="1"/>
  <c r="Z118" i="3"/>
  <c r="Z126" i="3" s="1"/>
  <c r="BB76" i="9"/>
  <c r="BC76" i="9" s="1"/>
  <c r="Z252" i="3"/>
  <c r="AA12" i="3"/>
  <c r="Z348" i="3"/>
  <c r="Z350" i="3" s="1"/>
  <c r="AA336" i="3" s="1"/>
  <c r="BF76" i="9"/>
  <c r="BG76" i="9" s="1"/>
  <c r="Z253" i="3"/>
  <c r="Z508" i="3"/>
  <c r="Z510" i="3" s="1"/>
  <c r="Z512" i="3" s="1"/>
  <c r="Z513" i="3" s="1"/>
  <c r="AA13" i="3"/>
  <c r="AA29" i="3"/>
  <c r="BR22" i="9" l="1"/>
  <c r="BR118" i="9" s="1"/>
  <c r="U440" i="2"/>
  <c r="BN440" i="3" s="1"/>
  <c r="P23" i="9"/>
  <c r="P119" i="9" s="1"/>
  <c r="BN37" i="3"/>
  <c r="BM474" i="3"/>
  <c r="T476" i="2"/>
  <c r="BN356" i="3"/>
  <c r="BN362" i="3"/>
  <c r="BM472" i="3"/>
  <c r="T28" i="2"/>
  <c r="T400" i="2"/>
  <c r="T399" i="2"/>
  <c r="T401" i="2"/>
  <c r="T402" i="2"/>
  <c r="BN113" i="3"/>
  <c r="U341" i="2"/>
  <c r="U115" i="2"/>
  <c r="BA23" i="9"/>
  <c r="BA119" i="9" s="1"/>
  <c r="U379" i="2"/>
  <c r="BN379" i="3" s="1"/>
  <c r="U173" i="5"/>
  <c r="Q23" i="9"/>
  <c r="Q119" i="9" s="1"/>
  <c r="BN38" i="3"/>
  <c r="BN328" i="3"/>
  <c r="BM383" i="3"/>
  <c r="U377" i="2"/>
  <c r="U497" i="2"/>
  <c r="BN496" i="3"/>
  <c r="U362" i="2"/>
  <c r="BN363" i="3" s="1"/>
  <c r="BN30" i="3"/>
  <c r="U329" i="2"/>
  <c r="BN329" i="3" s="1"/>
  <c r="U31" i="2"/>
  <c r="AA110" i="3"/>
  <c r="AA32" i="3" s="1"/>
  <c r="AA14" i="3"/>
  <c r="H77" i="9" s="1"/>
  <c r="Z254" i="3"/>
  <c r="BV76" i="9" s="1"/>
  <c r="AA502" i="3"/>
  <c r="AA460" i="3"/>
  <c r="AA326" i="3"/>
  <c r="AA296" i="3"/>
  <c r="AU77" i="9"/>
  <c r="AA381" i="5"/>
  <c r="AA111" i="3"/>
  <c r="AA33" i="3" s="1"/>
  <c r="AA382" i="5"/>
  <c r="AA317" i="3"/>
  <c r="AA319" i="3" s="1"/>
  <c r="AA496" i="3"/>
  <c r="AA497" i="3" s="1"/>
  <c r="AA498" i="3" s="1"/>
  <c r="Z464" i="3"/>
  <c r="Z177" i="3"/>
  <c r="Z282" i="3" s="1"/>
  <c r="Z284" i="3" s="1"/>
  <c r="AA408" i="5"/>
  <c r="AA309" i="3"/>
  <c r="BN115" i="3" l="1"/>
  <c r="U462" i="2"/>
  <c r="BN462" i="3" s="1"/>
  <c r="U298" i="2"/>
  <c r="BN298" i="3" s="1"/>
  <c r="BM401" i="3"/>
  <c r="T410" i="2"/>
  <c r="U439" i="2"/>
  <c r="BN439" i="3" s="1"/>
  <c r="N23" i="9"/>
  <c r="N119" i="9" s="1"/>
  <c r="BN31" i="3"/>
  <c r="U330" i="2"/>
  <c r="BN330" i="3" s="1"/>
  <c r="BN342" i="3"/>
  <c r="U345" i="2"/>
  <c r="BN346" i="3" s="1"/>
  <c r="BM399" i="3"/>
  <c r="T403" i="2"/>
  <c r="BM403" i="3" s="1"/>
  <c r="T408" i="2"/>
  <c r="BN497" i="3"/>
  <c r="U498" i="2"/>
  <c r="BN498" i="3" s="1"/>
  <c r="BM400" i="3"/>
  <c r="T409" i="2"/>
  <c r="BN377" i="3"/>
  <c r="U381" i="2"/>
  <c r="BN381" i="3" s="1"/>
  <c r="BM402" i="3"/>
  <c r="T411" i="2"/>
  <c r="T169" i="2"/>
  <c r="T390" i="5"/>
  <c r="BM28" i="3"/>
  <c r="T438" i="2"/>
  <c r="T11" i="5"/>
  <c r="T207" i="5" s="1"/>
  <c r="M22" i="9"/>
  <c r="T71" i="2"/>
  <c r="T139" i="2"/>
  <c r="BM139" i="3" s="1"/>
  <c r="T241" i="2"/>
  <c r="BM241" i="3" s="1"/>
  <c r="BM476" i="3"/>
  <c r="T478" i="2"/>
  <c r="AA344" i="3"/>
  <c r="AA343" i="3"/>
  <c r="AA34" i="3"/>
  <c r="O77" i="9" s="1"/>
  <c r="Z467" i="3"/>
  <c r="Z472" i="3" s="1"/>
  <c r="Z363" i="3"/>
  <c r="Z364" i="3" s="1"/>
  <c r="AA353" i="3" s="1"/>
  <c r="BI76" i="9"/>
  <c r="BL76" i="9" s="1"/>
  <c r="BR76" i="9" s="1"/>
  <c r="Z255" i="3"/>
  <c r="Z257" i="3" s="1"/>
  <c r="BW76" i="9" s="1"/>
  <c r="AA15" i="3"/>
  <c r="AA327" i="3"/>
  <c r="AA99" i="3" s="1"/>
  <c r="AA509" i="3"/>
  <c r="AA338" i="3"/>
  <c r="BD77" i="9"/>
  <c r="AA337" i="3"/>
  <c r="AA112" i="3"/>
  <c r="AZ77" i="9"/>
  <c r="Z474" i="3" l="1"/>
  <c r="Z476" i="3" s="1"/>
  <c r="Z478" i="3" s="1"/>
  <c r="M118" i="9"/>
  <c r="W22" i="9"/>
  <c r="T394" i="5"/>
  <c r="T391" i="5"/>
  <c r="T395" i="5" s="1"/>
  <c r="BM169" i="3"/>
  <c r="S354" i="1"/>
  <c r="T480" i="2"/>
  <c r="BM478" i="3"/>
  <c r="BM438" i="3"/>
  <c r="T444" i="2"/>
  <c r="BM444" i="3" s="1"/>
  <c r="BM411" i="3"/>
  <c r="T418" i="2"/>
  <c r="BM418" i="3" s="1"/>
  <c r="BM409" i="3"/>
  <c r="T416" i="2"/>
  <c r="BM416" i="3" s="1"/>
  <c r="T415" i="2"/>
  <c r="T412" i="2"/>
  <c r="BM412" i="3" s="1"/>
  <c r="BM408" i="3"/>
  <c r="S368" i="1"/>
  <c r="BM71" i="3"/>
  <c r="T386" i="5"/>
  <c r="T388" i="5" s="1"/>
  <c r="BM410" i="3"/>
  <c r="T417" i="2"/>
  <c r="AA340" i="3"/>
  <c r="AA114" i="3" s="1"/>
  <c r="AA127" i="3"/>
  <c r="AA17" i="3"/>
  <c r="I77" i="9" s="1"/>
  <c r="Z28" i="3"/>
  <c r="Z400" i="3"/>
  <c r="Z409" i="3" s="1"/>
  <c r="Z416" i="3" s="1"/>
  <c r="Z399" i="3"/>
  <c r="Z402" i="3"/>
  <c r="Z411" i="3" s="1"/>
  <c r="Z418" i="3" s="1"/>
  <c r="Z401" i="3"/>
  <c r="Z410" i="3" s="1"/>
  <c r="Z417" i="3" s="1"/>
  <c r="Z170" i="3" s="1"/>
  <c r="AA459" i="3"/>
  <c r="AA295" i="3"/>
  <c r="AA328" i="3"/>
  <c r="AV77" i="9"/>
  <c r="AB101" i="3"/>
  <c r="AA30" i="3"/>
  <c r="AA463" i="3"/>
  <c r="AA178" i="3"/>
  <c r="AA297" i="3"/>
  <c r="AA339" i="3"/>
  <c r="AA113" i="3" s="1"/>
  <c r="W118" i="9" l="1"/>
  <c r="T413" i="2"/>
  <c r="T419" i="2"/>
  <c r="BM419" i="3" s="1"/>
  <c r="BM415" i="3"/>
  <c r="BM417" i="3"/>
  <c r="T170" i="2"/>
  <c r="BM480" i="3"/>
  <c r="T481" i="2"/>
  <c r="AA341" i="3"/>
  <c r="AA345" i="3" s="1"/>
  <c r="AA115" i="3"/>
  <c r="BA77" i="9"/>
  <c r="Z480" i="3"/>
  <c r="Z268" i="3"/>
  <c r="Z210" i="3"/>
  <c r="Z438" i="3"/>
  <c r="Z444" i="3" s="1"/>
  <c r="Z241" i="3"/>
  <c r="Z71" i="3"/>
  <c r="Z169" i="3"/>
  <c r="Z139" i="3"/>
  <c r="Z191" i="5"/>
  <c r="M76" i="9"/>
  <c r="W76" i="9" s="1"/>
  <c r="Z392" i="5"/>
  <c r="AA355" i="3"/>
  <c r="AG77" i="9"/>
  <c r="BK77" i="9"/>
  <c r="AA329" i="3"/>
  <c r="AA330" i="3" s="1"/>
  <c r="AA31" i="3"/>
  <c r="Z403" i="3"/>
  <c r="Z408" i="3"/>
  <c r="AA342" i="3"/>
  <c r="AA346" i="3" s="1"/>
  <c r="BE77" i="9"/>
  <c r="T420" i="2" l="1"/>
  <c r="BM420" i="3" s="1"/>
  <c r="BM481" i="3"/>
  <c r="T482" i="2"/>
  <c r="BM482" i="3" s="1"/>
  <c r="BM170" i="3"/>
  <c r="T210" i="2"/>
  <c r="T268" i="2"/>
  <c r="BM268" i="3" s="1"/>
  <c r="S355" i="1"/>
  <c r="T192" i="2"/>
  <c r="T171" i="2"/>
  <c r="Z412" i="3"/>
  <c r="Z413" i="3" s="1"/>
  <c r="Z415" i="3"/>
  <c r="Z419" i="3" s="1"/>
  <c r="Z420" i="3" s="1"/>
  <c r="Z171" i="3"/>
  <c r="Z182" i="3" s="1"/>
  <c r="Z192" i="3"/>
  <c r="Z481" i="3"/>
  <c r="Z387" i="5"/>
  <c r="AA462" i="3"/>
  <c r="AA298" i="3"/>
  <c r="AA439" i="3"/>
  <c r="N77" i="9"/>
  <c r="AA357" i="3"/>
  <c r="S356" i="1" l="1"/>
  <c r="S361" i="1" s="1"/>
  <c r="BM171" i="3"/>
  <c r="BM210" i="3"/>
  <c r="S380" i="1"/>
  <c r="BM192" i="3"/>
  <c r="S366" i="1"/>
  <c r="T182" i="2"/>
  <c r="Z207" i="3"/>
  <c r="Z212" i="3" s="1"/>
  <c r="Z153" i="3"/>
  <c r="Z154" i="3" s="1"/>
  <c r="Z156" i="3" s="1"/>
  <c r="BT357" i="3"/>
  <c r="AA121" i="3"/>
  <c r="Z482" i="3"/>
  <c r="BM182" i="3" l="1"/>
  <c r="T153" i="2"/>
  <c r="T207" i="2"/>
  <c r="AA358" i="3"/>
  <c r="Z159" i="3"/>
  <c r="Z160" i="3" s="1"/>
  <c r="Z161" i="3" s="1"/>
  <c r="Z158" i="3"/>
  <c r="Z162" i="3" s="1"/>
  <c r="Z225" i="3"/>
  <c r="Z218" i="3"/>
  <c r="T212" i="2" l="1"/>
  <c r="BM207" i="3"/>
  <c r="T154" i="2"/>
  <c r="BM153" i="3"/>
  <c r="Z222" i="3"/>
  <c r="Z221" i="3"/>
  <c r="Z220" i="3"/>
  <c r="AA359" i="3"/>
  <c r="AA122" i="3" s="1"/>
  <c r="Z163" i="3"/>
  <c r="Z165" i="3" s="1"/>
  <c r="Z267" i="3" s="1"/>
  <c r="BM154" i="3" l="1"/>
  <c r="T156" i="2"/>
  <c r="T225" i="2"/>
  <c r="BM225" i="3" s="1"/>
  <c r="BM212" i="3"/>
  <c r="T218" i="2"/>
  <c r="Z223" i="3"/>
  <c r="Z227" i="3" s="1"/>
  <c r="AA360" i="3"/>
  <c r="AA123" i="3"/>
  <c r="Z166" i="3"/>
  <c r="Z183" i="3"/>
  <c r="Z184" i="3" s="1"/>
  <c r="Z139" i="5"/>
  <c r="T158" i="2" l="1"/>
  <c r="T159" i="2"/>
  <c r="BM156" i="3"/>
  <c r="T220" i="2"/>
  <c r="BM218" i="3"/>
  <c r="T222" i="2"/>
  <c r="BM222" i="3" s="1"/>
  <c r="T221" i="2"/>
  <c r="BM221" i="3" s="1"/>
  <c r="Z334" i="5"/>
  <c r="Z228" i="3"/>
  <c r="AA125" i="3"/>
  <c r="BH77" i="9"/>
  <c r="AA35" i="3"/>
  <c r="Z95" i="4"/>
  <c r="Z266" i="3"/>
  <c r="Z270" i="3" s="1"/>
  <c r="Z191" i="3"/>
  <c r="Z193" i="3" s="1"/>
  <c r="Z330" i="5"/>
  <c r="Z398" i="5"/>
  <c r="BM220" i="3" l="1"/>
  <c r="T223" i="2"/>
  <c r="BM159" i="3"/>
  <c r="T160" i="2"/>
  <c r="T162" i="2"/>
  <c r="BM162" i="3" s="1"/>
  <c r="BM158" i="3"/>
  <c r="Z64" i="4"/>
  <c r="AB65" i="4" s="1"/>
  <c r="Z331" i="5"/>
  <c r="AA361" i="3"/>
  <c r="AA37" i="3"/>
  <c r="AA466" i="3"/>
  <c r="AA299" i="3"/>
  <c r="Z198" i="3"/>
  <c r="Z200" i="3"/>
  <c r="Z196" i="3"/>
  <c r="Z201" i="3"/>
  <c r="Z195" i="3"/>
  <c r="Z197" i="3"/>
  <c r="Z199" i="3"/>
  <c r="BM160" i="3" l="1"/>
  <c r="T161" i="2"/>
  <c r="BM223" i="3"/>
  <c r="T227" i="2"/>
  <c r="Z323" i="4"/>
  <c r="BU278" i="1"/>
  <c r="P325" i="1"/>
  <c r="Z326" i="4"/>
  <c r="S325" i="1"/>
  <c r="BX278" i="1"/>
  <c r="AA440" i="3"/>
  <c r="P77" i="9"/>
  <c r="Z321" i="4"/>
  <c r="Z202" i="3"/>
  <c r="BS278" i="1"/>
  <c r="N325" i="1"/>
  <c r="AA362" i="3"/>
  <c r="Z204" i="3"/>
  <c r="Z515" i="3" s="1"/>
  <c r="T325" i="1"/>
  <c r="Z324" i="4"/>
  <c r="BV278" i="1"/>
  <c r="Q325" i="1"/>
  <c r="Z325" i="4"/>
  <c r="BW278" i="1"/>
  <c r="R325" i="1"/>
  <c r="Z322" i="4"/>
  <c r="O325" i="1"/>
  <c r="BT278" i="1"/>
  <c r="AB70" i="4"/>
  <c r="AB69" i="4"/>
  <c r="AB71" i="4"/>
  <c r="AB68" i="4"/>
  <c r="AB67" i="4"/>
  <c r="T89" i="5" l="1"/>
  <c r="T345" i="5" s="1"/>
  <c r="S385" i="1"/>
  <c r="S371" i="1"/>
  <c r="BM227" i="3"/>
  <c r="S393" i="1"/>
  <c r="T228" i="2"/>
  <c r="BM228" i="3" s="1"/>
  <c r="BM161" i="3"/>
  <c r="T163" i="2"/>
  <c r="M325" i="1"/>
  <c r="U325" i="1" s="1"/>
  <c r="BQ278" i="1"/>
  <c r="X278" i="1"/>
  <c r="V278" i="1"/>
  <c r="BO278" i="1"/>
  <c r="AB72" i="4"/>
  <c r="W278" i="1"/>
  <c r="BP278" i="1"/>
  <c r="BM278" i="1"/>
  <c r="T278" i="1"/>
  <c r="Z484" i="3"/>
  <c r="Z485" i="3" s="1"/>
  <c r="Z422" i="3"/>
  <c r="Z424" i="3" s="1"/>
  <c r="Z145" i="3"/>
  <c r="Z332" i="5"/>
  <c r="Z203" i="3"/>
  <c r="BL278" i="1"/>
  <c r="S278" i="1"/>
  <c r="BN278" i="1"/>
  <c r="U278" i="1"/>
  <c r="AB74" i="4" l="1"/>
  <c r="AB272" i="3"/>
  <c r="BM163" i="3"/>
  <c r="T165" i="2"/>
  <c r="T267" i="2" s="1"/>
  <c r="AA302" i="3"/>
  <c r="Z244" i="3"/>
  <c r="Z245" i="3" s="1"/>
  <c r="Z260" i="3" s="1"/>
  <c r="Z146" i="3"/>
  <c r="Z129" i="5" s="1"/>
  <c r="Z197" i="5"/>
  <c r="Z198" i="5" s="1"/>
  <c r="Z199" i="5" s="1"/>
  <c r="Z200" i="5" s="1"/>
  <c r="Z76" i="9"/>
  <c r="AJ76" i="9" s="1"/>
  <c r="AL76" i="9" s="1"/>
  <c r="Z148" i="3"/>
  <c r="Z229" i="3"/>
  <c r="Z335" i="5" s="1"/>
  <c r="R278" i="1"/>
  <c r="BK278" i="1"/>
  <c r="Z333" i="5"/>
  <c r="Z516" i="3"/>
  <c r="Z425" i="3"/>
  <c r="AB73" i="4"/>
  <c r="BM165" i="3" l="1"/>
  <c r="T112" i="5"/>
  <c r="T140" i="5" s="1"/>
  <c r="T166" i="2"/>
  <c r="BM166" i="3" s="1"/>
  <c r="BM267" i="3"/>
  <c r="T183" i="2"/>
  <c r="AA8" i="3"/>
  <c r="Z248" i="3"/>
  <c r="BM183" i="3" l="1"/>
  <c r="S363" i="1"/>
  <c r="S364" i="1" s="1"/>
  <c r="S375" i="1"/>
  <c r="T184" i="2"/>
  <c r="Z259" i="3"/>
  <c r="Z369" i="5" s="1"/>
  <c r="BT76" i="9"/>
  <c r="BY76" i="9" s="1"/>
  <c r="Z486" i="3"/>
  <c r="AA447" i="3"/>
  <c r="AA450" i="3"/>
  <c r="AA390" i="3"/>
  <c r="AA84" i="3"/>
  <c r="AA20" i="3"/>
  <c r="AA19" i="3"/>
  <c r="AA373" i="5"/>
  <c r="F77" i="9"/>
  <c r="K77" i="9" s="1"/>
  <c r="T397" i="5" l="1"/>
  <c r="T85" i="5"/>
  <c r="T342" i="5" s="1"/>
  <c r="BM184" i="3"/>
  <c r="T266" i="2"/>
  <c r="T191" i="2"/>
  <c r="T399" i="5"/>
  <c r="T94" i="4"/>
  <c r="S374" i="1"/>
  <c r="S377" i="1" s="1"/>
  <c r="S382" i="1" s="1"/>
  <c r="S384" i="1" s="1"/>
  <c r="S386" i="1" s="1"/>
  <c r="S367" i="1"/>
  <c r="AA232" i="3"/>
  <c r="Z261" i="3"/>
  <c r="Z262" i="3" s="1"/>
  <c r="AA190" i="5"/>
  <c r="AA365" i="5"/>
  <c r="AA393" i="3"/>
  <c r="AA391" i="3"/>
  <c r="AA394" i="3"/>
  <c r="AA392" i="3"/>
  <c r="AA238" i="3"/>
  <c r="AA85" i="3"/>
  <c r="AA195" i="5"/>
  <c r="Z393" i="5"/>
  <c r="T270" i="2" l="1"/>
  <c r="T271" i="2"/>
  <c r="T86" i="4" s="1"/>
  <c r="BM266" i="3"/>
  <c r="T193" i="2"/>
  <c r="BM191" i="3"/>
  <c r="AA470" i="3"/>
  <c r="AA290" i="3"/>
  <c r="AA287" i="3"/>
  <c r="AA303" i="3" s="1"/>
  <c r="AA240" i="3"/>
  <c r="AD77" i="9"/>
  <c r="AA395" i="3"/>
  <c r="T200" i="2" l="1"/>
  <c r="BM193" i="3"/>
  <c r="T196" i="2"/>
  <c r="T199" i="2"/>
  <c r="T201" i="2"/>
  <c r="T197" i="2"/>
  <c r="T198" i="2"/>
  <c r="T195" i="2"/>
  <c r="T32" i="4"/>
  <c r="V33" i="4" s="1"/>
  <c r="BM270" i="3"/>
  <c r="T86" i="5"/>
  <c r="T343" i="5" s="1"/>
  <c r="AA396" i="3"/>
  <c r="AA405" i="3"/>
  <c r="AI77" i="9"/>
  <c r="AA95" i="3"/>
  <c r="D319" i="1" l="1"/>
  <c r="T313" i="4"/>
  <c r="K272" i="1" s="1"/>
  <c r="BM195" i="3"/>
  <c r="T202" i="2"/>
  <c r="BM199" i="3"/>
  <c r="H319" i="1"/>
  <c r="T317" i="4"/>
  <c r="O272" i="1" s="1"/>
  <c r="BM198" i="3"/>
  <c r="G319" i="1"/>
  <c r="T316" i="4"/>
  <c r="N272" i="1" s="1"/>
  <c r="T314" i="4"/>
  <c r="L272" i="1" s="1"/>
  <c r="BM196" i="3"/>
  <c r="E319" i="1"/>
  <c r="V58" i="4"/>
  <c r="V55" i="4"/>
  <c r="V54" i="4"/>
  <c r="V56" i="4"/>
  <c r="V57" i="4"/>
  <c r="F319" i="1"/>
  <c r="T315" i="4"/>
  <c r="M272" i="1" s="1"/>
  <c r="BM197" i="3"/>
  <c r="J319" i="1"/>
  <c r="T204" i="2"/>
  <c r="BM201" i="3"/>
  <c r="BM200" i="3"/>
  <c r="T318" i="4"/>
  <c r="P272" i="1" s="1"/>
  <c r="I319" i="1"/>
  <c r="AA457" i="3"/>
  <c r="AA320" i="3"/>
  <c r="AA321" i="3" s="1"/>
  <c r="AB306" i="3" s="1"/>
  <c r="AQ77" i="9"/>
  <c r="AT77" i="9" s="1"/>
  <c r="AB9" i="3"/>
  <c r="AA249" i="3"/>
  <c r="AA103" i="3"/>
  <c r="V59" i="4" l="1"/>
  <c r="T484" i="2"/>
  <c r="S370" i="1"/>
  <c r="S372" i="1" s="1"/>
  <c r="T145" i="2"/>
  <c r="T422" i="2"/>
  <c r="BM202" i="3"/>
  <c r="T87" i="5"/>
  <c r="T344" i="5" s="1"/>
  <c r="T203" i="2"/>
  <c r="BM204" i="3"/>
  <c r="S394" i="1"/>
  <c r="T515" i="2"/>
  <c r="BM515" i="3" s="1"/>
  <c r="C319" i="1"/>
  <c r="K319" i="1" s="1"/>
  <c r="AA461" i="3"/>
  <c r="AA331" i="3"/>
  <c r="AA332" i="3" s="1"/>
  <c r="AB324" i="3" s="1"/>
  <c r="AW77" i="9"/>
  <c r="AY77" i="9" s="1"/>
  <c r="AA501" i="3"/>
  <c r="AA503" i="3" s="1"/>
  <c r="AA505" i="3" s="1"/>
  <c r="AA506" i="3" s="1"/>
  <c r="AB10" i="3"/>
  <c r="AB11" i="3" s="1"/>
  <c r="G78" i="9" s="1"/>
  <c r="AA250" i="3"/>
  <c r="AA251" i="3" s="1"/>
  <c r="BU77" i="9" s="1"/>
  <c r="AA175" i="3"/>
  <c r="AA281" i="3" s="1"/>
  <c r="AB489" i="3"/>
  <c r="AB96" i="3"/>
  <c r="AB92" i="3"/>
  <c r="AB94" i="3" s="1"/>
  <c r="AB29" i="3" s="1"/>
  <c r="AA116" i="3"/>
  <c r="AA117" i="3" s="1"/>
  <c r="V61" i="4" l="1"/>
  <c r="V272" i="2"/>
  <c r="J272" i="1"/>
  <c r="T516" i="2"/>
  <c r="T88" i="5"/>
  <c r="BM203" i="3"/>
  <c r="T17" i="5"/>
  <c r="T146" i="2"/>
  <c r="T229" i="2"/>
  <c r="T244" i="2"/>
  <c r="T148" i="2"/>
  <c r="BM145" i="3"/>
  <c r="Z22" i="9"/>
  <c r="U302" i="2"/>
  <c r="BN302" i="3" s="1"/>
  <c r="BM484" i="3"/>
  <c r="T485" i="2"/>
  <c r="T424" i="2"/>
  <c r="BM424" i="3" s="1"/>
  <c r="BM422" i="3"/>
  <c r="V60" i="4"/>
  <c r="AA348" i="3"/>
  <c r="AA350" i="3" s="1"/>
  <c r="AB336" i="3" s="1"/>
  <c r="BF77" i="9"/>
  <c r="BG77" i="9" s="1"/>
  <c r="AA508" i="3"/>
  <c r="AA510" i="3" s="1"/>
  <c r="AA512" i="3" s="1"/>
  <c r="AA513" i="3" s="1"/>
  <c r="AB13" i="3"/>
  <c r="AA253" i="3"/>
  <c r="AB456" i="3"/>
  <c r="AB293" i="3"/>
  <c r="AB308" i="3"/>
  <c r="AB405" i="5"/>
  <c r="AB406" i="5" s="1"/>
  <c r="AB380" i="5"/>
  <c r="AN78" i="9"/>
  <c r="AB491" i="3"/>
  <c r="AB493" i="3" s="1"/>
  <c r="AB494" i="3" s="1"/>
  <c r="AC93" i="3"/>
  <c r="AB100" i="3"/>
  <c r="AB102" i="3" s="1"/>
  <c r="AB317" i="3"/>
  <c r="AA347" i="3"/>
  <c r="AA349" i="3" s="1"/>
  <c r="AB335" i="3" s="1"/>
  <c r="AA118" i="3"/>
  <c r="AA126" i="3" s="1"/>
  <c r="BB77" i="9"/>
  <c r="BC77" i="9" s="1"/>
  <c r="AA252" i="3"/>
  <c r="AB12" i="3"/>
  <c r="AB310" i="3"/>
  <c r="AE78" i="9"/>
  <c r="AR78" i="9"/>
  <c r="AA254" i="3" l="1"/>
  <c r="BV77" i="9" s="1"/>
  <c r="BM244" i="3"/>
  <c r="T245" i="2"/>
  <c r="BM485" i="3"/>
  <c r="T425" i="2"/>
  <c r="BM425" i="3" s="1"/>
  <c r="AJ22" i="9"/>
  <c r="AL22" i="9" s="1"/>
  <c r="Z118" i="9"/>
  <c r="T90" i="5"/>
  <c r="T346" i="5" s="1"/>
  <c r="BM229" i="3"/>
  <c r="BM146" i="3"/>
  <c r="T109" i="5"/>
  <c r="BM516" i="3"/>
  <c r="T384" i="5"/>
  <c r="BM148" i="3"/>
  <c r="U8" i="2"/>
  <c r="T248" i="2"/>
  <c r="T213" i="5"/>
  <c r="T18" i="5"/>
  <c r="AA464" i="3"/>
  <c r="AA177" i="3"/>
  <c r="AA282" i="3" s="1"/>
  <c r="AA284" i="3" s="1"/>
  <c r="AB496" i="3"/>
  <c r="AB497" i="3" s="1"/>
  <c r="AB498" i="3" s="1"/>
  <c r="AB309" i="3"/>
  <c r="AB319" i="3"/>
  <c r="AB110" i="3"/>
  <c r="AB14" i="3"/>
  <c r="H78" i="9" s="1"/>
  <c r="AB502" i="3"/>
  <c r="AB460" i="3"/>
  <c r="AB296" i="3"/>
  <c r="AB326" i="3"/>
  <c r="AB381" i="5"/>
  <c r="AU78" i="9"/>
  <c r="AB176" i="3"/>
  <c r="AB382" i="5"/>
  <c r="AB408" i="5"/>
  <c r="AB111" i="3"/>
  <c r="T259" i="2" l="1"/>
  <c r="BM248" i="3"/>
  <c r="BT22" i="9"/>
  <c r="U390" i="2"/>
  <c r="BN8" i="3"/>
  <c r="I273" i="1"/>
  <c r="U450" i="2"/>
  <c r="T389" i="1"/>
  <c r="T486" i="2"/>
  <c r="BM486" i="3" s="1"/>
  <c r="U84" i="2"/>
  <c r="F23" i="9"/>
  <c r="U447" i="2"/>
  <c r="U372" i="5"/>
  <c r="U374" i="5" s="1"/>
  <c r="U20" i="2"/>
  <c r="U19" i="2"/>
  <c r="BM245" i="3"/>
  <c r="T260" i="2"/>
  <c r="S373" i="1"/>
  <c r="T19" i="5"/>
  <c r="T214" i="5"/>
  <c r="AJ118" i="9"/>
  <c r="AL118" i="9"/>
  <c r="AB509" i="3"/>
  <c r="AB338" i="3"/>
  <c r="BD78" i="9"/>
  <c r="AB33" i="3"/>
  <c r="AB327" i="3"/>
  <c r="AB99" i="3" s="1"/>
  <c r="AA467" i="3"/>
  <c r="AA472" i="3" s="1"/>
  <c r="AA363" i="3"/>
  <c r="AA364" i="3" s="1"/>
  <c r="AB353" i="3" s="1"/>
  <c r="BI77" i="9"/>
  <c r="BL77" i="9" s="1"/>
  <c r="BR77" i="9" s="1"/>
  <c r="AA255" i="3"/>
  <c r="AA257" i="3" s="1"/>
  <c r="BW77" i="9" s="1"/>
  <c r="AB15" i="3"/>
  <c r="AB337" i="3"/>
  <c r="AB112" i="3"/>
  <c r="AZ78" i="9"/>
  <c r="AB32" i="3"/>
  <c r="AA474" i="3" l="1"/>
  <c r="AA476" i="3" s="1"/>
  <c r="AA478" i="3" s="1"/>
  <c r="BM260" i="3"/>
  <c r="BN447" i="3"/>
  <c r="BN390" i="3"/>
  <c r="U394" i="2"/>
  <c r="U393" i="2"/>
  <c r="U391" i="2"/>
  <c r="U392" i="2"/>
  <c r="U364" i="5"/>
  <c r="U366" i="5" s="1"/>
  <c r="BN19" i="3"/>
  <c r="U232" i="2"/>
  <c r="BN232" i="3" s="1"/>
  <c r="U10" i="5"/>
  <c r="U206" i="5" s="1"/>
  <c r="T261" i="2"/>
  <c r="BM261" i="3" s="1"/>
  <c r="F119" i="9"/>
  <c r="K23" i="9"/>
  <c r="BN450" i="3"/>
  <c r="BY22" i="9"/>
  <c r="BY118" i="9" s="1"/>
  <c r="BT118" i="9"/>
  <c r="T215" i="5"/>
  <c r="T20" i="5"/>
  <c r="U85" i="2"/>
  <c r="U15" i="5"/>
  <c r="U212" i="5" s="1"/>
  <c r="U238" i="2"/>
  <c r="BN84" i="3"/>
  <c r="BM259" i="3"/>
  <c r="T368" i="5"/>
  <c r="T370" i="5" s="1"/>
  <c r="T144" i="5" s="1"/>
  <c r="AB127" i="3"/>
  <c r="AB17" i="3"/>
  <c r="I78" i="9" s="1"/>
  <c r="AA28" i="3"/>
  <c r="AA399" i="3"/>
  <c r="AA402" i="3"/>
  <c r="AA411" i="3" s="1"/>
  <c r="AA418" i="3" s="1"/>
  <c r="AA401" i="3"/>
  <c r="AA410" i="3" s="1"/>
  <c r="AA417" i="3" s="1"/>
  <c r="AA170" i="3" s="1"/>
  <c r="AA400" i="3"/>
  <c r="AA409" i="3" s="1"/>
  <c r="AA416" i="3" s="1"/>
  <c r="AB343" i="3"/>
  <c r="AB34" i="3"/>
  <c r="O78" i="9" s="1"/>
  <c r="AB339" i="3"/>
  <c r="AB113" i="3" s="1"/>
  <c r="AB463" i="3"/>
  <c r="AB297" i="3"/>
  <c r="AB178" i="3"/>
  <c r="AB344" i="3"/>
  <c r="AB340" i="3"/>
  <c r="AB114" i="3" s="1"/>
  <c r="AB459" i="3"/>
  <c r="AB328" i="3"/>
  <c r="AB295" i="3"/>
  <c r="AV78" i="9"/>
  <c r="AB30" i="3"/>
  <c r="AC101" i="3"/>
  <c r="K119" i="9" l="1"/>
  <c r="BN391" i="3"/>
  <c r="U395" i="2"/>
  <c r="BN238" i="3"/>
  <c r="U240" i="2"/>
  <c r="AD23" i="9"/>
  <c r="AD119" i="9" s="1"/>
  <c r="BN393" i="3"/>
  <c r="BN394" i="3"/>
  <c r="T262" i="2"/>
  <c r="U290" i="2"/>
  <c r="BN290" i="3" s="1"/>
  <c r="U470" i="2"/>
  <c r="BN470" i="3" s="1"/>
  <c r="BN85" i="3"/>
  <c r="U287" i="2"/>
  <c r="BN392" i="3"/>
  <c r="AB342" i="3"/>
  <c r="AB346" i="3" s="1"/>
  <c r="BE78" i="9"/>
  <c r="AA438" i="3"/>
  <c r="AA444" i="3" s="1"/>
  <c r="AA169" i="3"/>
  <c r="AA241" i="3"/>
  <c r="AA139" i="3"/>
  <c r="AA191" i="5"/>
  <c r="M77" i="9"/>
  <c r="W77" i="9" s="1"/>
  <c r="AA71" i="3"/>
  <c r="AA392" i="5"/>
  <c r="AB355" i="3"/>
  <c r="BK78" i="9"/>
  <c r="AG78" i="9"/>
  <c r="AB341" i="3"/>
  <c r="AB345" i="3" s="1"/>
  <c r="AB115" i="3"/>
  <c r="BA78" i="9"/>
  <c r="AA268" i="3"/>
  <c r="AA210" i="3"/>
  <c r="AA480" i="3"/>
  <c r="AB329" i="3"/>
  <c r="AB330" i="3" s="1"/>
  <c r="AB31" i="3"/>
  <c r="AA403" i="3"/>
  <c r="AA408" i="3"/>
  <c r="U303" i="2" l="1"/>
  <c r="BN287" i="3"/>
  <c r="BN395" i="3"/>
  <c r="U396" i="2"/>
  <c r="BN396" i="3" s="1"/>
  <c r="U405" i="2"/>
  <c r="BN405" i="3" s="1"/>
  <c r="BN240" i="3"/>
  <c r="AI23" i="9"/>
  <c r="AI119" i="9" s="1"/>
  <c r="AB357" i="3"/>
  <c r="AA481" i="3"/>
  <c r="AB439" i="3"/>
  <c r="N78" i="9"/>
  <c r="AA387" i="5"/>
  <c r="AA415" i="3"/>
  <c r="AA419" i="3" s="1"/>
  <c r="AA412" i="3"/>
  <c r="AA413" i="3" s="1"/>
  <c r="AB462" i="3"/>
  <c r="AB298" i="3"/>
  <c r="AA171" i="3"/>
  <c r="AA182" i="3" s="1"/>
  <c r="AA192" i="3"/>
  <c r="BN303" i="3" l="1"/>
  <c r="U95" i="2"/>
  <c r="AA207" i="3"/>
  <c r="AA212" i="3" s="1"/>
  <c r="AA153" i="3"/>
  <c r="AA154" i="3" s="1"/>
  <c r="AA156" i="3" s="1"/>
  <c r="AA420" i="3"/>
  <c r="AA482" i="3"/>
  <c r="BU357" i="3"/>
  <c r="AB121" i="3"/>
  <c r="U103" i="2" l="1"/>
  <c r="AQ23" i="9"/>
  <c r="BN95" i="3"/>
  <c r="V9" i="2"/>
  <c r="U249" i="2"/>
  <c r="U457" i="2"/>
  <c r="U320" i="2"/>
  <c r="AB358" i="3"/>
  <c r="AA158" i="3"/>
  <c r="AA162" i="3" s="1"/>
  <c r="AA159" i="3"/>
  <c r="AA160" i="3" s="1"/>
  <c r="AA161" i="3" s="1"/>
  <c r="AA225" i="3"/>
  <c r="AA218" i="3"/>
  <c r="BN320" i="3" l="1"/>
  <c r="U321" i="2"/>
  <c r="BN457" i="3"/>
  <c r="AQ119" i="9"/>
  <c r="AT23" i="9"/>
  <c r="BN249" i="3"/>
  <c r="U175" i="2"/>
  <c r="U331" i="2"/>
  <c r="V10" i="2"/>
  <c r="AW23" i="9"/>
  <c r="BN103" i="3"/>
  <c r="U501" i="2"/>
  <c r="U461" i="2"/>
  <c r="BN461" i="3" s="1"/>
  <c r="U250" i="2"/>
  <c r="BN250" i="3" s="1"/>
  <c r="U116" i="2"/>
  <c r="V489" i="2"/>
  <c r="BO9" i="3"/>
  <c r="V96" i="2"/>
  <c r="V92" i="2"/>
  <c r="AB359" i="3"/>
  <c r="AB122" i="3" s="1"/>
  <c r="AA163" i="3"/>
  <c r="AA165" i="3" s="1"/>
  <c r="AA267" i="3" s="1"/>
  <c r="AA222" i="3"/>
  <c r="AA221" i="3"/>
  <c r="AA220" i="3"/>
  <c r="BO489" i="3" l="1"/>
  <c r="V11" i="2"/>
  <c r="BO10" i="3"/>
  <c r="V100" i="2"/>
  <c r="BO92" i="3"/>
  <c r="V94" i="2"/>
  <c r="V12" i="2"/>
  <c r="BN116" i="3"/>
  <c r="U252" i="2"/>
  <c r="U347" i="2"/>
  <c r="BB23" i="9"/>
  <c r="BN501" i="3"/>
  <c r="U503" i="2"/>
  <c r="BN331" i="3"/>
  <c r="U332" i="2"/>
  <c r="AT119" i="9"/>
  <c r="AR24" i="9"/>
  <c r="AR120" i="9" s="1"/>
  <c r="AE24" i="9"/>
  <c r="AE120" i="9" s="1"/>
  <c r="BO96" i="3"/>
  <c r="V310" i="2"/>
  <c r="BO310" i="3" s="1"/>
  <c r="U117" i="2"/>
  <c r="BN175" i="3"/>
  <c r="U281" i="2"/>
  <c r="BN321" i="3"/>
  <c r="V306" i="2"/>
  <c r="H273" i="1"/>
  <c r="A274" i="1" s="1"/>
  <c r="AY23" i="9"/>
  <c r="AY119" i="9" s="1"/>
  <c r="AW119" i="9"/>
  <c r="U251" i="2"/>
  <c r="AA183" i="3"/>
  <c r="AA184" i="3" s="1"/>
  <c r="AA166" i="3"/>
  <c r="AA139" i="5"/>
  <c r="AB360" i="3"/>
  <c r="AB123" i="3"/>
  <c r="AA223" i="3"/>
  <c r="AA227" i="3" s="1"/>
  <c r="BN332" i="3" l="1"/>
  <c r="V324" i="2"/>
  <c r="BB119" i="9"/>
  <c r="BC23" i="9"/>
  <c r="BO12" i="3"/>
  <c r="V110" i="2"/>
  <c r="G32" i="1"/>
  <c r="BO11" i="3"/>
  <c r="G24" i="9"/>
  <c r="G120" i="9" s="1"/>
  <c r="BU23" i="9"/>
  <c r="BU119" i="9" s="1"/>
  <c r="BN251" i="3"/>
  <c r="BO306" i="3"/>
  <c r="U118" i="2"/>
  <c r="U508" i="2"/>
  <c r="U348" i="2"/>
  <c r="V13" i="2"/>
  <c r="BN117" i="3"/>
  <c r="U253" i="2"/>
  <c r="BN253" i="3" s="1"/>
  <c r="BF23" i="9"/>
  <c r="BN348" i="3"/>
  <c r="U349" i="2"/>
  <c r="V293" i="2"/>
  <c r="BO293" i="3" s="1"/>
  <c r="V308" i="2"/>
  <c r="BO308" i="3" s="1"/>
  <c r="V491" i="2"/>
  <c r="V456" i="2"/>
  <c r="BO456" i="3" s="1"/>
  <c r="BO94" i="3"/>
  <c r="AN24" i="9"/>
  <c r="AN120" i="9" s="1"/>
  <c r="V377" i="5"/>
  <c r="V29" i="2"/>
  <c r="W93" i="2"/>
  <c r="BP93" i="3" s="1"/>
  <c r="BN503" i="3"/>
  <c r="U505" i="2"/>
  <c r="BO100" i="3"/>
  <c r="V102" i="2"/>
  <c r="V379" i="5" s="1"/>
  <c r="V383" i="5" s="1"/>
  <c r="BN252" i="3"/>
  <c r="BN281" i="3"/>
  <c r="AB125" i="3"/>
  <c r="BH78" i="9"/>
  <c r="AB35" i="3"/>
  <c r="AA334" i="5"/>
  <c r="AA228" i="3"/>
  <c r="AA95" i="4"/>
  <c r="AA266" i="3"/>
  <c r="AA270" i="3" s="1"/>
  <c r="AA191" i="3"/>
  <c r="AA193" i="3" s="1"/>
  <c r="AA330" i="5"/>
  <c r="AA398" i="5"/>
  <c r="U254" i="2" l="1"/>
  <c r="BN350" i="3"/>
  <c r="V335" i="2"/>
  <c r="U464" i="2"/>
  <c r="BN118" i="3"/>
  <c r="U177" i="2"/>
  <c r="U126" i="2"/>
  <c r="V313" i="2"/>
  <c r="BC119" i="9"/>
  <c r="BO491" i="3"/>
  <c r="V493" i="2"/>
  <c r="V494" i="2"/>
  <c r="BO494" i="3" s="1"/>
  <c r="V14" i="2"/>
  <c r="V111" i="2"/>
  <c r="V112" i="2" s="1"/>
  <c r="BO13" i="3"/>
  <c r="V317" i="2"/>
  <c r="BO317" i="3" s="1"/>
  <c r="BO29" i="3"/>
  <c r="BF119" i="9"/>
  <c r="BG23" i="9"/>
  <c r="BG119" i="9" s="1"/>
  <c r="BN349" i="3"/>
  <c r="U350" i="2"/>
  <c r="V336" i="2" s="1"/>
  <c r="V309" i="2"/>
  <c r="V32" i="2"/>
  <c r="V337" i="2"/>
  <c r="BO338" i="3" s="1"/>
  <c r="BO110" i="3"/>
  <c r="AZ24" i="9"/>
  <c r="AZ120" i="9" s="1"/>
  <c r="BO324" i="3"/>
  <c r="V502" i="2"/>
  <c r="BO502" i="3" s="1"/>
  <c r="BO102" i="3"/>
  <c r="V296" i="2"/>
  <c r="BO296" i="3" s="1"/>
  <c r="V326" i="2"/>
  <c r="BO326" i="3" s="1"/>
  <c r="V378" i="5"/>
  <c r="AU24" i="9"/>
  <c r="AU120" i="9" s="1"/>
  <c r="V460" i="2"/>
  <c r="BO460" i="3" s="1"/>
  <c r="BV23" i="9"/>
  <c r="BV119" i="9" s="1"/>
  <c r="BN254" i="3"/>
  <c r="BN505" i="3"/>
  <c r="U506" i="2"/>
  <c r="V176" i="2"/>
  <c r="BN508" i="3"/>
  <c r="U510" i="2"/>
  <c r="AA201" i="3"/>
  <c r="AA197" i="3"/>
  <c r="AA199" i="3"/>
  <c r="AA195" i="3"/>
  <c r="AA196" i="3"/>
  <c r="AA200" i="3"/>
  <c r="AA198" i="3"/>
  <c r="AA64" i="4"/>
  <c r="AC65" i="4" s="1"/>
  <c r="AA331" i="5"/>
  <c r="AB361" i="3"/>
  <c r="AB37" i="3"/>
  <c r="AB466" i="3"/>
  <c r="AB299" i="3"/>
  <c r="V319" i="2" l="1"/>
  <c r="BO319" i="3" s="1"/>
  <c r="V327" i="2"/>
  <c r="BO327" i="3" s="1"/>
  <c r="BO337" i="3"/>
  <c r="BN510" i="3"/>
  <c r="U512" i="2"/>
  <c r="BO493" i="3"/>
  <c r="V496" i="2"/>
  <c r="BN464" i="3"/>
  <c r="V297" i="2"/>
  <c r="BO297" i="3" s="1"/>
  <c r="V178" i="2"/>
  <c r="BO178" i="3" s="1"/>
  <c r="V463" i="2"/>
  <c r="BO463" i="3" s="1"/>
  <c r="BO112" i="3"/>
  <c r="BO32" i="3"/>
  <c r="V343" i="2"/>
  <c r="BO344" i="3" s="1"/>
  <c r="V33" i="2"/>
  <c r="BD24" i="9"/>
  <c r="BD120" i="9" s="1"/>
  <c r="V509" i="2"/>
  <c r="BO509" i="3" s="1"/>
  <c r="BO111" i="3"/>
  <c r="V338" i="2"/>
  <c r="BO339" i="3" s="1"/>
  <c r="U135" i="2"/>
  <c r="U363" i="2"/>
  <c r="V15" i="2"/>
  <c r="BN126" i="3"/>
  <c r="U255" i="2"/>
  <c r="U467" i="2"/>
  <c r="BN467" i="3" s="1"/>
  <c r="BI23" i="9"/>
  <c r="BO335" i="3"/>
  <c r="V339" i="2"/>
  <c r="BO336" i="3"/>
  <c r="BO176" i="3"/>
  <c r="BO309" i="3"/>
  <c r="U390" i="1"/>
  <c r="H24" i="9"/>
  <c r="H120" i="9" s="1"/>
  <c r="BO14" i="3"/>
  <c r="BN177" i="3"/>
  <c r="U282" i="2"/>
  <c r="AA324" i="4"/>
  <c r="Q326" i="1"/>
  <c r="BV279" i="1"/>
  <c r="AA325" i="4"/>
  <c r="BW279" i="1"/>
  <c r="R326" i="1"/>
  <c r="AA321" i="4"/>
  <c r="AA202" i="3"/>
  <c r="N326" i="1"/>
  <c r="BS279" i="1"/>
  <c r="AB440" i="3"/>
  <c r="P78" i="9"/>
  <c r="AA326" i="4"/>
  <c r="S326" i="1"/>
  <c r="BX279" i="1"/>
  <c r="AA323" i="4"/>
  <c r="P326" i="1"/>
  <c r="BU279" i="1"/>
  <c r="AB362" i="3"/>
  <c r="AC69" i="4"/>
  <c r="AC71" i="4"/>
  <c r="AC70" i="4"/>
  <c r="AC68" i="4"/>
  <c r="AC67" i="4"/>
  <c r="AA322" i="4"/>
  <c r="O326" i="1"/>
  <c r="BT279" i="1"/>
  <c r="AA204" i="3"/>
  <c r="AA515" i="3" s="1"/>
  <c r="T326" i="1"/>
  <c r="U357" i="1" l="1"/>
  <c r="V99" i="2"/>
  <c r="W101" i="2" s="1"/>
  <c r="BP101" i="3" s="1"/>
  <c r="BN282" i="3"/>
  <c r="U284" i="2"/>
  <c r="BO340" i="3"/>
  <c r="V113" i="2"/>
  <c r="BN255" i="3"/>
  <c r="U257" i="2"/>
  <c r="BO23" i="9"/>
  <c r="BN135" i="3"/>
  <c r="U258" i="2"/>
  <c r="U469" i="2"/>
  <c r="V18" i="2"/>
  <c r="U382" i="2"/>
  <c r="V340" i="2"/>
  <c r="V34" i="2"/>
  <c r="V344" i="2"/>
  <c r="BO345" i="3" s="1"/>
  <c r="BO33" i="3"/>
  <c r="U513" i="2"/>
  <c r="BN512" i="3"/>
  <c r="BI119" i="9"/>
  <c r="BL23" i="9"/>
  <c r="V17" i="2"/>
  <c r="V35" i="2"/>
  <c r="BO15" i="3"/>
  <c r="V127" i="2"/>
  <c r="BN364" i="3"/>
  <c r="U364" i="2"/>
  <c r="V353" i="2" s="1"/>
  <c r="BO496" i="3"/>
  <c r="V497" i="2"/>
  <c r="BN279" i="1"/>
  <c r="U279" i="1"/>
  <c r="AA484" i="3"/>
  <c r="AA485" i="3" s="1"/>
  <c r="AA422" i="3"/>
  <c r="AA424" i="3" s="1"/>
  <c r="AA145" i="3"/>
  <c r="AA332" i="5"/>
  <c r="AA203" i="3"/>
  <c r="BP279" i="1"/>
  <c r="W279" i="1"/>
  <c r="BL279" i="1"/>
  <c r="S279" i="1"/>
  <c r="BM279" i="1"/>
  <c r="T279" i="1"/>
  <c r="AC72" i="4"/>
  <c r="BQ279" i="1"/>
  <c r="X279" i="1"/>
  <c r="M326" i="1"/>
  <c r="U326" i="1" s="1"/>
  <c r="BO279" i="1"/>
  <c r="V279" i="1"/>
  <c r="AC74" i="4" l="1"/>
  <c r="AC272" i="3"/>
  <c r="V30" i="2"/>
  <c r="BO30" i="3" s="1"/>
  <c r="BO99" i="3"/>
  <c r="AV24" i="9"/>
  <c r="AV120" i="9" s="1"/>
  <c r="V295" i="2"/>
  <c r="BO295" i="3" s="1"/>
  <c r="V459" i="2"/>
  <c r="BO459" i="3" s="1"/>
  <c r="V328" i="2"/>
  <c r="BO328" i="3" s="1"/>
  <c r="BO497" i="3"/>
  <c r="V498" i="2"/>
  <c r="BO498" i="3" s="1"/>
  <c r="BN382" i="3"/>
  <c r="U383" i="2"/>
  <c r="V341" i="2"/>
  <c r="BO113" i="3"/>
  <c r="BA24" i="9"/>
  <c r="BA120" i="9" s="1"/>
  <c r="V361" i="2"/>
  <c r="BO35" i="3"/>
  <c r="V37" i="2"/>
  <c r="BO18" i="3"/>
  <c r="J24" i="9"/>
  <c r="J120" i="9" s="1"/>
  <c r="V38" i="2"/>
  <c r="E274" i="1"/>
  <c r="BO119" i="9"/>
  <c r="BP23" i="9"/>
  <c r="BP119" i="9" s="1"/>
  <c r="BO353" i="3"/>
  <c r="U391" i="1"/>
  <c r="BO17" i="3"/>
  <c r="I24" i="9"/>
  <c r="I120" i="9" s="1"/>
  <c r="BO34" i="3"/>
  <c r="O24" i="9"/>
  <c r="O120" i="9" s="1"/>
  <c r="BN469" i="3"/>
  <c r="U474" i="2"/>
  <c r="BN257" i="3"/>
  <c r="BW23" i="9"/>
  <c r="BW119" i="9" s="1"/>
  <c r="T359" i="1"/>
  <c r="BN284" i="3"/>
  <c r="BK24" i="9"/>
  <c r="BK120" i="9" s="1"/>
  <c r="AG24" i="9"/>
  <c r="AG120" i="9" s="1"/>
  <c r="BO127" i="3"/>
  <c r="V355" i="2"/>
  <c r="BO355" i="3" s="1"/>
  <c r="BL119" i="9"/>
  <c r="U472" i="2"/>
  <c r="BO341" i="3"/>
  <c r="V114" i="2"/>
  <c r="BN258" i="3"/>
  <c r="U175" i="5"/>
  <c r="BX23" i="9"/>
  <c r="BX119" i="9" s="1"/>
  <c r="AA425" i="3"/>
  <c r="AC73" i="4"/>
  <c r="BK279" i="1"/>
  <c r="R279" i="1"/>
  <c r="AA333" i="5"/>
  <c r="AA516" i="3"/>
  <c r="AB302" i="3"/>
  <c r="AA146" i="3"/>
  <c r="AA129" i="5" s="1"/>
  <c r="AA244" i="3"/>
  <c r="AA245" i="3" s="1"/>
  <c r="AA260" i="3" s="1"/>
  <c r="AA197" i="5"/>
  <c r="AA198" i="5" s="1"/>
  <c r="Z77" i="9"/>
  <c r="AJ77" i="9" s="1"/>
  <c r="AL77" i="9" s="1"/>
  <c r="AA229" i="3"/>
  <c r="AA335" i="5" s="1"/>
  <c r="AA148" i="3"/>
  <c r="V31" i="2" l="1"/>
  <c r="V439" i="2" s="1"/>
  <c r="BO439" i="3" s="1"/>
  <c r="V329" i="2"/>
  <c r="BO329" i="3" s="1"/>
  <c r="BR23" i="9"/>
  <c r="BR119" i="9" s="1"/>
  <c r="BO114" i="3"/>
  <c r="V342" i="2"/>
  <c r="BE24" i="9"/>
  <c r="BE120" i="9" s="1"/>
  <c r="BO37" i="3"/>
  <c r="V440" i="2"/>
  <c r="BO440" i="3" s="1"/>
  <c r="P24" i="9"/>
  <c r="P120" i="9" s="1"/>
  <c r="BN383" i="3"/>
  <c r="V377" i="2"/>
  <c r="BN474" i="3"/>
  <c r="U476" i="2"/>
  <c r="BO38" i="3"/>
  <c r="V379" i="2"/>
  <c r="BO379" i="3" s="1"/>
  <c r="V173" i="5"/>
  <c r="Q24" i="9"/>
  <c r="Q120" i="9" s="1"/>
  <c r="V115" i="2"/>
  <c r="BN472" i="3"/>
  <c r="U28" i="2"/>
  <c r="U402" i="2"/>
  <c r="U400" i="2"/>
  <c r="U399" i="2"/>
  <c r="U401" i="2"/>
  <c r="BO362" i="3"/>
  <c r="BO356" i="3"/>
  <c r="V362" i="2"/>
  <c r="BO363" i="3" s="1"/>
  <c r="BO342" i="3"/>
  <c r="V345" i="2"/>
  <c r="BO346" i="3" s="1"/>
  <c r="AA199" i="5"/>
  <c r="AA200" i="5" s="1"/>
  <c r="AB8" i="3"/>
  <c r="AA248" i="3"/>
  <c r="V330" i="2" l="1"/>
  <c r="BO330" i="3" s="1"/>
  <c r="BO31" i="3"/>
  <c r="N24" i="9"/>
  <c r="N120" i="9" s="1"/>
  <c r="BN401" i="3"/>
  <c r="U410" i="2"/>
  <c r="BN28" i="3"/>
  <c r="U169" i="2"/>
  <c r="U438" i="2"/>
  <c r="U139" i="2"/>
  <c r="BN139" i="3" s="1"/>
  <c r="M23" i="9"/>
  <c r="U71" i="2"/>
  <c r="U241" i="2"/>
  <c r="BN241" i="3" s="1"/>
  <c r="U390" i="5"/>
  <c r="U11" i="5"/>
  <c r="U207" i="5" s="1"/>
  <c r="BO377" i="3"/>
  <c r="V381" i="2"/>
  <c r="BO381" i="3" s="1"/>
  <c r="BN399" i="3"/>
  <c r="U403" i="2"/>
  <c r="BN403" i="3" s="1"/>
  <c r="U408" i="2"/>
  <c r="BN400" i="3"/>
  <c r="U409" i="2"/>
  <c r="V462" i="2"/>
  <c r="BO462" i="3" s="1"/>
  <c r="BO115" i="3"/>
  <c r="V298" i="2"/>
  <c r="BO298" i="3" s="1"/>
  <c r="BN476" i="3"/>
  <c r="U478" i="2"/>
  <c r="BO343" i="3"/>
  <c r="V346" i="2"/>
  <c r="BO347" i="3" s="1"/>
  <c r="BN402" i="3"/>
  <c r="U411" i="2"/>
  <c r="AA486" i="3"/>
  <c r="AB450" i="3"/>
  <c r="AB447" i="3"/>
  <c r="AB390" i="3"/>
  <c r="AB84" i="3"/>
  <c r="AB20" i="3"/>
  <c r="AB19" i="3"/>
  <c r="F78" i="9"/>
  <c r="K78" i="9" s="1"/>
  <c r="AB373" i="5"/>
  <c r="AA259" i="3"/>
  <c r="AA369" i="5" s="1"/>
  <c r="BT77" i="9"/>
  <c r="BY77" i="9" s="1"/>
  <c r="BN411" i="3" l="1"/>
  <c r="U418" i="2"/>
  <c r="BN418" i="3" s="1"/>
  <c r="U480" i="2"/>
  <c r="BN478" i="3"/>
  <c r="U386" i="5"/>
  <c r="U388" i="5" s="1"/>
  <c r="BN71" i="3"/>
  <c r="T368" i="1"/>
  <c r="BN169" i="3"/>
  <c r="T354" i="1"/>
  <c r="U416" i="2"/>
  <c r="BN416" i="3" s="1"/>
  <c r="BN409" i="3"/>
  <c r="M119" i="9"/>
  <c r="W23" i="9"/>
  <c r="U394" i="5"/>
  <c r="U391" i="5"/>
  <c r="U395" i="5" s="1"/>
  <c r="BN410" i="3"/>
  <c r="U417" i="2"/>
  <c r="BN408" i="3"/>
  <c r="U415" i="2"/>
  <c r="U412" i="2"/>
  <c r="BN412" i="3" s="1"/>
  <c r="BN438" i="3"/>
  <c r="U444" i="2"/>
  <c r="BN444" i="3" s="1"/>
  <c r="AB238" i="3"/>
  <c r="AB85" i="3"/>
  <c r="AB195" i="5"/>
  <c r="AB393" i="3"/>
  <c r="AB391" i="3"/>
  <c r="AB394" i="3"/>
  <c r="AB392" i="3"/>
  <c r="AB232" i="3"/>
  <c r="AA261" i="3"/>
  <c r="AA262" i="3" s="1"/>
  <c r="AB365" i="5"/>
  <c r="AB190" i="5"/>
  <c r="AA393" i="5"/>
  <c r="W119" i="9" l="1"/>
  <c r="U419" i="2"/>
  <c r="BN419" i="3" s="1"/>
  <c r="BN415" i="3"/>
  <c r="BN480" i="3"/>
  <c r="U481" i="2"/>
  <c r="BN417" i="3"/>
  <c r="U170" i="2"/>
  <c r="U413" i="2"/>
  <c r="AB470" i="3"/>
  <c r="AB290" i="3"/>
  <c r="AB287" i="3"/>
  <c r="AB303" i="3" s="1"/>
  <c r="AB395" i="3"/>
  <c r="AB240" i="3"/>
  <c r="AD78" i="9"/>
  <c r="U420" i="2" l="1"/>
  <c r="BN420" i="3" s="1"/>
  <c r="BN481" i="3"/>
  <c r="U482" i="2"/>
  <c r="BN482" i="3" s="1"/>
  <c r="T355" i="1"/>
  <c r="U268" i="2"/>
  <c r="BN268" i="3" s="1"/>
  <c r="U210" i="2"/>
  <c r="BN170" i="3"/>
  <c r="U171" i="2"/>
  <c r="U192" i="2"/>
  <c r="AB405" i="3"/>
  <c r="AB396" i="3"/>
  <c r="AB95" i="3"/>
  <c r="AI78" i="9"/>
  <c r="T356" i="1" l="1"/>
  <c r="T361" i="1" s="1"/>
  <c r="BN171" i="3"/>
  <c r="U182" i="2"/>
  <c r="T366" i="1"/>
  <c r="BN192" i="3"/>
  <c r="BN210" i="3"/>
  <c r="T380" i="1"/>
  <c r="AB457" i="3"/>
  <c r="AB320" i="3"/>
  <c r="AB321" i="3" s="1"/>
  <c r="AC306" i="3" s="1"/>
  <c r="AQ78" i="9"/>
  <c r="AT78" i="9" s="1"/>
  <c r="AB249" i="3"/>
  <c r="AC9" i="3"/>
  <c r="AB103" i="3"/>
  <c r="BN182" i="3" l="1"/>
  <c r="U153" i="2"/>
  <c r="U207" i="2"/>
  <c r="AB461" i="3"/>
  <c r="AB331" i="3"/>
  <c r="AB332" i="3" s="1"/>
  <c r="AC324" i="3" s="1"/>
  <c r="AW78" i="9"/>
  <c r="AY78" i="9" s="1"/>
  <c r="AB501" i="3"/>
  <c r="AB503" i="3" s="1"/>
  <c r="AB505" i="3" s="1"/>
  <c r="AB506" i="3" s="1"/>
  <c r="AC10" i="3"/>
  <c r="AC11" i="3" s="1"/>
  <c r="G79" i="9" s="1"/>
  <c r="AB250" i="3"/>
  <c r="AB251" i="3" s="1"/>
  <c r="BU78" i="9" s="1"/>
  <c r="AB116" i="3"/>
  <c r="AB117" i="3" s="1"/>
  <c r="AB175" i="3"/>
  <c r="AB281" i="3" s="1"/>
  <c r="AC489" i="3"/>
  <c r="AC96" i="3"/>
  <c r="AC92" i="3"/>
  <c r="AC94" i="3" s="1"/>
  <c r="AD92" i="3" s="1"/>
  <c r="U212" i="2" l="1"/>
  <c r="BN207" i="3"/>
  <c r="U154" i="2"/>
  <c r="BN153" i="3"/>
  <c r="AB347" i="3"/>
  <c r="AB349" i="3" s="1"/>
  <c r="AC335" i="3" s="1"/>
  <c r="BB78" i="9"/>
  <c r="BC78" i="9" s="1"/>
  <c r="AB118" i="3"/>
  <c r="AB126" i="3" s="1"/>
  <c r="AC12" i="3"/>
  <c r="AB252" i="3"/>
  <c r="AC456" i="3"/>
  <c r="AC308" i="3"/>
  <c r="AC293" i="3"/>
  <c r="AC380" i="5"/>
  <c r="AN79" i="9"/>
  <c r="AC405" i="5"/>
  <c r="AC406" i="5" s="1"/>
  <c r="AC408" i="5" s="1"/>
  <c r="AC491" i="3"/>
  <c r="AC493" i="3" s="1"/>
  <c r="AC29" i="3"/>
  <c r="AC310" i="3"/>
  <c r="AR79" i="9"/>
  <c r="AE79" i="9"/>
  <c r="AB348" i="3"/>
  <c r="AB350" i="3" s="1"/>
  <c r="AC336" i="3" s="1"/>
  <c r="BF78" i="9"/>
  <c r="BG78" i="9" s="1"/>
  <c r="AB508" i="3"/>
  <c r="AB510" i="3" s="1"/>
  <c r="AB512" i="3" s="1"/>
  <c r="AB513" i="3" s="1"/>
  <c r="AB253" i="3"/>
  <c r="AC13" i="3"/>
  <c r="AC100" i="3"/>
  <c r="AC102" i="3" s="1"/>
  <c r="BN154" i="3" l="1"/>
  <c r="U156" i="2"/>
  <c r="U225" i="2"/>
  <c r="BN225" i="3" s="1"/>
  <c r="BN212" i="3"/>
  <c r="U218" i="2"/>
  <c r="AC494" i="3"/>
  <c r="AC496" i="3" s="1"/>
  <c r="AC497" i="3" s="1"/>
  <c r="AC498" i="3" s="1"/>
  <c r="AC502" i="3"/>
  <c r="AC460" i="3"/>
  <c r="AC326" i="3"/>
  <c r="AC296" i="3"/>
  <c r="AC381" i="5"/>
  <c r="AU79" i="9"/>
  <c r="AB464" i="3"/>
  <c r="AB177" i="3"/>
  <c r="AB282" i="3" s="1"/>
  <c r="AB284" i="3" s="1"/>
  <c r="AC111" i="3"/>
  <c r="AC33" i="3" s="1"/>
  <c r="AC344" i="3" s="1"/>
  <c r="AC317" i="3"/>
  <c r="AC319" i="3" s="1"/>
  <c r="AC309" i="3"/>
  <c r="AC382" i="5"/>
  <c r="AB254" i="3"/>
  <c r="BV78" i="9" s="1"/>
  <c r="AC176" i="3"/>
  <c r="AC110" i="3"/>
  <c r="AC14" i="3"/>
  <c r="H79" i="9" s="1"/>
  <c r="U159" i="2" l="1"/>
  <c r="BN156" i="3"/>
  <c r="U158" i="2"/>
  <c r="U221" i="2"/>
  <c r="BN221" i="3" s="1"/>
  <c r="U220" i="2"/>
  <c r="U222" i="2"/>
  <c r="BN222" i="3" s="1"/>
  <c r="BN218" i="3"/>
  <c r="AB467" i="3"/>
  <c r="AB472" i="3" s="1"/>
  <c r="AB363" i="3"/>
  <c r="AB364" i="3" s="1"/>
  <c r="AC353" i="3" s="1"/>
  <c r="BI78" i="9"/>
  <c r="BL78" i="9" s="1"/>
  <c r="BR78" i="9" s="1"/>
  <c r="AB255" i="3"/>
  <c r="AB257" i="3" s="1"/>
  <c r="BW78" i="9" s="1"/>
  <c r="AC15" i="3"/>
  <c r="AC337" i="3"/>
  <c r="AC112" i="3"/>
  <c r="AZ79" i="9"/>
  <c r="AC32" i="3"/>
  <c r="AC509" i="3"/>
  <c r="AC338" i="3"/>
  <c r="BD79" i="9"/>
  <c r="AC327" i="3"/>
  <c r="AC99" i="3" s="1"/>
  <c r="AB474" i="3" l="1"/>
  <c r="AB476" i="3" s="1"/>
  <c r="AB478" i="3" s="1"/>
  <c r="BN158" i="3"/>
  <c r="U162" i="2"/>
  <c r="BN162" i="3" s="1"/>
  <c r="U223" i="2"/>
  <c r="BN220" i="3"/>
  <c r="BN159" i="3"/>
  <c r="U160" i="2"/>
  <c r="AC459" i="3"/>
  <c r="AC328" i="3"/>
  <c r="AC295" i="3"/>
  <c r="AV79" i="9"/>
  <c r="AD101" i="3"/>
  <c r="AC30" i="3"/>
  <c r="AC463" i="3"/>
  <c r="AC297" i="3"/>
  <c r="AC178" i="3"/>
  <c r="AC339" i="3"/>
  <c r="AC113" i="3" s="1"/>
  <c r="AC343" i="3"/>
  <c r="AC34" i="3"/>
  <c r="O79" i="9" s="1"/>
  <c r="AC127" i="3"/>
  <c r="AC17" i="3"/>
  <c r="I79" i="9" s="1"/>
  <c r="AB28" i="3"/>
  <c r="AB402" i="3"/>
  <c r="AB411" i="3" s="1"/>
  <c r="AB418" i="3" s="1"/>
  <c r="AB399" i="3"/>
  <c r="AB400" i="3"/>
  <c r="AB409" i="3" s="1"/>
  <c r="AB416" i="3" s="1"/>
  <c r="AB401" i="3"/>
  <c r="AB410" i="3" s="1"/>
  <c r="AB417" i="3" s="1"/>
  <c r="AB170" i="3" s="1"/>
  <c r="AC340" i="3"/>
  <c r="AC114" i="3" s="1"/>
  <c r="BN223" i="3" l="1"/>
  <c r="U227" i="2"/>
  <c r="U161" i="2"/>
  <c r="BN160" i="3"/>
  <c r="AB210" i="3"/>
  <c r="AB268" i="3"/>
  <c r="AB438" i="3"/>
  <c r="AB444" i="3" s="1"/>
  <c r="AB241" i="3"/>
  <c r="AB169" i="3"/>
  <c r="AB139" i="3"/>
  <c r="AB71" i="3"/>
  <c r="AB392" i="5"/>
  <c r="M78" i="9"/>
  <c r="W78" i="9" s="1"/>
  <c r="AB191" i="5"/>
  <c r="AC341" i="3"/>
  <c r="AC345" i="3" s="1"/>
  <c r="AC115" i="3"/>
  <c r="BA79" i="9"/>
  <c r="AC355" i="3"/>
  <c r="AG79" i="9"/>
  <c r="BK79" i="9"/>
  <c r="AC342" i="3"/>
  <c r="AC346" i="3" s="1"/>
  <c r="BE79" i="9"/>
  <c r="AB403" i="3"/>
  <c r="AB408" i="3"/>
  <c r="AC329" i="3"/>
  <c r="AC31" i="3"/>
  <c r="AB480" i="3"/>
  <c r="BN161" i="3" l="1"/>
  <c r="U163" i="2"/>
  <c r="T393" i="1"/>
  <c r="BN227" i="3"/>
  <c r="T371" i="1"/>
  <c r="T385" i="1"/>
  <c r="U89" i="5"/>
  <c r="U345" i="5" s="1"/>
  <c r="U228" i="2"/>
  <c r="BN228" i="3" s="1"/>
  <c r="AC330" i="3"/>
  <c r="AC462" i="3"/>
  <c r="AC298" i="3"/>
  <c r="AB171" i="3"/>
  <c r="AB182" i="3" s="1"/>
  <c r="AB192" i="3"/>
  <c r="AB481" i="3"/>
  <c r="AC439" i="3"/>
  <c r="N79" i="9"/>
  <c r="AB415" i="3"/>
  <c r="AB419" i="3" s="1"/>
  <c r="AB412" i="3"/>
  <c r="AB413" i="3" s="1"/>
  <c r="AC357" i="3"/>
  <c r="AB387" i="5"/>
  <c r="BN163" i="3" l="1"/>
  <c r="U165" i="2"/>
  <c r="U267" i="2" s="1"/>
  <c r="AB153" i="3"/>
  <c r="AB154" i="3" s="1"/>
  <c r="AB156" i="3" s="1"/>
  <c r="AB207" i="3"/>
  <c r="BV357" i="3"/>
  <c r="AC121" i="3"/>
  <c r="AB420" i="3"/>
  <c r="AB482" i="3"/>
  <c r="U183" i="2" l="1"/>
  <c r="U112" i="5"/>
  <c r="U140" i="5" s="1"/>
  <c r="U166" i="2"/>
  <c r="BN166" i="3" s="1"/>
  <c r="BN165" i="3"/>
  <c r="BN267" i="3"/>
  <c r="AC358" i="3"/>
  <c r="AB159" i="3"/>
  <c r="AB160" i="3" s="1"/>
  <c r="AB161" i="3" s="1"/>
  <c r="AB158" i="3"/>
  <c r="AB162" i="3" s="1"/>
  <c r="T375" i="1" l="1"/>
  <c r="BN183" i="3"/>
  <c r="T363" i="1"/>
  <c r="T364" i="1" s="1"/>
  <c r="U184" i="2"/>
  <c r="AB163" i="3"/>
  <c r="AB165" i="3" s="1"/>
  <c r="AB267" i="3" s="1"/>
  <c r="AC359" i="3"/>
  <c r="AC122" i="3" s="1"/>
  <c r="U94" i="4" l="1"/>
  <c r="U397" i="5"/>
  <c r="U85" i="5"/>
  <c r="U342" i="5" s="1"/>
  <c r="U399" i="5"/>
  <c r="BN184" i="3"/>
  <c r="U191" i="2"/>
  <c r="U266" i="2"/>
  <c r="T374" i="1"/>
  <c r="T377" i="1" s="1"/>
  <c r="T382" i="1" s="1"/>
  <c r="T384" i="1" s="1"/>
  <c r="T386" i="1" s="1"/>
  <c r="T367" i="1"/>
  <c r="AB183" i="3"/>
  <c r="AB166" i="3"/>
  <c r="AB139" i="5"/>
  <c r="AC360" i="3"/>
  <c r="AC123" i="3"/>
  <c r="U271" i="2" l="1"/>
  <c r="U86" i="4" s="1"/>
  <c r="U270" i="2"/>
  <c r="BN266" i="3"/>
  <c r="U193" i="2"/>
  <c r="BN191" i="3"/>
  <c r="AB208" i="3"/>
  <c r="AB184" i="3"/>
  <c r="AC125" i="3"/>
  <c r="BH79" i="9"/>
  <c r="AC35" i="3"/>
  <c r="U199" i="2" l="1"/>
  <c r="U198" i="2"/>
  <c r="U196" i="2"/>
  <c r="BN193" i="3"/>
  <c r="U195" i="2"/>
  <c r="U201" i="2"/>
  <c r="U200" i="2"/>
  <c r="U197" i="2"/>
  <c r="U32" i="4"/>
  <c r="W33" i="4" s="1"/>
  <c r="BN270" i="3"/>
  <c r="U86" i="5"/>
  <c r="U343" i="5" s="1"/>
  <c r="AC361" i="3"/>
  <c r="AC37" i="3"/>
  <c r="AB95" i="4"/>
  <c r="AB266" i="3"/>
  <c r="AB270" i="3" s="1"/>
  <c r="AB191" i="3"/>
  <c r="AB193" i="3" s="1"/>
  <c r="AB398" i="5"/>
  <c r="AB330" i="5"/>
  <c r="AB212" i="3"/>
  <c r="AC466" i="3"/>
  <c r="AC299" i="3"/>
  <c r="F320" i="1" l="1"/>
  <c r="U315" i="4"/>
  <c r="M273" i="1" s="1"/>
  <c r="BN197" i="3"/>
  <c r="BN200" i="3"/>
  <c r="I320" i="1"/>
  <c r="U318" i="4"/>
  <c r="P273" i="1" s="1"/>
  <c r="E320" i="1"/>
  <c r="BN196" i="3"/>
  <c r="U314" i="4"/>
  <c r="L273" i="1" s="1"/>
  <c r="W55" i="4"/>
  <c r="W56" i="4"/>
  <c r="W58" i="4"/>
  <c r="W57" i="4"/>
  <c r="W54" i="4"/>
  <c r="BN201" i="3"/>
  <c r="U204" i="2"/>
  <c r="J320" i="1"/>
  <c r="U316" i="4"/>
  <c r="N273" i="1" s="1"/>
  <c r="BN198" i="3"/>
  <c r="G320" i="1"/>
  <c r="U313" i="4"/>
  <c r="K273" i="1" s="1"/>
  <c r="BN195" i="3"/>
  <c r="U202" i="2"/>
  <c r="D320" i="1"/>
  <c r="U317" i="4"/>
  <c r="O273" i="1" s="1"/>
  <c r="BN199" i="3"/>
  <c r="H320" i="1"/>
  <c r="AB200" i="3"/>
  <c r="AB196" i="3"/>
  <c r="AB198" i="3"/>
  <c r="AB195" i="3"/>
  <c r="AB197" i="3"/>
  <c r="AB201" i="3"/>
  <c r="AB199" i="3"/>
  <c r="AC440" i="3"/>
  <c r="P79" i="9"/>
  <c r="AB218" i="3"/>
  <c r="AB225" i="3"/>
  <c r="AB64" i="4"/>
  <c r="AD65" i="4" s="1"/>
  <c r="AB331" i="5"/>
  <c r="AC362" i="3"/>
  <c r="C320" i="1" l="1"/>
  <c r="K320" i="1" s="1"/>
  <c r="W59" i="4"/>
  <c r="W60" i="4" s="1"/>
  <c r="BN204" i="3"/>
  <c r="T394" i="1"/>
  <c r="U515" i="2"/>
  <c r="BN515" i="3" s="1"/>
  <c r="BN202" i="3"/>
  <c r="T370" i="1"/>
  <c r="T372" i="1" s="1"/>
  <c r="U422" i="2"/>
  <c r="U145" i="2"/>
  <c r="U87" i="5"/>
  <c r="U344" i="5" s="1"/>
  <c r="U484" i="2"/>
  <c r="U203" i="2"/>
  <c r="AD68" i="4"/>
  <c r="AD71" i="4"/>
  <c r="AD70" i="4"/>
  <c r="AD67" i="4"/>
  <c r="AD69" i="4"/>
  <c r="AB222" i="3"/>
  <c r="AB221" i="3"/>
  <c r="AB220" i="3"/>
  <c r="AB321" i="4"/>
  <c r="AB202" i="3"/>
  <c r="BS280" i="1"/>
  <c r="N327" i="1"/>
  <c r="AB325" i="4"/>
  <c r="BW280" i="1"/>
  <c r="R327" i="1"/>
  <c r="AB324" i="4"/>
  <c r="Q327" i="1"/>
  <c r="BV280" i="1"/>
  <c r="AB204" i="3"/>
  <c r="AB515" i="3" s="1"/>
  <c r="T327" i="1"/>
  <c r="AB322" i="4"/>
  <c r="O327" i="1"/>
  <c r="BT280" i="1"/>
  <c r="AB323" i="4"/>
  <c r="P327" i="1"/>
  <c r="BU280" i="1"/>
  <c r="AB326" i="4"/>
  <c r="S327" i="1"/>
  <c r="BX280" i="1"/>
  <c r="W61" i="4" l="1"/>
  <c r="W272" i="2"/>
  <c r="U146" i="2"/>
  <c r="Z23" i="9"/>
  <c r="U244" i="2"/>
  <c r="U229" i="2"/>
  <c r="U148" i="2"/>
  <c r="V302" i="2"/>
  <c r="BO302" i="3" s="1"/>
  <c r="BN145" i="3"/>
  <c r="U17" i="5"/>
  <c r="J273" i="1"/>
  <c r="U88" i="5"/>
  <c r="U516" i="2"/>
  <c r="BN203" i="3"/>
  <c r="U424" i="2"/>
  <c r="BN424" i="3" s="1"/>
  <c r="BN422" i="3"/>
  <c r="BN484" i="3"/>
  <c r="U485" i="2"/>
  <c r="AD72" i="4"/>
  <c r="AD272" i="3" s="1"/>
  <c r="BO280" i="1"/>
  <c r="V280" i="1"/>
  <c r="S280" i="1"/>
  <c r="BL280" i="1"/>
  <c r="BM280" i="1"/>
  <c r="T280" i="1"/>
  <c r="M327" i="1"/>
  <c r="AB223" i="3"/>
  <c r="AB227" i="3" s="1"/>
  <c r="AB484" i="3" s="1"/>
  <c r="AB485" i="3" s="1"/>
  <c r="BN280" i="1"/>
  <c r="U280" i="1"/>
  <c r="BQ280" i="1"/>
  <c r="X280" i="1"/>
  <c r="BP280" i="1"/>
  <c r="W280" i="1"/>
  <c r="AB332" i="5"/>
  <c r="AB203" i="3"/>
  <c r="AD74" i="4" l="1"/>
  <c r="AD73" i="4"/>
  <c r="BN485" i="3"/>
  <c r="U425" i="2"/>
  <c r="BN425" i="3" s="1"/>
  <c r="U213" i="5"/>
  <c r="U18" i="5"/>
  <c r="U90" i="5"/>
  <c r="U346" i="5" s="1"/>
  <c r="BN229" i="3"/>
  <c r="U384" i="5"/>
  <c r="BN516" i="3"/>
  <c r="U245" i="2"/>
  <c r="BN244" i="3"/>
  <c r="Z119" i="9"/>
  <c r="AJ23" i="9"/>
  <c r="AL23" i="9" s="1"/>
  <c r="BN148" i="3"/>
  <c r="V8" i="2"/>
  <c r="U248" i="2"/>
  <c r="U109" i="5"/>
  <c r="BN146" i="3"/>
  <c r="AB145" i="3"/>
  <c r="AC302" i="3" s="1"/>
  <c r="AB422" i="3"/>
  <c r="AB424" i="3" s="1"/>
  <c r="AB425" i="3" s="1"/>
  <c r="U327" i="1"/>
  <c r="BK280" i="1"/>
  <c r="R280" i="1"/>
  <c r="AB333" i="5"/>
  <c r="AB516" i="3"/>
  <c r="AB334" i="5"/>
  <c r="AB228" i="3"/>
  <c r="AB229" i="3" l="1"/>
  <c r="AB335" i="5" s="1"/>
  <c r="Z78" i="9"/>
  <c r="AJ78" i="9" s="1"/>
  <c r="AL78" i="9" s="1"/>
  <c r="AB146" i="3"/>
  <c r="AB129" i="5" s="1"/>
  <c r="BN248" i="3"/>
  <c r="U259" i="2"/>
  <c r="BT23" i="9"/>
  <c r="U19" i="5"/>
  <c r="U214" i="5"/>
  <c r="BO8" i="3"/>
  <c r="V372" i="5"/>
  <c r="V374" i="5" s="1"/>
  <c r="I274" i="1"/>
  <c r="V390" i="2"/>
  <c r="V20" i="2"/>
  <c r="V19" i="2"/>
  <c r="F24" i="9"/>
  <c r="U486" i="2"/>
  <c r="BN486" i="3" s="1"/>
  <c r="V84" i="2"/>
  <c r="U389" i="1"/>
  <c r="V450" i="2"/>
  <c r="V447" i="2"/>
  <c r="AB244" i="3"/>
  <c r="AB245" i="3" s="1"/>
  <c r="AB260" i="3" s="1"/>
  <c r="U260" i="2"/>
  <c r="BN245" i="3"/>
  <c r="T373" i="1"/>
  <c r="AB148" i="3"/>
  <c r="AB248" i="3" s="1"/>
  <c r="AB197" i="5"/>
  <c r="AB198" i="5" s="1"/>
  <c r="AB199" i="5" s="1"/>
  <c r="AB200" i="5" s="1"/>
  <c r="AJ119" i="9"/>
  <c r="AL119" i="9"/>
  <c r="AC8" i="3" l="1"/>
  <c r="BO450" i="3"/>
  <c r="F120" i="9"/>
  <c r="K24" i="9"/>
  <c r="U215" i="5"/>
  <c r="U20" i="5"/>
  <c r="V232" i="2"/>
  <c r="BO232" i="3" s="1"/>
  <c r="BO19" i="3"/>
  <c r="V10" i="5"/>
  <c r="V206" i="5" s="1"/>
  <c r="U261" i="2"/>
  <c r="BN261" i="3" s="1"/>
  <c r="V364" i="5"/>
  <c r="V366" i="5" s="1"/>
  <c r="BT119" i="9"/>
  <c r="BY23" i="9"/>
  <c r="BY119" i="9" s="1"/>
  <c r="BN260" i="3"/>
  <c r="V15" i="5"/>
  <c r="V212" i="5" s="1"/>
  <c r="BO84" i="3"/>
  <c r="V85" i="2"/>
  <c r="V238" i="2"/>
  <c r="U368" i="5"/>
  <c r="U370" i="5" s="1"/>
  <c r="U144" i="5" s="1"/>
  <c r="BN259" i="3"/>
  <c r="BO447" i="3"/>
  <c r="V393" i="2"/>
  <c r="BO390" i="3"/>
  <c r="V394" i="2"/>
  <c r="V391" i="2"/>
  <c r="V392" i="2"/>
  <c r="AB259" i="3"/>
  <c r="AB369" i="5" s="1"/>
  <c r="BT78" i="9"/>
  <c r="BY78" i="9" s="1"/>
  <c r="AC19" i="3" l="1"/>
  <c r="AC232" i="3" s="1"/>
  <c r="K120" i="9"/>
  <c r="AC84" i="3"/>
  <c r="AC85" i="3" s="1"/>
  <c r="AC390" i="3"/>
  <c r="AC394" i="3" s="1"/>
  <c r="AC20" i="3"/>
  <c r="AC450" i="3"/>
  <c r="AB486" i="3"/>
  <c r="AC447" i="3"/>
  <c r="F79" i="9"/>
  <c r="K79" i="9" s="1"/>
  <c r="AC373" i="5"/>
  <c r="U262" i="2"/>
  <c r="BO393" i="3"/>
  <c r="BO392" i="3"/>
  <c r="BO391" i="3"/>
  <c r="V395" i="2"/>
  <c r="AD24" i="9"/>
  <c r="AD120" i="9" s="1"/>
  <c r="BO238" i="3"/>
  <c r="V240" i="2"/>
  <c r="BO394" i="3"/>
  <c r="BO85" i="3"/>
  <c r="V290" i="2"/>
  <c r="BO290" i="3" s="1"/>
  <c r="V470" i="2"/>
  <c r="BO470" i="3" s="1"/>
  <c r="V287" i="2"/>
  <c r="AB393" i="5"/>
  <c r="AB261" i="3"/>
  <c r="AB262" i="3" s="1"/>
  <c r="AC365" i="5" l="1"/>
  <c r="AC190" i="5"/>
  <c r="AC391" i="3"/>
  <c r="AC195" i="5"/>
  <c r="AC393" i="3"/>
  <c r="AC392" i="3"/>
  <c r="AC238" i="3"/>
  <c r="AD79" i="9" s="1"/>
  <c r="BO287" i="3"/>
  <c r="V303" i="2"/>
  <c r="AI24" i="9"/>
  <c r="AI120" i="9" s="1"/>
  <c r="BO240" i="3"/>
  <c r="V396" i="2"/>
  <c r="BO396" i="3" s="1"/>
  <c r="V405" i="2"/>
  <c r="BO405" i="3" s="1"/>
  <c r="BO395" i="3"/>
  <c r="AC470" i="3"/>
  <c r="AC290" i="3"/>
  <c r="AC287" i="3"/>
  <c r="AC303" i="3" s="1"/>
  <c r="AC240" i="3" l="1"/>
  <c r="AC395" i="3"/>
  <c r="AC405" i="3" s="1"/>
  <c r="BO303" i="3"/>
  <c r="V95" i="2"/>
  <c r="AC95" i="3"/>
  <c r="AC396" i="3"/>
  <c r="AI79" i="9"/>
  <c r="BO95" i="3" l="1"/>
  <c r="W9" i="2"/>
  <c r="V320" i="2"/>
  <c r="V249" i="2"/>
  <c r="V457" i="2"/>
  <c r="AQ24" i="9"/>
  <c r="V103" i="2"/>
  <c r="V175" i="2" s="1"/>
  <c r="AC103" i="3"/>
  <c r="AC175" i="3" s="1"/>
  <c r="AC281" i="3" s="1"/>
  <c r="AC457" i="3"/>
  <c r="AC320" i="3"/>
  <c r="AC321" i="3" s="1"/>
  <c r="AD306" i="3" s="1"/>
  <c r="AQ79" i="9"/>
  <c r="AT79" i="9" s="1"/>
  <c r="AC249" i="3"/>
  <c r="AD9" i="3"/>
  <c r="V116" i="2" l="1"/>
  <c r="V117" i="2" s="1"/>
  <c r="W13" i="2" s="1"/>
  <c r="BO175" i="3"/>
  <c r="V281" i="2"/>
  <c r="BO249" i="3"/>
  <c r="BO320" i="3"/>
  <c r="V321" i="2"/>
  <c r="AQ120" i="9"/>
  <c r="AT24" i="9"/>
  <c r="W96" i="2"/>
  <c r="W489" i="2"/>
  <c r="W92" i="2"/>
  <c r="BP9" i="3"/>
  <c r="V461" i="2"/>
  <c r="BO461" i="3" s="1"/>
  <c r="W10" i="2"/>
  <c r="V331" i="2"/>
  <c r="AW24" i="9"/>
  <c r="BO103" i="3"/>
  <c r="V501" i="2"/>
  <c r="V250" i="2"/>
  <c r="BO250" i="3" s="1"/>
  <c r="BO457" i="3"/>
  <c r="AD489" i="3"/>
  <c r="AD96" i="3"/>
  <c r="AD93" i="3"/>
  <c r="AD94" i="3" s="1"/>
  <c r="AE92" i="3" s="1"/>
  <c r="AC461" i="3"/>
  <c r="AC331" i="3"/>
  <c r="AC332" i="3" s="1"/>
  <c r="AD324" i="3" s="1"/>
  <c r="AW79" i="9"/>
  <c r="AY79" i="9" s="1"/>
  <c r="AC501" i="3"/>
  <c r="AC503" i="3" s="1"/>
  <c r="AC505" i="3" s="1"/>
  <c r="AC506" i="3" s="1"/>
  <c r="AD10" i="3"/>
  <c r="AC250" i="3"/>
  <c r="AC251" i="3" s="1"/>
  <c r="BU79" i="9" s="1"/>
  <c r="AC116" i="3"/>
  <c r="W12" i="2" l="1"/>
  <c r="W110" i="2" s="1"/>
  <c r="BO116" i="3"/>
  <c r="BB24" i="9"/>
  <c r="BB120" i="9" s="1"/>
  <c r="V347" i="2"/>
  <c r="V349" i="2" s="1"/>
  <c r="V508" i="2"/>
  <c r="BO508" i="3" s="1"/>
  <c r="V252" i="2"/>
  <c r="BO252" i="3" s="1"/>
  <c r="BF24" i="9"/>
  <c r="BG24" i="9" s="1"/>
  <c r="BG120" i="9" s="1"/>
  <c r="V253" i="2"/>
  <c r="BO253" i="3" s="1"/>
  <c r="BO117" i="3"/>
  <c r="V348" i="2"/>
  <c r="BO349" i="3" s="1"/>
  <c r="V118" i="2"/>
  <c r="V126" i="2" s="1"/>
  <c r="V135" i="2" s="1"/>
  <c r="BP92" i="3"/>
  <c r="W94" i="2"/>
  <c r="AW120" i="9"/>
  <c r="AY24" i="9"/>
  <c r="AY120" i="9" s="1"/>
  <c r="BP489" i="3"/>
  <c r="V251" i="2"/>
  <c r="BO331" i="3"/>
  <c r="V332" i="2"/>
  <c r="W310" i="2"/>
  <c r="BP310" i="3" s="1"/>
  <c r="AE25" i="9"/>
  <c r="AE121" i="9" s="1"/>
  <c r="BP96" i="3"/>
  <c r="AR25" i="9"/>
  <c r="AR121" i="9" s="1"/>
  <c r="W306" i="2"/>
  <c r="H274" i="1"/>
  <c r="A275" i="1" s="1"/>
  <c r="BO321" i="3"/>
  <c r="BO501" i="3"/>
  <c r="V503" i="2"/>
  <c r="W11" i="2"/>
  <c r="BP10" i="3"/>
  <c r="W100" i="2"/>
  <c r="AT120" i="9"/>
  <c r="BO281" i="3"/>
  <c r="BP13" i="3"/>
  <c r="W111" i="2"/>
  <c r="W33" i="2" s="1"/>
  <c r="AD29" i="3"/>
  <c r="AC347" i="3"/>
  <c r="AC349" i="3" s="1"/>
  <c r="AD335" i="3" s="1"/>
  <c r="BB79" i="9"/>
  <c r="BC79" i="9" s="1"/>
  <c r="AD12" i="3"/>
  <c r="AC252" i="3"/>
  <c r="AC117" i="3"/>
  <c r="AD100" i="3"/>
  <c r="AD102" i="3" s="1"/>
  <c r="AD382" i="5" s="1"/>
  <c r="AD11" i="3"/>
  <c r="G80" i="9" s="1"/>
  <c r="AD310" i="3"/>
  <c r="AE80" i="9"/>
  <c r="AR80" i="9"/>
  <c r="AD456" i="3"/>
  <c r="AD293" i="3"/>
  <c r="AD308" i="3"/>
  <c r="AN80" i="9"/>
  <c r="AD380" i="5"/>
  <c r="AD405" i="5"/>
  <c r="AD406" i="5" s="1"/>
  <c r="AD491" i="3"/>
  <c r="AD493" i="3" s="1"/>
  <c r="BO118" i="3" l="1"/>
  <c r="BF120" i="9"/>
  <c r="W14" i="2"/>
  <c r="H25" i="9" s="1"/>
  <c r="H121" i="9" s="1"/>
  <c r="BP12" i="3"/>
  <c r="BO126" i="3"/>
  <c r="V177" i="2"/>
  <c r="V282" i="2" s="1"/>
  <c r="V464" i="2"/>
  <c r="BO464" i="3" s="1"/>
  <c r="BC24" i="9"/>
  <c r="BC120" i="9" s="1"/>
  <c r="BO348" i="3"/>
  <c r="V510" i="2"/>
  <c r="V350" i="2"/>
  <c r="W336" i="2" s="1"/>
  <c r="BP337" i="3" s="1"/>
  <c r="V254" i="2"/>
  <c r="BV24" i="9" s="1"/>
  <c r="BV120" i="9" s="1"/>
  <c r="V255" i="2"/>
  <c r="V257" i="2" s="1"/>
  <c r="BI24" i="9"/>
  <c r="BL24" i="9" s="1"/>
  <c r="V467" i="2"/>
  <c r="BO467" i="3" s="1"/>
  <c r="V363" i="2"/>
  <c r="BO364" i="3" s="1"/>
  <c r="W15" i="2"/>
  <c r="W17" i="2" s="1"/>
  <c r="W344" i="2"/>
  <c r="BP345" i="3" s="1"/>
  <c r="BP33" i="3"/>
  <c r="W32" i="2"/>
  <c r="BP110" i="3"/>
  <c r="W337" i="2"/>
  <c r="BP338" i="3" s="1"/>
  <c r="AZ25" i="9"/>
  <c r="AZ121" i="9" s="1"/>
  <c r="BO350" i="3"/>
  <c r="W335" i="2"/>
  <c r="BP306" i="3"/>
  <c r="BO332" i="3"/>
  <c r="W324" i="2"/>
  <c r="BU24" i="9"/>
  <c r="BU120" i="9" s="1"/>
  <c r="BO251" i="3"/>
  <c r="BI120" i="9"/>
  <c r="BO177" i="3"/>
  <c r="G25" i="9"/>
  <c r="G121" i="9" s="1"/>
  <c r="BP11" i="3"/>
  <c r="V505" i="2"/>
  <c r="BO503" i="3"/>
  <c r="W293" i="2"/>
  <c r="BP293" i="3" s="1"/>
  <c r="AN25" i="9"/>
  <c r="AN121" i="9" s="1"/>
  <c r="W456" i="2"/>
  <c r="BP456" i="3" s="1"/>
  <c r="W308" i="2"/>
  <c r="BP308" i="3" s="1"/>
  <c r="W491" i="2"/>
  <c r="W377" i="5"/>
  <c r="BP94" i="3"/>
  <c r="X93" i="2"/>
  <c r="BQ93" i="3" s="1"/>
  <c r="W29" i="2"/>
  <c r="W112" i="2"/>
  <c r="W509" i="2"/>
  <c r="BP509" i="3" s="1"/>
  <c r="W338" i="2"/>
  <c r="BP339" i="3" s="1"/>
  <c r="BD25" i="9"/>
  <c r="BD121" i="9" s="1"/>
  <c r="BP111" i="3"/>
  <c r="BP100" i="3"/>
  <c r="W102" i="2"/>
  <c r="V512" i="2"/>
  <c r="BO510" i="3"/>
  <c r="V382" i="2"/>
  <c r="V258" i="2"/>
  <c r="V469" i="2"/>
  <c r="BO469" i="3" s="1"/>
  <c r="BO24" i="9"/>
  <c r="BO135" i="3"/>
  <c r="W18" i="2"/>
  <c r="AD494" i="3"/>
  <c r="AD496" i="3" s="1"/>
  <c r="AD497" i="3" s="1"/>
  <c r="AD498" i="3" s="1"/>
  <c r="AD309" i="3"/>
  <c r="AC348" i="3"/>
  <c r="AC350" i="3" s="1"/>
  <c r="AD336" i="3" s="1"/>
  <c r="BF79" i="9"/>
  <c r="BG79" i="9" s="1"/>
  <c r="AC508" i="3"/>
  <c r="AC510" i="3" s="1"/>
  <c r="AC512" i="3" s="1"/>
  <c r="AC513" i="3" s="1"/>
  <c r="AC253" i="3"/>
  <c r="AC254" i="3" s="1"/>
  <c r="BV79" i="9" s="1"/>
  <c r="AD13" i="3"/>
  <c r="AC118" i="3"/>
  <c r="AC126" i="3" s="1"/>
  <c r="AD317" i="3"/>
  <c r="AD319" i="3" s="1"/>
  <c r="AD502" i="3"/>
  <c r="AD460" i="3"/>
  <c r="AD326" i="3"/>
  <c r="AD296" i="3"/>
  <c r="AD381" i="5"/>
  <c r="AU80" i="9"/>
  <c r="AD408" i="5"/>
  <c r="AD176" i="3"/>
  <c r="AD110" i="3"/>
  <c r="BP14" i="3" l="1"/>
  <c r="W127" i="2"/>
  <c r="BK25" i="9" s="1"/>
  <c r="BK121" i="9" s="1"/>
  <c r="BO254" i="3"/>
  <c r="V364" i="2"/>
  <c r="W353" i="2" s="1"/>
  <c r="BP353" i="3" s="1"/>
  <c r="W35" i="2"/>
  <c r="BP35" i="3" s="1"/>
  <c r="BO255" i="3"/>
  <c r="BP15" i="3"/>
  <c r="BO512" i="3"/>
  <c r="V513" i="2"/>
  <c r="W317" i="2"/>
  <c r="BP317" i="3" s="1"/>
  <c r="BP29" i="3"/>
  <c r="BP491" i="3"/>
  <c r="W494" i="2"/>
  <c r="BP494" i="3" s="1"/>
  <c r="W493" i="2"/>
  <c r="V472" i="2"/>
  <c r="W38" i="2"/>
  <c r="J25" i="9"/>
  <c r="J121" i="9" s="1"/>
  <c r="E275" i="1"/>
  <c r="BP18" i="3"/>
  <c r="V175" i="5"/>
  <c r="BO258" i="3"/>
  <c r="BX24" i="9"/>
  <c r="BX120" i="9" s="1"/>
  <c r="W176" i="2"/>
  <c r="W502" i="2"/>
  <c r="BP502" i="3" s="1"/>
  <c r="AU25" i="9"/>
  <c r="AU121" i="9" s="1"/>
  <c r="W460" i="2"/>
  <c r="BP460" i="3" s="1"/>
  <c r="W326" i="2"/>
  <c r="BP326" i="3" s="1"/>
  <c r="W296" i="2"/>
  <c r="BP296" i="3" s="1"/>
  <c r="BP102" i="3"/>
  <c r="W378" i="5"/>
  <c r="BL120" i="9"/>
  <c r="W313" i="2"/>
  <c r="BP335" i="3"/>
  <c r="BP336" i="3"/>
  <c r="W339" i="2"/>
  <c r="BO382" i="3"/>
  <c r="V383" i="2"/>
  <c r="BP17" i="3"/>
  <c r="I25" i="9"/>
  <c r="I121" i="9" s="1"/>
  <c r="W379" i="5"/>
  <c r="W383" i="5" s="1"/>
  <c r="BO282" i="3"/>
  <c r="V284" i="2"/>
  <c r="BP324" i="3"/>
  <c r="W309" i="2"/>
  <c r="W340" i="2"/>
  <c r="BP32" i="3"/>
  <c r="W343" i="2"/>
  <c r="BP344" i="3" s="1"/>
  <c r="W34" i="2"/>
  <c r="BO120" i="9"/>
  <c r="BP24" i="9"/>
  <c r="BP120" i="9" s="1"/>
  <c r="BP112" i="3"/>
  <c r="W463" i="2"/>
  <c r="BP463" i="3" s="1"/>
  <c r="W178" i="2"/>
  <c r="BP178" i="3" s="1"/>
  <c r="W297" i="2"/>
  <c r="BP297" i="3" s="1"/>
  <c r="BO505" i="3"/>
  <c r="V506" i="2"/>
  <c r="BW24" i="9"/>
  <c r="BW120" i="9" s="1"/>
  <c r="BO257" i="3"/>
  <c r="V474" i="2"/>
  <c r="AD111" i="3"/>
  <c r="AD112" i="3" s="1"/>
  <c r="AD337" i="3"/>
  <c r="AZ80" i="9"/>
  <c r="AD14" i="3"/>
  <c r="H80" i="9" s="1"/>
  <c r="AD32" i="3"/>
  <c r="AD327" i="3"/>
  <c r="AD99" i="3" s="1"/>
  <c r="AC464" i="3"/>
  <c r="AC177" i="3"/>
  <c r="AC282" i="3" s="1"/>
  <c r="AC284" i="3" s="1"/>
  <c r="W355" i="2" l="1"/>
  <c r="BP355" i="3" s="1"/>
  <c r="BP127" i="3"/>
  <c r="AG25" i="9"/>
  <c r="AG121" i="9" s="1"/>
  <c r="V391" i="1"/>
  <c r="W37" i="2"/>
  <c r="BP37" i="3" s="1"/>
  <c r="W361" i="2"/>
  <c r="BP356" i="3" s="1"/>
  <c r="W319" i="2"/>
  <c r="BP319" i="3" s="1"/>
  <c r="W327" i="2"/>
  <c r="W99" i="2" s="1"/>
  <c r="BP34" i="3"/>
  <c r="O25" i="9"/>
  <c r="O121" i="9" s="1"/>
  <c r="BP309" i="3"/>
  <c r="V390" i="1"/>
  <c r="BO284" i="3"/>
  <c r="U359" i="1"/>
  <c r="BP340" i="3"/>
  <c r="W113" i="2"/>
  <c r="BR24" i="9"/>
  <c r="BR120" i="9" s="1"/>
  <c r="W173" i="5"/>
  <c r="Q25" i="9"/>
  <c r="Q121" i="9" s="1"/>
  <c r="BP38" i="3"/>
  <c r="W379" i="2"/>
  <c r="BP379" i="3" s="1"/>
  <c r="BP493" i="3"/>
  <c r="W496" i="2"/>
  <c r="BO383" i="3"/>
  <c r="W377" i="2"/>
  <c r="BP176" i="3"/>
  <c r="V357" i="1"/>
  <c r="BO472" i="3"/>
  <c r="V28" i="2"/>
  <c r="V399" i="2"/>
  <c r="V402" i="2"/>
  <c r="V401" i="2"/>
  <c r="V400" i="2"/>
  <c r="BO474" i="3"/>
  <c r="V476" i="2"/>
  <c r="P25" i="9"/>
  <c r="P121" i="9" s="1"/>
  <c r="W440" i="2"/>
  <c r="BP440" i="3" s="1"/>
  <c r="BP341" i="3"/>
  <c r="W114" i="2"/>
  <c r="AD463" i="3"/>
  <c r="AD297" i="3"/>
  <c r="AD178" i="3"/>
  <c r="AD339" i="3"/>
  <c r="AD113" i="3" s="1"/>
  <c r="AC467" i="3"/>
  <c r="AC363" i="3"/>
  <c r="AC364" i="3" s="1"/>
  <c r="AD353" i="3" s="1"/>
  <c r="BI79" i="9"/>
  <c r="BL79" i="9" s="1"/>
  <c r="BR79" i="9" s="1"/>
  <c r="AC255" i="3"/>
  <c r="AC257" i="3" s="1"/>
  <c r="BW79" i="9" s="1"/>
  <c r="AD15" i="3"/>
  <c r="AD343" i="3"/>
  <c r="AD509" i="3"/>
  <c r="AD338" i="3"/>
  <c r="BD80" i="9"/>
  <c r="AD459" i="3"/>
  <c r="AD328" i="3"/>
  <c r="AD295" i="3"/>
  <c r="AV80" i="9"/>
  <c r="AE101" i="3"/>
  <c r="AD30" i="3"/>
  <c r="AD33" i="3"/>
  <c r="BP327" i="3" l="1"/>
  <c r="BP362" i="3"/>
  <c r="W362" i="2"/>
  <c r="BP363" i="3" s="1"/>
  <c r="BO401" i="3"/>
  <c r="V410" i="2"/>
  <c r="BP113" i="3"/>
  <c r="W115" i="2"/>
  <c r="W341" i="2"/>
  <c r="BA25" i="9"/>
  <c r="BA121" i="9" s="1"/>
  <c r="V478" i="2"/>
  <c r="BO476" i="3"/>
  <c r="BO402" i="3"/>
  <c r="V411" i="2"/>
  <c r="BP496" i="3"/>
  <c r="W497" i="2"/>
  <c r="BP114" i="3"/>
  <c r="W342" i="2"/>
  <c r="BE25" i="9"/>
  <c r="BE121" i="9" s="1"/>
  <c r="BO399" i="3"/>
  <c r="V403" i="2"/>
  <c r="BO403" i="3" s="1"/>
  <c r="V408" i="2"/>
  <c r="W328" i="2"/>
  <c r="W459" i="2"/>
  <c r="BP459" i="3" s="1"/>
  <c r="BP99" i="3"/>
  <c r="AV25" i="9"/>
  <c r="AV121" i="9" s="1"/>
  <c r="W295" i="2"/>
  <c r="BP295" i="3" s="1"/>
  <c r="X101" i="2"/>
  <c r="BQ101" i="3" s="1"/>
  <c r="W30" i="2"/>
  <c r="BO400" i="3"/>
  <c r="V409" i="2"/>
  <c r="V241" i="2"/>
  <c r="BO241" i="3" s="1"/>
  <c r="M24" i="9"/>
  <c r="V71" i="2"/>
  <c r="V438" i="2"/>
  <c r="BO28" i="3"/>
  <c r="V169" i="2"/>
  <c r="V390" i="5"/>
  <c r="V139" i="2"/>
  <c r="BO139" i="3" s="1"/>
  <c r="V11" i="5"/>
  <c r="V207" i="5" s="1"/>
  <c r="W381" i="2"/>
  <c r="BP381" i="3" s="1"/>
  <c r="BP377" i="3"/>
  <c r="AD344" i="3"/>
  <c r="AD340" i="3"/>
  <c r="AD114" i="3" s="1"/>
  <c r="AD115" i="3" s="1"/>
  <c r="AD341" i="3"/>
  <c r="AD345" i="3" s="1"/>
  <c r="BA80" i="9"/>
  <c r="AD34" i="3"/>
  <c r="O80" i="9" s="1"/>
  <c r="AD127" i="3"/>
  <c r="AD17" i="3"/>
  <c r="I80" i="9" s="1"/>
  <c r="AC472" i="3"/>
  <c r="AC474" i="3"/>
  <c r="AD329" i="3"/>
  <c r="AD330" i="3" s="1"/>
  <c r="AD31" i="3"/>
  <c r="BP497" i="3" l="1"/>
  <c r="W498" i="2"/>
  <c r="BP498" i="3" s="1"/>
  <c r="BP115" i="3"/>
  <c r="W298" i="2"/>
  <c r="BP298" i="3" s="1"/>
  <c r="W462" i="2"/>
  <c r="BP462" i="3" s="1"/>
  <c r="V444" i="2"/>
  <c r="BO444" i="3" s="1"/>
  <c r="BO438" i="3"/>
  <c r="V416" i="2"/>
  <c r="BO416" i="3" s="1"/>
  <c r="BO409" i="3"/>
  <c r="BP328" i="3"/>
  <c r="V480" i="2"/>
  <c r="BO478" i="3"/>
  <c r="V394" i="5"/>
  <c r="V391" i="5"/>
  <c r="V395" i="5" s="1"/>
  <c r="V386" i="5"/>
  <c r="V388" i="5" s="1"/>
  <c r="BO71" i="3"/>
  <c r="U368" i="1"/>
  <c r="V412" i="2"/>
  <c r="BO412" i="3" s="1"/>
  <c r="V415" i="2"/>
  <c r="BO408" i="3"/>
  <c r="BP343" i="3"/>
  <c r="W346" i="2"/>
  <c r="BP347" i="3" s="1"/>
  <c r="BO411" i="3"/>
  <c r="V418" i="2"/>
  <c r="BO418" i="3" s="1"/>
  <c r="V417" i="2"/>
  <c r="BO410" i="3"/>
  <c r="BO169" i="3"/>
  <c r="U354" i="1"/>
  <c r="M120" i="9"/>
  <c r="W24" i="9"/>
  <c r="W329" i="2"/>
  <c r="BP329" i="3" s="1"/>
  <c r="BP30" i="3"/>
  <c r="W31" i="2"/>
  <c r="BP342" i="3"/>
  <c r="W345" i="2"/>
  <c r="BP346" i="3" s="1"/>
  <c r="AD355" i="3"/>
  <c r="BK80" i="9"/>
  <c r="AG80" i="9"/>
  <c r="AD439" i="3"/>
  <c r="N80" i="9"/>
  <c r="AC476" i="3"/>
  <c r="AC478" i="3" s="1"/>
  <c r="AD462" i="3"/>
  <c r="AD298" i="3"/>
  <c r="AD342" i="3"/>
  <c r="AD346" i="3" s="1"/>
  <c r="BE80" i="9"/>
  <c r="AC28" i="3"/>
  <c r="AC402" i="3"/>
  <c r="AC411" i="3" s="1"/>
  <c r="AC418" i="3" s="1"/>
  <c r="AC401" i="3"/>
  <c r="AC410" i="3" s="1"/>
  <c r="AC417" i="3" s="1"/>
  <c r="AC170" i="3" s="1"/>
  <c r="AC400" i="3"/>
  <c r="AC409" i="3" s="1"/>
  <c r="AC416" i="3" s="1"/>
  <c r="AC399" i="3"/>
  <c r="W120" i="9" l="1"/>
  <c r="BO480" i="3"/>
  <c r="V481" i="2"/>
  <c r="BO417" i="3"/>
  <c r="V170" i="2"/>
  <c r="W330" i="2"/>
  <c r="BP330" i="3" s="1"/>
  <c r="W439" i="2"/>
  <c r="BP439" i="3" s="1"/>
  <c r="BP31" i="3"/>
  <c r="N25" i="9"/>
  <c r="N121" i="9" s="1"/>
  <c r="V413" i="2"/>
  <c r="BO415" i="3"/>
  <c r="V419" i="2"/>
  <c r="BO419" i="3" s="1"/>
  <c r="AC403" i="3"/>
  <c r="AC408" i="3"/>
  <c r="AC438" i="3"/>
  <c r="AC444" i="3" s="1"/>
  <c r="AC241" i="3"/>
  <c r="AC169" i="3"/>
  <c r="AC139" i="3"/>
  <c r="AC71" i="3"/>
  <c r="AC392" i="5"/>
  <c r="M79" i="9"/>
  <c r="W79" i="9" s="1"/>
  <c r="AC191" i="5"/>
  <c r="AD357" i="3"/>
  <c r="AC268" i="3"/>
  <c r="AC210" i="3"/>
  <c r="AC480" i="3"/>
  <c r="V420" i="2" l="1"/>
  <c r="BO420" i="3" s="1"/>
  <c r="BO481" i="3"/>
  <c r="V482" i="2"/>
  <c r="BO482" i="3" s="1"/>
  <c r="V268" i="2"/>
  <c r="BO268" i="3" s="1"/>
  <c r="BO170" i="3"/>
  <c r="V210" i="2"/>
  <c r="U355" i="1"/>
  <c r="V171" i="2"/>
  <c r="V182" i="2" s="1"/>
  <c r="V192" i="2"/>
  <c r="AC387" i="5"/>
  <c r="AC481" i="3"/>
  <c r="BW357" i="3"/>
  <c r="AD121" i="3"/>
  <c r="AC171" i="3"/>
  <c r="AC182" i="3" s="1"/>
  <c r="AC192" i="3"/>
  <c r="AC415" i="3"/>
  <c r="AC419" i="3" s="1"/>
  <c r="AC420" i="3" s="1"/>
  <c r="AC412" i="3"/>
  <c r="AC413" i="3" s="1"/>
  <c r="BO182" i="3" l="1"/>
  <c r="V207" i="2"/>
  <c r="V153" i="2"/>
  <c r="BO192" i="3"/>
  <c r="U366" i="1"/>
  <c r="BO210" i="3"/>
  <c r="U380" i="1"/>
  <c r="U356" i="1"/>
  <c r="U361" i="1" s="1"/>
  <c r="BO171" i="3"/>
  <c r="AC207" i="3"/>
  <c r="AC153" i="3"/>
  <c r="AC154" i="3" s="1"/>
  <c r="AC156" i="3" s="1"/>
  <c r="AC482" i="3"/>
  <c r="AD358" i="3"/>
  <c r="BO153" i="3" l="1"/>
  <c r="V154" i="2"/>
  <c r="V212" i="2"/>
  <c r="BO207" i="3"/>
  <c r="AC158" i="3"/>
  <c r="AC162" i="3" s="1"/>
  <c r="AC159" i="3"/>
  <c r="AC160" i="3" s="1"/>
  <c r="AC161" i="3" s="1"/>
  <c r="AD359" i="3"/>
  <c r="AD122" i="3" s="1"/>
  <c r="V225" i="2" l="1"/>
  <c r="BO225" i="3" s="1"/>
  <c r="V218" i="2"/>
  <c r="BO212" i="3"/>
  <c r="V156" i="2"/>
  <c r="BO154" i="3"/>
  <c r="AC163" i="3"/>
  <c r="AC165" i="3" s="1"/>
  <c r="AC267" i="3" s="1"/>
  <c r="AD360" i="3"/>
  <c r="AD123" i="3"/>
  <c r="BO156" i="3" l="1"/>
  <c r="V158" i="2"/>
  <c r="V159" i="2"/>
  <c r="V222" i="2"/>
  <c r="BO222" i="3" s="1"/>
  <c r="V220" i="2"/>
  <c r="V221" i="2"/>
  <c r="BO221" i="3" s="1"/>
  <c r="BO218" i="3"/>
  <c r="AD125" i="3"/>
  <c r="BH80" i="9"/>
  <c r="AD35" i="3"/>
  <c r="AC166" i="3"/>
  <c r="AC183" i="3"/>
  <c r="AC139" i="5"/>
  <c r="BO159" i="3" l="1"/>
  <c r="V160" i="2"/>
  <c r="BO158" i="3"/>
  <c r="V162" i="2"/>
  <c r="BO162" i="3" s="1"/>
  <c r="BO220" i="3"/>
  <c r="V223" i="2"/>
  <c r="AC208" i="3"/>
  <c r="AC184" i="3"/>
  <c r="AD466" i="3"/>
  <c r="AD299" i="3"/>
  <c r="AD361" i="3"/>
  <c r="AD37" i="3"/>
  <c r="V227" i="2" l="1"/>
  <c r="BO223" i="3"/>
  <c r="BO160" i="3"/>
  <c r="V161" i="2"/>
  <c r="AD440" i="3"/>
  <c r="P80" i="9"/>
  <c r="AD362" i="3"/>
  <c r="AC95" i="4"/>
  <c r="AC266" i="3"/>
  <c r="AC270" i="3" s="1"/>
  <c r="AC191" i="3"/>
  <c r="AC193" i="3" s="1"/>
  <c r="AC398" i="5"/>
  <c r="AC330" i="5"/>
  <c r="AC212" i="3"/>
  <c r="BO161" i="3" l="1"/>
  <c r="V163" i="2"/>
  <c r="BO227" i="3"/>
  <c r="U371" i="1"/>
  <c r="U393" i="1"/>
  <c r="U385" i="1"/>
  <c r="V89" i="5"/>
  <c r="V345" i="5" s="1"/>
  <c r="V228" i="2"/>
  <c r="BO228" i="3" s="1"/>
  <c r="AC225" i="3"/>
  <c r="AC218" i="3"/>
  <c r="AC199" i="3"/>
  <c r="AC195" i="3"/>
  <c r="AC201" i="3"/>
  <c r="AC197" i="3"/>
  <c r="AC196" i="3"/>
  <c r="AC198" i="3"/>
  <c r="AC200" i="3"/>
  <c r="AC64" i="4"/>
  <c r="AE65" i="4" s="1"/>
  <c r="AC331" i="5"/>
  <c r="BO163" i="3" l="1"/>
  <c r="V165" i="2"/>
  <c r="V267" i="2" s="1"/>
  <c r="AC326" i="4"/>
  <c r="BX281" i="1"/>
  <c r="S328" i="1"/>
  <c r="AC323" i="4"/>
  <c r="BU281" i="1"/>
  <c r="P328" i="1"/>
  <c r="AC204" i="3"/>
  <c r="AC515" i="3" s="1"/>
  <c r="T328" i="1"/>
  <c r="AE71" i="4"/>
  <c r="AE67" i="4"/>
  <c r="AE68" i="4"/>
  <c r="AE70" i="4"/>
  <c r="AE69" i="4"/>
  <c r="AC324" i="4"/>
  <c r="Q328" i="1"/>
  <c r="BV281" i="1"/>
  <c r="AC321" i="4"/>
  <c r="AC202" i="3"/>
  <c r="N328" i="1"/>
  <c r="BS281" i="1"/>
  <c r="AC220" i="3"/>
  <c r="AC222" i="3"/>
  <c r="AC221" i="3"/>
  <c r="AC322" i="4"/>
  <c r="O328" i="1"/>
  <c r="BT281" i="1"/>
  <c r="AC325" i="4"/>
  <c r="R328" i="1"/>
  <c r="BW281" i="1"/>
  <c r="V112" i="5" l="1"/>
  <c r="V140" i="5" s="1"/>
  <c r="BO267" i="3"/>
  <c r="V183" i="2"/>
  <c r="V166" i="2"/>
  <c r="BO166" i="3" s="1"/>
  <c r="BO165" i="3"/>
  <c r="X281" i="1"/>
  <c r="BQ281" i="1"/>
  <c r="M328" i="1"/>
  <c r="U281" i="1"/>
  <c r="BN281" i="1"/>
  <c r="AC332" i="5"/>
  <c r="AC203" i="3"/>
  <c r="BO281" i="1"/>
  <c r="V281" i="1"/>
  <c r="AE72" i="4"/>
  <c r="BP281" i="1"/>
  <c r="W281" i="1"/>
  <c r="BM281" i="1"/>
  <c r="T281" i="1"/>
  <c r="AC223" i="3"/>
  <c r="AC227" i="3" s="1"/>
  <c r="AC145" i="3" s="1"/>
  <c r="BL281" i="1"/>
  <c r="S281" i="1"/>
  <c r="AE74" i="4" l="1"/>
  <c r="AE272" i="3"/>
  <c r="BO183" i="3"/>
  <c r="U375" i="1"/>
  <c r="U363" i="1"/>
  <c r="U364" i="1" s="1"/>
  <c r="V184" i="2"/>
  <c r="AD302" i="3"/>
  <c r="AC244" i="3"/>
  <c r="AC245" i="3" s="1"/>
  <c r="AC260" i="3" s="1"/>
  <c r="AC146" i="3"/>
  <c r="AC129" i="5" s="1"/>
  <c r="Z79" i="9"/>
  <c r="AJ79" i="9" s="1"/>
  <c r="AL79" i="9" s="1"/>
  <c r="AC197" i="5"/>
  <c r="AC198" i="5" s="1"/>
  <c r="AC199" i="5" s="1"/>
  <c r="AC200" i="5" s="1"/>
  <c r="AC148" i="3"/>
  <c r="AC229" i="3"/>
  <c r="AC335" i="5" s="1"/>
  <c r="BK281" i="1"/>
  <c r="R281" i="1"/>
  <c r="AC333" i="5"/>
  <c r="AC516" i="3"/>
  <c r="AC484" i="3"/>
  <c r="AC485" i="3" s="1"/>
  <c r="AE73" i="4"/>
  <c r="U328" i="1"/>
  <c r="AC334" i="5"/>
  <c r="AC228" i="3"/>
  <c r="AC422" i="3"/>
  <c r="AC424" i="3" s="1"/>
  <c r="BO184" i="3" l="1"/>
  <c r="V85" i="5"/>
  <c r="V342" i="5" s="1"/>
  <c r="V266" i="2"/>
  <c r="V399" i="5"/>
  <c r="V191" i="2"/>
  <c r="V94" i="4"/>
  <c r="V397" i="5"/>
  <c r="U374" i="1"/>
  <c r="U377" i="1" s="1"/>
  <c r="U382" i="1" s="1"/>
  <c r="U384" i="1" s="1"/>
  <c r="U386" i="1" s="1"/>
  <c r="U367" i="1"/>
  <c r="AC425" i="3"/>
  <c r="AC248" i="3"/>
  <c r="AD8" i="3"/>
  <c r="V271" i="2" l="1"/>
  <c r="V86" i="4" s="1"/>
  <c r="V270" i="2"/>
  <c r="BO266" i="3"/>
  <c r="BO191" i="3"/>
  <c r="V193" i="2"/>
  <c r="AC486" i="3"/>
  <c r="AD450" i="3"/>
  <c r="AD447" i="3"/>
  <c r="AD390" i="3"/>
  <c r="AD84" i="3"/>
  <c r="AD19" i="3"/>
  <c r="AD20" i="3"/>
  <c r="F80" i="9"/>
  <c r="K80" i="9" s="1"/>
  <c r="AD373" i="5"/>
  <c r="AC259" i="3"/>
  <c r="AC369" i="5" s="1"/>
  <c r="BT79" i="9"/>
  <c r="BY79" i="9" s="1"/>
  <c r="V198" i="2" l="1"/>
  <c r="V196" i="2"/>
  <c r="BO193" i="3"/>
  <c r="V200" i="2"/>
  <c r="V199" i="2"/>
  <c r="V197" i="2"/>
  <c r="V195" i="2"/>
  <c r="V201" i="2"/>
  <c r="V32" i="4"/>
  <c r="X33" i="4" s="1"/>
  <c r="BO270" i="3"/>
  <c r="V86" i="5"/>
  <c r="V343" i="5" s="1"/>
  <c r="AD232" i="3"/>
  <c r="AC261" i="3"/>
  <c r="AC262" i="3" s="1"/>
  <c r="AD190" i="5"/>
  <c r="AD365" i="5"/>
  <c r="AD394" i="3"/>
  <c r="AD392" i="3"/>
  <c r="AD393" i="3"/>
  <c r="AD391" i="3"/>
  <c r="AC393" i="5"/>
  <c r="AD238" i="3"/>
  <c r="AD85" i="3"/>
  <c r="AD195" i="5"/>
  <c r="J321" i="1" l="1"/>
  <c r="BO201" i="3"/>
  <c r="V204" i="2"/>
  <c r="V318" i="4"/>
  <c r="P274" i="1" s="1"/>
  <c r="BO200" i="3"/>
  <c r="I321" i="1"/>
  <c r="X56" i="4"/>
  <c r="X55" i="4"/>
  <c r="X58" i="4"/>
  <c r="X57" i="4"/>
  <c r="X54" i="4"/>
  <c r="D321" i="1"/>
  <c r="V313" i="4"/>
  <c r="K274" i="1" s="1"/>
  <c r="BO195" i="3"/>
  <c r="V202" i="2"/>
  <c r="V315" i="4"/>
  <c r="M274" i="1" s="1"/>
  <c r="BO197" i="3"/>
  <c r="F321" i="1"/>
  <c r="V314" i="4"/>
  <c r="L274" i="1" s="1"/>
  <c r="BO196" i="3"/>
  <c r="E321" i="1"/>
  <c r="V317" i="4"/>
  <c r="O274" i="1" s="1"/>
  <c r="BO199" i="3"/>
  <c r="H321" i="1"/>
  <c r="V316" i="4"/>
  <c r="N274" i="1" s="1"/>
  <c r="BO198" i="3"/>
  <c r="G321" i="1"/>
  <c r="AD240" i="3"/>
  <c r="AD80" i="9"/>
  <c r="AD395" i="3"/>
  <c r="AD470" i="3"/>
  <c r="AD290" i="3"/>
  <c r="AD287" i="3"/>
  <c r="AD303" i="3" l="1"/>
  <c r="C321" i="1"/>
  <c r="K321" i="1" s="1"/>
  <c r="V87" i="5"/>
  <c r="V344" i="5" s="1"/>
  <c r="U370" i="1"/>
  <c r="U372" i="1" s="1"/>
  <c r="V422" i="2"/>
  <c r="V484" i="2"/>
  <c r="V145" i="2"/>
  <c r="BO202" i="3"/>
  <c r="V203" i="2"/>
  <c r="X59" i="4"/>
  <c r="U394" i="1"/>
  <c r="BO204" i="3"/>
  <c r="V515" i="2"/>
  <c r="BO515" i="3" s="1"/>
  <c r="AD405" i="3"/>
  <c r="AD396" i="3"/>
  <c r="AI80" i="9"/>
  <c r="AD95" i="3" l="1"/>
  <c r="AD249" i="3" s="1"/>
  <c r="X61" i="4"/>
  <c r="X272" i="2"/>
  <c r="V516" i="2"/>
  <c r="BO203" i="3"/>
  <c r="J274" i="1"/>
  <c r="V88" i="5"/>
  <c r="BO422" i="3"/>
  <c r="V424" i="2"/>
  <c r="BO424" i="3" s="1"/>
  <c r="V17" i="5"/>
  <c r="V148" i="2"/>
  <c r="W302" i="2"/>
  <c r="BP302" i="3" s="1"/>
  <c r="Z24" i="9"/>
  <c r="BO145" i="3"/>
  <c r="V146" i="2"/>
  <c r="V244" i="2"/>
  <c r="V229" i="2"/>
  <c r="X60" i="4"/>
  <c r="BO484" i="3"/>
  <c r="V485" i="2"/>
  <c r="AD457" i="3"/>
  <c r="AD103" i="3" l="1"/>
  <c r="AQ80" i="9"/>
  <c r="AT80" i="9" s="1"/>
  <c r="AE9" i="3"/>
  <c r="AE489" i="3" s="1"/>
  <c r="AD320" i="3"/>
  <c r="AD321" i="3" s="1"/>
  <c r="AE306" i="3" s="1"/>
  <c r="BO229" i="3"/>
  <c r="V90" i="5"/>
  <c r="V346" i="5" s="1"/>
  <c r="AJ24" i="9"/>
  <c r="AL24" i="9" s="1"/>
  <c r="Z120" i="9"/>
  <c r="BO485" i="3"/>
  <c r="V425" i="2"/>
  <c r="BO425" i="3" s="1"/>
  <c r="V18" i="5"/>
  <c r="V213" i="5"/>
  <c r="V245" i="2"/>
  <c r="BO244" i="3"/>
  <c r="BO146" i="3"/>
  <c r="V109" i="5"/>
  <c r="BO148" i="3"/>
  <c r="V248" i="2"/>
  <c r="W8" i="2"/>
  <c r="BO516" i="3"/>
  <c r="V384" i="5"/>
  <c r="AD461" i="3"/>
  <c r="AD331" i="3"/>
  <c r="AD332" i="3" s="1"/>
  <c r="AE324" i="3" s="1"/>
  <c r="AW80" i="9"/>
  <c r="AY80" i="9" s="1"/>
  <c r="AD501" i="3"/>
  <c r="AD503" i="3" s="1"/>
  <c r="AD505" i="3" s="1"/>
  <c r="AD506" i="3" s="1"/>
  <c r="AE10" i="3"/>
  <c r="AD250" i="3"/>
  <c r="AD251" i="3" s="1"/>
  <c r="BU80" i="9" s="1"/>
  <c r="AD175" i="3"/>
  <c r="AD281" i="3" s="1"/>
  <c r="AE93" i="3"/>
  <c r="AE94" i="3" s="1"/>
  <c r="AF92" i="3" s="1"/>
  <c r="AD116" i="3"/>
  <c r="AE96" i="3" l="1"/>
  <c r="AR81" i="9" s="1"/>
  <c r="AE11" i="3"/>
  <c r="G81" i="9" s="1"/>
  <c r="BP8" i="3"/>
  <c r="W447" i="2"/>
  <c r="W372" i="5"/>
  <c r="W374" i="5" s="1"/>
  <c r="W19" i="2"/>
  <c r="V389" i="1"/>
  <c r="W390" i="2"/>
  <c r="W20" i="2"/>
  <c r="W84" i="2"/>
  <c r="V486" i="2"/>
  <c r="BO486" i="3" s="1"/>
  <c r="W450" i="2"/>
  <c r="F25" i="9"/>
  <c r="I275" i="1"/>
  <c r="V214" i="5"/>
  <c r="V19" i="5"/>
  <c r="AJ120" i="9"/>
  <c r="AL120" i="9"/>
  <c r="BO248" i="3"/>
  <c r="V259" i="2"/>
  <c r="BT24" i="9"/>
  <c r="BO245" i="3"/>
  <c r="V260" i="2"/>
  <c r="U373" i="1"/>
  <c r="AD347" i="3"/>
  <c r="AD349" i="3" s="1"/>
  <c r="AE335" i="3" s="1"/>
  <c r="BB80" i="9"/>
  <c r="BC80" i="9" s="1"/>
  <c r="AE12" i="3"/>
  <c r="AD252" i="3"/>
  <c r="AE29" i="3"/>
  <c r="AD117" i="3"/>
  <c r="AD118" i="3" s="1"/>
  <c r="AD126" i="3" s="1"/>
  <c r="AE310" i="3"/>
  <c r="AE81" i="9"/>
  <c r="AE100" i="3"/>
  <c r="AE102" i="3" s="1"/>
  <c r="AE456" i="3"/>
  <c r="AE308" i="3"/>
  <c r="AE293" i="3"/>
  <c r="AN81" i="9"/>
  <c r="AE405" i="5"/>
  <c r="AE406" i="5" s="1"/>
  <c r="AE408" i="5" s="1"/>
  <c r="AE380" i="5"/>
  <c r="AE491" i="3"/>
  <c r="AE493" i="3" s="1"/>
  <c r="BO259" i="3" l="1"/>
  <c r="V368" i="5"/>
  <c r="V370" i="5" s="1"/>
  <c r="V144" i="5" s="1"/>
  <c r="V20" i="5"/>
  <c r="V215" i="5"/>
  <c r="BP84" i="3"/>
  <c r="W85" i="2"/>
  <c r="W238" i="2"/>
  <c r="W15" i="5"/>
  <c r="W212" i="5" s="1"/>
  <c r="BP19" i="3"/>
  <c r="V261" i="2"/>
  <c r="BO261" i="3" s="1"/>
  <c r="W364" i="5"/>
  <c r="W366" i="5" s="1"/>
  <c r="W232" i="2"/>
  <c r="BP232" i="3" s="1"/>
  <c r="W10" i="5"/>
  <c r="W206" i="5" s="1"/>
  <c r="K25" i="9"/>
  <c r="F121" i="9"/>
  <c r="BO260" i="3"/>
  <c r="BP450" i="3"/>
  <c r="W391" i="2"/>
  <c r="BP390" i="3"/>
  <c r="W393" i="2"/>
  <c r="W394" i="2"/>
  <c r="W392" i="2"/>
  <c r="BP447" i="3"/>
  <c r="BT120" i="9"/>
  <c r="BY24" i="9"/>
  <c r="BY120" i="9" s="1"/>
  <c r="AD464" i="3"/>
  <c r="AD177" i="3"/>
  <c r="AD282" i="3" s="1"/>
  <c r="AD284" i="3" s="1"/>
  <c r="AE494" i="3"/>
  <c r="AE496" i="3" s="1"/>
  <c r="AE497" i="3" s="1"/>
  <c r="AE498" i="3" s="1"/>
  <c r="AE317" i="3"/>
  <c r="AE319" i="3" s="1"/>
  <c r="AE502" i="3"/>
  <c r="AE460" i="3"/>
  <c r="AE326" i="3"/>
  <c r="AE296" i="3"/>
  <c r="AU81" i="9"/>
  <c r="AE381" i="5"/>
  <c r="AE110" i="3"/>
  <c r="AE309" i="3"/>
  <c r="AE176" i="3"/>
  <c r="AE382" i="5"/>
  <c r="AD348" i="3"/>
  <c r="AD350" i="3" s="1"/>
  <c r="AE336" i="3" s="1"/>
  <c r="BF80" i="9"/>
  <c r="BG80" i="9" s="1"/>
  <c r="AE13" i="3"/>
  <c r="AD508" i="3"/>
  <c r="AD510" i="3" s="1"/>
  <c r="AD512" i="3" s="1"/>
  <c r="AD513" i="3" s="1"/>
  <c r="AD253" i="3"/>
  <c r="AD254" i="3" s="1"/>
  <c r="BV80" i="9" s="1"/>
  <c r="K121" i="9" l="1"/>
  <c r="V262" i="2"/>
  <c r="BP393" i="3"/>
  <c r="W240" i="2"/>
  <c r="AD25" i="9"/>
  <c r="AD121" i="9" s="1"/>
  <c r="BP238" i="3"/>
  <c r="BP392" i="3"/>
  <c r="W395" i="2"/>
  <c r="BP391" i="3"/>
  <c r="BP85" i="3"/>
  <c r="W470" i="2"/>
  <c r="BP470" i="3" s="1"/>
  <c r="W290" i="2"/>
  <c r="BP290" i="3" s="1"/>
  <c r="W287" i="2"/>
  <c r="BP394" i="3"/>
  <c r="AE337" i="3"/>
  <c r="AZ81" i="9"/>
  <c r="AD467" i="3"/>
  <c r="AD472" i="3" s="1"/>
  <c r="AD363" i="3"/>
  <c r="AD364" i="3" s="1"/>
  <c r="AE353" i="3" s="1"/>
  <c r="BI80" i="9"/>
  <c r="BL80" i="9" s="1"/>
  <c r="BR80" i="9" s="1"/>
  <c r="AD255" i="3"/>
  <c r="AD257" i="3" s="1"/>
  <c r="BW80" i="9" s="1"/>
  <c r="AE15" i="3"/>
  <c r="AE111" i="3"/>
  <c r="AE32" i="3"/>
  <c r="AE14" i="3"/>
  <c r="H81" i="9" s="1"/>
  <c r="AE327" i="3"/>
  <c r="AE99" i="3" s="1"/>
  <c r="BP395" i="3" l="1"/>
  <c r="W405" i="2"/>
  <c r="BP405" i="3" s="1"/>
  <c r="W396" i="2"/>
  <c r="BP396" i="3" s="1"/>
  <c r="AI25" i="9"/>
  <c r="AI121" i="9" s="1"/>
  <c r="BP240" i="3"/>
  <c r="BP287" i="3"/>
  <c r="W303" i="2"/>
  <c r="AD474" i="3"/>
  <c r="AD476" i="3" s="1"/>
  <c r="AD478" i="3" s="1"/>
  <c r="AE127" i="3"/>
  <c r="AE17" i="3"/>
  <c r="I81" i="9" s="1"/>
  <c r="AD28" i="3"/>
  <c r="AD401" i="3"/>
  <c r="AD410" i="3" s="1"/>
  <c r="AD417" i="3" s="1"/>
  <c r="AD170" i="3" s="1"/>
  <c r="AD400" i="3"/>
  <c r="AD409" i="3" s="1"/>
  <c r="AD416" i="3" s="1"/>
  <c r="AD399" i="3"/>
  <c r="AD402" i="3"/>
  <c r="AD411" i="3" s="1"/>
  <c r="AD418" i="3" s="1"/>
  <c r="AE509" i="3"/>
  <c r="AE338" i="3"/>
  <c r="BD81" i="9"/>
  <c r="AE343" i="3"/>
  <c r="AE112" i="3"/>
  <c r="AE459" i="3"/>
  <c r="AE328" i="3"/>
  <c r="AE295" i="3"/>
  <c r="AV81" i="9"/>
  <c r="AE30" i="3"/>
  <c r="AF101" i="3"/>
  <c r="AE33" i="3"/>
  <c r="AE34" i="3" s="1"/>
  <c r="O81" i="9" s="1"/>
  <c r="AE339" i="3"/>
  <c r="AE113" i="3" s="1"/>
  <c r="BP303" i="3" l="1"/>
  <c r="W95" i="2"/>
  <c r="AE329" i="3"/>
  <c r="AE330" i="3" s="1"/>
  <c r="AE31" i="3"/>
  <c r="AD480" i="3"/>
  <c r="AE340" i="3"/>
  <c r="AE114" i="3" s="1"/>
  <c r="AE115" i="3" s="1"/>
  <c r="AD268" i="3"/>
  <c r="AD210" i="3"/>
  <c r="AE341" i="3"/>
  <c r="AE345" i="3" s="1"/>
  <c r="BA81" i="9"/>
  <c r="AD438" i="3"/>
  <c r="AD444" i="3" s="1"/>
  <c r="AD241" i="3"/>
  <c r="AD169" i="3"/>
  <c r="AD71" i="3"/>
  <c r="AD139" i="3"/>
  <c r="AD191" i="5"/>
  <c r="AD392" i="5"/>
  <c r="M80" i="9"/>
  <c r="W80" i="9" s="1"/>
  <c r="AE355" i="3"/>
  <c r="AG81" i="9"/>
  <c r="BK81" i="9"/>
  <c r="AE463" i="3"/>
  <c r="AE297" i="3"/>
  <c r="AE178" i="3"/>
  <c r="AD403" i="3"/>
  <c r="AD408" i="3"/>
  <c r="AE344" i="3"/>
  <c r="W103" i="2" l="1"/>
  <c r="W175" i="2" s="1"/>
  <c r="W457" i="2"/>
  <c r="W249" i="2"/>
  <c r="W320" i="2"/>
  <c r="AQ25" i="9"/>
  <c r="BP95" i="3"/>
  <c r="X9" i="2"/>
  <c r="AE357" i="3"/>
  <c r="AE462" i="3"/>
  <c r="AE298" i="3"/>
  <c r="AE342" i="3"/>
  <c r="AE346" i="3" s="1"/>
  <c r="BE81" i="9"/>
  <c r="AE439" i="3"/>
  <c r="N81" i="9"/>
  <c r="AD387" i="5"/>
  <c r="AD412" i="3"/>
  <c r="AD413" i="3" s="1"/>
  <c r="AD415" i="3"/>
  <c r="AD419" i="3" s="1"/>
  <c r="AD420" i="3" s="1"/>
  <c r="AD192" i="3"/>
  <c r="AD171" i="3"/>
  <c r="AD182" i="3" s="1"/>
  <c r="AD481" i="3"/>
  <c r="BP249" i="3" l="1"/>
  <c r="AQ121" i="9"/>
  <c r="AT25" i="9"/>
  <c r="BP457" i="3"/>
  <c r="W281" i="2"/>
  <c r="BP175" i="3"/>
  <c r="BP103" i="3"/>
  <c r="W501" i="2"/>
  <c r="W461" i="2"/>
  <c r="BP461" i="3" s="1"/>
  <c r="X10" i="2"/>
  <c r="X11" i="2" s="1"/>
  <c r="W331" i="2"/>
  <c r="W250" i="2"/>
  <c r="BP250" i="3" s="1"/>
  <c r="AW25" i="9"/>
  <c r="X489" i="2"/>
  <c r="X96" i="2"/>
  <c r="BQ9" i="3"/>
  <c r="X92" i="2"/>
  <c r="BP320" i="3"/>
  <c r="W321" i="2"/>
  <c r="W116" i="2"/>
  <c r="AD153" i="3"/>
  <c r="AD154" i="3" s="1"/>
  <c r="AD156" i="3" s="1"/>
  <c r="AD207" i="3"/>
  <c r="BX357" i="3"/>
  <c r="AE121" i="3"/>
  <c r="AD482" i="3"/>
  <c r="W117" i="2" l="1"/>
  <c r="W118" i="2" s="1"/>
  <c r="BP116" i="3"/>
  <c r="X12" i="2"/>
  <c r="W252" i="2"/>
  <c r="BB25" i="9"/>
  <c r="W347" i="2"/>
  <c r="BQ11" i="3"/>
  <c r="G26" i="9"/>
  <c r="G122" i="9" s="1"/>
  <c r="W503" i="2"/>
  <c r="BP501" i="3"/>
  <c r="BP321" i="3"/>
  <c r="X306" i="2"/>
  <c r="H275" i="1"/>
  <c r="A276" i="1" s="1"/>
  <c r="BQ96" i="3"/>
  <c r="X310" i="2"/>
  <c r="BQ310" i="3" s="1"/>
  <c r="AR26" i="9"/>
  <c r="AR122" i="9" s="1"/>
  <c r="AE26" i="9"/>
  <c r="AE122" i="9" s="1"/>
  <c r="BP331" i="3"/>
  <c r="W332" i="2"/>
  <c r="W251" i="2"/>
  <c r="BQ92" i="3"/>
  <c r="X94" i="2"/>
  <c r="BQ489" i="3"/>
  <c r="BQ10" i="3"/>
  <c r="X100" i="2"/>
  <c r="AW121" i="9"/>
  <c r="AY25" i="9"/>
  <c r="AY121" i="9" s="1"/>
  <c r="BP281" i="3"/>
  <c r="AT121" i="9"/>
  <c r="AD159" i="3"/>
  <c r="AD160" i="3" s="1"/>
  <c r="AD161" i="3" s="1"/>
  <c r="AD158" i="3"/>
  <c r="AD162" i="3" s="1"/>
  <c r="AE358" i="3"/>
  <c r="W464" i="2" l="1"/>
  <c r="W177" i="2"/>
  <c r="BP118" i="3"/>
  <c r="W126" i="2"/>
  <c r="W135" i="2" s="1"/>
  <c r="BP332" i="3"/>
  <c r="X324" i="2"/>
  <c r="AN26" i="9"/>
  <c r="AN122" i="9" s="1"/>
  <c r="BQ94" i="3"/>
  <c r="X377" i="5"/>
  <c r="M181" i="1"/>
  <c r="I181" i="1" s="1"/>
  <c r="X456" i="2"/>
  <c r="BQ456" i="3" s="1"/>
  <c r="X293" i="2"/>
  <c r="BQ293" i="3" s="1"/>
  <c r="X491" i="2"/>
  <c r="X308" i="2"/>
  <c r="BQ308" i="3" s="1"/>
  <c r="X29" i="2"/>
  <c r="Y93" i="2"/>
  <c r="BR93" i="3" s="1"/>
  <c r="BP348" i="3"/>
  <c r="W349" i="2"/>
  <c r="BQ12" i="3"/>
  <c r="X110" i="2"/>
  <c r="J80" i="1"/>
  <c r="BP503" i="3"/>
  <c r="W505" i="2"/>
  <c r="BC25" i="9"/>
  <c r="BB121" i="9"/>
  <c r="BQ100" i="3"/>
  <c r="X102" i="2"/>
  <c r="X379" i="5" s="1"/>
  <c r="X383" i="5" s="1"/>
  <c r="BP251" i="3"/>
  <c r="BU25" i="9"/>
  <c r="BU121" i="9" s="1"/>
  <c r="BQ306" i="3"/>
  <c r="BP252" i="3"/>
  <c r="BF25" i="9"/>
  <c r="X13" i="2"/>
  <c r="X14" i="2" s="1"/>
  <c r="BP117" i="3"/>
  <c r="W253" i="2"/>
  <c r="BP253" i="3" s="1"/>
  <c r="W348" i="2"/>
  <c r="W508" i="2"/>
  <c r="AE359" i="3"/>
  <c r="AE122" i="3" s="1"/>
  <c r="AD163" i="3"/>
  <c r="AD165" i="3" s="1"/>
  <c r="AD267" i="3" s="1"/>
  <c r="X313" i="2" l="1"/>
  <c r="X309" i="2"/>
  <c r="BQ309" i="3" s="1"/>
  <c r="W469" i="2"/>
  <c r="BP469" i="3" s="1"/>
  <c r="BO25" i="9"/>
  <c r="W382" i="2"/>
  <c r="X18" i="2"/>
  <c r="BP135" i="3"/>
  <c r="W258" i="2"/>
  <c r="BQ14" i="3"/>
  <c r="H26" i="9"/>
  <c r="H122" i="9" s="1"/>
  <c r="BP508" i="3"/>
  <c r="W510" i="2"/>
  <c r="W350" i="2"/>
  <c r="X336" i="2" s="1"/>
  <c r="BP349" i="3"/>
  <c r="BF121" i="9"/>
  <c r="BG25" i="9"/>
  <c r="BG121" i="9" s="1"/>
  <c r="BC121" i="9"/>
  <c r="X32" i="2"/>
  <c r="BQ110" i="3"/>
  <c r="K184" i="1"/>
  <c r="X337" i="2"/>
  <c r="BQ338" i="3" s="1"/>
  <c r="AZ26" i="9"/>
  <c r="AZ122" i="9" s="1"/>
  <c r="W254" i="2"/>
  <c r="X502" i="2"/>
  <c r="BQ502" i="3" s="1"/>
  <c r="X296" i="2"/>
  <c r="BQ296" i="3" s="1"/>
  <c r="X460" i="2"/>
  <c r="BQ460" i="3" s="1"/>
  <c r="X326" i="2"/>
  <c r="BQ326" i="3" s="1"/>
  <c r="BQ102" i="3"/>
  <c r="AU26" i="9"/>
  <c r="AU122" i="9" s="1"/>
  <c r="M182" i="1"/>
  <c r="X378" i="5"/>
  <c r="BP505" i="3"/>
  <c r="W506" i="2"/>
  <c r="BQ491" i="3"/>
  <c r="X494" i="2"/>
  <c r="BQ494" i="3" s="1"/>
  <c r="X493" i="2"/>
  <c r="BQ324" i="3"/>
  <c r="BQ29" i="3"/>
  <c r="X317" i="2"/>
  <c r="BP177" i="3"/>
  <c r="W282" i="2"/>
  <c r="X111" i="2"/>
  <c r="BQ13" i="3"/>
  <c r="J81" i="1"/>
  <c r="L80" i="1"/>
  <c r="K80" i="1"/>
  <c r="M80" i="1"/>
  <c r="BP350" i="3"/>
  <c r="X335" i="2"/>
  <c r="X176" i="2"/>
  <c r="W363" i="2"/>
  <c r="BI25" i="9"/>
  <c r="BP126" i="3"/>
  <c r="W255" i="2"/>
  <c r="W467" i="2"/>
  <c r="BP467" i="3" s="1"/>
  <c r="X15" i="2"/>
  <c r="BP464" i="3"/>
  <c r="AD166" i="3"/>
  <c r="AD183" i="3"/>
  <c r="AD139" i="5"/>
  <c r="AE360" i="3"/>
  <c r="AE123" i="3"/>
  <c r="W390" i="1" l="1"/>
  <c r="X327" i="2"/>
  <c r="BQ327" i="3" s="1"/>
  <c r="W474" i="2"/>
  <c r="BP474" i="3" s="1"/>
  <c r="N80" i="1"/>
  <c r="X127" i="2"/>
  <c r="J82" i="1"/>
  <c r="X17" i="2"/>
  <c r="BQ15" i="3"/>
  <c r="BD26" i="9"/>
  <c r="BD122" i="9" s="1"/>
  <c r="BQ111" i="3"/>
  <c r="X509" i="2"/>
  <c r="BQ509" i="3" s="1"/>
  <c r="X338" i="2"/>
  <c r="BQ339" i="3" s="1"/>
  <c r="X112" i="2"/>
  <c r="E276" i="1"/>
  <c r="J84" i="1"/>
  <c r="X38" i="2"/>
  <c r="J26" i="9"/>
  <c r="J122" i="9" s="1"/>
  <c r="BQ18" i="3"/>
  <c r="W364" i="2"/>
  <c r="X353" i="2" s="1"/>
  <c r="BP364" i="3"/>
  <c r="K81" i="1"/>
  <c r="M81" i="1"/>
  <c r="L81" i="1"/>
  <c r="BP282" i="3"/>
  <c r="W284" i="2"/>
  <c r="BQ317" i="3"/>
  <c r="X319" i="2"/>
  <c r="BQ319" i="3" s="1"/>
  <c r="BV25" i="9"/>
  <c r="BV121" i="9" s="1"/>
  <c r="BP254" i="3"/>
  <c r="BQ337" i="3"/>
  <c r="BP382" i="3"/>
  <c r="W383" i="2"/>
  <c r="BI121" i="9"/>
  <c r="BL25" i="9"/>
  <c r="W257" i="2"/>
  <c r="BP255" i="3"/>
  <c r="BQ176" i="3"/>
  <c r="X33" i="2"/>
  <c r="X34" i="2" s="1"/>
  <c r="BQ493" i="3"/>
  <c r="X496" i="2"/>
  <c r="W512" i="2"/>
  <c r="BP510" i="3"/>
  <c r="W175" i="5"/>
  <c r="BP258" i="3"/>
  <c r="BX25" i="9"/>
  <c r="BX121" i="9" s="1"/>
  <c r="BP25" i="9"/>
  <c r="BP121" i="9" s="1"/>
  <c r="BO121" i="9"/>
  <c r="W472" i="2"/>
  <c r="BQ336" i="3"/>
  <c r="BQ335" i="3"/>
  <c r="X339" i="2"/>
  <c r="BQ32" i="3"/>
  <c r="X343" i="2"/>
  <c r="BQ344" i="3" s="1"/>
  <c r="AE125" i="3"/>
  <c r="BH81" i="9"/>
  <c r="AE35" i="3"/>
  <c r="AD208" i="3"/>
  <c r="AD184" i="3"/>
  <c r="W476" i="2" l="1"/>
  <c r="W478" i="2" s="1"/>
  <c r="X340" i="2"/>
  <c r="BQ341" i="3" s="1"/>
  <c r="X99" i="2"/>
  <c r="X459" i="2" s="1"/>
  <c r="BQ459" i="3" s="1"/>
  <c r="N81" i="1"/>
  <c r="O26" i="9"/>
  <c r="O122" i="9" s="1"/>
  <c r="BQ34" i="3"/>
  <c r="X113" i="2"/>
  <c r="BQ340" i="3"/>
  <c r="BP476" i="3"/>
  <c r="BP512" i="3"/>
  <c r="W513" i="2"/>
  <c r="BL121" i="9"/>
  <c r="BR25" i="9"/>
  <c r="BR121" i="9" s="1"/>
  <c r="X178" i="2"/>
  <c r="X297" i="2"/>
  <c r="BQ297" i="3" s="1"/>
  <c r="BQ112" i="3"/>
  <c r="X463" i="2"/>
  <c r="BQ463" i="3" s="1"/>
  <c r="X497" i="2"/>
  <c r="BQ496" i="3"/>
  <c r="X379" i="2"/>
  <c r="BQ379" i="3" s="1"/>
  <c r="Q26" i="9"/>
  <c r="Q122" i="9" s="1"/>
  <c r="X173" i="5"/>
  <c r="BQ38" i="3"/>
  <c r="BQ17" i="3"/>
  <c r="I26" i="9"/>
  <c r="I122" i="9" s="1"/>
  <c r="BP383" i="3"/>
  <c r="X377" i="2"/>
  <c r="BQ353" i="3"/>
  <c r="W391" i="1"/>
  <c r="K84" i="1"/>
  <c r="L84" i="1"/>
  <c r="M84" i="1"/>
  <c r="K82" i="1"/>
  <c r="M82" i="1"/>
  <c r="L82" i="1"/>
  <c r="BP472" i="3"/>
  <c r="W28" i="2"/>
  <c r="W400" i="2"/>
  <c r="W402" i="2"/>
  <c r="W399" i="2"/>
  <c r="W401" i="2"/>
  <c r="X344" i="2"/>
  <c r="BQ345" i="3" s="1"/>
  <c r="BQ33" i="3"/>
  <c r="BP257" i="3"/>
  <c r="BW25" i="9"/>
  <c r="BW121" i="9" s="1"/>
  <c r="BP284" i="3"/>
  <c r="V359" i="1"/>
  <c r="BK26" i="9"/>
  <c r="BK122" i="9" s="1"/>
  <c r="BQ127" i="3"/>
  <c r="X355" i="2"/>
  <c r="BQ355" i="3" s="1"/>
  <c r="AG26" i="9"/>
  <c r="AG122" i="9" s="1"/>
  <c r="AD212" i="3"/>
  <c r="AE361" i="3"/>
  <c r="AE37" i="3"/>
  <c r="AD95" i="4"/>
  <c r="AD191" i="3"/>
  <c r="AD193" i="3" s="1"/>
  <c r="AD266" i="3"/>
  <c r="AD270" i="3" s="1"/>
  <c r="AD330" i="5"/>
  <c r="AD398" i="5"/>
  <c r="AE466" i="3"/>
  <c r="AE299" i="3"/>
  <c r="X114" i="2" l="1"/>
  <c r="BQ114" i="3" s="1"/>
  <c r="AV26" i="9"/>
  <c r="AV122" i="9" s="1"/>
  <c r="X295" i="2"/>
  <c r="BQ295" i="3" s="1"/>
  <c r="BQ99" i="3"/>
  <c r="K182" i="1"/>
  <c r="I182" i="1" s="1"/>
  <c r="X30" i="2"/>
  <c r="X329" i="2" s="1"/>
  <c r="X328" i="2"/>
  <c r="BQ328" i="3" s="1"/>
  <c r="Y101" i="2"/>
  <c r="BR101" i="3" s="1"/>
  <c r="N82" i="1"/>
  <c r="N84" i="1"/>
  <c r="BP402" i="3"/>
  <c r="W411" i="2"/>
  <c r="BQ497" i="3"/>
  <c r="X498" i="2"/>
  <c r="BQ498" i="3" s="1"/>
  <c r="BQ377" i="3"/>
  <c r="X381" i="2"/>
  <c r="BQ381" i="3" s="1"/>
  <c r="BQ178" i="3"/>
  <c r="W357" i="1"/>
  <c r="X341" i="2"/>
  <c r="BA26" i="9"/>
  <c r="BA122" i="9" s="1"/>
  <c r="BQ113" i="3"/>
  <c r="BP401" i="3"/>
  <c r="W410" i="2"/>
  <c r="W438" i="2"/>
  <c r="W139" i="2"/>
  <c r="BP139" i="3" s="1"/>
  <c r="M25" i="9"/>
  <c r="W241" i="2"/>
  <c r="BP241" i="3" s="1"/>
  <c r="W11" i="5"/>
  <c r="W207" i="5" s="1"/>
  <c r="BP28" i="3"/>
  <c r="W390" i="5"/>
  <c r="W169" i="2"/>
  <c r="W71" i="2"/>
  <c r="BP478" i="3"/>
  <c r="W480" i="2"/>
  <c r="BP400" i="3"/>
  <c r="W409" i="2"/>
  <c r="BP399" i="3"/>
  <c r="W403" i="2"/>
  <c r="BP403" i="3" s="1"/>
  <c r="W408" i="2"/>
  <c r="X357" i="2"/>
  <c r="AD64" i="4"/>
  <c r="AF65" i="4" s="1"/>
  <c r="AD331" i="5"/>
  <c r="AE440" i="3"/>
  <c r="P81" i="9"/>
  <c r="AD198" i="3"/>
  <c r="AD200" i="3"/>
  <c r="AD196" i="3"/>
  <c r="AD197" i="3"/>
  <c r="AD199" i="3"/>
  <c r="AD195" i="3"/>
  <c r="AD201" i="3"/>
  <c r="AE362" i="3"/>
  <c r="AD225" i="3"/>
  <c r="AD218" i="3"/>
  <c r="X115" i="2" l="1"/>
  <c r="X462" i="2" s="1"/>
  <c r="BQ462" i="3" s="1"/>
  <c r="BE26" i="9"/>
  <c r="BE122" i="9" s="1"/>
  <c r="X342" i="2"/>
  <c r="X346" i="2" s="1"/>
  <c r="BQ347" i="3" s="1"/>
  <c r="BQ329" i="3"/>
  <c r="X330" i="2"/>
  <c r="BQ330" i="3" s="1"/>
  <c r="X31" i="2"/>
  <c r="N26" i="9" s="1"/>
  <c r="N122" i="9" s="1"/>
  <c r="BQ30" i="3"/>
  <c r="BP480" i="3"/>
  <c r="W481" i="2"/>
  <c r="BP169" i="3"/>
  <c r="V354" i="1"/>
  <c r="BP410" i="3"/>
  <c r="W417" i="2"/>
  <c r="BQ342" i="3"/>
  <c r="X345" i="2"/>
  <c r="BQ346" i="3" s="1"/>
  <c r="BQ358" i="3"/>
  <c r="X121" i="2"/>
  <c r="BP409" i="3"/>
  <c r="W416" i="2"/>
  <c r="BP416" i="3" s="1"/>
  <c r="W391" i="5"/>
  <c r="W395" i="5" s="1"/>
  <c r="W394" i="5"/>
  <c r="M121" i="9"/>
  <c r="W25" i="9"/>
  <c r="BQ343" i="3"/>
  <c r="W415" i="2"/>
  <c r="BP408" i="3"/>
  <c r="W412" i="2"/>
  <c r="W418" i="2"/>
  <c r="BP418" i="3" s="1"/>
  <c r="BP411" i="3"/>
  <c r="W386" i="5"/>
  <c r="W388" i="5" s="1"/>
  <c r="BP71" i="3"/>
  <c r="V368" i="1"/>
  <c r="BP438" i="3"/>
  <c r="W444" i="2"/>
  <c r="BP444" i="3" s="1"/>
  <c r="AD222" i="3"/>
  <c r="AD221" i="3"/>
  <c r="AD220" i="3"/>
  <c r="AD325" i="4"/>
  <c r="BW282" i="1"/>
  <c r="R329" i="1"/>
  <c r="AD323" i="4"/>
  <c r="BU282" i="1"/>
  <c r="P329" i="1"/>
  <c r="AD324" i="4"/>
  <c r="BV282" i="1"/>
  <c r="Q329" i="1"/>
  <c r="AF70" i="4"/>
  <c r="AF68" i="4"/>
  <c r="AF67" i="4"/>
  <c r="AF69" i="4"/>
  <c r="AF71" i="4"/>
  <c r="AD204" i="3"/>
  <c r="AD515" i="3" s="1"/>
  <c r="T329" i="1"/>
  <c r="AD322" i="4"/>
  <c r="O329" i="1"/>
  <c r="BT282" i="1"/>
  <c r="AD321" i="4"/>
  <c r="AD202" i="3"/>
  <c r="BS282" i="1"/>
  <c r="N329" i="1"/>
  <c r="AD326" i="4"/>
  <c r="S329" i="1"/>
  <c r="BX282" i="1"/>
  <c r="X298" i="2" l="1"/>
  <c r="BQ298" i="3" s="1"/>
  <c r="W121" i="9"/>
  <c r="X439" i="2"/>
  <c r="BQ439" i="3" s="1"/>
  <c r="BQ115" i="3"/>
  <c r="BQ31" i="3"/>
  <c r="M183" i="1"/>
  <c r="I183" i="1" s="1"/>
  <c r="BP412" i="3"/>
  <c r="W413" i="2"/>
  <c r="BP415" i="3"/>
  <c r="W419" i="2"/>
  <c r="BQ121" i="3"/>
  <c r="X358" i="2"/>
  <c r="W170" i="2"/>
  <c r="BP417" i="3"/>
  <c r="BP481" i="3"/>
  <c r="W482" i="2"/>
  <c r="BP482" i="3" s="1"/>
  <c r="AF72" i="4"/>
  <c r="AF272" i="3" s="1"/>
  <c r="AD223" i="3"/>
  <c r="AD227" i="3" s="1"/>
  <c r="AD334" i="5" s="1"/>
  <c r="M329" i="1"/>
  <c r="BN282" i="1"/>
  <c r="U282" i="1"/>
  <c r="V282" i="1"/>
  <c r="BO282" i="1"/>
  <c r="AD332" i="5"/>
  <c r="AD203" i="3"/>
  <c r="BQ282" i="1"/>
  <c r="X282" i="1"/>
  <c r="BL282" i="1"/>
  <c r="S282" i="1"/>
  <c r="BM282" i="1"/>
  <c r="T282" i="1"/>
  <c r="BP282" i="1"/>
  <c r="W282" i="1"/>
  <c r="AF73" i="4" l="1"/>
  <c r="AF74" i="4"/>
  <c r="AD422" i="3"/>
  <c r="AD424" i="3" s="1"/>
  <c r="AD228" i="3"/>
  <c r="AD484" i="3"/>
  <c r="AD485" i="3" s="1"/>
  <c r="W268" i="2"/>
  <c r="BP268" i="3" s="1"/>
  <c r="V355" i="1"/>
  <c r="W210" i="2"/>
  <c r="BP170" i="3"/>
  <c r="W192" i="2"/>
  <c r="W171" i="2"/>
  <c r="W182" i="2" s="1"/>
  <c r="BP419" i="3"/>
  <c r="W420" i="2"/>
  <c r="BP420" i="3" s="1"/>
  <c r="BQ359" i="3"/>
  <c r="X359" i="2"/>
  <c r="AD145" i="3"/>
  <c r="AE302" i="3" s="1"/>
  <c r="U329" i="1"/>
  <c r="R282" i="1"/>
  <c r="BK282" i="1"/>
  <c r="AD333" i="5"/>
  <c r="AD516" i="3"/>
  <c r="AD425" i="3" l="1"/>
  <c r="AD229" i="3"/>
  <c r="AD335" i="5" s="1"/>
  <c r="AD146" i="3"/>
  <c r="AD129" i="5" s="1"/>
  <c r="AD244" i="3"/>
  <c r="AD245" i="3" s="1"/>
  <c r="AD260" i="3" s="1"/>
  <c r="Z80" i="9"/>
  <c r="AJ80" i="9" s="1"/>
  <c r="AL80" i="9" s="1"/>
  <c r="AD197" i="5"/>
  <c r="AD198" i="5" s="1"/>
  <c r="AD199" i="5" s="1"/>
  <c r="AD200" i="5" s="1"/>
  <c r="BP192" i="3"/>
  <c r="V366" i="1"/>
  <c r="AD148" i="3"/>
  <c r="AE8" i="3" s="1"/>
  <c r="BQ360" i="3"/>
  <c r="X122" i="2"/>
  <c r="BP182" i="3"/>
  <c r="W207" i="2"/>
  <c r="W153" i="2"/>
  <c r="BP210" i="3"/>
  <c r="V380" i="1"/>
  <c r="BP171" i="3"/>
  <c r="V356" i="1"/>
  <c r="V361" i="1" s="1"/>
  <c r="AD248" i="3" l="1"/>
  <c r="BT80" i="9" s="1"/>
  <c r="BY80" i="9" s="1"/>
  <c r="W154" i="2"/>
  <c r="BP153" i="3"/>
  <c r="BP207" i="3"/>
  <c r="W212" i="2"/>
  <c r="BQ122" i="3"/>
  <c r="X360" i="2"/>
  <c r="X123" i="2"/>
  <c r="AD486" i="3"/>
  <c r="AE450" i="3"/>
  <c r="AE447" i="3"/>
  <c r="AE390" i="3"/>
  <c r="AE84" i="3"/>
  <c r="AE19" i="3"/>
  <c r="AE20" i="3"/>
  <c r="F81" i="9"/>
  <c r="K81" i="9" s="1"/>
  <c r="AE373" i="5"/>
  <c r="AD259" i="3" l="1"/>
  <c r="AD369" i="5" s="1"/>
  <c r="BH26" i="9"/>
  <c r="BH122" i="9" s="1"/>
  <c r="BQ123" i="3"/>
  <c r="X125" i="2"/>
  <c r="X35" i="2"/>
  <c r="W225" i="2"/>
  <c r="BP225" i="3" s="1"/>
  <c r="W218" i="2"/>
  <c r="BP212" i="3"/>
  <c r="BQ361" i="3"/>
  <c r="BP154" i="3"/>
  <c r="W156" i="2"/>
  <c r="AE232" i="3"/>
  <c r="AD261" i="3"/>
  <c r="AD262" i="3" s="1"/>
  <c r="AE190" i="5"/>
  <c r="AE365" i="5"/>
  <c r="AE393" i="3"/>
  <c r="AE391" i="3"/>
  <c r="AE394" i="3"/>
  <c r="AE392" i="3"/>
  <c r="AE238" i="3"/>
  <c r="AE85" i="3"/>
  <c r="AE195" i="5"/>
  <c r="AD393" i="5"/>
  <c r="X361" i="2" l="1"/>
  <c r="X37" i="2"/>
  <c r="BQ35" i="3"/>
  <c r="BP156" i="3"/>
  <c r="W158" i="2"/>
  <c r="W159" i="2"/>
  <c r="X299" i="2"/>
  <c r="BQ299" i="3" s="1"/>
  <c r="X466" i="2"/>
  <c r="BQ466" i="3" s="1"/>
  <c r="BQ125" i="3"/>
  <c r="W221" i="2"/>
  <c r="BP221" i="3" s="1"/>
  <c r="W220" i="2"/>
  <c r="W222" i="2"/>
  <c r="BP222" i="3" s="1"/>
  <c r="BP218" i="3"/>
  <c r="AE240" i="3"/>
  <c r="AD81" i="9"/>
  <c r="AE395" i="3"/>
  <c r="AE470" i="3"/>
  <c r="AE290" i="3"/>
  <c r="AE287" i="3"/>
  <c r="AE303" i="3" s="1"/>
  <c r="W223" i="2" l="1"/>
  <c r="BP220" i="3"/>
  <c r="BP159" i="3"/>
  <c r="W160" i="2"/>
  <c r="BQ37" i="3"/>
  <c r="P26" i="9"/>
  <c r="P122" i="9" s="1"/>
  <c r="X440" i="2"/>
  <c r="BQ440" i="3" s="1"/>
  <c r="BP158" i="3"/>
  <c r="W162" i="2"/>
  <c r="BP162" i="3" s="1"/>
  <c r="BQ356" i="3"/>
  <c r="BQ362" i="3"/>
  <c r="X362" i="2"/>
  <c r="BQ363" i="3" s="1"/>
  <c r="AE95" i="3"/>
  <c r="AE396" i="3"/>
  <c r="AE405" i="3"/>
  <c r="AI81" i="9"/>
  <c r="BP160" i="3" l="1"/>
  <c r="W161" i="2"/>
  <c r="W227" i="2"/>
  <c r="BP223" i="3"/>
  <c r="AE457" i="3"/>
  <c r="AE320" i="3"/>
  <c r="AE321" i="3" s="1"/>
  <c r="AF306" i="3" s="1"/>
  <c r="AQ81" i="9"/>
  <c r="AT81" i="9" s="1"/>
  <c r="AE249" i="3"/>
  <c r="AF9" i="3"/>
  <c r="AE103" i="3"/>
  <c r="BP227" i="3" l="1"/>
  <c r="V371" i="1"/>
  <c r="W89" i="5"/>
  <c r="W345" i="5" s="1"/>
  <c r="V393" i="1"/>
  <c r="V385" i="1"/>
  <c r="W228" i="2"/>
  <c r="BP228" i="3" s="1"/>
  <c r="BP161" i="3"/>
  <c r="W163" i="2"/>
  <c r="AE461" i="3"/>
  <c r="AE331" i="3"/>
  <c r="AE332" i="3" s="1"/>
  <c r="AF324" i="3" s="1"/>
  <c r="AW81" i="9"/>
  <c r="AY81" i="9" s="1"/>
  <c r="AE501" i="3"/>
  <c r="AE503" i="3" s="1"/>
  <c r="AE505" i="3" s="1"/>
  <c r="AE506" i="3" s="1"/>
  <c r="AF10" i="3"/>
  <c r="AF11" i="3" s="1"/>
  <c r="G82" i="9" s="1"/>
  <c r="AE250" i="3"/>
  <c r="AE251" i="3" s="1"/>
  <c r="BU81" i="9" s="1"/>
  <c r="AE116" i="3"/>
  <c r="AE117" i="3" s="1"/>
  <c r="AE175" i="3"/>
  <c r="AE281" i="3" s="1"/>
  <c r="AF489" i="3"/>
  <c r="AF96" i="3"/>
  <c r="AF93" i="3"/>
  <c r="AF94" i="3" s="1"/>
  <c r="W165" i="2" l="1"/>
  <c r="W267" i="2" s="1"/>
  <c r="BP163" i="3"/>
  <c r="AF310" i="3"/>
  <c r="AE82" i="9"/>
  <c r="AR82" i="9"/>
  <c r="AF456" i="3"/>
  <c r="AF308" i="3"/>
  <c r="AF293" i="3"/>
  <c r="AF405" i="5"/>
  <c r="AF406" i="5" s="1"/>
  <c r="AF380" i="5"/>
  <c r="AN82" i="9"/>
  <c r="AF491" i="3"/>
  <c r="AF493" i="3" s="1"/>
  <c r="AF494" i="3" s="1"/>
  <c r="AE348" i="3"/>
  <c r="AE350" i="3" s="1"/>
  <c r="AF336" i="3" s="1"/>
  <c r="BF81" i="9"/>
  <c r="BG81" i="9" s="1"/>
  <c r="AE253" i="3"/>
  <c r="AF13" i="3"/>
  <c r="AE508" i="3"/>
  <c r="AE510" i="3" s="1"/>
  <c r="AE512" i="3" s="1"/>
  <c r="AE513" i="3" s="1"/>
  <c r="AF29" i="3"/>
  <c r="AG92" i="3"/>
  <c r="AE347" i="3"/>
  <c r="AE349" i="3" s="1"/>
  <c r="AF335" i="3" s="1"/>
  <c r="AE118" i="3"/>
  <c r="AE126" i="3" s="1"/>
  <c r="BB81" i="9"/>
  <c r="BC81" i="9" s="1"/>
  <c r="AE252" i="3"/>
  <c r="AF12" i="3"/>
  <c r="AF100" i="3"/>
  <c r="AF102" i="3" s="1"/>
  <c r="AE254" i="3" l="1"/>
  <c r="BV81" i="9" s="1"/>
  <c r="W183" i="2"/>
  <c r="BP165" i="3"/>
  <c r="W166" i="2"/>
  <c r="BP166" i="3" s="1"/>
  <c r="BP267" i="3"/>
  <c r="W112" i="5"/>
  <c r="W140" i="5" s="1"/>
  <c r="AF502" i="3"/>
  <c r="AF460" i="3"/>
  <c r="AF326" i="3"/>
  <c r="AF296" i="3"/>
  <c r="AF381" i="5"/>
  <c r="AU82" i="9"/>
  <c r="AE464" i="3"/>
  <c r="AE177" i="3"/>
  <c r="AE282" i="3" s="1"/>
  <c r="AE284" i="3" s="1"/>
  <c r="AF317" i="3"/>
  <c r="AF319" i="3" s="1"/>
  <c r="AF382" i="5"/>
  <c r="AF309" i="3"/>
  <c r="AF110" i="3"/>
  <c r="AF32" i="3" s="1"/>
  <c r="AF14" i="3"/>
  <c r="H82" i="9" s="1"/>
  <c r="AF408" i="5"/>
  <c r="AF496" i="3"/>
  <c r="AF497" i="3" s="1"/>
  <c r="AF498" i="3" s="1"/>
  <c r="AF111" i="3"/>
  <c r="AF33" i="3" s="1"/>
  <c r="AF176" i="3"/>
  <c r="BP183" i="3" l="1"/>
  <c r="V363" i="1"/>
  <c r="V364" i="1" s="1"/>
  <c r="V375" i="1"/>
  <c r="W184" i="2"/>
  <c r="AF344" i="3"/>
  <c r="AF327" i="3"/>
  <c r="AF99" i="3" s="1"/>
  <c r="AE467" i="3"/>
  <c r="AE472" i="3" s="1"/>
  <c r="AE363" i="3"/>
  <c r="AE364" i="3" s="1"/>
  <c r="AF353" i="3" s="1"/>
  <c r="BI81" i="9"/>
  <c r="BL81" i="9" s="1"/>
  <c r="BR81" i="9" s="1"/>
  <c r="AF15" i="3"/>
  <c r="AE255" i="3"/>
  <c r="AE257" i="3" s="1"/>
  <c r="BW81" i="9" s="1"/>
  <c r="AF343" i="3"/>
  <c r="AF34" i="3"/>
  <c r="O82" i="9" s="1"/>
  <c r="AF337" i="3"/>
  <c r="AF112" i="3"/>
  <c r="AZ82" i="9"/>
  <c r="AF509" i="3"/>
  <c r="E509" i="3" s="1"/>
  <c r="AF338" i="3"/>
  <c r="BD82" i="9"/>
  <c r="BD96" i="9" s="1"/>
  <c r="E111" i="3"/>
  <c r="AE474" i="3" l="1"/>
  <c r="AE476" i="3" s="1"/>
  <c r="AE478" i="3" s="1"/>
  <c r="W397" i="5"/>
  <c r="W94" i="4"/>
  <c r="W85" i="5"/>
  <c r="W342" i="5" s="1"/>
  <c r="BP184" i="3"/>
  <c r="W191" i="2"/>
  <c r="W266" i="2"/>
  <c r="W399" i="5"/>
  <c r="V374" i="1"/>
  <c r="V377" i="1" s="1"/>
  <c r="V382" i="1" s="1"/>
  <c r="V384" i="1" s="1"/>
  <c r="V386" i="1" s="1"/>
  <c r="V367" i="1"/>
  <c r="AF459" i="3"/>
  <c r="AF328" i="3"/>
  <c r="AF295" i="3"/>
  <c r="AV82" i="9"/>
  <c r="AF30" i="3"/>
  <c r="AG101" i="3"/>
  <c r="E338" i="3"/>
  <c r="AF340" i="3"/>
  <c r="AF114" i="3" s="1"/>
  <c r="AF463" i="3"/>
  <c r="AF297" i="3"/>
  <c r="AF178" i="3"/>
  <c r="AE28" i="3"/>
  <c r="AE402" i="3"/>
  <c r="AE411" i="3" s="1"/>
  <c r="AE418" i="3" s="1"/>
  <c r="AE401" i="3"/>
  <c r="AE410" i="3" s="1"/>
  <c r="AE417" i="3" s="1"/>
  <c r="AE170" i="3" s="1"/>
  <c r="AE400" i="3"/>
  <c r="AE409" i="3" s="1"/>
  <c r="AE416" i="3" s="1"/>
  <c r="AE399" i="3"/>
  <c r="AF127" i="3"/>
  <c r="AF17" i="3"/>
  <c r="I82" i="9" s="1"/>
  <c r="AF339" i="3"/>
  <c r="AF113" i="3" s="1"/>
  <c r="AU111" i="2"/>
  <c r="W271" i="2" l="1"/>
  <c r="W86" i="4" s="1"/>
  <c r="W270" i="2"/>
  <c r="W193" i="2"/>
  <c r="BP191" i="3"/>
  <c r="BP266" i="3"/>
  <c r="AE268" i="3"/>
  <c r="AE210" i="3"/>
  <c r="AF342" i="3"/>
  <c r="AF346" i="3" s="1"/>
  <c r="BE82" i="9"/>
  <c r="AE480" i="3"/>
  <c r="AF355" i="3"/>
  <c r="BK82" i="9"/>
  <c r="AG82" i="9"/>
  <c r="AE403" i="3"/>
  <c r="AE408" i="3"/>
  <c r="AE438" i="3"/>
  <c r="AE444" i="3" s="1"/>
  <c r="AE169" i="3"/>
  <c r="AE241" i="3"/>
  <c r="AE139" i="3"/>
  <c r="AE71" i="3"/>
  <c r="AE191" i="5"/>
  <c r="M81" i="9"/>
  <c r="W81" i="9" s="1"/>
  <c r="AE392" i="5"/>
  <c r="AU338" i="2"/>
  <c r="AF341" i="3"/>
  <c r="AF345" i="3" s="1"/>
  <c r="AF115" i="3"/>
  <c r="BA82" i="9"/>
  <c r="AF329" i="3"/>
  <c r="AF330" i="3" s="1"/>
  <c r="AF31" i="3"/>
  <c r="BP270" i="3" l="1"/>
  <c r="W86" i="5"/>
  <c r="W343" i="5" s="1"/>
  <c r="W32" i="4"/>
  <c r="Y33" i="4" s="1"/>
  <c r="W197" i="2"/>
  <c r="W199" i="2"/>
  <c r="BP193" i="3"/>
  <c r="W196" i="2"/>
  <c r="W198" i="2"/>
  <c r="W195" i="2"/>
  <c r="W201" i="2"/>
  <c r="W200" i="2"/>
  <c r="AF439" i="3"/>
  <c r="N82" i="9"/>
  <c r="AF357" i="3"/>
  <c r="AE412" i="3"/>
  <c r="AE413" i="3" s="1"/>
  <c r="AE415" i="3"/>
  <c r="AE419" i="3" s="1"/>
  <c r="AE420" i="3" s="1"/>
  <c r="AF462" i="3"/>
  <c r="AF298" i="3"/>
  <c r="AE192" i="3"/>
  <c r="AE171" i="3"/>
  <c r="AE182" i="3" s="1"/>
  <c r="AE387" i="5"/>
  <c r="AE481" i="3"/>
  <c r="I322" i="1" l="1"/>
  <c r="W318" i="4"/>
  <c r="P275" i="1" s="1"/>
  <c r="BP200" i="3"/>
  <c r="E322" i="1"/>
  <c r="W314" i="4"/>
  <c r="L275" i="1" s="1"/>
  <c r="BP196" i="3"/>
  <c r="Y55" i="4"/>
  <c r="Y57" i="4"/>
  <c r="Y58" i="4"/>
  <c r="Y56" i="4"/>
  <c r="Y54" i="4"/>
  <c r="BP201" i="3"/>
  <c r="W204" i="2"/>
  <c r="J322" i="1"/>
  <c r="W313" i="4"/>
  <c r="K275" i="1" s="1"/>
  <c r="BP195" i="3"/>
  <c r="W202" i="2"/>
  <c r="D322" i="1"/>
  <c r="H322" i="1"/>
  <c r="W317" i="4"/>
  <c r="O275" i="1" s="1"/>
  <c r="BP199" i="3"/>
  <c r="BP198" i="3"/>
  <c r="G322" i="1"/>
  <c r="W316" i="4"/>
  <c r="N275" i="1" s="1"/>
  <c r="W315" i="4"/>
  <c r="M275" i="1" s="1"/>
  <c r="BP197" i="3"/>
  <c r="F322" i="1"/>
  <c r="AE207" i="3"/>
  <c r="AE153" i="3"/>
  <c r="AE154" i="3" s="1"/>
  <c r="AE156" i="3" s="1"/>
  <c r="BY357" i="3"/>
  <c r="AF121" i="3"/>
  <c r="AE482" i="3"/>
  <c r="Y59" i="4" l="1"/>
  <c r="C322" i="1"/>
  <c r="K322" i="1" s="1"/>
  <c r="W484" i="2"/>
  <c r="W145" i="2"/>
  <c r="W422" i="2"/>
  <c r="W87" i="5"/>
  <c r="W344" i="5" s="1"/>
  <c r="BP202" i="3"/>
  <c r="V370" i="1"/>
  <c r="V372" i="1" s="1"/>
  <c r="W203" i="2"/>
  <c r="W515" i="2"/>
  <c r="BP515" i="3" s="1"/>
  <c r="BP204" i="3"/>
  <c r="V394" i="1"/>
  <c r="AE158" i="3"/>
  <c r="AE162" i="3" s="1"/>
  <c r="AE159" i="3"/>
  <c r="AE160" i="3" s="1"/>
  <c r="AE161" i="3" s="1"/>
  <c r="AF358" i="3"/>
  <c r="Y61" i="4" l="1"/>
  <c r="Y272" i="2"/>
  <c r="X302" i="2"/>
  <c r="BQ302" i="3" s="1"/>
  <c r="W17" i="5"/>
  <c r="W244" i="2"/>
  <c r="W146" i="2"/>
  <c r="BP145" i="3"/>
  <c r="Z25" i="9"/>
  <c r="W229" i="2"/>
  <c r="W148" i="2"/>
  <c r="BP484" i="3"/>
  <c r="W485" i="2"/>
  <c r="BP203" i="3"/>
  <c r="W516" i="2"/>
  <c r="J275" i="1"/>
  <c r="W88" i="5"/>
  <c r="BP422" i="3"/>
  <c r="W424" i="2"/>
  <c r="BP424" i="3" s="1"/>
  <c r="Y60" i="4"/>
  <c r="AE163" i="3"/>
  <c r="AE165" i="3" s="1"/>
  <c r="AE267" i="3" s="1"/>
  <c r="AF359" i="3"/>
  <c r="AF122" i="3" s="1"/>
  <c r="W90" i="5" l="1"/>
  <c r="W346" i="5" s="1"/>
  <c r="BP229" i="3"/>
  <c r="W245" i="2"/>
  <c r="BP244" i="3"/>
  <c r="BP485" i="3"/>
  <c r="W425" i="2"/>
  <c r="BP425" i="3" s="1"/>
  <c r="Z121" i="9"/>
  <c r="AJ25" i="9"/>
  <c r="AL25" i="9" s="1"/>
  <c r="W213" i="5"/>
  <c r="W18" i="5"/>
  <c r="BP516" i="3"/>
  <c r="W384" i="5"/>
  <c r="W248" i="2"/>
  <c r="X8" i="2"/>
  <c r="BP148" i="3"/>
  <c r="W109" i="5"/>
  <c r="BP146" i="3"/>
  <c r="AF360" i="3"/>
  <c r="AF123" i="3"/>
  <c r="AE183" i="3"/>
  <c r="AE166" i="3"/>
  <c r="AE139" i="5"/>
  <c r="AL121" i="9" l="1"/>
  <c r="AJ121" i="9"/>
  <c r="W260" i="2"/>
  <c r="BP245" i="3"/>
  <c r="V373" i="1"/>
  <c r="X450" i="2"/>
  <c r="X372" i="5"/>
  <c r="X374" i="5" s="1"/>
  <c r="J79" i="1"/>
  <c r="W486" i="2"/>
  <c r="BP486" i="3" s="1"/>
  <c r="BQ8" i="3"/>
  <c r="X447" i="2"/>
  <c r="X84" i="2"/>
  <c r="I276" i="1"/>
  <c r="X19" i="2"/>
  <c r="X390" i="2"/>
  <c r="X20" i="2"/>
  <c r="W389" i="1"/>
  <c r="F26" i="9"/>
  <c r="W19" i="5"/>
  <c r="W214" i="5"/>
  <c r="BP248" i="3"/>
  <c r="W259" i="2"/>
  <c r="BT25" i="9"/>
  <c r="AF125" i="3"/>
  <c r="BH82" i="9"/>
  <c r="AF35" i="3"/>
  <c r="AE208" i="3"/>
  <c r="AE212" i="3" s="1"/>
  <c r="AE184" i="3"/>
  <c r="BP259" i="3" l="1"/>
  <c r="W368" i="5"/>
  <c r="W370" i="5" s="1"/>
  <c r="W144" i="5" s="1"/>
  <c r="X85" i="2"/>
  <c r="X15" i="5"/>
  <c r="X212" i="5" s="1"/>
  <c r="BQ84" i="3"/>
  <c r="X238" i="2"/>
  <c r="J85" i="1"/>
  <c r="G85" i="1"/>
  <c r="K79" i="1"/>
  <c r="K85" i="1" s="1"/>
  <c r="M79" i="1"/>
  <c r="M85" i="1" s="1"/>
  <c r="F85" i="1"/>
  <c r="L79" i="1"/>
  <c r="L85" i="1" s="1"/>
  <c r="H85" i="1"/>
  <c r="E85" i="1"/>
  <c r="X394" i="2"/>
  <c r="BQ390" i="3"/>
  <c r="X391" i="2"/>
  <c r="X392" i="2"/>
  <c r="X393" i="2"/>
  <c r="BQ447" i="3"/>
  <c r="BP260" i="3"/>
  <c r="W20" i="5"/>
  <c r="W215" i="5"/>
  <c r="F122" i="9"/>
  <c r="K26" i="9"/>
  <c r="BQ19" i="3"/>
  <c r="X10" i="5"/>
  <c r="X206" i="5" s="1"/>
  <c r="W261" i="2"/>
  <c r="BP261" i="3" s="1"/>
  <c r="X364" i="5"/>
  <c r="X366" i="5" s="1"/>
  <c r="X232" i="2"/>
  <c r="BQ232" i="3" s="1"/>
  <c r="BQ450" i="3"/>
  <c r="BY25" i="9"/>
  <c r="BY121" i="9" s="1"/>
  <c r="BT121" i="9"/>
  <c r="AE95" i="4"/>
  <c r="AE266" i="3"/>
  <c r="AE270" i="3" s="1"/>
  <c r="AE191" i="3"/>
  <c r="AE193" i="3" s="1"/>
  <c r="AE330" i="5"/>
  <c r="AE398" i="5"/>
  <c r="AE218" i="3"/>
  <c r="AE225" i="3"/>
  <c r="AF466" i="3"/>
  <c r="AF299" i="3"/>
  <c r="AF361" i="3"/>
  <c r="AF37" i="3"/>
  <c r="K122" i="9" l="1"/>
  <c r="F86" i="1"/>
  <c r="E503" i="1" s="1"/>
  <c r="F503" i="1" s="1"/>
  <c r="E86" i="1"/>
  <c r="E496" i="1" s="1"/>
  <c r="F496" i="1" s="1"/>
  <c r="G86" i="1"/>
  <c r="E510" i="1" s="1"/>
  <c r="F510" i="1" s="1"/>
  <c r="W262" i="2"/>
  <c r="BQ393" i="3"/>
  <c r="BQ394" i="3"/>
  <c r="BQ392" i="3"/>
  <c r="N79" i="1"/>
  <c r="N85" i="1" s="1"/>
  <c r="BQ85" i="3"/>
  <c r="X290" i="2"/>
  <c r="BQ290" i="3" s="1"/>
  <c r="X470" i="2"/>
  <c r="BQ470" i="3" s="1"/>
  <c r="X287" i="2"/>
  <c r="X395" i="2"/>
  <c r="BQ391" i="3"/>
  <c r="X240" i="2"/>
  <c r="AD26" i="9"/>
  <c r="AD122" i="9" s="1"/>
  <c r="BQ238" i="3"/>
  <c r="AE222" i="3"/>
  <c r="AE221" i="3"/>
  <c r="AE220" i="3"/>
  <c r="AF440" i="3"/>
  <c r="P82" i="9"/>
  <c r="AF362" i="3"/>
  <c r="AE201" i="3"/>
  <c r="AE197" i="3"/>
  <c r="AE199" i="3"/>
  <c r="AE195" i="3"/>
  <c r="AE198" i="3"/>
  <c r="AE200" i="3"/>
  <c r="AE196" i="3"/>
  <c r="AE64" i="4"/>
  <c r="AG65" i="4" s="1"/>
  <c r="AE331" i="5"/>
  <c r="H86" i="1" l="1"/>
  <c r="I86" i="1" s="1"/>
  <c r="X405" i="2"/>
  <c r="BQ405" i="3" s="1"/>
  <c r="X396" i="2"/>
  <c r="BQ396" i="3" s="1"/>
  <c r="BQ395" i="3"/>
  <c r="BQ287" i="3"/>
  <c r="X303" i="2"/>
  <c r="BQ240" i="3"/>
  <c r="AI26" i="9"/>
  <c r="AI122" i="9" s="1"/>
  <c r="AE324" i="4"/>
  <c r="Q330" i="1"/>
  <c r="BV283" i="1"/>
  <c r="AE204" i="3"/>
  <c r="AE515" i="3" s="1"/>
  <c r="T330" i="1"/>
  <c r="AE322" i="4"/>
  <c r="O330" i="1"/>
  <c r="BT283" i="1"/>
  <c r="AE321" i="4"/>
  <c r="AE202" i="3"/>
  <c r="N330" i="1"/>
  <c r="BS283" i="1"/>
  <c r="AG69" i="4"/>
  <c r="AG67" i="4"/>
  <c r="AG70" i="4"/>
  <c r="AG68" i="4"/>
  <c r="AG71" i="4"/>
  <c r="AE326" i="4"/>
  <c r="S330" i="1"/>
  <c r="BX283" i="1"/>
  <c r="AE325" i="4"/>
  <c r="R330" i="1"/>
  <c r="BW283" i="1"/>
  <c r="AE323" i="4"/>
  <c r="P330" i="1"/>
  <c r="BU283" i="1"/>
  <c r="AE223" i="3"/>
  <c r="AE227" i="3" s="1"/>
  <c r="BQ303" i="3" l="1"/>
  <c r="X95" i="2"/>
  <c r="X103" i="2" s="1"/>
  <c r="AG72" i="4"/>
  <c r="BN283" i="1"/>
  <c r="U283" i="1"/>
  <c r="BQ283" i="1"/>
  <c r="X283" i="1"/>
  <c r="M330" i="1"/>
  <c r="U330" i="1" s="1"/>
  <c r="AE484" i="3"/>
  <c r="AE485" i="3" s="1"/>
  <c r="AE422" i="3"/>
  <c r="AE424" i="3" s="1"/>
  <c r="AE145" i="3"/>
  <c r="AE332" i="5"/>
  <c r="AE203" i="3"/>
  <c r="BM283" i="1"/>
  <c r="T283" i="1"/>
  <c r="AE334" i="5"/>
  <c r="AE228" i="3"/>
  <c r="BP283" i="1"/>
  <c r="W283" i="1"/>
  <c r="BL283" i="1"/>
  <c r="S283" i="1"/>
  <c r="BO283" i="1"/>
  <c r="V283" i="1"/>
  <c r="AG74" i="4" l="1"/>
  <c r="AG272" i="3"/>
  <c r="AG73" i="4"/>
  <c r="X461" i="2"/>
  <c r="BQ461" i="3" s="1"/>
  <c r="Y10" i="2"/>
  <c r="X331" i="2"/>
  <c r="X250" i="2"/>
  <c r="BQ250" i="3" s="1"/>
  <c r="AW26" i="9"/>
  <c r="BQ103" i="3"/>
  <c r="X501" i="2"/>
  <c r="X116" i="2"/>
  <c r="BQ95" i="3"/>
  <c r="Y9" i="2"/>
  <c r="X320" i="2"/>
  <c r="X249" i="2"/>
  <c r="X457" i="2"/>
  <c r="AQ26" i="9"/>
  <c r="X175" i="2"/>
  <c r="AE425" i="3"/>
  <c r="BK283" i="1"/>
  <c r="R283" i="1"/>
  <c r="AE333" i="5"/>
  <c r="AE516" i="3"/>
  <c r="AF302" i="3"/>
  <c r="AE244" i="3"/>
  <c r="AE245" i="3" s="1"/>
  <c r="AE260" i="3" s="1"/>
  <c r="AE146" i="3"/>
  <c r="AE129" i="5" s="1"/>
  <c r="AE197" i="5"/>
  <c r="AE198" i="5" s="1"/>
  <c r="AE199" i="5" s="1"/>
  <c r="AE200" i="5" s="1"/>
  <c r="Z81" i="9"/>
  <c r="AJ81" i="9" s="1"/>
  <c r="AL81" i="9" s="1"/>
  <c r="AE229" i="3"/>
  <c r="AE335" i="5" s="1"/>
  <c r="AE148" i="3"/>
  <c r="BQ175" i="3" l="1"/>
  <c r="X281" i="2"/>
  <c r="BQ320" i="3"/>
  <c r="X321" i="2"/>
  <c r="AQ122" i="9"/>
  <c r="AT26" i="9"/>
  <c r="Y489" i="2"/>
  <c r="Y92" i="2"/>
  <c r="Y96" i="2"/>
  <c r="BR9" i="3"/>
  <c r="X503" i="2"/>
  <c r="BQ501" i="3"/>
  <c r="X332" i="2"/>
  <c r="BQ331" i="3"/>
  <c r="BQ457" i="3"/>
  <c r="Y11" i="2"/>
  <c r="Y100" i="2"/>
  <c r="BR10" i="3"/>
  <c r="BQ249" i="3"/>
  <c r="X251" i="2"/>
  <c r="X117" i="2"/>
  <c r="X118" i="2" s="1"/>
  <c r="X252" i="2"/>
  <c r="BQ116" i="3"/>
  <c r="M184" i="1"/>
  <c r="I184" i="1" s="1"/>
  <c r="F183" i="1" s="1"/>
  <c r="X347" i="2"/>
  <c r="Y12" i="2"/>
  <c r="BB26" i="9"/>
  <c r="AW122" i="9"/>
  <c r="AY26" i="9"/>
  <c r="AY122" i="9" s="1"/>
  <c r="AE248" i="3"/>
  <c r="AF8" i="3"/>
  <c r="X464" i="2" l="1"/>
  <c r="X177" i="2"/>
  <c r="BQ118" i="3"/>
  <c r="X126" i="2"/>
  <c r="BR11" i="3"/>
  <c r="G27" i="9"/>
  <c r="G123" i="9" s="1"/>
  <c r="BR92" i="3"/>
  <c r="Y94" i="2"/>
  <c r="BQ321" i="3"/>
  <c r="Y306" i="2"/>
  <c r="H276" i="1"/>
  <c r="A277" i="1" s="1"/>
  <c r="BQ348" i="3"/>
  <c r="X349" i="2"/>
  <c r="BQ117" i="3"/>
  <c r="X253" i="2"/>
  <c r="BQ253" i="3" s="1"/>
  <c r="X348" i="2"/>
  <c r="Y13" i="2"/>
  <c r="Y14" i="2" s="1"/>
  <c r="BF26" i="9"/>
  <c r="X508" i="2"/>
  <c r="BQ332" i="3"/>
  <c r="Y324" i="2"/>
  <c r="BR489" i="3"/>
  <c r="BB122" i="9"/>
  <c r="BC26" i="9"/>
  <c r="BC122" i="9" s="1"/>
  <c r="BQ251" i="3"/>
  <c r="BU26" i="9"/>
  <c r="BU122" i="9" s="1"/>
  <c r="AT122" i="9"/>
  <c r="BQ281" i="3"/>
  <c r="BR12" i="3"/>
  <c r="Y110" i="2"/>
  <c r="Y32" i="2" s="1"/>
  <c r="BQ252" i="3"/>
  <c r="Y102" i="2"/>
  <c r="BR100" i="3"/>
  <c r="X505" i="2"/>
  <c r="BQ503" i="3"/>
  <c r="BR96" i="3"/>
  <c r="AR27" i="9"/>
  <c r="AR123" i="9" s="1"/>
  <c r="AE27" i="9"/>
  <c r="AE123" i="9" s="1"/>
  <c r="Y310" i="2"/>
  <c r="BR310" i="3" s="1"/>
  <c r="AE486" i="3"/>
  <c r="AF450" i="3"/>
  <c r="AF447" i="3"/>
  <c r="AF390" i="3"/>
  <c r="AF84" i="3"/>
  <c r="AF20" i="3"/>
  <c r="AF19" i="3"/>
  <c r="F82" i="9"/>
  <c r="K82" i="9" s="1"/>
  <c r="AF373" i="5"/>
  <c r="AE259" i="3"/>
  <c r="AE369" i="5" s="1"/>
  <c r="BT81" i="9"/>
  <c r="BY81" i="9" s="1"/>
  <c r="X254" i="2" l="1"/>
  <c r="BR32" i="3"/>
  <c r="Y343" i="2"/>
  <c r="BR344" i="3" s="1"/>
  <c r="BQ349" i="3"/>
  <c r="X350" i="2"/>
  <c r="Y336" i="2" s="1"/>
  <c r="Y456" i="2"/>
  <c r="BR456" i="3" s="1"/>
  <c r="Y491" i="2"/>
  <c r="Y377" i="5"/>
  <c r="Y308" i="2"/>
  <c r="BR308" i="3" s="1"/>
  <c r="AN27" i="9"/>
  <c r="AN123" i="9" s="1"/>
  <c r="BR94" i="3"/>
  <c r="Y293" i="2"/>
  <c r="BR293" i="3" s="1"/>
  <c r="Y176" i="2"/>
  <c r="Z93" i="2"/>
  <c r="BS93" i="3" s="1"/>
  <c r="Y29" i="2"/>
  <c r="X135" i="2"/>
  <c r="X363" i="2"/>
  <c r="X255" i="2"/>
  <c r="BQ126" i="3"/>
  <c r="Y15" i="2"/>
  <c r="BI26" i="9"/>
  <c r="X467" i="2"/>
  <c r="BQ467" i="3" s="1"/>
  <c r="Y379" i="5"/>
  <c r="Y383" i="5" s="1"/>
  <c r="Y502" i="2"/>
  <c r="BR502" i="3" s="1"/>
  <c r="Y460" i="2"/>
  <c r="BR460" i="3" s="1"/>
  <c r="Y296" i="2"/>
  <c r="BR296" i="3" s="1"/>
  <c r="Y326" i="2"/>
  <c r="BR326" i="3" s="1"/>
  <c r="Y378" i="5"/>
  <c r="BR102" i="3"/>
  <c r="AU27" i="9"/>
  <c r="AU123" i="9" s="1"/>
  <c r="AZ27" i="9"/>
  <c r="AZ123" i="9" s="1"/>
  <c r="Y337" i="2"/>
  <c r="BR338" i="3" s="1"/>
  <c r="BR110" i="3"/>
  <c r="BQ508" i="3"/>
  <c r="X510" i="2"/>
  <c r="BV26" i="9"/>
  <c r="BV122" i="9" s="1"/>
  <c r="BQ254" i="3"/>
  <c r="BR14" i="3"/>
  <c r="H27" i="9"/>
  <c r="H123" i="9" s="1"/>
  <c r="BF122" i="9"/>
  <c r="BG26" i="9"/>
  <c r="BR306" i="3"/>
  <c r="Y309" i="2"/>
  <c r="BQ177" i="3"/>
  <c r="X282" i="2"/>
  <c r="BQ505" i="3"/>
  <c r="X506" i="2"/>
  <c r="BR324" i="3"/>
  <c r="BR13" i="3"/>
  <c r="Y111" i="2"/>
  <c r="Y33" i="2" s="1"/>
  <c r="BQ350" i="3"/>
  <c r="Y335" i="2"/>
  <c r="BQ464" i="3"/>
  <c r="AE393" i="5"/>
  <c r="AF232" i="3"/>
  <c r="AE261" i="3"/>
  <c r="AE262" i="3" s="1"/>
  <c r="AF365" i="5"/>
  <c r="AF190" i="5"/>
  <c r="AF85" i="3"/>
  <c r="AF238" i="3"/>
  <c r="AF195" i="5"/>
  <c r="AF394" i="3"/>
  <c r="AF392" i="3"/>
  <c r="AF393" i="3"/>
  <c r="AF391" i="3"/>
  <c r="Y313" i="2" l="1"/>
  <c r="Y327" i="2"/>
  <c r="BR327" i="3" s="1"/>
  <c r="BR33" i="3"/>
  <c r="Y344" i="2"/>
  <c r="BR345" i="3" s="1"/>
  <c r="Y34" i="2"/>
  <c r="BQ282" i="3"/>
  <c r="X284" i="2"/>
  <c r="X512" i="2"/>
  <c r="BQ510" i="3"/>
  <c r="Y127" i="2"/>
  <c r="BR15" i="3"/>
  <c r="Y17" i="2"/>
  <c r="BO26" i="9"/>
  <c r="BQ135" i="3"/>
  <c r="Y18" i="2"/>
  <c r="X469" i="2"/>
  <c r="X474" i="2" s="1"/>
  <c r="X258" i="2"/>
  <c r="X382" i="2"/>
  <c r="BD27" i="9"/>
  <c r="BD123" i="9" s="1"/>
  <c r="Y338" i="2"/>
  <c r="BR339" i="3" s="1"/>
  <c r="BR111" i="3"/>
  <c r="Y509" i="2"/>
  <c r="BR509" i="3" s="1"/>
  <c r="BR29" i="3"/>
  <c r="Y317" i="2"/>
  <c r="BR491" i="3"/>
  <c r="Y493" i="2"/>
  <c r="Y494" i="2"/>
  <c r="BR494" i="3" s="1"/>
  <c r="BG122" i="9"/>
  <c r="Y112" i="2"/>
  <c r="BQ255" i="3"/>
  <c r="X257" i="2"/>
  <c r="BR336" i="3"/>
  <c r="Y339" i="2"/>
  <c r="BR335" i="3"/>
  <c r="BR309" i="3"/>
  <c r="X390" i="1"/>
  <c r="BI122" i="9"/>
  <c r="BL26" i="9"/>
  <c r="BL122" i="9" s="1"/>
  <c r="X364" i="2"/>
  <c r="Y353" i="2" s="1"/>
  <c r="BQ364" i="3"/>
  <c r="BR176" i="3"/>
  <c r="BR337" i="3"/>
  <c r="AF395" i="3"/>
  <c r="AF240" i="3"/>
  <c r="AD82" i="9"/>
  <c r="AF470" i="3"/>
  <c r="AF290" i="3"/>
  <c r="AF287" i="3"/>
  <c r="AF303" i="3" l="1"/>
  <c r="Y340" i="2"/>
  <c r="BR341" i="3" s="1"/>
  <c r="Y99" i="2"/>
  <c r="Y328" i="2" s="1"/>
  <c r="BQ258" i="3"/>
  <c r="X175" i="5"/>
  <c r="BX26" i="9"/>
  <c r="BX122" i="9" s="1"/>
  <c r="BO122" i="9"/>
  <c r="BP26" i="9"/>
  <c r="BP122" i="9" s="1"/>
  <c r="BR127" i="3"/>
  <c r="Y355" i="2"/>
  <c r="BR355" i="3" s="1"/>
  <c r="BK27" i="9"/>
  <c r="BK123" i="9" s="1"/>
  <c r="AG27" i="9"/>
  <c r="AG123" i="9" s="1"/>
  <c r="BQ474" i="3"/>
  <c r="X476" i="2"/>
  <c r="BQ257" i="3"/>
  <c r="BW26" i="9"/>
  <c r="BW122" i="9" s="1"/>
  <c r="BQ469" i="3"/>
  <c r="X472" i="2"/>
  <c r="BR34" i="3"/>
  <c r="O27" i="9"/>
  <c r="O123" i="9" s="1"/>
  <c r="J27" i="9"/>
  <c r="J123" i="9" s="1"/>
  <c r="E277" i="1"/>
  <c r="BR18" i="3"/>
  <c r="Y38" i="2"/>
  <c r="BR17" i="3"/>
  <c r="I27" i="9"/>
  <c r="I123" i="9" s="1"/>
  <c r="X513" i="2"/>
  <c r="BQ512" i="3"/>
  <c r="BR353" i="3"/>
  <c r="X391" i="1"/>
  <c r="BR340" i="3"/>
  <c r="Y113" i="2"/>
  <c r="BR112" i="3"/>
  <c r="Y178" i="2"/>
  <c r="Y463" i="2"/>
  <c r="BR463" i="3" s="1"/>
  <c r="Y297" i="2"/>
  <c r="BR297" i="3" s="1"/>
  <c r="Y496" i="2"/>
  <c r="BR493" i="3"/>
  <c r="BR317" i="3"/>
  <c r="Y319" i="2"/>
  <c r="BR319" i="3" s="1"/>
  <c r="BQ382" i="3"/>
  <c r="X383" i="2"/>
  <c r="BQ284" i="3"/>
  <c r="W359" i="1"/>
  <c r="AF405" i="3"/>
  <c r="AF396" i="3"/>
  <c r="AI82" i="9"/>
  <c r="AF95" i="3"/>
  <c r="Y114" i="2" l="1"/>
  <c r="Y342" i="2" s="1"/>
  <c r="Y30" i="2"/>
  <c r="Y31" i="2" s="1"/>
  <c r="Y459" i="2"/>
  <c r="BR459" i="3" s="1"/>
  <c r="AV27" i="9"/>
  <c r="AV123" i="9" s="1"/>
  <c r="Z101" i="2"/>
  <c r="BS101" i="3" s="1"/>
  <c r="BR99" i="3"/>
  <c r="Y295" i="2"/>
  <c r="BR295" i="3" s="1"/>
  <c r="Y357" i="2"/>
  <c r="Y121" i="2" s="1"/>
  <c r="Y377" i="2"/>
  <c r="BQ383" i="3"/>
  <c r="BR178" i="3"/>
  <c r="X357" i="1"/>
  <c r="X478" i="2"/>
  <c r="BQ476" i="3"/>
  <c r="BR496" i="3"/>
  <c r="Y497" i="2"/>
  <c r="BR38" i="3"/>
  <c r="Y379" i="2"/>
  <c r="BR379" i="3" s="1"/>
  <c r="Y173" i="5"/>
  <c r="Q27" i="9"/>
  <c r="Q123" i="9" s="1"/>
  <c r="BQ472" i="3"/>
  <c r="X28" i="2"/>
  <c r="X399" i="2"/>
  <c r="X402" i="2"/>
  <c r="X401" i="2"/>
  <c r="X400" i="2"/>
  <c r="BR113" i="3"/>
  <c r="BA27" i="9"/>
  <c r="BA123" i="9" s="1"/>
  <c r="Y341" i="2"/>
  <c r="BR328" i="3"/>
  <c r="BR26" i="9"/>
  <c r="BR122" i="9" s="1"/>
  <c r="AF457" i="3"/>
  <c r="AF320" i="3"/>
  <c r="AF321" i="3" s="1"/>
  <c r="AG306" i="3" s="1"/>
  <c r="AQ82" i="9"/>
  <c r="AT82" i="9" s="1"/>
  <c r="AF249" i="3"/>
  <c r="AG9" i="3"/>
  <c r="AF103" i="3"/>
  <c r="AF175" i="3" s="1"/>
  <c r="AF281" i="3" s="1"/>
  <c r="Y115" i="2" l="1"/>
  <c r="Y298" i="2" s="1"/>
  <c r="BR298" i="3" s="1"/>
  <c r="BE27" i="9"/>
  <c r="BE123" i="9" s="1"/>
  <c r="BR114" i="3"/>
  <c r="Y329" i="2"/>
  <c r="BR30" i="3"/>
  <c r="BR358" i="3"/>
  <c r="BR342" i="3"/>
  <c r="Y345" i="2"/>
  <c r="BR346" i="3" s="1"/>
  <c r="BQ400" i="3"/>
  <c r="X409" i="2"/>
  <c r="X438" i="2"/>
  <c r="X390" i="5"/>
  <c r="X11" i="5"/>
  <c r="X207" i="5" s="1"/>
  <c r="BQ28" i="3"/>
  <c r="X71" i="2"/>
  <c r="X139" i="2"/>
  <c r="BQ139" i="3" s="1"/>
  <c r="X169" i="2"/>
  <c r="M26" i="9"/>
  <c r="X241" i="2"/>
  <c r="BQ241" i="3" s="1"/>
  <c r="BR343" i="3"/>
  <c r="Y346" i="2"/>
  <c r="BR347" i="3" s="1"/>
  <c r="X480" i="2"/>
  <c r="BQ478" i="3"/>
  <c r="BQ401" i="3"/>
  <c r="X410" i="2"/>
  <c r="BR497" i="3"/>
  <c r="Y498" i="2"/>
  <c r="BR498" i="3" s="1"/>
  <c r="BR31" i="3"/>
  <c r="Y439" i="2"/>
  <c r="BR439" i="3" s="1"/>
  <c r="N27" i="9"/>
  <c r="N123" i="9" s="1"/>
  <c r="BQ402" i="3"/>
  <c r="X411" i="2"/>
  <c r="Y358" i="2"/>
  <c r="BR121" i="3"/>
  <c r="BQ399" i="3"/>
  <c r="X403" i="2"/>
  <c r="BQ403" i="3" s="1"/>
  <c r="X408" i="2"/>
  <c r="Y381" i="2"/>
  <c r="BR381" i="3" s="1"/>
  <c r="BR377" i="3"/>
  <c r="AF116" i="3"/>
  <c r="AF117" i="3" s="1"/>
  <c r="AF461" i="3"/>
  <c r="AF331" i="3"/>
  <c r="AF332" i="3" s="1"/>
  <c r="AG324" i="3" s="1"/>
  <c r="AW82" i="9"/>
  <c r="AY82" i="9" s="1"/>
  <c r="AF501" i="3"/>
  <c r="AF503" i="3" s="1"/>
  <c r="AF505" i="3" s="1"/>
  <c r="AF506" i="3" s="1"/>
  <c r="AG10" i="3"/>
  <c r="AG11" i="3" s="1"/>
  <c r="G83" i="9" s="1"/>
  <c r="AF250" i="3"/>
  <c r="AF251" i="3" s="1"/>
  <c r="BU82" i="9" s="1"/>
  <c r="AG489" i="3"/>
  <c r="AG96" i="3"/>
  <c r="AG93" i="3"/>
  <c r="AG94" i="3" s="1"/>
  <c r="AH92" i="3" s="1"/>
  <c r="BR115" i="3" l="1"/>
  <c r="Y462" i="2"/>
  <c r="BR462" i="3" s="1"/>
  <c r="BR329" i="3"/>
  <c r="Y330" i="2"/>
  <c r="BR330" i="3" s="1"/>
  <c r="X418" i="2"/>
  <c r="BQ418" i="3" s="1"/>
  <c r="BQ411" i="3"/>
  <c r="W26" i="9"/>
  <c r="M122" i="9"/>
  <c r="BQ409" i="3"/>
  <c r="X416" i="2"/>
  <c r="BQ416" i="3" s="1"/>
  <c r="W354" i="1"/>
  <c r="BQ169" i="3"/>
  <c r="X391" i="5"/>
  <c r="X395" i="5" s="1"/>
  <c r="X394" i="5"/>
  <c r="BQ408" i="3"/>
  <c r="X415" i="2"/>
  <c r="X412" i="2"/>
  <c r="BR359" i="3"/>
  <c r="Y359" i="2"/>
  <c r="BQ410" i="3"/>
  <c r="X417" i="2"/>
  <c r="BQ480" i="3"/>
  <c r="X481" i="2"/>
  <c r="W368" i="1"/>
  <c r="X386" i="5"/>
  <c r="X388" i="5" s="1"/>
  <c r="BQ71" i="3"/>
  <c r="BQ438" i="3"/>
  <c r="X444" i="2"/>
  <c r="BQ444" i="3" s="1"/>
  <c r="AF348" i="3"/>
  <c r="AF350" i="3" s="1"/>
  <c r="AG336" i="3" s="1"/>
  <c r="BF82" i="9"/>
  <c r="BG82" i="9" s="1"/>
  <c r="AF508" i="3"/>
  <c r="AF510" i="3" s="1"/>
  <c r="AF512" i="3" s="1"/>
  <c r="AF513" i="3" s="1"/>
  <c r="AG13" i="3"/>
  <c r="AF253" i="3"/>
  <c r="AG29" i="3"/>
  <c r="AG100" i="3"/>
  <c r="AG102" i="3" s="1"/>
  <c r="AG176" i="3" s="1"/>
  <c r="AG456" i="3"/>
  <c r="AG308" i="3"/>
  <c r="AG293" i="3"/>
  <c r="AG380" i="5"/>
  <c r="AN83" i="9"/>
  <c r="AG405" i="5"/>
  <c r="AG406" i="5" s="1"/>
  <c r="AG491" i="3"/>
  <c r="AG493" i="3" s="1"/>
  <c r="AG310" i="3"/>
  <c r="AR83" i="9"/>
  <c r="AE83" i="9"/>
  <c r="AF347" i="3"/>
  <c r="AF349" i="3" s="1"/>
  <c r="AG335" i="3" s="1"/>
  <c r="AF118" i="3"/>
  <c r="AF126" i="3" s="1"/>
  <c r="BB82" i="9"/>
  <c r="BC82" i="9" s="1"/>
  <c r="AG12" i="3"/>
  <c r="AF252" i="3"/>
  <c r="W122" i="9" l="1"/>
  <c r="AF254" i="3"/>
  <c r="BV82" i="9" s="1"/>
  <c r="X170" i="2"/>
  <c r="BQ417" i="3"/>
  <c r="BQ412" i="3"/>
  <c r="X413" i="2"/>
  <c r="BQ481" i="3"/>
  <c r="X482" i="2"/>
  <c r="BQ482" i="3" s="1"/>
  <c r="X419" i="2"/>
  <c r="BQ415" i="3"/>
  <c r="Y122" i="2"/>
  <c r="BR360" i="3"/>
  <c r="AG494" i="3"/>
  <c r="AG496" i="3" s="1"/>
  <c r="AG497" i="3" s="1"/>
  <c r="AG498" i="3" s="1"/>
  <c r="AG110" i="3"/>
  <c r="AG32" i="3" s="1"/>
  <c r="AG14" i="3"/>
  <c r="H83" i="9" s="1"/>
  <c r="AG408" i="5"/>
  <c r="AG317" i="3"/>
  <c r="AG319" i="3" s="1"/>
  <c r="AG340" i="3"/>
  <c r="AG114" i="3" s="1"/>
  <c r="AG309" i="3"/>
  <c r="AG502" i="3"/>
  <c r="AG460" i="3"/>
  <c r="AG326" i="3"/>
  <c r="AG296" i="3"/>
  <c r="AG381" i="5"/>
  <c r="AU83" i="9"/>
  <c r="AG33" i="3"/>
  <c r="AG344" i="3" s="1"/>
  <c r="AF464" i="3"/>
  <c r="AF177" i="3"/>
  <c r="AF282" i="3" s="1"/>
  <c r="AF284" i="3" s="1"/>
  <c r="AG382" i="5"/>
  <c r="X420" i="2" l="1"/>
  <c r="BQ420" i="3" s="1"/>
  <c r="BQ419" i="3"/>
  <c r="Y360" i="2"/>
  <c r="BR122" i="3"/>
  <c r="Y123" i="2"/>
  <c r="X210" i="2"/>
  <c r="X268" i="2"/>
  <c r="BQ268" i="3" s="1"/>
  <c r="W355" i="1"/>
  <c r="BQ170" i="3"/>
  <c r="X192" i="2"/>
  <c r="X171" i="2"/>
  <c r="AF467" i="3"/>
  <c r="AF472" i="3" s="1"/>
  <c r="AF363" i="3"/>
  <c r="AF364" i="3" s="1"/>
  <c r="AG353" i="3" s="1"/>
  <c r="BI82" i="9"/>
  <c r="BL82" i="9" s="1"/>
  <c r="BR82" i="9" s="1"/>
  <c r="AF255" i="3"/>
  <c r="AF257" i="3" s="1"/>
  <c r="BW82" i="9" s="1"/>
  <c r="AG15" i="3"/>
  <c r="AG342" i="3"/>
  <c r="AG346" i="3" s="1"/>
  <c r="BE83" i="9"/>
  <c r="AG327" i="3"/>
  <c r="AG99" i="3" s="1"/>
  <c r="AF474" i="3"/>
  <c r="AG343" i="3"/>
  <c r="AG34" i="3"/>
  <c r="O83" i="9" s="1"/>
  <c r="AG337" i="3"/>
  <c r="AG112" i="3"/>
  <c r="AZ83" i="9"/>
  <c r="AZ96" i="9" s="1"/>
  <c r="E110" i="3"/>
  <c r="X182" i="2" l="1"/>
  <c r="W356" i="1"/>
  <c r="W361" i="1" s="1"/>
  <c r="BQ171" i="3"/>
  <c r="BR361" i="3"/>
  <c r="BQ192" i="3"/>
  <c r="W366" i="1"/>
  <c r="W380" i="1"/>
  <c r="BQ210" i="3"/>
  <c r="Y125" i="2"/>
  <c r="BH27" i="9"/>
  <c r="BH123" i="9" s="1"/>
  <c r="BR123" i="3"/>
  <c r="Y35" i="2"/>
  <c r="AG463" i="3"/>
  <c r="E463" i="3" s="1"/>
  <c r="AG297" i="3"/>
  <c r="E297" i="3" s="1"/>
  <c r="AG178" i="3"/>
  <c r="E178" i="3" s="1"/>
  <c r="E112" i="3"/>
  <c r="AF476" i="3"/>
  <c r="AF478" i="3" s="1"/>
  <c r="AG127" i="3"/>
  <c r="AG17" i="3"/>
  <c r="I83" i="9" s="1"/>
  <c r="AF28" i="3"/>
  <c r="AF400" i="3"/>
  <c r="AF409" i="3" s="1"/>
  <c r="AF416" i="3" s="1"/>
  <c r="AF399" i="3"/>
  <c r="AF402" i="3"/>
  <c r="AF411" i="3" s="1"/>
  <c r="AF418" i="3" s="1"/>
  <c r="AF401" i="3"/>
  <c r="AF410" i="3" s="1"/>
  <c r="AF417" i="3" s="1"/>
  <c r="AF170" i="3" s="1"/>
  <c r="AU110" i="2"/>
  <c r="AG459" i="3"/>
  <c r="AG328" i="3"/>
  <c r="AG295" i="3"/>
  <c r="AV83" i="9"/>
  <c r="AH101" i="3"/>
  <c r="AG30" i="3"/>
  <c r="E337" i="3"/>
  <c r="AG339" i="3"/>
  <c r="AG113" i="3" s="1"/>
  <c r="BR125" i="3" l="1"/>
  <c r="Y299" i="2"/>
  <c r="BR299" i="3" s="1"/>
  <c r="Y466" i="2"/>
  <c r="BR466" i="3" s="1"/>
  <c r="BR35" i="3"/>
  <c r="Y361" i="2"/>
  <c r="Y37" i="2"/>
  <c r="BQ182" i="3"/>
  <c r="X207" i="2"/>
  <c r="X153" i="2"/>
  <c r="AU178" i="2"/>
  <c r="AF210" i="3"/>
  <c r="AF268" i="3"/>
  <c r="AF438" i="3"/>
  <c r="AF444" i="3" s="1"/>
  <c r="AF241" i="3"/>
  <c r="AF139" i="3"/>
  <c r="AF169" i="3"/>
  <c r="AF71" i="3"/>
  <c r="AF392" i="5"/>
  <c r="AF191" i="5"/>
  <c r="M82" i="9"/>
  <c r="W82" i="9" s="1"/>
  <c r="AF480" i="3"/>
  <c r="AU297" i="2"/>
  <c r="AG355" i="3"/>
  <c r="AG83" i="9"/>
  <c r="BK83" i="9"/>
  <c r="AU337" i="2"/>
  <c r="AG341" i="3"/>
  <c r="AG345" i="3" s="1"/>
  <c r="AG115" i="3"/>
  <c r="BA83" i="9"/>
  <c r="AG329" i="3"/>
  <c r="AG330" i="3" s="1"/>
  <c r="AG31" i="3"/>
  <c r="AF403" i="3"/>
  <c r="AF408" i="3"/>
  <c r="AU112" i="2"/>
  <c r="E229" i="5"/>
  <c r="G260" i="5"/>
  <c r="BQ207" i="3" l="1"/>
  <c r="X212" i="2"/>
  <c r="BR37" i="3"/>
  <c r="P27" i="9"/>
  <c r="P123" i="9" s="1"/>
  <c r="Y440" i="2"/>
  <c r="BR440" i="3" s="1"/>
  <c r="BQ153" i="3"/>
  <c r="X154" i="2"/>
  <c r="BR356" i="3"/>
  <c r="BR362" i="3"/>
  <c r="Y362" i="2"/>
  <c r="BR363" i="3" s="1"/>
  <c r="AG462" i="3"/>
  <c r="AG298" i="3"/>
  <c r="AG439" i="3"/>
  <c r="N83" i="9"/>
  <c r="AF415" i="3"/>
  <c r="AF419" i="3" s="1"/>
  <c r="AF420" i="3" s="1"/>
  <c r="AF412" i="3"/>
  <c r="AF413" i="3" s="1"/>
  <c r="AF481" i="3"/>
  <c r="AF387" i="5"/>
  <c r="AG357" i="3"/>
  <c r="AF171" i="3"/>
  <c r="AF182" i="3" s="1"/>
  <c r="AF192" i="3"/>
  <c r="X156" i="2" l="1"/>
  <c r="BQ154" i="3"/>
  <c r="BQ212" i="3"/>
  <c r="X218" i="2"/>
  <c r="X225" i="2"/>
  <c r="BQ225" i="3" s="1"/>
  <c r="AF153" i="3"/>
  <c r="AF154" i="3" s="1"/>
  <c r="AF156" i="3" s="1"/>
  <c r="AF207" i="3"/>
  <c r="BZ357" i="3"/>
  <c r="AG121" i="3"/>
  <c r="AF482" i="3"/>
  <c r="BQ218" i="3" l="1"/>
  <c r="X222" i="2"/>
  <c r="BQ222" i="3" s="1"/>
  <c r="X221" i="2"/>
  <c r="BQ221" i="3" s="1"/>
  <c r="X220" i="2"/>
  <c r="BQ156" i="3"/>
  <c r="X158" i="2"/>
  <c r="X159" i="2"/>
  <c r="AG358" i="3"/>
  <c r="AF159" i="3"/>
  <c r="AF160" i="3" s="1"/>
  <c r="AF161" i="3" s="1"/>
  <c r="AF158" i="3"/>
  <c r="AF162" i="3" s="1"/>
  <c r="X162" i="2" l="1"/>
  <c r="BQ162" i="3" s="1"/>
  <c r="BQ158" i="3"/>
  <c r="BQ159" i="3"/>
  <c r="X160" i="2"/>
  <c r="X223" i="2"/>
  <c r="BQ220" i="3"/>
  <c r="AG359" i="3"/>
  <c r="AG122" i="3" s="1"/>
  <c r="AF163" i="3"/>
  <c r="AF165" i="3" s="1"/>
  <c r="AF267" i="3" s="1"/>
  <c r="X161" i="2" l="1"/>
  <c r="BQ160" i="3"/>
  <c r="BQ223" i="3"/>
  <c r="X227" i="2"/>
  <c r="AG360" i="3"/>
  <c r="AG123" i="3"/>
  <c r="AF183" i="3"/>
  <c r="AF166" i="3"/>
  <c r="AF139" i="5"/>
  <c r="X89" i="5" l="1"/>
  <c r="X345" i="5" s="1"/>
  <c r="W385" i="1"/>
  <c r="W393" i="1"/>
  <c r="BQ227" i="3"/>
  <c r="W371" i="1"/>
  <c r="X228" i="2"/>
  <c r="BQ228" i="3" s="1"/>
  <c r="BQ161" i="3"/>
  <c r="X163" i="2"/>
  <c r="AF208" i="3"/>
  <c r="AF212" i="3" s="1"/>
  <c r="AF184" i="3"/>
  <c r="AG125" i="3"/>
  <c r="BH83" i="9"/>
  <c r="AG35" i="3"/>
  <c r="X165" i="2" l="1"/>
  <c r="X267" i="2" s="1"/>
  <c r="BQ163" i="3"/>
  <c r="AG466" i="3"/>
  <c r="AG299" i="3"/>
  <c r="AF218" i="3"/>
  <c r="AF225" i="3"/>
  <c r="AG361" i="3"/>
  <c r="AG37" i="3"/>
  <c r="AF95" i="4"/>
  <c r="AF266" i="3"/>
  <c r="AF270" i="3" s="1"/>
  <c r="AF191" i="3"/>
  <c r="AF193" i="3" s="1"/>
  <c r="AF398" i="5"/>
  <c r="AF330" i="5"/>
  <c r="X166" i="2" l="1"/>
  <c r="BQ166" i="3" s="1"/>
  <c r="BQ267" i="3"/>
  <c r="BQ165" i="3"/>
  <c r="X112" i="5"/>
  <c r="X140" i="5" s="1"/>
  <c r="X183" i="2"/>
  <c r="AF200" i="3"/>
  <c r="AF196" i="3"/>
  <c r="AF198" i="3"/>
  <c r="AF199" i="3"/>
  <c r="AF201" i="3"/>
  <c r="AF197" i="3"/>
  <c r="AF195" i="3"/>
  <c r="AG362" i="3"/>
  <c r="AF221" i="3"/>
  <c r="AF220" i="3"/>
  <c r="AF222" i="3"/>
  <c r="AG440" i="3"/>
  <c r="P83" i="9"/>
  <c r="AF64" i="4"/>
  <c r="AH65" i="4" s="1"/>
  <c r="AF331" i="5"/>
  <c r="BQ183" i="3" l="1"/>
  <c r="W363" i="1"/>
  <c r="W364" i="1" s="1"/>
  <c r="W375" i="1"/>
  <c r="X184" i="2"/>
  <c r="AF204" i="3"/>
  <c r="AF515" i="3" s="1"/>
  <c r="T331" i="1"/>
  <c r="AF326" i="4"/>
  <c r="S331" i="1"/>
  <c r="BX284" i="1"/>
  <c r="AH68" i="4"/>
  <c r="AH69" i="4"/>
  <c r="AH71" i="4"/>
  <c r="AH70" i="4"/>
  <c r="AH67" i="4"/>
  <c r="AF325" i="4"/>
  <c r="BW284" i="1"/>
  <c r="R331" i="1"/>
  <c r="AF223" i="3"/>
  <c r="AF227" i="3" s="1"/>
  <c r="AF321" i="4"/>
  <c r="AF202" i="3"/>
  <c r="BS284" i="1"/>
  <c r="N331" i="1"/>
  <c r="AF324" i="4"/>
  <c r="Q331" i="1"/>
  <c r="BV284" i="1"/>
  <c r="AF323" i="4"/>
  <c r="BU284" i="1"/>
  <c r="P331" i="1"/>
  <c r="AF322" i="4"/>
  <c r="O331" i="1"/>
  <c r="BT284" i="1"/>
  <c r="X191" i="2" l="1"/>
  <c r="X399" i="5"/>
  <c r="X266" i="2"/>
  <c r="X94" i="4"/>
  <c r="BQ184" i="3"/>
  <c r="X397" i="5"/>
  <c r="X85" i="5"/>
  <c r="X342" i="5" s="1"/>
  <c r="W374" i="1"/>
  <c r="W377" i="1" s="1"/>
  <c r="W382" i="1" s="1"/>
  <c r="W384" i="1" s="1"/>
  <c r="W386" i="1" s="1"/>
  <c r="W367" i="1"/>
  <c r="BN284" i="1"/>
  <c r="U284" i="1"/>
  <c r="BO284" i="1"/>
  <c r="V284" i="1"/>
  <c r="BL284" i="1"/>
  <c r="S284" i="1"/>
  <c r="M331" i="1"/>
  <c r="U331" i="1" s="1"/>
  <c r="BQ284" i="1"/>
  <c r="X284" i="1"/>
  <c r="AF334" i="5"/>
  <c r="AF228" i="3"/>
  <c r="BM284" i="1"/>
  <c r="T284" i="1"/>
  <c r="AF484" i="3"/>
  <c r="AF485" i="3" s="1"/>
  <c r="AF422" i="3"/>
  <c r="AF424" i="3" s="1"/>
  <c r="AF145" i="3"/>
  <c r="AF332" i="5"/>
  <c r="AF203" i="3"/>
  <c r="BP284" i="1"/>
  <c r="W284" i="1"/>
  <c r="AH72" i="4"/>
  <c r="X271" i="2" l="1"/>
  <c r="X86" i="4" s="1"/>
  <c r="X270" i="2"/>
  <c r="AH74" i="4"/>
  <c r="AH272" i="3"/>
  <c r="BQ266" i="3"/>
  <c r="BQ191" i="3"/>
  <c r="X193" i="2"/>
  <c r="AF425" i="3"/>
  <c r="AH73" i="4"/>
  <c r="AF244" i="3"/>
  <c r="AF245" i="3" s="1"/>
  <c r="AF260" i="3" s="1"/>
  <c r="AG302" i="3"/>
  <c r="AF146" i="3"/>
  <c r="AF129" i="5" s="1"/>
  <c r="Z82" i="9"/>
  <c r="AJ82" i="9" s="1"/>
  <c r="AL82" i="9" s="1"/>
  <c r="AF197" i="5"/>
  <c r="AF198" i="5" s="1"/>
  <c r="AF199" i="5" s="1"/>
  <c r="AF200" i="5" s="1"/>
  <c r="AF229" i="3"/>
  <c r="AF335" i="5" s="1"/>
  <c r="AF148" i="3"/>
  <c r="BK284" i="1"/>
  <c r="R284" i="1"/>
  <c r="AF333" i="5"/>
  <c r="AF516" i="3"/>
  <c r="X200" i="2" l="1"/>
  <c r="X199" i="2"/>
  <c r="BQ193" i="3"/>
  <c r="X196" i="2"/>
  <c r="X201" i="2"/>
  <c r="X195" i="2"/>
  <c r="X197" i="2"/>
  <c r="X198" i="2"/>
  <c r="X86" i="5"/>
  <c r="X343" i="5" s="1"/>
  <c r="X32" i="4"/>
  <c r="Z33" i="4" s="1"/>
  <c r="BQ270" i="3"/>
  <c r="AG8" i="3"/>
  <c r="AF248" i="3"/>
  <c r="X316" i="4" l="1"/>
  <c r="N276" i="1" s="1"/>
  <c r="BQ198" i="3"/>
  <c r="G323" i="1"/>
  <c r="BQ196" i="3"/>
  <c r="E323" i="1"/>
  <c r="X314" i="4"/>
  <c r="L276" i="1" s="1"/>
  <c r="Z55" i="4"/>
  <c r="Z56" i="4"/>
  <c r="Z58" i="4"/>
  <c r="Z57" i="4"/>
  <c r="Z54" i="4"/>
  <c r="BQ197" i="3"/>
  <c r="F323" i="1"/>
  <c r="X315" i="4"/>
  <c r="M276" i="1" s="1"/>
  <c r="BQ195" i="3"/>
  <c r="X202" i="2"/>
  <c r="X313" i="4"/>
  <c r="K276" i="1" s="1"/>
  <c r="D323" i="1"/>
  <c r="H323" i="1"/>
  <c r="X317" i="4"/>
  <c r="O276" i="1" s="1"/>
  <c r="BQ199" i="3"/>
  <c r="J323" i="1"/>
  <c r="BQ201" i="3"/>
  <c r="X204" i="2"/>
  <c r="X318" i="4"/>
  <c r="P276" i="1" s="1"/>
  <c r="BQ200" i="3"/>
  <c r="I323" i="1"/>
  <c r="AF486" i="3"/>
  <c r="AG447" i="3"/>
  <c r="AG390" i="3"/>
  <c r="AG450" i="3"/>
  <c r="AG20" i="3"/>
  <c r="AG19" i="3"/>
  <c r="AG84" i="3"/>
  <c r="AG373" i="5"/>
  <c r="F83" i="9"/>
  <c r="K83" i="9" s="1"/>
  <c r="AF259" i="3"/>
  <c r="AF369" i="5" s="1"/>
  <c r="BT82" i="9"/>
  <c r="BY82" i="9" s="1"/>
  <c r="C323" i="1" l="1"/>
  <c r="K323" i="1" s="1"/>
  <c r="BQ204" i="3"/>
  <c r="X515" i="2"/>
  <c r="BQ515" i="3" s="1"/>
  <c r="W394" i="1"/>
  <c r="X484" i="2"/>
  <c r="X422" i="2"/>
  <c r="X145" i="2"/>
  <c r="X87" i="5"/>
  <c r="X344" i="5" s="1"/>
  <c r="BQ202" i="3"/>
  <c r="W370" i="1"/>
  <c r="W372" i="1" s="1"/>
  <c r="X203" i="2"/>
  <c r="Z59" i="4"/>
  <c r="AG394" i="3"/>
  <c r="AG392" i="3"/>
  <c r="AG393" i="3"/>
  <c r="AG391" i="3"/>
  <c r="AG238" i="3"/>
  <c r="AG85" i="3"/>
  <c r="AG195" i="5"/>
  <c r="AF393" i="5"/>
  <c r="AF261" i="3"/>
  <c r="AF262" i="3" s="1"/>
  <c r="AG232" i="3"/>
  <c r="AG365" i="5"/>
  <c r="AG190" i="5"/>
  <c r="Z61" i="4" l="1"/>
  <c r="Z272" i="2"/>
  <c r="BQ484" i="3"/>
  <c r="X485" i="2"/>
  <c r="Z60" i="4"/>
  <c r="X516" i="2"/>
  <c r="BQ203" i="3"/>
  <c r="J276" i="1"/>
  <c r="X88" i="5"/>
  <c r="X244" i="2"/>
  <c r="X148" i="2"/>
  <c r="BQ145" i="3"/>
  <c r="X17" i="5"/>
  <c r="Z26" i="9"/>
  <c r="Y302" i="2"/>
  <c r="BR302" i="3" s="1"/>
  <c r="X146" i="2"/>
  <c r="X229" i="2"/>
  <c r="BQ422" i="3"/>
  <c r="X424" i="2"/>
  <c r="BQ424" i="3" s="1"/>
  <c r="AG470" i="3"/>
  <c r="AG290" i="3"/>
  <c r="AG287" i="3"/>
  <c r="AG240" i="3"/>
  <c r="AD83" i="9"/>
  <c r="AG395" i="3"/>
  <c r="AG303" i="3" l="1"/>
  <c r="BQ229" i="3"/>
  <c r="X90" i="5"/>
  <c r="X346" i="5" s="1"/>
  <c r="X18" i="5"/>
  <c r="X213" i="5"/>
  <c r="BQ146" i="3"/>
  <c r="X109" i="5"/>
  <c r="X248" i="2"/>
  <c r="BQ148" i="3"/>
  <c r="Y8" i="2"/>
  <c r="AJ26" i="9"/>
  <c r="AL26" i="9" s="1"/>
  <c r="Z122" i="9"/>
  <c r="BQ244" i="3"/>
  <c r="X245" i="2"/>
  <c r="X384" i="5"/>
  <c r="BQ516" i="3"/>
  <c r="BQ485" i="3"/>
  <c r="X425" i="2"/>
  <c r="BQ425" i="3" s="1"/>
  <c r="AI83" i="9"/>
  <c r="AG396" i="3"/>
  <c r="AG405" i="3"/>
  <c r="AG95" i="3" l="1"/>
  <c r="AG103" i="3" s="1"/>
  <c r="AG331" i="3" s="1"/>
  <c r="AG332" i="3" s="1"/>
  <c r="AH324" i="3" s="1"/>
  <c r="BQ248" i="3"/>
  <c r="X259" i="2"/>
  <c r="BT26" i="9"/>
  <c r="X19" i="5"/>
  <c r="X214" i="5"/>
  <c r="AJ122" i="9"/>
  <c r="AL122" i="9"/>
  <c r="BQ245" i="3"/>
  <c r="X260" i="2"/>
  <c r="W373" i="1"/>
  <c r="Y450" i="2"/>
  <c r="Y19" i="2"/>
  <c r="Y390" i="2"/>
  <c r="Y447" i="2"/>
  <c r="Y372" i="5"/>
  <c r="Y374" i="5" s="1"/>
  <c r="Y20" i="2"/>
  <c r="I277" i="1"/>
  <c r="BR8" i="3"/>
  <c r="F27" i="9"/>
  <c r="X389" i="1"/>
  <c r="Y84" i="2"/>
  <c r="X486" i="2"/>
  <c r="BQ486" i="3" s="1"/>
  <c r="AG249" i="3" l="1"/>
  <c r="AQ83" i="9"/>
  <c r="AT83" i="9" s="1"/>
  <c r="AG501" i="3"/>
  <c r="AG503" i="3" s="1"/>
  <c r="AG505" i="3" s="1"/>
  <c r="AG506" i="3" s="1"/>
  <c r="AH10" i="3"/>
  <c r="AH100" i="3" s="1"/>
  <c r="AH102" i="3" s="1"/>
  <c r="AG457" i="3"/>
  <c r="AH9" i="3"/>
  <c r="AG320" i="3"/>
  <c r="AG321" i="3" s="1"/>
  <c r="AH306" i="3" s="1"/>
  <c r="AG175" i="3"/>
  <c r="AG281" i="3" s="1"/>
  <c r="AG461" i="3"/>
  <c r="AG116" i="3"/>
  <c r="AG252" i="3" s="1"/>
  <c r="AW83" i="9"/>
  <c r="AY83" i="9" s="1"/>
  <c r="AG250" i="3"/>
  <c r="AG251" i="3" s="1"/>
  <c r="BU83" i="9" s="1"/>
  <c r="BR19" i="3"/>
  <c r="Y364" i="5"/>
  <c r="Y366" i="5" s="1"/>
  <c r="Y232" i="2"/>
  <c r="BR232" i="3" s="1"/>
  <c r="X261" i="2"/>
  <c r="BQ261" i="3" s="1"/>
  <c r="Y10" i="5"/>
  <c r="Y206" i="5" s="1"/>
  <c r="X20" i="5"/>
  <c r="X215" i="5"/>
  <c r="F123" i="9"/>
  <c r="K27" i="9"/>
  <c r="BR450" i="3"/>
  <c r="BY26" i="9"/>
  <c r="BY122" i="9" s="1"/>
  <c r="BT122" i="9"/>
  <c r="BR447" i="3"/>
  <c r="BQ259" i="3"/>
  <c r="X368" i="5"/>
  <c r="X370" i="5" s="1"/>
  <c r="X144" i="5" s="1"/>
  <c r="BR84" i="3"/>
  <c r="Y85" i="2"/>
  <c r="Y15" i="5"/>
  <c r="Y212" i="5" s="1"/>
  <c r="Y238" i="2"/>
  <c r="BR390" i="3"/>
  <c r="Y392" i="2"/>
  <c r="Y393" i="2"/>
  <c r="Y394" i="2"/>
  <c r="Y391" i="2"/>
  <c r="BQ260" i="3"/>
  <c r="AH489" i="3"/>
  <c r="AH96" i="3"/>
  <c r="AH93" i="3"/>
  <c r="AH94" i="3" s="1"/>
  <c r="AH11" i="3" l="1"/>
  <c r="G84" i="9" s="1"/>
  <c r="BB83" i="9"/>
  <c r="BC83" i="9" s="1"/>
  <c r="AH12" i="3"/>
  <c r="AG117" i="3"/>
  <c r="AG508" i="3" s="1"/>
  <c r="AG510" i="3" s="1"/>
  <c r="AG512" i="3" s="1"/>
  <c r="AG513" i="3" s="1"/>
  <c r="AG347" i="3"/>
  <c r="AG349" i="3" s="1"/>
  <c r="AH335" i="3" s="1"/>
  <c r="AH339" i="3" s="1"/>
  <c r="AH113" i="3" s="1"/>
  <c r="K123" i="9"/>
  <c r="X262" i="2"/>
  <c r="BR391" i="3"/>
  <c r="Y395" i="2"/>
  <c r="BR394" i="3"/>
  <c r="Y240" i="2"/>
  <c r="AD27" i="9"/>
  <c r="AD123" i="9" s="1"/>
  <c r="BR238" i="3"/>
  <c r="BR393" i="3"/>
  <c r="BR392" i="3"/>
  <c r="Y290" i="2"/>
  <c r="BR290" i="3" s="1"/>
  <c r="BR85" i="3"/>
  <c r="Y470" i="2"/>
  <c r="BR470" i="3" s="1"/>
  <c r="Y287" i="2"/>
  <c r="AH310" i="3"/>
  <c r="AE84" i="9"/>
  <c r="AR84" i="9"/>
  <c r="AH456" i="3"/>
  <c r="AH308" i="3"/>
  <c r="AH293" i="3"/>
  <c r="AH176" i="3"/>
  <c r="AH405" i="5"/>
  <c r="AH406" i="5" s="1"/>
  <c r="AH408" i="5" s="1"/>
  <c r="AH382" i="5"/>
  <c r="AH380" i="5"/>
  <c r="AN84" i="9"/>
  <c r="AH491" i="3"/>
  <c r="AH493" i="3" s="1"/>
  <c r="AH494" i="3" s="1"/>
  <c r="AH502" i="3"/>
  <c r="AH460" i="3"/>
  <c r="AH326" i="3"/>
  <c r="AH296" i="3"/>
  <c r="AU84" i="9"/>
  <c r="AH381" i="5"/>
  <c r="AH29" i="3"/>
  <c r="AI92" i="3"/>
  <c r="AH32" i="3"/>
  <c r="AG118" i="3" l="1"/>
  <c r="AG126" i="3" s="1"/>
  <c r="AH13" i="3"/>
  <c r="AH14" i="3" s="1"/>
  <c r="H84" i="9" s="1"/>
  <c r="BF83" i="9"/>
  <c r="BG83" i="9" s="1"/>
  <c r="AG253" i="3"/>
  <c r="AG254" i="3" s="1"/>
  <c r="BV83" i="9" s="1"/>
  <c r="AG348" i="3"/>
  <c r="AG350" i="3" s="1"/>
  <c r="AH336" i="3" s="1"/>
  <c r="AH340" i="3" s="1"/>
  <c r="AH114" i="3" s="1"/>
  <c r="BR287" i="3"/>
  <c r="Y303" i="2"/>
  <c r="AI27" i="9"/>
  <c r="AI123" i="9" s="1"/>
  <c r="BR240" i="3"/>
  <c r="BR395" i="3"/>
  <c r="Y396" i="2"/>
  <c r="BR396" i="3" s="1"/>
  <c r="Y405" i="2"/>
  <c r="BR405" i="3" s="1"/>
  <c r="AH317" i="3"/>
  <c r="AH319" i="3" s="1"/>
  <c r="AG464" i="3"/>
  <c r="AG177" i="3"/>
  <c r="AG282" i="3" s="1"/>
  <c r="AG284" i="3" s="1"/>
  <c r="AH327" i="3"/>
  <c r="AH99" i="3" s="1"/>
  <c r="AH343" i="3"/>
  <c r="AH496" i="3"/>
  <c r="AH497" i="3" s="1"/>
  <c r="AH498" i="3" s="1"/>
  <c r="AH341" i="3"/>
  <c r="BA84" i="9"/>
  <c r="AH33" i="3"/>
  <c r="AH344" i="3" s="1"/>
  <c r="AH309" i="3"/>
  <c r="BR303" i="3" l="1"/>
  <c r="Y95" i="2"/>
  <c r="AH459" i="3"/>
  <c r="AH328" i="3"/>
  <c r="AH295" i="3"/>
  <c r="AV84" i="9"/>
  <c r="AI101" i="3"/>
  <c r="AH30" i="3"/>
  <c r="AH342" i="3"/>
  <c r="AH346" i="3" s="1"/>
  <c r="BE84" i="9"/>
  <c r="AG467" i="3"/>
  <c r="AG472" i="3" s="1"/>
  <c r="AG363" i="3"/>
  <c r="AG364" i="3" s="1"/>
  <c r="AH353" i="3" s="1"/>
  <c r="BI83" i="9"/>
  <c r="BL83" i="9" s="1"/>
  <c r="BR83" i="9" s="1"/>
  <c r="AH15" i="3"/>
  <c r="AG255" i="3"/>
  <c r="AG257" i="3" s="1"/>
  <c r="BW83" i="9" s="1"/>
  <c r="AH115" i="3"/>
  <c r="AH34" i="3"/>
  <c r="O84" i="9" s="1"/>
  <c r="AH345" i="3"/>
  <c r="AG474" i="3"/>
  <c r="Y103" i="2" l="1"/>
  <c r="Y175" i="2" s="1"/>
  <c r="BR95" i="3"/>
  <c r="Y249" i="2"/>
  <c r="Y320" i="2"/>
  <c r="AQ27" i="9"/>
  <c r="Z9" i="2"/>
  <c r="Y457" i="2"/>
  <c r="AH127" i="3"/>
  <c r="AH17" i="3"/>
  <c r="I84" i="9" s="1"/>
  <c r="AH462" i="3"/>
  <c r="AH298" i="3"/>
  <c r="AH329" i="3"/>
  <c r="AH31" i="3"/>
  <c r="AG476" i="3"/>
  <c r="AG478" i="3" s="1"/>
  <c r="AG28" i="3"/>
  <c r="AG399" i="3"/>
  <c r="AG402" i="3"/>
  <c r="AG411" i="3" s="1"/>
  <c r="AG418" i="3" s="1"/>
  <c r="AG401" i="3"/>
  <c r="AG410" i="3" s="1"/>
  <c r="AG417" i="3" s="1"/>
  <c r="AG170" i="3" s="1"/>
  <c r="AG400" i="3"/>
  <c r="AG409" i="3" s="1"/>
  <c r="AG416" i="3" s="1"/>
  <c r="Y116" i="2" l="1"/>
  <c r="BR116" i="3" s="1"/>
  <c r="BR457" i="3"/>
  <c r="BR320" i="3"/>
  <c r="Y321" i="2"/>
  <c r="Z489" i="2"/>
  <c r="Z96" i="2"/>
  <c r="BS9" i="3"/>
  <c r="Z92" i="2"/>
  <c r="BR249" i="3"/>
  <c r="AT27" i="9"/>
  <c r="AQ123" i="9"/>
  <c r="BR175" i="3"/>
  <c r="Y281" i="2"/>
  <c r="BR103" i="3"/>
  <c r="Y501" i="2"/>
  <c r="Y461" i="2"/>
  <c r="BR461" i="3" s="1"/>
  <c r="Y250" i="2"/>
  <c r="BR250" i="3" s="1"/>
  <c r="Y331" i="2"/>
  <c r="Z10" i="2"/>
  <c r="AW27" i="9"/>
  <c r="AG403" i="3"/>
  <c r="AG408" i="3"/>
  <c r="AH355" i="3"/>
  <c r="BK84" i="9"/>
  <c r="AG84" i="9"/>
  <c r="AG438" i="3"/>
  <c r="AG444" i="3" s="1"/>
  <c r="AG241" i="3"/>
  <c r="AG169" i="3"/>
  <c r="AG139" i="3"/>
  <c r="AG71" i="3"/>
  <c r="AG392" i="5"/>
  <c r="M83" i="9"/>
  <c r="W83" i="9" s="1"/>
  <c r="AG191" i="5"/>
  <c r="AH439" i="3"/>
  <c r="N84" i="9"/>
  <c r="AH330" i="3"/>
  <c r="AG268" i="3"/>
  <c r="AG210" i="3"/>
  <c r="AG480" i="3"/>
  <c r="Y252" i="2" l="1"/>
  <c r="BR252" i="3" s="1"/>
  <c r="Y117" i="2"/>
  <c r="Y118" i="2" s="1"/>
  <c r="Y126" i="2" s="1"/>
  <c r="BB27" i="9"/>
  <c r="BC27" i="9" s="1"/>
  <c r="BC123" i="9" s="1"/>
  <c r="Y347" i="2"/>
  <c r="BR348" i="3" s="1"/>
  <c r="Z12" i="2"/>
  <c r="Z110" i="2" s="1"/>
  <c r="AY27" i="9"/>
  <c r="AY123" i="9" s="1"/>
  <c r="AW123" i="9"/>
  <c r="AR28" i="9"/>
  <c r="AR124" i="9" s="1"/>
  <c r="AE28" i="9"/>
  <c r="AE124" i="9" s="1"/>
  <c r="BS96" i="3"/>
  <c r="Z310" i="2"/>
  <c r="BS310" i="3" s="1"/>
  <c r="Z100" i="2"/>
  <c r="BS10" i="3"/>
  <c r="BR501" i="3"/>
  <c r="Y503" i="2"/>
  <c r="Z11" i="2"/>
  <c r="BR331" i="3"/>
  <c r="Y332" i="2"/>
  <c r="AT123" i="9"/>
  <c r="Y349" i="2"/>
  <c r="Y251" i="2"/>
  <c r="Z94" i="2"/>
  <c r="BS92" i="3"/>
  <c r="BS489" i="3"/>
  <c r="BR281" i="3"/>
  <c r="BR321" i="3"/>
  <c r="Z306" i="2"/>
  <c r="H277" i="1"/>
  <c r="A278" i="1" s="1"/>
  <c r="AG387" i="5"/>
  <c r="AH357" i="3"/>
  <c r="AG415" i="3"/>
  <c r="AG419" i="3" s="1"/>
  <c r="AG420" i="3" s="1"/>
  <c r="AG412" i="3"/>
  <c r="AG413" i="3" s="1"/>
  <c r="AG171" i="3"/>
  <c r="AG182" i="3" s="1"/>
  <c r="AG192" i="3"/>
  <c r="AG481" i="3"/>
  <c r="BB123" i="9" l="1"/>
  <c r="BF27" i="9"/>
  <c r="Y348" i="2"/>
  <c r="Y177" i="2"/>
  <c r="BR177" i="3" s="1"/>
  <c r="Y464" i="2"/>
  <c r="BR464" i="3" s="1"/>
  <c r="Y253" i="2"/>
  <c r="BR253" i="3" s="1"/>
  <c r="Z13" i="2"/>
  <c r="BS13" i="3" s="1"/>
  <c r="BR117" i="3"/>
  <c r="BS12" i="3"/>
  <c r="BR118" i="3"/>
  <c r="Y508" i="2"/>
  <c r="Y510" i="2" s="1"/>
  <c r="BS306" i="3"/>
  <c r="Z32" i="2"/>
  <c r="Z337" i="2"/>
  <c r="BS338" i="3" s="1"/>
  <c r="AZ28" i="9"/>
  <c r="AZ124" i="9" s="1"/>
  <c r="BS110" i="3"/>
  <c r="BR350" i="3"/>
  <c r="Z335" i="2"/>
  <c r="BR332" i="3"/>
  <c r="Z324" i="2"/>
  <c r="BG27" i="9"/>
  <c r="BG123" i="9" s="1"/>
  <c r="BF123" i="9"/>
  <c r="BR503" i="3"/>
  <c r="Y505" i="2"/>
  <c r="Y135" i="2"/>
  <c r="BI27" i="9"/>
  <c r="Y363" i="2"/>
  <c r="Z15" i="2"/>
  <c r="BR126" i="3"/>
  <c r="Y255" i="2"/>
  <c r="Y467" i="2"/>
  <c r="BS100" i="3"/>
  <c r="Z102" i="2"/>
  <c r="Z176" i="2" s="1"/>
  <c r="Z293" i="2"/>
  <c r="BS293" i="3" s="1"/>
  <c r="Z377" i="5"/>
  <c r="BS94" i="3"/>
  <c r="Z308" i="2"/>
  <c r="BS308" i="3" s="1"/>
  <c r="Z491" i="2"/>
  <c r="Z456" i="2"/>
  <c r="BS456" i="3" s="1"/>
  <c r="AN28" i="9"/>
  <c r="AN124" i="9" s="1"/>
  <c r="Z29" i="2"/>
  <c r="AA93" i="2"/>
  <c r="BT93" i="3" s="1"/>
  <c r="Y350" i="2"/>
  <c r="Z336" i="2" s="1"/>
  <c r="BR349" i="3"/>
  <c r="BR251" i="3"/>
  <c r="BU27" i="9"/>
  <c r="BU123" i="9" s="1"/>
  <c r="BS11" i="3"/>
  <c r="G28" i="9"/>
  <c r="G124" i="9" s="1"/>
  <c r="AG207" i="3"/>
  <c r="AG153" i="3"/>
  <c r="AG154" i="3" s="1"/>
  <c r="AG156" i="3" s="1"/>
  <c r="CA357" i="3"/>
  <c r="AH121" i="3"/>
  <c r="AG482" i="3"/>
  <c r="Y282" i="2" l="1"/>
  <c r="Y284" i="2" s="1"/>
  <c r="Z14" i="2"/>
  <c r="BS14" i="3" s="1"/>
  <c r="Z111" i="2"/>
  <c r="Z338" i="2" s="1"/>
  <c r="Y254" i="2"/>
  <c r="BR254" i="3" s="1"/>
  <c r="BR508" i="3"/>
  <c r="Z379" i="5"/>
  <c r="Z383" i="5" s="1"/>
  <c r="Z502" i="2"/>
  <c r="BS502" i="3" s="1"/>
  <c r="Z460" i="2"/>
  <c r="BS460" i="3" s="1"/>
  <c r="Z296" i="2"/>
  <c r="BS296" i="3" s="1"/>
  <c r="BS102" i="3"/>
  <c r="Z378" i="5"/>
  <c r="Z326" i="2"/>
  <c r="BS326" i="3" s="1"/>
  <c r="AU28" i="9"/>
  <c r="AU124" i="9" s="1"/>
  <c r="BR467" i="3"/>
  <c r="BR364" i="3"/>
  <c r="Y364" i="2"/>
  <c r="Z353" i="2" s="1"/>
  <c r="BS491" i="3"/>
  <c r="Z494" i="2"/>
  <c r="BS494" i="3" s="1"/>
  <c r="Z493" i="2"/>
  <c r="BS176" i="3"/>
  <c r="BR255" i="3"/>
  <c r="Y257" i="2"/>
  <c r="BI123" i="9"/>
  <c r="BL27" i="9"/>
  <c r="BS335" i="3"/>
  <c r="Z339" i="2"/>
  <c r="BS336" i="3"/>
  <c r="Z309" i="2"/>
  <c r="BS29" i="3"/>
  <c r="Z317" i="2"/>
  <c r="BS317" i="3" s="1"/>
  <c r="BR282" i="3"/>
  <c r="BR510" i="3"/>
  <c r="Y512" i="2"/>
  <c r="BO27" i="9"/>
  <c r="BR135" i="3"/>
  <c r="Y258" i="2"/>
  <c r="Y469" i="2"/>
  <c r="BR469" i="3" s="1"/>
  <c r="Z18" i="2"/>
  <c r="Y382" i="2"/>
  <c r="Z313" i="2"/>
  <c r="BS337" i="3"/>
  <c r="Z17" i="2"/>
  <c r="BS15" i="3"/>
  <c r="Z127" i="2"/>
  <c r="Y506" i="2"/>
  <c r="BR505" i="3"/>
  <c r="BS324" i="3"/>
  <c r="BS32" i="3"/>
  <c r="Z343" i="2"/>
  <c r="BS344" i="3" s="1"/>
  <c r="AG158" i="3"/>
  <c r="AG162" i="3" s="1"/>
  <c r="AG159" i="3"/>
  <c r="AG160" i="3" s="1"/>
  <c r="AG161" i="3" s="1"/>
  <c r="AH358" i="3"/>
  <c r="H28" i="9" l="1"/>
  <c r="H124" i="9" s="1"/>
  <c r="Z33" i="2"/>
  <c r="Z34" i="2" s="1"/>
  <c r="O28" i="9" s="1"/>
  <c r="O124" i="9" s="1"/>
  <c r="BS111" i="3"/>
  <c r="BV27" i="9"/>
  <c r="BV123" i="9" s="1"/>
  <c r="Z112" i="2"/>
  <c r="Z178" i="2" s="1"/>
  <c r="Z509" i="2"/>
  <c r="BS509" i="3" s="1"/>
  <c r="BD28" i="9"/>
  <c r="BD124" i="9" s="1"/>
  <c r="BS339" i="3"/>
  <c r="Z340" i="2"/>
  <c r="BS341" i="3" s="1"/>
  <c r="Z327" i="2"/>
  <c r="BS327" i="3" s="1"/>
  <c r="BK28" i="9"/>
  <c r="BK124" i="9" s="1"/>
  <c r="BS127" i="3"/>
  <c r="Z355" i="2"/>
  <c r="BS355" i="3" s="1"/>
  <c r="AG28" i="9"/>
  <c r="AG124" i="9" s="1"/>
  <c r="BR382" i="3"/>
  <c r="Y383" i="2"/>
  <c r="X359" i="1"/>
  <c r="BR284" i="3"/>
  <c r="Z319" i="2"/>
  <c r="BS319" i="3" s="1"/>
  <c r="Y474" i="2"/>
  <c r="BS18" i="3"/>
  <c r="Z38" i="2"/>
  <c r="J28" i="9"/>
  <c r="J124" i="9" s="1"/>
  <c r="E278" i="1"/>
  <c r="BP27" i="9"/>
  <c r="BP123" i="9" s="1"/>
  <c r="BO123" i="9"/>
  <c r="BS340" i="3"/>
  <c r="Z113" i="2"/>
  <c r="BR257" i="3"/>
  <c r="BW27" i="9"/>
  <c r="BW123" i="9" s="1"/>
  <c r="Z496" i="2"/>
  <c r="BS493" i="3"/>
  <c r="BS353" i="3"/>
  <c r="Y391" i="1"/>
  <c r="Y513" i="2"/>
  <c r="BR512" i="3"/>
  <c r="BS309" i="3"/>
  <c r="Y390" i="1"/>
  <c r="BS17" i="3"/>
  <c r="I28" i="9"/>
  <c r="I124" i="9" s="1"/>
  <c r="BX27" i="9"/>
  <c r="BX123" i="9" s="1"/>
  <c r="BR258" i="3"/>
  <c r="Y175" i="5"/>
  <c r="BL123" i="9"/>
  <c r="Y472" i="2"/>
  <c r="AH359" i="3"/>
  <c r="AH122" i="3" s="1"/>
  <c r="AG163" i="3"/>
  <c r="AG165" i="3" s="1"/>
  <c r="AG267" i="3" s="1"/>
  <c r="Z297" i="2" l="1"/>
  <c r="BS297" i="3" s="1"/>
  <c r="Z463" i="2"/>
  <c r="BS463" i="3" s="1"/>
  <c r="BS112" i="3"/>
  <c r="BS34" i="3"/>
  <c r="Z344" i="2"/>
  <c r="BS345" i="3" s="1"/>
  <c r="BS33" i="3"/>
  <c r="Z114" i="2"/>
  <c r="BE28" i="9" s="1"/>
  <c r="BE124" i="9" s="1"/>
  <c r="Z99" i="2"/>
  <c r="Z30" i="2" s="1"/>
  <c r="BR27" i="9"/>
  <c r="BR123" i="9" s="1"/>
  <c r="Z357" i="2"/>
  <c r="BS358" i="3" s="1"/>
  <c r="Z341" i="2"/>
  <c r="BS113" i="3"/>
  <c r="BA28" i="9"/>
  <c r="BA124" i="9" s="1"/>
  <c r="BR474" i="3"/>
  <c r="Y476" i="2"/>
  <c r="BR383" i="3"/>
  <c r="Z377" i="2"/>
  <c r="BR472" i="3"/>
  <c r="Y28" i="2"/>
  <c r="Y401" i="2"/>
  <c r="Y400" i="2"/>
  <c r="Y399" i="2"/>
  <c r="Y402" i="2"/>
  <c r="BS496" i="3"/>
  <c r="Z497" i="2"/>
  <c r="Z173" i="5"/>
  <c r="Q28" i="9"/>
  <c r="Q124" i="9" s="1"/>
  <c r="BS38" i="3"/>
  <c r="Z379" i="2"/>
  <c r="BS379" i="3" s="1"/>
  <c r="BS178" i="3"/>
  <c r="Y357" i="1"/>
  <c r="AH360" i="3"/>
  <c r="AH123" i="3"/>
  <c r="AG183" i="3"/>
  <c r="AG166" i="3"/>
  <c r="AG139" i="5"/>
  <c r="Z459" i="2" l="1"/>
  <c r="BS459" i="3" s="1"/>
  <c r="AV28" i="9"/>
  <c r="AV124" i="9" s="1"/>
  <c r="BS99" i="3"/>
  <c r="Z328" i="2"/>
  <c r="BS328" i="3" s="1"/>
  <c r="Z295" i="2"/>
  <c r="BS295" i="3" s="1"/>
  <c r="AA101" i="2"/>
  <c r="BT101" i="3" s="1"/>
  <c r="BS114" i="3"/>
  <c r="Z342" i="2"/>
  <c r="Z346" i="2" s="1"/>
  <c r="BS347" i="3" s="1"/>
  <c r="Z115" i="2"/>
  <c r="BS115" i="3" s="1"/>
  <c r="Z121" i="2"/>
  <c r="Z358" i="2" s="1"/>
  <c r="BS497" i="3"/>
  <c r="Z498" i="2"/>
  <c r="BS498" i="3" s="1"/>
  <c r="BR400" i="3"/>
  <c r="Y409" i="2"/>
  <c r="BS377" i="3"/>
  <c r="Z381" i="2"/>
  <c r="BS381" i="3" s="1"/>
  <c r="BR401" i="3"/>
  <c r="Y410" i="2"/>
  <c r="BR402" i="3"/>
  <c r="Y411" i="2"/>
  <c r="Y139" i="2"/>
  <c r="BR139" i="3" s="1"/>
  <c r="Y71" i="2"/>
  <c r="Y11" i="5"/>
  <c r="Y207" i="5" s="1"/>
  <c r="Y241" i="2"/>
  <c r="BR241" i="3" s="1"/>
  <c r="BR28" i="3"/>
  <c r="Y169" i="2"/>
  <c r="M27" i="9"/>
  <c r="Y438" i="2"/>
  <c r="Y390" i="5"/>
  <c r="Y478" i="2"/>
  <c r="BR476" i="3"/>
  <c r="BS342" i="3"/>
  <c r="Z345" i="2"/>
  <c r="BS346" i="3" s="1"/>
  <c r="BS30" i="3"/>
  <c r="Z329" i="2"/>
  <c r="BS329" i="3" s="1"/>
  <c r="Z31" i="2"/>
  <c r="BR399" i="3"/>
  <c r="Y403" i="2"/>
  <c r="BR403" i="3" s="1"/>
  <c r="Y408" i="2"/>
  <c r="AH125" i="3"/>
  <c r="BH84" i="9"/>
  <c r="AH35" i="3"/>
  <c r="AG208" i="3"/>
  <c r="AG212" i="3" s="1"/>
  <c r="AG184" i="3"/>
  <c r="BS343" i="3" l="1"/>
  <c r="Z462" i="2"/>
  <c r="BS462" i="3" s="1"/>
  <c r="Z298" i="2"/>
  <c r="BS298" i="3" s="1"/>
  <c r="BS121" i="3"/>
  <c r="Y480" i="2"/>
  <c r="BR478" i="3"/>
  <c r="W27" i="9"/>
  <c r="M123" i="9"/>
  <c r="Y417" i="2"/>
  <c r="BR410" i="3"/>
  <c r="BR169" i="3"/>
  <c r="X354" i="1"/>
  <c r="Y386" i="5"/>
  <c r="Y388" i="5" s="1"/>
  <c r="BR71" i="3"/>
  <c r="X368" i="1"/>
  <c r="N28" i="9"/>
  <c r="N124" i="9" s="1"/>
  <c r="BS31" i="3"/>
  <c r="Z439" i="2"/>
  <c r="BS439" i="3" s="1"/>
  <c r="Y394" i="5"/>
  <c r="Y391" i="5"/>
  <c r="Y395" i="5" s="1"/>
  <c r="BS359" i="3"/>
  <c r="Z359" i="2"/>
  <c r="Y416" i="2"/>
  <c r="BR416" i="3" s="1"/>
  <c r="BR409" i="3"/>
  <c r="Z330" i="2"/>
  <c r="BS330" i="3" s="1"/>
  <c r="BR408" i="3"/>
  <c r="Y415" i="2"/>
  <c r="Y412" i="2"/>
  <c r="BR412" i="3" s="1"/>
  <c r="BR438" i="3"/>
  <c r="Y444" i="2"/>
  <c r="BR444" i="3" s="1"/>
  <c r="BR411" i="3"/>
  <c r="Y418" i="2"/>
  <c r="BR418" i="3" s="1"/>
  <c r="AH361" i="3"/>
  <c r="AH37" i="3"/>
  <c r="AG95" i="4"/>
  <c r="AG266" i="3"/>
  <c r="AG270" i="3" s="1"/>
  <c r="AG191" i="3"/>
  <c r="AG193" i="3" s="1"/>
  <c r="AG398" i="5"/>
  <c r="AG330" i="5"/>
  <c r="AG225" i="3"/>
  <c r="AG218" i="3"/>
  <c r="AH466" i="3"/>
  <c r="AH299" i="3"/>
  <c r="W123" i="9" l="1"/>
  <c r="BR415" i="3"/>
  <c r="Y419" i="2"/>
  <c r="Y413" i="2"/>
  <c r="Z122" i="2"/>
  <c r="BS360" i="3"/>
  <c r="Y170" i="2"/>
  <c r="BR417" i="3"/>
  <c r="BR480" i="3"/>
  <c r="Y481" i="2"/>
  <c r="AG64" i="4"/>
  <c r="AI65" i="4" s="1"/>
  <c r="AG331" i="5"/>
  <c r="AH362" i="3"/>
  <c r="AG220" i="3"/>
  <c r="AG222" i="3"/>
  <c r="AG221" i="3"/>
  <c r="AG199" i="3"/>
  <c r="AG195" i="3"/>
  <c r="AG201" i="3"/>
  <c r="AG197" i="3"/>
  <c r="AG200" i="3"/>
  <c r="AG198" i="3"/>
  <c r="AG196" i="3"/>
  <c r="AH440" i="3"/>
  <c r="P84" i="9"/>
  <c r="Z360" i="2" l="1"/>
  <c r="BS122" i="3"/>
  <c r="Z123" i="2"/>
  <c r="BR481" i="3"/>
  <c r="Y482" i="2"/>
  <c r="BR482" i="3" s="1"/>
  <c r="BR170" i="3"/>
  <c r="Y210" i="2"/>
  <c r="Y268" i="2"/>
  <c r="BR268" i="3" s="1"/>
  <c r="X355" i="1"/>
  <c r="Y171" i="2"/>
  <c r="Y192" i="2"/>
  <c r="Y420" i="2"/>
  <c r="BR420" i="3" s="1"/>
  <c r="BR419" i="3"/>
  <c r="AG223" i="3"/>
  <c r="AG227" i="3" s="1"/>
  <c r="AG334" i="5" s="1"/>
  <c r="AG326" i="4"/>
  <c r="BX285" i="1"/>
  <c r="S332" i="1"/>
  <c r="AG324" i="4"/>
  <c r="Q332" i="1"/>
  <c r="BV285" i="1"/>
  <c r="AG204" i="3"/>
  <c r="AG515" i="3" s="1"/>
  <c r="T332" i="1"/>
  <c r="AG321" i="4"/>
  <c r="AG202" i="3"/>
  <c r="N332" i="1"/>
  <c r="BS285" i="1"/>
  <c r="AG325" i="4"/>
  <c r="R332" i="1"/>
  <c r="BW285" i="1"/>
  <c r="AG322" i="4"/>
  <c r="O332" i="1"/>
  <c r="BT285" i="1"/>
  <c r="AG323" i="4"/>
  <c r="BU285" i="1"/>
  <c r="P332" i="1"/>
  <c r="AI71" i="4"/>
  <c r="AI67" i="4"/>
  <c r="AI70" i="4"/>
  <c r="AI69" i="4"/>
  <c r="AI68" i="4"/>
  <c r="AG228" i="3" l="1"/>
  <c r="BR192" i="3"/>
  <c r="X366" i="1"/>
  <c r="BR210" i="3"/>
  <c r="X380" i="1"/>
  <c r="BS123" i="3"/>
  <c r="Z125" i="2"/>
  <c r="BH28" i="9"/>
  <c r="BH124" i="9" s="1"/>
  <c r="Z35" i="2"/>
  <c r="Y182" i="2"/>
  <c r="BR171" i="3"/>
  <c r="X356" i="1"/>
  <c r="X361" i="1" s="1"/>
  <c r="BS361" i="3"/>
  <c r="BM285" i="1"/>
  <c r="T285" i="1"/>
  <c r="BP285" i="1"/>
  <c r="W285" i="1"/>
  <c r="M332" i="1"/>
  <c r="U332" i="1" s="1"/>
  <c r="BO285" i="1"/>
  <c r="V285" i="1"/>
  <c r="AG484" i="3"/>
  <c r="AG485" i="3" s="1"/>
  <c r="AG422" i="3"/>
  <c r="AG424" i="3" s="1"/>
  <c r="AG145" i="3"/>
  <c r="AG332" i="5"/>
  <c r="AG203" i="3"/>
  <c r="AI72" i="4"/>
  <c r="BN285" i="1"/>
  <c r="U285" i="1"/>
  <c r="BL285" i="1"/>
  <c r="S285" i="1"/>
  <c r="X285" i="1"/>
  <c r="BQ285" i="1"/>
  <c r="AI74" i="4" l="1"/>
  <c r="AI272" i="3"/>
  <c r="BS35" i="3"/>
  <c r="Z361" i="2"/>
  <c r="Z37" i="2"/>
  <c r="BS125" i="3"/>
  <c r="Z466" i="2"/>
  <c r="BS466" i="3" s="1"/>
  <c r="Z299" i="2"/>
  <c r="BS299" i="3" s="1"/>
  <c r="Y153" i="2"/>
  <c r="Y207" i="2"/>
  <c r="BR182" i="3"/>
  <c r="AH302" i="3"/>
  <c r="AG244" i="3"/>
  <c r="AG245" i="3" s="1"/>
  <c r="AG260" i="3" s="1"/>
  <c r="AG146" i="3"/>
  <c r="AG129" i="5" s="1"/>
  <c r="Z83" i="9"/>
  <c r="AJ83" i="9" s="1"/>
  <c r="AL83" i="9" s="1"/>
  <c r="AG197" i="5"/>
  <c r="AG198" i="5" s="1"/>
  <c r="AG199" i="5" s="1"/>
  <c r="AG200" i="5" s="1"/>
  <c r="AG148" i="3"/>
  <c r="AG229" i="3"/>
  <c r="AG335" i="5" s="1"/>
  <c r="AI73" i="4"/>
  <c r="BK285" i="1"/>
  <c r="R285" i="1"/>
  <c r="AG333" i="5"/>
  <c r="AG516" i="3"/>
  <c r="AG425" i="3"/>
  <c r="BR207" i="3" l="1"/>
  <c r="Y212" i="2"/>
  <c r="Y154" i="2"/>
  <c r="BR153" i="3"/>
  <c r="Z440" i="2"/>
  <c r="BS440" i="3" s="1"/>
  <c r="P28" i="9"/>
  <c r="P124" i="9" s="1"/>
  <c r="BS37" i="3"/>
  <c r="BS362" i="3"/>
  <c r="BS356" i="3"/>
  <c r="Z362" i="2"/>
  <c r="BS363" i="3" s="1"/>
  <c r="AH8" i="3"/>
  <c r="AG248" i="3"/>
  <c r="Y156" i="2" l="1"/>
  <c r="BR154" i="3"/>
  <c r="BR212" i="3"/>
  <c r="Y218" i="2"/>
  <c r="Y225" i="2"/>
  <c r="BR225" i="3" s="1"/>
  <c r="AG259" i="3"/>
  <c r="AG369" i="5" s="1"/>
  <c r="BT83" i="9"/>
  <c r="BY83" i="9" s="1"/>
  <c r="AG486" i="3"/>
  <c r="AH450" i="3"/>
  <c r="AH447" i="3"/>
  <c r="AH390" i="3"/>
  <c r="AH19" i="3"/>
  <c r="AH84" i="3"/>
  <c r="AH20" i="3"/>
  <c r="F84" i="9"/>
  <c r="K84" i="9" s="1"/>
  <c r="AH373" i="5"/>
  <c r="Y220" i="2" l="1"/>
  <c r="Y222" i="2"/>
  <c r="BR222" i="3" s="1"/>
  <c r="BR218" i="3"/>
  <c r="Y221" i="2"/>
  <c r="BR221" i="3" s="1"/>
  <c r="Y159" i="2"/>
  <c r="Y158" i="2"/>
  <c r="BR156" i="3"/>
  <c r="AG261" i="3"/>
  <c r="AG262" i="3" s="1"/>
  <c r="AH232" i="3"/>
  <c r="AH190" i="5"/>
  <c r="AH365" i="5"/>
  <c r="AH238" i="3"/>
  <c r="AH85" i="3"/>
  <c r="AH195" i="5"/>
  <c r="AG393" i="5"/>
  <c r="AH393" i="3"/>
  <c r="AH391" i="3"/>
  <c r="AH394" i="3"/>
  <c r="AH392" i="3"/>
  <c r="BR158" i="3" l="1"/>
  <c r="Y162" i="2"/>
  <c r="BR162" i="3" s="1"/>
  <c r="BR159" i="3"/>
  <c r="Y160" i="2"/>
  <c r="BR220" i="3"/>
  <c r="Y223" i="2"/>
  <c r="AH470" i="3"/>
  <c r="AH290" i="3"/>
  <c r="AH287" i="3"/>
  <c r="AH240" i="3"/>
  <c r="AD84" i="9"/>
  <c r="AH395" i="3"/>
  <c r="AH303" i="3" l="1"/>
  <c r="Y161" i="2"/>
  <c r="BR160" i="3"/>
  <c r="BR223" i="3"/>
  <c r="Y227" i="2"/>
  <c r="AH405" i="3"/>
  <c r="AH396" i="3"/>
  <c r="AI84" i="9"/>
  <c r="AH95" i="3" l="1"/>
  <c r="AH103" i="3" s="1"/>
  <c r="AH175" i="3" s="1"/>
  <c r="AH281" i="3" s="1"/>
  <c r="X371" i="1"/>
  <c r="X393" i="1"/>
  <c r="BR227" i="3"/>
  <c r="X385" i="1"/>
  <c r="Y89" i="5"/>
  <c r="Y345" i="5" s="1"/>
  <c r="Y228" i="2"/>
  <c r="BR228" i="3" s="1"/>
  <c r="BR161" i="3"/>
  <c r="Y163" i="2"/>
  <c r="AH249" i="3" l="1"/>
  <c r="AQ84" i="9"/>
  <c r="AT84" i="9" s="1"/>
  <c r="AH320" i="3"/>
  <c r="AH321" i="3" s="1"/>
  <c r="AI306" i="3" s="1"/>
  <c r="AH457" i="3"/>
  <c r="AI9" i="3"/>
  <c r="AI93" i="3" s="1"/>
  <c r="AI94" i="3" s="1"/>
  <c r="AJ92" i="3" s="1"/>
  <c r="BR163" i="3"/>
  <c r="Y165" i="2"/>
  <c r="Y267" i="2" s="1"/>
  <c r="AH461" i="3"/>
  <c r="AH331" i="3"/>
  <c r="AH332" i="3" s="1"/>
  <c r="AI324" i="3" s="1"/>
  <c r="AW84" i="9"/>
  <c r="AY84" i="9" s="1"/>
  <c r="AH501" i="3"/>
  <c r="AH503" i="3" s="1"/>
  <c r="AH505" i="3" s="1"/>
  <c r="AH506" i="3" s="1"/>
  <c r="AI10" i="3"/>
  <c r="AH250" i="3"/>
  <c r="AH251" i="3" s="1"/>
  <c r="BU84" i="9" s="1"/>
  <c r="AH116" i="3"/>
  <c r="AH117" i="3" s="1"/>
  <c r="AI11" i="3" l="1"/>
  <c r="G85" i="9" s="1"/>
  <c r="AI96" i="3"/>
  <c r="AE85" i="9" s="1"/>
  <c r="AI489" i="3"/>
  <c r="Y112" i="5"/>
  <c r="Y140" i="5" s="1"/>
  <c r="BR165" i="3"/>
  <c r="BR267" i="3"/>
  <c r="Y183" i="2"/>
  <c r="Y166" i="2"/>
  <c r="BR166" i="3" s="1"/>
  <c r="AH348" i="3"/>
  <c r="AH350" i="3" s="1"/>
  <c r="AI336" i="3" s="1"/>
  <c r="BF84" i="9"/>
  <c r="BG84" i="9" s="1"/>
  <c r="AH508" i="3"/>
  <c r="AH510" i="3" s="1"/>
  <c r="AH512" i="3" s="1"/>
  <c r="AH513" i="3" s="1"/>
  <c r="AH253" i="3"/>
  <c r="AI13" i="3"/>
  <c r="AI310" i="3"/>
  <c r="AR85" i="9"/>
  <c r="AH347" i="3"/>
  <c r="AH349" i="3" s="1"/>
  <c r="AI335" i="3" s="1"/>
  <c r="AH118" i="3"/>
  <c r="AH126" i="3" s="1"/>
  <c r="BB84" i="9"/>
  <c r="BC84" i="9" s="1"/>
  <c r="AI12" i="3"/>
  <c r="AH252" i="3"/>
  <c r="AI100" i="3"/>
  <c r="AI102" i="3" s="1"/>
  <c r="AI456" i="3"/>
  <c r="AI308" i="3"/>
  <c r="AI293" i="3"/>
  <c r="AN85" i="9"/>
  <c r="AI405" i="5"/>
  <c r="AI406" i="5" s="1"/>
  <c r="AI380" i="5"/>
  <c r="AI491" i="3"/>
  <c r="AI493" i="3" s="1"/>
  <c r="AI494" i="3" s="1"/>
  <c r="AI29" i="3"/>
  <c r="AH254" i="3" l="1"/>
  <c r="BV84" i="9" s="1"/>
  <c r="X363" i="1"/>
  <c r="X364" i="1" s="1"/>
  <c r="BR183" i="3"/>
  <c r="X375" i="1"/>
  <c r="Y184" i="2"/>
  <c r="AI408" i="5"/>
  <c r="AI309" i="3"/>
  <c r="AI502" i="3"/>
  <c r="AI460" i="3"/>
  <c r="AI326" i="3"/>
  <c r="AI296" i="3"/>
  <c r="AU85" i="9"/>
  <c r="AI381" i="5"/>
  <c r="AI317" i="3"/>
  <c r="AI319" i="3" s="1"/>
  <c r="AH464" i="3"/>
  <c r="AH177" i="3"/>
  <c r="AH282" i="3" s="1"/>
  <c r="AH284" i="3" s="1"/>
  <c r="AI33" i="3"/>
  <c r="AI344" i="3" s="1"/>
  <c r="AI340" i="3"/>
  <c r="AI114" i="3" s="1"/>
  <c r="AI176" i="3"/>
  <c r="AI339" i="3"/>
  <c r="AI113" i="3" s="1"/>
  <c r="AI496" i="3"/>
  <c r="AI497" i="3" s="1"/>
  <c r="AI498" i="3" s="1"/>
  <c r="AI382" i="5"/>
  <c r="AI14" i="3"/>
  <c r="H85" i="9" s="1"/>
  <c r="AI32" i="3"/>
  <c r="Y266" i="2" l="1"/>
  <c r="Y94" i="4"/>
  <c r="Y397" i="5"/>
  <c r="Y85" i="5"/>
  <c r="Y342" i="5" s="1"/>
  <c r="BR184" i="3"/>
  <c r="Y191" i="2"/>
  <c r="Y399" i="5"/>
  <c r="X374" i="1"/>
  <c r="X377" i="1" s="1"/>
  <c r="X382" i="1" s="1"/>
  <c r="X384" i="1" s="1"/>
  <c r="X386" i="1" s="1"/>
  <c r="X367" i="1"/>
  <c r="AI343" i="3"/>
  <c r="AI34" i="3"/>
  <c r="O85" i="9" s="1"/>
  <c r="AI341" i="3"/>
  <c r="AI115" i="3"/>
  <c r="BA85" i="9"/>
  <c r="AH467" i="3"/>
  <c r="AH363" i="3"/>
  <c r="AH364" i="3" s="1"/>
  <c r="AI353" i="3" s="1"/>
  <c r="BI84" i="9"/>
  <c r="BL84" i="9" s="1"/>
  <c r="BR84" i="9" s="1"/>
  <c r="AH255" i="3"/>
  <c r="AH257" i="3" s="1"/>
  <c r="BW84" i="9" s="1"/>
  <c r="AI15" i="3"/>
  <c r="AI327" i="3"/>
  <c r="AI99" i="3" s="1"/>
  <c r="AI342" i="3"/>
  <c r="AI346" i="3" s="1"/>
  <c r="BE85" i="9"/>
  <c r="Y270" i="2" l="1"/>
  <c r="Y271" i="2"/>
  <c r="Y86" i="4" s="1"/>
  <c r="Y193" i="2"/>
  <c r="BR191" i="3"/>
  <c r="BR266" i="3"/>
  <c r="AI345" i="3"/>
  <c r="AI462" i="3"/>
  <c r="AI298" i="3"/>
  <c r="AI459" i="3"/>
  <c r="AI295" i="3"/>
  <c r="AI328" i="3"/>
  <c r="AV85" i="9"/>
  <c r="AI30" i="3"/>
  <c r="AJ101" i="3"/>
  <c r="AI127" i="3"/>
  <c r="AI17" i="3"/>
  <c r="I85" i="9" s="1"/>
  <c r="AH472" i="3"/>
  <c r="AH474" i="3"/>
  <c r="BR270" i="3" l="1"/>
  <c r="Y86" i="5"/>
  <c r="Y343" i="5" s="1"/>
  <c r="Y32" i="4"/>
  <c r="AA33" i="4" s="1"/>
  <c r="Y196" i="2"/>
  <c r="Y197" i="2"/>
  <c r="Y199" i="2"/>
  <c r="BR193" i="3"/>
  <c r="Y195" i="2"/>
  <c r="Y198" i="2"/>
  <c r="Y201" i="2"/>
  <c r="Y200" i="2"/>
  <c r="AH28" i="3"/>
  <c r="AH400" i="3"/>
  <c r="AH409" i="3" s="1"/>
  <c r="AH416" i="3" s="1"/>
  <c r="AH399" i="3"/>
  <c r="AH402" i="3"/>
  <c r="AH411" i="3" s="1"/>
  <c r="AH418" i="3" s="1"/>
  <c r="AH401" i="3"/>
  <c r="AH410" i="3" s="1"/>
  <c r="AH417" i="3" s="1"/>
  <c r="AH170" i="3" s="1"/>
  <c r="AI355" i="3"/>
  <c r="AG85" i="9"/>
  <c r="BK85" i="9"/>
  <c r="AI329" i="3"/>
  <c r="AI330" i="3" s="1"/>
  <c r="AI31" i="3"/>
  <c r="AH476" i="3"/>
  <c r="AH478" i="3" s="1"/>
  <c r="Y318" i="4" l="1"/>
  <c r="P277" i="1" s="1"/>
  <c r="BR200" i="3"/>
  <c r="I324" i="1"/>
  <c r="AA57" i="4"/>
  <c r="AA56" i="4"/>
  <c r="AA54" i="4"/>
  <c r="AA58" i="4"/>
  <c r="AA55" i="4"/>
  <c r="J324" i="1"/>
  <c r="BR201" i="3"/>
  <c r="Y204" i="2"/>
  <c r="Y317" i="4"/>
  <c r="O277" i="1" s="1"/>
  <c r="H324" i="1"/>
  <c r="BR199" i="3"/>
  <c r="Y316" i="4"/>
  <c r="N277" i="1" s="1"/>
  <c r="BR198" i="3"/>
  <c r="G324" i="1"/>
  <c r="BR197" i="3"/>
  <c r="F324" i="1"/>
  <c r="Y315" i="4"/>
  <c r="M277" i="1" s="1"/>
  <c r="Y202" i="2"/>
  <c r="D324" i="1"/>
  <c r="Y313" i="4"/>
  <c r="K277" i="1" s="1"/>
  <c r="BR195" i="3"/>
  <c r="E324" i="1"/>
  <c r="Y314" i="4"/>
  <c r="L277" i="1" s="1"/>
  <c r="BR196" i="3"/>
  <c r="AI439" i="3"/>
  <c r="N85" i="9"/>
  <c r="AH268" i="3"/>
  <c r="AH210" i="3"/>
  <c r="AH438" i="3"/>
  <c r="AH444" i="3" s="1"/>
  <c r="AH241" i="3"/>
  <c r="AH71" i="3"/>
  <c r="AH169" i="3"/>
  <c r="AH139" i="3"/>
  <c r="AH191" i="5"/>
  <c r="M84" i="9"/>
  <c r="W84" i="9" s="1"/>
  <c r="AH392" i="5"/>
  <c r="AH480" i="3"/>
  <c r="AI357" i="3"/>
  <c r="AH403" i="3"/>
  <c r="AH408" i="3"/>
  <c r="Y515" i="2" l="1"/>
  <c r="BR515" i="3" s="1"/>
  <c r="BR204" i="3"/>
  <c r="X394" i="1"/>
  <c r="C324" i="1"/>
  <c r="K324" i="1" s="1"/>
  <c r="AA59" i="4"/>
  <c r="Y422" i="2"/>
  <c r="Y87" i="5"/>
  <c r="Y344" i="5" s="1"/>
  <c r="Y484" i="2"/>
  <c r="Y145" i="2"/>
  <c r="BR202" i="3"/>
  <c r="X370" i="1"/>
  <c r="X372" i="1" s="1"/>
  <c r="Y203" i="2"/>
  <c r="AH412" i="3"/>
  <c r="AH413" i="3" s="1"/>
  <c r="AH415" i="3"/>
  <c r="AH419" i="3" s="1"/>
  <c r="AH420" i="3" s="1"/>
  <c r="AH171" i="3"/>
  <c r="AH182" i="3" s="1"/>
  <c r="AH192" i="3"/>
  <c r="AH387" i="5"/>
  <c r="CB357" i="3"/>
  <c r="AI121" i="3"/>
  <c r="AH481" i="3"/>
  <c r="AA61" i="4" l="1"/>
  <c r="AA272" i="2"/>
  <c r="Y516" i="2"/>
  <c r="BR203" i="3"/>
  <c r="J277" i="1"/>
  <c r="Y88" i="5"/>
  <c r="BR484" i="3"/>
  <c r="Y485" i="2"/>
  <c r="BR422" i="3"/>
  <c r="Y424" i="2"/>
  <c r="BR424" i="3" s="1"/>
  <c r="Y146" i="2"/>
  <c r="Y229" i="2"/>
  <c r="Y244" i="2"/>
  <c r="Y148" i="2"/>
  <c r="BR145" i="3"/>
  <c r="Z27" i="9"/>
  <c r="Z302" i="2"/>
  <c r="BS302" i="3" s="1"/>
  <c r="Y17" i="5"/>
  <c r="AA60" i="4"/>
  <c r="AH207" i="3"/>
  <c r="AH153" i="3"/>
  <c r="AH154" i="3" s="1"/>
  <c r="AH156" i="3" s="1"/>
  <c r="AH482" i="3"/>
  <c r="AI358" i="3"/>
  <c r="BR244" i="3" l="1"/>
  <c r="Y245" i="2"/>
  <c r="Z123" i="9"/>
  <c r="AJ27" i="9"/>
  <c r="AL27" i="9" s="1"/>
  <c r="Y90" i="5"/>
  <c r="Y346" i="5" s="1"/>
  <c r="BR229" i="3"/>
  <c r="Y109" i="5"/>
  <c r="BR146" i="3"/>
  <c r="BR485" i="3"/>
  <c r="Y425" i="2"/>
  <c r="BR425" i="3" s="1"/>
  <c r="Y18" i="5"/>
  <c r="Y213" i="5"/>
  <c r="BR148" i="3"/>
  <c r="Y248" i="2"/>
  <c r="Z8" i="2"/>
  <c r="BR516" i="3"/>
  <c r="Y384" i="5"/>
  <c r="AH159" i="3"/>
  <c r="AH160" i="3" s="1"/>
  <c r="AH161" i="3" s="1"/>
  <c r="AH158" i="3"/>
  <c r="AH162" i="3" s="1"/>
  <c r="AI359" i="3"/>
  <c r="AI122" i="3" s="1"/>
  <c r="AJ123" i="9" l="1"/>
  <c r="AL123" i="9"/>
  <c r="Y486" i="2"/>
  <c r="BR486" i="3" s="1"/>
  <c r="Z20" i="2"/>
  <c r="Y389" i="1"/>
  <c r="Z447" i="2"/>
  <c r="I278" i="1"/>
  <c r="F28" i="9"/>
  <c r="Z450" i="2"/>
  <c r="Z390" i="2"/>
  <c r="Z19" i="2"/>
  <c r="Z372" i="5"/>
  <c r="Z374" i="5" s="1"/>
  <c r="BS8" i="3"/>
  <c r="Z84" i="2"/>
  <c r="Y214" i="5"/>
  <c r="Y19" i="5"/>
  <c r="BT27" i="9"/>
  <c r="BR248" i="3"/>
  <c r="Y259" i="2"/>
  <c r="Y260" i="2"/>
  <c r="BR245" i="3"/>
  <c r="X373" i="1"/>
  <c r="AI360" i="3"/>
  <c r="AI123" i="3"/>
  <c r="AH163" i="3"/>
  <c r="AH165" i="3" s="1"/>
  <c r="AH267" i="3" s="1"/>
  <c r="F124" i="9" l="1"/>
  <c r="K28" i="9"/>
  <c r="Y261" i="2"/>
  <c r="BR261" i="3" s="1"/>
  <c r="Z232" i="2"/>
  <c r="BS232" i="3" s="1"/>
  <c r="Z364" i="5"/>
  <c r="Z366" i="5" s="1"/>
  <c r="BS19" i="3"/>
  <c r="Z10" i="5"/>
  <c r="Z206" i="5" s="1"/>
  <c r="BY27" i="9"/>
  <c r="BY123" i="9" s="1"/>
  <c r="BT123" i="9"/>
  <c r="BS84" i="3"/>
  <c r="Z85" i="2"/>
  <c r="Z15" i="5"/>
  <c r="Z212" i="5" s="1"/>
  <c r="Z238" i="2"/>
  <c r="Z391" i="2"/>
  <c r="BS390" i="3"/>
  <c r="Z393" i="2"/>
  <c r="Z394" i="2"/>
  <c r="Z392" i="2"/>
  <c r="BS447" i="3"/>
  <c r="BR260" i="3"/>
  <c r="Y215" i="5"/>
  <c r="Y20" i="5"/>
  <c r="BR259" i="3"/>
  <c r="Y368" i="5"/>
  <c r="Y370" i="5" s="1"/>
  <c r="Y144" i="5" s="1"/>
  <c r="BS450" i="3"/>
  <c r="AH166" i="3"/>
  <c r="AH183" i="3"/>
  <c r="AH139" i="5"/>
  <c r="AI125" i="3"/>
  <c r="BH85" i="9"/>
  <c r="AI35" i="3"/>
  <c r="K124" i="9" l="1"/>
  <c r="Y262" i="2"/>
  <c r="Z395" i="2"/>
  <c r="BS391" i="3"/>
  <c r="BS394" i="3"/>
  <c r="BS238" i="3"/>
  <c r="Z240" i="2"/>
  <c r="AD28" i="9"/>
  <c r="AD124" i="9" s="1"/>
  <c r="BS392" i="3"/>
  <c r="BS393" i="3"/>
  <c r="BS85" i="3"/>
  <c r="Z290" i="2"/>
  <c r="BS290" i="3" s="1"/>
  <c r="Z470" i="2"/>
  <c r="BS470" i="3" s="1"/>
  <c r="Z287" i="2"/>
  <c r="AI466" i="3"/>
  <c r="AI299" i="3"/>
  <c r="AH208" i="3"/>
  <c r="AH212" i="3" s="1"/>
  <c r="AH184" i="3"/>
  <c r="AI361" i="3"/>
  <c r="AI37" i="3"/>
  <c r="AI28" i="9" l="1"/>
  <c r="AI124" i="9" s="1"/>
  <c r="BS240" i="3"/>
  <c r="BS287" i="3"/>
  <c r="Z303" i="2"/>
  <c r="BS395" i="3"/>
  <c r="Z405" i="2"/>
  <c r="BS405" i="3" s="1"/>
  <c r="Z396" i="2"/>
  <c r="BS396" i="3" s="1"/>
  <c r="AH225" i="3"/>
  <c r="AH218" i="3"/>
  <c r="AI440" i="3"/>
  <c r="P85" i="9"/>
  <c r="AI362" i="3"/>
  <c r="AH95" i="4"/>
  <c r="AH266" i="3"/>
  <c r="AH270" i="3" s="1"/>
  <c r="AH191" i="3"/>
  <c r="AH193" i="3" s="1"/>
  <c r="AH330" i="5"/>
  <c r="AH398" i="5"/>
  <c r="BS303" i="3" l="1"/>
  <c r="Z95" i="2"/>
  <c r="Z103" i="2" s="1"/>
  <c r="AH64" i="4"/>
  <c r="AJ65" i="4" s="1"/>
  <c r="AH331" i="5"/>
  <c r="AH222" i="3"/>
  <c r="AH221" i="3"/>
  <c r="AH220" i="3"/>
  <c r="AH198" i="3"/>
  <c r="AH200" i="3"/>
  <c r="AH196" i="3"/>
  <c r="AH201" i="3"/>
  <c r="AH195" i="3"/>
  <c r="AH199" i="3"/>
  <c r="AH197" i="3"/>
  <c r="Z116" i="2" l="1"/>
  <c r="BS103" i="3"/>
  <c r="Z501" i="2"/>
  <c r="Z461" i="2"/>
  <c r="BS461" i="3" s="1"/>
  <c r="AA10" i="2"/>
  <c r="Z331" i="2"/>
  <c r="Z250" i="2"/>
  <c r="BS250" i="3" s="1"/>
  <c r="AW28" i="9"/>
  <c r="Z117" i="2"/>
  <c r="Z457" i="2"/>
  <c r="Z249" i="2"/>
  <c r="AQ28" i="9"/>
  <c r="BS95" i="3"/>
  <c r="Z320" i="2"/>
  <c r="AA9" i="2"/>
  <c r="Z175" i="2"/>
  <c r="AH223" i="3"/>
  <c r="AH227" i="3" s="1"/>
  <c r="AH334" i="5" s="1"/>
  <c r="AH323" i="4"/>
  <c r="BU286" i="1"/>
  <c r="P333" i="1"/>
  <c r="AH321" i="4"/>
  <c r="AH202" i="3"/>
  <c r="BS286" i="1"/>
  <c r="N333" i="1"/>
  <c r="AH204" i="3"/>
  <c r="AH515" i="3" s="1"/>
  <c r="T333" i="1"/>
  <c r="AH324" i="4"/>
  <c r="Q333" i="1"/>
  <c r="BV286" i="1"/>
  <c r="AH322" i="4"/>
  <c r="O333" i="1"/>
  <c r="BT286" i="1"/>
  <c r="AH325" i="4"/>
  <c r="BW286" i="1"/>
  <c r="R333" i="1"/>
  <c r="AH326" i="4"/>
  <c r="S333" i="1"/>
  <c r="BX286" i="1"/>
  <c r="AJ70" i="4"/>
  <c r="AJ71" i="4"/>
  <c r="AJ68" i="4"/>
  <c r="AJ67" i="4"/>
  <c r="AJ69" i="4"/>
  <c r="AA96" i="2" l="1"/>
  <c r="AA92" i="2"/>
  <c r="BT9" i="3"/>
  <c r="AA489" i="2"/>
  <c r="AA11" i="2"/>
  <c r="BS249" i="3"/>
  <c r="Z251" i="2"/>
  <c r="AW124" i="9"/>
  <c r="AY28" i="9"/>
  <c r="AY124" i="9" s="1"/>
  <c r="BS320" i="3"/>
  <c r="Z321" i="2"/>
  <c r="BS457" i="3"/>
  <c r="BS501" i="3"/>
  <c r="Z503" i="2"/>
  <c r="BS117" i="3"/>
  <c r="AA13" i="2"/>
  <c r="Z348" i="2"/>
  <c r="Z253" i="2"/>
  <c r="BS253" i="3" s="1"/>
  <c r="BF28" i="9"/>
  <c r="Z508" i="2"/>
  <c r="Z332" i="2"/>
  <c r="BS331" i="3"/>
  <c r="BS175" i="3"/>
  <c r="Z281" i="2"/>
  <c r="AT28" i="9"/>
  <c r="AQ124" i="9"/>
  <c r="BT10" i="3"/>
  <c r="AA100" i="2"/>
  <c r="BS116" i="3"/>
  <c r="Z252" i="2"/>
  <c r="Z347" i="2"/>
  <c r="BB28" i="9"/>
  <c r="AA12" i="2"/>
  <c r="Z118" i="2"/>
  <c r="AH228" i="3"/>
  <c r="BQ286" i="1"/>
  <c r="X286" i="1"/>
  <c r="V286" i="1"/>
  <c r="BO286" i="1"/>
  <c r="BL286" i="1"/>
  <c r="S286" i="1"/>
  <c r="M333" i="1"/>
  <c r="U333" i="1" s="1"/>
  <c r="BM286" i="1"/>
  <c r="T286" i="1"/>
  <c r="AJ72" i="4"/>
  <c r="BP286" i="1"/>
  <c r="W286" i="1"/>
  <c r="AH484" i="3"/>
  <c r="AH485" i="3" s="1"/>
  <c r="AH422" i="3"/>
  <c r="AH424" i="3" s="1"/>
  <c r="AH145" i="3"/>
  <c r="AH332" i="5"/>
  <c r="AH203" i="3"/>
  <c r="BN286" i="1"/>
  <c r="U286" i="1"/>
  <c r="AJ74" i="4" l="1"/>
  <c r="AJ272" i="3"/>
  <c r="BT100" i="3"/>
  <c r="AA102" i="2"/>
  <c r="BS281" i="3"/>
  <c r="BS508" i="3"/>
  <c r="Z510" i="2"/>
  <c r="AA111" i="2"/>
  <c r="AA33" i="2" s="1"/>
  <c r="BT13" i="3"/>
  <c r="BT489" i="3"/>
  <c r="BS252" i="3"/>
  <c r="Z254" i="2"/>
  <c r="BT12" i="3"/>
  <c r="AA110" i="2"/>
  <c r="AA14" i="2"/>
  <c r="BF124" i="9"/>
  <c r="BG28" i="9"/>
  <c r="BG124" i="9" s="1"/>
  <c r="BS503" i="3"/>
  <c r="Z505" i="2"/>
  <c r="BT92" i="3"/>
  <c r="AA94" i="2"/>
  <c r="Z177" i="2"/>
  <c r="BS118" i="3"/>
  <c r="Z464" i="2"/>
  <c r="Z126" i="2"/>
  <c r="BC28" i="9"/>
  <c r="BC124" i="9" s="1"/>
  <c r="BB124" i="9"/>
  <c r="BS348" i="3"/>
  <c r="Z349" i="2"/>
  <c r="AT124" i="9"/>
  <c r="BS332" i="3"/>
  <c r="AA324" i="2"/>
  <c r="BS349" i="3"/>
  <c r="Z350" i="2"/>
  <c r="AA336" i="2" s="1"/>
  <c r="BS321" i="3"/>
  <c r="AA306" i="2"/>
  <c r="H278" i="1"/>
  <c r="A279" i="1" s="1"/>
  <c r="BS251" i="3"/>
  <c r="BU28" i="9"/>
  <c r="BU124" i="9" s="1"/>
  <c r="BT11" i="3"/>
  <c r="G29" i="9"/>
  <c r="G125" i="9" s="1"/>
  <c r="AE29" i="9"/>
  <c r="AE125" i="9" s="1"/>
  <c r="BT96" i="3"/>
  <c r="AA310" i="2"/>
  <c r="BT310" i="3" s="1"/>
  <c r="AR29" i="9"/>
  <c r="AR125" i="9" s="1"/>
  <c r="AH425" i="3"/>
  <c r="R286" i="1"/>
  <c r="BK286" i="1"/>
  <c r="AH333" i="5"/>
  <c r="AH516" i="3"/>
  <c r="AJ73" i="4"/>
  <c r="AI302" i="3"/>
  <c r="AH244" i="3"/>
  <c r="AH245" i="3" s="1"/>
  <c r="AH260" i="3" s="1"/>
  <c r="AH146" i="3"/>
  <c r="AH129" i="5" s="1"/>
  <c r="AH197" i="5"/>
  <c r="AH198" i="5" s="1"/>
  <c r="AH199" i="5" s="1"/>
  <c r="AH200" i="5" s="1"/>
  <c r="Z84" i="9"/>
  <c r="AJ84" i="9" s="1"/>
  <c r="AL84" i="9" s="1"/>
  <c r="AH148" i="3"/>
  <c r="AH229" i="3"/>
  <c r="AH335" i="5" s="1"/>
  <c r="AA344" i="2" l="1"/>
  <c r="BT345" i="3" s="1"/>
  <c r="BT33" i="3"/>
  <c r="BT306" i="3"/>
  <c r="BT324" i="3"/>
  <c r="BS350" i="3"/>
  <c r="AA335" i="2"/>
  <c r="Z135" i="2"/>
  <c r="Z363" i="2"/>
  <c r="BS126" i="3"/>
  <c r="Z255" i="2"/>
  <c r="Z467" i="2"/>
  <c r="BS467" i="3" s="1"/>
  <c r="AA15" i="2"/>
  <c r="BI28" i="9"/>
  <c r="AA308" i="2"/>
  <c r="BT308" i="3" s="1"/>
  <c r="AA293" i="2"/>
  <c r="BT293" i="3" s="1"/>
  <c r="AN29" i="9"/>
  <c r="AN125" i="9" s="1"/>
  <c r="AA377" i="5"/>
  <c r="AA456" i="2"/>
  <c r="BT456" i="3" s="1"/>
  <c r="AA491" i="2"/>
  <c r="BT94" i="3"/>
  <c r="AA379" i="5"/>
  <c r="AA383" i="5" s="1"/>
  <c r="AA29" i="2"/>
  <c r="AB93" i="2"/>
  <c r="BU93" i="3" s="1"/>
  <c r="AZ29" i="9"/>
  <c r="AZ125" i="9" s="1"/>
  <c r="BT110" i="3"/>
  <c r="AA337" i="2"/>
  <c r="BT338" i="3" s="1"/>
  <c r="AA112" i="2"/>
  <c r="BS464" i="3"/>
  <c r="AA338" i="2"/>
  <c r="BT339" i="3" s="1"/>
  <c r="BT111" i="3"/>
  <c r="BD29" i="9"/>
  <c r="BD125" i="9" s="1"/>
  <c r="AA509" i="2"/>
  <c r="BT509" i="3" s="1"/>
  <c r="BT337" i="3"/>
  <c r="BS505" i="3"/>
  <c r="Z506" i="2"/>
  <c r="AA32" i="2"/>
  <c r="BV28" i="9"/>
  <c r="BV124" i="9" s="1"/>
  <c r="BS254" i="3"/>
  <c r="BS510" i="3"/>
  <c r="Z512" i="2"/>
  <c r="AA176" i="2"/>
  <c r="AA502" i="2"/>
  <c r="BT502" i="3" s="1"/>
  <c r="AA296" i="2"/>
  <c r="BT296" i="3" s="1"/>
  <c r="AA326" i="2"/>
  <c r="BT326" i="3" s="1"/>
  <c r="AU29" i="9"/>
  <c r="AU125" i="9" s="1"/>
  <c r="BT102" i="3"/>
  <c r="AA378" i="5"/>
  <c r="AA460" i="2"/>
  <c r="BT460" i="3" s="1"/>
  <c r="BS177" i="3"/>
  <c r="Z282" i="2"/>
  <c r="H29" i="9"/>
  <c r="H125" i="9" s="1"/>
  <c r="BT14" i="3"/>
  <c r="AH248" i="3"/>
  <c r="AI8" i="3"/>
  <c r="BT112" i="3" l="1"/>
  <c r="AA178" i="2"/>
  <c r="BT178" i="3" s="1"/>
  <c r="AA463" i="2"/>
  <c r="BT463" i="3" s="1"/>
  <c r="AA297" i="2"/>
  <c r="BT297" i="3" s="1"/>
  <c r="BT491" i="3"/>
  <c r="AA494" i="2"/>
  <c r="BT494" i="3" s="1"/>
  <c r="AA493" i="2"/>
  <c r="BS135" i="3"/>
  <c r="Z258" i="2"/>
  <c r="Z382" i="2"/>
  <c r="AA18" i="2"/>
  <c r="Z469" i="2"/>
  <c r="Z472" i="2" s="1"/>
  <c r="BO28" i="9"/>
  <c r="AA327" i="2"/>
  <c r="AA309" i="2"/>
  <c r="BT29" i="3"/>
  <c r="AA317" i="2"/>
  <c r="BT317" i="3" s="1"/>
  <c r="Z257" i="2"/>
  <c r="BS255" i="3"/>
  <c r="BT336" i="3"/>
  <c r="BT335" i="3"/>
  <c r="AA339" i="2"/>
  <c r="BS282" i="3"/>
  <c r="Z284" i="2"/>
  <c r="BT176" i="3"/>
  <c r="Z357" i="1"/>
  <c r="BS512" i="3"/>
  <c r="Z513" i="2"/>
  <c r="BT32" i="3"/>
  <c r="AA34" i="2"/>
  <c r="AA343" i="2"/>
  <c r="BT344" i="3" s="1"/>
  <c r="BI124" i="9"/>
  <c r="BL28" i="9"/>
  <c r="AA340" i="2"/>
  <c r="AA17" i="2"/>
  <c r="AA127" i="2"/>
  <c r="BT15" i="3"/>
  <c r="BS364" i="3"/>
  <c r="Z364" i="2"/>
  <c r="AA353" i="2" s="1"/>
  <c r="AA313" i="2"/>
  <c r="AH486" i="3"/>
  <c r="AI447" i="3"/>
  <c r="AI450" i="3"/>
  <c r="AI390" i="3"/>
  <c r="AI84" i="3"/>
  <c r="AI20" i="3"/>
  <c r="AI19" i="3"/>
  <c r="AI373" i="5"/>
  <c r="F85" i="9"/>
  <c r="K85" i="9" s="1"/>
  <c r="AH259" i="3"/>
  <c r="AH369" i="5" s="1"/>
  <c r="BT84" i="9"/>
  <c r="BY84" i="9" s="1"/>
  <c r="AA319" i="2" l="1"/>
  <c r="BT319" i="3" s="1"/>
  <c r="BT341" i="3"/>
  <c r="AA114" i="2"/>
  <c r="BS472" i="3"/>
  <c r="Z28" i="2"/>
  <c r="Z399" i="2"/>
  <c r="Z402" i="2"/>
  <c r="Z400" i="2"/>
  <c r="Z401" i="2"/>
  <c r="BT340" i="3"/>
  <c r="AA113" i="2"/>
  <c r="BS257" i="3"/>
  <c r="BW28" i="9"/>
  <c r="BW124" i="9" s="1"/>
  <c r="BS469" i="3"/>
  <c r="Z474" i="2"/>
  <c r="BS284" i="3"/>
  <c r="Y359" i="1"/>
  <c r="BT309" i="3"/>
  <c r="Z390" i="1"/>
  <c r="AA38" i="2"/>
  <c r="BT18" i="3"/>
  <c r="J29" i="9"/>
  <c r="J125" i="9" s="1"/>
  <c r="E279" i="1"/>
  <c r="BT493" i="3"/>
  <c r="AA496" i="2"/>
  <c r="BT353" i="3"/>
  <c r="Z391" i="1"/>
  <c r="BL124" i="9"/>
  <c r="BT327" i="3"/>
  <c r="AA99" i="2"/>
  <c r="BS382" i="3"/>
  <c r="Z383" i="2"/>
  <c r="BT127" i="3"/>
  <c r="AA355" i="2"/>
  <c r="BT355" i="3" s="1"/>
  <c r="BK29" i="9"/>
  <c r="BK125" i="9" s="1"/>
  <c r="AG29" i="9"/>
  <c r="AG125" i="9" s="1"/>
  <c r="BT17" i="3"/>
  <c r="I29" i="9"/>
  <c r="I125" i="9" s="1"/>
  <c r="O29" i="9"/>
  <c r="O125" i="9" s="1"/>
  <c r="BT34" i="3"/>
  <c r="BO124" i="9"/>
  <c r="BP28" i="9"/>
  <c r="BP124" i="9" s="1"/>
  <c r="BX28" i="9"/>
  <c r="BX124" i="9" s="1"/>
  <c r="BS258" i="3"/>
  <c r="Z175" i="5"/>
  <c r="AI238" i="3"/>
  <c r="AI195" i="5"/>
  <c r="AI85" i="3"/>
  <c r="AH393" i="5"/>
  <c r="AI232" i="3"/>
  <c r="AH261" i="3"/>
  <c r="AH262" i="3" s="1"/>
  <c r="E262" i="3" s="1"/>
  <c r="AI190" i="5"/>
  <c r="AI365" i="5"/>
  <c r="AI393" i="3"/>
  <c r="AI391" i="3"/>
  <c r="AI394" i="3"/>
  <c r="AI392" i="3"/>
  <c r="AA357" i="2" l="1"/>
  <c r="BT358" i="3" s="1"/>
  <c r="AA497" i="2"/>
  <c r="BT496" i="3"/>
  <c r="BS401" i="3"/>
  <c r="Z410" i="2"/>
  <c r="BS28" i="3"/>
  <c r="Z71" i="2"/>
  <c r="Z169" i="2"/>
  <c r="Z438" i="2"/>
  <c r="Z11" i="5"/>
  <c r="Z207" i="5" s="1"/>
  <c r="Z139" i="2"/>
  <c r="BS139" i="3" s="1"/>
  <c r="M28" i="9"/>
  <c r="Z241" i="2"/>
  <c r="BS241" i="3" s="1"/>
  <c r="Z390" i="5"/>
  <c r="BS383" i="3"/>
  <c r="AA377" i="2"/>
  <c r="BR28" i="9"/>
  <c r="BR124" i="9" s="1"/>
  <c r="BT38" i="3"/>
  <c r="AA379" i="2"/>
  <c r="BT379" i="3" s="1"/>
  <c r="AA173" i="5"/>
  <c r="Q29" i="9"/>
  <c r="Q125" i="9" s="1"/>
  <c r="BS400" i="3"/>
  <c r="Z409" i="2"/>
  <c r="BS474" i="3"/>
  <c r="Z476" i="2"/>
  <c r="AA341" i="2"/>
  <c r="AA115" i="2"/>
  <c r="BA29" i="9"/>
  <c r="BA125" i="9" s="1"/>
  <c r="BT113" i="3"/>
  <c r="BS402" i="3"/>
  <c r="Z411" i="2"/>
  <c r="BT114" i="3"/>
  <c r="AA342" i="2"/>
  <c r="BE29" i="9"/>
  <c r="BE125" i="9" s="1"/>
  <c r="BT99" i="3"/>
  <c r="AA295" i="2"/>
  <c r="BT295" i="3" s="1"/>
  <c r="AA328" i="2"/>
  <c r="AA459" i="2"/>
  <c r="BT459" i="3" s="1"/>
  <c r="AV29" i="9"/>
  <c r="AV125" i="9" s="1"/>
  <c r="AA30" i="2"/>
  <c r="AB101" i="2"/>
  <c r="BU101" i="3" s="1"/>
  <c r="BS399" i="3"/>
  <c r="Z403" i="2"/>
  <c r="BS403" i="3" s="1"/>
  <c r="Z408" i="2"/>
  <c r="AI395" i="3"/>
  <c r="AI240" i="3"/>
  <c r="AD85" i="9"/>
  <c r="AI470" i="3"/>
  <c r="AI290" i="3"/>
  <c r="AI287" i="3"/>
  <c r="AI303" i="3" l="1"/>
  <c r="AA121" i="2"/>
  <c r="AA358" i="2" s="1"/>
  <c r="BT342" i="3"/>
  <c r="AA345" i="2"/>
  <c r="BT346" i="3" s="1"/>
  <c r="BT377" i="3"/>
  <c r="AA381" i="2"/>
  <c r="BT381" i="3" s="1"/>
  <c r="BS438" i="3"/>
  <c r="Z444" i="2"/>
  <c r="BS444" i="3" s="1"/>
  <c r="Z417" i="2"/>
  <c r="BS410" i="3"/>
  <c r="Z412" i="2"/>
  <c r="BS412" i="3" s="1"/>
  <c r="Z415" i="2"/>
  <c r="BS408" i="3"/>
  <c r="BT328" i="3"/>
  <c r="BT343" i="3"/>
  <c r="AA346" i="2"/>
  <c r="BT347" i="3" s="1"/>
  <c r="BS476" i="3"/>
  <c r="Z478" i="2"/>
  <c r="BS409" i="3"/>
  <c r="Z416" i="2"/>
  <c r="BS416" i="3" s="1"/>
  <c r="W28" i="9"/>
  <c r="M124" i="9"/>
  <c r="Y354" i="1"/>
  <c r="BS169" i="3"/>
  <c r="BT30" i="3"/>
  <c r="AA329" i="2"/>
  <c r="BT329" i="3" s="1"/>
  <c r="AA31" i="2"/>
  <c r="BS71" i="3"/>
  <c r="Y368" i="1"/>
  <c r="Z386" i="5"/>
  <c r="Z388" i="5" s="1"/>
  <c r="BS411" i="3"/>
  <c r="Z418" i="2"/>
  <c r="BS418" i="3" s="1"/>
  <c r="AA298" i="2"/>
  <c r="BT298" i="3" s="1"/>
  <c r="AA462" i="2"/>
  <c r="BT462" i="3" s="1"/>
  <c r="BT115" i="3"/>
  <c r="Z394" i="5"/>
  <c r="Z391" i="5"/>
  <c r="Z395" i="5" s="1"/>
  <c r="BT497" i="3"/>
  <c r="AA498" i="2"/>
  <c r="BT498" i="3" s="1"/>
  <c r="AI396" i="3"/>
  <c r="AI405" i="3"/>
  <c r="AI85" i="9"/>
  <c r="AI95" i="3" l="1"/>
  <c r="AI457" i="3" s="1"/>
  <c r="W124" i="9"/>
  <c r="BT121" i="3"/>
  <c r="BT359" i="3"/>
  <c r="AA359" i="2"/>
  <c r="Z170" i="2"/>
  <c r="BS417" i="3"/>
  <c r="Z419" i="2"/>
  <c r="BS419" i="3" s="1"/>
  <c r="BS415" i="3"/>
  <c r="BT31" i="3"/>
  <c r="N29" i="9"/>
  <c r="N125" i="9" s="1"/>
  <c r="AA439" i="2"/>
  <c r="BT439" i="3" s="1"/>
  <c r="BS478" i="3"/>
  <c r="Z480" i="2"/>
  <c r="Z413" i="2"/>
  <c r="AA330" i="2"/>
  <c r="BT330" i="3" s="1"/>
  <c r="AI103" i="3"/>
  <c r="AI175" i="3" s="1"/>
  <c r="AI281" i="3" s="1"/>
  <c r="AI249" i="3" l="1"/>
  <c r="AQ85" i="9"/>
  <c r="AT85" i="9" s="1"/>
  <c r="AI320" i="3"/>
  <c r="AI321" i="3" s="1"/>
  <c r="AJ306" i="3" s="1"/>
  <c r="AJ9" i="3"/>
  <c r="AJ93" i="3" s="1"/>
  <c r="AJ94" i="3" s="1"/>
  <c r="AJ405" i="5" s="1"/>
  <c r="AJ406" i="5" s="1"/>
  <c r="AJ408" i="5" s="1"/>
  <c r="AI116" i="3"/>
  <c r="AI117" i="3" s="1"/>
  <c r="BF85" i="9" s="1"/>
  <c r="BG85" i="9" s="1"/>
  <c r="BS480" i="3"/>
  <c r="Z481" i="2"/>
  <c r="Z420" i="2"/>
  <c r="BS420" i="3" s="1"/>
  <c r="BS170" i="3"/>
  <c r="Z268" i="2"/>
  <c r="BS268" i="3" s="1"/>
  <c r="Z210" i="2"/>
  <c r="Y355" i="1"/>
  <c r="Z171" i="2"/>
  <c r="Z182" i="2" s="1"/>
  <c r="Z192" i="2"/>
  <c r="AA122" i="2"/>
  <c r="BT360" i="3"/>
  <c r="AI461" i="3"/>
  <c r="AI331" i="3"/>
  <c r="AI332" i="3" s="1"/>
  <c r="AW85" i="9"/>
  <c r="AY85" i="9" s="1"/>
  <c r="AI501" i="3"/>
  <c r="AI503" i="3" s="1"/>
  <c r="AI505" i="3" s="1"/>
  <c r="AI506" i="3" s="1"/>
  <c r="AJ10" i="3"/>
  <c r="AI250" i="3"/>
  <c r="AI251" i="3" s="1"/>
  <c r="AJ96" i="3" l="1"/>
  <c r="AJ29" i="3" s="1"/>
  <c r="AJ317" i="3" s="1"/>
  <c r="AJ489" i="3"/>
  <c r="AK92" i="3"/>
  <c r="AN86" i="9"/>
  <c r="AJ380" i="5"/>
  <c r="AJ293" i="3"/>
  <c r="AJ308" i="3"/>
  <c r="AJ309" i="3" s="1"/>
  <c r="AJ456" i="3"/>
  <c r="AJ11" i="3"/>
  <c r="G86" i="9" s="1"/>
  <c r="AJ100" i="3"/>
  <c r="AJ102" i="3" s="1"/>
  <c r="AI252" i="3"/>
  <c r="AI347" i="3"/>
  <c r="AI349" i="3" s="1"/>
  <c r="AJ12" i="3"/>
  <c r="AJ32" i="3" s="1"/>
  <c r="AJ13" i="3"/>
  <c r="AJ33" i="3" s="1"/>
  <c r="AJ344" i="3" s="1"/>
  <c r="BB85" i="9"/>
  <c r="BC85" i="9" s="1"/>
  <c r="AI253" i="3"/>
  <c r="AI118" i="3"/>
  <c r="AI126" i="3" s="1"/>
  <c r="AI348" i="3"/>
  <c r="AI350" i="3" s="1"/>
  <c r="AJ336" i="3" s="1"/>
  <c r="AI508" i="3"/>
  <c r="AI510" i="3" s="1"/>
  <c r="AI512" i="3" s="1"/>
  <c r="AI513" i="3" s="1"/>
  <c r="BS182" i="3"/>
  <c r="Z207" i="2"/>
  <c r="Z153" i="2"/>
  <c r="AA360" i="2"/>
  <c r="BT122" i="3"/>
  <c r="AA123" i="2"/>
  <c r="Y366" i="1"/>
  <c r="BS192" i="3"/>
  <c r="BS210" i="3"/>
  <c r="Y380" i="1"/>
  <c r="BS481" i="3"/>
  <c r="Z482" i="2"/>
  <c r="BS482" i="3" s="1"/>
  <c r="Y356" i="1"/>
  <c r="Y361" i="1" s="1"/>
  <c r="BS171" i="3"/>
  <c r="BU85" i="9"/>
  <c r="AJ335" i="3"/>
  <c r="AJ324" i="3"/>
  <c r="AJ310" i="3"/>
  <c r="AE86" i="9"/>
  <c r="AR86" i="9"/>
  <c r="AJ491" i="3"/>
  <c r="AJ493" i="3" s="1"/>
  <c r="AI254" i="3" l="1"/>
  <c r="AJ14" i="3"/>
  <c r="H86" i="9" s="1"/>
  <c r="AU86" i="9"/>
  <c r="AJ326" i="3"/>
  <c r="AJ381" i="5"/>
  <c r="AJ502" i="3"/>
  <c r="AJ460" i="3"/>
  <c r="AJ296" i="3"/>
  <c r="AJ382" i="5"/>
  <c r="AJ176" i="3"/>
  <c r="AI464" i="3"/>
  <c r="AI177" i="3"/>
  <c r="AI282" i="3" s="1"/>
  <c r="AI284" i="3" s="1"/>
  <c r="BT123" i="3"/>
  <c r="AA125" i="2"/>
  <c r="BH29" i="9"/>
  <c r="BH125" i="9" s="1"/>
  <c r="AA35" i="2"/>
  <c r="Z154" i="2"/>
  <c r="BS153" i="3"/>
  <c r="Z212" i="2"/>
  <c r="BS207" i="3"/>
  <c r="BT361" i="3"/>
  <c r="AJ319" i="3"/>
  <c r="AJ494" i="3"/>
  <c r="AJ496" i="3" s="1"/>
  <c r="AJ497" i="3" s="1"/>
  <c r="AJ498" i="3" s="1"/>
  <c r="AJ327" i="3"/>
  <c r="AJ99" i="3" s="1"/>
  <c r="AJ340" i="3"/>
  <c r="AJ114" i="3" s="1"/>
  <c r="AJ339" i="3"/>
  <c r="AJ113" i="3" s="1"/>
  <c r="BV85" i="9"/>
  <c r="AI467" i="3"/>
  <c r="AI363" i="3"/>
  <c r="AI364" i="3" s="1"/>
  <c r="BI85" i="9"/>
  <c r="BL85" i="9" s="1"/>
  <c r="BR85" i="9" s="1"/>
  <c r="AJ15" i="3"/>
  <c r="AI255" i="3"/>
  <c r="AJ343" i="3"/>
  <c r="AJ34" i="3"/>
  <c r="O86" i="9" s="1"/>
  <c r="AA37" i="2" l="1"/>
  <c r="BT35" i="3"/>
  <c r="AA361" i="2"/>
  <c r="Z218" i="2"/>
  <c r="BS212" i="3"/>
  <c r="Z225" i="2"/>
  <c r="BS225" i="3" s="1"/>
  <c r="BT125" i="3"/>
  <c r="AA299" i="2"/>
  <c r="BT299" i="3" s="1"/>
  <c r="AA466" i="2"/>
  <c r="BT466" i="3" s="1"/>
  <c r="Z156" i="2"/>
  <c r="BS154" i="3"/>
  <c r="AJ342" i="3"/>
  <c r="AJ346" i="3" s="1"/>
  <c r="BE86" i="9"/>
  <c r="AJ459" i="3"/>
  <c r="AJ328" i="3"/>
  <c r="AJ295" i="3"/>
  <c r="AV86" i="9"/>
  <c r="AK101" i="3"/>
  <c r="AJ30" i="3"/>
  <c r="AJ353" i="3"/>
  <c r="AI257" i="3"/>
  <c r="AJ341" i="3"/>
  <c r="AJ345" i="3" s="1"/>
  <c r="AJ115" i="3"/>
  <c r="BA86" i="9"/>
  <c r="AI472" i="3"/>
  <c r="AI474" i="3"/>
  <c r="AJ127" i="3"/>
  <c r="AJ17" i="3"/>
  <c r="I86" i="9" s="1"/>
  <c r="Z221" i="2" l="1"/>
  <c r="BS221" i="3" s="1"/>
  <c r="BS218" i="3"/>
  <c r="Z220" i="2"/>
  <c r="Z222" i="2"/>
  <c r="BS222" i="3" s="1"/>
  <c r="BT356" i="3"/>
  <c r="BT362" i="3"/>
  <c r="AA362" i="2"/>
  <c r="BT363" i="3" s="1"/>
  <c r="BS156" i="3"/>
  <c r="Z159" i="2"/>
  <c r="Z158" i="2"/>
  <c r="BT37" i="3"/>
  <c r="P29" i="9"/>
  <c r="P125" i="9" s="1"/>
  <c r="AA440" i="2"/>
  <c r="BT440" i="3" s="1"/>
  <c r="AJ355" i="3"/>
  <c r="AJ357" i="3" s="1"/>
  <c r="BK86" i="9"/>
  <c r="AG86" i="9"/>
  <c r="AI28" i="3"/>
  <c r="AI400" i="3"/>
  <c r="AI409" i="3" s="1"/>
  <c r="AI416" i="3" s="1"/>
  <c r="AI399" i="3"/>
  <c r="AI402" i="3"/>
  <c r="AI411" i="3" s="1"/>
  <c r="AI418" i="3" s="1"/>
  <c r="AI401" i="3"/>
  <c r="AI410" i="3" s="1"/>
  <c r="AI417" i="3" s="1"/>
  <c r="AI170" i="3" s="1"/>
  <c r="BW85" i="9"/>
  <c r="AJ462" i="3"/>
  <c r="AJ298" i="3"/>
  <c r="AJ329" i="3"/>
  <c r="AJ330" i="3" s="1"/>
  <c r="AJ31" i="3"/>
  <c r="AI476" i="3"/>
  <c r="AI478" i="3" s="1"/>
  <c r="Z162" i="2" l="1"/>
  <c r="BS162" i="3" s="1"/>
  <c r="BS158" i="3"/>
  <c r="BS220" i="3"/>
  <c r="Z223" i="2"/>
  <c r="BS159" i="3"/>
  <c r="Z160" i="2"/>
  <c r="AI480" i="3"/>
  <c r="AJ439" i="3"/>
  <c r="N86" i="9"/>
  <c r="CC357" i="3"/>
  <c r="AJ121" i="3"/>
  <c r="AI403" i="3"/>
  <c r="AI408" i="3"/>
  <c r="AI268" i="3"/>
  <c r="AI210" i="3"/>
  <c r="AI438" i="3"/>
  <c r="AI444" i="3" s="1"/>
  <c r="AI169" i="3"/>
  <c r="AI241" i="3"/>
  <c r="AI139" i="3"/>
  <c r="AI191" i="5"/>
  <c r="M85" i="9"/>
  <c r="W85" i="9" s="1"/>
  <c r="AI392" i="5"/>
  <c r="AI71" i="3"/>
  <c r="BS223" i="3" l="1"/>
  <c r="Z227" i="2"/>
  <c r="Z161" i="2"/>
  <c r="BS160" i="3"/>
  <c r="AI387" i="5"/>
  <c r="AI415" i="3"/>
  <c r="AI419" i="3" s="1"/>
  <c r="AI420" i="3" s="1"/>
  <c r="AI412" i="3"/>
  <c r="AI413" i="3" s="1"/>
  <c r="AI192" i="3"/>
  <c r="AI171" i="3"/>
  <c r="AI182" i="3" s="1"/>
  <c r="AJ358" i="3"/>
  <c r="AI481" i="3"/>
  <c r="BS161" i="3" l="1"/>
  <c r="Z163" i="2"/>
  <c r="Z89" i="5"/>
  <c r="Z345" i="5" s="1"/>
  <c r="Y371" i="1"/>
  <c r="Y393" i="1"/>
  <c r="BS227" i="3"/>
  <c r="Y385" i="1"/>
  <c r="Z228" i="2"/>
  <c r="BS228" i="3" s="1"/>
  <c r="AI482" i="3"/>
  <c r="AI207" i="3"/>
  <c r="AI153" i="3"/>
  <c r="AI154" i="3" s="1"/>
  <c r="AI156" i="3" s="1"/>
  <c r="AJ359" i="3"/>
  <c r="AJ122" i="3" s="1"/>
  <c r="BS163" i="3" l="1"/>
  <c r="Z165" i="2"/>
  <c r="Z267" i="2" s="1"/>
  <c r="AI158" i="3"/>
  <c r="AI162" i="3" s="1"/>
  <c r="AI159" i="3"/>
  <c r="AI160" i="3" s="1"/>
  <c r="AI161" i="3" s="1"/>
  <c r="AJ360" i="3"/>
  <c r="AJ123" i="3"/>
  <c r="BS165" i="3" l="1"/>
  <c r="Z166" i="2"/>
  <c r="BS166" i="3" s="1"/>
  <c r="Z112" i="5"/>
  <c r="Z140" i="5" s="1"/>
  <c r="BS267" i="3"/>
  <c r="Z183" i="2"/>
  <c r="AI163" i="3"/>
  <c r="AI165" i="3" s="1"/>
  <c r="AJ125" i="3"/>
  <c r="BH86" i="9"/>
  <c r="AJ35" i="3"/>
  <c r="AI166" i="3" l="1"/>
  <c r="AI267" i="3"/>
  <c r="AI183" i="3"/>
  <c r="AI184" i="3" s="1"/>
  <c r="BS183" i="3"/>
  <c r="Y375" i="1"/>
  <c r="Y363" i="1"/>
  <c r="Y364" i="1" s="1"/>
  <c r="Z184" i="2"/>
  <c r="AI139" i="5"/>
  <c r="AJ361" i="3"/>
  <c r="AJ37" i="3"/>
  <c r="AJ466" i="3"/>
  <c r="AJ299" i="3"/>
  <c r="AI208" i="3" l="1"/>
  <c r="AI212" i="3" s="1"/>
  <c r="AI225" i="3" s="1"/>
  <c r="Z94" i="4"/>
  <c r="Z85" i="5"/>
  <c r="Z342" i="5" s="1"/>
  <c r="BS184" i="3"/>
  <c r="Z397" i="5"/>
  <c r="Z266" i="2"/>
  <c r="Z399" i="5"/>
  <c r="Z191" i="2"/>
  <c r="Y367" i="1"/>
  <c r="Y374" i="1"/>
  <c r="Y377" i="1" s="1"/>
  <c r="Y382" i="1" s="1"/>
  <c r="Y384" i="1" s="1"/>
  <c r="Y386" i="1" s="1"/>
  <c r="AI95" i="4"/>
  <c r="AI266" i="3"/>
  <c r="AI270" i="3" s="1"/>
  <c r="AI191" i="3"/>
  <c r="AI193" i="3" s="1"/>
  <c r="AI330" i="5"/>
  <c r="AI398" i="5"/>
  <c r="AJ440" i="3"/>
  <c r="P86" i="9"/>
  <c r="AJ362" i="3"/>
  <c r="Z271" i="2" l="1"/>
  <c r="Z86" i="4" s="1"/>
  <c r="Z270" i="2"/>
  <c r="AI218" i="3"/>
  <c r="AI220" i="3" s="1"/>
  <c r="BS191" i="3"/>
  <c r="Z193" i="2"/>
  <c r="BS266" i="3"/>
  <c r="AI222" i="3"/>
  <c r="AI201" i="3"/>
  <c r="AI197" i="3"/>
  <c r="AI199" i="3"/>
  <c r="AI195" i="3"/>
  <c r="AI196" i="3"/>
  <c r="AI200" i="3"/>
  <c r="AI198" i="3"/>
  <c r="AI64" i="4"/>
  <c r="AK65" i="4" s="1"/>
  <c r="AI331" i="5"/>
  <c r="AI221" i="3" l="1"/>
  <c r="Z32" i="4"/>
  <c r="AB33" i="4" s="1"/>
  <c r="BS270" i="3"/>
  <c r="Z86" i="5"/>
  <c r="Z343" i="5" s="1"/>
  <c r="Z199" i="2"/>
  <c r="Z195" i="2"/>
  <c r="Z198" i="2"/>
  <c r="Z197" i="2"/>
  <c r="BS193" i="3"/>
  <c r="Z196" i="2"/>
  <c r="Z201" i="2"/>
  <c r="Z200" i="2"/>
  <c r="AI322" i="4"/>
  <c r="O334" i="1"/>
  <c r="BT287" i="1"/>
  <c r="AI204" i="3"/>
  <c r="AI515" i="3" s="1"/>
  <c r="T334" i="1"/>
  <c r="AI324" i="4"/>
  <c r="Q334" i="1"/>
  <c r="BV287" i="1"/>
  <c r="AI321" i="4"/>
  <c r="AI202" i="3"/>
  <c r="N334" i="1"/>
  <c r="BS287" i="1"/>
  <c r="AI223" i="3"/>
  <c r="AI227" i="3" s="1"/>
  <c r="AI326" i="4"/>
  <c r="S334" i="1"/>
  <c r="BX287" i="1"/>
  <c r="AI325" i="4"/>
  <c r="R334" i="1"/>
  <c r="BW287" i="1"/>
  <c r="AK69" i="4"/>
  <c r="AK68" i="4"/>
  <c r="AK67" i="4"/>
  <c r="AK71" i="4"/>
  <c r="AK70" i="4"/>
  <c r="AI323" i="4"/>
  <c r="P334" i="1"/>
  <c r="BU287" i="1"/>
  <c r="Z318" i="4" l="1"/>
  <c r="P278" i="1" s="1"/>
  <c r="BS200" i="3"/>
  <c r="I325" i="1"/>
  <c r="Z315" i="4"/>
  <c r="M278" i="1" s="1"/>
  <c r="BS197" i="3"/>
  <c r="F325" i="1"/>
  <c r="J325" i="1"/>
  <c r="BS201" i="3"/>
  <c r="Z204" i="2"/>
  <c r="BS198" i="3"/>
  <c r="G325" i="1"/>
  <c r="Z316" i="4"/>
  <c r="N278" i="1" s="1"/>
  <c r="BS196" i="3"/>
  <c r="E325" i="1"/>
  <c r="Z314" i="4"/>
  <c r="L278" i="1" s="1"/>
  <c r="D325" i="1"/>
  <c r="Z313" i="4"/>
  <c r="K278" i="1" s="1"/>
  <c r="BS195" i="3"/>
  <c r="Z202" i="2"/>
  <c r="Z317" i="4"/>
  <c r="O278" i="1" s="1"/>
  <c r="BS199" i="3"/>
  <c r="H325" i="1"/>
  <c r="AB58" i="4"/>
  <c r="AB54" i="4"/>
  <c r="AB55" i="4"/>
  <c r="AB57" i="4"/>
  <c r="AB56" i="4"/>
  <c r="AK72" i="4"/>
  <c r="AK272" i="3" s="1"/>
  <c r="AI334" i="5"/>
  <c r="AI228" i="3"/>
  <c r="BL287" i="1"/>
  <c r="S287" i="1"/>
  <c r="BN287" i="1"/>
  <c r="U287" i="1"/>
  <c r="BQ287" i="1"/>
  <c r="X287" i="1"/>
  <c r="M334" i="1"/>
  <c r="U334" i="1" s="1"/>
  <c r="BM287" i="1"/>
  <c r="T287" i="1"/>
  <c r="BP287" i="1"/>
  <c r="W287" i="1"/>
  <c r="AI484" i="3"/>
  <c r="AI485" i="3" s="1"/>
  <c r="AI422" i="3"/>
  <c r="AI424" i="3" s="1"/>
  <c r="AI145" i="3"/>
  <c r="AJ302" i="3" s="1"/>
  <c r="AI332" i="5"/>
  <c r="AI203" i="3"/>
  <c r="BO287" i="1"/>
  <c r="V287" i="1"/>
  <c r="AK73" i="4" l="1"/>
  <c r="AK74" i="4"/>
  <c r="C325" i="1"/>
  <c r="K325" i="1" s="1"/>
  <c r="AB59" i="4"/>
  <c r="AB272" i="2" s="1"/>
  <c r="Z422" i="2"/>
  <c r="Y370" i="1"/>
  <c r="Y372" i="1" s="1"/>
  <c r="Z145" i="2"/>
  <c r="BS202" i="3"/>
  <c r="Z87" i="5"/>
  <c r="Z344" i="5" s="1"/>
  <c r="Z484" i="2"/>
  <c r="Z203" i="2"/>
  <c r="Z515" i="2"/>
  <c r="BS515" i="3" s="1"/>
  <c r="Y394" i="1"/>
  <c r="BS204" i="3"/>
  <c r="AI425" i="3"/>
  <c r="BK287" i="1"/>
  <c r="R287" i="1"/>
  <c r="AI333" i="5"/>
  <c r="AI516" i="3"/>
  <c r="AI244" i="3"/>
  <c r="AI245" i="3" s="1"/>
  <c r="AI260" i="3" s="1"/>
  <c r="AI146" i="3"/>
  <c r="AI197" i="5"/>
  <c r="AI198" i="5" s="1"/>
  <c r="AI199" i="5" s="1"/>
  <c r="Z85" i="9"/>
  <c r="AJ85" i="9" s="1"/>
  <c r="AL85" i="9" s="1"/>
  <c r="AI229" i="3"/>
  <c r="AI335" i="5" s="1"/>
  <c r="AI148" i="3"/>
  <c r="AB61" i="4" l="1"/>
  <c r="AB60" i="4"/>
  <c r="BS422" i="3"/>
  <c r="Z424" i="2"/>
  <c r="BS424" i="3" s="1"/>
  <c r="Z516" i="2"/>
  <c r="BS203" i="3"/>
  <c r="J278" i="1"/>
  <c r="Z88" i="5"/>
  <c r="AA302" i="2"/>
  <c r="BT302" i="3" s="1"/>
  <c r="Z17" i="5"/>
  <c r="BS145" i="3"/>
  <c r="Z28" i="9"/>
  <c r="Z148" i="2"/>
  <c r="Z244" i="2"/>
  <c r="Z229" i="2"/>
  <c r="Z146" i="2"/>
  <c r="BS484" i="3"/>
  <c r="Z485" i="2"/>
  <c r="AI200" i="5"/>
  <c r="AI248" i="3"/>
  <c r="AJ8" i="3"/>
  <c r="AI129" i="5"/>
  <c r="AI486" i="3" l="1"/>
  <c r="BS146" i="3"/>
  <c r="Z109" i="5"/>
  <c r="BS485" i="3"/>
  <c r="Z425" i="2"/>
  <c r="BS425" i="3" s="1"/>
  <c r="BS244" i="3"/>
  <c r="Z245" i="2"/>
  <c r="Z213" i="5"/>
  <c r="Z18" i="5"/>
  <c r="BS148" i="3"/>
  <c r="AA8" i="2"/>
  <c r="Z248" i="2"/>
  <c r="BS516" i="3"/>
  <c r="Z384" i="5"/>
  <c r="Z124" i="9"/>
  <c r="AJ28" i="9"/>
  <c r="AL28" i="9" s="1"/>
  <c r="BS229" i="3"/>
  <c r="Z90" i="5"/>
  <c r="Z346" i="5" s="1"/>
  <c r="AJ450" i="3"/>
  <c r="AJ447" i="3"/>
  <c r="AJ390" i="3"/>
  <c r="AJ84" i="3"/>
  <c r="AJ20" i="3"/>
  <c r="AJ19" i="3"/>
  <c r="F86" i="9"/>
  <c r="K86" i="9" s="1"/>
  <c r="AJ373" i="5"/>
  <c r="AI259" i="3"/>
  <c r="BT85" i="9"/>
  <c r="BY85" i="9" s="1"/>
  <c r="Z214" i="5" l="1"/>
  <c r="Z19" i="5"/>
  <c r="AJ124" i="9"/>
  <c r="AL124" i="9"/>
  <c r="Z259" i="2"/>
  <c r="BS248" i="3"/>
  <c r="BT28" i="9"/>
  <c r="AA84" i="2"/>
  <c r="Z486" i="2"/>
  <c r="BS486" i="3" s="1"/>
  <c r="AA19" i="2"/>
  <c r="BT8" i="3"/>
  <c r="AA20" i="2"/>
  <c r="AA450" i="2"/>
  <c r="AA390" i="2"/>
  <c r="AA372" i="5"/>
  <c r="AA374" i="5" s="1"/>
  <c r="Z389" i="1"/>
  <c r="AA447" i="2"/>
  <c r="F29" i="9"/>
  <c r="I279" i="1"/>
  <c r="BS245" i="3"/>
  <c r="Z260" i="2"/>
  <c r="Y373" i="1"/>
  <c r="AI369" i="5"/>
  <c r="AJ238" i="3"/>
  <c r="AJ85" i="3"/>
  <c r="AJ195" i="5"/>
  <c r="AJ393" i="3"/>
  <c r="AJ391" i="3"/>
  <c r="AJ394" i="3"/>
  <c r="AJ392" i="3"/>
  <c r="AJ232" i="3"/>
  <c r="AI261" i="3"/>
  <c r="AJ365" i="5"/>
  <c r="AJ190" i="5"/>
  <c r="AA85" i="2" l="1"/>
  <c r="AA238" i="2"/>
  <c r="AA15" i="5"/>
  <c r="AA212" i="5" s="1"/>
  <c r="BT84" i="3"/>
  <c r="BT124" i="9"/>
  <c r="BY28" i="9"/>
  <c r="BY124" i="9" s="1"/>
  <c r="BS260" i="3"/>
  <c r="F125" i="9"/>
  <c r="K29" i="9"/>
  <c r="AA393" i="2"/>
  <c r="BT390" i="3"/>
  <c r="AA391" i="2"/>
  <c r="AA394" i="2"/>
  <c r="AA392" i="2"/>
  <c r="AA232" i="2"/>
  <c r="BT232" i="3" s="1"/>
  <c r="AA10" i="5"/>
  <c r="AA206" i="5" s="1"/>
  <c r="Z261" i="2"/>
  <c r="BS261" i="3" s="1"/>
  <c r="BT19" i="3"/>
  <c r="AA364" i="5"/>
  <c r="AA366" i="5" s="1"/>
  <c r="Z215" i="5"/>
  <c r="Z20" i="5"/>
  <c r="BT447" i="3"/>
  <c r="BT450" i="3"/>
  <c r="BS259" i="3"/>
  <c r="Z368" i="5"/>
  <c r="Z370" i="5" s="1"/>
  <c r="Z144" i="5" s="1"/>
  <c r="AJ395" i="3"/>
  <c r="AJ240" i="3"/>
  <c r="AD86" i="9"/>
  <c r="AJ470" i="3"/>
  <c r="AJ290" i="3"/>
  <c r="AJ287" i="3"/>
  <c r="AI393" i="5"/>
  <c r="K125" i="9" l="1"/>
  <c r="AJ303" i="3"/>
  <c r="AJ95" i="3" s="1"/>
  <c r="Z262" i="2"/>
  <c r="BT392" i="3"/>
  <c r="BT393" i="3"/>
  <c r="BT394" i="3"/>
  <c r="AD29" i="9"/>
  <c r="AD125" i="9" s="1"/>
  <c r="BT238" i="3"/>
  <c r="AA240" i="2"/>
  <c r="AA395" i="2"/>
  <c r="BT391" i="3"/>
  <c r="BT85" i="3"/>
  <c r="AA470" i="2"/>
  <c r="BT470" i="3" s="1"/>
  <c r="AA290" i="2"/>
  <c r="BT290" i="3" s="1"/>
  <c r="AA287" i="2"/>
  <c r="AJ405" i="3"/>
  <c r="AJ396" i="3"/>
  <c r="AI86" i="9"/>
  <c r="BT395" i="3" l="1"/>
  <c r="AA405" i="2"/>
  <c r="BT405" i="3" s="1"/>
  <c r="AA396" i="2"/>
  <c r="BT396" i="3" s="1"/>
  <c r="AI29" i="9"/>
  <c r="AI125" i="9" s="1"/>
  <c r="BT240" i="3"/>
  <c r="BT287" i="3"/>
  <c r="AA303" i="2"/>
  <c r="AJ457" i="3"/>
  <c r="AJ320" i="3"/>
  <c r="AJ321" i="3" s="1"/>
  <c r="AK306" i="3" s="1"/>
  <c r="AQ86" i="9"/>
  <c r="AT86" i="9" s="1"/>
  <c r="AK9" i="3"/>
  <c r="AK93" i="3" s="1"/>
  <c r="AK94" i="3" s="1"/>
  <c r="AJ249" i="3"/>
  <c r="AJ103" i="3"/>
  <c r="AJ116" i="3" s="1"/>
  <c r="AK293" i="3" l="1"/>
  <c r="AK380" i="5"/>
  <c r="AN87" i="9"/>
  <c r="AK308" i="3"/>
  <c r="AK309" i="3" s="1"/>
  <c r="AK405" i="5"/>
  <c r="AK406" i="5" s="1"/>
  <c r="AK408" i="5" s="1"/>
  <c r="AK456" i="3"/>
  <c r="BT303" i="3"/>
  <c r="AA95" i="2"/>
  <c r="AJ347" i="3"/>
  <c r="AJ349" i="3" s="1"/>
  <c r="AK335" i="3" s="1"/>
  <c r="BB86" i="9"/>
  <c r="BC86" i="9" s="1"/>
  <c r="AJ252" i="3"/>
  <c r="AK12" i="3"/>
  <c r="AK489" i="3"/>
  <c r="AL92" i="3"/>
  <c r="AK96" i="3"/>
  <c r="AK29" i="3" s="1"/>
  <c r="AJ461" i="3"/>
  <c r="AJ331" i="3"/>
  <c r="AJ332" i="3" s="1"/>
  <c r="AK324" i="3" s="1"/>
  <c r="AW86" i="9"/>
  <c r="AY86" i="9" s="1"/>
  <c r="AJ501" i="3"/>
  <c r="AJ503" i="3" s="1"/>
  <c r="AJ505" i="3" s="1"/>
  <c r="AJ506" i="3" s="1"/>
  <c r="AJ250" i="3"/>
  <c r="AJ251" i="3" s="1"/>
  <c r="BU86" i="9" s="1"/>
  <c r="AK10" i="3"/>
  <c r="AK100" i="3" s="1"/>
  <c r="AK102" i="3" s="1"/>
  <c r="AK382" i="5" s="1"/>
  <c r="AJ175" i="3"/>
  <c r="AJ281" i="3" s="1"/>
  <c r="AJ117" i="3"/>
  <c r="AK176" i="3" l="1"/>
  <c r="AK296" i="3"/>
  <c r="AK460" i="3"/>
  <c r="AU87" i="9"/>
  <c r="AK381" i="5"/>
  <c r="AK502" i="3"/>
  <c r="AK326" i="3"/>
  <c r="AK327" i="3" s="1"/>
  <c r="AK99" i="3" s="1"/>
  <c r="AA103" i="2"/>
  <c r="AA320" i="2"/>
  <c r="AQ29" i="9"/>
  <c r="BT95" i="3"/>
  <c r="AA249" i="2"/>
  <c r="AA457" i="2"/>
  <c r="AB9" i="2"/>
  <c r="AJ348" i="3"/>
  <c r="AJ350" i="3" s="1"/>
  <c r="AK336" i="3" s="1"/>
  <c r="BF86" i="9"/>
  <c r="BG86" i="9" s="1"/>
  <c r="AK13" i="3"/>
  <c r="AK14" i="3" s="1"/>
  <c r="H87" i="9" s="1"/>
  <c r="AJ508" i="3"/>
  <c r="AJ510" i="3" s="1"/>
  <c r="AJ512" i="3" s="1"/>
  <c r="AJ513" i="3" s="1"/>
  <c r="AJ253" i="3"/>
  <c r="AJ254" i="3" s="1"/>
  <c r="BV86" i="9" s="1"/>
  <c r="AK317" i="3"/>
  <c r="AK310" i="3"/>
  <c r="AR87" i="9"/>
  <c r="AE87" i="9"/>
  <c r="AK491" i="3"/>
  <c r="AK493" i="3" s="1"/>
  <c r="AJ118" i="3"/>
  <c r="AJ126" i="3" s="1"/>
  <c r="AK11" i="3"/>
  <c r="G87" i="9" s="1"/>
  <c r="AK32" i="3"/>
  <c r="AK339" i="3"/>
  <c r="AK113" i="3" s="1"/>
  <c r="BT249" i="3" l="1"/>
  <c r="BT320" i="3"/>
  <c r="AA321" i="2"/>
  <c r="AA461" i="2"/>
  <c r="BT461" i="3" s="1"/>
  <c r="AA250" i="2"/>
  <c r="BT250" i="3" s="1"/>
  <c r="AA331" i="2"/>
  <c r="AB10" i="2"/>
  <c r="AW29" i="9"/>
  <c r="BT103" i="3"/>
  <c r="AA501" i="2"/>
  <c r="BU9" i="3"/>
  <c r="AB92" i="2"/>
  <c r="AB96" i="2"/>
  <c r="AB489" i="2"/>
  <c r="AQ125" i="9"/>
  <c r="AT29" i="9"/>
  <c r="BT457" i="3"/>
  <c r="AA175" i="2"/>
  <c r="AA116" i="2"/>
  <c r="AK496" i="3"/>
  <c r="AK497" i="3" s="1"/>
  <c r="AK498" i="3" s="1"/>
  <c r="AK494" i="3"/>
  <c r="AK459" i="3"/>
  <c r="AK328" i="3"/>
  <c r="AK295" i="3"/>
  <c r="AV87" i="9"/>
  <c r="AK33" i="3"/>
  <c r="AK344" i="3" s="1"/>
  <c r="AK341" i="3"/>
  <c r="BA87" i="9"/>
  <c r="AK319" i="3"/>
  <c r="AK340" i="3"/>
  <c r="AK114" i="3" s="1"/>
  <c r="AK115" i="3" s="1"/>
  <c r="AK343" i="3"/>
  <c r="AK30" i="3"/>
  <c r="AL101" i="3"/>
  <c r="AJ464" i="3"/>
  <c r="AJ177" i="3"/>
  <c r="AJ282" i="3" s="1"/>
  <c r="AJ284" i="3" s="1"/>
  <c r="AT125" i="9" l="1"/>
  <c r="BU489" i="3"/>
  <c r="BU10" i="3"/>
  <c r="AB100" i="2"/>
  <c r="AB306" i="2"/>
  <c r="H279" i="1"/>
  <c r="A280" i="1" s="1"/>
  <c r="BT321" i="3"/>
  <c r="AA117" i="2"/>
  <c r="AA118" i="2" s="1"/>
  <c r="AB12" i="2"/>
  <c r="AA347" i="2"/>
  <c r="BT116" i="3"/>
  <c r="BB29" i="9"/>
  <c r="AA252" i="2"/>
  <c r="AB11" i="2"/>
  <c r="BT501" i="3"/>
  <c r="AA503" i="2"/>
  <c r="BT331" i="3"/>
  <c r="AA332" i="2"/>
  <c r="BT175" i="3"/>
  <c r="AA281" i="2"/>
  <c r="AE30" i="9"/>
  <c r="AE126" i="9" s="1"/>
  <c r="BU96" i="3"/>
  <c r="AR30" i="9"/>
  <c r="AR126" i="9" s="1"/>
  <c r="AB310" i="2"/>
  <c r="BU310" i="3" s="1"/>
  <c r="AB94" i="2"/>
  <c r="BU92" i="3"/>
  <c r="AW125" i="9"/>
  <c r="AY29" i="9"/>
  <c r="AY125" i="9" s="1"/>
  <c r="AA251" i="2"/>
  <c r="AK34" i="3"/>
  <c r="O87" i="9" s="1"/>
  <c r="AK462" i="3"/>
  <c r="AK298" i="3"/>
  <c r="AK329" i="3"/>
  <c r="AK330" i="3" s="1"/>
  <c r="AK31" i="3"/>
  <c r="AK342" i="3"/>
  <c r="AK346" i="3" s="1"/>
  <c r="BE87" i="9"/>
  <c r="AJ467" i="3"/>
  <c r="AJ472" i="3" s="1"/>
  <c r="AJ363" i="3"/>
  <c r="AJ364" i="3" s="1"/>
  <c r="AK353" i="3" s="1"/>
  <c r="BI86" i="9"/>
  <c r="BL86" i="9" s="1"/>
  <c r="BR86" i="9" s="1"/>
  <c r="AJ255" i="3"/>
  <c r="AJ257" i="3" s="1"/>
  <c r="BW86" i="9" s="1"/>
  <c r="AK15" i="3"/>
  <c r="AK345" i="3"/>
  <c r="AJ28" i="3" l="1"/>
  <c r="AJ438" i="3" s="1"/>
  <c r="AJ444" i="3" s="1"/>
  <c r="AJ402" i="3"/>
  <c r="AJ411" i="3" s="1"/>
  <c r="AJ418" i="3" s="1"/>
  <c r="AJ401" i="3"/>
  <c r="AJ410" i="3" s="1"/>
  <c r="AJ417" i="3" s="1"/>
  <c r="AJ170" i="3" s="1"/>
  <c r="AJ399" i="3"/>
  <c r="AJ400" i="3"/>
  <c r="AJ409" i="3" s="1"/>
  <c r="AJ416" i="3" s="1"/>
  <c r="AJ474" i="3"/>
  <c r="BT332" i="3"/>
  <c r="AB324" i="2"/>
  <c r="BU11" i="3"/>
  <c r="G30" i="9"/>
  <c r="G126" i="9" s="1"/>
  <c r="BT348" i="3"/>
  <c r="AA349" i="2"/>
  <c r="BU12" i="3"/>
  <c r="AB110" i="2"/>
  <c r="BU100" i="3"/>
  <c r="AB102" i="2"/>
  <c r="AB176" i="2" s="1"/>
  <c r="BT281" i="3"/>
  <c r="BT503" i="3"/>
  <c r="AA505" i="2"/>
  <c r="BC29" i="9"/>
  <c r="BC125" i="9" s="1"/>
  <c r="BB125" i="9"/>
  <c r="BT118" i="3"/>
  <c r="AA464" i="2"/>
  <c r="AA177" i="2"/>
  <c r="AA126" i="2"/>
  <c r="BU306" i="3"/>
  <c r="BU29" i="9"/>
  <c r="BU125" i="9" s="1"/>
  <c r="BT251" i="3"/>
  <c r="AB308" i="2"/>
  <c r="BU308" i="3" s="1"/>
  <c r="AB377" i="5"/>
  <c r="AB293" i="2"/>
  <c r="BU293" i="3" s="1"/>
  <c r="AN30" i="9"/>
  <c r="AN126" i="9" s="1"/>
  <c r="BU94" i="3"/>
  <c r="AB491" i="2"/>
  <c r="AB456" i="2"/>
  <c r="BU456" i="3" s="1"/>
  <c r="AB29" i="2"/>
  <c r="AC93" i="2"/>
  <c r="BV93" i="3" s="1"/>
  <c r="BT252" i="3"/>
  <c r="BF29" i="9"/>
  <c r="AA508" i="2"/>
  <c r="BT117" i="3"/>
  <c r="AA253" i="2"/>
  <c r="BT253" i="3" s="1"/>
  <c r="AA348" i="2"/>
  <c r="AB13" i="2"/>
  <c r="AB14" i="2" s="1"/>
  <c r="AK439" i="3"/>
  <c r="N87" i="9"/>
  <c r="AJ476" i="3"/>
  <c r="AJ478" i="3" s="1"/>
  <c r="AK127" i="3"/>
  <c r="AK17" i="3"/>
  <c r="I87" i="9" s="1"/>
  <c r="AJ169" i="3"/>
  <c r="AJ139" i="3"/>
  <c r="AJ71" i="3"/>
  <c r="AJ392" i="5"/>
  <c r="AJ191" i="5"/>
  <c r="M86" i="9"/>
  <c r="W86" i="9" s="1"/>
  <c r="AJ241" i="3" l="1"/>
  <c r="AB379" i="5"/>
  <c r="AB383" i="5" s="1"/>
  <c r="AJ403" i="3"/>
  <c r="AJ408" i="3"/>
  <c r="AJ268" i="3"/>
  <c r="AJ210" i="3"/>
  <c r="H30" i="9"/>
  <c r="H126" i="9" s="1"/>
  <c r="BU14" i="3"/>
  <c r="AB309" i="2"/>
  <c r="AA282" i="2"/>
  <c r="BT177" i="3"/>
  <c r="BU13" i="3"/>
  <c r="AB111" i="2"/>
  <c r="AB33" i="2" s="1"/>
  <c r="AA510" i="2"/>
  <c r="BT508" i="3"/>
  <c r="BU491" i="3"/>
  <c r="AB494" i="2"/>
  <c r="BU494" i="3" s="1"/>
  <c r="AB493" i="2"/>
  <c r="BT464" i="3"/>
  <c r="AA506" i="2"/>
  <c r="BT505" i="3"/>
  <c r="BU102" i="3"/>
  <c r="AB296" i="2"/>
  <c r="BU296" i="3" s="1"/>
  <c r="AB502" i="2"/>
  <c r="BU502" i="3" s="1"/>
  <c r="AB378" i="5"/>
  <c r="AB460" i="2"/>
  <c r="BU460" i="3" s="1"/>
  <c r="AU30" i="9"/>
  <c r="AU126" i="9" s="1"/>
  <c r="AB326" i="2"/>
  <c r="BU326" i="3" s="1"/>
  <c r="AA350" i="2"/>
  <c r="AB336" i="2" s="1"/>
  <c r="BT349" i="3"/>
  <c r="BF125" i="9"/>
  <c r="BG29" i="9"/>
  <c r="BU29" i="3"/>
  <c r="AB317" i="2"/>
  <c r="BU317" i="3" s="1"/>
  <c r="BU176" i="3"/>
  <c r="BT350" i="3"/>
  <c r="AB335" i="2"/>
  <c r="BU324" i="3"/>
  <c r="AA254" i="2"/>
  <c r="AB313" i="2"/>
  <c r="AA135" i="2"/>
  <c r="AB15" i="2"/>
  <c r="AA363" i="2"/>
  <c r="BT126" i="3"/>
  <c r="AA255" i="2"/>
  <c r="AA467" i="2"/>
  <c r="BT467" i="3" s="1"/>
  <c r="BI29" i="9"/>
  <c r="AB32" i="2"/>
  <c r="AZ30" i="9"/>
  <c r="AZ126" i="9" s="1"/>
  <c r="AB337" i="2"/>
  <c r="BU338" i="3" s="1"/>
  <c r="BU110" i="3"/>
  <c r="AJ387" i="5"/>
  <c r="AJ171" i="3"/>
  <c r="AJ182" i="3" s="1"/>
  <c r="AJ192" i="3"/>
  <c r="AK355" i="3"/>
  <c r="AG87" i="9"/>
  <c r="BK87" i="9"/>
  <c r="AJ480" i="3"/>
  <c r="AJ415" i="3" l="1"/>
  <c r="AJ419" i="3" s="1"/>
  <c r="AJ420" i="3" s="1"/>
  <c r="AJ412" i="3"/>
  <c r="AJ413" i="3" s="1"/>
  <c r="AB112" i="2"/>
  <c r="AB327" i="2"/>
  <c r="AB99" i="2" s="1"/>
  <c r="AB344" i="2"/>
  <c r="BU345" i="3" s="1"/>
  <c r="BU33" i="3"/>
  <c r="BT255" i="3"/>
  <c r="AA257" i="2"/>
  <c r="AA469" i="2"/>
  <c r="BT469" i="3" s="1"/>
  <c r="BO29" i="9"/>
  <c r="AA382" i="2"/>
  <c r="AB18" i="2"/>
  <c r="BT135" i="3"/>
  <c r="AA258" i="2"/>
  <c r="BT282" i="3"/>
  <c r="AA284" i="2"/>
  <c r="AB343" i="2"/>
  <c r="BU344" i="3" s="1"/>
  <c r="BU32" i="3"/>
  <c r="AB34" i="2"/>
  <c r="BU337" i="3"/>
  <c r="AB338" i="2"/>
  <c r="BU339" i="3" s="1"/>
  <c r="BD30" i="9"/>
  <c r="BD126" i="9" s="1"/>
  <c r="AB509" i="2"/>
  <c r="BU509" i="3" s="1"/>
  <c r="BU111" i="3"/>
  <c r="AA390" i="1"/>
  <c r="BU309" i="3"/>
  <c r="BL29" i="9"/>
  <c r="BL125" i="9" s="1"/>
  <c r="BI125" i="9"/>
  <c r="AA364" i="2"/>
  <c r="AB353" i="2" s="1"/>
  <c r="BT364" i="3"/>
  <c r="BV29" i="9"/>
  <c r="BV125" i="9" s="1"/>
  <c r="BT254" i="3"/>
  <c r="BU336" i="3"/>
  <c r="BU335" i="3"/>
  <c r="AB339" i="2"/>
  <c r="BG125" i="9"/>
  <c r="AB319" i="2"/>
  <c r="BU319" i="3" s="1"/>
  <c r="AB297" i="2"/>
  <c r="BU297" i="3" s="1"/>
  <c r="BU112" i="3"/>
  <c r="AB178" i="2"/>
  <c r="AB463" i="2"/>
  <c r="BU463" i="3" s="1"/>
  <c r="BU15" i="3"/>
  <c r="AB17" i="2"/>
  <c r="AB127" i="2"/>
  <c r="BU493" i="3"/>
  <c r="AB496" i="2"/>
  <c r="BT510" i="3"/>
  <c r="AA512" i="2"/>
  <c r="AJ153" i="3"/>
  <c r="AJ154" i="3" s="1"/>
  <c r="AJ156" i="3" s="1"/>
  <c r="AJ207" i="3"/>
  <c r="AJ481" i="3"/>
  <c r="AK357" i="3"/>
  <c r="AA472" i="2" l="1"/>
  <c r="AA474" i="2"/>
  <c r="BU327" i="3"/>
  <c r="AB340" i="2"/>
  <c r="BU341" i="3" s="1"/>
  <c r="AB113" i="2"/>
  <c r="BU340" i="3"/>
  <c r="AB38" i="2"/>
  <c r="J30" i="9"/>
  <c r="J126" i="9" s="1"/>
  <c r="E280" i="1"/>
  <c r="BU18" i="3"/>
  <c r="BW29" i="9"/>
  <c r="BW125" i="9" s="1"/>
  <c r="BT257" i="3"/>
  <c r="AB355" i="2"/>
  <c r="BU355" i="3" s="1"/>
  <c r="AG30" i="9"/>
  <c r="AG126" i="9" s="1"/>
  <c r="BK30" i="9"/>
  <c r="BK126" i="9" s="1"/>
  <c r="BU127" i="3"/>
  <c r="BU178" i="3"/>
  <c r="AA357" i="1"/>
  <c r="Z359" i="1"/>
  <c r="BT284" i="3"/>
  <c r="AB328" i="2"/>
  <c r="AB459" i="2"/>
  <c r="BU459" i="3" s="1"/>
  <c r="AV30" i="9"/>
  <c r="AV126" i="9" s="1"/>
  <c r="BU99" i="3"/>
  <c r="AB295" i="2"/>
  <c r="BU295" i="3" s="1"/>
  <c r="AC101" i="2"/>
  <c r="BV101" i="3" s="1"/>
  <c r="AB30" i="2"/>
  <c r="AA383" i="2"/>
  <c r="BT382" i="3"/>
  <c r="BT512" i="3"/>
  <c r="AA513" i="2"/>
  <c r="BT472" i="3"/>
  <c r="AA28" i="2"/>
  <c r="AA402" i="2"/>
  <c r="AA401" i="2"/>
  <c r="AA400" i="2"/>
  <c r="AA399" i="2"/>
  <c r="BU17" i="3"/>
  <c r="I30" i="9"/>
  <c r="I126" i="9" s="1"/>
  <c r="AA391" i="1"/>
  <c r="BU353" i="3"/>
  <c r="AB357" i="2"/>
  <c r="O30" i="9"/>
  <c r="O126" i="9" s="1"/>
  <c r="BU34" i="3"/>
  <c r="AA175" i="5"/>
  <c r="BT258" i="3"/>
  <c r="BX29" i="9"/>
  <c r="BX125" i="9" s="1"/>
  <c r="BP29" i="9"/>
  <c r="BP125" i="9" s="1"/>
  <c r="BO125" i="9"/>
  <c r="BU496" i="3"/>
  <c r="AB497" i="2"/>
  <c r="BT474" i="3"/>
  <c r="AA476" i="2"/>
  <c r="CD357" i="3"/>
  <c r="AK121" i="3"/>
  <c r="AJ482" i="3"/>
  <c r="AJ159" i="3"/>
  <c r="AJ160" i="3" s="1"/>
  <c r="AJ161" i="3" s="1"/>
  <c r="AJ158" i="3"/>
  <c r="AJ162" i="3" s="1"/>
  <c r="AB114" i="2" l="1"/>
  <c r="BU497" i="3"/>
  <c r="AB498" i="2"/>
  <c r="BU498" i="3" s="1"/>
  <c r="BT399" i="3"/>
  <c r="AA403" i="2"/>
  <c r="BT403" i="3" s="1"/>
  <c r="AA408" i="2"/>
  <c r="AA169" i="2"/>
  <c r="AA139" i="2"/>
  <c r="BT139" i="3" s="1"/>
  <c r="AA438" i="2"/>
  <c r="AA71" i="2"/>
  <c r="M29" i="9"/>
  <c r="BT28" i="3"/>
  <c r="AA11" i="5"/>
  <c r="AA207" i="5" s="1"/>
  <c r="AA241" i="2"/>
  <c r="BT241" i="3" s="1"/>
  <c r="AA390" i="5"/>
  <c r="BU328" i="3"/>
  <c r="AJ163" i="3"/>
  <c r="AJ165" i="3" s="1"/>
  <c r="AJ267" i="3" s="1"/>
  <c r="BT476" i="3"/>
  <c r="AA478" i="2"/>
  <c r="BT400" i="3"/>
  <c r="AA409" i="2"/>
  <c r="BT383" i="3"/>
  <c r="AB377" i="2"/>
  <c r="BR29" i="9"/>
  <c r="BR125" i="9" s="1"/>
  <c r="Q30" i="9"/>
  <c r="Q126" i="9" s="1"/>
  <c r="AB173" i="5"/>
  <c r="AB379" i="2"/>
  <c r="BU379" i="3" s="1"/>
  <c r="BU38" i="3"/>
  <c r="BT401" i="3"/>
  <c r="AA410" i="2"/>
  <c r="AB329" i="2"/>
  <c r="BU329" i="3" s="1"/>
  <c r="BU30" i="3"/>
  <c r="AB31" i="2"/>
  <c r="BU358" i="3"/>
  <c r="AB121" i="2"/>
  <c r="BT402" i="3"/>
  <c r="AA411" i="2"/>
  <c r="AB342" i="2"/>
  <c r="BU114" i="3"/>
  <c r="BE30" i="9"/>
  <c r="BE126" i="9" s="1"/>
  <c r="BA30" i="9"/>
  <c r="BA126" i="9" s="1"/>
  <c r="BU113" i="3"/>
  <c r="AB341" i="2"/>
  <c r="AB115" i="2"/>
  <c r="AK358" i="3"/>
  <c r="AJ166" i="3" l="1"/>
  <c r="AJ183" i="3"/>
  <c r="AJ139" i="5"/>
  <c r="BU342" i="3"/>
  <c r="AB345" i="2"/>
  <c r="BU346" i="3" s="1"/>
  <c r="AB358" i="2"/>
  <c r="BU121" i="3"/>
  <c r="BU377" i="3"/>
  <c r="AB381" i="2"/>
  <c r="BU381" i="3" s="1"/>
  <c r="BT478" i="3"/>
  <c r="AA480" i="2"/>
  <c r="BT438" i="3"/>
  <c r="AA444" i="2"/>
  <c r="BT444" i="3" s="1"/>
  <c r="BU343" i="3"/>
  <c r="AB346" i="2"/>
  <c r="BU347" i="3" s="1"/>
  <c r="BT410" i="3"/>
  <c r="AA417" i="2"/>
  <c r="BT411" i="3"/>
  <c r="AA418" i="2"/>
  <c r="BT418" i="3" s="1"/>
  <c r="BU31" i="3"/>
  <c r="N30" i="9"/>
  <c r="N126" i="9" s="1"/>
  <c r="AB439" i="2"/>
  <c r="BU439" i="3" s="1"/>
  <c r="BT409" i="3"/>
  <c r="AA416" i="2"/>
  <c r="BT416" i="3" s="1"/>
  <c r="AA391" i="5"/>
  <c r="AA395" i="5" s="1"/>
  <c r="AA394" i="5"/>
  <c r="W29" i="9"/>
  <c r="M125" i="9"/>
  <c r="Z354" i="1"/>
  <c r="BT169" i="3"/>
  <c r="AB298" i="2"/>
  <c r="BU298" i="3" s="1"/>
  <c r="AB462" i="2"/>
  <c r="BU462" i="3" s="1"/>
  <c r="BU115" i="3"/>
  <c r="AB330" i="2"/>
  <c r="BU330" i="3" s="1"/>
  <c r="BT71" i="3"/>
  <c r="AA386" i="5"/>
  <c r="AA388" i="5" s="1"/>
  <c r="Z368" i="1"/>
  <c r="BT408" i="3"/>
  <c r="AA412" i="2"/>
  <c r="BT412" i="3" s="1"/>
  <c r="AA415" i="2"/>
  <c r="AJ208" i="3"/>
  <c r="AJ212" i="3" s="1"/>
  <c r="AJ184" i="3"/>
  <c r="AK359" i="3"/>
  <c r="AK122" i="3" s="1"/>
  <c r="W125" i="9" l="1"/>
  <c r="BT417" i="3"/>
  <c r="AA170" i="2"/>
  <c r="BU359" i="3"/>
  <c r="AB359" i="2"/>
  <c r="AA413" i="2"/>
  <c r="AA419" i="2"/>
  <c r="BT415" i="3"/>
  <c r="AA481" i="2"/>
  <c r="BT480" i="3"/>
  <c r="AJ95" i="4"/>
  <c r="AJ266" i="3"/>
  <c r="AJ270" i="3" s="1"/>
  <c r="AJ191" i="3"/>
  <c r="AJ193" i="3" s="1"/>
  <c r="AJ398" i="5"/>
  <c r="AJ330" i="5"/>
  <c r="AK360" i="3"/>
  <c r="AK123" i="3"/>
  <c r="AJ218" i="3"/>
  <c r="AJ225" i="3"/>
  <c r="AB122" i="2" l="1"/>
  <c r="BU360" i="3"/>
  <c r="AA420" i="2"/>
  <c r="BT420" i="3" s="1"/>
  <c r="BT419" i="3"/>
  <c r="AA268" i="2"/>
  <c r="BT268" i="3" s="1"/>
  <c r="Z355" i="1"/>
  <c r="BT170" i="3"/>
  <c r="AA210" i="2"/>
  <c r="AA171" i="2"/>
  <c r="AA192" i="2"/>
  <c r="BT481" i="3"/>
  <c r="AA482" i="2"/>
  <c r="BT482" i="3" s="1"/>
  <c r="AJ200" i="3"/>
  <c r="AJ196" i="3"/>
  <c r="AJ198" i="3"/>
  <c r="AJ195" i="3"/>
  <c r="AJ197" i="3"/>
  <c r="AJ201" i="3"/>
  <c r="AJ199" i="3"/>
  <c r="AK125" i="3"/>
  <c r="BH87" i="9"/>
  <c r="AK35" i="3"/>
  <c r="AJ222" i="3"/>
  <c r="AJ221" i="3"/>
  <c r="AJ220" i="3"/>
  <c r="AJ64" i="4"/>
  <c r="AL65" i="4" s="1"/>
  <c r="AJ331" i="5"/>
  <c r="BT210" i="3" l="1"/>
  <c r="Z380" i="1"/>
  <c r="BT192" i="3"/>
  <c r="Z366" i="1"/>
  <c r="AA182" i="2"/>
  <c r="BT171" i="3"/>
  <c r="Z356" i="1"/>
  <c r="Z361" i="1" s="1"/>
  <c r="AB360" i="2"/>
  <c r="BU122" i="3"/>
  <c r="AB123" i="2"/>
  <c r="AJ223" i="3"/>
  <c r="AJ227" i="3" s="1"/>
  <c r="AK361" i="3"/>
  <c r="AK37" i="3"/>
  <c r="AJ321" i="4"/>
  <c r="AJ202" i="3"/>
  <c r="AJ203" i="3" s="1"/>
  <c r="AJ333" i="5" s="1"/>
  <c r="BS288" i="1"/>
  <c r="N335" i="1"/>
  <c r="AJ325" i="4"/>
  <c r="BW288" i="1"/>
  <c r="R335" i="1"/>
  <c r="AJ324" i="4"/>
  <c r="Q335" i="1"/>
  <c r="BV288" i="1"/>
  <c r="AK466" i="3"/>
  <c r="AK299" i="3"/>
  <c r="AJ204" i="3"/>
  <c r="AJ515" i="3" s="1"/>
  <c r="T335" i="1"/>
  <c r="AJ322" i="4"/>
  <c r="O335" i="1"/>
  <c r="BT288" i="1"/>
  <c r="AL68" i="4"/>
  <c r="AL69" i="4"/>
  <c r="AL71" i="4"/>
  <c r="AL67" i="4"/>
  <c r="AL70" i="4"/>
  <c r="AJ323" i="4"/>
  <c r="BU288" i="1"/>
  <c r="P335" i="1"/>
  <c r="AJ326" i="4"/>
  <c r="S335" i="1"/>
  <c r="BX288" i="1"/>
  <c r="AJ516" i="3" l="1"/>
  <c r="AJ334" i="5"/>
  <c r="AJ228" i="3"/>
  <c r="BK288" i="1"/>
  <c r="R288" i="1"/>
  <c r="BU361" i="3"/>
  <c r="AL72" i="4"/>
  <c r="AL272" i="3" s="1"/>
  <c r="BH30" i="9"/>
  <c r="BH126" i="9" s="1"/>
  <c r="BU123" i="3"/>
  <c r="AB125" i="2"/>
  <c r="AB35" i="2"/>
  <c r="BT182" i="3"/>
  <c r="AA207" i="2"/>
  <c r="AA153" i="2"/>
  <c r="BM288" i="1"/>
  <c r="T288" i="1"/>
  <c r="M335" i="1"/>
  <c r="U335" i="1" s="1"/>
  <c r="BP288" i="1"/>
  <c r="W288" i="1"/>
  <c r="BO288" i="1"/>
  <c r="V288" i="1"/>
  <c r="AJ484" i="3"/>
  <c r="AJ485" i="3" s="1"/>
  <c r="AJ422" i="3"/>
  <c r="AJ424" i="3" s="1"/>
  <c r="AJ145" i="3"/>
  <c r="AK302" i="3" s="1"/>
  <c r="AJ332" i="5"/>
  <c r="AK440" i="3"/>
  <c r="P87" i="9"/>
  <c r="BN288" i="1"/>
  <c r="U288" i="1"/>
  <c r="BQ288" i="1"/>
  <c r="X288" i="1"/>
  <c r="BL288" i="1"/>
  <c r="S288" i="1"/>
  <c r="AK362" i="3"/>
  <c r="AL74" i="4" l="1"/>
  <c r="AL73" i="4"/>
  <c r="AB37" i="2"/>
  <c r="BU35" i="3"/>
  <c r="AB361" i="2"/>
  <c r="BT153" i="3"/>
  <c r="AA154" i="2"/>
  <c r="AB466" i="2"/>
  <c r="BU466" i="3" s="1"/>
  <c r="BU125" i="3"/>
  <c r="AB299" i="2"/>
  <c r="BU299" i="3" s="1"/>
  <c r="BT207" i="3"/>
  <c r="AA212" i="2"/>
  <c r="AJ244" i="3"/>
  <c r="AJ245" i="3" s="1"/>
  <c r="AJ260" i="3" s="1"/>
  <c r="AJ146" i="3"/>
  <c r="AJ129" i="5" s="1"/>
  <c r="AJ197" i="5"/>
  <c r="AJ198" i="5" s="1"/>
  <c r="AJ199" i="5" s="1"/>
  <c r="AJ200" i="5" s="1"/>
  <c r="Z86" i="9"/>
  <c r="AJ86" i="9" s="1"/>
  <c r="AL86" i="9" s="1"/>
  <c r="AJ229" i="3"/>
  <c r="AJ335" i="5" s="1"/>
  <c r="AJ148" i="3"/>
  <c r="AJ425" i="3"/>
  <c r="BU362" i="3" l="1"/>
  <c r="BU356" i="3"/>
  <c r="AB362" i="2"/>
  <c r="BU363" i="3" s="1"/>
  <c r="BT212" i="3"/>
  <c r="AA225" i="2"/>
  <c r="BT225" i="3" s="1"/>
  <c r="AA218" i="2"/>
  <c r="AA156" i="2"/>
  <c r="BT154" i="3"/>
  <c r="BU37" i="3"/>
  <c r="AB440" i="2"/>
  <c r="BU440" i="3" s="1"/>
  <c r="P30" i="9"/>
  <c r="P126" i="9" s="1"/>
  <c r="AJ248" i="3"/>
  <c r="AK8" i="3"/>
  <c r="AJ486" i="3" l="1"/>
  <c r="BT156" i="3"/>
  <c r="AA158" i="2"/>
  <c r="AA159" i="2"/>
  <c r="AA222" i="2"/>
  <c r="BT222" i="3" s="1"/>
  <c r="AA221" i="2"/>
  <c r="BT221" i="3" s="1"/>
  <c r="AA220" i="2"/>
  <c r="BT218" i="3"/>
  <c r="AK450" i="3"/>
  <c r="AK390" i="3"/>
  <c r="AK447" i="3"/>
  <c r="AK20" i="3"/>
  <c r="AK84" i="3"/>
  <c r="AK19" i="3"/>
  <c r="AK373" i="5"/>
  <c r="F87" i="9"/>
  <c r="K87" i="9" s="1"/>
  <c r="AJ259" i="3"/>
  <c r="AJ369" i="5" s="1"/>
  <c r="BT86" i="9"/>
  <c r="BY86" i="9" s="1"/>
  <c r="BT159" i="3" l="1"/>
  <c r="AA160" i="2"/>
  <c r="BT220" i="3"/>
  <c r="AA223" i="2"/>
  <c r="BT158" i="3"/>
  <c r="AA162" i="2"/>
  <c r="BT162" i="3" s="1"/>
  <c r="AJ261" i="3"/>
  <c r="AK232" i="3"/>
  <c r="AK365" i="5"/>
  <c r="AK190" i="5"/>
  <c r="AJ393" i="5"/>
  <c r="AK238" i="3"/>
  <c r="AK85" i="3"/>
  <c r="AK195" i="5"/>
  <c r="AK394" i="3"/>
  <c r="AK392" i="3"/>
  <c r="AK393" i="3"/>
  <c r="AK391" i="3"/>
  <c r="BT223" i="3" l="1"/>
  <c r="AA227" i="2"/>
  <c r="BT160" i="3"/>
  <c r="AA161" i="2"/>
  <c r="AK395" i="3"/>
  <c r="AK470" i="3"/>
  <c r="AK290" i="3"/>
  <c r="AK287" i="3"/>
  <c r="AK240" i="3"/>
  <c r="AD87" i="9"/>
  <c r="AK303" i="3" l="1"/>
  <c r="AA163" i="2"/>
  <c r="BT161" i="3"/>
  <c r="BT227" i="3"/>
  <c r="AA89" i="5"/>
  <c r="AA345" i="5" s="1"/>
  <c r="Z393" i="1"/>
  <c r="Z385" i="1"/>
  <c r="Z371" i="1"/>
  <c r="AA228" i="2"/>
  <c r="BT228" i="3" s="1"/>
  <c r="AK396" i="3"/>
  <c r="AK405" i="3"/>
  <c r="AI87" i="9"/>
  <c r="AK95" i="3" l="1"/>
  <c r="AK103" i="3" s="1"/>
  <c r="AK461" i="3" s="1"/>
  <c r="BT163" i="3"/>
  <c r="AA165" i="2"/>
  <c r="AA267" i="2" s="1"/>
  <c r="AK320" i="3" l="1"/>
  <c r="AK321" i="3" s="1"/>
  <c r="AL306" i="3" s="1"/>
  <c r="AL9" i="3"/>
  <c r="AL93" i="3" s="1"/>
  <c r="AL94" i="3" s="1"/>
  <c r="AL405" i="5" s="1"/>
  <c r="AL406" i="5" s="1"/>
  <c r="AL408" i="5" s="1"/>
  <c r="AK457" i="3"/>
  <c r="AW87" i="9"/>
  <c r="AY87" i="9" s="1"/>
  <c r="AK175" i="3"/>
  <c r="AK281" i="3" s="1"/>
  <c r="AK501" i="3"/>
  <c r="AK503" i="3" s="1"/>
  <c r="AK505" i="3" s="1"/>
  <c r="AK506" i="3" s="1"/>
  <c r="AK116" i="3"/>
  <c r="AK347" i="3" s="1"/>
  <c r="AK349" i="3" s="1"/>
  <c r="AL335" i="3" s="1"/>
  <c r="AK249" i="3"/>
  <c r="AK250" i="3"/>
  <c r="AK331" i="3"/>
  <c r="AK332" i="3" s="1"/>
  <c r="AL324" i="3" s="1"/>
  <c r="AQ87" i="9"/>
  <c r="AT87" i="9" s="1"/>
  <c r="AL10" i="3"/>
  <c r="AL100" i="3" s="1"/>
  <c r="AL102" i="3" s="1"/>
  <c r="AL381" i="5" s="1"/>
  <c r="BT165" i="3"/>
  <c r="AA112" i="5"/>
  <c r="AA140" i="5" s="1"/>
  <c r="BT267" i="3"/>
  <c r="AA183" i="2"/>
  <c r="AA166" i="2"/>
  <c r="BT166" i="3" s="1"/>
  <c r="AL489" i="3"/>
  <c r="AL96" i="3"/>
  <c r="AL12" i="3" l="1"/>
  <c r="AM92" i="3"/>
  <c r="AK251" i="3"/>
  <c r="BU87" i="9" s="1"/>
  <c r="AL296" i="3"/>
  <c r="AN88" i="9"/>
  <c r="BB87" i="9"/>
  <c r="BC87" i="9" s="1"/>
  <c r="AL293" i="3"/>
  <c r="AK252" i="3"/>
  <c r="AL326" i="3"/>
  <c r="AL327" i="3" s="1"/>
  <c r="AL99" i="3" s="1"/>
  <c r="AL456" i="3"/>
  <c r="AK117" i="3"/>
  <c r="AK348" i="3" s="1"/>
  <c r="AK350" i="3" s="1"/>
  <c r="AL336" i="3" s="1"/>
  <c r="AU88" i="9"/>
  <c r="AL382" i="5"/>
  <c r="AL308" i="3"/>
  <c r="AL309" i="3" s="1"/>
  <c r="AL502" i="3"/>
  <c r="AL176" i="3"/>
  <c r="AL11" i="3"/>
  <c r="G88" i="9" s="1"/>
  <c r="AL460" i="3"/>
  <c r="AL380" i="5"/>
  <c r="Z375" i="1"/>
  <c r="Z363" i="1"/>
  <c r="Z364" i="1" s="1"/>
  <c r="BT183" i="3"/>
  <c r="AA184" i="2"/>
  <c r="AL310" i="3"/>
  <c r="AE88" i="9"/>
  <c r="AR88" i="9"/>
  <c r="AL491" i="3"/>
  <c r="AL493" i="3" s="1"/>
  <c r="AL29" i="3"/>
  <c r="AL32" i="3"/>
  <c r="AL339" i="3"/>
  <c r="AL113" i="3" s="1"/>
  <c r="AK118" i="3" l="1"/>
  <c r="AK126" i="3" s="1"/>
  <c r="AK508" i="3"/>
  <c r="AK510" i="3" s="1"/>
  <c r="AK512" i="3" s="1"/>
  <c r="AK513" i="3" s="1"/>
  <c r="AL13" i="3"/>
  <c r="AL14" i="3" s="1"/>
  <c r="H88" i="9" s="1"/>
  <c r="AK253" i="3"/>
  <c r="AK254" i="3" s="1"/>
  <c r="BV87" i="9" s="1"/>
  <c r="AL459" i="3"/>
  <c r="AL30" i="3"/>
  <c r="AL329" i="3" s="1"/>
  <c r="AL328" i="3"/>
  <c r="AM101" i="3"/>
  <c r="AL295" i="3"/>
  <c r="AV88" i="9"/>
  <c r="BF87" i="9"/>
  <c r="BG87" i="9" s="1"/>
  <c r="AA397" i="5"/>
  <c r="AA85" i="5"/>
  <c r="AA342" i="5" s="1"/>
  <c r="AA94" i="4"/>
  <c r="AA399" i="5"/>
  <c r="BT184" i="3"/>
  <c r="AA266" i="2"/>
  <c r="AA191" i="2"/>
  <c r="Z374" i="1"/>
  <c r="Z377" i="1" s="1"/>
  <c r="Z382" i="1" s="1"/>
  <c r="Z384" i="1" s="1"/>
  <c r="Z386" i="1" s="1"/>
  <c r="Z367" i="1"/>
  <c r="AL317" i="3"/>
  <c r="AL319" i="3" s="1"/>
  <c r="AL340" i="3"/>
  <c r="AL114" i="3" s="1"/>
  <c r="AL115" i="3" s="1"/>
  <c r="AL343" i="3"/>
  <c r="AL341" i="3"/>
  <c r="BA88" i="9"/>
  <c r="AL494" i="3"/>
  <c r="AL496" i="3" s="1"/>
  <c r="AL497" i="3" s="1"/>
  <c r="AL498" i="3" s="1"/>
  <c r="AK464" i="3"/>
  <c r="AK177" i="3"/>
  <c r="AK282" i="3" s="1"/>
  <c r="AK284" i="3" s="1"/>
  <c r="AL31" i="3" l="1"/>
  <c r="AL33" i="3"/>
  <c r="AL344" i="3" s="1"/>
  <c r="AA271" i="2"/>
  <c r="AA86" i="4" s="1"/>
  <c r="AA270" i="2"/>
  <c r="BT191" i="3"/>
  <c r="AA193" i="2"/>
  <c r="BT266" i="3"/>
  <c r="N88" i="9"/>
  <c r="AL342" i="3"/>
  <c r="BE88" i="9"/>
  <c r="AL462" i="3"/>
  <c r="AL298" i="3"/>
  <c r="AL330" i="3"/>
  <c r="AK467" i="3"/>
  <c r="AK472" i="3" s="1"/>
  <c r="AK363" i="3"/>
  <c r="AK364" i="3" s="1"/>
  <c r="AL353" i="3" s="1"/>
  <c r="BI87" i="9"/>
  <c r="BL87" i="9" s="1"/>
  <c r="BR87" i="9" s="1"/>
  <c r="AL15" i="3"/>
  <c r="AK255" i="3"/>
  <c r="AK257" i="3" s="1"/>
  <c r="BW87" i="9" s="1"/>
  <c r="AL345" i="3"/>
  <c r="AL346" i="3" l="1"/>
  <c r="AL34" i="3"/>
  <c r="O88" i="9" s="1"/>
  <c r="AK28" i="3"/>
  <c r="AK169" i="3" s="1"/>
  <c r="AK402" i="3"/>
  <c r="AK411" i="3" s="1"/>
  <c r="AK418" i="3" s="1"/>
  <c r="AK399" i="3"/>
  <c r="AK401" i="3"/>
  <c r="AK410" i="3" s="1"/>
  <c r="AK417" i="3" s="1"/>
  <c r="AK170" i="3" s="1"/>
  <c r="AK400" i="3"/>
  <c r="AK409" i="3" s="1"/>
  <c r="AK416" i="3" s="1"/>
  <c r="AA32" i="4"/>
  <c r="AC33" i="4" s="1"/>
  <c r="AA86" i="5"/>
  <c r="AA343" i="5" s="1"/>
  <c r="BT270" i="3"/>
  <c r="AL439" i="3"/>
  <c r="AA198" i="2"/>
  <c r="AA199" i="2"/>
  <c r="AA201" i="2"/>
  <c r="AA196" i="2"/>
  <c r="BT193" i="3"/>
  <c r="AA200" i="2"/>
  <c r="AA197" i="2"/>
  <c r="AA195" i="2"/>
  <c r="AL127" i="3"/>
  <c r="AL17" i="3"/>
  <c r="I88" i="9" s="1"/>
  <c r="AK438" i="3"/>
  <c r="AK444" i="3" s="1"/>
  <c r="AK241" i="3"/>
  <c r="AK139" i="3"/>
  <c r="AK71" i="3"/>
  <c r="AK392" i="5"/>
  <c r="M87" i="9"/>
  <c r="W87" i="9" s="1"/>
  <c r="AK191" i="5"/>
  <c r="AK474" i="3"/>
  <c r="AK268" i="3" l="1"/>
  <c r="AK210" i="3"/>
  <c r="AK408" i="3"/>
  <c r="AK403" i="3"/>
  <c r="AA315" i="4"/>
  <c r="M279" i="1" s="1"/>
  <c r="BT197" i="3"/>
  <c r="F326" i="1"/>
  <c r="BT201" i="3"/>
  <c r="AA204" i="2"/>
  <c r="J326" i="1"/>
  <c r="I326" i="1"/>
  <c r="AA318" i="4"/>
  <c r="P279" i="1" s="1"/>
  <c r="BT200" i="3"/>
  <c r="AA317" i="4"/>
  <c r="O279" i="1" s="1"/>
  <c r="BT199" i="3"/>
  <c r="H326" i="1"/>
  <c r="AA316" i="4"/>
  <c r="N279" i="1" s="1"/>
  <c r="BT198" i="3"/>
  <c r="G326" i="1"/>
  <c r="AC55" i="4"/>
  <c r="AC56" i="4"/>
  <c r="AC57" i="4"/>
  <c r="AC58" i="4"/>
  <c r="AC54" i="4"/>
  <c r="AA313" i="4"/>
  <c r="K279" i="1" s="1"/>
  <c r="BT195" i="3"/>
  <c r="AA202" i="2"/>
  <c r="D326" i="1"/>
  <c r="BT196" i="3"/>
  <c r="E326" i="1"/>
  <c r="AA314" i="4"/>
  <c r="L279" i="1" s="1"/>
  <c r="AK387" i="5"/>
  <c r="AK476" i="3"/>
  <c r="AK478" i="3" s="1"/>
  <c r="AK192" i="3"/>
  <c r="AK171" i="3"/>
  <c r="AK182" i="3" s="1"/>
  <c r="AL355" i="3"/>
  <c r="BK88" i="9"/>
  <c r="AG88" i="9"/>
  <c r="AK415" i="3" l="1"/>
  <c r="AK419" i="3" s="1"/>
  <c r="AK412" i="3"/>
  <c r="AK413" i="3" s="1"/>
  <c r="C326" i="1"/>
  <c r="K326" i="1" s="1"/>
  <c r="AC59" i="4"/>
  <c r="AA422" i="2"/>
  <c r="BT202" i="3"/>
  <c r="Z370" i="1"/>
  <c r="Z372" i="1" s="1"/>
  <c r="AA145" i="2"/>
  <c r="AA484" i="2"/>
  <c r="AA87" i="5"/>
  <c r="AA344" i="5" s="1"/>
  <c r="AA203" i="2"/>
  <c r="Z394" i="1"/>
  <c r="AA515" i="2"/>
  <c r="BT515" i="3" s="1"/>
  <c r="BT204" i="3"/>
  <c r="AL357" i="3"/>
  <c r="AK480" i="3"/>
  <c r="AK207" i="3"/>
  <c r="AK153" i="3"/>
  <c r="AK154" i="3" s="1"/>
  <c r="AK156" i="3" s="1"/>
  <c r="AC61" i="4" l="1"/>
  <c r="AC272" i="2"/>
  <c r="J279" i="1"/>
  <c r="AA88" i="5"/>
  <c r="AA516" i="2"/>
  <c r="BT203" i="3"/>
  <c r="BT484" i="3"/>
  <c r="AA485" i="2"/>
  <c r="AA424" i="2"/>
  <c r="BT424" i="3" s="1"/>
  <c r="BT422" i="3"/>
  <c r="AA244" i="2"/>
  <c r="AA229" i="2"/>
  <c r="AA146" i="2"/>
  <c r="AA148" i="2"/>
  <c r="BT145" i="3"/>
  <c r="AB302" i="2"/>
  <c r="BU302" i="3" s="1"/>
  <c r="AA17" i="5"/>
  <c r="Z29" i="9"/>
  <c r="AC60" i="4"/>
  <c r="CE357" i="3"/>
  <c r="AL121" i="3"/>
  <c r="AK158" i="3"/>
  <c r="AK162" i="3" s="1"/>
  <c r="AK159" i="3"/>
  <c r="AK160" i="3" s="1"/>
  <c r="AK161" i="3" s="1"/>
  <c r="AK481" i="3"/>
  <c r="AK420" i="3"/>
  <c r="AA213" i="5" l="1"/>
  <c r="AA18" i="5"/>
  <c r="BT146" i="3"/>
  <c r="AA109" i="5"/>
  <c r="BT229" i="3"/>
  <c r="AA90" i="5"/>
  <c r="AA346" i="5" s="1"/>
  <c r="BT485" i="3"/>
  <c r="AA425" i="2"/>
  <c r="BT425" i="3" s="1"/>
  <c r="AA384" i="5"/>
  <c r="BT516" i="3"/>
  <c r="BT244" i="3"/>
  <c r="AA245" i="2"/>
  <c r="Z125" i="9"/>
  <c r="AJ29" i="9"/>
  <c r="AL29" i="9" s="1"/>
  <c r="BT148" i="3"/>
  <c r="AA248" i="2"/>
  <c r="AB8" i="2"/>
  <c r="AK482" i="3"/>
  <c r="AL358" i="3"/>
  <c r="AK163" i="3"/>
  <c r="AK165" i="3" s="1"/>
  <c r="AK166" i="3" l="1"/>
  <c r="AK267" i="3"/>
  <c r="AA260" i="2"/>
  <c r="BT245" i="3"/>
  <c r="Z373" i="1"/>
  <c r="BT248" i="3"/>
  <c r="BT29" i="9"/>
  <c r="AA259" i="2"/>
  <c r="AJ125" i="9"/>
  <c r="AL125" i="9"/>
  <c r="AA19" i="5"/>
  <c r="AA214" i="5"/>
  <c r="AA486" i="2"/>
  <c r="BT486" i="3" s="1"/>
  <c r="AB20" i="2"/>
  <c r="F30" i="9"/>
  <c r="AB450" i="2"/>
  <c r="AB19" i="2"/>
  <c r="I280" i="1"/>
  <c r="BU8" i="3"/>
  <c r="AB447" i="2"/>
  <c r="AB372" i="5"/>
  <c r="AB374" i="5" s="1"/>
  <c r="AB390" i="2"/>
  <c r="AB84" i="2"/>
  <c r="AA389" i="1"/>
  <c r="AL359" i="3"/>
  <c r="AL122" i="3" s="1"/>
  <c r="AK183" i="3"/>
  <c r="AK139" i="5"/>
  <c r="AB393" i="2" l="1"/>
  <c r="AB392" i="2"/>
  <c r="AB391" i="2"/>
  <c r="BU390" i="3"/>
  <c r="AB394" i="2"/>
  <c r="BU19" i="3"/>
  <c r="AB364" i="5"/>
  <c r="AB366" i="5" s="1"/>
  <c r="AA261" i="2"/>
  <c r="BT261" i="3" s="1"/>
  <c r="AB232" i="2"/>
  <c r="BU232" i="3" s="1"/>
  <c r="AB10" i="5"/>
  <c r="AB206" i="5" s="1"/>
  <c r="BU447" i="3"/>
  <c r="BU450" i="3"/>
  <c r="AA368" i="5"/>
  <c r="AA370" i="5" s="1"/>
  <c r="AA144" i="5" s="1"/>
  <c r="BT259" i="3"/>
  <c r="AB15" i="5"/>
  <c r="AB212" i="5" s="1"/>
  <c r="BU84" i="3"/>
  <c r="AB85" i="2"/>
  <c r="AB238" i="2"/>
  <c r="K30" i="9"/>
  <c r="F126" i="9"/>
  <c r="AA215" i="5"/>
  <c r="AA20" i="5"/>
  <c r="BT125" i="9"/>
  <c r="BY29" i="9"/>
  <c r="BY125" i="9" s="1"/>
  <c r="BT260" i="3"/>
  <c r="AK208" i="3"/>
  <c r="AK212" i="3" s="1"/>
  <c r="AK184" i="3"/>
  <c r="AL360" i="3"/>
  <c r="AL123" i="3"/>
  <c r="K126" i="9" l="1"/>
  <c r="AA262" i="2"/>
  <c r="BU391" i="3"/>
  <c r="AB395" i="2"/>
  <c r="AD30" i="9"/>
  <c r="AD126" i="9" s="1"/>
  <c r="BU238" i="3"/>
  <c r="AB240" i="2"/>
  <c r="BU392" i="3"/>
  <c r="AB470" i="2"/>
  <c r="BU470" i="3" s="1"/>
  <c r="BU85" i="3"/>
  <c r="AB290" i="2"/>
  <c r="BU290" i="3" s="1"/>
  <c r="AB287" i="2"/>
  <c r="BU394" i="3"/>
  <c r="BU393" i="3"/>
  <c r="AK225" i="3"/>
  <c r="AK218" i="3"/>
  <c r="AL125" i="3"/>
  <c r="BH88" i="9"/>
  <c r="AL35" i="3"/>
  <c r="AK95" i="4"/>
  <c r="AK266" i="3"/>
  <c r="AK270" i="3" s="1"/>
  <c r="AK191" i="3"/>
  <c r="AK193" i="3" s="1"/>
  <c r="AK398" i="5"/>
  <c r="AK330" i="5"/>
  <c r="BU287" i="3" l="1"/>
  <c r="AB303" i="2"/>
  <c r="BU240" i="3"/>
  <c r="AI30" i="9"/>
  <c r="AI126" i="9" s="1"/>
  <c r="BU395" i="3"/>
  <c r="AB405" i="2"/>
  <c r="BU405" i="3" s="1"/>
  <c r="AB396" i="2"/>
  <c r="BU396" i="3" s="1"/>
  <c r="AK199" i="3"/>
  <c r="AK195" i="3"/>
  <c r="AK201" i="3"/>
  <c r="AK197" i="3"/>
  <c r="AK196" i="3"/>
  <c r="AK198" i="3"/>
  <c r="AK200" i="3"/>
  <c r="AK64" i="4"/>
  <c r="AM65" i="4" s="1"/>
  <c r="AK331" i="5"/>
  <c r="AL466" i="3"/>
  <c r="AL299" i="3"/>
  <c r="AL361" i="3"/>
  <c r="AL37" i="3"/>
  <c r="AK220" i="3"/>
  <c r="AK221" i="3"/>
  <c r="AK222" i="3"/>
  <c r="BU303" i="3" l="1"/>
  <c r="AB95" i="2"/>
  <c r="AB103" i="2" s="1"/>
  <c r="AL440" i="3"/>
  <c r="P88" i="9"/>
  <c r="BU289" i="1"/>
  <c r="P336" i="1"/>
  <c r="AK323" i="4"/>
  <c r="AK223" i="3"/>
  <c r="AK227" i="3" s="1"/>
  <c r="AL362" i="3"/>
  <c r="AK326" i="4"/>
  <c r="S336" i="1"/>
  <c r="BX289" i="1"/>
  <c r="AK204" i="3"/>
  <c r="AK515" i="3" s="1"/>
  <c r="T336" i="1"/>
  <c r="AK324" i="4"/>
  <c r="Q336" i="1"/>
  <c r="BV289" i="1"/>
  <c r="AK321" i="4"/>
  <c r="AK202" i="3"/>
  <c r="AK203" i="3" s="1"/>
  <c r="AK333" i="5" s="1"/>
  <c r="N336" i="1"/>
  <c r="BS289" i="1"/>
  <c r="AM71" i="4"/>
  <c r="AM67" i="4"/>
  <c r="AM69" i="4"/>
  <c r="AM70" i="4"/>
  <c r="AM68" i="4"/>
  <c r="AK322" i="4"/>
  <c r="BT289" i="1"/>
  <c r="O336" i="1"/>
  <c r="AK325" i="4"/>
  <c r="R336" i="1"/>
  <c r="BW289" i="1"/>
  <c r="AK516" i="3" l="1"/>
  <c r="R289" i="1"/>
  <c r="BK289" i="1"/>
  <c r="AK334" i="5"/>
  <c r="AK228" i="3"/>
  <c r="BU103" i="3"/>
  <c r="AB501" i="2"/>
  <c r="AB461" i="2"/>
  <c r="BU461" i="3" s="1"/>
  <c r="AB250" i="2"/>
  <c r="BU250" i="3" s="1"/>
  <c r="AB331" i="2"/>
  <c r="AC10" i="2"/>
  <c r="AW30" i="9"/>
  <c r="AB116" i="2"/>
  <c r="AB320" i="2"/>
  <c r="AQ30" i="9"/>
  <c r="BU95" i="3"/>
  <c r="AB249" i="2"/>
  <c r="AB457" i="2"/>
  <c r="AC9" i="2"/>
  <c r="AB175" i="2"/>
  <c r="BL289" i="1"/>
  <c r="S289" i="1"/>
  <c r="X289" i="1"/>
  <c r="BQ289" i="1"/>
  <c r="BN289" i="1"/>
  <c r="U289" i="1"/>
  <c r="BM289" i="1"/>
  <c r="T289" i="1"/>
  <c r="AM72" i="4"/>
  <c r="BP289" i="1"/>
  <c r="W289" i="1"/>
  <c r="M336" i="1"/>
  <c r="U336" i="1" s="1"/>
  <c r="AK484" i="3"/>
  <c r="AK485" i="3" s="1"/>
  <c r="AK422" i="3"/>
  <c r="AK424" i="3" s="1"/>
  <c r="AK145" i="3"/>
  <c r="AL302" i="3" s="1"/>
  <c r="AK332" i="5"/>
  <c r="BO289" i="1"/>
  <c r="V289" i="1"/>
  <c r="AM74" i="4" l="1"/>
  <c r="AM272" i="3"/>
  <c r="AB281" i="2"/>
  <c r="BU175" i="3"/>
  <c r="AC489" i="2"/>
  <c r="AC96" i="2"/>
  <c r="BV9" i="3"/>
  <c r="AC92" i="2"/>
  <c r="AQ126" i="9"/>
  <c r="AT30" i="9"/>
  <c r="AY30" i="9"/>
  <c r="AY126" i="9" s="1"/>
  <c r="AW126" i="9"/>
  <c r="BU457" i="3"/>
  <c r="BU320" i="3"/>
  <c r="AB321" i="2"/>
  <c r="AC11" i="2"/>
  <c r="AC100" i="2"/>
  <c r="BV10" i="3"/>
  <c r="AB503" i="2"/>
  <c r="BU501" i="3"/>
  <c r="BU249" i="3"/>
  <c r="AB251" i="2"/>
  <c r="AB117" i="2"/>
  <c r="BB30" i="9"/>
  <c r="BU116" i="3"/>
  <c r="AB252" i="2"/>
  <c r="AB347" i="2"/>
  <c r="AC12" i="2"/>
  <c r="BU331" i="3"/>
  <c r="AB332" i="2"/>
  <c r="AK425" i="3"/>
  <c r="AK244" i="3"/>
  <c r="AK245" i="3" s="1"/>
  <c r="AK260" i="3" s="1"/>
  <c r="AK146" i="3"/>
  <c r="AK129" i="5" s="1"/>
  <c r="Z87" i="9"/>
  <c r="AJ87" i="9" s="1"/>
  <c r="AL87" i="9" s="1"/>
  <c r="AK197" i="5"/>
  <c r="AK198" i="5" s="1"/>
  <c r="AK199" i="5" s="1"/>
  <c r="AK200" i="5" s="1"/>
  <c r="AK229" i="3"/>
  <c r="AK335" i="5" s="1"/>
  <c r="AK148" i="3"/>
  <c r="AM73" i="4"/>
  <c r="BV12" i="3" l="1"/>
  <c r="AC110" i="2"/>
  <c r="AC32" i="2" s="1"/>
  <c r="BB126" i="9"/>
  <c r="BC30" i="9"/>
  <c r="BC126" i="9" s="1"/>
  <c r="BV96" i="3"/>
  <c r="AE31" i="9"/>
  <c r="AE127" i="9" s="1"/>
  <c r="AR31" i="9"/>
  <c r="AR127" i="9" s="1"/>
  <c r="AC310" i="2"/>
  <c r="BV310" i="3" s="1"/>
  <c r="AB253" i="2"/>
  <c r="BU253" i="3" s="1"/>
  <c r="BU117" i="3"/>
  <c r="AB508" i="2"/>
  <c r="AB348" i="2"/>
  <c r="AC13" i="2"/>
  <c r="BF30" i="9"/>
  <c r="BU503" i="3"/>
  <c r="AB505" i="2"/>
  <c r="AC102" i="2"/>
  <c r="BV100" i="3"/>
  <c r="BV489" i="3"/>
  <c r="AC94" i="2"/>
  <c r="BV92" i="3"/>
  <c r="BU332" i="3"/>
  <c r="AC324" i="2"/>
  <c r="BU348" i="3"/>
  <c r="AB349" i="2"/>
  <c r="BU252" i="3"/>
  <c r="BU30" i="9"/>
  <c r="BU126" i="9" s="1"/>
  <c r="BU251" i="3"/>
  <c r="BV11" i="3"/>
  <c r="G31" i="9"/>
  <c r="G127" i="9" s="1"/>
  <c r="AT126" i="9"/>
  <c r="AB118" i="2"/>
  <c r="BU321" i="3"/>
  <c r="AC306" i="2"/>
  <c r="H280" i="1"/>
  <c r="A281" i="1" s="1"/>
  <c r="BU281" i="3"/>
  <c r="AK248" i="3"/>
  <c r="AL8" i="3"/>
  <c r="AK486" i="3" l="1"/>
  <c r="BV32" i="3"/>
  <c r="AC343" i="2"/>
  <c r="BV344" i="3" s="1"/>
  <c r="BV306" i="3"/>
  <c r="AC379" i="5"/>
  <c r="AC383" i="5" s="1"/>
  <c r="BV94" i="3"/>
  <c r="AC377" i="5"/>
  <c r="AN31" i="9"/>
  <c r="AN127" i="9" s="1"/>
  <c r="AC308" i="2"/>
  <c r="BV308" i="3" s="1"/>
  <c r="AC456" i="2"/>
  <c r="BV456" i="3" s="1"/>
  <c r="AC293" i="2"/>
  <c r="BV293" i="3" s="1"/>
  <c r="AC176" i="2"/>
  <c r="AC491" i="2"/>
  <c r="AC29" i="2"/>
  <c r="AD92" i="2"/>
  <c r="BW92" i="3" s="1"/>
  <c r="BF126" i="9"/>
  <c r="BG30" i="9"/>
  <c r="BV324" i="3"/>
  <c r="AC460" i="2"/>
  <c r="BV460" i="3" s="1"/>
  <c r="AC296" i="2"/>
  <c r="BV296" i="3" s="1"/>
  <c r="AC326" i="2"/>
  <c r="BV326" i="3" s="1"/>
  <c r="AU31" i="9"/>
  <c r="AU127" i="9" s="1"/>
  <c r="AC502" i="2"/>
  <c r="BV502" i="3" s="1"/>
  <c r="BV102" i="3"/>
  <c r="AC378" i="5"/>
  <c r="BV13" i="3"/>
  <c r="AC111" i="2"/>
  <c r="AC112" i="2" s="1"/>
  <c r="AZ31" i="9"/>
  <c r="AZ127" i="9" s="1"/>
  <c r="AC337" i="2"/>
  <c r="BV338" i="3" s="1"/>
  <c r="BV110" i="3"/>
  <c r="BU118" i="3"/>
  <c r="AB177" i="2"/>
  <c r="AB464" i="2"/>
  <c r="AB126" i="2"/>
  <c r="AB254" i="2"/>
  <c r="AB506" i="2"/>
  <c r="BU505" i="3"/>
  <c r="BU349" i="3"/>
  <c r="AB350" i="2"/>
  <c r="AC336" i="2" s="1"/>
  <c r="AC14" i="2"/>
  <c r="BU350" i="3"/>
  <c r="AC335" i="2"/>
  <c r="BU508" i="3"/>
  <c r="AB510" i="2"/>
  <c r="AL450" i="3"/>
  <c r="AL447" i="3"/>
  <c r="AL390" i="3"/>
  <c r="AL84" i="3"/>
  <c r="AL19" i="3"/>
  <c r="AL20" i="3"/>
  <c r="F88" i="9"/>
  <c r="K88" i="9" s="1"/>
  <c r="AL373" i="5"/>
  <c r="AK259" i="3"/>
  <c r="BT87" i="9"/>
  <c r="BY87" i="9" s="1"/>
  <c r="BU464" i="3" l="1"/>
  <c r="AC338" i="2"/>
  <c r="BV339" i="3" s="1"/>
  <c r="AC509" i="2"/>
  <c r="BV509" i="3" s="1"/>
  <c r="BD31" i="9"/>
  <c r="BD127" i="9" s="1"/>
  <c r="BV111" i="3"/>
  <c r="BG126" i="9"/>
  <c r="BV491" i="3"/>
  <c r="AC494" i="2"/>
  <c r="BV494" i="3" s="1"/>
  <c r="AC493" i="2"/>
  <c r="BU510" i="3"/>
  <c r="AB512" i="2"/>
  <c r="H31" i="9"/>
  <c r="H127" i="9" s="1"/>
  <c r="BV14" i="3"/>
  <c r="BU177" i="3"/>
  <c r="AB282" i="2"/>
  <c r="BV176" i="3"/>
  <c r="BV337" i="3"/>
  <c r="AC340" i="2"/>
  <c r="BU254" i="3"/>
  <c r="BV30" i="9"/>
  <c r="BV126" i="9" s="1"/>
  <c r="BV112" i="3"/>
  <c r="AC178" i="2"/>
  <c r="BV178" i="3" s="1"/>
  <c r="AC297" i="2"/>
  <c r="BV297" i="3" s="1"/>
  <c r="AC463" i="2"/>
  <c r="BV463" i="3" s="1"/>
  <c r="AC327" i="2"/>
  <c r="AC309" i="2"/>
  <c r="BV336" i="3"/>
  <c r="BV335" i="3"/>
  <c r="AC339" i="2"/>
  <c r="AB135" i="2"/>
  <c r="AB363" i="2"/>
  <c r="AB255" i="2"/>
  <c r="AB467" i="2"/>
  <c r="BU467" i="3" s="1"/>
  <c r="BI30" i="9"/>
  <c r="BU126" i="3"/>
  <c r="AC15" i="2"/>
  <c r="AC33" i="2"/>
  <c r="BV29" i="3"/>
  <c r="AC317" i="2"/>
  <c r="BV317" i="3" s="1"/>
  <c r="AC313" i="2"/>
  <c r="AL232" i="3"/>
  <c r="AL190" i="5"/>
  <c r="AL365" i="5"/>
  <c r="AL394" i="3"/>
  <c r="AL392" i="3"/>
  <c r="AL393" i="3"/>
  <c r="AL391" i="3"/>
  <c r="AK261" i="3"/>
  <c r="AK369" i="5"/>
  <c r="AL238" i="3"/>
  <c r="AL85" i="3"/>
  <c r="AL195" i="5"/>
  <c r="AC17" i="2" l="1"/>
  <c r="BV15" i="3"/>
  <c r="AC127" i="2"/>
  <c r="BU255" i="3"/>
  <c r="AB257" i="2"/>
  <c r="BV340" i="3"/>
  <c r="AC113" i="2"/>
  <c r="AC99" i="2"/>
  <c r="BV327" i="3"/>
  <c r="BV341" i="3"/>
  <c r="AC114" i="2"/>
  <c r="AC496" i="2"/>
  <c r="BV493" i="3"/>
  <c r="BU364" i="3"/>
  <c r="AB364" i="2"/>
  <c r="AC353" i="2" s="1"/>
  <c r="BI126" i="9"/>
  <c r="BL30" i="9"/>
  <c r="BU135" i="3"/>
  <c r="BO30" i="9"/>
  <c r="AB469" i="2"/>
  <c r="BU469" i="3" s="1"/>
  <c r="AC18" i="2"/>
  <c r="AB382" i="2"/>
  <c r="AB258" i="2"/>
  <c r="AC319" i="2"/>
  <c r="BV319" i="3" s="1"/>
  <c r="BU282" i="3"/>
  <c r="AB284" i="2"/>
  <c r="BU512" i="3"/>
  <c r="AB513" i="2"/>
  <c r="BV33" i="3"/>
  <c r="AC344" i="2"/>
  <c r="BV345" i="3" s="1"/>
  <c r="AC34" i="2"/>
  <c r="AB390" i="1"/>
  <c r="BV309" i="3"/>
  <c r="AB357" i="1"/>
  <c r="AL240" i="3"/>
  <c r="AD88" i="9"/>
  <c r="AK393" i="5"/>
  <c r="AL470" i="3"/>
  <c r="AL290" i="3"/>
  <c r="AL287" i="3"/>
  <c r="AL395" i="3"/>
  <c r="AB474" i="2" l="1"/>
  <c r="BU474" i="3" s="1"/>
  <c r="AB472" i="2"/>
  <c r="BU472" i="3" s="1"/>
  <c r="BU284" i="3"/>
  <c r="AA359" i="1"/>
  <c r="BU382" i="3"/>
  <c r="AB383" i="2"/>
  <c r="BV353" i="3"/>
  <c r="AB391" i="1"/>
  <c r="AC342" i="2"/>
  <c r="BE31" i="9"/>
  <c r="BE127" i="9" s="1"/>
  <c r="BV114" i="3"/>
  <c r="AC115" i="2"/>
  <c r="BA31" i="9"/>
  <c r="BA127" i="9" s="1"/>
  <c r="BV113" i="3"/>
  <c r="AC341" i="2"/>
  <c r="AB28" i="2"/>
  <c r="AB401" i="2"/>
  <c r="AB400" i="2"/>
  <c r="AB402" i="2"/>
  <c r="E281" i="1"/>
  <c r="BV18" i="3"/>
  <c r="AC38" i="2"/>
  <c r="J31" i="9"/>
  <c r="J127" i="9" s="1"/>
  <c r="BL126" i="9"/>
  <c r="AC355" i="2"/>
  <c r="BV355" i="3" s="1"/>
  <c r="BK31" i="9"/>
  <c r="BK127" i="9" s="1"/>
  <c r="AG31" i="9"/>
  <c r="AG127" i="9" s="1"/>
  <c r="BV127" i="3"/>
  <c r="BV34" i="3"/>
  <c r="O31" i="9"/>
  <c r="O127" i="9" s="1"/>
  <c r="BU257" i="3"/>
  <c r="BW30" i="9"/>
  <c r="BW126" i="9" s="1"/>
  <c r="AB175" i="5"/>
  <c r="BX30" i="9"/>
  <c r="BX126" i="9" s="1"/>
  <c r="BU258" i="3"/>
  <c r="BO126" i="9"/>
  <c r="BP30" i="9"/>
  <c r="BP126" i="9" s="1"/>
  <c r="AB476" i="2"/>
  <c r="AC497" i="2"/>
  <c r="BV496" i="3"/>
  <c r="AC459" i="2"/>
  <c r="BV459" i="3" s="1"/>
  <c r="AC295" i="2"/>
  <c r="BV295" i="3" s="1"/>
  <c r="BV99" i="3"/>
  <c r="AC328" i="2"/>
  <c r="AV31" i="9"/>
  <c r="AV127" i="9" s="1"/>
  <c r="AD101" i="2"/>
  <c r="BW101" i="3" s="1"/>
  <c r="AC30" i="2"/>
  <c r="I31" i="9"/>
  <c r="I127" i="9" s="1"/>
  <c r="BV17" i="3"/>
  <c r="AL303" i="3"/>
  <c r="AI88" i="9"/>
  <c r="AL405" i="3"/>
  <c r="AL396" i="3"/>
  <c r="AB399" i="2" l="1"/>
  <c r="AB403" i="2" s="1"/>
  <c r="BU403" i="3" s="1"/>
  <c r="AL95" i="3"/>
  <c r="AL103" i="3" s="1"/>
  <c r="AL116" i="3" s="1"/>
  <c r="BR30" i="9"/>
  <c r="BR126" i="9" s="1"/>
  <c r="AC329" i="2"/>
  <c r="BV329" i="3" s="1"/>
  <c r="BV30" i="3"/>
  <c r="AC31" i="2"/>
  <c r="BV497" i="3"/>
  <c r="AC498" i="2"/>
  <c r="BV498" i="3" s="1"/>
  <c r="BU400" i="3"/>
  <c r="AB409" i="2"/>
  <c r="BV342" i="3"/>
  <c r="AC345" i="2"/>
  <c r="BV346" i="3" s="1"/>
  <c r="BU383" i="3"/>
  <c r="AC377" i="2"/>
  <c r="AB478" i="2"/>
  <c r="BU476" i="3"/>
  <c r="BU401" i="3"/>
  <c r="AB410" i="2"/>
  <c r="AC357" i="2"/>
  <c r="BU402" i="3"/>
  <c r="AB411" i="2"/>
  <c r="AB438" i="2"/>
  <c r="AB390" i="5"/>
  <c r="AB11" i="5"/>
  <c r="AB207" i="5" s="1"/>
  <c r="AB169" i="2"/>
  <c r="M30" i="9"/>
  <c r="BU28" i="3"/>
  <c r="AB71" i="2"/>
  <c r="AB139" i="2"/>
  <c r="BU139" i="3" s="1"/>
  <c r="AB241" i="2"/>
  <c r="BU241" i="3" s="1"/>
  <c r="BV343" i="3"/>
  <c r="AC346" i="2"/>
  <c r="BV347" i="3" s="1"/>
  <c r="BV328" i="3"/>
  <c r="AC379" i="2"/>
  <c r="BV379" i="3" s="1"/>
  <c r="AC173" i="5"/>
  <c r="Q31" i="9"/>
  <c r="Q127" i="9" s="1"/>
  <c r="BV38" i="3"/>
  <c r="BU399" i="3"/>
  <c r="AB408" i="2"/>
  <c r="AC298" i="2"/>
  <c r="BV298" i="3" s="1"/>
  <c r="AC462" i="2"/>
  <c r="BV462" i="3" s="1"/>
  <c r="BV115" i="3"/>
  <c r="AM9" i="3"/>
  <c r="AM93" i="3" s="1"/>
  <c r="AM94" i="3" s="1"/>
  <c r="AC330" i="2" l="1"/>
  <c r="BV330" i="3" s="1"/>
  <c r="AQ88" i="9"/>
  <c r="AT88" i="9" s="1"/>
  <c r="AL320" i="3"/>
  <c r="AL321" i="3" s="1"/>
  <c r="AM306" i="3" s="1"/>
  <c r="AL249" i="3"/>
  <c r="AL457" i="3"/>
  <c r="AN89" i="9"/>
  <c r="AM293" i="3"/>
  <c r="AM405" i="5"/>
  <c r="AM406" i="5" s="1"/>
  <c r="AM408" i="5" s="1"/>
  <c r="AM380" i="5"/>
  <c r="AM456" i="3"/>
  <c r="AM308" i="3"/>
  <c r="AM309" i="3" s="1"/>
  <c r="AL501" i="3"/>
  <c r="AL503" i="3" s="1"/>
  <c r="AL505" i="3" s="1"/>
  <c r="AL506" i="3" s="1"/>
  <c r="AL250" i="3"/>
  <c r="AL331" i="3"/>
  <c r="AL332" i="3" s="1"/>
  <c r="AM324" i="3" s="1"/>
  <c r="AL175" i="3"/>
  <c r="AL281" i="3" s="1"/>
  <c r="AM10" i="3"/>
  <c r="AL461" i="3"/>
  <c r="BU408" i="3"/>
  <c r="AB415" i="2"/>
  <c r="AB412" i="2"/>
  <c r="BU412" i="3" s="1"/>
  <c r="W30" i="9"/>
  <c r="M126" i="9"/>
  <c r="BU438" i="3"/>
  <c r="AB444" i="2"/>
  <c r="BU444" i="3" s="1"/>
  <c r="BU410" i="3"/>
  <c r="AB417" i="2"/>
  <c r="BV377" i="3"/>
  <c r="AC381" i="2"/>
  <c r="BV381" i="3" s="1"/>
  <c r="BU169" i="3"/>
  <c r="AA354" i="1"/>
  <c r="BU411" i="3"/>
  <c r="AB418" i="2"/>
  <c r="BU418" i="3" s="1"/>
  <c r="AB416" i="2"/>
  <c r="BU416" i="3" s="1"/>
  <c r="BU409" i="3"/>
  <c r="AC439" i="2"/>
  <c r="BV439" i="3" s="1"/>
  <c r="N31" i="9"/>
  <c r="N127" i="9" s="1"/>
  <c r="BV31" i="3"/>
  <c r="AW88" i="9"/>
  <c r="AY88" i="9" s="1"/>
  <c r="BU71" i="3"/>
  <c r="AB386" i="5"/>
  <c r="AB388" i="5" s="1"/>
  <c r="AA368" i="1"/>
  <c r="AB391" i="5"/>
  <c r="AB395" i="5" s="1"/>
  <c r="AB394" i="5"/>
  <c r="BV358" i="3"/>
  <c r="AC121" i="2"/>
  <c r="AB480" i="2"/>
  <c r="BU478" i="3"/>
  <c r="AL252" i="3"/>
  <c r="AM12" i="3"/>
  <c r="AM32" i="3" s="1"/>
  <c r="AL347" i="3"/>
  <c r="AL349" i="3" s="1"/>
  <c r="AM335" i="3" s="1"/>
  <c r="AM339" i="3" s="1"/>
  <c r="AM113" i="3" s="1"/>
  <c r="AL117" i="3"/>
  <c r="AL253" i="3" s="1"/>
  <c r="BB88" i="9"/>
  <c r="BC88" i="9" s="1"/>
  <c r="AM489" i="3"/>
  <c r="AM96" i="3"/>
  <c r="AM29" i="3" s="1"/>
  <c r="AN92" i="3"/>
  <c r="AL251" i="3" l="1"/>
  <c r="BU88" i="9" s="1"/>
  <c r="W126" i="9"/>
  <c r="AM11" i="3"/>
  <c r="G89" i="9" s="1"/>
  <c r="AM100" i="3"/>
  <c r="AM102" i="3" s="1"/>
  <c r="AB413" i="2"/>
  <c r="AL254" i="3"/>
  <c r="BV88" i="9" s="1"/>
  <c r="AB419" i="2"/>
  <c r="BU415" i="3"/>
  <c r="BU417" i="3"/>
  <c r="AB170" i="2"/>
  <c r="BU480" i="3"/>
  <c r="AB481" i="2"/>
  <c r="BV121" i="3"/>
  <c r="AC358" i="2"/>
  <c r="AL508" i="3"/>
  <c r="AL510" i="3" s="1"/>
  <c r="AL512" i="3" s="1"/>
  <c r="AL513" i="3" s="1"/>
  <c r="BF88" i="9"/>
  <c r="BG88" i="9" s="1"/>
  <c r="AL348" i="3"/>
  <c r="AL350" i="3" s="1"/>
  <c r="AM336" i="3" s="1"/>
  <c r="AM340" i="3" s="1"/>
  <c r="AM114" i="3" s="1"/>
  <c r="AM115" i="3" s="1"/>
  <c r="AL118" i="3"/>
  <c r="AL126" i="3" s="1"/>
  <c r="AM13" i="3"/>
  <c r="AM14" i="3" s="1"/>
  <c r="H89" i="9" s="1"/>
  <c r="AM341" i="3"/>
  <c r="BA89" i="9"/>
  <c r="AM317" i="3"/>
  <c r="AM343" i="3"/>
  <c r="AM310" i="3"/>
  <c r="AR89" i="9"/>
  <c r="AE89" i="9"/>
  <c r="AM491" i="3"/>
  <c r="AM493" i="3" s="1"/>
  <c r="AM381" i="5" l="1"/>
  <c r="AM502" i="3"/>
  <c r="AM296" i="3"/>
  <c r="AM326" i="3"/>
  <c r="AM327" i="3" s="1"/>
  <c r="AM99" i="3" s="1"/>
  <c r="AM460" i="3"/>
  <c r="AU89" i="9"/>
  <c r="AM382" i="5"/>
  <c r="AM176" i="3"/>
  <c r="AM33" i="3"/>
  <c r="AM344" i="3" s="1"/>
  <c r="AL177" i="3"/>
  <c r="AL282" i="3" s="1"/>
  <c r="AL284" i="3" s="1"/>
  <c r="AL464" i="3"/>
  <c r="BV359" i="3"/>
  <c r="AC359" i="2"/>
  <c r="AB210" i="2"/>
  <c r="AA355" i="1"/>
  <c r="BU170" i="3"/>
  <c r="AB268" i="2"/>
  <c r="BU268" i="3" s="1"/>
  <c r="AB192" i="2"/>
  <c r="AB171" i="2"/>
  <c r="BU481" i="3"/>
  <c r="AB482" i="2"/>
  <c r="BU482" i="3" s="1"/>
  <c r="AB420" i="2"/>
  <c r="BU420" i="3" s="1"/>
  <c r="BU419" i="3"/>
  <c r="AM496" i="3"/>
  <c r="AM497" i="3" s="1"/>
  <c r="AM498" i="3" s="1"/>
  <c r="AM494" i="3"/>
  <c r="AM462" i="3"/>
  <c r="AM298" i="3"/>
  <c r="AM319" i="3"/>
  <c r="AM345" i="3"/>
  <c r="AL467" i="3"/>
  <c r="AL472" i="3" s="1"/>
  <c r="AL363" i="3"/>
  <c r="AL364" i="3" s="1"/>
  <c r="AM353" i="3" s="1"/>
  <c r="BI88" i="9"/>
  <c r="BL88" i="9" s="1"/>
  <c r="BR88" i="9" s="1"/>
  <c r="AL255" i="3"/>
  <c r="AL257" i="3" s="1"/>
  <c r="BW88" i="9" s="1"/>
  <c r="AM15" i="3"/>
  <c r="AM342" i="3"/>
  <c r="BE89" i="9"/>
  <c r="AL28" i="3" l="1"/>
  <c r="AL241" i="3" s="1"/>
  <c r="AL399" i="3"/>
  <c r="AL400" i="3"/>
  <c r="AL409" i="3" s="1"/>
  <c r="AL416" i="3" s="1"/>
  <c r="AL401" i="3"/>
  <c r="AL410" i="3" s="1"/>
  <c r="AL417" i="3" s="1"/>
  <c r="AL170" i="3" s="1"/>
  <c r="AL402" i="3"/>
  <c r="AL411" i="3" s="1"/>
  <c r="AL418" i="3" s="1"/>
  <c r="AM295" i="3"/>
  <c r="AN101" i="3"/>
  <c r="AM30" i="3"/>
  <c r="AM459" i="3"/>
  <c r="AM328" i="3"/>
  <c r="AV89" i="9"/>
  <c r="AM346" i="3"/>
  <c r="AM34" i="3"/>
  <c r="O89" i="9" s="1"/>
  <c r="BU192" i="3"/>
  <c r="AA366" i="1"/>
  <c r="BU210" i="3"/>
  <c r="AA380" i="1"/>
  <c r="BU171" i="3"/>
  <c r="AA356" i="1"/>
  <c r="AA361" i="1" s="1"/>
  <c r="BV360" i="3"/>
  <c r="AC122" i="2"/>
  <c r="AB182" i="2"/>
  <c r="AM127" i="3"/>
  <c r="AM17" i="3"/>
  <c r="I89" i="9" s="1"/>
  <c r="AL474" i="3"/>
  <c r="AL438" i="3" l="1"/>
  <c r="AL444" i="3" s="1"/>
  <c r="M88" i="9"/>
  <c r="W88" i="9" s="1"/>
  <c r="AL392" i="5"/>
  <c r="AL191" i="5"/>
  <c r="AL139" i="3"/>
  <c r="AL71" i="3"/>
  <c r="AL387" i="5" s="1"/>
  <c r="AL169" i="3"/>
  <c r="AL192" i="3" s="1"/>
  <c r="AL268" i="3"/>
  <c r="AL210" i="3"/>
  <c r="AL403" i="3"/>
  <c r="AL408" i="3"/>
  <c r="AM31" i="3"/>
  <c r="AM329" i="3"/>
  <c r="AM330" i="3" s="1"/>
  <c r="BV122" i="3"/>
  <c r="AC360" i="2"/>
  <c r="AC123" i="2"/>
  <c r="AB207" i="2"/>
  <c r="BU182" i="3"/>
  <c r="AB153" i="2"/>
  <c r="AM355" i="3"/>
  <c r="AG89" i="9"/>
  <c r="BK89" i="9"/>
  <c r="AL476" i="3"/>
  <c r="AL478" i="3" s="1"/>
  <c r="AL171" i="3" l="1"/>
  <c r="AL182" i="3" s="1"/>
  <c r="AL207" i="3" s="1"/>
  <c r="AL415" i="3"/>
  <c r="AL419" i="3" s="1"/>
  <c r="AL412" i="3"/>
  <c r="AL413" i="3" s="1"/>
  <c r="N89" i="9"/>
  <c r="AM439" i="3"/>
  <c r="BU207" i="3"/>
  <c r="AC125" i="2"/>
  <c r="BH31" i="9"/>
  <c r="BH127" i="9" s="1"/>
  <c r="BV123" i="3"/>
  <c r="AC35" i="2"/>
  <c r="BU153" i="3"/>
  <c r="AB154" i="2"/>
  <c r="BV361" i="3"/>
  <c r="AM357" i="3"/>
  <c r="AL480" i="3"/>
  <c r="AL153" i="3" l="1"/>
  <c r="AL154" i="3" s="1"/>
  <c r="AL156" i="3" s="1"/>
  <c r="AL159" i="3" s="1"/>
  <c r="AL160" i="3" s="1"/>
  <c r="AL161" i="3" s="1"/>
  <c r="BU154" i="3"/>
  <c r="AB156" i="2"/>
  <c r="AC299" i="2"/>
  <c r="BV299" i="3" s="1"/>
  <c r="AC466" i="2"/>
  <c r="BV466" i="3" s="1"/>
  <c r="BV125" i="3"/>
  <c r="AC361" i="2"/>
  <c r="AC37" i="2"/>
  <c r="BV35" i="3"/>
  <c r="AL481" i="3"/>
  <c r="AL420" i="3"/>
  <c r="CF357" i="3"/>
  <c r="AM121" i="3"/>
  <c r="AL158" i="3" l="1"/>
  <c r="AL162" i="3" s="1"/>
  <c r="AL163" i="3" s="1"/>
  <c r="AL165" i="3" s="1"/>
  <c r="P31" i="9"/>
  <c r="P127" i="9" s="1"/>
  <c r="BV37" i="3"/>
  <c r="AC440" i="2"/>
  <c r="BV440" i="3" s="1"/>
  <c r="BV356" i="3"/>
  <c r="BV362" i="3"/>
  <c r="AC362" i="2"/>
  <c r="BV363" i="3" s="1"/>
  <c r="AB159" i="2"/>
  <c r="BU156" i="3"/>
  <c r="AB158" i="2"/>
  <c r="AL482" i="3"/>
  <c r="AM358" i="3"/>
  <c r="AL166" i="3" l="1"/>
  <c r="AL267" i="3"/>
  <c r="AB160" i="2"/>
  <c r="BU159" i="3"/>
  <c r="AB162" i="2"/>
  <c r="BU162" i="3" s="1"/>
  <c r="BU158" i="3"/>
  <c r="AM359" i="3"/>
  <c r="AM122" i="3" s="1"/>
  <c r="AL183" i="3"/>
  <c r="AL139" i="5"/>
  <c r="AB161" i="2" l="1"/>
  <c r="BU160" i="3"/>
  <c r="AL208" i="3"/>
  <c r="AL212" i="3" s="1"/>
  <c r="AL184" i="3"/>
  <c r="AM360" i="3"/>
  <c r="AM123" i="3"/>
  <c r="BU161" i="3" l="1"/>
  <c r="AB163" i="2"/>
  <c r="AM125" i="3"/>
  <c r="BH89" i="9"/>
  <c r="AM35" i="3"/>
  <c r="AL95" i="4"/>
  <c r="AL191" i="3"/>
  <c r="AL193" i="3" s="1"/>
  <c r="AL266" i="3"/>
  <c r="AL270" i="3" s="1"/>
  <c r="AL330" i="5"/>
  <c r="AL398" i="5"/>
  <c r="AL225" i="3"/>
  <c r="AL218" i="3"/>
  <c r="BU163" i="3" l="1"/>
  <c r="AB165" i="2"/>
  <c r="AB267" i="2" s="1"/>
  <c r="AL198" i="3"/>
  <c r="AL200" i="3"/>
  <c r="AL196" i="3"/>
  <c r="AL197" i="3"/>
  <c r="AL199" i="3"/>
  <c r="AL195" i="3"/>
  <c r="AL201" i="3"/>
  <c r="AM466" i="3"/>
  <c r="AM299" i="3"/>
  <c r="AL64" i="4"/>
  <c r="AN65" i="4" s="1"/>
  <c r="AL331" i="5"/>
  <c r="AM361" i="3"/>
  <c r="AM37" i="3"/>
  <c r="AL222" i="3"/>
  <c r="AL221" i="3"/>
  <c r="AL220" i="3"/>
  <c r="AL223" i="3" l="1"/>
  <c r="AL227" i="3" s="1"/>
  <c r="AB183" i="2"/>
  <c r="BU267" i="3"/>
  <c r="AB166" i="2"/>
  <c r="BU166" i="3" s="1"/>
  <c r="BU165" i="3"/>
  <c r="AB112" i="5"/>
  <c r="AB140" i="5" s="1"/>
  <c r="AN70" i="4"/>
  <c r="AN71" i="4"/>
  <c r="AN68" i="4"/>
  <c r="AN69" i="4"/>
  <c r="AN67" i="4"/>
  <c r="AL204" i="3"/>
  <c r="AL515" i="3" s="1"/>
  <c r="T337" i="1"/>
  <c r="AL322" i="4"/>
  <c r="O337" i="1"/>
  <c r="BT290" i="1"/>
  <c r="AM440" i="3"/>
  <c r="P89" i="9"/>
  <c r="AL321" i="4"/>
  <c r="AL202" i="3"/>
  <c r="AL203" i="3" s="1"/>
  <c r="AL333" i="5" s="1"/>
  <c r="BS290" i="1"/>
  <c r="N337" i="1"/>
  <c r="AL326" i="4"/>
  <c r="S337" i="1"/>
  <c r="BX290" i="1"/>
  <c r="AM362" i="3"/>
  <c r="AL325" i="4"/>
  <c r="BW290" i="1"/>
  <c r="R337" i="1"/>
  <c r="AL323" i="4"/>
  <c r="P337" i="1"/>
  <c r="BU290" i="1"/>
  <c r="AL324" i="4"/>
  <c r="Q337" i="1"/>
  <c r="BV290" i="1"/>
  <c r="AL516" i="3" l="1"/>
  <c r="BK290" i="1"/>
  <c r="R290" i="1"/>
  <c r="AL334" i="5"/>
  <c r="AL228" i="3"/>
  <c r="BU183" i="3"/>
  <c r="AB208" i="2"/>
  <c r="AA363" i="1"/>
  <c r="AA364" i="1" s="1"/>
  <c r="AA375" i="1"/>
  <c r="AB184" i="2"/>
  <c r="BN290" i="1"/>
  <c r="U290" i="1"/>
  <c r="BP290" i="1"/>
  <c r="W290" i="1"/>
  <c r="AL484" i="3"/>
  <c r="AL485" i="3" s="1"/>
  <c r="AL422" i="3"/>
  <c r="AL424" i="3" s="1"/>
  <c r="AL145" i="3"/>
  <c r="AM302" i="3" s="1"/>
  <c r="AL332" i="5"/>
  <c r="V290" i="1"/>
  <c r="BO290" i="1"/>
  <c r="BQ290" i="1"/>
  <c r="X290" i="1"/>
  <c r="S290" i="1"/>
  <c r="BL290" i="1"/>
  <c r="BM290" i="1"/>
  <c r="T290" i="1"/>
  <c r="AN72" i="4"/>
  <c r="M337" i="1"/>
  <c r="U337" i="1" s="1"/>
  <c r="AN74" i="4" l="1"/>
  <c r="AN272" i="3"/>
  <c r="AA367" i="1"/>
  <c r="AA374" i="1"/>
  <c r="AA377" i="1" s="1"/>
  <c r="BU208" i="3"/>
  <c r="AA378" i="1"/>
  <c r="AB212" i="2"/>
  <c r="AB397" i="5"/>
  <c r="AB85" i="5"/>
  <c r="AB342" i="5" s="1"/>
  <c r="AB399" i="5"/>
  <c r="AB94" i="4"/>
  <c r="BU184" i="3"/>
  <c r="AB266" i="2"/>
  <c r="AB191" i="2"/>
  <c r="AL244" i="3"/>
  <c r="AL245" i="3" s="1"/>
  <c r="AL260" i="3" s="1"/>
  <c r="AL146" i="3"/>
  <c r="AL129" i="5" s="1"/>
  <c r="AL197" i="5"/>
  <c r="AL198" i="5" s="1"/>
  <c r="AL199" i="5" s="1"/>
  <c r="AL200" i="5" s="1"/>
  <c r="Z88" i="9"/>
  <c r="AJ88" i="9" s="1"/>
  <c r="AL88" i="9" s="1"/>
  <c r="AL229" i="3"/>
  <c r="AL335" i="5" s="1"/>
  <c r="AL148" i="3"/>
  <c r="AN73" i="4"/>
  <c r="AL425" i="3"/>
  <c r="AB271" i="2" l="1"/>
  <c r="AB86" i="4" s="1"/>
  <c r="AB270" i="2"/>
  <c r="AB193" i="2"/>
  <c r="BU191" i="3"/>
  <c r="BU266" i="3"/>
  <c r="AA382" i="1"/>
  <c r="AA384" i="1" s="1"/>
  <c r="AB225" i="2"/>
  <c r="BU225" i="3" s="1"/>
  <c r="BU212" i="3"/>
  <c r="AB218" i="2"/>
  <c r="AL248" i="3"/>
  <c r="AM8" i="3"/>
  <c r="AL486" i="3" l="1"/>
  <c r="BU218" i="3"/>
  <c r="AB222" i="2"/>
  <c r="BU222" i="3" s="1"/>
  <c r="AB221" i="2"/>
  <c r="BU221" i="3" s="1"/>
  <c r="AB220" i="2"/>
  <c r="BU270" i="3"/>
  <c r="AB86" i="5"/>
  <c r="AB343" i="5" s="1"/>
  <c r="AB32" i="4"/>
  <c r="AD33" i="4" s="1"/>
  <c r="AB201" i="2"/>
  <c r="AB199" i="2"/>
  <c r="AB197" i="2"/>
  <c r="AB195" i="2"/>
  <c r="AB200" i="2"/>
  <c r="AB198" i="2"/>
  <c r="BU193" i="3"/>
  <c r="AB196" i="2"/>
  <c r="AM450" i="3"/>
  <c r="AM447" i="3"/>
  <c r="AM390" i="3"/>
  <c r="AM84" i="3"/>
  <c r="AM19" i="3"/>
  <c r="AM20" i="3"/>
  <c r="F89" i="9"/>
  <c r="K89" i="9" s="1"/>
  <c r="AM373" i="5"/>
  <c r="AL259" i="3"/>
  <c r="BT88" i="9"/>
  <c r="BY88" i="9" s="1"/>
  <c r="BU198" i="3" l="1"/>
  <c r="G327" i="1"/>
  <c r="AB316" i="4"/>
  <c r="N280" i="1" s="1"/>
  <c r="BU199" i="3"/>
  <c r="H327" i="1"/>
  <c r="AB317" i="4"/>
  <c r="O280" i="1" s="1"/>
  <c r="BU220" i="3"/>
  <c r="AB223" i="2"/>
  <c r="BU200" i="3"/>
  <c r="I327" i="1"/>
  <c r="AB318" i="4"/>
  <c r="P280" i="1" s="1"/>
  <c r="AB204" i="2"/>
  <c r="J327" i="1"/>
  <c r="BU201" i="3"/>
  <c r="AB314" i="4"/>
  <c r="L280" i="1" s="1"/>
  <c r="BU196" i="3"/>
  <c r="E327" i="1"/>
  <c r="AB313" i="4"/>
  <c r="K280" i="1" s="1"/>
  <c r="BU195" i="3"/>
  <c r="AB202" i="2"/>
  <c r="D327" i="1"/>
  <c r="AB315" i="4"/>
  <c r="M280" i="1" s="1"/>
  <c r="BU197" i="3"/>
  <c r="F327" i="1"/>
  <c r="AD54" i="4"/>
  <c r="AD57" i="4"/>
  <c r="AD55" i="4"/>
  <c r="AD58" i="4"/>
  <c r="AD56" i="4"/>
  <c r="AL261" i="3"/>
  <c r="AL369" i="5"/>
  <c r="AM238" i="3"/>
  <c r="AM85" i="3"/>
  <c r="AM195" i="5"/>
  <c r="AM232" i="3"/>
  <c r="AM190" i="5"/>
  <c r="AM365" i="5"/>
  <c r="AM393" i="3"/>
  <c r="AM391" i="3"/>
  <c r="AM394" i="3"/>
  <c r="AM392" i="3"/>
  <c r="AA370" i="1" l="1"/>
  <c r="BU202" i="3"/>
  <c r="AB87" i="5"/>
  <c r="AB344" i="5" s="1"/>
  <c r="AB203" i="2"/>
  <c r="BU204" i="3"/>
  <c r="AA394" i="1"/>
  <c r="AB515" i="2"/>
  <c r="BU515" i="3" s="1"/>
  <c r="BU223" i="3"/>
  <c r="AB227" i="2"/>
  <c r="AB145" i="2" s="1"/>
  <c r="AD59" i="4"/>
  <c r="C327" i="1"/>
  <c r="AM395" i="3"/>
  <c r="AM470" i="3"/>
  <c r="AM290" i="3"/>
  <c r="AM287" i="3"/>
  <c r="AM303" i="3" s="1"/>
  <c r="AL393" i="5"/>
  <c r="AM240" i="3"/>
  <c r="AD89" i="9"/>
  <c r="AD61" i="4" l="1"/>
  <c r="AD272" i="2"/>
  <c r="BU145" i="3"/>
  <c r="Z30" i="9"/>
  <c r="AB146" i="2"/>
  <c r="AB244" i="2"/>
  <c r="AB229" i="2"/>
  <c r="AB17" i="5"/>
  <c r="AC302" i="2"/>
  <c r="BV302" i="3" s="1"/>
  <c r="AB148" i="2"/>
  <c r="AD60" i="4"/>
  <c r="AB422" i="2"/>
  <c r="AB89" i="5"/>
  <c r="AB345" i="5" s="1"/>
  <c r="AA371" i="1"/>
  <c r="AA372" i="1" s="1"/>
  <c r="AA393" i="1"/>
  <c r="BU227" i="3"/>
  <c r="AA385" i="1"/>
  <c r="AB228" i="2"/>
  <c r="BU228" i="3" s="1"/>
  <c r="BU203" i="3"/>
  <c r="AB88" i="5"/>
  <c r="AB516" i="2"/>
  <c r="J280" i="1"/>
  <c r="K327" i="1"/>
  <c r="AB484" i="2"/>
  <c r="AM95" i="3"/>
  <c r="AI89" i="9"/>
  <c r="AM396" i="3"/>
  <c r="AM405" i="3"/>
  <c r="AB424" i="2" l="1"/>
  <c r="BU424" i="3" s="1"/>
  <c r="BU422" i="3"/>
  <c r="AB248" i="2"/>
  <c r="BU148" i="3"/>
  <c r="AC8" i="2"/>
  <c r="BU244" i="3"/>
  <c r="AB245" i="2"/>
  <c r="BU146" i="3"/>
  <c r="AB109" i="5"/>
  <c r="AB213" i="5"/>
  <c r="AB18" i="5"/>
  <c r="Z126" i="9"/>
  <c r="AJ30" i="9"/>
  <c r="AL30" i="9" s="1"/>
  <c r="BU484" i="3"/>
  <c r="AB485" i="2"/>
  <c r="BU516" i="3"/>
  <c r="AB384" i="5"/>
  <c r="G224" i="1"/>
  <c r="AA386" i="1"/>
  <c r="BU229" i="3"/>
  <c r="AB90" i="5"/>
  <c r="AB346" i="5" s="1"/>
  <c r="AM457" i="3"/>
  <c r="AM320" i="3"/>
  <c r="AM321" i="3" s="1"/>
  <c r="AN306" i="3" s="1"/>
  <c r="AQ89" i="9"/>
  <c r="AT89" i="9" s="1"/>
  <c r="AN9" i="3"/>
  <c r="AN93" i="3" s="1"/>
  <c r="AN94" i="3" s="1"/>
  <c r="AM249" i="3"/>
  <c r="AM103" i="3"/>
  <c r="AN308" i="3" l="1"/>
  <c r="AN309" i="3" s="1"/>
  <c r="AN456" i="3"/>
  <c r="AN90" i="9"/>
  <c r="AN380" i="5"/>
  <c r="AN405" i="5"/>
  <c r="AN406" i="5" s="1"/>
  <c r="AN408" i="5" s="1"/>
  <c r="AN293" i="3"/>
  <c r="BU485" i="3"/>
  <c r="AB425" i="2"/>
  <c r="BU425" i="3" s="1"/>
  <c r="AB214" i="5"/>
  <c r="AB19" i="5"/>
  <c r="BU245" i="3"/>
  <c r="AB260" i="2"/>
  <c r="AB259" i="2"/>
  <c r="BT30" i="9"/>
  <c r="BU248" i="3"/>
  <c r="AJ126" i="9"/>
  <c r="AL126" i="9"/>
  <c r="AA373" i="1"/>
  <c r="AB486" i="2"/>
  <c r="BU486" i="3" s="1"/>
  <c r="AC84" i="2"/>
  <c r="F31" i="9"/>
  <c r="AC450" i="2"/>
  <c r="BV8" i="3"/>
  <c r="AB389" i="1"/>
  <c r="AC447" i="2"/>
  <c r="AC19" i="2"/>
  <c r="AC20" i="2"/>
  <c r="AC390" i="2"/>
  <c r="AC372" i="5"/>
  <c r="AC374" i="5" s="1"/>
  <c r="I281" i="1"/>
  <c r="AM116" i="3"/>
  <c r="AM175" i="3"/>
  <c r="AM281" i="3" s="1"/>
  <c r="AM461" i="3"/>
  <c r="AM331" i="3"/>
  <c r="AM332" i="3" s="1"/>
  <c r="AN324" i="3" s="1"/>
  <c r="AW89" i="9"/>
  <c r="AY89" i="9" s="1"/>
  <c r="AM501" i="3"/>
  <c r="AM503" i="3" s="1"/>
  <c r="AM505" i="3" s="1"/>
  <c r="AM506" i="3" s="1"/>
  <c r="AM250" i="3"/>
  <c r="AM251" i="3" s="1"/>
  <c r="BU89" i="9" s="1"/>
  <c r="AN10" i="3"/>
  <c r="AN489" i="3"/>
  <c r="AN96" i="3"/>
  <c r="AN29" i="3" s="1"/>
  <c r="AO92" i="3"/>
  <c r="AN11" i="3" l="1"/>
  <c r="G90" i="9" s="1"/>
  <c r="AN100" i="3"/>
  <c r="AN102" i="3" s="1"/>
  <c r="AC232" i="2"/>
  <c r="BV232" i="3" s="1"/>
  <c r="AC10" i="5"/>
  <c r="AC206" i="5" s="1"/>
  <c r="AB261" i="2"/>
  <c r="BU261" i="3" s="1"/>
  <c r="AC364" i="5"/>
  <c r="AC366" i="5" s="1"/>
  <c r="BV19" i="3"/>
  <c r="BV450" i="3"/>
  <c r="BY30" i="9"/>
  <c r="BY126" i="9" s="1"/>
  <c r="BT126" i="9"/>
  <c r="AB215" i="5"/>
  <c r="AB20" i="5"/>
  <c r="BV447" i="3"/>
  <c r="K31" i="9"/>
  <c r="F127" i="9"/>
  <c r="BU259" i="3"/>
  <c r="AB368" i="5"/>
  <c r="AB370" i="5" s="1"/>
  <c r="AB144" i="5" s="1"/>
  <c r="AC393" i="2"/>
  <c r="AC391" i="2"/>
  <c r="AC394" i="2"/>
  <c r="BV390" i="3"/>
  <c r="AC392" i="2"/>
  <c r="AC15" i="5"/>
  <c r="AC212" i="5" s="1"/>
  <c r="BV84" i="3"/>
  <c r="AC238" i="2"/>
  <c r="AC85" i="2"/>
  <c r="BU260" i="3"/>
  <c r="AM347" i="3"/>
  <c r="AM349" i="3" s="1"/>
  <c r="AN335" i="3" s="1"/>
  <c r="BB89" i="9"/>
  <c r="BC89" i="9" s="1"/>
  <c r="AN12" i="3"/>
  <c r="AM252" i="3"/>
  <c r="AN317" i="3"/>
  <c r="AN310" i="3"/>
  <c r="AE90" i="9"/>
  <c r="AR90" i="9"/>
  <c r="AN491" i="3"/>
  <c r="AN493" i="3" s="1"/>
  <c r="AM117" i="3"/>
  <c r="K127" i="9" l="1"/>
  <c r="AB262" i="2"/>
  <c r="AN460" i="3"/>
  <c r="AN326" i="3"/>
  <c r="AN327" i="3" s="1"/>
  <c r="AN99" i="3" s="1"/>
  <c r="AN30" i="3" s="1"/>
  <c r="AN31" i="3" s="1"/>
  <c r="AN296" i="3"/>
  <c r="AN381" i="5"/>
  <c r="AU90" i="9"/>
  <c r="AN502" i="3"/>
  <c r="AN176" i="3"/>
  <c r="AN382" i="5"/>
  <c r="BV85" i="3"/>
  <c r="AC290" i="2"/>
  <c r="BV290" i="3" s="1"/>
  <c r="AC470" i="2"/>
  <c r="BV470" i="3" s="1"/>
  <c r="AC287" i="2"/>
  <c r="BV392" i="3"/>
  <c r="BV393" i="3"/>
  <c r="BV238" i="3"/>
  <c r="AC240" i="2"/>
  <c r="AD31" i="9"/>
  <c r="AD127" i="9" s="1"/>
  <c r="BV394" i="3"/>
  <c r="BV391" i="3"/>
  <c r="AC395" i="2"/>
  <c r="AN339" i="3"/>
  <c r="AN113" i="3" s="1"/>
  <c r="AM348" i="3"/>
  <c r="AM350" i="3" s="1"/>
  <c r="AN336" i="3" s="1"/>
  <c r="BF89" i="9"/>
  <c r="BG89" i="9" s="1"/>
  <c r="AN13" i="3"/>
  <c r="AN14" i="3" s="1"/>
  <c r="H90" i="9" s="1"/>
  <c r="AM508" i="3"/>
  <c r="AM510" i="3" s="1"/>
  <c r="AM512" i="3" s="1"/>
  <c r="AM513" i="3" s="1"/>
  <c r="AM253" i="3"/>
  <c r="AM254" i="3" s="1"/>
  <c r="BV89" i="9" s="1"/>
  <c r="AN494" i="3"/>
  <c r="AN496" i="3" s="1"/>
  <c r="AN497" i="3" s="1"/>
  <c r="AN498" i="3" s="1"/>
  <c r="AN32" i="3"/>
  <c r="AN319" i="3"/>
  <c r="AM118" i="3"/>
  <c r="AM126" i="3" s="1"/>
  <c r="AO101" i="3" l="1"/>
  <c r="AN459" i="3"/>
  <c r="AN328" i="3"/>
  <c r="AV90" i="9"/>
  <c r="AN329" i="3"/>
  <c r="AN295" i="3"/>
  <c r="BV287" i="3"/>
  <c r="AC303" i="2"/>
  <c r="AC405" i="2"/>
  <c r="BV405" i="3" s="1"/>
  <c r="BV395" i="3"/>
  <c r="AC396" i="2"/>
  <c r="BV396" i="3" s="1"/>
  <c r="AI31" i="9"/>
  <c r="AI127" i="9" s="1"/>
  <c r="BV240" i="3"/>
  <c r="AN33" i="3"/>
  <c r="AN344" i="3" s="1"/>
  <c r="AM464" i="3"/>
  <c r="AM177" i="3"/>
  <c r="AM282" i="3" s="1"/>
  <c r="AM284" i="3" s="1"/>
  <c r="N90" i="9"/>
  <c r="AN343" i="3"/>
  <c r="AN340" i="3"/>
  <c r="AN114" i="3" s="1"/>
  <c r="AN341" i="3"/>
  <c r="BA90" i="9"/>
  <c r="AN330" i="3" l="1"/>
  <c r="BV303" i="3"/>
  <c r="AC95" i="2"/>
  <c r="AN345" i="3"/>
  <c r="AN34" i="3"/>
  <c r="O90" i="9" s="1"/>
  <c r="AM467" i="3"/>
  <c r="AM472" i="3" s="1"/>
  <c r="AM363" i="3"/>
  <c r="AM364" i="3" s="1"/>
  <c r="AN353" i="3" s="1"/>
  <c r="BI89" i="9"/>
  <c r="BL89" i="9" s="1"/>
  <c r="BR89" i="9" s="1"/>
  <c r="AN15" i="3"/>
  <c r="AM255" i="3"/>
  <c r="AM257" i="3" s="1"/>
  <c r="BW89" i="9" s="1"/>
  <c r="AN342" i="3"/>
  <c r="AN346" i="3" s="1"/>
  <c r="BE90" i="9"/>
  <c r="AN115" i="3"/>
  <c r="AM28" i="3" l="1"/>
  <c r="AM139" i="3" s="1"/>
  <c r="AM402" i="3"/>
  <c r="AM411" i="3" s="1"/>
  <c r="AM418" i="3" s="1"/>
  <c r="AM400" i="3"/>
  <c r="AM409" i="3" s="1"/>
  <c r="AM416" i="3" s="1"/>
  <c r="AM399" i="3"/>
  <c r="AM401" i="3"/>
  <c r="AM410" i="3" s="1"/>
  <c r="AM417" i="3" s="1"/>
  <c r="AM170" i="3" s="1"/>
  <c r="AN439" i="3"/>
  <c r="BV95" i="3"/>
  <c r="AC249" i="2"/>
  <c r="AC457" i="2"/>
  <c r="AC320" i="2"/>
  <c r="AD9" i="2"/>
  <c r="AQ31" i="9"/>
  <c r="AC103" i="2"/>
  <c r="AC175" i="2" s="1"/>
  <c r="AM474" i="3"/>
  <c r="AM476" i="3" s="1"/>
  <c r="AM478" i="3" s="1"/>
  <c r="AM438" i="3"/>
  <c r="AM444" i="3" s="1"/>
  <c r="AN127" i="3"/>
  <c r="AN17" i="3"/>
  <c r="I90" i="9" s="1"/>
  <c r="AN462" i="3"/>
  <c r="AN298" i="3"/>
  <c r="AM241" i="3" l="1"/>
  <c r="AM169" i="3"/>
  <c r="AM392" i="5"/>
  <c r="M89" i="9"/>
  <c r="W89" i="9" s="1"/>
  <c r="AM191" i="5"/>
  <c r="AM71" i="3"/>
  <c r="AM387" i="5" s="1"/>
  <c r="AM210" i="3"/>
  <c r="AM268" i="3"/>
  <c r="AM403" i="3"/>
  <c r="AM408" i="3"/>
  <c r="AC281" i="2"/>
  <c r="BV175" i="3"/>
  <c r="BV457" i="3"/>
  <c r="AC331" i="2"/>
  <c r="AD10" i="2"/>
  <c r="AC461" i="2"/>
  <c r="BV461" i="3" s="1"/>
  <c r="BV103" i="3"/>
  <c r="AC250" i="2"/>
  <c r="BV250" i="3" s="1"/>
  <c r="AW31" i="9"/>
  <c r="AC501" i="2"/>
  <c r="AQ127" i="9"/>
  <c r="AT31" i="9"/>
  <c r="BV249" i="3"/>
  <c r="AD96" i="2"/>
  <c r="AD489" i="2"/>
  <c r="AD93" i="2"/>
  <c r="BW9" i="3"/>
  <c r="AC116" i="2"/>
  <c r="AC321" i="2"/>
  <c r="BV320" i="3"/>
  <c r="AM480" i="3"/>
  <c r="AN355" i="3"/>
  <c r="BK90" i="9"/>
  <c r="AG90" i="9"/>
  <c r="AM171" i="3"/>
  <c r="AM182" i="3" s="1"/>
  <c r="AM192" i="3"/>
  <c r="AM412" i="3" l="1"/>
  <c r="AM413" i="3" s="1"/>
  <c r="AM415" i="3"/>
  <c r="AM419" i="3" s="1"/>
  <c r="AM420" i="3" s="1"/>
  <c r="AC251" i="2"/>
  <c r="BV251" i="3" s="1"/>
  <c r="BW93" i="3"/>
  <c r="AD94" i="2"/>
  <c r="BV501" i="3"/>
  <c r="AC503" i="2"/>
  <c r="BW489" i="3"/>
  <c r="AW127" i="9"/>
  <c r="AY31" i="9"/>
  <c r="AY127" i="9" s="1"/>
  <c r="AD11" i="2"/>
  <c r="BW10" i="3"/>
  <c r="AD100" i="2"/>
  <c r="AD310" i="2"/>
  <c r="BW310" i="3" s="1"/>
  <c r="AR32" i="9"/>
  <c r="AR128" i="9" s="1"/>
  <c r="AE32" i="9"/>
  <c r="AE128" i="9" s="1"/>
  <c r="BW96" i="3"/>
  <c r="AT127" i="9"/>
  <c r="AC332" i="2"/>
  <c r="BV331" i="3"/>
  <c r="AC117" i="2"/>
  <c r="AC118" i="2" s="1"/>
  <c r="BB31" i="9"/>
  <c r="BV116" i="3"/>
  <c r="AC252" i="2"/>
  <c r="AC347" i="2"/>
  <c r="AD12" i="2"/>
  <c r="BV321" i="3"/>
  <c r="AD306" i="2"/>
  <c r="H281" i="1"/>
  <c r="A282" i="1" s="1"/>
  <c r="BV281" i="3"/>
  <c r="AM207" i="3"/>
  <c r="AM153" i="3"/>
  <c r="AM154" i="3" s="1"/>
  <c r="AM156" i="3" s="1"/>
  <c r="AN357" i="3"/>
  <c r="AM481" i="3"/>
  <c r="BU31" i="9" l="1"/>
  <c r="BU127" i="9" s="1"/>
  <c r="AC177" i="2"/>
  <c r="AC464" i="2"/>
  <c r="BV118" i="3"/>
  <c r="AC126" i="2"/>
  <c r="BV332" i="3"/>
  <c r="AD324" i="2"/>
  <c r="BB127" i="9"/>
  <c r="BC31" i="9"/>
  <c r="BW100" i="3"/>
  <c r="AD102" i="2"/>
  <c r="BF31" i="9"/>
  <c r="AC508" i="2"/>
  <c r="AC348" i="2"/>
  <c r="AD13" i="2"/>
  <c r="AD14" i="2" s="1"/>
  <c r="BV117" i="3"/>
  <c r="AC253" i="2"/>
  <c r="BV253" i="3" s="1"/>
  <c r="BV503" i="3"/>
  <c r="AC505" i="2"/>
  <c r="AD308" i="2"/>
  <c r="BW308" i="3" s="1"/>
  <c r="AD456" i="2"/>
  <c r="BW456" i="3" s="1"/>
  <c r="AN32" i="9"/>
  <c r="AN128" i="9" s="1"/>
  <c r="AD491" i="2"/>
  <c r="AD293" i="2"/>
  <c r="BW293" i="3" s="1"/>
  <c r="BW94" i="3"/>
  <c r="AD377" i="5"/>
  <c r="AD379" i="5"/>
  <c r="AD383" i="5" s="1"/>
  <c r="AD29" i="2"/>
  <c r="AE92" i="2"/>
  <c r="BX92" i="3" s="1"/>
  <c r="AD110" i="2"/>
  <c r="BW12" i="3"/>
  <c r="BW306" i="3"/>
  <c r="BV348" i="3"/>
  <c r="AC349" i="2"/>
  <c r="BV252" i="3"/>
  <c r="BW11" i="3"/>
  <c r="G32" i="9"/>
  <c r="G128" i="9" s="1"/>
  <c r="AM158" i="3"/>
  <c r="AM162" i="3" s="1"/>
  <c r="AM159" i="3"/>
  <c r="AM160" i="3" s="1"/>
  <c r="AM161" i="3" s="1"/>
  <c r="CG357" i="3"/>
  <c r="AN121" i="3"/>
  <c r="AM482" i="3"/>
  <c r="AD309" i="2" l="1"/>
  <c r="BW309" i="3" s="1"/>
  <c r="AD313" i="2"/>
  <c r="AC254" i="2"/>
  <c r="BV254" i="3" s="1"/>
  <c r="BW14" i="3"/>
  <c r="H32" i="9"/>
  <c r="H128" i="9" s="1"/>
  <c r="BW29" i="3"/>
  <c r="AD317" i="2"/>
  <c r="BG31" i="9"/>
  <c r="BG127" i="9" s="1"/>
  <c r="BF127" i="9"/>
  <c r="AC467" i="2"/>
  <c r="BV467" i="3" s="1"/>
  <c r="AD15" i="2"/>
  <c r="BV126" i="3"/>
  <c r="BI31" i="9"/>
  <c r="AC363" i="2"/>
  <c r="AC255" i="2"/>
  <c r="BW491" i="3"/>
  <c r="AD493" i="2"/>
  <c r="AD494" i="2"/>
  <c r="BW494" i="3" s="1"/>
  <c r="BV505" i="3"/>
  <c r="AC506" i="2"/>
  <c r="AD111" i="2"/>
  <c r="AD112" i="2" s="1"/>
  <c r="BW13" i="3"/>
  <c r="AD176" i="2"/>
  <c r="BW102" i="3"/>
  <c r="AD296" i="2"/>
  <c r="BW296" i="3" s="1"/>
  <c r="AD378" i="5"/>
  <c r="AD326" i="2"/>
  <c r="BW326" i="3" s="1"/>
  <c r="AD502" i="2"/>
  <c r="BW502" i="3" s="1"/>
  <c r="AU32" i="9"/>
  <c r="AU128" i="9" s="1"/>
  <c r="AD460" i="2"/>
  <c r="BW460" i="3" s="1"/>
  <c r="BW324" i="3"/>
  <c r="BV350" i="3"/>
  <c r="AD335" i="2"/>
  <c r="AD32" i="2"/>
  <c r="AD337" i="2"/>
  <c r="BW338" i="3" s="1"/>
  <c r="AZ32" i="9"/>
  <c r="AZ128" i="9" s="1"/>
  <c r="BW110" i="3"/>
  <c r="BV349" i="3"/>
  <c r="AC350" i="2"/>
  <c r="AD336" i="2" s="1"/>
  <c r="BV464" i="3"/>
  <c r="BV508" i="3"/>
  <c r="AC510" i="2"/>
  <c r="BC127" i="9"/>
  <c r="AC135" i="2"/>
  <c r="BV177" i="3"/>
  <c r="AC282" i="2"/>
  <c r="AN358" i="3"/>
  <c r="AM163" i="3"/>
  <c r="AM165" i="3" s="1"/>
  <c r="AC390" i="1" l="1"/>
  <c r="AM166" i="3"/>
  <c r="AM267" i="3"/>
  <c r="AD327" i="2"/>
  <c r="AD99" i="2" s="1"/>
  <c r="BV31" i="9"/>
  <c r="BV127" i="9" s="1"/>
  <c r="AD33" i="2"/>
  <c r="AD34" i="2" s="1"/>
  <c r="AD509" i="2"/>
  <c r="BW509" i="3" s="1"/>
  <c r="BD32" i="9"/>
  <c r="BD128" i="9" s="1"/>
  <c r="BW111" i="3"/>
  <c r="AD338" i="2"/>
  <c r="BW339" i="3" s="1"/>
  <c r="AD496" i="2"/>
  <c r="BW493" i="3"/>
  <c r="AC257" i="2"/>
  <c r="BV255" i="3"/>
  <c r="BW15" i="3"/>
  <c r="AD127" i="2"/>
  <c r="AD17" i="2"/>
  <c r="AD343" i="2"/>
  <c r="BW344" i="3" s="1"/>
  <c r="BW32" i="3"/>
  <c r="BV364" i="3"/>
  <c r="AC364" i="2"/>
  <c r="AD353" i="2" s="1"/>
  <c r="BV282" i="3"/>
  <c r="AC284" i="2"/>
  <c r="BW112" i="3"/>
  <c r="AD297" i="2"/>
  <c r="BW297" i="3" s="1"/>
  <c r="AD463" i="2"/>
  <c r="BW463" i="3" s="1"/>
  <c r="AD178" i="2"/>
  <c r="BW178" i="3" s="1"/>
  <c r="BV510" i="3"/>
  <c r="AC512" i="2"/>
  <c r="BW336" i="3"/>
  <c r="BW335" i="3"/>
  <c r="AD339" i="2"/>
  <c r="BW176" i="3"/>
  <c r="BI127" i="9"/>
  <c r="BL31" i="9"/>
  <c r="BW317" i="3"/>
  <c r="AD319" i="2"/>
  <c r="BW319" i="3" s="1"/>
  <c r="BO31" i="9"/>
  <c r="AC382" i="2"/>
  <c r="BV135" i="3"/>
  <c r="AC258" i="2"/>
  <c r="AC469" i="2"/>
  <c r="AD18" i="2"/>
  <c r="BW337" i="3"/>
  <c r="AN359" i="3"/>
  <c r="AN122" i="3" s="1"/>
  <c r="AM183" i="3"/>
  <c r="AM139" i="5"/>
  <c r="BW327" i="3" l="1"/>
  <c r="AD340" i="2"/>
  <c r="AD114" i="2" s="1"/>
  <c r="AC357" i="1"/>
  <c r="AD38" i="2"/>
  <c r="J32" i="9"/>
  <c r="J128" i="9" s="1"/>
  <c r="E282" i="1"/>
  <c r="BW18" i="3"/>
  <c r="BV382" i="3"/>
  <c r="AC383" i="2"/>
  <c r="BL127" i="9"/>
  <c r="BV512" i="3"/>
  <c r="AC513" i="2"/>
  <c r="BW353" i="3"/>
  <c r="AC391" i="1"/>
  <c r="BW17" i="3"/>
  <c r="I32" i="9"/>
  <c r="I128" i="9" s="1"/>
  <c r="BV257" i="3"/>
  <c r="BW31" i="9"/>
  <c r="BW127" i="9" s="1"/>
  <c r="BV469" i="3"/>
  <c r="AC472" i="2"/>
  <c r="AC474" i="2"/>
  <c r="BO127" i="9"/>
  <c r="BP31" i="9"/>
  <c r="BP127" i="9" s="1"/>
  <c r="BW340" i="3"/>
  <c r="AD113" i="2"/>
  <c r="BW34" i="3"/>
  <c r="O32" i="9"/>
  <c r="O128" i="9" s="1"/>
  <c r="BK32" i="9"/>
  <c r="BK128" i="9" s="1"/>
  <c r="AG32" i="9"/>
  <c r="AG128" i="9" s="1"/>
  <c r="AD355" i="2"/>
  <c r="BW355" i="3" s="1"/>
  <c r="BW127" i="3"/>
  <c r="BW341" i="3"/>
  <c r="BV258" i="3"/>
  <c r="AC175" i="5"/>
  <c r="BX31" i="9"/>
  <c r="BX127" i="9" s="1"/>
  <c r="BV284" i="3"/>
  <c r="AB359" i="1"/>
  <c r="BW496" i="3"/>
  <c r="AD497" i="2"/>
  <c r="AD459" i="2"/>
  <c r="BW459" i="3" s="1"/>
  <c r="AV32" i="9"/>
  <c r="AV128" i="9" s="1"/>
  <c r="BW99" i="3"/>
  <c r="AD295" i="2"/>
  <c r="BW295" i="3" s="1"/>
  <c r="AD328" i="2"/>
  <c r="AE101" i="2"/>
  <c r="BX101" i="3" s="1"/>
  <c r="AD30" i="2"/>
  <c r="BW33" i="3"/>
  <c r="AD344" i="2"/>
  <c r="BW345" i="3" s="1"/>
  <c r="AN360" i="3"/>
  <c r="AN123" i="3"/>
  <c r="AM208" i="3"/>
  <c r="AM212" i="3" s="1"/>
  <c r="AM184" i="3"/>
  <c r="BW30" i="3" l="1"/>
  <c r="AD329" i="2"/>
  <c r="BW329" i="3" s="1"/>
  <c r="AD31" i="2"/>
  <c r="BR31" i="9"/>
  <c r="BR127" i="9" s="1"/>
  <c r="BW328" i="3"/>
  <c r="AD330" i="2"/>
  <c r="BW330" i="3" s="1"/>
  <c r="AD342" i="2"/>
  <c r="BE32" i="9"/>
  <c r="BE128" i="9" s="1"/>
  <c r="BW114" i="3"/>
  <c r="AD115" i="2"/>
  <c r="BW113" i="3"/>
  <c r="BA32" i="9"/>
  <c r="BA128" i="9" s="1"/>
  <c r="AD341" i="2"/>
  <c r="BV474" i="3"/>
  <c r="AC476" i="2"/>
  <c r="AD377" i="2"/>
  <c r="BV383" i="3"/>
  <c r="BW497" i="3"/>
  <c r="AD498" i="2"/>
  <c r="BW498" i="3" s="1"/>
  <c r="BV472" i="3"/>
  <c r="AC28" i="2"/>
  <c r="AC399" i="2"/>
  <c r="AC402" i="2"/>
  <c r="AC401" i="2"/>
  <c r="AC400" i="2"/>
  <c r="AD357" i="2"/>
  <c r="BW38" i="3"/>
  <c r="AD379" i="2"/>
  <c r="BW379" i="3" s="1"/>
  <c r="Q32" i="9"/>
  <c r="Q128" i="9" s="1"/>
  <c r="AD173" i="5"/>
  <c r="AM95" i="4"/>
  <c r="AM266" i="3"/>
  <c r="AM270" i="3" s="1"/>
  <c r="AM191" i="3"/>
  <c r="AM193" i="3" s="1"/>
  <c r="AM330" i="5"/>
  <c r="AM398" i="5"/>
  <c r="AN125" i="3"/>
  <c r="BH90" i="9"/>
  <c r="AN35" i="3"/>
  <c r="AM218" i="3"/>
  <c r="AM225" i="3"/>
  <c r="BV402" i="3" l="1"/>
  <c r="AC411" i="2"/>
  <c r="BV476" i="3"/>
  <c r="AC478" i="2"/>
  <c r="BW343" i="3"/>
  <c r="AD346" i="2"/>
  <c r="BW347" i="3" s="1"/>
  <c r="BW358" i="3"/>
  <c r="AD121" i="2"/>
  <c r="AC403" i="2"/>
  <c r="BV403" i="3" s="1"/>
  <c r="BV399" i="3"/>
  <c r="AC408" i="2"/>
  <c r="BW115" i="3"/>
  <c r="AD298" i="2"/>
  <c r="BW298" i="3" s="1"/>
  <c r="AD462" i="2"/>
  <c r="BW462" i="3" s="1"/>
  <c r="BW31" i="3"/>
  <c r="N32" i="9"/>
  <c r="N128" i="9" s="1"/>
  <c r="AD439" i="2"/>
  <c r="BW439" i="3" s="1"/>
  <c r="BV400" i="3"/>
  <c r="AC409" i="2"/>
  <c r="AC438" i="2"/>
  <c r="AC71" i="2"/>
  <c r="BV28" i="3"/>
  <c r="M31" i="9"/>
  <c r="AC11" i="5"/>
  <c r="AC207" i="5" s="1"/>
  <c r="AC169" i="2"/>
  <c r="AC241" i="2"/>
  <c r="BV241" i="3" s="1"/>
  <c r="AC139" i="2"/>
  <c r="BV139" i="3" s="1"/>
  <c r="AC390" i="5"/>
  <c r="BW342" i="3"/>
  <c r="AD345" i="2"/>
  <c r="BW346" i="3" s="1"/>
  <c r="BV401" i="3"/>
  <c r="AC410" i="2"/>
  <c r="AD381" i="2"/>
  <c r="BW381" i="3" s="1"/>
  <c r="BW377" i="3"/>
  <c r="AM222" i="3"/>
  <c r="AM221" i="3"/>
  <c r="AM220" i="3"/>
  <c r="AN361" i="3"/>
  <c r="AN37" i="3"/>
  <c r="AM201" i="3"/>
  <c r="AM197" i="3"/>
  <c r="AM199" i="3"/>
  <c r="AM195" i="3"/>
  <c r="AM198" i="3"/>
  <c r="AM200" i="3"/>
  <c r="AM196" i="3"/>
  <c r="AN466" i="3"/>
  <c r="AN299" i="3"/>
  <c r="AM64" i="4"/>
  <c r="AO65" i="4" s="1"/>
  <c r="AM331" i="5"/>
  <c r="AC394" i="5" l="1"/>
  <c r="AC391" i="5"/>
  <c r="AC395" i="5" s="1"/>
  <c r="BV438" i="3"/>
  <c r="AC444" i="2"/>
  <c r="BV444" i="3" s="1"/>
  <c r="BW121" i="3"/>
  <c r="AD358" i="2"/>
  <c r="AC480" i="2"/>
  <c r="BV478" i="3"/>
  <c r="M127" i="9"/>
  <c r="W31" i="9"/>
  <c r="BV409" i="3"/>
  <c r="AC416" i="2"/>
  <c r="BV416" i="3" s="1"/>
  <c r="AC412" i="2"/>
  <c r="BV412" i="3" s="1"/>
  <c r="BV408" i="3"/>
  <c r="AC415" i="2"/>
  <c r="AC418" i="2"/>
  <c r="BV418" i="3" s="1"/>
  <c r="BV411" i="3"/>
  <c r="BV410" i="3"/>
  <c r="AC417" i="2"/>
  <c r="AB354" i="1"/>
  <c r="BV169" i="3"/>
  <c r="AC386" i="5"/>
  <c r="AC388" i="5" s="1"/>
  <c r="AB368" i="1"/>
  <c r="BV71" i="3"/>
  <c r="AM223" i="3"/>
  <c r="AM227" i="3" s="1"/>
  <c r="AM326" i="4"/>
  <c r="S338" i="1"/>
  <c r="BX291" i="1"/>
  <c r="AM325" i="4"/>
  <c r="BW291" i="1"/>
  <c r="R338" i="1"/>
  <c r="AN362" i="3"/>
  <c r="AM323" i="4"/>
  <c r="P338" i="1"/>
  <c r="BU291" i="1"/>
  <c r="AO69" i="4"/>
  <c r="AO71" i="4"/>
  <c r="AO70" i="4"/>
  <c r="AO68" i="4"/>
  <c r="AO67" i="4"/>
  <c r="AM324" i="4"/>
  <c r="Q338" i="1"/>
  <c r="BV291" i="1"/>
  <c r="AM204" i="3"/>
  <c r="AM515" i="3" s="1"/>
  <c r="T338" i="1"/>
  <c r="AM322" i="4"/>
  <c r="O338" i="1"/>
  <c r="BT291" i="1"/>
  <c r="AM321" i="4"/>
  <c r="AM202" i="3"/>
  <c r="AM203" i="3" s="1"/>
  <c r="AM333" i="5" s="1"/>
  <c r="N338" i="1"/>
  <c r="BS291" i="1"/>
  <c r="AN440" i="3"/>
  <c r="P90" i="9"/>
  <c r="W127" i="9" l="1"/>
  <c r="AM516" i="3"/>
  <c r="R291" i="1"/>
  <c r="BK291" i="1"/>
  <c r="AM334" i="5"/>
  <c r="AM228" i="3"/>
  <c r="BV480" i="3"/>
  <c r="AC481" i="2"/>
  <c r="AC413" i="2"/>
  <c r="BW359" i="3"/>
  <c r="AD359" i="2"/>
  <c r="BV417" i="3"/>
  <c r="AC170" i="2"/>
  <c r="BV415" i="3"/>
  <c r="AC419" i="2"/>
  <c r="AM484" i="3"/>
  <c r="AM485" i="3" s="1"/>
  <c r="AM422" i="3"/>
  <c r="AM424" i="3" s="1"/>
  <c r="AM145" i="3"/>
  <c r="AN302" i="3" s="1"/>
  <c r="AM332" i="5"/>
  <c r="BM291" i="1"/>
  <c r="T291" i="1"/>
  <c r="BN291" i="1"/>
  <c r="U291" i="1"/>
  <c r="BP291" i="1"/>
  <c r="W291" i="1"/>
  <c r="BL291" i="1"/>
  <c r="S291" i="1"/>
  <c r="BO291" i="1"/>
  <c r="V291" i="1"/>
  <c r="M338" i="1"/>
  <c r="U338" i="1" s="1"/>
  <c r="AO72" i="4"/>
  <c r="BQ291" i="1"/>
  <c r="X291" i="1"/>
  <c r="AO74" i="4" l="1"/>
  <c r="AO272" i="3"/>
  <c r="BV419" i="3"/>
  <c r="BW360" i="3"/>
  <c r="AD122" i="2"/>
  <c r="AC420" i="2"/>
  <c r="BV420" i="3" s="1"/>
  <c r="AB355" i="1"/>
  <c r="BV170" i="3"/>
  <c r="AC210" i="2"/>
  <c r="AC268" i="2"/>
  <c r="BV268" i="3" s="1"/>
  <c r="AC171" i="2"/>
  <c r="AC192" i="2"/>
  <c r="BV481" i="3"/>
  <c r="AC482" i="2"/>
  <c r="BV482" i="3" s="1"/>
  <c r="AM425" i="3"/>
  <c r="AO73" i="4"/>
  <c r="AM244" i="3"/>
  <c r="AM245" i="3" s="1"/>
  <c r="AM260" i="3" s="1"/>
  <c r="AM146" i="3"/>
  <c r="AM129" i="5" s="1"/>
  <c r="AM197" i="5"/>
  <c r="AM198" i="5" s="1"/>
  <c r="AM199" i="5" s="1"/>
  <c r="AM200" i="5" s="1"/>
  <c r="Z89" i="9"/>
  <c r="AJ89" i="9" s="1"/>
  <c r="AL89" i="9" s="1"/>
  <c r="AM148" i="3"/>
  <c r="AM229" i="3"/>
  <c r="AM335" i="5" s="1"/>
  <c r="BV210" i="3" l="1"/>
  <c r="AB380" i="1"/>
  <c r="BW122" i="3"/>
  <c r="AD360" i="2"/>
  <c r="AD123" i="2"/>
  <c r="BV192" i="3"/>
  <c r="AB366" i="1"/>
  <c r="AC182" i="2"/>
  <c r="AB356" i="1"/>
  <c r="AB361" i="1" s="1"/>
  <c r="BV171" i="3"/>
  <c r="AM248" i="3"/>
  <c r="AN8" i="3"/>
  <c r="AM486" i="3" l="1"/>
  <c r="BV182" i="3"/>
  <c r="AC153" i="2"/>
  <c r="AC207" i="2"/>
  <c r="BW361" i="3"/>
  <c r="BW123" i="3"/>
  <c r="AD125" i="2"/>
  <c r="BH32" i="9"/>
  <c r="BH128" i="9" s="1"/>
  <c r="AD35" i="2"/>
  <c r="AM259" i="3"/>
  <c r="BT89" i="9"/>
  <c r="BY89" i="9" s="1"/>
  <c r="AN450" i="3"/>
  <c r="AN447" i="3"/>
  <c r="AN390" i="3"/>
  <c r="AN84" i="3"/>
  <c r="AN20" i="3"/>
  <c r="F90" i="9"/>
  <c r="K90" i="9" s="1"/>
  <c r="AN373" i="5"/>
  <c r="AN19" i="3"/>
  <c r="AD466" i="2" l="1"/>
  <c r="BW466" i="3" s="1"/>
  <c r="AD299" i="2"/>
  <c r="BW299" i="3" s="1"/>
  <c r="BW125" i="3"/>
  <c r="BV207" i="3"/>
  <c r="AD37" i="2"/>
  <c r="BW35" i="3"/>
  <c r="AD361" i="2"/>
  <c r="BV153" i="3"/>
  <c r="AC154" i="2"/>
  <c r="AN232" i="3"/>
  <c r="AN365" i="5"/>
  <c r="AN190" i="5"/>
  <c r="AN85" i="3"/>
  <c r="AN238" i="3"/>
  <c r="AN195" i="5"/>
  <c r="AN394" i="3"/>
  <c r="AN392" i="3"/>
  <c r="AN393" i="3"/>
  <c r="AN391" i="3"/>
  <c r="AM261" i="3"/>
  <c r="AM369" i="5"/>
  <c r="BW356" i="3" l="1"/>
  <c r="BW362" i="3"/>
  <c r="AD362" i="2"/>
  <c r="BW363" i="3" s="1"/>
  <c r="BV154" i="3"/>
  <c r="AC156" i="2"/>
  <c r="BW37" i="3"/>
  <c r="AD440" i="2"/>
  <c r="BW440" i="3" s="1"/>
  <c r="P32" i="9"/>
  <c r="P128" i="9" s="1"/>
  <c r="AN395" i="3"/>
  <c r="AN240" i="3"/>
  <c r="AD90" i="9"/>
  <c r="AN470" i="3"/>
  <c r="AN290" i="3"/>
  <c r="AN287" i="3"/>
  <c r="AN303" i="3" s="1"/>
  <c r="AM393" i="5"/>
  <c r="BV156" i="3" l="1"/>
  <c r="AC158" i="2"/>
  <c r="AC159" i="2"/>
  <c r="AI90" i="9"/>
  <c r="AN405" i="3"/>
  <c r="AN396" i="3"/>
  <c r="AN95" i="3"/>
  <c r="BV159" i="3" l="1"/>
  <c r="AC160" i="2"/>
  <c r="BV158" i="3"/>
  <c r="AC162" i="2"/>
  <c r="BV162" i="3" s="1"/>
  <c r="AN457" i="3"/>
  <c r="AN320" i="3"/>
  <c r="AN321" i="3" s="1"/>
  <c r="AO306" i="3" s="1"/>
  <c r="AQ90" i="9"/>
  <c r="AT90" i="9" s="1"/>
  <c r="AO9" i="3"/>
  <c r="AO93" i="3" s="1"/>
  <c r="AO94" i="3" s="1"/>
  <c r="AN249" i="3"/>
  <c r="AN103" i="3"/>
  <c r="AO405" i="5" l="1"/>
  <c r="AO406" i="5" s="1"/>
  <c r="AO408" i="5" s="1"/>
  <c r="AO456" i="3"/>
  <c r="AO308" i="3"/>
  <c r="AO309" i="3" s="1"/>
  <c r="AN91" i="9"/>
  <c r="AO293" i="3"/>
  <c r="AO380" i="5"/>
  <c r="BV160" i="3"/>
  <c r="AC161" i="2"/>
  <c r="AN461" i="3"/>
  <c r="AN331" i="3"/>
  <c r="AN332" i="3" s="1"/>
  <c r="AO324" i="3" s="1"/>
  <c r="AW90" i="9"/>
  <c r="AY90" i="9" s="1"/>
  <c r="AN250" i="3"/>
  <c r="AN251" i="3" s="1"/>
  <c r="BU90" i="9" s="1"/>
  <c r="AN501" i="3"/>
  <c r="AN503" i="3" s="1"/>
  <c r="AN505" i="3" s="1"/>
  <c r="AN506" i="3" s="1"/>
  <c r="AO10" i="3"/>
  <c r="AO100" i="3" s="1"/>
  <c r="AO102" i="3" s="1"/>
  <c r="AN175" i="3"/>
  <c r="AN281" i="3" s="1"/>
  <c r="AO489" i="3"/>
  <c r="AP92" i="3"/>
  <c r="AO96" i="3"/>
  <c r="AO29" i="3" s="1"/>
  <c r="AN116" i="3"/>
  <c r="AN117" i="3" s="1"/>
  <c r="AO381" i="5" l="1"/>
  <c r="AU91" i="9"/>
  <c r="AO460" i="3"/>
  <c r="AO326" i="3"/>
  <c r="AO296" i="3"/>
  <c r="AO502" i="3"/>
  <c r="AO382" i="5"/>
  <c r="AO176" i="3"/>
  <c r="BV161" i="3"/>
  <c r="AC163" i="2"/>
  <c r="AN348" i="3"/>
  <c r="AN350" i="3" s="1"/>
  <c r="AO336" i="3" s="1"/>
  <c r="BF90" i="9"/>
  <c r="BG90" i="9" s="1"/>
  <c r="AN253" i="3"/>
  <c r="AO13" i="3"/>
  <c r="AN508" i="3"/>
  <c r="AN510" i="3" s="1"/>
  <c r="AN512" i="3" s="1"/>
  <c r="AN513" i="3" s="1"/>
  <c r="AO327" i="3"/>
  <c r="AO99" i="3" s="1"/>
  <c r="AO317" i="3"/>
  <c r="AO310" i="3"/>
  <c r="AR91" i="9"/>
  <c r="AE91" i="9"/>
  <c r="AO491" i="3"/>
  <c r="AO493" i="3" s="1"/>
  <c r="AN347" i="3"/>
  <c r="AN349" i="3" s="1"/>
  <c r="AO335" i="3" s="1"/>
  <c r="AN118" i="3"/>
  <c r="AN126" i="3" s="1"/>
  <c r="BB90" i="9"/>
  <c r="BC90" i="9" s="1"/>
  <c r="AO12" i="3"/>
  <c r="AN252" i="3"/>
  <c r="AO11" i="3"/>
  <c r="G91" i="9" s="1"/>
  <c r="AN254" i="3" l="1"/>
  <c r="BV90" i="9" s="1"/>
  <c r="BV163" i="3"/>
  <c r="AC165" i="2"/>
  <c r="AC267" i="2" s="1"/>
  <c r="AP101" i="3"/>
  <c r="AO30" i="3"/>
  <c r="AO329" i="3" s="1"/>
  <c r="AO494" i="3"/>
  <c r="AO496" i="3" s="1"/>
  <c r="AO497" i="3" s="1"/>
  <c r="AO498" i="3" s="1"/>
  <c r="AO339" i="3"/>
  <c r="AO113" i="3" s="1"/>
  <c r="AO14" i="3"/>
  <c r="H91" i="9" s="1"/>
  <c r="AO32" i="3"/>
  <c r="AO319" i="3"/>
  <c r="AO459" i="3"/>
  <c r="AO328" i="3"/>
  <c r="AO295" i="3"/>
  <c r="AV91" i="9"/>
  <c r="AO340" i="3"/>
  <c r="AO114" i="3" s="1"/>
  <c r="AN464" i="3"/>
  <c r="AN177" i="3"/>
  <c r="AN282" i="3" s="1"/>
  <c r="AN284" i="3" s="1"/>
  <c r="AO33" i="3"/>
  <c r="AO344" i="3" s="1"/>
  <c r="AC166" i="2" l="1"/>
  <c r="BV166" i="3" s="1"/>
  <c r="BV267" i="3"/>
  <c r="BV165" i="3"/>
  <c r="AC112" i="5"/>
  <c r="AC140" i="5" s="1"/>
  <c r="AC183" i="2"/>
  <c r="AO31" i="3"/>
  <c r="N91" i="9" s="1"/>
  <c r="AO341" i="3"/>
  <c r="AO115" i="3"/>
  <c r="BA91" i="9"/>
  <c r="AN467" i="3"/>
  <c r="AN363" i="3"/>
  <c r="AN364" i="3" s="1"/>
  <c r="AO353" i="3" s="1"/>
  <c r="BI90" i="9"/>
  <c r="BL90" i="9" s="1"/>
  <c r="BR90" i="9" s="1"/>
  <c r="AO15" i="3"/>
  <c r="AN255" i="3"/>
  <c r="AN257" i="3" s="1"/>
  <c r="BW90" i="9" s="1"/>
  <c r="AO343" i="3"/>
  <c r="AO34" i="3"/>
  <c r="O91" i="9" s="1"/>
  <c r="AO342" i="3"/>
  <c r="AO346" i="3" s="1"/>
  <c r="BE91" i="9"/>
  <c r="AO330" i="3"/>
  <c r="BV183" i="3" l="1"/>
  <c r="AC208" i="2"/>
  <c r="AB375" i="1"/>
  <c r="AB363" i="1"/>
  <c r="AB364" i="1" s="1"/>
  <c r="AC184" i="2"/>
  <c r="AN472" i="3"/>
  <c r="AN474" i="3"/>
  <c r="AO345" i="3"/>
  <c r="AO127" i="3"/>
  <c r="AO17" i="3"/>
  <c r="I91" i="9" s="1"/>
  <c r="AO462" i="3"/>
  <c r="AO298" i="3"/>
  <c r="AO439" i="3"/>
  <c r="AN28" i="3" l="1"/>
  <c r="AN191" i="5" s="1"/>
  <c r="AN400" i="3"/>
  <c r="AN409" i="3" s="1"/>
  <c r="AN416" i="3" s="1"/>
  <c r="AN399" i="3"/>
  <c r="AN402" i="3"/>
  <c r="AN411" i="3" s="1"/>
  <c r="AN418" i="3" s="1"/>
  <c r="AN401" i="3"/>
  <c r="AN410" i="3" s="1"/>
  <c r="AN417" i="3" s="1"/>
  <c r="AN170" i="3" s="1"/>
  <c r="AB374" i="1"/>
  <c r="AB377" i="1" s="1"/>
  <c r="AB367" i="1"/>
  <c r="AB378" i="1"/>
  <c r="BV208" i="3"/>
  <c r="AC212" i="2"/>
  <c r="AC191" i="2"/>
  <c r="AC399" i="5"/>
  <c r="AC266" i="2"/>
  <c r="AC94" i="4"/>
  <c r="AC397" i="5"/>
  <c r="BV184" i="3"/>
  <c r="AC85" i="5"/>
  <c r="AC342" i="5" s="1"/>
  <c r="AO355" i="3"/>
  <c r="AG91" i="9"/>
  <c r="BK91" i="9"/>
  <c r="AN476" i="3"/>
  <c r="AN478" i="3" s="1"/>
  <c r="AC271" i="2" l="1"/>
  <c r="AC86" i="4" s="1"/>
  <c r="AC270" i="2"/>
  <c r="AN392" i="5"/>
  <c r="AN139" i="3"/>
  <c r="AN71" i="3"/>
  <c r="AN387" i="5" s="1"/>
  <c r="AN438" i="3"/>
  <c r="AN444" i="3" s="1"/>
  <c r="AN169" i="3"/>
  <c r="AN192" i="3" s="1"/>
  <c r="AN241" i="3"/>
  <c r="M90" i="9"/>
  <c r="W90" i="9" s="1"/>
  <c r="AN210" i="3"/>
  <c r="AN268" i="3"/>
  <c r="AN403" i="3"/>
  <c r="AN408" i="3"/>
  <c r="BV266" i="3"/>
  <c r="AC193" i="2"/>
  <c r="BV191" i="3"/>
  <c r="AC218" i="2"/>
  <c r="BV212" i="3"/>
  <c r="AC225" i="2"/>
  <c r="BV225" i="3" s="1"/>
  <c r="AB382" i="1"/>
  <c r="AB384" i="1" s="1"/>
  <c r="AN480" i="3"/>
  <c r="AO357" i="3"/>
  <c r="AN171" i="3" l="1"/>
  <c r="AN182" i="3" s="1"/>
  <c r="AN153" i="3" s="1"/>
  <c r="AN154" i="3" s="1"/>
  <c r="AN156" i="3" s="1"/>
  <c r="AN415" i="3"/>
  <c r="AN419" i="3" s="1"/>
  <c r="AN420" i="3" s="1"/>
  <c r="AN412" i="3"/>
  <c r="AN413" i="3" s="1"/>
  <c r="AC200" i="2"/>
  <c r="AC201" i="2"/>
  <c r="AC196" i="2"/>
  <c r="AC197" i="2"/>
  <c r="AC199" i="2"/>
  <c r="AC198" i="2"/>
  <c r="BV193" i="3"/>
  <c r="AC195" i="2"/>
  <c r="AC32" i="4"/>
  <c r="AE33" i="4" s="1"/>
  <c r="BV270" i="3"/>
  <c r="AC86" i="5"/>
  <c r="AC343" i="5" s="1"/>
  <c r="AC221" i="2"/>
  <c r="BV221" i="3" s="1"/>
  <c r="AC220" i="2"/>
  <c r="BV218" i="3"/>
  <c r="AC222" i="2"/>
  <c r="BV222" i="3" s="1"/>
  <c r="AN481" i="3"/>
  <c r="CH357" i="3"/>
  <c r="AO121" i="3"/>
  <c r="AN207" i="3" l="1"/>
  <c r="D328" i="1"/>
  <c r="AC313" i="4"/>
  <c r="K281" i="1" s="1"/>
  <c r="BV195" i="3"/>
  <c r="AC202" i="2"/>
  <c r="AC315" i="4"/>
  <c r="M281" i="1" s="1"/>
  <c r="BV197" i="3"/>
  <c r="F328" i="1"/>
  <c r="BV220" i="3"/>
  <c r="AC223" i="2"/>
  <c r="AE58" i="4"/>
  <c r="AE54" i="4"/>
  <c r="AE55" i="4"/>
  <c r="AE57" i="4"/>
  <c r="AE56" i="4"/>
  <c r="BV196" i="3"/>
  <c r="E328" i="1"/>
  <c r="AC314" i="4"/>
  <c r="L281" i="1" s="1"/>
  <c r="BV198" i="3"/>
  <c r="AC316" i="4"/>
  <c r="N281" i="1" s="1"/>
  <c r="G328" i="1"/>
  <c r="J328" i="1"/>
  <c r="BV201" i="3"/>
  <c r="AC204" i="2"/>
  <c r="AC317" i="4"/>
  <c r="O281" i="1" s="1"/>
  <c r="BV199" i="3"/>
  <c r="H328" i="1"/>
  <c r="BV200" i="3"/>
  <c r="I328" i="1"/>
  <c r="AC318" i="4"/>
  <c r="P281" i="1" s="1"/>
  <c r="AO358" i="3"/>
  <c r="AN482" i="3"/>
  <c r="AN159" i="3"/>
  <c r="AN160" i="3" s="1"/>
  <c r="AN161" i="3" s="1"/>
  <c r="AN158" i="3"/>
  <c r="AN162" i="3" s="1"/>
  <c r="BV202" i="3" l="1"/>
  <c r="AC87" i="5"/>
  <c r="AC344" i="5" s="1"/>
  <c r="AB370" i="1"/>
  <c r="AC203" i="2"/>
  <c r="AC515" i="2"/>
  <c r="BV515" i="3" s="1"/>
  <c r="BV204" i="3"/>
  <c r="AB394" i="1"/>
  <c r="AE59" i="4"/>
  <c r="BV223" i="3"/>
  <c r="AC227" i="2"/>
  <c r="AC422" i="2" s="1"/>
  <c r="C328" i="1"/>
  <c r="AN163" i="3"/>
  <c r="AN165" i="3" s="1"/>
  <c r="AO359" i="3"/>
  <c r="AO122" i="3" s="1"/>
  <c r="AN166" i="3" l="1"/>
  <c r="AN267" i="3"/>
  <c r="AE61" i="4"/>
  <c r="AE272" i="2"/>
  <c r="BV422" i="3"/>
  <c r="AC424" i="2"/>
  <c r="BV424" i="3" s="1"/>
  <c r="AC484" i="2"/>
  <c r="AE60" i="4"/>
  <c r="AC88" i="5"/>
  <c r="AC516" i="2"/>
  <c r="BV203" i="3"/>
  <c r="J281" i="1"/>
  <c r="K328" i="1"/>
  <c r="AB371" i="1"/>
  <c r="AB372" i="1" s="1"/>
  <c r="AB393" i="1"/>
  <c r="BV227" i="3"/>
  <c r="AB385" i="1"/>
  <c r="AB386" i="1" s="1"/>
  <c r="AC89" i="5"/>
  <c r="AC345" i="5" s="1"/>
  <c r="AC228" i="2"/>
  <c r="BV228" i="3" s="1"/>
  <c r="AC145" i="2"/>
  <c r="AO360" i="3"/>
  <c r="AO123" i="3"/>
  <c r="AN183" i="3"/>
  <c r="AN139" i="5"/>
  <c r="BV516" i="3" l="1"/>
  <c r="AC384" i="5"/>
  <c r="BV484" i="3"/>
  <c r="AC485" i="2"/>
  <c r="AC229" i="2"/>
  <c r="AC244" i="2"/>
  <c r="AC148" i="2"/>
  <c r="AC17" i="5"/>
  <c r="Z31" i="9"/>
  <c r="AD302" i="2"/>
  <c r="BW302" i="3" s="1"/>
  <c r="BV145" i="3"/>
  <c r="AC146" i="2"/>
  <c r="AO125" i="3"/>
  <c r="BH91" i="9"/>
  <c r="AO35" i="3"/>
  <c r="AN208" i="3"/>
  <c r="AN212" i="3" s="1"/>
  <c r="AN184" i="3"/>
  <c r="BV146" i="3" l="1"/>
  <c r="AC109" i="5"/>
  <c r="AC18" i="5"/>
  <c r="AC213" i="5"/>
  <c r="BV485" i="3"/>
  <c r="AC425" i="2"/>
  <c r="BV425" i="3" s="1"/>
  <c r="AC248" i="2"/>
  <c r="BV148" i="3"/>
  <c r="AD8" i="2"/>
  <c r="BV244" i="3"/>
  <c r="AC245" i="2"/>
  <c r="AJ31" i="9"/>
  <c r="AL31" i="9" s="1"/>
  <c r="Z127" i="9"/>
  <c r="AC90" i="5"/>
  <c r="AC346" i="5" s="1"/>
  <c r="BV229" i="3"/>
  <c r="AO466" i="3"/>
  <c r="AO299" i="3"/>
  <c r="AN95" i="4"/>
  <c r="AN266" i="3"/>
  <c r="AN270" i="3" s="1"/>
  <c r="AN191" i="3"/>
  <c r="AN193" i="3" s="1"/>
  <c r="AN398" i="5"/>
  <c r="AN330" i="5"/>
  <c r="AO361" i="3"/>
  <c r="AO37" i="3"/>
  <c r="AN218" i="3"/>
  <c r="AN225" i="3"/>
  <c r="AL127" i="9" l="1"/>
  <c r="AJ127" i="9"/>
  <c r="BV245" i="3"/>
  <c r="AC260" i="2"/>
  <c r="AB373" i="1"/>
  <c r="BT31" i="9"/>
  <c r="BV248" i="3"/>
  <c r="AC259" i="2"/>
  <c r="AC19" i="5"/>
  <c r="AC214" i="5"/>
  <c r="AD84" i="2"/>
  <c r="AD20" i="2"/>
  <c r="AD372" i="5"/>
  <c r="AD374" i="5" s="1"/>
  <c r="AD447" i="2"/>
  <c r="F32" i="9"/>
  <c r="AD19" i="2"/>
  <c r="AC486" i="2"/>
  <c r="BV486" i="3" s="1"/>
  <c r="AC389" i="1"/>
  <c r="I282" i="1"/>
  <c r="AD390" i="2"/>
  <c r="AD450" i="2"/>
  <c r="BW8" i="3"/>
  <c r="AN64" i="4"/>
  <c r="AP65" i="4" s="1"/>
  <c r="AN331" i="5"/>
  <c r="AN200" i="3"/>
  <c r="AN196" i="3"/>
  <c r="AN198" i="3"/>
  <c r="AN199" i="3"/>
  <c r="AN201" i="3"/>
  <c r="AN197" i="3"/>
  <c r="AN195" i="3"/>
  <c r="AO440" i="3"/>
  <c r="P91" i="9"/>
  <c r="AN221" i="3"/>
  <c r="AN220" i="3"/>
  <c r="AN222" i="3"/>
  <c r="AO362" i="3"/>
  <c r="AD392" i="2" l="1"/>
  <c r="BW390" i="3"/>
  <c r="AD393" i="2"/>
  <c r="AD391" i="2"/>
  <c r="AD394" i="2"/>
  <c r="AC261" i="2"/>
  <c r="BV261" i="3" s="1"/>
  <c r="AD232" i="2"/>
  <c r="BW232" i="3" s="1"/>
  <c r="AD364" i="5"/>
  <c r="AD366" i="5" s="1"/>
  <c r="BW19" i="3"/>
  <c r="AD10" i="5"/>
  <c r="AD206" i="5" s="1"/>
  <c r="BV259" i="3"/>
  <c r="AC368" i="5"/>
  <c r="AC370" i="5" s="1"/>
  <c r="AC144" i="5" s="1"/>
  <c r="BV260" i="3"/>
  <c r="AC262" i="2"/>
  <c r="F128" i="9"/>
  <c r="K32" i="9"/>
  <c r="AD15" i="5"/>
  <c r="AD212" i="5" s="1"/>
  <c r="BW84" i="3"/>
  <c r="AD85" i="2"/>
  <c r="AD238" i="2"/>
  <c r="BW447" i="3"/>
  <c r="BT127" i="9"/>
  <c r="BY31" i="9"/>
  <c r="BY127" i="9" s="1"/>
  <c r="BW450" i="3"/>
  <c r="AC20" i="5"/>
  <c r="AC215" i="5"/>
  <c r="AN223" i="3"/>
  <c r="AN227" i="3" s="1"/>
  <c r="AN325" i="4"/>
  <c r="BW292" i="1"/>
  <c r="R339" i="1"/>
  <c r="AN321" i="4"/>
  <c r="AN202" i="3"/>
  <c r="AN203" i="3" s="1"/>
  <c r="AN333" i="5" s="1"/>
  <c r="BS292" i="1"/>
  <c r="N339" i="1"/>
  <c r="AN324" i="4"/>
  <c r="Q339" i="1"/>
  <c r="BV292" i="1"/>
  <c r="AN323" i="4"/>
  <c r="BU292" i="1"/>
  <c r="P339" i="1"/>
  <c r="AN322" i="4"/>
  <c r="O339" i="1"/>
  <c r="BT292" i="1"/>
  <c r="AP68" i="4"/>
  <c r="AP67" i="4"/>
  <c r="AP71" i="4"/>
  <c r="AP70" i="4"/>
  <c r="AP69" i="4"/>
  <c r="AN204" i="3"/>
  <c r="AN515" i="3" s="1"/>
  <c r="T339" i="1"/>
  <c r="AN326" i="4"/>
  <c r="S339" i="1"/>
  <c r="BX292" i="1"/>
  <c r="K128" i="9" l="1"/>
  <c r="AN334" i="5"/>
  <c r="AN228" i="3"/>
  <c r="AN516" i="3"/>
  <c r="R292" i="1"/>
  <c r="BK292" i="1"/>
  <c r="BW391" i="3"/>
  <c r="AD395" i="2"/>
  <c r="BW393" i="3"/>
  <c r="BW238" i="3"/>
  <c r="AD240" i="2"/>
  <c r="AD32" i="9"/>
  <c r="AD128" i="9" s="1"/>
  <c r="AD290" i="2"/>
  <c r="BW290" i="3" s="1"/>
  <c r="AD470" i="2"/>
  <c r="BW470" i="3" s="1"/>
  <c r="BW85" i="3"/>
  <c r="AD287" i="2"/>
  <c r="BW394" i="3"/>
  <c r="BW392" i="3"/>
  <c r="BO292" i="1"/>
  <c r="V292" i="1"/>
  <c r="BL292" i="1"/>
  <c r="S292" i="1"/>
  <c r="M339" i="1"/>
  <c r="U339" i="1" s="1"/>
  <c r="BQ292" i="1"/>
  <c r="X292" i="1"/>
  <c r="BN292" i="1"/>
  <c r="U292" i="1"/>
  <c r="BP292" i="1"/>
  <c r="W292" i="1"/>
  <c r="AP72" i="4"/>
  <c r="BM292" i="1"/>
  <c r="T292" i="1"/>
  <c r="AN484" i="3"/>
  <c r="AN485" i="3" s="1"/>
  <c r="AN422" i="3"/>
  <c r="AN424" i="3" s="1"/>
  <c r="AN145" i="3"/>
  <c r="AO302" i="3" s="1"/>
  <c r="AN332" i="5"/>
  <c r="AP74" i="4" l="1"/>
  <c r="AP272" i="3"/>
  <c r="BW287" i="3"/>
  <c r="AD303" i="2"/>
  <c r="BW240" i="3"/>
  <c r="AI32" i="9"/>
  <c r="AI128" i="9" s="1"/>
  <c r="AD396" i="2"/>
  <c r="BW396" i="3" s="1"/>
  <c r="AD405" i="2"/>
  <c r="BW405" i="3" s="1"/>
  <c r="BW395" i="3"/>
  <c r="AN244" i="3"/>
  <c r="AN245" i="3" s="1"/>
  <c r="AN260" i="3" s="1"/>
  <c r="AN146" i="3"/>
  <c r="AN129" i="5" s="1"/>
  <c r="AN197" i="5"/>
  <c r="AN198" i="5" s="1"/>
  <c r="AN199" i="5" s="1"/>
  <c r="AN200" i="5" s="1"/>
  <c r="Z90" i="9"/>
  <c r="AJ90" i="9" s="1"/>
  <c r="AL90" i="9" s="1"/>
  <c r="AN148" i="3"/>
  <c r="AN229" i="3"/>
  <c r="AN335" i="5" s="1"/>
  <c r="AP73" i="4"/>
  <c r="AN425" i="3"/>
  <c r="BW303" i="3" l="1"/>
  <c r="AD95" i="2"/>
  <c r="AD103" i="2" s="1"/>
  <c r="AO8" i="3"/>
  <c r="AN248" i="3"/>
  <c r="AN486" i="3" l="1"/>
  <c r="AW32" i="9"/>
  <c r="AD331" i="2"/>
  <c r="AD501" i="2"/>
  <c r="BW103" i="3"/>
  <c r="AD250" i="2"/>
  <c r="BW250" i="3" s="1"/>
  <c r="AD461" i="2"/>
  <c r="BW461" i="3" s="1"/>
  <c r="AE10" i="2"/>
  <c r="AD116" i="2"/>
  <c r="AD117" i="2" s="1"/>
  <c r="AQ32" i="9"/>
  <c r="AD320" i="2"/>
  <c r="AE9" i="2"/>
  <c r="BW95" i="3"/>
  <c r="AD249" i="2"/>
  <c r="AD457" i="2"/>
  <c r="AD175" i="2"/>
  <c r="AO447" i="3"/>
  <c r="AO450" i="3"/>
  <c r="AO390" i="3"/>
  <c r="AO20" i="3"/>
  <c r="AO19" i="3"/>
  <c r="AO373" i="5"/>
  <c r="AO84" i="3"/>
  <c r="F91" i="9"/>
  <c r="K91" i="9" s="1"/>
  <c r="AN259" i="3"/>
  <c r="BT90" i="9"/>
  <c r="BY90" i="9" s="1"/>
  <c r="AD348" i="2" l="1"/>
  <c r="AD253" i="2"/>
  <c r="BW253" i="3" s="1"/>
  <c r="BF32" i="9"/>
  <c r="AE13" i="2"/>
  <c r="BW117" i="3"/>
  <c r="AD508" i="2"/>
  <c r="BW457" i="3"/>
  <c r="BW320" i="3"/>
  <c r="AD321" i="2"/>
  <c r="AE11" i="2"/>
  <c r="AE100" i="2"/>
  <c r="BX10" i="3"/>
  <c r="BW501" i="3"/>
  <c r="AD503" i="2"/>
  <c r="BW175" i="3"/>
  <c r="AD281" i="2"/>
  <c r="BW249" i="3"/>
  <c r="AD251" i="2"/>
  <c r="AT32" i="9"/>
  <c r="AQ128" i="9"/>
  <c r="AD332" i="2"/>
  <c r="BW331" i="3"/>
  <c r="BX9" i="3"/>
  <c r="AE489" i="2"/>
  <c r="AE96" i="2"/>
  <c r="AE93" i="2"/>
  <c r="BW116" i="3"/>
  <c r="AD252" i="2"/>
  <c r="AD347" i="2"/>
  <c r="BB32" i="9"/>
  <c r="AE12" i="2"/>
  <c r="AD118" i="2"/>
  <c r="AW128" i="9"/>
  <c r="AY32" i="9"/>
  <c r="AY128" i="9" s="1"/>
  <c r="AO238" i="3"/>
  <c r="AO85" i="3"/>
  <c r="AO195" i="5"/>
  <c r="AO232" i="3"/>
  <c r="AO365" i="5"/>
  <c r="AO190" i="5"/>
  <c r="AO394" i="3"/>
  <c r="AO392" i="3"/>
  <c r="AO393" i="3"/>
  <c r="AO391" i="3"/>
  <c r="AN261" i="3"/>
  <c r="AN369" i="5"/>
  <c r="BB128" i="9" l="1"/>
  <c r="BC32" i="9"/>
  <c r="BC128" i="9" s="1"/>
  <c r="BX489" i="3"/>
  <c r="BW281" i="3"/>
  <c r="BX11" i="3"/>
  <c r="G33" i="9"/>
  <c r="G129" i="9" s="1"/>
  <c r="AE14" i="2"/>
  <c r="BX13" i="3"/>
  <c r="AE111" i="2"/>
  <c r="BW348" i="3"/>
  <c r="AD349" i="2"/>
  <c r="AT128" i="9"/>
  <c r="H282" i="1"/>
  <c r="A283" i="1" s="1"/>
  <c r="BW321" i="3"/>
  <c r="AE306" i="2"/>
  <c r="BG32" i="9"/>
  <c r="BG128" i="9" s="1"/>
  <c r="BF128" i="9"/>
  <c r="AD464" i="2"/>
  <c r="AD177" i="2"/>
  <c r="BW118" i="3"/>
  <c r="AD126" i="2"/>
  <c r="BW252" i="3"/>
  <c r="AD254" i="2"/>
  <c r="BX93" i="3"/>
  <c r="AE94" i="2"/>
  <c r="BW251" i="3"/>
  <c r="BU32" i="9"/>
  <c r="BU128" i="9" s="1"/>
  <c r="BW503" i="3"/>
  <c r="AD505" i="2"/>
  <c r="AD510" i="2"/>
  <c r="BW508" i="3"/>
  <c r="AE110" i="2"/>
  <c r="BX12" i="3"/>
  <c r="AE33" i="9"/>
  <c r="AE129" i="9" s="1"/>
  <c r="AR33" i="9"/>
  <c r="AR129" i="9" s="1"/>
  <c r="AE310" i="2"/>
  <c r="BX310" i="3" s="1"/>
  <c r="BX96" i="3"/>
  <c r="BW332" i="3"/>
  <c r="AE324" i="2"/>
  <c r="BX100" i="3"/>
  <c r="AE102" i="2"/>
  <c r="BW349" i="3"/>
  <c r="AD350" i="2"/>
  <c r="AE336" i="2" s="1"/>
  <c r="AN393" i="5"/>
  <c r="AO395" i="3"/>
  <c r="AO470" i="3"/>
  <c r="AO290" i="3"/>
  <c r="AO287" i="3"/>
  <c r="AO240" i="3"/>
  <c r="AD91" i="9"/>
  <c r="AO303" i="3" l="1"/>
  <c r="AE32" i="2"/>
  <c r="AZ33" i="9"/>
  <c r="AZ129" i="9" s="1"/>
  <c r="BX110" i="3"/>
  <c r="AE112" i="2"/>
  <c r="AE337" i="2"/>
  <c r="BX338" i="3" s="1"/>
  <c r="AE33" i="2"/>
  <c r="BX111" i="3"/>
  <c r="AE509" i="2"/>
  <c r="BX509" i="3" s="1"/>
  <c r="AE338" i="2"/>
  <c r="BX339" i="3" s="1"/>
  <c r="BD33" i="9"/>
  <c r="BD129" i="9" s="1"/>
  <c r="BX337" i="3"/>
  <c r="BX324" i="3"/>
  <c r="BW254" i="3"/>
  <c r="BV32" i="9"/>
  <c r="BV128" i="9" s="1"/>
  <c r="BW177" i="3"/>
  <c r="AD282" i="2"/>
  <c r="BX306" i="3"/>
  <c r="BW510" i="3"/>
  <c r="AD512" i="2"/>
  <c r="BW464" i="3"/>
  <c r="BW350" i="3"/>
  <c r="AE335" i="2"/>
  <c r="BX14" i="3"/>
  <c r="H33" i="9"/>
  <c r="H129" i="9" s="1"/>
  <c r="AE379" i="5"/>
  <c r="AE383" i="5" s="1"/>
  <c r="BX102" i="3"/>
  <c r="AE502" i="2"/>
  <c r="BX502" i="3" s="1"/>
  <c r="AE378" i="5"/>
  <c r="AE296" i="2"/>
  <c r="BX296" i="3" s="1"/>
  <c r="AU33" i="9"/>
  <c r="AU129" i="9" s="1"/>
  <c r="AE460" i="2"/>
  <c r="BX460" i="3" s="1"/>
  <c r="AE326" i="2"/>
  <c r="BX326" i="3" s="1"/>
  <c r="BW505" i="3"/>
  <c r="AD506" i="2"/>
  <c r="AE293" i="2"/>
  <c r="BX293" i="3" s="1"/>
  <c r="AN33" i="9"/>
  <c r="AN129" i="9" s="1"/>
  <c r="AE377" i="5"/>
  <c r="AE456" i="2"/>
  <c r="BX456" i="3" s="1"/>
  <c r="AE491" i="2"/>
  <c r="AE308" i="2"/>
  <c r="BX308" i="3" s="1"/>
  <c r="BX94" i="3"/>
  <c r="AE176" i="2"/>
  <c r="AE29" i="2"/>
  <c r="AF92" i="2"/>
  <c r="BY92" i="3" s="1"/>
  <c r="AD135" i="2"/>
  <c r="AD467" i="2"/>
  <c r="BW467" i="3" s="1"/>
  <c r="AE15" i="2"/>
  <c r="AD363" i="2"/>
  <c r="BI32" i="9"/>
  <c r="BW126" i="3"/>
  <c r="AD255" i="2"/>
  <c r="AO396" i="3"/>
  <c r="AO405" i="3"/>
  <c r="AI91" i="9"/>
  <c r="AO95" i="3"/>
  <c r="AE340" i="2" l="1"/>
  <c r="AE114" i="2" s="1"/>
  <c r="BX176" i="3"/>
  <c r="AE339" i="2"/>
  <c r="BX335" i="3"/>
  <c r="BX336" i="3"/>
  <c r="AE313" i="2"/>
  <c r="AE327" i="2"/>
  <c r="BX112" i="3"/>
  <c r="AE297" i="2"/>
  <c r="BX297" i="3" s="1"/>
  <c r="AE463" i="2"/>
  <c r="BX463" i="3" s="1"/>
  <c r="AE178" i="2"/>
  <c r="BX178" i="3" s="1"/>
  <c r="BL32" i="9"/>
  <c r="BI128" i="9"/>
  <c r="AD469" i="2"/>
  <c r="BW469" i="3" s="1"/>
  <c r="BW135" i="3"/>
  <c r="AD258" i="2"/>
  <c r="AD382" i="2"/>
  <c r="AE18" i="2"/>
  <c r="BO32" i="9"/>
  <c r="BW512" i="3"/>
  <c r="AD513" i="2"/>
  <c r="AE309" i="2"/>
  <c r="AE344" i="2"/>
  <c r="BX345" i="3" s="1"/>
  <c r="BX33" i="3"/>
  <c r="AD364" i="2"/>
  <c r="AE353" i="2" s="1"/>
  <c r="BW364" i="3"/>
  <c r="BW255" i="3"/>
  <c r="AD257" i="2"/>
  <c r="BX15" i="3"/>
  <c r="AE17" i="2"/>
  <c r="AE127" i="2"/>
  <c r="BX29" i="3"/>
  <c r="AE317" i="2"/>
  <c r="BX317" i="3" s="1"/>
  <c r="BX491" i="3"/>
  <c r="AE494" i="2"/>
  <c r="BX494" i="3" s="1"/>
  <c r="AE493" i="2"/>
  <c r="BW282" i="3"/>
  <c r="AD284" i="2"/>
  <c r="BX341" i="3"/>
  <c r="AE343" i="2"/>
  <c r="BX344" i="3" s="1"/>
  <c r="BX32" i="3"/>
  <c r="AE34" i="2"/>
  <c r="AO103" i="3"/>
  <c r="AO175" i="3" s="1"/>
  <c r="AO281" i="3" s="1"/>
  <c r="AO457" i="3"/>
  <c r="AO320" i="3"/>
  <c r="AO321" i="3" s="1"/>
  <c r="AP306" i="3" s="1"/>
  <c r="AQ91" i="9"/>
  <c r="AT91" i="9" s="1"/>
  <c r="AP9" i="3"/>
  <c r="AP93" i="3" s="1"/>
  <c r="AP94" i="3" s="1"/>
  <c r="AO249" i="3"/>
  <c r="AP456" i="3" l="1"/>
  <c r="AP293" i="3"/>
  <c r="AP308" i="3"/>
  <c r="AP405" i="5"/>
  <c r="AP406" i="5" s="1"/>
  <c r="AP408" i="5" s="1"/>
  <c r="AP380" i="5"/>
  <c r="AN92" i="9"/>
  <c r="AD474" i="2"/>
  <c r="AD476" i="2" s="1"/>
  <c r="AD472" i="2"/>
  <c r="AD400" i="2" s="1"/>
  <c r="AE319" i="2"/>
  <c r="BX319" i="3" s="1"/>
  <c r="BX114" i="3"/>
  <c r="AE342" i="2"/>
  <c r="BE33" i="9"/>
  <c r="BE129" i="9" s="1"/>
  <c r="BX17" i="3"/>
  <c r="I33" i="9"/>
  <c r="I129" i="9" s="1"/>
  <c r="BO128" i="9"/>
  <c r="BP32" i="9"/>
  <c r="BP128" i="9" s="1"/>
  <c r="BX327" i="3"/>
  <c r="AE99" i="2"/>
  <c r="BX34" i="3"/>
  <c r="O33" i="9"/>
  <c r="O129" i="9" s="1"/>
  <c r="BX309" i="3"/>
  <c r="AD390" i="1"/>
  <c r="AE38" i="2"/>
  <c r="J33" i="9"/>
  <c r="J129" i="9" s="1"/>
  <c r="E283" i="1"/>
  <c r="BX18" i="3"/>
  <c r="AE113" i="2"/>
  <c r="BX340" i="3"/>
  <c r="BW257" i="3"/>
  <c r="BW32" i="9"/>
  <c r="BW128" i="9" s="1"/>
  <c r="BX353" i="3"/>
  <c r="AD391" i="1"/>
  <c r="AD383" i="2"/>
  <c r="BW382" i="3"/>
  <c r="AD357" i="1"/>
  <c r="BW284" i="3"/>
  <c r="AC359" i="1"/>
  <c r="BX493" i="3"/>
  <c r="AE496" i="2"/>
  <c r="BK33" i="9"/>
  <c r="BK129" i="9" s="1"/>
  <c r="AG33" i="9"/>
  <c r="AG129" i="9" s="1"/>
  <c r="BX127" i="3"/>
  <c r="AE355" i="2"/>
  <c r="BX355" i="3" s="1"/>
  <c r="BW258" i="3"/>
  <c r="AD175" i="5"/>
  <c r="BX32" i="9"/>
  <c r="BX128" i="9" s="1"/>
  <c r="BL128" i="9"/>
  <c r="AP309" i="3"/>
  <c r="AP489" i="3"/>
  <c r="AQ92" i="3"/>
  <c r="AP96" i="3"/>
  <c r="AP29" i="3" s="1"/>
  <c r="AO461" i="3"/>
  <c r="AO331" i="3"/>
  <c r="AO332" i="3" s="1"/>
  <c r="AP324" i="3" s="1"/>
  <c r="AW91" i="9"/>
  <c r="AY91" i="9" s="1"/>
  <c r="AP10" i="3"/>
  <c r="AO250" i="3"/>
  <c r="AO251" i="3" s="1"/>
  <c r="BU91" i="9" s="1"/>
  <c r="AO501" i="3"/>
  <c r="AO503" i="3" s="1"/>
  <c r="AO505" i="3" s="1"/>
  <c r="AO506" i="3" s="1"/>
  <c r="AO116" i="3"/>
  <c r="AP11" i="3" l="1"/>
  <c r="G92" i="9" s="1"/>
  <c r="AP100" i="3"/>
  <c r="AP102" i="3" s="1"/>
  <c r="BW474" i="3"/>
  <c r="AD399" i="2"/>
  <c r="BW399" i="3" s="1"/>
  <c r="AD28" i="2"/>
  <c r="AD241" i="2" s="1"/>
  <c r="BW241" i="3" s="1"/>
  <c r="BW472" i="3"/>
  <c r="AD401" i="2"/>
  <c r="BW401" i="3" s="1"/>
  <c r="AD402" i="2"/>
  <c r="BW402" i="3" s="1"/>
  <c r="BR32" i="9"/>
  <c r="BR128" i="9" s="1"/>
  <c r="BW383" i="3"/>
  <c r="AE377" i="2"/>
  <c r="BW476" i="3"/>
  <c r="AD478" i="2"/>
  <c r="AE328" i="2"/>
  <c r="AE459" i="2"/>
  <c r="BX459" i="3" s="1"/>
  <c r="BX99" i="3"/>
  <c r="AV33" i="9"/>
  <c r="AV129" i="9" s="1"/>
  <c r="AE295" i="2"/>
  <c r="BX295" i="3" s="1"/>
  <c r="AF101" i="2"/>
  <c r="BY101" i="3" s="1"/>
  <c r="AE30" i="2"/>
  <c r="AD71" i="2"/>
  <c r="BX343" i="3"/>
  <c r="AE346" i="2"/>
  <c r="BX347" i="3" s="1"/>
  <c r="BX496" i="3"/>
  <c r="AE497" i="2"/>
  <c r="AE357" i="2"/>
  <c r="AE341" i="2"/>
  <c r="BA33" i="9"/>
  <c r="BA129" i="9" s="1"/>
  <c r="BX113" i="3"/>
  <c r="AE379" i="2"/>
  <c r="BX379" i="3" s="1"/>
  <c r="AE173" i="5"/>
  <c r="Q33" i="9"/>
  <c r="Q129" i="9" s="1"/>
  <c r="BX38" i="3"/>
  <c r="BW400" i="3"/>
  <c r="AD409" i="2"/>
  <c r="AE115" i="2"/>
  <c r="AP317" i="3"/>
  <c r="AO347" i="3"/>
  <c r="AO349" i="3" s="1"/>
  <c r="AP335" i="3" s="1"/>
  <c r="BB91" i="9"/>
  <c r="BC91" i="9" s="1"/>
  <c r="AO252" i="3"/>
  <c r="AP12" i="3"/>
  <c r="AO117" i="3"/>
  <c r="AP310" i="3"/>
  <c r="AE92" i="9"/>
  <c r="AR92" i="9"/>
  <c r="AP491" i="3"/>
  <c r="AP493" i="3" s="1"/>
  <c r="AU92" i="9" l="1"/>
  <c r="AP460" i="3"/>
  <c r="AP296" i="3"/>
  <c r="AP381" i="5"/>
  <c r="AP502" i="3"/>
  <c r="AP326" i="3"/>
  <c r="AP327" i="3" s="1"/>
  <c r="AP99" i="3" s="1"/>
  <c r="AQ101" i="3" s="1"/>
  <c r="AP382" i="5"/>
  <c r="AP176" i="3"/>
  <c r="AD411" i="2"/>
  <c r="AD418" i="2" s="1"/>
  <c r="BW418" i="3" s="1"/>
  <c r="AD169" i="2"/>
  <c r="BW169" i="3" s="1"/>
  <c r="AD408" i="2"/>
  <c r="AD139" i="2"/>
  <c r="BW139" i="3" s="1"/>
  <c r="AD390" i="5"/>
  <c r="AD391" i="5" s="1"/>
  <c r="AD395" i="5" s="1"/>
  <c r="AD438" i="2"/>
  <c r="AD444" i="2" s="1"/>
  <c r="BW444" i="3" s="1"/>
  <c r="BW28" i="3"/>
  <c r="M32" i="9"/>
  <c r="M128" i="9" s="1"/>
  <c r="AD11" i="5"/>
  <c r="AD207" i="5" s="1"/>
  <c r="AD403" i="2"/>
  <c r="BW403" i="3" s="1"/>
  <c r="AD410" i="2"/>
  <c r="AD417" i="2" s="1"/>
  <c r="BW409" i="3"/>
  <c r="AD416" i="2"/>
  <c r="BW416" i="3" s="1"/>
  <c r="BX342" i="3"/>
  <c r="AE345" i="2"/>
  <c r="BX346" i="3" s="1"/>
  <c r="BW478" i="3"/>
  <c r="AD480" i="2"/>
  <c r="BX358" i="3"/>
  <c r="AE121" i="2"/>
  <c r="BX30" i="3"/>
  <c r="AE329" i="2"/>
  <c r="BX329" i="3" s="1"/>
  <c r="AE31" i="2"/>
  <c r="BX497" i="3"/>
  <c r="AE498" i="2"/>
  <c r="BX498" i="3" s="1"/>
  <c r="AD386" i="5"/>
  <c r="AD388" i="5" s="1"/>
  <c r="BW71" i="3"/>
  <c r="AC368" i="1"/>
  <c r="BX377" i="3"/>
  <c r="AE381" i="2"/>
  <c r="BX381" i="3" s="1"/>
  <c r="AD415" i="2"/>
  <c r="BW408" i="3"/>
  <c r="AE462" i="2"/>
  <c r="BX462" i="3" s="1"/>
  <c r="BX115" i="3"/>
  <c r="AE298" i="2"/>
  <c r="BX298" i="3" s="1"/>
  <c r="BX328" i="3"/>
  <c r="AP496" i="3"/>
  <c r="AP497" i="3" s="1"/>
  <c r="AP498" i="3" s="1"/>
  <c r="AP494" i="3"/>
  <c r="AO348" i="3"/>
  <c r="AO350" i="3" s="1"/>
  <c r="AP336" i="3" s="1"/>
  <c r="BF91" i="9"/>
  <c r="BG91" i="9" s="1"/>
  <c r="AP13" i="3"/>
  <c r="AP14" i="3" s="1"/>
  <c r="H92" i="9" s="1"/>
  <c r="AO508" i="3"/>
  <c r="AO510" i="3" s="1"/>
  <c r="AO512" i="3" s="1"/>
  <c r="AO513" i="3" s="1"/>
  <c r="AO253" i="3"/>
  <c r="AO254" i="3" s="1"/>
  <c r="BV91" i="9" s="1"/>
  <c r="AP32" i="3"/>
  <c r="AP339" i="3"/>
  <c r="AP113" i="3" s="1"/>
  <c r="AO118" i="3"/>
  <c r="AO126" i="3" s="1"/>
  <c r="AP319" i="3"/>
  <c r="AC354" i="1" l="1"/>
  <c r="AP459" i="3"/>
  <c r="BW411" i="3"/>
  <c r="AP30" i="3"/>
  <c r="AP329" i="3" s="1"/>
  <c r="BW438" i="3"/>
  <c r="AV92" i="9"/>
  <c r="AD394" i="5"/>
  <c r="AP295" i="3"/>
  <c r="AP328" i="3"/>
  <c r="AE330" i="2"/>
  <c r="BX330" i="3" s="1"/>
  <c r="BW410" i="3"/>
  <c r="AD412" i="2"/>
  <c r="BW412" i="3" s="1"/>
  <c r="W32" i="9"/>
  <c r="BW417" i="3"/>
  <c r="AD170" i="2"/>
  <c r="BW415" i="3"/>
  <c r="AD419" i="2"/>
  <c r="BW419" i="3" s="1"/>
  <c r="N33" i="9"/>
  <c r="N129" i="9" s="1"/>
  <c r="AE439" i="2"/>
  <c r="BX439" i="3" s="1"/>
  <c r="BX31" i="3"/>
  <c r="AD481" i="2"/>
  <c r="BW480" i="3"/>
  <c r="BX121" i="3"/>
  <c r="AE358" i="2"/>
  <c r="AP343" i="3"/>
  <c r="AP340" i="3"/>
  <c r="AP114" i="3" s="1"/>
  <c r="AO464" i="3"/>
  <c r="AO177" i="3"/>
  <c r="AO282" i="3" s="1"/>
  <c r="AO284" i="3" s="1"/>
  <c r="AP341" i="3"/>
  <c r="BA92" i="9"/>
  <c r="AP33" i="3"/>
  <c r="AP344" i="3" s="1"/>
  <c r="W128" i="9" l="1"/>
  <c r="AP330" i="3"/>
  <c r="AP31" i="3"/>
  <c r="N92" i="9" s="1"/>
  <c r="AD413" i="2"/>
  <c r="AP345" i="3"/>
  <c r="AD420" i="2"/>
  <c r="BW420" i="3" s="1"/>
  <c r="BW170" i="3"/>
  <c r="AC355" i="1"/>
  <c r="AD210" i="2"/>
  <c r="AD268" i="2"/>
  <c r="BW268" i="3" s="1"/>
  <c r="AD171" i="2"/>
  <c r="AD192" i="2"/>
  <c r="BX359" i="3"/>
  <c r="AE359" i="2"/>
  <c r="BW481" i="3"/>
  <c r="AD482" i="2"/>
  <c r="BW482" i="3" s="1"/>
  <c r="AO467" i="3"/>
  <c r="AO363" i="3"/>
  <c r="AO364" i="3" s="1"/>
  <c r="AP353" i="3" s="1"/>
  <c r="BI91" i="9"/>
  <c r="BL91" i="9" s="1"/>
  <c r="BR91" i="9" s="1"/>
  <c r="AP15" i="3"/>
  <c r="AO255" i="3"/>
  <c r="AO257" i="3" s="1"/>
  <c r="BW91" i="9" s="1"/>
  <c r="AP342" i="3"/>
  <c r="AP346" i="3" s="1"/>
  <c r="BE92" i="9"/>
  <c r="AP34" i="3"/>
  <c r="AP115" i="3"/>
  <c r="BX360" i="3" l="1"/>
  <c r="AE122" i="2"/>
  <c r="AC380" i="1"/>
  <c r="BW210" i="3"/>
  <c r="AC366" i="1"/>
  <c r="BW192" i="3"/>
  <c r="AD182" i="2"/>
  <c r="AC356" i="1"/>
  <c r="AC361" i="1" s="1"/>
  <c r="BW171" i="3"/>
  <c r="AP462" i="3"/>
  <c r="AP298" i="3"/>
  <c r="O92" i="9"/>
  <c r="AP439" i="3"/>
  <c r="AO472" i="3"/>
  <c r="AO474" i="3"/>
  <c r="AP127" i="3"/>
  <c r="AP17" i="3"/>
  <c r="I92" i="9" s="1"/>
  <c r="AO28" i="3" l="1"/>
  <c r="M91" i="9" s="1"/>
  <c r="W91" i="9" s="1"/>
  <c r="AO399" i="3"/>
  <c r="AO401" i="3"/>
  <c r="AO410" i="3" s="1"/>
  <c r="AO417" i="3" s="1"/>
  <c r="AO170" i="3" s="1"/>
  <c r="AO400" i="3"/>
  <c r="AO409" i="3" s="1"/>
  <c r="AO416" i="3" s="1"/>
  <c r="AO402" i="3"/>
  <c r="AO411" i="3" s="1"/>
  <c r="AO418" i="3" s="1"/>
  <c r="AD153" i="2"/>
  <c r="AD207" i="2"/>
  <c r="BW182" i="3"/>
  <c r="BX122" i="3"/>
  <c r="AE360" i="2"/>
  <c r="AE123" i="2"/>
  <c r="AP355" i="3"/>
  <c r="BK92" i="9"/>
  <c r="AG92" i="9"/>
  <c r="AO476" i="3"/>
  <c r="AO478" i="3" s="1"/>
  <c r="AO169" i="3" l="1"/>
  <c r="AO171" i="3" s="1"/>
  <c r="AO182" i="3" s="1"/>
  <c r="AO71" i="3"/>
  <c r="AO139" i="3"/>
  <c r="AO392" i="5"/>
  <c r="AO241" i="3"/>
  <c r="AO438" i="3"/>
  <c r="AO444" i="3" s="1"/>
  <c r="AO191" i="5"/>
  <c r="AO210" i="3"/>
  <c r="AO268" i="3"/>
  <c r="AO403" i="3"/>
  <c r="AO408" i="3"/>
  <c r="BX123" i="3"/>
  <c r="BH33" i="9"/>
  <c r="BH129" i="9" s="1"/>
  <c r="AE125" i="2"/>
  <c r="AE35" i="2"/>
  <c r="BX361" i="3"/>
  <c r="BW207" i="3"/>
  <c r="BW153" i="3"/>
  <c r="AD154" i="2"/>
  <c r="AO480" i="3"/>
  <c r="AP357" i="3"/>
  <c r="AO192" i="3"/>
  <c r="AO387" i="5"/>
  <c r="AO415" i="3" l="1"/>
  <c r="AO419" i="3" s="1"/>
  <c r="AO420" i="3" s="1"/>
  <c r="AO412" i="3"/>
  <c r="AO413" i="3" s="1"/>
  <c r="BX35" i="3"/>
  <c r="AE361" i="2"/>
  <c r="AE37" i="2"/>
  <c r="AE466" i="2"/>
  <c r="BX466" i="3" s="1"/>
  <c r="BX125" i="3"/>
  <c r="AE299" i="2"/>
  <c r="BX299" i="3" s="1"/>
  <c r="BW154" i="3"/>
  <c r="AD156" i="2"/>
  <c r="AO207" i="3"/>
  <c r="AO153" i="3"/>
  <c r="AO154" i="3" s="1"/>
  <c r="AO156" i="3" s="1"/>
  <c r="CI357" i="3"/>
  <c r="AP121" i="3"/>
  <c r="AO481" i="3"/>
  <c r="BW156" i="3" l="1"/>
  <c r="AD158" i="2"/>
  <c r="AD159" i="2"/>
  <c r="AE440" i="2"/>
  <c r="BX440" i="3" s="1"/>
  <c r="BX37" i="3"/>
  <c r="P33" i="9"/>
  <c r="P129" i="9" s="1"/>
  <c r="BX362" i="3"/>
  <c r="BX356" i="3"/>
  <c r="AE362" i="2"/>
  <c r="BX363" i="3" s="1"/>
  <c r="AO482" i="3"/>
  <c r="AO158" i="3"/>
  <c r="AO162" i="3" s="1"/>
  <c r="AO159" i="3"/>
  <c r="AO160" i="3" s="1"/>
  <c r="AO161" i="3" s="1"/>
  <c r="AP358" i="3"/>
  <c r="BW159" i="3" l="1"/>
  <c r="AD160" i="2"/>
  <c r="BW158" i="3"/>
  <c r="AD162" i="2"/>
  <c r="BW162" i="3" s="1"/>
  <c r="AP359" i="3"/>
  <c r="AP122" i="3" s="1"/>
  <c r="AO163" i="3"/>
  <c r="AO165" i="3" s="1"/>
  <c r="AO166" i="3" l="1"/>
  <c r="AO267" i="3"/>
  <c r="AD161" i="2"/>
  <c r="BW160" i="3"/>
  <c r="AP360" i="3"/>
  <c r="AP123" i="3"/>
  <c r="AO183" i="3"/>
  <c r="AO139" i="5"/>
  <c r="BW161" i="3" l="1"/>
  <c r="AD163" i="2"/>
  <c r="AO208" i="3"/>
  <c r="AO212" i="3" s="1"/>
  <c r="AO184" i="3"/>
  <c r="BH92" i="9"/>
  <c r="AP125" i="3"/>
  <c r="AP35" i="3"/>
  <c r="BW163" i="3" l="1"/>
  <c r="AD165" i="2"/>
  <c r="AD267" i="2" s="1"/>
  <c r="AP466" i="3"/>
  <c r="AP299" i="3"/>
  <c r="AO95" i="4"/>
  <c r="AO266" i="3"/>
  <c r="AO270" i="3" s="1"/>
  <c r="AO191" i="3"/>
  <c r="AO193" i="3" s="1"/>
  <c r="AO398" i="5"/>
  <c r="AO330" i="5"/>
  <c r="AO225" i="3"/>
  <c r="AO218" i="3"/>
  <c r="AP361" i="3"/>
  <c r="AP37" i="3"/>
  <c r="BW165" i="3" l="1"/>
  <c r="AD112" i="5"/>
  <c r="AD140" i="5" s="1"/>
  <c r="BW267" i="3"/>
  <c r="AD166" i="2"/>
  <c r="BW166" i="3" s="1"/>
  <c r="AD183" i="2"/>
  <c r="AO199" i="3"/>
  <c r="AO195" i="3"/>
  <c r="AO201" i="3"/>
  <c r="AO197" i="3"/>
  <c r="AO200" i="3"/>
  <c r="AO198" i="3"/>
  <c r="AO196" i="3"/>
  <c r="AP440" i="3"/>
  <c r="P92" i="9"/>
  <c r="AO64" i="4"/>
  <c r="AQ65" i="4" s="1"/>
  <c r="AO331" i="5"/>
  <c r="AP362" i="3"/>
  <c r="AO220" i="3"/>
  <c r="AO222" i="3"/>
  <c r="AO221" i="3"/>
  <c r="AC363" i="1" l="1"/>
  <c r="AC364" i="1" s="1"/>
  <c r="BW183" i="3"/>
  <c r="AD208" i="2"/>
  <c r="AC375" i="1"/>
  <c r="AD184" i="2"/>
  <c r="AO223" i="3"/>
  <c r="AO227" i="3" s="1"/>
  <c r="AO322" i="4"/>
  <c r="BT293" i="1"/>
  <c r="O340" i="1"/>
  <c r="AO323" i="4"/>
  <c r="BU293" i="1"/>
  <c r="P340" i="1"/>
  <c r="AO324" i="4"/>
  <c r="Q340" i="1"/>
  <c r="BV293" i="1"/>
  <c r="AO204" i="3"/>
  <c r="AO515" i="3" s="1"/>
  <c r="T340" i="1"/>
  <c r="AQ71" i="4"/>
  <c r="AQ67" i="4"/>
  <c r="AQ68" i="4"/>
  <c r="AQ69" i="4"/>
  <c r="AQ70" i="4"/>
  <c r="AO326" i="4"/>
  <c r="S340" i="1"/>
  <c r="BX293" i="1"/>
  <c r="AO321" i="4"/>
  <c r="AO202" i="3"/>
  <c r="AO203" i="3" s="1"/>
  <c r="AO333" i="5" s="1"/>
  <c r="N340" i="1"/>
  <c r="BS293" i="1"/>
  <c r="AO325" i="4"/>
  <c r="R340" i="1"/>
  <c r="BW293" i="1"/>
  <c r="AO516" i="3" l="1"/>
  <c r="R293" i="1"/>
  <c r="BK293" i="1"/>
  <c r="AO334" i="5"/>
  <c r="AO228" i="3"/>
  <c r="AC378" i="1"/>
  <c r="BW208" i="3"/>
  <c r="AD212" i="2"/>
  <c r="AD85" i="5"/>
  <c r="AD342" i="5" s="1"/>
  <c r="AD94" i="4"/>
  <c r="BW184" i="3"/>
  <c r="AD191" i="2"/>
  <c r="AD266" i="2"/>
  <c r="AD399" i="5"/>
  <c r="AD397" i="5"/>
  <c r="AC374" i="1"/>
  <c r="AC377" i="1" s="1"/>
  <c r="AC367" i="1"/>
  <c r="M340" i="1"/>
  <c r="U340" i="1" s="1"/>
  <c r="BM293" i="1"/>
  <c r="T293" i="1"/>
  <c r="BP293" i="1"/>
  <c r="W293" i="1"/>
  <c r="AO484" i="3"/>
  <c r="AO485" i="3" s="1"/>
  <c r="AO422" i="3"/>
  <c r="AO424" i="3" s="1"/>
  <c r="AO145" i="3"/>
  <c r="AP302" i="3" s="1"/>
  <c r="AO332" i="5"/>
  <c r="X293" i="1"/>
  <c r="BQ293" i="1"/>
  <c r="BN293" i="1"/>
  <c r="U293" i="1"/>
  <c r="BL293" i="1"/>
  <c r="S293" i="1"/>
  <c r="BO293" i="1"/>
  <c r="V293" i="1"/>
  <c r="AQ72" i="4"/>
  <c r="AD271" i="2" l="1"/>
  <c r="AD86" i="4" s="1"/>
  <c r="AD270" i="2"/>
  <c r="AQ74" i="4"/>
  <c r="AQ272" i="3"/>
  <c r="AC382" i="1"/>
  <c r="AC384" i="1" s="1"/>
  <c r="BW266" i="3"/>
  <c r="AD193" i="2"/>
  <c r="BW191" i="3"/>
  <c r="BW212" i="3"/>
  <c r="AD225" i="2"/>
  <c r="BW225" i="3" s="1"/>
  <c r="AD218" i="2"/>
  <c r="AO244" i="3"/>
  <c r="AO245" i="3" s="1"/>
  <c r="AO260" i="3" s="1"/>
  <c r="AO146" i="3"/>
  <c r="AO129" i="5" s="1"/>
  <c r="Z91" i="9"/>
  <c r="AJ91" i="9" s="1"/>
  <c r="AL91" i="9" s="1"/>
  <c r="AO197" i="5"/>
  <c r="AO198" i="5" s="1"/>
  <c r="AO199" i="5" s="1"/>
  <c r="AO200" i="5" s="1"/>
  <c r="AO148" i="3"/>
  <c r="AO229" i="3"/>
  <c r="AO335" i="5" s="1"/>
  <c r="AO425" i="3"/>
  <c r="AQ73" i="4"/>
  <c r="AD220" i="2" l="1"/>
  <c r="AD222" i="2"/>
  <c r="BW222" i="3" s="1"/>
  <c r="AD221" i="2"/>
  <c r="BW221" i="3" s="1"/>
  <c r="BW218" i="3"/>
  <c r="AD199" i="2"/>
  <c r="AD197" i="2"/>
  <c r="AD195" i="2"/>
  <c r="AD201" i="2"/>
  <c r="AD198" i="2"/>
  <c r="AD196" i="2"/>
  <c r="BW193" i="3"/>
  <c r="AD200" i="2"/>
  <c r="BW270" i="3"/>
  <c r="AD86" i="5"/>
  <c r="AD343" i="5" s="1"/>
  <c r="AD88" i="4"/>
  <c r="AD273" i="2" s="1"/>
  <c r="AD32" i="4"/>
  <c r="AF33" i="4" s="1"/>
  <c r="AO248" i="3"/>
  <c r="AP8" i="3"/>
  <c r="AO486" i="3" l="1"/>
  <c r="I329" i="1"/>
  <c r="AD318" i="4"/>
  <c r="P282" i="1" s="1"/>
  <c r="BW200" i="3"/>
  <c r="AD204" i="2"/>
  <c r="J329" i="1"/>
  <c r="BW201" i="3"/>
  <c r="AD223" i="2"/>
  <c r="BW220" i="3"/>
  <c r="D329" i="1"/>
  <c r="AD202" i="2"/>
  <c r="AD313" i="4"/>
  <c r="K282" i="1" s="1"/>
  <c r="BW195" i="3"/>
  <c r="BW196" i="3"/>
  <c r="E329" i="1"/>
  <c r="AD314" i="4"/>
  <c r="L282" i="1" s="1"/>
  <c r="BW197" i="3"/>
  <c r="F329" i="1"/>
  <c r="AD315" i="4"/>
  <c r="M282" i="1" s="1"/>
  <c r="AF58" i="4"/>
  <c r="AF54" i="4"/>
  <c r="AF57" i="4"/>
  <c r="AF55" i="4"/>
  <c r="AF56" i="4"/>
  <c r="BW198" i="3"/>
  <c r="G329" i="1"/>
  <c r="AD316" i="4"/>
  <c r="N282" i="1" s="1"/>
  <c r="H329" i="1"/>
  <c r="AD317" i="4"/>
  <c r="O282" i="1" s="1"/>
  <c r="BW199" i="3"/>
  <c r="AP450" i="3"/>
  <c r="AP447" i="3"/>
  <c r="AP390" i="3"/>
  <c r="AP19" i="3"/>
  <c r="AP84" i="3"/>
  <c r="AP20" i="3"/>
  <c r="F92" i="9"/>
  <c r="K92" i="9" s="1"/>
  <c r="AP373" i="5"/>
  <c r="AO259" i="3"/>
  <c r="BT91" i="9"/>
  <c r="BY91" i="9" s="1"/>
  <c r="AF59" i="4" l="1"/>
  <c r="AF272" i="2" s="1"/>
  <c r="BW223" i="3"/>
  <c r="AD227" i="2"/>
  <c r="AD145" i="2" s="1"/>
  <c r="BW204" i="3"/>
  <c r="AD515" i="2"/>
  <c r="BW515" i="3" s="1"/>
  <c r="AC394" i="1"/>
  <c r="BW202" i="3"/>
  <c r="AC370" i="1"/>
  <c r="AD87" i="5"/>
  <c r="AD344" i="5" s="1"/>
  <c r="AD203" i="2"/>
  <c r="C329" i="1"/>
  <c r="AO261" i="3"/>
  <c r="AO369" i="5"/>
  <c r="AP232" i="3"/>
  <c r="AP190" i="5"/>
  <c r="AP365" i="5"/>
  <c r="AP393" i="3"/>
  <c r="AP391" i="3"/>
  <c r="AP392" i="3"/>
  <c r="AP394" i="3"/>
  <c r="AP238" i="3"/>
  <c r="AP85" i="3"/>
  <c r="AP195" i="5"/>
  <c r="AF61" i="4" l="1"/>
  <c r="AF60" i="4"/>
  <c r="K329" i="1"/>
  <c r="BW203" i="3"/>
  <c r="J282" i="1"/>
  <c r="AD88" i="5"/>
  <c r="AD516" i="2"/>
  <c r="AE302" i="2"/>
  <c r="BX302" i="3" s="1"/>
  <c r="Z32" i="9"/>
  <c r="AD244" i="2"/>
  <c r="AD146" i="2"/>
  <c r="AD17" i="5"/>
  <c r="AD148" i="2"/>
  <c r="BW145" i="3"/>
  <c r="AD229" i="2"/>
  <c r="AD484" i="2"/>
  <c r="BW227" i="3"/>
  <c r="AC371" i="1"/>
  <c r="AC372" i="1" s="1"/>
  <c r="AD89" i="5"/>
  <c r="AD345" i="5" s="1"/>
  <c r="AC393" i="1"/>
  <c r="AC385" i="1"/>
  <c r="AC386" i="1" s="1"/>
  <c r="AD228" i="2"/>
  <c r="BW228" i="3" s="1"/>
  <c r="AD422" i="2"/>
  <c r="AO393" i="5"/>
  <c r="AP470" i="3"/>
  <c r="AP290" i="3"/>
  <c r="AP287" i="3"/>
  <c r="AP395" i="3"/>
  <c r="AP240" i="3"/>
  <c r="AD92" i="9"/>
  <c r="AP303" i="3" l="1"/>
  <c r="BW516" i="3"/>
  <c r="AD384" i="5"/>
  <c r="BW229" i="3"/>
  <c r="AD90" i="5"/>
  <c r="AD346" i="5" s="1"/>
  <c r="BW148" i="3"/>
  <c r="AD248" i="2"/>
  <c r="AE8" i="2"/>
  <c r="Z128" i="9"/>
  <c r="AJ32" i="9"/>
  <c r="AL32" i="9" s="1"/>
  <c r="BW422" i="3"/>
  <c r="AD424" i="2"/>
  <c r="BW424" i="3" s="1"/>
  <c r="BW146" i="3"/>
  <c r="AD109" i="5"/>
  <c r="AD245" i="2"/>
  <c r="BW244" i="3"/>
  <c r="BW484" i="3"/>
  <c r="AD485" i="2"/>
  <c r="AD18" i="5"/>
  <c r="AD213" i="5"/>
  <c r="AI92" i="9"/>
  <c r="AP405" i="3"/>
  <c r="AP396" i="3"/>
  <c r="AP95" i="3" l="1"/>
  <c r="AP457" i="3" s="1"/>
  <c r="AD214" i="5"/>
  <c r="AD19" i="5"/>
  <c r="AE390" i="2"/>
  <c r="AE20" i="2"/>
  <c r="AD389" i="1"/>
  <c r="AE19" i="2"/>
  <c r="I283" i="1"/>
  <c r="AD486" i="2"/>
  <c r="BW486" i="3" s="1"/>
  <c r="AE450" i="2"/>
  <c r="F33" i="9"/>
  <c r="AE372" i="5"/>
  <c r="AE374" i="5" s="1"/>
  <c r="BX8" i="3"/>
  <c r="AE84" i="2"/>
  <c r="AE447" i="2"/>
  <c r="AD260" i="2"/>
  <c r="BW245" i="3"/>
  <c r="BW485" i="3"/>
  <c r="AD425" i="2"/>
  <c r="BW425" i="3" s="1"/>
  <c r="AC373" i="1"/>
  <c r="BW248" i="3"/>
  <c r="AD259" i="2"/>
  <c r="BT32" i="9"/>
  <c r="AL128" i="9"/>
  <c r="AJ128" i="9"/>
  <c r="AQ9" i="3"/>
  <c r="AQ93" i="3" s="1"/>
  <c r="AQ94" i="3" s="1"/>
  <c r="AP249" i="3" l="1"/>
  <c r="AQ92" i="9"/>
  <c r="AT92" i="9" s="1"/>
  <c r="AP103" i="3"/>
  <c r="AP116" i="3" s="1"/>
  <c r="AQ12" i="3" s="1"/>
  <c r="AP320" i="3"/>
  <c r="AP321" i="3" s="1"/>
  <c r="AQ306" i="3" s="1"/>
  <c r="AQ308" i="3"/>
  <c r="AQ293" i="3"/>
  <c r="AQ405" i="5"/>
  <c r="AQ406" i="5" s="1"/>
  <c r="AQ408" i="5" s="1"/>
  <c r="AN93" i="9"/>
  <c r="AQ380" i="5"/>
  <c r="AQ456" i="3"/>
  <c r="BY32" i="9"/>
  <c r="BY128" i="9" s="1"/>
  <c r="BT128" i="9"/>
  <c r="AD368" i="5"/>
  <c r="AD370" i="5" s="1"/>
  <c r="AD144" i="5" s="1"/>
  <c r="BW259" i="3"/>
  <c r="AE392" i="2"/>
  <c r="AE391" i="2"/>
  <c r="BX390" i="3"/>
  <c r="AE393" i="2"/>
  <c r="AE394" i="2"/>
  <c r="BX447" i="3"/>
  <c r="F129" i="9"/>
  <c r="K33" i="9"/>
  <c r="AE232" i="2"/>
  <c r="BX232" i="3" s="1"/>
  <c r="BX19" i="3"/>
  <c r="AE10" i="5"/>
  <c r="AE206" i="5" s="1"/>
  <c r="AD261" i="2"/>
  <c r="BW261" i="3" s="1"/>
  <c r="AE364" i="5"/>
  <c r="AE366" i="5" s="1"/>
  <c r="AD215" i="5"/>
  <c r="AD20" i="5"/>
  <c r="BW260" i="3"/>
  <c r="AE15" i="5"/>
  <c r="AE212" i="5" s="1"/>
  <c r="AE85" i="2"/>
  <c r="BX84" i="3"/>
  <c r="AE238" i="2"/>
  <c r="BX450" i="3"/>
  <c r="AQ489" i="3"/>
  <c r="AQ96" i="3"/>
  <c r="AR92" i="3"/>
  <c r="AP331" i="3"/>
  <c r="AP332" i="3" s="1"/>
  <c r="AQ324" i="3" s="1"/>
  <c r="AP501" i="3"/>
  <c r="AP503" i="3" s="1"/>
  <c r="AP505" i="3" s="1"/>
  <c r="AP506" i="3" s="1"/>
  <c r="AP175" i="3"/>
  <c r="AP281" i="3" s="1"/>
  <c r="AP117" i="3" l="1"/>
  <c r="AP348" i="3" s="1"/>
  <c r="AP350" i="3" s="1"/>
  <c r="AQ336" i="3" s="1"/>
  <c r="AW92" i="9"/>
  <c r="AY92" i="9" s="1"/>
  <c r="AQ10" i="3"/>
  <c r="AP347" i="3"/>
  <c r="AP349" i="3" s="1"/>
  <c r="AQ335" i="3" s="1"/>
  <c r="AP250" i="3"/>
  <c r="AP251" i="3" s="1"/>
  <c r="BU92" i="9" s="1"/>
  <c r="AP461" i="3"/>
  <c r="AP252" i="3"/>
  <c r="BB92" i="9"/>
  <c r="BC92" i="9" s="1"/>
  <c r="AQ309" i="3"/>
  <c r="K129" i="9"/>
  <c r="AQ11" i="3"/>
  <c r="G93" i="9" s="1"/>
  <c r="AQ100" i="3"/>
  <c r="AQ102" i="3" s="1"/>
  <c r="AD262" i="2"/>
  <c r="AD33" i="9"/>
  <c r="AD129" i="9" s="1"/>
  <c r="AE240" i="2"/>
  <c r="BX238" i="3"/>
  <c r="BX393" i="3"/>
  <c r="AE290" i="2"/>
  <c r="BX290" i="3" s="1"/>
  <c r="BX85" i="3"/>
  <c r="AE470" i="2"/>
  <c r="BX470" i="3" s="1"/>
  <c r="AE287" i="2"/>
  <c r="BX391" i="3"/>
  <c r="AE395" i="2"/>
  <c r="BX394" i="3"/>
  <c r="BX392" i="3"/>
  <c r="AQ310" i="3"/>
  <c r="AR93" i="9"/>
  <c r="AE93" i="9"/>
  <c r="AQ491" i="3"/>
  <c r="AQ493" i="3" s="1"/>
  <c r="AQ32" i="3"/>
  <c r="AQ29" i="3"/>
  <c r="AQ339" i="3"/>
  <c r="AQ113" i="3" s="1"/>
  <c r="AQ13" i="3" l="1"/>
  <c r="AQ14" i="3" s="1"/>
  <c r="H93" i="9" s="1"/>
  <c r="BF92" i="9"/>
  <c r="BG92" i="9" s="1"/>
  <c r="AP118" i="3"/>
  <c r="AP126" i="3" s="1"/>
  <c r="AP253" i="3"/>
  <c r="AP254" i="3" s="1"/>
  <c r="BV92" i="9" s="1"/>
  <c r="AP508" i="3"/>
  <c r="AP510" i="3" s="1"/>
  <c r="AP512" i="3" s="1"/>
  <c r="AP513" i="3" s="1"/>
  <c r="AQ326" i="3"/>
  <c r="AQ327" i="3" s="1"/>
  <c r="AQ99" i="3" s="1"/>
  <c r="AQ30" i="3" s="1"/>
  <c r="AQ31" i="3" s="1"/>
  <c r="AQ296" i="3"/>
  <c r="AU93" i="9"/>
  <c r="AQ381" i="5"/>
  <c r="AQ502" i="3"/>
  <c r="AQ460" i="3"/>
  <c r="AQ382" i="5"/>
  <c r="AQ176" i="3"/>
  <c r="AE396" i="2"/>
  <c r="BX396" i="3" s="1"/>
  <c r="AE405" i="2"/>
  <c r="BX405" i="3" s="1"/>
  <c r="BX395" i="3"/>
  <c r="BX240" i="3"/>
  <c r="AI33" i="9"/>
  <c r="AI129" i="9" s="1"/>
  <c r="BX287" i="3"/>
  <c r="AE303" i="2"/>
  <c r="AQ494" i="3"/>
  <c r="AQ496" i="3" s="1"/>
  <c r="AQ497" i="3" s="1"/>
  <c r="AQ498" i="3" s="1"/>
  <c r="AQ33" i="3"/>
  <c r="AQ344" i="3" s="1"/>
  <c r="AQ317" i="3"/>
  <c r="AQ319" i="3" s="1"/>
  <c r="AQ340" i="3"/>
  <c r="AQ114" i="3" s="1"/>
  <c r="AQ115" i="3" s="1"/>
  <c r="AQ341" i="3"/>
  <c r="BA93" i="9"/>
  <c r="AP464" i="3"/>
  <c r="AP177" i="3"/>
  <c r="AP282" i="3" s="1"/>
  <c r="AP284" i="3" s="1"/>
  <c r="AQ343" i="3"/>
  <c r="AV93" i="9" l="1"/>
  <c r="AR101" i="3"/>
  <c r="AQ328" i="3"/>
  <c r="AQ295" i="3"/>
  <c r="AQ459" i="3"/>
  <c r="BX303" i="3"/>
  <c r="AE95" i="2"/>
  <c r="AQ34" i="3"/>
  <c r="O93" i="9" s="1"/>
  <c r="AQ462" i="3"/>
  <c r="AQ298" i="3"/>
  <c r="AP467" i="3"/>
  <c r="AP472" i="3" s="1"/>
  <c r="AP363" i="3"/>
  <c r="AP364" i="3" s="1"/>
  <c r="AQ353" i="3" s="1"/>
  <c r="BI92" i="9"/>
  <c r="BL92" i="9" s="1"/>
  <c r="BR92" i="9" s="1"/>
  <c r="AQ15" i="3"/>
  <c r="AP255" i="3"/>
  <c r="AP257" i="3" s="1"/>
  <c r="BW92" i="9" s="1"/>
  <c r="N93" i="9"/>
  <c r="AQ329" i="3"/>
  <c r="AQ345" i="3"/>
  <c r="AQ342" i="3"/>
  <c r="AQ346" i="3" s="1"/>
  <c r="BE93" i="9"/>
  <c r="AQ330" i="3" l="1"/>
  <c r="AQ439" i="3"/>
  <c r="AP28" i="3"/>
  <c r="AP169" i="3" s="1"/>
  <c r="AP401" i="3"/>
  <c r="AP410" i="3" s="1"/>
  <c r="AP417" i="3" s="1"/>
  <c r="AP170" i="3" s="1"/>
  <c r="AP400" i="3"/>
  <c r="AP409" i="3" s="1"/>
  <c r="AP416" i="3" s="1"/>
  <c r="AP399" i="3"/>
  <c r="AP402" i="3"/>
  <c r="AP411" i="3" s="1"/>
  <c r="AP418" i="3" s="1"/>
  <c r="AE103" i="2"/>
  <c r="AE175" i="2" s="1"/>
  <c r="AQ33" i="9"/>
  <c r="AE320" i="2"/>
  <c r="BX95" i="3"/>
  <c r="AE249" i="2"/>
  <c r="AF9" i="2"/>
  <c r="AE457" i="2"/>
  <c r="AQ127" i="3"/>
  <c r="AQ17" i="3"/>
  <c r="I93" i="9" s="1"/>
  <c r="AP474" i="3"/>
  <c r="AP241" i="3" l="1"/>
  <c r="AP392" i="5"/>
  <c r="AP71" i="3"/>
  <c r="AP387" i="5" s="1"/>
  <c r="AP438" i="3"/>
  <c r="AP444" i="3" s="1"/>
  <c r="AP191" i="5"/>
  <c r="M92" i="9"/>
  <c r="W92" i="9" s="1"/>
  <c r="AP139" i="3"/>
  <c r="AP408" i="3"/>
  <c r="AP403" i="3"/>
  <c r="AP268" i="3"/>
  <c r="AP210" i="3"/>
  <c r="AE116" i="2"/>
  <c r="AF12" i="2" s="1"/>
  <c r="BX175" i="3"/>
  <c r="AE281" i="2"/>
  <c r="BX457" i="3"/>
  <c r="BY9" i="3"/>
  <c r="AF93" i="2"/>
  <c r="AF489" i="2"/>
  <c r="AF96" i="2"/>
  <c r="BX320" i="3"/>
  <c r="AE321" i="2"/>
  <c r="BX249" i="3"/>
  <c r="AT33" i="9"/>
  <c r="AQ129" i="9"/>
  <c r="BX103" i="3"/>
  <c r="AE501" i="2"/>
  <c r="AE461" i="2"/>
  <c r="BX461" i="3" s="1"/>
  <c r="AF10" i="2"/>
  <c r="AF11" i="2" s="1"/>
  <c r="AE331" i="2"/>
  <c r="AE250" i="2"/>
  <c r="BX250" i="3" s="1"/>
  <c r="AW33" i="9"/>
  <c r="AP476" i="3"/>
  <c r="AP478" i="3" s="1"/>
  <c r="AQ355" i="3"/>
  <c r="AG93" i="9"/>
  <c r="BK93" i="9"/>
  <c r="AP171" i="3"/>
  <c r="AP182" i="3" s="1"/>
  <c r="AP192" i="3"/>
  <c r="AP412" i="3" l="1"/>
  <c r="AP415" i="3"/>
  <c r="AP419" i="3" s="1"/>
  <c r="AE252" i="2"/>
  <c r="BX252" i="3" s="1"/>
  <c r="AE347" i="2"/>
  <c r="AE349" i="2" s="1"/>
  <c r="BX116" i="3"/>
  <c r="BB33" i="9"/>
  <c r="BC33" i="9" s="1"/>
  <c r="BC129" i="9" s="1"/>
  <c r="AE117" i="2"/>
  <c r="AE253" i="2" s="1"/>
  <c r="G34" i="9"/>
  <c r="G130" i="9" s="1"/>
  <c r="BY11" i="3"/>
  <c r="AY33" i="9"/>
  <c r="AY129" i="9" s="1"/>
  <c r="AW129" i="9"/>
  <c r="AT129" i="9"/>
  <c r="BY93" i="3"/>
  <c r="AF94" i="2"/>
  <c r="BX501" i="3"/>
  <c r="AE503" i="2"/>
  <c r="AE251" i="2"/>
  <c r="BX331" i="3"/>
  <c r="AE332" i="2"/>
  <c r="BX321" i="3"/>
  <c r="AF306" i="2"/>
  <c r="H283" i="1"/>
  <c r="A284" i="1" s="1"/>
  <c r="AE34" i="9"/>
  <c r="AE130" i="9" s="1"/>
  <c r="AR34" i="9"/>
  <c r="AR130" i="9" s="1"/>
  <c r="BY96" i="3"/>
  <c r="AF310" i="2"/>
  <c r="BY310" i="3" s="1"/>
  <c r="BX281" i="3"/>
  <c r="AF110" i="2"/>
  <c r="AF32" i="2" s="1"/>
  <c r="BY12" i="3"/>
  <c r="AF100" i="2"/>
  <c r="BY10" i="3"/>
  <c r="BX348" i="3"/>
  <c r="BY489" i="3"/>
  <c r="AP207" i="3"/>
  <c r="AP153" i="3"/>
  <c r="AP154" i="3" s="1"/>
  <c r="AP156" i="3" s="1"/>
  <c r="AQ357" i="3"/>
  <c r="AP480" i="3"/>
  <c r="AP413" i="3"/>
  <c r="AE508" i="2" l="1"/>
  <c r="BX508" i="3" s="1"/>
  <c r="AE118" i="2"/>
  <c r="AE126" i="2" s="1"/>
  <c r="AE135" i="2" s="1"/>
  <c r="BX117" i="3"/>
  <c r="BF33" i="9"/>
  <c r="BG33" i="9" s="1"/>
  <c r="BG129" i="9" s="1"/>
  <c r="BB129" i="9"/>
  <c r="BX253" i="3"/>
  <c r="AE254" i="2"/>
  <c r="BV33" i="9" s="1"/>
  <c r="BV129" i="9" s="1"/>
  <c r="AF13" i="2"/>
  <c r="AF14" i="2" s="1"/>
  <c r="H34" i="9" s="1"/>
  <c r="H130" i="9" s="1"/>
  <c r="AE348" i="2"/>
  <c r="BX349" i="3" s="1"/>
  <c r="BY32" i="3"/>
  <c r="AF343" i="2"/>
  <c r="BY344" i="3" s="1"/>
  <c r="BU33" i="9"/>
  <c r="BU129" i="9" s="1"/>
  <c r="BX251" i="3"/>
  <c r="AE177" i="2"/>
  <c r="BX118" i="3"/>
  <c r="AE464" i="2"/>
  <c r="AE505" i="2"/>
  <c r="BX503" i="3"/>
  <c r="BX350" i="3"/>
  <c r="AF335" i="2"/>
  <c r="BY110" i="3"/>
  <c r="AZ34" i="9"/>
  <c r="AZ130" i="9" s="1"/>
  <c r="AF337" i="2"/>
  <c r="BY338" i="3" s="1"/>
  <c r="AF324" i="2"/>
  <c r="BX332" i="3"/>
  <c r="BY100" i="3"/>
  <c r="AF102" i="2"/>
  <c r="AF379" i="5" s="1"/>
  <c r="AF383" i="5" s="1"/>
  <c r="BY306" i="3"/>
  <c r="BY94" i="3"/>
  <c r="AF491" i="2"/>
  <c r="AF456" i="2"/>
  <c r="BY456" i="3" s="1"/>
  <c r="AF377" i="5"/>
  <c r="AF308" i="2"/>
  <c r="BY308" i="3" s="1"/>
  <c r="AN34" i="9"/>
  <c r="AN130" i="9" s="1"/>
  <c r="AF293" i="2"/>
  <c r="BY293" i="3" s="1"/>
  <c r="AG92" i="2"/>
  <c r="BZ92" i="3" s="1"/>
  <c r="AF29" i="2"/>
  <c r="CJ357" i="3"/>
  <c r="AQ121" i="3"/>
  <c r="AP159" i="3"/>
  <c r="AP160" i="3" s="1"/>
  <c r="AP161" i="3" s="1"/>
  <c r="AP158" i="3"/>
  <c r="AP162" i="3" s="1"/>
  <c r="AP481" i="3"/>
  <c r="AP420" i="3"/>
  <c r="BF129" i="9" l="1"/>
  <c r="AE510" i="2"/>
  <c r="BX510" i="3" s="1"/>
  <c r="AE350" i="2"/>
  <c r="AF336" i="2" s="1"/>
  <c r="BY337" i="3" s="1"/>
  <c r="BY13" i="3"/>
  <c r="BY14" i="3"/>
  <c r="BX254" i="3"/>
  <c r="AF111" i="2"/>
  <c r="AF112" i="2" s="1"/>
  <c r="BY112" i="3" s="1"/>
  <c r="AF176" i="2"/>
  <c r="BY176" i="3" s="1"/>
  <c r="BO33" i="9"/>
  <c r="AE258" i="2"/>
  <c r="AE382" i="2"/>
  <c r="AE469" i="2"/>
  <c r="BX469" i="3" s="1"/>
  <c r="BX135" i="3"/>
  <c r="AF18" i="2"/>
  <c r="AF317" i="2"/>
  <c r="BY317" i="3" s="1"/>
  <c r="BY29" i="3"/>
  <c r="BY491" i="3"/>
  <c r="AF493" i="2"/>
  <c r="AF494" i="2"/>
  <c r="BY494" i="3" s="1"/>
  <c r="AF309" i="2"/>
  <c r="AF339" i="2"/>
  <c r="BY336" i="3"/>
  <c r="BY335" i="3"/>
  <c r="BX464" i="3"/>
  <c r="AF313" i="2"/>
  <c r="AF502" i="2"/>
  <c r="BY502" i="3" s="1"/>
  <c r="AU34" i="9"/>
  <c r="AU130" i="9" s="1"/>
  <c r="AF326" i="2"/>
  <c r="BY326" i="3" s="1"/>
  <c r="AF460" i="2"/>
  <c r="BY460" i="3" s="1"/>
  <c r="AF296" i="2"/>
  <c r="BY296" i="3" s="1"/>
  <c r="AF378" i="5"/>
  <c r="BY102" i="3"/>
  <c r="AE506" i="2"/>
  <c r="BX505" i="3"/>
  <c r="AE512" i="2"/>
  <c r="AE282" i="2"/>
  <c r="BX177" i="3"/>
  <c r="BY324" i="3"/>
  <c r="AE363" i="2"/>
  <c r="BI33" i="9"/>
  <c r="AF15" i="2"/>
  <c r="AE467" i="2"/>
  <c r="BX467" i="3" s="1"/>
  <c r="BX126" i="3"/>
  <c r="AE255" i="2"/>
  <c r="AP482" i="3"/>
  <c r="AP163" i="3"/>
  <c r="AP165" i="3" s="1"/>
  <c r="AQ358" i="3"/>
  <c r="AP166" i="3" l="1"/>
  <c r="AP267" i="3"/>
  <c r="AF509" i="2"/>
  <c r="E509" i="2" s="1"/>
  <c r="AF463" i="2"/>
  <c r="BY463" i="3" s="1"/>
  <c r="E111" i="2"/>
  <c r="AV111" i="2" s="1"/>
  <c r="BY111" i="3"/>
  <c r="BD34" i="9"/>
  <c r="BD48" i="9" s="1"/>
  <c r="AF319" i="2"/>
  <c r="BY319" i="3" s="1"/>
  <c r="AF33" i="2"/>
  <c r="AF34" i="2" s="1"/>
  <c r="AF327" i="2"/>
  <c r="BY327" i="3" s="1"/>
  <c r="AF338" i="2"/>
  <c r="BY339" i="3" s="1"/>
  <c r="AF297" i="2"/>
  <c r="BY297" i="3" s="1"/>
  <c r="AF178" i="2"/>
  <c r="BY178" i="3" s="1"/>
  <c r="AE364" i="2"/>
  <c r="AF353" i="2" s="1"/>
  <c r="BX364" i="3"/>
  <c r="AE472" i="2"/>
  <c r="BY493" i="3"/>
  <c r="AF496" i="2"/>
  <c r="AE513" i="2"/>
  <c r="BX512" i="3"/>
  <c r="BY340" i="3"/>
  <c r="AF113" i="2"/>
  <c r="AE383" i="2"/>
  <c r="BX382" i="3"/>
  <c r="BY309" i="3"/>
  <c r="AE390" i="1"/>
  <c r="J34" i="9"/>
  <c r="J130" i="9" s="1"/>
  <c r="E284" i="1"/>
  <c r="BY18" i="3"/>
  <c r="AF38" i="2"/>
  <c r="BX33" i="9"/>
  <c r="BX129" i="9" s="1"/>
  <c r="BX258" i="3"/>
  <c r="AE175" i="5"/>
  <c r="AF127" i="2"/>
  <c r="BY15" i="3"/>
  <c r="AF17" i="2"/>
  <c r="BX255" i="3"/>
  <c r="AE257" i="2"/>
  <c r="BL33" i="9"/>
  <c r="BI129" i="9"/>
  <c r="BX282" i="3"/>
  <c r="AE284" i="2"/>
  <c r="AE474" i="2"/>
  <c r="BP33" i="9"/>
  <c r="BP129" i="9" s="1"/>
  <c r="BO129" i="9"/>
  <c r="AQ359" i="3"/>
  <c r="AQ122" i="3" s="1"/>
  <c r="AP183" i="3"/>
  <c r="AP139" i="5"/>
  <c r="AU111" i="3" l="1"/>
  <c r="AV111" i="3" s="1"/>
  <c r="BY509" i="3"/>
  <c r="E338" i="2"/>
  <c r="AF340" i="2"/>
  <c r="BY341" i="3" s="1"/>
  <c r="BD130" i="9"/>
  <c r="BD144" i="9" s="1"/>
  <c r="AF99" i="2"/>
  <c r="AF30" i="2" s="1"/>
  <c r="AF344" i="2"/>
  <c r="BY345" i="3" s="1"/>
  <c r="BY33" i="3"/>
  <c r="AE357" i="1"/>
  <c r="BY127" i="3"/>
  <c r="BK34" i="9"/>
  <c r="BK130" i="9" s="1"/>
  <c r="AF355" i="2"/>
  <c r="BY355" i="3" s="1"/>
  <c r="AG34" i="9"/>
  <c r="AG130" i="9" s="1"/>
  <c r="AF379" i="2"/>
  <c r="BY379" i="3" s="1"/>
  <c r="BY38" i="3"/>
  <c r="Q34" i="9"/>
  <c r="Q130" i="9" s="1"/>
  <c r="AF173" i="5"/>
  <c r="BX383" i="3"/>
  <c r="AF377" i="2"/>
  <c r="BX472" i="3"/>
  <c r="AE28" i="2"/>
  <c r="AE399" i="2"/>
  <c r="AE400" i="2"/>
  <c r="AE402" i="2"/>
  <c r="AE401" i="2"/>
  <c r="BY113" i="3"/>
  <c r="AF341" i="2"/>
  <c r="BA34" i="9"/>
  <c r="BA130" i="9" s="1"/>
  <c r="BX474" i="3"/>
  <c r="AE476" i="2"/>
  <c r="BL129" i="9"/>
  <c r="BR33" i="9"/>
  <c r="BR129" i="9" s="1"/>
  <c r="BY17" i="3"/>
  <c r="I34" i="9"/>
  <c r="I130" i="9" s="1"/>
  <c r="AU338" i="3"/>
  <c r="AV338" i="3" s="1"/>
  <c r="AV338" i="2"/>
  <c r="BY496" i="3"/>
  <c r="AF497" i="2"/>
  <c r="AE391" i="1"/>
  <c r="BY353" i="3"/>
  <c r="BX284" i="3"/>
  <c r="AD359" i="1"/>
  <c r="BW33" i="9"/>
  <c r="BW129" i="9" s="1"/>
  <c r="BX257" i="3"/>
  <c r="BY34" i="3"/>
  <c r="O34" i="9"/>
  <c r="O130" i="9" s="1"/>
  <c r="AQ360" i="3"/>
  <c r="AQ123" i="3"/>
  <c r="AP208" i="3"/>
  <c r="AP212" i="3" s="1"/>
  <c r="AP184" i="3"/>
  <c r="AF114" i="2" l="1"/>
  <c r="BE34" i="9" s="1"/>
  <c r="BE130" i="9" s="1"/>
  <c r="BY99" i="3"/>
  <c r="AF295" i="2"/>
  <c r="BY295" i="3" s="1"/>
  <c r="AG101" i="2"/>
  <c r="BZ101" i="3" s="1"/>
  <c r="AV34" i="9"/>
  <c r="AV130" i="9" s="1"/>
  <c r="AF459" i="2"/>
  <c r="BY459" i="3" s="1"/>
  <c r="AF328" i="2"/>
  <c r="AF357" i="2"/>
  <c r="AF121" i="2" s="1"/>
  <c r="BX401" i="3"/>
  <c r="AE410" i="2"/>
  <c r="AE438" i="2"/>
  <c r="AE139" i="2"/>
  <c r="BX139" i="3" s="1"/>
  <c r="AE390" i="5"/>
  <c r="AE241" i="2"/>
  <c r="BX241" i="3" s="1"/>
  <c r="AE11" i="5"/>
  <c r="AE207" i="5" s="1"/>
  <c r="BX28" i="3"/>
  <c r="AE71" i="2"/>
  <c r="AE169" i="2"/>
  <c r="M33" i="9"/>
  <c r="BY497" i="3"/>
  <c r="AF498" i="2"/>
  <c r="BY498" i="3" s="1"/>
  <c r="BY328" i="3"/>
  <c r="BX402" i="3"/>
  <c r="AE411" i="2"/>
  <c r="BY342" i="3"/>
  <c r="AF345" i="2"/>
  <c r="BY346" i="3" s="1"/>
  <c r="AF329" i="2"/>
  <c r="BY329" i="3" s="1"/>
  <c r="BY30" i="3"/>
  <c r="AF31" i="2"/>
  <c r="BX400" i="3"/>
  <c r="AE409" i="2"/>
  <c r="BY377" i="3"/>
  <c r="AF381" i="2"/>
  <c r="BY381" i="3" s="1"/>
  <c r="BX476" i="3"/>
  <c r="AE478" i="2"/>
  <c r="AF115" i="2"/>
  <c r="AE403" i="2"/>
  <c r="BX403" i="3" s="1"/>
  <c r="BX399" i="3"/>
  <c r="AE408" i="2"/>
  <c r="AP225" i="3"/>
  <c r="AP218" i="3"/>
  <c r="AP95" i="4"/>
  <c r="AP266" i="3"/>
  <c r="AP270" i="3" s="1"/>
  <c r="AP191" i="3"/>
  <c r="AP193" i="3" s="1"/>
  <c r="AP330" i="5"/>
  <c r="AP398" i="5"/>
  <c r="AQ125" i="3"/>
  <c r="BH93" i="9"/>
  <c r="AQ35" i="3"/>
  <c r="AF342" i="2" l="1"/>
  <c r="BY114" i="3"/>
  <c r="BY358" i="3"/>
  <c r="AF439" i="2"/>
  <c r="BY439" i="3" s="1"/>
  <c r="N34" i="9"/>
  <c r="N130" i="9" s="1"/>
  <c r="BY31" i="3"/>
  <c r="AF462" i="2"/>
  <c r="BY462" i="3" s="1"/>
  <c r="AF298" i="2"/>
  <c r="BY298" i="3" s="1"/>
  <c r="BY115" i="3"/>
  <c r="AF330" i="2"/>
  <c r="BY330" i="3" s="1"/>
  <c r="M129" i="9"/>
  <c r="W33" i="9"/>
  <c r="AE444" i="2"/>
  <c r="BX444" i="3" s="1"/>
  <c r="BX438" i="3"/>
  <c r="AE412" i="2"/>
  <c r="BX412" i="3" s="1"/>
  <c r="BX408" i="3"/>
  <c r="AE415" i="2"/>
  <c r="BX478" i="3"/>
  <c r="AE480" i="2"/>
  <c r="BX409" i="3"/>
  <c r="AE416" i="2"/>
  <c r="BX416" i="3" s="1"/>
  <c r="BY121" i="3"/>
  <c r="AF358" i="2"/>
  <c r="AD354" i="1"/>
  <c r="BX169" i="3"/>
  <c r="BX410" i="3"/>
  <c r="AE417" i="2"/>
  <c r="AE418" i="2"/>
  <c r="BX418" i="3" s="1"/>
  <c r="BX411" i="3"/>
  <c r="BY343" i="3"/>
  <c r="AF346" i="2"/>
  <c r="BY347" i="3" s="1"/>
  <c r="AD368" i="1"/>
  <c r="BX71" i="3"/>
  <c r="AE386" i="5"/>
  <c r="AE388" i="5" s="1"/>
  <c r="AE391" i="5"/>
  <c r="AE395" i="5" s="1"/>
  <c r="AE394" i="5"/>
  <c r="AQ361" i="3"/>
  <c r="AQ37" i="3"/>
  <c r="AQ466" i="3"/>
  <c r="AQ299" i="3"/>
  <c r="AP198" i="3"/>
  <c r="AP200" i="3"/>
  <c r="AP196" i="3"/>
  <c r="AP201" i="3"/>
  <c r="AP195" i="3"/>
  <c r="AP197" i="3"/>
  <c r="AP199" i="3"/>
  <c r="AP64" i="4"/>
  <c r="AR65" i="4" s="1"/>
  <c r="AP331" i="5"/>
  <c r="AP222" i="3"/>
  <c r="AP221" i="3"/>
  <c r="AP220" i="3"/>
  <c r="W129" i="9" l="1"/>
  <c r="AE170" i="2"/>
  <c r="BX417" i="3"/>
  <c r="AE481" i="2"/>
  <c r="BX480" i="3"/>
  <c r="AE419" i="2"/>
  <c r="BX415" i="3"/>
  <c r="BY359" i="3"/>
  <c r="AF359" i="2"/>
  <c r="AE413" i="2"/>
  <c r="AP223" i="3"/>
  <c r="AP227" i="3" s="1"/>
  <c r="AP321" i="4"/>
  <c r="AP202" i="3"/>
  <c r="AP203" i="3" s="1"/>
  <c r="AP333" i="5" s="1"/>
  <c r="BS294" i="1"/>
  <c r="N341" i="1"/>
  <c r="AR70" i="4"/>
  <c r="AR69" i="4"/>
  <c r="AR67" i="4"/>
  <c r="AR71" i="4"/>
  <c r="AR68" i="4"/>
  <c r="AP204" i="3"/>
  <c r="AP515" i="3" s="1"/>
  <c r="T341" i="1"/>
  <c r="AP324" i="4"/>
  <c r="BV294" i="1"/>
  <c r="Q341" i="1"/>
  <c r="AP326" i="4"/>
  <c r="S341" i="1"/>
  <c r="BX294" i="1"/>
  <c r="AP325" i="4"/>
  <c r="BW294" i="1"/>
  <c r="R341" i="1"/>
  <c r="AP322" i="4"/>
  <c r="O341" i="1"/>
  <c r="BT294" i="1"/>
  <c r="AQ440" i="3"/>
  <c r="P93" i="9"/>
  <c r="AP323" i="4"/>
  <c r="BU294" i="1"/>
  <c r="P341" i="1"/>
  <c r="AQ362" i="3"/>
  <c r="BK294" i="1" l="1"/>
  <c r="R294" i="1"/>
  <c r="AP334" i="5"/>
  <c r="AP228" i="3"/>
  <c r="AP516" i="3"/>
  <c r="AF122" i="2"/>
  <c r="BY360" i="3"/>
  <c r="BX481" i="3"/>
  <c r="AE482" i="2"/>
  <c r="BX482" i="3" s="1"/>
  <c r="AE420" i="2"/>
  <c r="BX420" i="3" s="1"/>
  <c r="BX419" i="3"/>
  <c r="AE268" i="2"/>
  <c r="BX268" i="3" s="1"/>
  <c r="AD355" i="1"/>
  <c r="BX170" i="3"/>
  <c r="AE210" i="2"/>
  <c r="AE171" i="2"/>
  <c r="AE192" i="2"/>
  <c r="BQ294" i="1"/>
  <c r="X294" i="1"/>
  <c r="AR72" i="4"/>
  <c r="BP294" i="1"/>
  <c r="W294" i="1"/>
  <c r="AP484" i="3"/>
  <c r="AP485" i="3" s="1"/>
  <c r="AP422" i="3"/>
  <c r="AP424" i="3" s="1"/>
  <c r="AP145" i="3"/>
  <c r="AQ302" i="3" s="1"/>
  <c r="AP332" i="5"/>
  <c r="BM294" i="1"/>
  <c r="T294" i="1"/>
  <c r="BL294" i="1"/>
  <c r="S294" i="1"/>
  <c r="BN294" i="1"/>
  <c r="U294" i="1"/>
  <c r="V294" i="1"/>
  <c r="BO294" i="1"/>
  <c r="M341" i="1"/>
  <c r="U341" i="1" s="1"/>
  <c r="AR74" i="4" l="1"/>
  <c r="AR272" i="3"/>
  <c r="AD380" i="1"/>
  <c r="BX210" i="3"/>
  <c r="BX192" i="3"/>
  <c r="AD366" i="1"/>
  <c r="AE182" i="2"/>
  <c r="BX171" i="3"/>
  <c r="AD356" i="1"/>
  <c r="AD361" i="1" s="1"/>
  <c r="BY122" i="3"/>
  <c r="AF360" i="2"/>
  <c r="AF123" i="2"/>
  <c r="AP425" i="3"/>
  <c r="AR73" i="4"/>
  <c r="AP244" i="3"/>
  <c r="AP245" i="3" s="1"/>
  <c r="AP260" i="3" s="1"/>
  <c r="AP146" i="3"/>
  <c r="AP129" i="5" s="1"/>
  <c r="AP197" i="5"/>
  <c r="AP198" i="5" s="1"/>
  <c r="AP199" i="5" s="1"/>
  <c r="AP200" i="5" s="1"/>
  <c r="Z92" i="9"/>
  <c r="AJ92" i="9" s="1"/>
  <c r="AL92" i="9" s="1"/>
  <c r="AP229" i="3"/>
  <c r="AP335" i="5" s="1"/>
  <c r="AP148" i="3"/>
  <c r="AF125" i="2" l="1"/>
  <c r="BY123" i="3"/>
  <c r="BH34" i="9"/>
  <c r="BH130" i="9" s="1"/>
  <c r="AF35" i="2"/>
  <c r="BY361" i="3"/>
  <c r="BX182" i="3"/>
  <c r="AE207" i="2"/>
  <c r="AE153" i="2"/>
  <c r="AQ8" i="3"/>
  <c r="AP248" i="3"/>
  <c r="AP486" i="3" l="1"/>
  <c r="BY35" i="3"/>
  <c r="AF361" i="2"/>
  <c r="AF37" i="2"/>
  <c r="BX207" i="3"/>
  <c r="AE154" i="2"/>
  <c r="BX153" i="3"/>
  <c r="AF299" i="2"/>
  <c r="BY299" i="3" s="1"/>
  <c r="AF466" i="2"/>
  <c r="BY466" i="3" s="1"/>
  <c r="BY125" i="3"/>
  <c r="AP259" i="3"/>
  <c r="BT92" i="9"/>
  <c r="BY92" i="9" s="1"/>
  <c r="AQ447" i="3"/>
  <c r="AQ450" i="3"/>
  <c r="AQ390" i="3"/>
  <c r="AQ84" i="3"/>
  <c r="AQ20" i="3"/>
  <c r="AQ19" i="3"/>
  <c r="AQ373" i="5"/>
  <c r="F93" i="9"/>
  <c r="K93" i="9" s="1"/>
  <c r="P34" i="9" l="1"/>
  <c r="P130" i="9" s="1"/>
  <c r="AF440" i="2"/>
  <c r="BY440" i="3" s="1"/>
  <c r="BY37" i="3"/>
  <c r="BX154" i="3"/>
  <c r="AE156" i="2"/>
  <c r="BY356" i="3"/>
  <c r="BY362" i="3"/>
  <c r="AF362" i="2"/>
  <c r="BY363" i="3" s="1"/>
  <c r="AP261" i="3"/>
  <c r="AP369" i="5"/>
  <c r="AQ238" i="3"/>
  <c r="AQ85" i="3"/>
  <c r="AQ195" i="5"/>
  <c r="AQ232" i="3"/>
  <c r="AQ190" i="5"/>
  <c r="AQ365" i="5"/>
  <c r="AQ393" i="3"/>
  <c r="AQ391" i="3"/>
  <c r="AQ394" i="3"/>
  <c r="AQ392" i="3"/>
  <c r="BX156" i="3" l="1"/>
  <c r="AE158" i="2"/>
  <c r="AE159" i="2"/>
  <c r="AP393" i="5"/>
  <c r="AQ470" i="3"/>
  <c r="AQ290" i="3"/>
  <c r="AQ287" i="3"/>
  <c r="AQ395" i="3"/>
  <c r="AQ240" i="3"/>
  <c r="AD93" i="9"/>
  <c r="BX159" i="3" l="1"/>
  <c r="AE160" i="2"/>
  <c r="BX158" i="3"/>
  <c r="AE162" i="2"/>
  <c r="BX162" i="3" s="1"/>
  <c r="AQ303" i="3"/>
  <c r="AI93" i="9"/>
  <c r="AQ396" i="3"/>
  <c r="AQ405" i="3"/>
  <c r="AQ95" i="3" l="1"/>
  <c r="BX160" i="3"/>
  <c r="AE161" i="2"/>
  <c r="AR9" i="3" l="1"/>
  <c r="AR93" i="3" s="1"/>
  <c r="AR94" i="3" s="1"/>
  <c r="AR456" i="3" s="1"/>
  <c r="AQ457" i="3"/>
  <c r="AQ249" i="3"/>
  <c r="AQ93" i="9"/>
  <c r="AT93" i="9" s="1"/>
  <c r="AQ103" i="3"/>
  <c r="AQ116" i="3" s="1"/>
  <c r="BB93" i="9" s="1"/>
  <c r="BC93" i="9" s="1"/>
  <c r="AQ320" i="3"/>
  <c r="AQ321" i="3" s="1"/>
  <c r="AR306" i="3" s="1"/>
  <c r="BX161" i="3"/>
  <c r="AE163" i="2"/>
  <c r="AR96" i="3" l="1"/>
  <c r="AR29" i="3" s="1"/>
  <c r="AR317" i="3" s="1"/>
  <c r="AR293" i="3"/>
  <c r="AQ331" i="3"/>
  <c r="AQ332" i="3" s="1"/>
  <c r="AR324" i="3" s="1"/>
  <c r="AR489" i="3"/>
  <c r="AQ250" i="3"/>
  <c r="AQ251" i="3" s="1"/>
  <c r="BU93" i="9" s="1"/>
  <c r="AR405" i="5"/>
  <c r="AR406" i="5" s="1"/>
  <c r="AR408" i="5" s="1"/>
  <c r="AW93" i="9"/>
  <c r="AY93" i="9" s="1"/>
  <c r="AQ501" i="3"/>
  <c r="AQ503" i="3" s="1"/>
  <c r="AQ505" i="3" s="1"/>
  <c r="AQ506" i="3" s="1"/>
  <c r="AS92" i="3"/>
  <c r="E92" i="3" s="1"/>
  <c r="AQ117" i="3"/>
  <c r="AQ347" i="3"/>
  <c r="AQ349" i="3" s="1"/>
  <c r="AR335" i="3" s="1"/>
  <c r="AR339" i="3" s="1"/>
  <c r="AR113" i="3" s="1"/>
  <c r="AR308" i="3"/>
  <c r="AR309" i="3" s="1"/>
  <c r="AN94" i="9"/>
  <c r="AQ252" i="3"/>
  <c r="AR12" i="3"/>
  <c r="AR32" i="3" s="1"/>
  <c r="AR10" i="3"/>
  <c r="AR100" i="3" s="1"/>
  <c r="AR102" i="3" s="1"/>
  <c r="AR176" i="3" s="1"/>
  <c r="AQ461" i="3"/>
  <c r="AQ175" i="3"/>
  <c r="AQ281" i="3" s="1"/>
  <c r="AR380" i="5"/>
  <c r="AE165" i="2"/>
  <c r="AE267" i="2" s="1"/>
  <c r="BX163" i="3"/>
  <c r="AR310" i="3"/>
  <c r="AE94" i="9"/>
  <c r="AR491" i="3"/>
  <c r="AQ348" i="3"/>
  <c r="AQ350" i="3" s="1"/>
  <c r="AR336" i="3" s="1"/>
  <c r="BF93" i="9"/>
  <c r="BG93" i="9" s="1"/>
  <c r="AR13" i="3"/>
  <c r="AQ508" i="3"/>
  <c r="AQ510" i="3" s="1"/>
  <c r="AQ512" i="3" s="1"/>
  <c r="AQ513" i="3" s="1"/>
  <c r="AQ253" i="3"/>
  <c r="AQ254" i="3" s="1"/>
  <c r="BV93" i="9" s="1"/>
  <c r="AQ118" i="3"/>
  <c r="AQ126" i="3" s="1"/>
  <c r="AR94" i="9" l="1"/>
  <c r="AR11" i="3"/>
  <c r="G94" i="9" s="1"/>
  <c r="AR296" i="3"/>
  <c r="AR493" i="3"/>
  <c r="AU94" i="9"/>
  <c r="AR502" i="3"/>
  <c r="AR381" i="5"/>
  <c r="AR460" i="3"/>
  <c r="AR326" i="3"/>
  <c r="AR327" i="3" s="1"/>
  <c r="AR99" i="3" s="1"/>
  <c r="AS101" i="3" s="1"/>
  <c r="E101" i="3" s="1"/>
  <c r="AR382" i="5"/>
  <c r="AE183" i="2"/>
  <c r="AE166" i="2"/>
  <c r="BX166" i="3" s="1"/>
  <c r="BX267" i="3"/>
  <c r="AE112" i="5"/>
  <c r="AE140" i="5" s="1"/>
  <c r="BX165" i="3"/>
  <c r="AR496" i="3"/>
  <c r="AR497" i="3" s="1"/>
  <c r="AR498" i="3" s="1"/>
  <c r="AR494" i="3"/>
  <c r="AR33" i="3"/>
  <c r="AR344" i="3" s="1"/>
  <c r="AQ464" i="3"/>
  <c r="AQ177" i="3"/>
  <c r="AQ282" i="3" s="1"/>
  <c r="AQ284" i="3" s="1"/>
  <c r="AR340" i="3"/>
  <c r="AR114" i="3" s="1"/>
  <c r="AR115" i="3" s="1"/>
  <c r="AR319" i="3"/>
  <c r="AR343" i="3"/>
  <c r="AR341" i="3"/>
  <c r="BA94" i="9"/>
  <c r="AU92" i="2"/>
  <c r="AR14" i="3"/>
  <c r="H94" i="9" s="1"/>
  <c r="AR30" i="3" l="1"/>
  <c r="AR329" i="3" s="1"/>
  <c r="AV94" i="9"/>
  <c r="AR295" i="3"/>
  <c r="AR328" i="3"/>
  <c r="AR459" i="3"/>
  <c r="AR34" i="3"/>
  <c r="O94" i="9" s="1"/>
  <c r="AD375" i="1"/>
  <c r="AD363" i="1"/>
  <c r="AD364" i="1" s="1"/>
  <c r="BX183" i="3"/>
  <c r="AE208" i="2"/>
  <c r="AE184" i="2"/>
  <c r="AR462" i="3"/>
  <c r="AR298" i="3"/>
  <c r="AQ467" i="3"/>
  <c r="AQ363" i="3"/>
  <c r="AQ364" i="3" s="1"/>
  <c r="AR353" i="3" s="1"/>
  <c r="BI93" i="9"/>
  <c r="BL93" i="9" s="1"/>
  <c r="BR93" i="9" s="1"/>
  <c r="AQ255" i="3"/>
  <c r="AQ257" i="3" s="1"/>
  <c r="BW93" i="9" s="1"/>
  <c r="AR15" i="3"/>
  <c r="AU101" i="2"/>
  <c r="AR342" i="3"/>
  <c r="AR346" i="3" s="1"/>
  <c r="BE94" i="9"/>
  <c r="AR345" i="3"/>
  <c r="AR330" i="3" l="1"/>
  <c r="AR31" i="3"/>
  <c r="BX208" i="3"/>
  <c r="AD378" i="1"/>
  <c r="AE212" i="2"/>
  <c r="AD374" i="1"/>
  <c r="AD377" i="1" s="1"/>
  <c r="AD367" i="1"/>
  <c r="AE94" i="4"/>
  <c r="AE85" i="5"/>
  <c r="AE342" i="5" s="1"/>
  <c r="BX184" i="3"/>
  <c r="AE397" i="5"/>
  <c r="AE266" i="2"/>
  <c r="AE399" i="5"/>
  <c r="AE191" i="2"/>
  <c r="AR127" i="3"/>
  <c r="AR17" i="3"/>
  <c r="I94" i="9" s="1"/>
  <c r="AQ472" i="3"/>
  <c r="AQ474" i="3"/>
  <c r="AR439" i="3"/>
  <c r="N94" i="9"/>
  <c r="AE271" i="2" l="1"/>
  <c r="AE86" i="4" s="1"/>
  <c r="AE270" i="2"/>
  <c r="AQ28" i="3"/>
  <c r="AQ191" i="5" s="1"/>
  <c r="AQ400" i="3"/>
  <c r="AQ409" i="3" s="1"/>
  <c r="AQ416" i="3" s="1"/>
  <c r="AQ401" i="3"/>
  <c r="AQ410" i="3" s="1"/>
  <c r="AQ417" i="3" s="1"/>
  <c r="AQ170" i="3" s="1"/>
  <c r="AQ399" i="3"/>
  <c r="AQ402" i="3"/>
  <c r="AQ411" i="3" s="1"/>
  <c r="AQ418" i="3" s="1"/>
  <c r="AD382" i="1"/>
  <c r="AD384" i="1" s="1"/>
  <c r="BX191" i="3"/>
  <c r="AE193" i="2"/>
  <c r="BX212" i="3"/>
  <c r="AE225" i="2"/>
  <c r="BX225" i="3" s="1"/>
  <c r="AE218" i="2"/>
  <c r="BX266" i="3"/>
  <c r="AQ476" i="3"/>
  <c r="AQ478" i="3" s="1"/>
  <c r="AR355" i="3"/>
  <c r="BK94" i="9"/>
  <c r="AG94" i="9"/>
  <c r="AQ438" i="3" l="1"/>
  <c r="AQ444" i="3" s="1"/>
  <c r="AQ169" i="3"/>
  <c r="AQ139" i="3"/>
  <c r="AQ241" i="3"/>
  <c r="M93" i="9"/>
  <c r="W93" i="9" s="1"/>
  <c r="AQ392" i="5"/>
  <c r="AQ71" i="3"/>
  <c r="AQ387" i="5" s="1"/>
  <c r="AQ403" i="3"/>
  <c r="AQ408" i="3"/>
  <c r="AQ210" i="3"/>
  <c r="AQ268" i="3"/>
  <c r="AE88" i="4"/>
  <c r="AE273" i="2" s="1"/>
  <c r="AE32" i="4"/>
  <c r="AG33" i="4" s="1"/>
  <c r="AE86" i="5"/>
  <c r="AE343" i="5" s="1"/>
  <c r="BX270" i="3"/>
  <c r="BX193" i="3"/>
  <c r="AE196" i="2"/>
  <c r="AE199" i="2"/>
  <c r="AE198" i="2"/>
  <c r="AE195" i="2"/>
  <c r="AE201" i="2"/>
  <c r="AE197" i="2"/>
  <c r="AE200" i="2"/>
  <c r="BX218" i="3"/>
  <c r="AE222" i="2"/>
  <c r="BX222" i="3" s="1"/>
  <c r="AE221" i="2"/>
  <c r="BX221" i="3" s="1"/>
  <c r="AE220" i="2"/>
  <c r="AQ171" i="3"/>
  <c r="AQ182" i="3" s="1"/>
  <c r="AQ192" i="3"/>
  <c r="AQ480" i="3"/>
  <c r="AR357" i="3"/>
  <c r="AQ415" i="3" l="1"/>
  <c r="AQ419" i="3" s="1"/>
  <c r="AQ420" i="3" s="1"/>
  <c r="AQ412" i="3"/>
  <c r="AQ413" i="3" s="1"/>
  <c r="I330" i="1"/>
  <c r="BX200" i="3"/>
  <c r="AE318" i="4"/>
  <c r="P283" i="1" s="1"/>
  <c r="AE316" i="4"/>
  <c r="N283" i="1" s="1"/>
  <c r="BX198" i="3"/>
  <c r="G330" i="1"/>
  <c r="BX197" i="3"/>
  <c r="F330" i="1"/>
  <c r="AE315" i="4"/>
  <c r="M283" i="1" s="1"/>
  <c r="H330" i="1"/>
  <c r="AE317" i="4"/>
  <c r="O283" i="1" s="1"/>
  <c r="BX199" i="3"/>
  <c r="BX201" i="3"/>
  <c r="AE204" i="2"/>
  <c r="J330" i="1"/>
  <c r="BX196" i="3"/>
  <c r="E330" i="1"/>
  <c r="AE314" i="4"/>
  <c r="L283" i="1" s="1"/>
  <c r="AG56" i="4"/>
  <c r="AG54" i="4"/>
  <c r="AG58" i="4"/>
  <c r="AG55" i="4"/>
  <c r="AG57" i="4"/>
  <c r="BX220" i="3"/>
  <c r="AE223" i="2"/>
  <c r="D330" i="1"/>
  <c r="BX195" i="3"/>
  <c r="AE313" i="4"/>
  <c r="K283" i="1" s="1"/>
  <c r="AE202" i="2"/>
  <c r="AQ207" i="3"/>
  <c r="AQ153" i="3"/>
  <c r="AQ154" i="3" s="1"/>
  <c r="AQ156" i="3" s="1"/>
  <c r="AQ481" i="3"/>
  <c r="CK357" i="3"/>
  <c r="AR121" i="3"/>
  <c r="C330" i="1" l="1"/>
  <c r="AG59" i="4"/>
  <c r="BX204" i="3"/>
  <c r="AE515" i="2"/>
  <c r="BX515" i="3" s="1"/>
  <c r="AD394" i="1"/>
  <c r="BX202" i="3"/>
  <c r="AD370" i="1"/>
  <c r="AE87" i="5"/>
  <c r="AE344" i="5" s="1"/>
  <c r="AE203" i="2"/>
  <c r="BX223" i="3"/>
  <c r="AE227" i="2"/>
  <c r="AQ482" i="3"/>
  <c r="AQ158" i="3"/>
  <c r="AQ162" i="3" s="1"/>
  <c r="AQ159" i="3"/>
  <c r="AQ160" i="3" s="1"/>
  <c r="AQ161" i="3" s="1"/>
  <c r="AR358" i="3"/>
  <c r="AG61" i="4" l="1"/>
  <c r="AG272" i="2"/>
  <c r="K330" i="1"/>
  <c r="BX203" i="3"/>
  <c r="J283" i="1"/>
  <c r="AE88" i="5"/>
  <c r="AE516" i="2"/>
  <c r="AE145" i="2"/>
  <c r="AE422" i="2"/>
  <c r="BX227" i="3"/>
  <c r="AE89" i="5"/>
  <c r="AE345" i="5" s="1"/>
  <c r="AD393" i="1"/>
  <c r="AD385" i="1"/>
  <c r="AD386" i="1" s="1"/>
  <c r="AD371" i="1"/>
  <c r="AD372" i="1" s="1"/>
  <c r="AE228" i="2"/>
  <c r="BX228" i="3" s="1"/>
  <c r="AE484" i="2"/>
  <c r="AG60" i="4"/>
  <c r="AQ163" i="3"/>
  <c r="AQ165" i="3" s="1"/>
  <c r="AR359" i="3"/>
  <c r="AR122" i="3" s="1"/>
  <c r="AQ166" i="3" l="1"/>
  <c r="AQ267" i="3"/>
  <c r="BX516" i="3"/>
  <c r="AE384" i="5"/>
  <c r="BX422" i="3"/>
  <c r="AE424" i="2"/>
  <c r="BX424" i="3" s="1"/>
  <c r="BX484" i="3"/>
  <c r="AE485" i="2"/>
  <c r="AE17" i="5"/>
  <c r="AE229" i="2"/>
  <c r="AE146" i="2"/>
  <c r="AE148" i="2"/>
  <c r="BX145" i="3"/>
  <c r="Z33" i="9"/>
  <c r="AF302" i="2"/>
  <c r="BY302" i="3" s="1"/>
  <c r="AE244" i="2"/>
  <c r="AQ183" i="3"/>
  <c r="AQ139" i="5"/>
  <c r="AR360" i="3"/>
  <c r="AR123" i="3"/>
  <c r="AE18" i="5" l="1"/>
  <c r="AE213" i="5"/>
  <c r="AE245" i="2"/>
  <c r="BX244" i="3"/>
  <c r="AE248" i="2"/>
  <c r="AF8" i="2"/>
  <c r="BX148" i="3"/>
  <c r="AE425" i="2"/>
  <c r="BX425" i="3" s="1"/>
  <c r="BX485" i="3"/>
  <c r="BX146" i="3"/>
  <c r="AE109" i="5"/>
  <c r="Z129" i="9"/>
  <c r="AJ33" i="9"/>
  <c r="AL33" i="9" s="1"/>
  <c r="BX229" i="3"/>
  <c r="AE90" i="5"/>
  <c r="AE346" i="5" s="1"/>
  <c r="AQ208" i="3"/>
  <c r="AQ212" i="3" s="1"/>
  <c r="AQ184" i="3"/>
  <c r="AR125" i="3"/>
  <c r="BH94" i="9"/>
  <c r="AR35" i="3"/>
  <c r="BX245" i="3" l="1"/>
  <c r="AE260" i="2"/>
  <c r="AD373" i="1"/>
  <c r="AE486" i="2"/>
  <c r="BX486" i="3" s="1"/>
  <c r="AF19" i="2"/>
  <c r="AF84" i="2"/>
  <c r="AF450" i="2"/>
  <c r="AF372" i="5"/>
  <c r="AF374" i="5" s="1"/>
  <c r="I284" i="1"/>
  <c r="BY8" i="3"/>
  <c r="AF447" i="2"/>
  <c r="AE389" i="1"/>
  <c r="AF390" i="2"/>
  <c r="AF20" i="2"/>
  <c r="F34" i="9"/>
  <c r="AJ129" i="9"/>
  <c r="AL129" i="9"/>
  <c r="AE259" i="2"/>
  <c r="BT33" i="9"/>
  <c r="BX248" i="3"/>
  <c r="AE214" i="5"/>
  <c r="AE19" i="5"/>
  <c r="AR361" i="3"/>
  <c r="AR37" i="3"/>
  <c r="AQ95" i="4"/>
  <c r="AQ266" i="3"/>
  <c r="AQ270" i="3" s="1"/>
  <c r="AQ191" i="3"/>
  <c r="AQ193" i="3" s="1"/>
  <c r="AQ330" i="5"/>
  <c r="AQ398" i="5"/>
  <c r="AQ225" i="3"/>
  <c r="AQ218" i="3"/>
  <c r="AR466" i="3"/>
  <c r="AR299" i="3"/>
  <c r="BT129" i="9" l="1"/>
  <c r="BY33" i="9"/>
  <c r="BY129" i="9" s="1"/>
  <c r="K34" i="9"/>
  <c r="F130" i="9"/>
  <c r="BY447" i="3"/>
  <c r="BY450" i="3"/>
  <c r="AE20" i="5"/>
  <c r="AE215" i="5"/>
  <c r="AF15" i="5"/>
  <c r="AF212" i="5" s="1"/>
  <c r="BY84" i="3"/>
  <c r="AF238" i="2"/>
  <c r="AF85" i="2"/>
  <c r="BX260" i="3"/>
  <c r="AE368" i="5"/>
  <c r="AE370" i="5" s="1"/>
  <c r="AE144" i="5" s="1"/>
  <c r="BX259" i="3"/>
  <c r="AF394" i="2"/>
  <c r="AF393" i="2"/>
  <c r="BY390" i="3"/>
  <c r="AF392" i="2"/>
  <c r="AF391" i="2"/>
  <c r="AE261" i="2"/>
  <c r="BX261" i="3" s="1"/>
  <c r="AF364" i="5"/>
  <c r="AF366" i="5" s="1"/>
  <c r="AF10" i="5"/>
  <c r="AF206" i="5" s="1"/>
  <c r="BY19" i="3"/>
  <c r="AF232" i="2"/>
  <c r="BY232" i="3" s="1"/>
  <c r="AQ222" i="3"/>
  <c r="AQ221" i="3"/>
  <c r="AQ220" i="3"/>
  <c r="AR440" i="3"/>
  <c r="P94" i="9"/>
  <c r="AQ201" i="3"/>
  <c r="AQ197" i="3"/>
  <c r="AQ199" i="3"/>
  <c r="AQ195" i="3"/>
  <c r="AQ196" i="3"/>
  <c r="AQ198" i="3"/>
  <c r="AQ200" i="3"/>
  <c r="AR362" i="3"/>
  <c r="AQ64" i="4"/>
  <c r="AS65" i="4" s="1"/>
  <c r="AQ331" i="5"/>
  <c r="K130" i="9" l="1"/>
  <c r="BY393" i="3"/>
  <c r="AE262" i="2"/>
  <c r="BY391" i="3"/>
  <c r="AF395" i="2"/>
  <c r="BY394" i="3"/>
  <c r="BY392" i="3"/>
  <c r="AF290" i="2"/>
  <c r="BY290" i="3" s="1"/>
  <c r="AF470" i="2"/>
  <c r="BY470" i="3" s="1"/>
  <c r="BY85" i="3"/>
  <c r="AF287" i="2"/>
  <c r="AF240" i="2"/>
  <c r="BY238" i="3"/>
  <c r="AD34" i="9"/>
  <c r="AD130" i="9" s="1"/>
  <c r="AQ223" i="3"/>
  <c r="AQ227" i="3" s="1"/>
  <c r="AQ324" i="4"/>
  <c r="Q342" i="1"/>
  <c r="BV295" i="1"/>
  <c r="AQ325" i="4"/>
  <c r="R342" i="1"/>
  <c r="BW295" i="1"/>
  <c r="AQ323" i="4"/>
  <c r="P342" i="1"/>
  <c r="BU295" i="1"/>
  <c r="AQ322" i="4"/>
  <c r="O342" i="1"/>
  <c r="BT295" i="1"/>
  <c r="AQ204" i="3"/>
  <c r="AQ515" i="3" s="1"/>
  <c r="T342" i="1"/>
  <c r="AS69" i="4"/>
  <c r="D69" i="4" s="1"/>
  <c r="AS71" i="4"/>
  <c r="D71" i="4" s="1"/>
  <c r="AS70" i="4"/>
  <c r="D70" i="4" s="1"/>
  <c r="AS68" i="4"/>
  <c r="D68" i="4" s="1"/>
  <c r="AS67" i="4"/>
  <c r="D65" i="4"/>
  <c r="AQ326" i="4"/>
  <c r="S342" i="1"/>
  <c r="BX295" i="1"/>
  <c r="AQ321" i="4"/>
  <c r="AQ202" i="3"/>
  <c r="AQ203" i="3" s="1"/>
  <c r="AQ333" i="5" s="1"/>
  <c r="N342" i="1"/>
  <c r="BS295" i="1"/>
  <c r="R295" i="1" l="1"/>
  <c r="BK295" i="1"/>
  <c r="AQ334" i="5"/>
  <c r="AQ228" i="3"/>
  <c r="AQ516" i="3"/>
  <c r="BY240" i="3"/>
  <c r="AI34" i="9"/>
  <c r="AI130" i="9" s="1"/>
  <c r="BY287" i="3"/>
  <c r="AF303" i="2"/>
  <c r="BY395" i="3"/>
  <c r="AF405" i="2"/>
  <c r="BY405" i="3" s="1"/>
  <c r="AF396" i="2"/>
  <c r="BY396" i="3" s="1"/>
  <c r="M342" i="1"/>
  <c r="U342" i="1" s="1"/>
  <c r="BO295" i="1"/>
  <c r="V295" i="1"/>
  <c r="BQ295" i="1"/>
  <c r="X295" i="1"/>
  <c r="BP295" i="1"/>
  <c r="W295" i="1"/>
  <c r="AQ484" i="3"/>
  <c r="AQ485" i="3" s="1"/>
  <c r="AQ422" i="3"/>
  <c r="AQ424" i="3" s="1"/>
  <c r="AQ145" i="3"/>
  <c r="AR302" i="3" s="1"/>
  <c r="AQ332" i="5"/>
  <c r="BN295" i="1"/>
  <c r="U295" i="1"/>
  <c r="BL295" i="1"/>
  <c r="S295" i="1"/>
  <c r="AS72" i="4"/>
  <c r="D67" i="4"/>
  <c r="BM295" i="1"/>
  <c r="T295" i="1"/>
  <c r="AS74" i="4" l="1"/>
  <c r="AS272" i="3"/>
  <c r="E272" i="3" s="1"/>
  <c r="AU272" i="2" s="1"/>
  <c r="BY303" i="3"/>
  <c r="AF95" i="2"/>
  <c r="AQ425" i="3"/>
  <c r="AS73" i="4"/>
  <c r="D73" i="4" s="1"/>
  <c r="D72" i="4"/>
  <c r="AQ244" i="3"/>
  <c r="AQ245" i="3" s="1"/>
  <c r="AQ260" i="3" s="1"/>
  <c r="AQ146" i="3"/>
  <c r="AQ129" i="5" s="1"/>
  <c r="AQ197" i="5"/>
  <c r="AQ198" i="5" s="1"/>
  <c r="AQ199" i="5" s="1"/>
  <c r="AQ200" i="5" s="1"/>
  <c r="Z93" i="9"/>
  <c r="AJ93" i="9" s="1"/>
  <c r="AL93" i="9" s="1"/>
  <c r="AQ148" i="3"/>
  <c r="AQ229" i="3"/>
  <c r="AQ335" i="5" s="1"/>
  <c r="D74" i="4" l="1"/>
  <c r="C72" i="4"/>
  <c r="D272" i="3" s="1"/>
  <c r="AF103" i="2"/>
  <c r="AQ34" i="9"/>
  <c r="BY95" i="3"/>
  <c r="AF249" i="2"/>
  <c r="AF457" i="2"/>
  <c r="AF320" i="2"/>
  <c r="AG9" i="2"/>
  <c r="AQ248" i="3"/>
  <c r="AR8" i="3"/>
  <c r="AQ486" i="3" l="1"/>
  <c r="BY249" i="3"/>
  <c r="AQ130" i="9"/>
  <c r="AT34" i="9"/>
  <c r="BY320" i="3"/>
  <c r="AF321" i="2"/>
  <c r="BY457" i="3"/>
  <c r="AF175" i="2"/>
  <c r="BY103" i="3"/>
  <c r="AF501" i="2"/>
  <c r="AF461" i="2"/>
  <c r="BY461" i="3" s="1"/>
  <c r="AF250" i="2"/>
  <c r="BY250" i="3" s="1"/>
  <c r="AF331" i="2"/>
  <c r="AG10" i="2"/>
  <c r="AG11" i="2" s="1"/>
  <c r="AW34" i="9"/>
  <c r="AF116" i="2"/>
  <c r="AG489" i="2"/>
  <c r="AG96" i="2"/>
  <c r="AG93" i="2"/>
  <c r="BZ9" i="3"/>
  <c r="AQ259" i="3"/>
  <c r="BT93" i="9"/>
  <c r="BY93" i="9" s="1"/>
  <c r="AR450" i="3"/>
  <c r="AR447" i="3"/>
  <c r="AR390" i="3"/>
  <c r="AR84" i="3"/>
  <c r="AR20" i="3"/>
  <c r="AR19" i="3"/>
  <c r="F94" i="9"/>
  <c r="K94" i="9" s="1"/>
  <c r="AR373" i="5"/>
  <c r="BZ489" i="3" l="1"/>
  <c r="BY331" i="3"/>
  <c r="AF332" i="2"/>
  <c r="BZ93" i="3"/>
  <c r="AG94" i="2"/>
  <c r="AG12" i="2"/>
  <c r="AF347" i="2"/>
  <c r="AF252" i="2"/>
  <c r="BY116" i="3"/>
  <c r="BB34" i="9"/>
  <c r="BY175" i="3"/>
  <c r="AF281" i="2"/>
  <c r="BY321" i="3"/>
  <c r="AG306" i="2"/>
  <c r="H284" i="1"/>
  <c r="A285" i="1" s="1"/>
  <c r="AF251" i="2"/>
  <c r="AR35" i="9"/>
  <c r="AR131" i="9" s="1"/>
  <c r="BZ96" i="3"/>
  <c r="AG310" i="2"/>
  <c r="BZ310" i="3" s="1"/>
  <c r="AE35" i="9"/>
  <c r="AE131" i="9" s="1"/>
  <c r="AW130" i="9"/>
  <c r="AY34" i="9"/>
  <c r="AY130" i="9" s="1"/>
  <c r="BZ11" i="3"/>
  <c r="G35" i="9"/>
  <c r="G131" i="9" s="1"/>
  <c r="BZ10" i="3"/>
  <c r="AG100" i="2"/>
  <c r="AF503" i="2"/>
  <c r="BY501" i="3"/>
  <c r="AT130" i="9"/>
  <c r="AF117" i="2"/>
  <c r="AR232" i="3"/>
  <c r="AR365" i="5"/>
  <c r="AR190" i="5"/>
  <c r="AR238" i="3"/>
  <c r="AR85" i="3"/>
  <c r="AR195" i="5"/>
  <c r="AR393" i="3"/>
  <c r="AR391" i="3"/>
  <c r="AR394" i="3"/>
  <c r="AR392" i="3"/>
  <c r="AQ261" i="3"/>
  <c r="AQ369" i="5"/>
  <c r="BC34" i="9" l="1"/>
  <c r="BB130" i="9"/>
  <c r="BZ12" i="3"/>
  <c r="AG110" i="2"/>
  <c r="BY251" i="3"/>
  <c r="BU34" i="9"/>
  <c r="BU130" i="9" s="1"/>
  <c r="BY281" i="3"/>
  <c r="AG308" i="2"/>
  <c r="BZ308" i="3" s="1"/>
  <c r="AG377" i="5"/>
  <c r="AG293" i="2"/>
  <c r="BZ293" i="3" s="1"/>
  <c r="AG456" i="2"/>
  <c r="BZ456" i="3" s="1"/>
  <c r="AN35" i="9"/>
  <c r="AN131" i="9" s="1"/>
  <c r="BZ94" i="3"/>
  <c r="AG491" i="2"/>
  <c r="AH92" i="2"/>
  <c r="CA92" i="3" s="1"/>
  <c r="AG29" i="2"/>
  <c r="BF34" i="9"/>
  <c r="BY117" i="3"/>
  <c r="AG13" i="2"/>
  <c r="AF348" i="2"/>
  <c r="AF253" i="2"/>
  <c r="BY253" i="3" s="1"/>
  <c r="AF508" i="2"/>
  <c r="BY252" i="3"/>
  <c r="AF254" i="2"/>
  <c r="BZ100" i="3"/>
  <c r="AG102" i="2"/>
  <c r="AF505" i="2"/>
  <c r="BY503" i="3"/>
  <c r="BZ306" i="3"/>
  <c r="AF118" i="2"/>
  <c r="AF349" i="2"/>
  <c r="BY348" i="3"/>
  <c r="BY332" i="3"/>
  <c r="AG324" i="2"/>
  <c r="AR470" i="3"/>
  <c r="AR290" i="3"/>
  <c r="AR287" i="3"/>
  <c r="AR395" i="3"/>
  <c r="AR240" i="3"/>
  <c r="AD94" i="9"/>
  <c r="AQ393" i="5"/>
  <c r="AR303" i="3" l="1"/>
  <c r="AG309" i="2"/>
  <c r="BZ309" i="3" s="1"/>
  <c r="AG313" i="2"/>
  <c r="BY254" i="3"/>
  <c r="BV34" i="9"/>
  <c r="BV130" i="9" s="1"/>
  <c r="BY349" i="3"/>
  <c r="AF350" i="2"/>
  <c r="AG336" i="2" s="1"/>
  <c r="BZ29" i="3"/>
  <c r="AG317" i="2"/>
  <c r="AG112" i="2"/>
  <c r="AZ35" i="9"/>
  <c r="AG337" i="2"/>
  <c r="E110" i="2"/>
  <c r="BZ110" i="3"/>
  <c r="AG14" i="2"/>
  <c r="AG33" i="2"/>
  <c r="BZ13" i="3"/>
  <c r="AF390" i="1"/>
  <c r="AG502" i="2"/>
  <c r="BZ502" i="3" s="1"/>
  <c r="BZ102" i="3"/>
  <c r="AG460" i="2"/>
  <c r="BZ460" i="3" s="1"/>
  <c r="AG378" i="5"/>
  <c r="AG326" i="2"/>
  <c r="BZ326" i="3" s="1"/>
  <c r="AG296" i="2"/>
  <c r="BZ296" i="3" s="1"/>
  <c r="AU35" i="9"/>
  <c r="AU131" i="9" s="1"/>
  <c r="BY508" i="3"/>
  <c r="AF510" i="2"/>
  <c r="BZ491" i="3"/>
  <c r="AG494" i="2"/>
  <c r="BZ494" i="3" s="1"/>
  <c r="AG493" i="2"/>
  <c r="BY505" i="3"/>
  <c r="AF506" i="2"/>
  <c r="BY350" i="3"/>
  <c r="AG335" i="2"/>
  <c r="BZ324" i="3"/>
  <c r="AF177" i="2"/>
  <c r="BY118" i="3"/>
  <c r="AF464" i="2"/>
  <c r="AF126" i="2"/>
  <c r="BF130" i="9"/>
  <c r="BG34" i="9"/>
  <c r="BG130" i="9" s="1"/>
  <c r="AG379" i="5"/>
  <c r="AG383" i="5" s="1"/>
  <c r="AG176" i="2"/>
  <c r="AG32" i="2"/>
  <c r="BC130" i="9"/>
  <c r="AR95" i="3"/>
  <c r="AI94" i="9"/>
  <c r="AR405" i="3"/>
  <c r="AR396" i="3"/>
  <c r="AG327" i="2" l="1"/>
  <c r="BZ327" i="3" s="1"/>
  <c r="BY464" i="3"/>
  <c r="AU110" i="3"/>
  <c r="AV110" i="3" s="1"/>
  <c r="AV110" i="2"/>
  <c r="BZ337" i="3"/>
  <c r="AG340" i="2"/>
  <c r="AG343" i="2"/>
  <c r="BZ344" i="3" s="1"/>
  <c r="AG34" i="2"/>
  <c r="BZ32" i="3"/>
  <c r="AF512" i="2"/>
  <c r="BY510" i="3"/>
  <c r="BZ33" i="3"/>
  <c r="AG344" i="2"/>
  <c r="BZ345" i="3" s="1"/>
  <c r="BZ338" i="3"/>
  <c r="E337" i="2"/>
  <c r="BZ176" i="3"/>
  <c r="BI34" i="9"/>
  <c r="AF363" i="2"/>
  <c r="AF255" i="2"/>
  <c r="BY126" i="3"/>
  <c r="AG15" i="2"/>
  <c r="AF467" i="2"/>
  <c r="BY467" i="3" s="1"/>
  <c r="BY177" i="3"/>
  <c r="AF282" i="2"/>
  <c r="BZ335" i="3"/>
  <c r="BZ336" i="3"/>
  <c r="AG339" i="2"/>
  <c r="BZ493" i="3"/>
  <c r="AG496" i="2"/>
  <c r="BZ14" i="3"/>
  <c r="H35" i="9"/>
  <c r="H131" i="9" s="1"/>
  <c r="AZ131" i="9"/>
  <c r="AZ144" i="9" s="1"/>
  <c r="AZ48" i="9"/>
  <c r="BZ317" i="3"/>
  <c r="AG319" i="2"/>
  <c r="BZ319" i="3" s="1"/>
  <c r="AF135" i="2"/>
  <c r="BZ112" i="3"/>
  <c r="AG463" i="2"/>
  <c r="AG178" i="2"/>
  <c r="AG297" i="2"/>
  <c r="E112" i="2"/>
  <c r="AR457" i="3"/>
  <c r="AR320" i="3"/>
  <c r="AR321" i="3" s="1"/>
  <c r="AS306" i="3" s="1"/>
  <c r="AQ94" i="9"/>
  <c r="AT94" i="9" s="1"/>
  <c r="AR249" i="3"/>
  <c r="AS9" i="3"/>
  <c r="AS93" i="3" s="1"/>
  <c r="AR103" i="3"/>
  <c r="AR175" i="3" s="1"/>
  <c r="AR281" i="3" s="1"/>
  <c r="E93" i="3" l="1"/>
  <c r="AU93" i="2" s="1"/>
  <c r="AS94" i="3"/>
  <c r="AG99" i="2"/>
  <c r="AH101" i="2" s="1"/>
  <c r="CA101" i="3" s="1"/>
  <c r="BZ463" i="3"/>
  <c r="E463" i="2"/>
  <c r="BZ297" i="3"/>
  <c r="E297" i="2"/>
  <c r="AG113" i="2"/>
  <c r="BZ340" i="3"/>
  <c r="BY255" i="3"/>
  <c r="AF257" i="2"/>
  <c r="BZ34" i="3"/>
  <c r="O35" i="9"/>
  <c r="O131" i="9" s="1"/>
  <c r="E178" i="2"/>
  <c r="BZ178" i="3"/>
  <c r="BY135" i="3"/>
  <c r="AF258" i="2"/>
  <c r="AG18" i="2"/>
  <c r="BO34" i="9"/>
  <c r="AF469" i="2"/>
  <c r="BY469" i="3" s="1"/>
  <c r="AF382" i="2"/>
  <c r="BZ496" i="3"/>
  <c r="AG497" i="2"/>
  <c r="BY364" i="3"/>
  <c r="AF364" i="2"/>
  <c r="AG353" i="2" s="1"/>
  <c r="AV337" i="2"/>
  <c r="AU337" i="3"/>
  <c r="AV337" i="3" s="1"/>
  <c r="AF472" i="2"/>
  <c r="AG127" i="2"/>
  <c r="BZ15" i="3"/>
  <c r="AG17" i="2"/>
  <c r="BI130" i="9"/>
  <c r="BL34" i="9"/>
  <c r="BY512" i="3"/>
  <c r="AF513" i="2"/>
  <c r="AF474" i="2"/>
  <c r="AU112" i="3"/>
  <c r="AV112" i="3" s="1"/>
  <c r="AV112" i="2"/>
  <c r="G68" i="5"/>
  <c r="G313" i="5" s="1"/>
  <c r="E37" i="5"/>
  <c r="E282" i="5" s="1"/>
  <c r="BY282" i="3"/>
  <c r="AF284" i="2"/>
  <c r="AF357" i="1"/>
  <c r="AG114" i="2"/>
  <c r="BZ341" i="3"/>
  <c r="AG295" i="2"/>
  <c r="BZ295" i="3" s="1"/>
  <c r="AG30" i="2"/>
  <c r="AR461" i="3"/>
  <c r="AR331" i="3"/>
  <c r="AR332" i="3" s="1"/>
  <c r="AS324" i="3" s="1"/>
  <c r="AW94" i="9"/>
  <c r="AY94" i="9" s="1"/>
  <c r="AR501" i="3"/>
  <c r="AR503" i="3" s="1"/>
  <c r="AR505" i="3" s="1"/>
  <c r="AR506" i="3" s="1"/>
  <c r="AS10" i="3"/>
  <c r="AR250" i="3"/>
  <c r="AR251" i="3" s="1"/>
  <c r="BU94" i="9" s="1"/>
  <c r="AS489" i="3"/>
  <c r="AS96" i="3"/>
  <c r="AS29" i="3" s="1"/>
  <c r="AR116" i="3"/>
  <c r="AV35" i="9" l="1"/>
  <c r="AV131" i="9" s="1"/>
  <c r="AS11" i="3"/>
  <c r="G95" i="9" s="1"/>
  <c r="AS100" i="3"/>
  <c r="E94" i="3"/>
  <c r="AS456" i="3"/>
  <c r="E456" i="3" s="1"/>
  <c r="AN95" i="9"/>
  <c r="AN96" i="9" s="1"/>
  <c r="AS308" i="3"/>
  <c r="AS293" i="3"/>
  <c r="E293" i="3" s="1"/>
  <c r="AU293" i="2" s="1"/>
  <c r="AS380" i="5"/>
  <c r="AS405" i="5"/>
  <c r="AG328" i="2"/>
  <c r="BZ328" i="3" s="1"/>
  <c r="AG459" i="2"/>
  <c r="BZ459" i="3" s="1"/>
  <c r="BZ99" i="3"/>
  <c r="BY284" i="3"/>
  <c r="AE359" i="1"/>
  <c r="I35" i="9"/>
  <c r="I131" i="9" s="1"/>
  <c r="BZ17" i="3"/>
  <c r="BZ497" i="3"/>
  <c r="AG498" i="2"/>
  <c r="BZ498" i="3" s="1"/>
  <c r="BO130" i="9"/>
  <c r="BP34" i="9"/>
  <c r="BP130" i="9" s="1"/>
  <c r="BY257" i="3"/>
  <c r="BW34" i="9"/>
  <c r="BW130" i="9" s="1"/>
  <c r="AU297" i="3"/>
  <c r="AV297" i="3" s="1"/>
  <c r="AV297" i="2"/>
  <c r="BL130" i="9"/>
  <c r="AG38" i="2"/>
  <c r="J35" i="9"/>
  <c r="J131" i="9" s="1"/>
  <c r="E285" i="1"/>
  <c r="BZ18" i="3"/>
  <c r="AV178" i="2"/>
  <c r="AU178" i="3"/>
  <c r="AV178" i="3" s="1"/>
  <c r="AG342" i="2"/>
  <c r="BZ114" i="3"/>
  <c r="BE35" i="9"/>
  <c r="BE131" i="9" s="1"/>
  <c r="BY474" i="3"/>
  <c r="AF476" i="2"/>
  <c r="BK35" i="9"/>
  <c r="BK131" i="9" s="1"/>
  <c r="AG35" i="9"/>
  <c r="AG131" i="9" s="1"/>
  <c r="BZ127" i="3"/>
  <c r="AG355" i="2"/>
  <c r="BZ355" i="3" s="1"/>
  <c r="BZ353" i="3"/>
  <c r="AF391" i="1"/>
  <c r="BY382" i="3"/>
  <c r="AF383" i="2"/>
  <c r="AF175" i="5"/>
  <c r="BX34" i="9"/>
  <c r="BX130" i="9" s="1"/>
  <c r="BY258" i="3"/>
  <c r="BZ30" i="3"/>
  <c r="AG329" i="2"/>
  <c r="BZ329" i="3" s="1"/>
  <c r="AG31" i="2"/>
  <c r="BY472" i="3"/>
  <c r="AF28" i="2"/>
  <c r="AF400" i="2"/>
  <c r="AF399" i="2"/>
  <c r="AF402" i="2"/>
  <c r="AF401" i="2"/>
  <c r="AG115" i="2"/>
  <c r="AG341" i="2"/>
  <c r="BZ113" i="3"/>
  <c r="BA35" i="9"/>
  <c r="BA131" i="9" s="1"/>
  <c r="AR347" i="3"/>
  <c r="AR349" i="3" s="1"/>
  <c r="AS335" i="3" s="1"/>
  <c r="BB94" i="9"/>
  <c r="BC94" i="9" s="1"/>
  <c r="AR252" i="3"/>
  <c r="AS12" i="3"/>
  <c r="AR117" i="3"/>
  <c r="AS317" i="3"/>
  <c r="E317" i="3" s="1"/>
  <c r="E29" i="3"/>
  <c r="AS310" i="3"/>
  <c r="AR95" i="9"/>
  <c r="AE95" i="9"/>
  <c r="AE96" i="9" s="1"/>
  <c r="E96" i="3"/>
  <c r="AS491" i="3"/>
  <c r="E491" i="3" s="1"/>
  <c r="E308" i="3" l="1"/>
  <c r="AU308" i="2" s="1"/>
  <c r="AS309" i="3"/>
  <c r="AU94" i="2"/>
  <c r="E100" i="3"/>
  <c r="AU100" i="2" s="1"/>
  <c r="AS102" i="3"/>
  <c r="D380" i="5"/>
  <c r="E380" i="5"/>
  <c r="E168" i="5" s="1"/>
  <c r="E405" i="5"/>
  <c r="AS406" i="5"/>
  <c r="AS408" i="5" s="1"/>
  <c r="E408" i="5" s="1"/>
  <c r="AG357" i="2"/>
  <c r="AG121" i="2" s="1"/>
  <c r="AS493" i="3"/>
  <c r="BR34" i="9"/>
  <c r="BR130" i="9" s="1"/>
  <c r="BZ342" i="3"/>
  <c r="AG345" i="2"/>
  <c r="BZ346" i="3" s="1"/>
  <c r="BY399" i="3"/>
  <c r="AF403" i="2"/>
  <c r="BY403" i="3" s="1"/>
  <c r="AF408" i="2"/>
  <c r="BZ31" i="3"/>
  <c r="AG439" i="2"/>
  <c r="BZ439" i="3" s="1"/>
  <c r="N35" i="9"/>
  <c r="N131" i="9" s="1"/>
  <c r="AG298" i="2"/>
  <c r="BZ298" i="3" s="1"/>
  <c r="BZ115" i="3"/>
  <c r="AG462" i="2"/>
  <c r="BZ462" i="3" s="1"/>
  <c r="BY400" i="3"/>
  <c r="AF409" i="2"/>
  <c r="BY476" i="3"/>
  <c r="AF478" i="2"/>
  <c r="BZ343" i="3"/>
  <c r="AG346" i="2"/>
  <c r="BZ347" i="3" s="1"/>
  <c r="BY401" i="3"/>
  <c r="AF410" i="2"/>
  <c r="AF438" i="2"/>
  <c r="AF241" i="2"/>
  <c r="BY241" i="3" s="1"/>
  <c r="AF11" i="5"/>
  <c r="AF207" i="5" s="1"/>
  <c r="AF390" i="5"/>
  <c r="BY28" i="3"/>
  <c r="AF169" i="2"/>
  <c r="M34" i="9"/>
  <c r="AF71" i="2"/>
  <c r="AF139" i="2"/>
  <c r="BY139" i="3" s="1"/>
  <c r="AG377" i="2"/>
  <c r="BY383" i="3"/>
  <c r="AG330" i="2"/>
  <c r="BZ330" i="3" s="1"/>
  <c r="BY402" i="3"/>
  <c r="AF411" i="2"/>
  <c r="AG379" i="2"/>
  <c r="BZ379" i="3" s="1"/>
  <c r="AG173" i="5"/>
  <c r="Q35" i="9"/>
  <c r="Q131" i="9" s="1"/>
  <c r="BZ38" i="3"/>
  <c r="E310" i="3"/>
  <c r="AS319" i="3"/>
  <c r="F257" i="5"/>
  <c r="AU96" i="2"/>
  <c r="AU317" i="2"/>
  <c r="AR348" i="3"/>
  <c r="AR350" i="3" s="1"/>
  <c r="AS336" i="3" s="1"/>
  <c r="BF94" i="9"/>
  <c r="BG94" i="9" s="1"/>
  <c r="AR508" i="3"/>
  <c r="AR510" i="3" s="1"/>
  <c r="AR512" i="3" s="1"/>
  <c r="AR513" i="3" s="1"/>
  <c r="AR253" i="3"/>
  <c r="AR254" i="3" s="1"/>
  <c r="BV94" i="9" s="1"/>
  <c r="AS13" i="3"/>
  <c r="AS14" i="3" s="1"/>
  <c r="H95" i="9" s="1"/>
  <c r="AR118" i="3"/>
  <c r="AR126" i="3" s="1"/>
  <c r="AS494" i="3"/>
  <c r="AR96" i="9"/>
  <c r="F244" i="5"/>
  <c r="AU29" i="2"/>
  <c r="AS32" i="3"/>
  <c r="AS339" i="3"/>
  <c r="AS113" i="3" s="1"/>
  <c r="AS381" i="5" l="1"/>
  <c r="AS460" i="3"/>
  <c r="E460" i="3" s="1"/>
  <c r="AS326" i="3"/>
  <c r="AU95" i="9"/>
  <c r="AU96" i="9" s="1"/>
  <c r="E102" i="3"/>
  <c r="AS296" i="3"/>
  <c r="E296" i="3" s="1"/>
  <c r="AU296" i="2" s="1"/>
  <c r="AS502" i="3"/>
  <c r="E502" i="3" s="1"/>
  <c r="AS382" i="5"/>
  <c r="AS176" i="3"/>
  <c r="E176" i="3" s="1"/>
  <c r="AU176" i="2" s="1"/>
  <c r="AS496" i="3"/>
  <c r="BZ358" i="3"/>
  <c r="BY411" i="3"/>
  <c r="AF418" i="2"/>
  <c r="BY418" i="3" s="1"/>
  <c r="AG381" i="2"/>
  <c r="BZ381" i="3" s="1"/>
  <c r="BZ377" i="3"/>
  <c r="M130" i="9"/>
  <c r="W34" i="9"/>
  <c r="BY169" i="3"/>
  <c r="AE354" i="1"/>
  <c r="BY409" i="3"/>
  <c r="AF416" i="2"/>
  <c r="BY416" i="3" s="1"/>
  <c r="AF444" i="2"/>
  <c r="BY444" i="3" s="1"/>
  <c r="BY438" i="3"/>
  <c r="AE368" i="1"/>
  <c r="AF386" i="5"/>
  <c r="AF388" i="5" s="1"/>
  <c r="BY71" i="3"/>
  <c r="AF391" i="5"/>
  <c r="AF395" i="5" s="1"/>
  <c r="AF394" i="5"/>
  <c r="AF417" i="2"/>
  <c r="BY410" i="3"/>
  <c r="BY478" i="3"/>
  <c r="AF480" i="2"/>
  <c r="BZ121" i="3"/>
  <c r="AG358" i="2"/>
  <c r="AF415" i="2"/>
  <c r="BY408" i="3"/>
  <c r="AF412" i="2"/>
  <c r="BY412" i="3" s="1"/>
  <c r="AR464" i="3"/>
  <c r="AR177" i="3"/>
  <c r="AR282" i="3" s="1"/>
  <c r="AR284" i="3" s="1"/>
  <c r="AS343" i="3"/>
  <c r="E343" i="3" s="1"/>
  <c r="E32" i="3"/>
  <c r="AS33" i="3"/>
  <c r="AS340" i="3"/>
  <c r="AS114" i="3" s="1"/>
  <c r="AS115" i="3" s="1"/>
  <c r="AU310" i="2"/>
  <c r="AS341" i="3"/>
  <c r="BA95" i="9"/>
  <c r="E113" i="3"/>
  <c r="W130" i="9" l="1"/>
  <c r="D382" i="5"/>
  <c r="E382" i="5"/>
  <c r="AU102" i="2"/>
  <c r="F258" i="5"/>
  <c r="E226" i="5"/>
  <c r="E326" i="3"/>
  <c r="AU326" i="2" s="1"/>
  <c r="AS327" i="3"/>
  <c r="AS99" i="3" s="1"/>
  <c r="E496" i="3"/>
  <c r="AS497" i="3"/>
  <c r="D381" i="5"/>
  <c r="E381" i="5"/>
  <c r="BY415" i="3"/>
  <c r="AF419" i="2"/>
  <c r="AF420" i="2" s="1"/>
  <c r="BY420" i="3" s="1"/>
  <c r="AF481" i="2"/>
  <c r="BY480" i="3"/>
  <c r="AF170" i="2"/>
  <c r="BY417" i="3"/>
  <c r="BZ359" i="3"/>
  <c r="AG359" i="2"/>
  <c r="AF413" i="2"/>
  <c r="AS344" i="3"/>
  <c r="E344" i="3" s="1"/>
  <c r="E33" i="3"/>
  <c r="E341" i="3"/>
  <c r="AS345" i="3"/>
  <c r="AU343" i="2"/>
  <c r="AS462" i="3"/>
  <c r="E462" i="3" s="1"/>
  <c r="AS298" i="3"/>
  <c r="E298" i="3" s="1"/>
  <c r="E115" i="3"/>
  <c r="AU113" i="2"/>
  <c r="AS342" i="3"/>
  <c r="BE95" i="9"/>
  <c r="E114" i="3"/>
  <c r="BA96" i="9"/>
  <c r="AU32" i="2"/>
  <c r="G247" i="5"/>
  <c r="AR363" i="3"/>
  <c r="AR364" i="3" s="1"/>
  <c r="AS353" i="3" s="1"/>
  <c r="AR467" i="3"/>
  <c r="AR472" i="3" s="1"/>
  <c r="BI94" i="9"/>
  <c r="BL94" i="9" s="1"/>
  <c r="BR94" i="9" s="1"/>
  <c r="AR255" i="3"/>
  <c r="AR257" i="3" s="1"/>
  <c r="BW94" i="9" s="1"/>
  <c r="AS15" i="3"/>
  <c r="AS34" i="3"/>
  <c r="AS30" i="3" l="1"/>
  <c r="AS459" i="3"/>
  <c r="E459" i="3" s="1"/>
  <c r="AS328" i="3"/>
  <c r="AV95" i="9"/>
  <c r="AV96" i="9" s="1"/>
  <c r="AS295" i="3"/>
  <c r="E295" i="3" s="1"/>
  <c r="AU295" i="2" s="1"/>
  <c r="E99" i="3"/>
  <c r="AR28" i="3"/>
  <c r="AR438" i="3" s="1"/>
  <c r="AR444" i="3" s="1"/>
  <c r="AR401" i="3"/>
  <c r="AR410" i="3" s="1"/>
  <c r="AR417" i="3" s="1"/>
  <c r="AR170" i="3" s="1"/>
  <c r="AR399" i="3"/>
  <c r="AR400" i="3"/>
  <c r="AR409" i="3" s="1"/>
  <c r="AR416" i="3" s="1"/>
  <c r="AR402" i="3"/>
  <c r="AR411" i="3" s="1"/>
  <c r="AR418" i="3" s="1"/>
  <c r="E421" i="1"/>
  <c r="F421" i="1" s="1"/>
  <c r="E359" i="5"/>
  <c r="E497" i="3"/>
  <c r="AS498" i="3"/>
  <c r="E498" i="3" s="1"/>
  <c r="BY481" i="3"/>
  <c r="AF482" i="2"/>
  <c r="BY482" i="3" s="1"/>
  <c r="AF210" i="2"/>
  <c r="AE355" i="1"/>
  <c r="BY170" i="3"/>
  <c r="AF268" i="2"/>
  <c r="BY268" i="3" s="1"/>
  <c r="AF171" i="2"/>
  <c r="AF192" i="2"/>
  <c r="BY419" i="3"/>
  <c r="AG122" i="2"/>
  <c r="BZ360" i="3"/>
  <c r="AU114" i="2"/>
  <c r="AU341" i="2"/>
  <c r="AS127" i="3"/>
  <c r="AS17" i="3"/>
  <c r="I95" i="9" s="1"/>
  <c r="BE96" i="9"/>
  <c r="AU298" i="2"/>
  <c r="AU33" i="2"/>
  <c r="G248" i="5"/>
  <c r="G253" i="5" s="1"/>
  <c r="O95" i="9"/>
  <c r="O96" i="9" s="1"/>
  <c r="E34" i="3"/>
  <c r="E342" i="3"/>
  <c r="AS346" i="3"/>
  <c r="AU344" i="2"/>
  <c r="AU115" i="2"/>
  <c r="G261" i="5"/>
  <c r="E230" i="5"/>
  <c r="AR474" i="3"/>
  <c r="AR191" i="5" l="1"/>
  <c r="AR392" i="5"/>
  <c r="M94" i="9"/>
  <c r="W94" i="9" s="1"/>
  <c r="AR139" i="3"/>
  <c r="AR71" i="3"/>
  <c r="AR241" i="3"/>
  <c r="AU99" i="2"/>
  <c r="E225" i="5"/>
  <c r="F256" i="5"/>
  <c r="AR169" i="3"/>
  <c r="AR171" i="3" s="1"/>
  <c r="AR182" i="3" s="1"/>
  <c r="AR210" i="3"/>
  <c r="AR268" i="3"/>
  <c r="E328" i="3"/>
  <c r="AU328" i="2" s="1"/>
  <c r="AR403" i="3"/>
  <c r="AR408" i="3"/>
  <c r="AS329" i="3"/>
  <c r="E329" i="3" s="1"/>
  <c r="AU329" i="2" s="1"/>
  <c r="E30" i="3"/>
  <c r="AS31" i="3"/>
  <c r="AE366" i="1"/>
  <c r="BY192" i="3"/>
  <c r="AG360" i="2"/>
  <c r="BZ122" i="3"/>
  <c r="AG123" i="2"/>
  <c r="AF182" i="2"/>
  <c r="BY171" i="3"/>
  <c r="AE356" i="1"/>
  <c r="AE361" i="1" s="1"/>
  <c r="BY210" i="3"/>
  <c r="AE380" i="1"/>
  <c r="AR476" i="3"/>
  <c r="AR478" i="3" s="1"/>
  <c r="AS355" i="3"/>
  <c r="AG95" i="9"/>
  <c r="AG96" i="9" s="1"/>
  <c r="BK95" i="9"/>
  <c r="BK96" i="9" s="1"/>
  <c r="E127" i="3"/>
  <c r="AU342" i="2"/>
  <c r="AR387" i="5"/>
  <c r="AU34" i="2"/>
  <c r="AR192" i="3" l="1"/>
  <c r="AS330" i="3"/>
  <c r="AU30" i="2"/>
  <c r="F246" i="5"/>
  <c r="F253" i="5" s="1"/>
  <c r="N95" i="9"/>
  <c r="N96" i="9" s="1"/>
  <c r="E31" i="3"/>
  <c r="AU31" i="2" s="1"/>
  <c r="AS439" i="3"/>
  <c r="E439" i="3" s="1"/>
  <c r="AR415" i="3"/>
  <c r="AR419" i="3" s="1"/>
  <c r="AR412" i="3"/>
  <c r="AR413" i="3" s="1"/>
  <c r="BZ361" i="3"/>
  <c r="BY182" i="3"/>
  <c r="AF207" i="2"/>
  <c r="AF153" i="2"/>
  <c r="BZ123" i="3"/>
  <c r="AG125" i="2"/>
  <c r="BH35" i="9"/>
  <c r="BH131" i="9" s="1"/>
  <c r="AG35" i="2"/>
  <c r="AR153" i="3"/>
  <c r="AR154" i="3" s="1"/>
  <c r="AR156" i="3" s="1"/>
  <c r="AR207" i="3"/>
  <c r="E355" i="3"/>
  <c r="AS357" i="3"/>
  <c r="AU127" i="2"/>
  <c r="H266" i="5"/>
  <c r="AR480" i="3"/>
  <c r="AG466" i="2" l="1"/>
  <c r="BZ466" i="3" s="1"/>
  <c r="AG299" i="2"/>
  <c r="BZ299" i="3" s="1"/>
  <c r="BZ125" i="3"/>
  <c r="BY207" i="3"/>
  <c r="BZ35" i="3"/>
  <c r="AG37" i="2"/>
  <c r="AG361" i="2"/>
  <c r="BY153" i="3"/>
  <c r="AF154" i="2"/>
  <c r="CL357" i="3"/>
  <c r="AS121" i="3"/>
  <c r="AU355" i="2"/>
  <c r="AR159" i="3"/>
  <c r="AR160" i="3" s="1"/>
  <c r="AR161" i="3" s="1"/>
  <c r="AR158" i="3"/>
  <c r="AR162" i="3" s="1"/>
  <c r="AR420" i="3"/>
  <c r="AR481" i="3"/>
  <c r="BZ356" i="3" l="1"/>
  <c r="BZ362" i="3"/>
  <c r="AG362" i="2"/>
  <c r="BZ363" i="3" s="1"/>
  <c r="P35" i="9"/>
  <c r="P131" i="9" s="1"/>
  <c r="BZ37" i="3"/>
  <c r="AG440" i="2"/>
  <c r="BZ440" i="3" s="1"/>
  <c r="AF156" i="2"/>
  <c r="BY154" i="3"/>
  <c r="AR163" i="3"/>
  <c r="AR165" i="3" s="1"/>
  <c r="AR482" i="3"/>
  <c r="AS358" i="3"/>
  <c r="E121" i="3"/>
  <c r="AR166" i="3" l="1"/>
  <c r="AR267" i="3"/>
  <c r="AF158" i="2"/>
  <c r="AF159" i="2"/>
  <c r="BY156" i="3"/>
  <c r="AU121" i="2"/>
  <c r="E358" i="3"/>
  <c r="AU358" i="2" s="1"/>
  <c r="AS359" i="3"/>
  <c r="AS122" i="3" s="1"/>
  <c r="AR183" i="3"/>
  <c r="AR139" i="5"/>
  <c r="BY159" i="3" l="1"/>
  <c r="AF160" i="2"/>
  <c r="AF162" i="2"/>
  <c r="BY162" i="3" s="1"/>
  <c r="BY158" i="3"/>
  <c r="AS360" i="3"/>
  <c r="E122" i="3"/>
  <c r="AS123" i="3"/>
  <c r="AR208" i="3"/>
  <c r="AR212" i="3" s="1"/>
  <c r="AR184" i="3"/>
  <c r="BY160" i="3" l="1"/>
  <c r="AF161" i="2"/>
  <c r="AR95" i="4"/>
  <c r="AR266" i="3"/>
  <c r="AR270" i="3" s="1"/>
  <c r="AR191" i="3"/>
  <c r="AR193" i="3" s="1"/>
  <c r="AR398" i="5"/>
  <c r="AR330" i="5"/>
  <c r="AU122" i="2"/>
  <c r="AR218" i="3"/>
  <c r="AR225" i="3"/>
  <c r="E360" i="3"/>
  <c r="AU360" i="2" s="1"/>
  <c r="AS125" i="3"/>
  <c r="BH95" i="9"/>
  <c r="E123" i="3"/>
  <c r="AS35" i="3"/>
  <c r="BY161" i="3" l="1"/>
  <c r="AF163" i="2"/>
  <c r="BH96" i="9"/>
  <c r="AR64" i="4"/>
  <c r="AR331" i="5"/>
  <c r="AS466" i="3"/>
  <c r="E466" i="3" s="1"/>
  <c r="AS299" i="3"/>
  <c r="E299" i="3" s="1"/>
  <c r="E125" i="3"/>
  <c r="AU362" i="2"/>
  <c r="AV362" i="2" s="1"/>
  <c r="AS361" i="3"/>
  <c r="AS37" i="3"/>
  <c r="E35" i="3"/>
  <c r="AU123" i="2"/>
  <c r="AR222" i="3"/>
  <c r="AR221" i="3"/>
  <c r="AR220" i="3"/>
  <c r="AR200" i="3"/>
  <c r="AR196" i="3"/>
  <c r="AR198" i="3"/>
  <c r="AR195" i="3"/>
  <c r="AR197" i="3"/>
  <c r="AR201" i="3"/>
  <c r="AR199" i="3"/>
  <c r="BY163" i="3" l="1"/>
  <c r="AF165" i="2"/>
  <c r="AF267" i="2" s="1"/>
  <c r="AR223" i="3"/>
  <c r="AR227" i="3" s="1"/>
  <c r="AR321" i="4"/>
  <c r="AR202" i="3"/>
  <c r="AR203" i="3" s="1"/>
  <c r="AR333" i="5" s="1"/>
  <c r="BS296" i="1"/>
  <c r="N343" i="1"/>
  <c r="AU125" i="2"/>
  <c r="E233" i="5"/>
  <c r="H264" i="5"/>
  <c r="AR325" i="4"/>
  <c r="BW296" i="1"/>
  <c r="R343" i="1"/>
  <c r="AR324" i="4"/>
  <c r="Q343" i="1"/>
  <c r="BV296" i="1"/>
  <c r="AU35" i="2"/>
  <c r="H249" i="5"/>
  <c r="H253" i="5" s="1"/>
  <c r="AU299" i="2"/>
  <c r="AR204" i="3"/>
  <c r="AR515" i="3" s="1"/>
  <c r="T343" i="1"/>
  <c r="AR322" i="4"/>
  <c r="O343" i="1"/>
  <c r="BT296" i="1"/>
  <c r="AS440" i="3"/>
  <c r="E440" i="3" s="1"/>
  <c r="P95" i="9"/>
  <c r="P96" i="9" s="1"/>
  <c r="E37" i="3"/>
  <c r="AR323" i="4"/>
  <c r="P343" i="1"/>
  <c r="BU296" i="1"/>
  <c r="AR326" i="4"/>
  <c r="S343" i="1"/>
  <c r="BX296" i="1"/>
  <c r="E361" i="3"/>
  <c r="AS362" i="3"/>
  <c r="BK296" i="1" l="1"/>
  <c r="AR334" i="5"/>
  <c r="AR228" i="3"/>
  <c r="AR516" i="3"/>
  <c r="R296" i="1"/>
  <c r="AF183" i="2"/>
  <c r="BY267" i="3"/>
  <c r="AF112" i="5"/>
  <c r="AF140" i="5" s="1"/>
  <c r="AF166" i="2"/>
  <c r="BY166" i="3" s="1"/>
  <c r="BY165" i="3"/>
  <c r="BN296" i="1"/>
  <c r="U296" i="1"/>
  <c r="AU37" i="2"/>
  <c r="AR484" i="3"/>
  <c r="AR485" i="3" s="1"/>
  <c r="AR422" i="3"/>
  <c r="AR424" i="3" s="1"/>
  <c r="AR145" i="3"/>
  <c r="AS302" i="3" s="1"/>
  <c r="E302" i="3" s="1"/>
  <c r="AU302" i="2" s="1"/>
  <c r="AR332" i="5"/>
  <c r="S296" i="1"/>
  <c r="BL296" i="1"/>
  <c r="BQ296" i="1"/>
  <c r="X296" i="1"/>
  <c r="AU363" i="2"/>
  <c r="BP296" i="1"/>
  <c r="W296" i="1"/>
  <c r="M343" i="1"/>
  <c r="U343" i="1" s="1"/>
  <c r="BM296" i="1"/>
  <c r="T296" i="1"/>
  <c r="BO296" i="1"/>
  <c r="V296" i="1"/>
  <c r="AE375" i="1" l="1"/>
  <c r="BY183" i="3"/>
  <c r="AF208" i="2"/>
  <c r="AE363" i="1"/>
  <c r="AE364" i="1" s="1"/>
  <c r="AF184" i="2"/>
  <c r="AR244" i="3"/>
  <c r="AR245" i="3" s="1"/>
  <c r="AR260" i="3" s="1"/>
  <c r="AR146" i="3"/>
  <c r="AR129" i="5" s="1"/>
  <c r="AR197" i="5"/>
  <c r="AR198" i="5" s="1"/>
  <c r="AR199" i="5" s="1"/>
  <c r="AR200" i="5" s="1"/>
  <c r="Z94" i="9"/>
  <c r="AJ94" i="9" s="1"/>
  <c r="AL94" i="9" s="1"/>
  <c r="AR229" i="3"/>
  <c r="AR335" i="5" s="1"/>
  <c r="AR148" i="3"/>
  <c r="AR425" i="3"/>
  <c r="AE367" i="1" l="1"/>
  <c r="AE374" i="1"/>
  <c r="AE377" i="1" s="1"/>
  <c r="BY208" i="3"/>
  <c r="AE378" i="1"/>
  <c r="AF212" i="2"/>
  <c r="AF266" i="2"/>
  <c r="AF94" i="4"/>
  <c r="AF85" i="5"/>
  <c r="AF342" i="5" s="1"/>
  <c r="AF191" i="2"/>
  <c r="AF397" i="5"/>
  <c r="BY184" i="3"/>
  <c r="AF399" i="5"/>
  <c r="AR248" i="3"/>
  <c r="AS8" i="3"/>
  <c r="AR486" i="3" l="1"/>
  <c r="E486" i="3" s="1"/>
  <c r="AF271" i="2"/>
  <c r="AF86" i="4" s="1"/>
  <c r="AF270" i="2"/>
  <c r="BY266" i="3"/>
  <c r="AE382" i="1"/>
  <c r="AE384" i="1" s="1"/>
  <c r="AF193" i="2"/>
  <c r="BY191" i="3"/>
  <c r="AF225" i="2"/>
  <c r="BY225" i="3" s="1"/>
  <c r="BY212" i="3"/>
  <c r="AF218" i="2"/>
  <c r="AS450" i="3"/>
  <c r="AS390" i="3"/>
  <c r="AS447" i="3"/>
  <c r="AS20" i="3"/>
  <c r="AT20" i="3" s="1"/>
  <c r="AS84" i="3"/>
  <c r="AS19" i="3"/>
  <c r="AS373" i="5"/>
  <c r="F95" i="9"/>
  <c r="K95" i="9" s="1"/>
  <c r="AR259" i="3"/>
  <c r="BT94" i="9"/>
  <c r="BY94" i="9" s="1"/>
  <c r="BY218" i="3" l="1"/>
  <c r="AF221" i="2"/>
  <c r="BY221" i="3" s="1"/>
  <c r="AF222" i="2"/>
  <c r="BY222" i="3" s="1"/>
  <c r="AF220" i="2"/>
  <c r="AF197" i="2"/>
  <c r="AF198" i="2"/>
  <c r="AF200" i="2"/>
  <c r="AF199" i="2"/>
  <c r="BY193" i="3"/>
  <c r="AF196" i="2"/>
  <c r="AF201" i="2"/>
  <c r="AF195" i="2"/>
  <c r="BY270" i="3"/>
  <c r="AF88" i="4"/>
  <c r="AF273" i="2" s="1"/>
  <c r="AF86" i="5"/>
  <c r="AF343" i="5" s="1"/>
  <c r="AF32" i="4"/>
  <c r="AH33" i="4" s="1"/>
  <c r="AR261" i="3"/>
  <c r="AR369" i="5"/>
  <c r="E447" i="3"/>
  <c r="AS232" i="3"/>
  <c r="AS365" i="5"/>
  <c r="AS190" i="5"/>
  <c r="AS394" i="3"/>
  <c r="AS392" i="3"/>
  <c r="AS393" i="3"/>
  <c r="AS391" i="3"/>
  <c r="E390" i="3"/>
  <c r="AS238" i="3"/>
  <c r="AS85" i="3"/>
  <c r="AS195" i="5"/>
  <c r="E195" i="5" s="1"/>
  <c r="E84" i="3"/>
  <c r="N127" i="1"/>
  <c r="J19" i="1"/>
  <c r="N43" i="1"/>
  <c r="E232" i="3"/>
  <c r="AU232" i="2" l="1"/>
  <c r="J331" i="1"/>
  <c r="BY201" i="3"/>
  <c r="AF204" i="2"/>
  <c r="AF318" i="4"/>
  <c r="P284" i="1" s="1"/>
  <c r="I331" i="1"/>
  <c r="BY200" i="3"/>
  <c r="BY220" i="3"/>
  <c r="AF223" i="2"/>
  <c r="BY196" i="3"/>
  <c r="E331" i="1"/>
  <c r="AF314" i="4"/>
  <c r="L284" i="1" s="1"/>
  <c r="G331" i="1"/>
  <c r="BY198" i="3"/>
  <c r="AF316" i="4"/>
  <c r="N284" i="1" s="1"/>
  <c r="AH56" i="4"/>
  <c r="AH58" i="4"/>
  <c r="AH57" i="4"/>
  <c r="AH54" i="4"/>
  <c r="AH55" i="4"/>
  <c r="F331" i="1"/>
  <c r="AF315" i="4"/>
  <c r="M284" i="1" s="1"/>
  <c r="BY197" i="3"/>
  <c r="AF202" i="2"/>
  <c r="D331" i="1"/>
  <c r="AF313" i="4"/>
  <c r="K284" i="1" s="1"/>
  <c r="BY195" i="3"/>
  <c r="H331" i="1"/>
  <c r="AF317" i="4"/>
  <c r="O284" i="1" s="1"/>
  <c r="BY199" i="3"/>
  <c r="AS470" i="3"/>
  <c r="E470" i="3" s="1"/>
  <c r="AS290" i="3"/>
  <c r="E290" i="3" s="1"/>
  <c r="E85" i="3"/>
  <c r="AS287" i="3"/>
  <c r="AS395" i="3"/>
  <c r="AS240" i="3"/>
  <c r="AD95" i="9"/>
  <c r="AD96" i="9" s="1"/>
  <c r="E238" i="3"/>
  <c r="AR393" i="5"/>
  <c r="AU84" i="2"/>
  <c r="AD16" i="1"/>
  <c r="C331" i="1" l="1"/>
  <c r="BY223" i="3"/>
  <c r="AF227" i="2"/>
  <c r="AF145" i="2" s="1"/>
  <c r="BY202" i="3"/>
  <c r="AF87" i="5"/>
  <c r="AF344" i="5" s="1"/>
  <c r="AE370" i="1"/>
  <c r="AF203" i="2"/>
  <c r="BY204" i="3"/>
  <c r="AE394" i="1"/>
  <c r="AF515" i="2"/>
  <c r="BY515" i="3" s="1"/>
  <c r="AH59" i="4"/>
  <c r="AU290" i="2"/>
  <c r="AU238" i="2"/>
  <c r="AS303" i="3"/>
  <c r="E287" i="3"/>
  <c r="AS396" i="3"/>
  <c r="E396" i="3" s="1"/>
  <c r="AS405" i="3"/>
  <c r="E395" i="3"/>
  <c r="AI95" i="9"/>
  <c r="AI96" i="9" s="1"/>
  <c r="E240" i="3"/>
  <c r="AU85" i="2"/>
  <c r="E223" i="5"/>
  <c r="AD12" i="1"/>
  <c r="AH61" i="4" l="1"/>
  <c r="AH272" i="2"/>
  <c r="AF484" i="2"/>
  <c r="BY484" i="3" s="1"/>
  <c r="AF146" i="2"/>
  <c r="AF244" i="2"/>
  <c r="AG302" i="2"/>
  <c r="BZ302" i="3" s="1"/>
  <c r="AF148" i="2"/>
  <c r="AF17" i="5"/>
  <c r="AF229" i="2"/>
  <c r="BY145" i="3"/>
  <c r="Z34" i="9"/>
  <c r="AF422" i="2"/>
  <c r="AE385" i="1"/>
  <c r="AE386" i="1" s="1"/>
  <c r="BY227" i="3"/>
  <c r="AE371" i="1"/>
  <c r="AE372" i="1" s="1"/>
  <c r="AF89" i="5"/>
  <c r="AF345" i="5" s="1"/>
  <c r="AE393" i="1"/>
  <c r="AF228" i="2"/>
  <c r="BY228" i="3" s="1"/>
  <c r="AH60" i="4"/>
  <c r="J284" i="1"/>
  <c r="AF88" i="5"/>
  <c r="AF516" i="2"/>
  <c r="BY203" i="3"/>
  <c r="K331" i="1"/>
  <c r="AU240" i="2"/>
  <c r="AU287" i="2"/>
  <c r="E303" i="3"/>
  <c r="AS95" i="3"/>
  <c r="AF485" i="2" l="1"/>
  <c r="BY485" i="3" s="1"/>
  <c r="Z130" i="9"/>
  <c r="AJ34" i="9"/>
  <c r="AL34" i="9" s="1"/>
  <c r="BY148" i="3"/>
  <c r="AF248" i="2"/>
  <c r="AG8" i="2"/>
  <c r="AF384" i="5"/>
  <c r="BY516" i="3"/>
  <c r="BY422" i="3"/>
  <c r="AF424" i="2"/>
  <c r="BY424" i="3" s="1"/>
  <c r="BY229" i="3"/>
  <c r="AF90" i="5"/>
  <c r="AF346" i="5" s="1"/>
  <c r="BY244" i="3"/>
  <c r="AF245" i="2"/>
  <c r="AF213" i="5"/>
  <c r="AF18" i="5"/>
  <c r="AF109" i="5"/>
  <c r="BY146" i="3"/>
  <c r="AS457" i="3"/>
  <c r="AS320" i="3"/>
  <c r="AQ95" i="9"/>
  <c r="E95" i="3"/>
  <c r="AS249" i="3"/>
  <c r="AS103" i="3"/>
  <c r="AU303" i="2"/>
  <c r="E249" i="3"/>
  <c r="AU249" i="2" l="1"/>
  <c r="E9" i="3"/>
  <c r="BY245" i="3"/>
  <c r="AF260" i="2"/>
  <c r="AF259" i="2"/>
  <c r="BY248" i="3"/>
  <c r="BT34" i="9"/>
  <c r="AF425" i="2"/>
  <c r="BY425" i="3" s="1"/>
  <c r="AF214" i="5"/>
  <c r="AF19" i="5"/>
  <c r="AE373" i="1"/>
  <c r="AJ130" i="9"/>
  <c r="AL130" i="9"/>
  <c r="AG447" i="2"/>
  <c r="AG372" i="5"/>
  <c r="AG374" i="5" s="1"/>
  <c r="AF389" i="1"/>
  <c r="F35" i="9"/>
  <c r="BZ8" i="3"/>
  <c r="AG390" i="2"/>
  <c r="I285" i="1"/>
  <c r="AG450" i="2"/>
  <c r="AG19" i="2"/>
  <c r="AF486" i="2"/>
  <c r="BY486" i="3" s="1"/>
  <c r="AG84" i="2"/>
  <c r="AG20" i="2"/>
  <c r="AU95" i="2"/>
  <c r="AQ96" i="9"/>
  <c r="AT95" i="9"/>
  <c r="AS461" i="3"/>
  <c r="E461" i="3" s="1"/>
  <c r="AS331" i="3"/>
  <c r="AW95" i="9"/>
  <c r="E103" i="3"/>
  <c r="E227" i="5" s="1"/>
  <c r="AS250" i="3"/>
  <c r="AS501" i="3"/>
  <c r="AS116" i="3"/>
  <c r="AS175" i="3"/>
  <c r="E320" i="3"/>
  <c r="AS321" i="3"/>
  <c r="E457" i="3"/>
  <c r="E250" i="3"/>
  <c r="E321" i="3"/>
  <c r="E10" i="3" l="1"/>
  <c r="AU250" i="2"/>
  <c r="AU321" i="2"/>
  <c r="AS251" i="3"/>
  <c r="AU9" i="2"/>
  <c r="J164" i="1"/>
  <c r="BZ19" i="3"/>
  <c r="AG232" i="2"/>
  <c r="BZ232" i="3" s="1"/>
  <c r="AF261" i="2"/>
  <c r="BY261" i="3" s="1"/>
  <c r="AG10" i="5"/>
  <c r="AG206" i="5" s="1"/>
  <c r="AG364" i="5"/>
  <c r="AG366" i="5" s="1"/>
  <c r="BZ447" i="3"/>
  <c r="AF215" i="5"/>
  <c r="AF20" i="5"/>
  <c r="BZ450" i="3"/>
  <c r="K35" i="9"/>
  <c r="F131" i="9"/>
  <c r="AF368" i="5"/>
  <c r="AF370" i="5" s="1"/>
  <c r="AF144" i="5" s="1"/>
  <c r="BY259" i="3"/>
  <c r="AG238" i="2"/>
  <c r="AG15" i="5"/>
  <c r="AG212" i="5" s="1"/>
  <c r="BZ84" i="3"/>
  <c r="AG85" i="2"/>
  <c r="BY260" i="3"/>
  <c r="AG394" i="2"/>
  <c r="AG392" i="2"/>
  <c r="BZ390" i="3"/>
  <c r="AG393" i="2"/>
  <c r="AG391" i="2"/>
  <c r="BT130" i="9"/>
  <c r="BY34" i="9"/>
  <c r="BY130" i="9" s="1"/>
  <c r="AW96" i="9"/>
  <c r="AY95" i="9"/>
  <c r="AY96" i="9" s="1"/>
  <c r="AS281" i="3"/>
  <c r="E175" i="3"/>
  <c r="AS503" i="3"/>
  <c r="E501" i="3"/>
  <c r="E331" i="3"/>
  <c r="AS332" i="3"/>
  <c r="AS347" i="3"/>
  <c r="BB95" i="9"/>
  <c r="E116" i="3"/>
  <c r="AS252" i="3"/>
  <c r="AU320" i="2"/>
  <c r="AS117" i="3"/>
  <c r="AU103" i="2"/>
  <c r="AT96" i="9"/>
  <c r="F259" i="5"/>
  <c r="F271" i="5" s="1"/>
  <c r="F272" i="5" s="1"/>
  <c r="E332" i="3"/>
  <c r="E251" i="3"/>
  <c r="E252" i="3"/>
  <c r="K131" i="9" l="1"/>
  <c r="AU252" i="2"/>
  <c r="E12" i="3"/>
  <c r="AU12" i="2" s="1"/>
  <c r="E11" i="3"/>
  <c r="AU251" i="2"/>
  <c r="AU332" i="2"/>
  <c r="BU95" i="9"/>
  <c r="F273" i="5"/>
  <c r="J167" i="1"/>
  <c r="AU10" i="2"/>
  <c r="AF262" i="2"/>
  <c r="AG395" i="2"/>
  <c r="BZ391" i="3"/>
  <c r="BZ394" i="3"/>
  <c r="BZ393" i="3"/>
  <c r="AD35" i="9"/>
  <c r="AD131" i="9" s="1"/>
  <c r="BZ238" i="3"/>
  <c r="AG240" i="2"/>
  <c r="BZ392" i="3"/>
  <c r="AG290" i="2"/>
  <c r="BZ290" i="3" s="1"/>
  <c r="BZ85" i="3"/>
  <c r="AG470" i="2"/>
  <c r="BZ470" i="3" s="1"/>
  <c r="AG287" i="2"/>
  <c r="E347" i="3"/>
  <c r="AS349" i="3"/>
  <c r="AS505" i="3"/>
  <c r="E503" i="3"/>
  <c r="AU116" i="2"/>
  <c r="AU175" i="2"/>
  <c r="BB96" i="9"/>
  <c r="BC95" i="9"/>
  <c r="AU331" i="2"/>
  <c r="E281" i="3"/>
  <c r="AS348" i="3"/>
  <c r="BF95" i="9"/>
  <c r="E117" i="3"/>
  <c r="AS508" i="3"/>
  <c r="AS253" i="3"/>
  <c r="AS118" i="3"/>
  <c r="AS126" i="3" s="1"/>
  <c r="E253" i="3"/>
  <c r="E349" i="3"/>
  <c r="E13" i="3" l="1"/>
  <c r="AU13" i="2" s="1"/>
  <c r="AU253" i="2"/>
  <c r="AU349" i="2"/>
  <c r="AS254" i="3"/>
  <c r="G96" i="9"/>
  <c r="AU11" i="2"/>
  <c r="C11" i="3"/>
  <c r="BZ287" i="3"/>
  <c r="AG303" i="2"/>
  <c r="BZ240" i="3"/>
  <c r="AI35" i="9"/>
  <c r="AI131" i="9" s="1"/>
  <c r="BZ395" i="3"/>
  <c r="AG396" i="2"/>
  <c r="BZ396" i="3" s="1"/>
  <c r="AG405" i="2"/>
  <c r="BZ405" i="3" s="1"/>
  <c r="E348" i="3"/>
  <c r="AS350" i="3"/>
  <c r="AS506" i="3"/>
  <c r="E506" i="3" s="1"/>
  <c r="E505" i="3"/>
  <c r="AS510" i="3"/>
  <c r="E508" i="3"/>
  <c r="AU281" i="2"/>
  <c r="BC96" i="9"/>
  <c r="AU347" i="2"/>
  <c r="AU117" i="2"/>
  <c r="AS464" i="3"/>
  <c r="E118" i="3"/>
  <c r="AS177" i="3"/>
  <c r="BF96" i="9"/>
  <c r="BG95" i="9"/>
  <c r="BG96" i="9" s="1"/>
  <c r="E254" i="3"/>
  <c r="E350" i="3"/>
  <c r="E14" i="3" l="1"/>
  <c r="AU254" i="2"/>
  <c r="AU350" i="2"/>
  <c r="BV95" i="9"/>
  <c r="BZ303" i="3"/>
  <c r="AG95" i="2"/>
  <c r="AG103" i="2" s="1"/>
  <c r="AS467" i="3"/>
  <c r="E467" i="3" s="1"/>
  <c r="AS363" i="3"/>
  <c r="BI95" i="9"/>
  <c r="E126" i="3"/>
  <c r="AS255" i="3"/>
  <c r="AS282" i="3"/>
  <c r="E177" i="3"/>
  <c r="AU118" i="2"/>
  <c r="G262" i="5"/>
  <c r="G271" i="5" s="1"/>
  <c r="G272" i="5" s="1"/>
  <c r="E231" i="5"/>
  <c r="E464" i="3"/>
  <c r="AS512" i="3"/>
  <c r="E510" i="3"/>
  <c r="AU348" i="2"/>
  <c r="E255" i="3"/>
  <c r="G273" i="5" l="1"/>
  <c r="E15" i="3"/>
  <c r="AU255" i="2"/>
  <c r="AS257" i="3"/>
  <c r="E181" i="5"/>
  <c r="C14" i="3"/>
  <c r="AU14" i="2"/>
  <c r="H96" i="9"/>
  <c r="AS472" i="3"/>
  <c r="AS474" i="3"/>
  <c r="AS476" i="3" s="1"/>
  <c r="AS478" i="3" s="1"/>
  <c r="AG116" i="2"/>
  <c r="AG117" i="2" s="1"/>
  <c r="AG501" i="2"/>
  <c r="AG461" i="2"/>
  <c r="BZ461" i="3" s="1"/>
  <c r="AW35" i="9"/>
  <c r="AH10" i="2"/>
  <c r="AG250" i="2"/>
  <c r="BZ250" i="3" s="1"/>
  <c r="BZ103" i="3"/>
  <c r="AG331" i="2"/>
  <c r="BZ95" i="3"/>
  <c r="AG249" i="2"/>
  <c r="AG320" i="2"/>
  <c r="AH9" i="2"/>
  <c r="AG457" i="2"/>
  <c r="AQ35" i="9"/>
  <c r="AG175" i="2"/>
  <c r="AU126" i="2"/>
  <c r="H265" i="5"/>
  <c r="H271" i="5" s="1"/>
  <c r="H272" i="5" s="1"/>
  <c r="E234" i="5"/>
  <c r="E239" i="5" s="1"/>
  <c r="AU177" i="2"/>
  <c r="BI96" i="9"/>
  <c r="BL95" i="9"/>
  <c r="AS513" i="3"/>
  <c r="E513" i="3" s="1"/>
  <c r="E512" i="3"/>
  <c r="E282" i="3"/>
  <c r="AS284" i="3"/>
  <c r="E284" i="3" s="1"/>
  <c r="E363" i="3"/>
  <c r="AS364" i="3"/>
  <c r="E364" i="3"/>
  <c r="E257" i="3"/>
  <c r="E17" i="3" l="1"/>
  <c r="H273" i="5" s="1"/>
  <c r="AU257" i="2"/>
  <c r="I181" i="5"/>
  <c r="K181" i="5"/>
  <c r="M181" i="5" s="1"/>
  <c r="BW95" i="9"/>
  <c r="E472" i="3"/>
  <c r="AS401" i="3"/>
  <c r="AS410" i="3" s="1"/>
  <c r="AS417" i="3" s="1"/>
  <c r="AS399" i="3"/>
  <c r="AS400" i="3"/>
  <c r="AS409" i="3" s="1"/>
  <c r="AS416" i="3" s="1"/>
  <c r="E416" i="3" s="1"/>
  <c r="AS402" i="3"/>
  <c r="AS411" i="3" s="1"/>
  <c r="AS418" i="3" s="1"/>
  <c r="E418" i="3" s="1"/>
  <c r="AU15" i="3"/>
  <c r="AV15" i="3" s="1"/>
  <c r="AU15" i="2"/>
  <c r="AS28" i="3"/>
  <c r="AS241" i="3" s="1"/>
  <c r="BZ175" i="3"/>
  <c r="AG281" i="2"/>
  <c r="BZ320" i="3"/>
  <c r="AG321" i="2"/>
  <c r="BZ331" i="3"/>
  <c r="AG332" i="2"/>
  <c r="AW131" i="9"/>
  <c r="AY35" i="9"/>
  <c r="AY131" i="9" s="1"/>
  <c r="AQ131" i="9"/>
  <c r="AT35" i="9"/>
  <c r="AG251" i="2"/>
  <c r="BZ249" i="3"/>
  <c r="BZ457" i="3"/>
  <c r="BZ501" i="3"/>
  <c r="AG503" i="2"/>
  <c r="CA9" i="3"/>
  <c r="AH489" i="2"/>
  <c r="AH96" i="2"/>
  <c r="AH93" i="2"/>
  <c r="AH11" i="2"/>
  <c r="AG118" i="2"/>
  <c r="AG348" i="2"/>
  <c r="AG253" i="2"/>
  <c r="BZ253" i="3" s="1"/>
  <c r="BF35" i="9"/>
  <c r="AG508" i="2"/>
  <c r="AH13" i="2"/>
  <c r="BZ117" i="3"/>
  <c r="CA10" i="3"/>
  <c r="AH100" i="2"/>
  <c r="BB35" i="9"/>
  <c r="AH12" i="2"/>
  <c r="AG347" i="2"/>
  <c r="AG252" i="2"/>
  <c r="BZ116" i="3"/>
  <c r="D239" i="5"/>
  <c r="AU282" i="2"/>
  <c r="AS480" i="3"/>
  <c r="E478" i="3"/>
  <c r="AU284" i="2"/>
  <c r="BL96" i="9"/>
  <c r="BR95" i="9"/>
  <c r="BR96" i="9" s="1"/>
  <c r="E417" i="3" l="1"/>
  <c r="AS170" i="3"/>
  <c r="AS403" i="3"/>
  <c r="E403" i="3" s="1"/>
  <c r="AS408" i="3"/>
  <c r="C17" i="3"/>
  <c r="AU17" i="3"/>
  <c r="AV17" i="3" s="1"/>
  <c r="AU17" i="2"/>
  <c r="E182" i="5"/>
  <c r="I182" i="5" s="1"/>
  <c r="I96" i="9"/>
  <c r="AS438" i="3"/>
  <c r="AS392" i="5"/>
  <c r="AS191" i="5"/>
  <c r="E191" i="5" s="1"/>
  <c r="E164" i="5" s="1"/>
  <c r="AS139" i="3"/>
  <c r="E139" i="3" s="1"/>
  <c r="E28" i="3"/>
  <c r="M95" i="9"/>
  <c r="AS71" i="3"/>
  <c r="AS387" i="5" s="1"/>
  <c r="AS169" i="3"/>
  <c r="BZ252" i="3"/>
  <c r="AG254" i="2"/>
  <c r="CA489" i="3"/>
  <c r="BZ321" i="3"/>
  <c r="AH306" i="2"/>
  <c r="H285" i="1"/>
  <c r="A286" i="1" s="1"/>
  <c r="AG349" i="2"/>
  <c r="BZ348" i="3"/>
  <c r="AH14" i="2"/>
  <c r="CA13" i="3"/>
  <c r="AH33" i="2"/>
  <c r="BZ349" i="3"/>
  <c r="AG350" i="2"/>
  <c r="AH336" i="2" s="1"/>
  <c r="CA11" i="3"/>
  <c r="G36" i="9"/>
  <c r="G132" i="9" s="1"/>
  <c r="BZ251" i="3"/>
  <c r="BU35" i="9"/>
  <c r="BU131" i="9" s="1"/>
  <c r="AH32" i="2"/>
  <c r="CA12" i="3"/>
  <c r="BZ508" i="3"/>
  <c r="AG510" i="2"/>
  <c r="AG177" i="2"/>
  <c r="AG464" i="2"/>
  <c r="BZ118" i="3"/>
  <c r="AG126" i="2"/>
  <c r="CA93" i="3"/>
  <c r="AH94" i="2"/>
  <c r="AT131" i="9"/>
  <c r="BZ332" i="3"/>
  <c r="AH324" i="2"/>
  <c r="BZ281" i="3"/>
  <c r="CA100" i="3"/>
  <c r="AH102" i="2"/>
  <c r="BB131" i="9"/>
  <c r="BC35" i="9"/>
  <c r="BC131" i="9" s="1"/>
  <c r="BF131" i="9"/>
  <c r="BG35" i="9"/>
  <c r="BG131" i="9" s="1"/>
  <c r="AH310" i="2"/>
  <c r="CA310" i="3" s="1"/>
  <c r="AR36" i="9"/>
  <c r="AR132" i="9" s="1"/>
  <c r="AE36" i="9"/>
  <c r="AE132" i="9" s="1"/>
  <c r="CA96" i="3"/>
  <c r="BZ503" i="3"/>
  <c r="AG505" i="2"/>
  <c r="W95" i="9"/>
  <c r="M96" i="9"/>
  <c r="AS192" i="3"/>
  <c r="E192" i="3" s="1"/>
  <c r="E392" i="5"/>
  <c r="D392" i="5"/>
  <c r="E241" i="3"/>
  <c r="E240" i="5"/>
  <c r="E253" i="5" s="1"/>
  <c r="AU28" i="2"/>
  <c r="AD13" i="1"/>
  <c r="AS444" i="3"/>
  <c r="E444" i="3" s="1"/>
  <c r="E438" i="3"/>
  <c r="AS481" i="3"/>
  <c r="E480" i="3"/>
  <c r="E71" i="3" l="1"/>
  <c r="AS412" i="3"/>
  <c r="AS415" i="3"/>
  <c r="AS210" i="3"/>
  <c r="E210" i="3" s="1"/>
  <c r="AU210" i="2" s="1"/>
  <c r="E170" i="3"/>
  <c r="AU170" i="2" s="1"/>
  <c r="AS268" i="3"/>
  <c r="E268" i="3" s="1"/>
  <c r="AU268" i="2" s="1"/>
  <c r="AS171" i="3"/>
  <c r="E171" i="3" s="1"/>
  <c r="AU171" i="2" s="1"/>
  <c r="E169" i="3"/>
  <c r="AU169" i="2" s="1"/>
  <c r="BZ177" i="3"/>
  <c r="AG282" i="2"/>
  <c r="CA32" i="3"/>
  <c r="AH343" i="2"/>
  <c r="CA344" i="3" s="1"/>
  <c r="AG506" i="2"/>
  <c r="BZ505" i="3"/>
  <c r="AG135" i="2"/>
  <c r="AG363" i="2"/>
  <c r="AH15" i="2"/>
  <c r="BZ126" i="3"/>
  <c r="AG255" i="2"/>
  <c r="AG467" i="2"/>
  <c r="BZ467" i="3" s="1"/>
  <c r="BI35" i="9"/>
  <c r="BZ510" i="3"/>
  <c r="AG512" i="2"/>
  <c r="AH340" i="2"/>
  <c r="CA337" i="3"/>
  <c r="CA14" i="3"/>
  <c r="H36" i="9"/>
  <c r="H132" i="9" s="1"/>
  <c r="CA306" i="3"/>
  <c r="BZ254" i="3"/>
  <c r="BV35" i="9"/>
  <c r="BV131" i="9" s="1"/>
  <c r="AH502" i="2"/>
  <c r="CA502" i="3" s="1"/>
  <c r="AU36" i="9"/>
  <c r="AU132" i="9" s="1"/>
  <c r="AH296" i="2"/>
  <c r="CA296" i="3" s="1"/>
  <c r="CA102" i="3"/>
  <c r="AH460" i="2"/>
  <c r="CA460" i="3" s="1"/>
  <c r="AH326" i="2"/>
  <c r="CA326" i="3" s="1"/>
  <c r="AH378" i="5"/>
  <c r="CA324" i="3"/>
  <c r="CA94" i="3"/>
  <c r="AN36" i="9"/>
  <c r="AN132" i="9" s="1"/>
  <c r="AH491" i="2"/>
  <c r="AH456" i="2"/>
  <c r="CA456" i="3" s="1"/>
  <c r="AH379" i="5"/>
  <c r="AH383" i="5" s="1"/>
  <c r="AH176" i="2"/>
  <c r="AH377" i="5"/>
  <c r="AH308" i="2"/>
  <c r="CA308" i="3" s="1"/>
  <c r="AH293" i="2"/>
  <c r="CA293" i="3" s="1"/>
  <c r="AI92" i="2"/>
  <c r="CB92" i="3" s="1"/>
  <c r="AH29" i="2"/>
  <c r="BZ464" i="3"/>
  <c r="AH34" i="2"/>
  <c r="AH344" i="2"/>
  <c r="CA345" i="3" s="1"/>
  <c r="CA33" i="3"/>
  <c r="AH335" i="2"/>
  <c r="BZ350" i="3"/>
  <c r="E387" i="5"/>
  <c r="D387" i="5"/>
  <c r="D253" i="5"/>
  <c r="AU139" i="2"/>
  <c r="E481" i="3"/>
  <c r="AS482" i="3"/>
  <c r="E482" i="3" s="1"/>
  <c r="AJ17" i="1" s="1"/>
  <c r="W96" i="9"/>
  <c r="AU241" i="2"/>
  <c r="AU192" i="2"/>
  <c r="AT366" i="1" s="1"/>
  <c r="AT367" i="1" s="1"/>
  <c r="AU71" i="2"/>
  <c r="AS419" i="3" l="1"/>
  <c r="E415" i="3"/>
  <c r="AS182" i="3"/>
  <c r="AS207" i="3" s="1"/>
  <c r="E412" i="3"/>
  <c r="AS413" i="3"/>
  <c r="AH327" i="2"/>
  <c r="CA327" i="3" s="1"/>
  <c r="AH317" i="2"/>
  <c r="CA317" i="3" s="1"/>
  <c r="CA29" i="3"/>
  <c r="CA491" i="3"/>
  <c r="AH494" i="2"/>
  <c r="CA494" i="3" s="1"/>
  <c r="AH493" i="2"/>
  <c r="BZ512" i="3"/>
  <c r="AG513" i="2"/>
  <c r="BZ255" i="3"/>
  <c r="AG257" i="2"/>
  <c r="BZ135" i="3"/>
  <c r="AG382" i="2"/>
  <c r="AH18" i="2"/>
  <c r="AG469" i="2"/>
  <c r="BO35" i="9"/>
  <c r="AG258" i="2"/>
  <c r="O36" i="9"/>
  <c r="O132" i="9" s="1"/>
  <c r="CA34" i="3"/>
  <c r="CA336" i="3"/>
  <c r="CA335" i="3"/>
  <c r="AH339" i="2"/>
  <c r="CA176" i="3"/>
  <c r="AG357" i="1"/>
  <c r="AH309" i="2"/>
  <c r="BI131" i="9"/>
  <c r="BL35" i="9"/>
  <c r="CA15" i="3"/>
  <c r="AH127" i="2"/>
  <c r="AH17" i="2"/>
  <c r="BZ282" i="3"/>
  <c r="AG284" i="2"/>
  <c r="AH313" i="2"/>
  <c r="CA341" i="3"/>
  <c r="AH114" i="2"/>
  <c r="AG364" i="2"/>
  <c r="AH353" i="2" s="1"/>
  <c r="BZ364" i="3"/>
  <c r="E182" i="3" l="1"/>
  <c r="AS153" i="3"/>
  <c r="AS154" i="3" s="1"/>
  <c r="AS156" i="3" s="1"/>
  <c r="E419" i="3"/>
  <c r="AS420" i="3"/>
  <c r="E420" i="3" s="1"/>
  <c r="AH319" i="2"/>
  <c r="CA319" i="3" s="1"/>
  <c r="AH99" i="2"/>
  <c r="AV36" i="9" s="1"/>
  <c r="AV132" i="9" s="1"/>
  <c r="AH342" i="2"/>
  <c r="CA114" i="3"/>
  <c r="BE36" i="9"/>
  <c r="BE132" i="9" s="1"/>
  <c r="BZ258" i="3"/>
  <c r="AG175" i="5"/>
  <c r="BX35" i="9"/>
  <c r="BX131" i="9" s="1"/>
  <c r="BZ382" i="3"/>
  <c r="AG383" i="2"/>
  <c r="BL131" i="9"/>
  <c r="BO131" i="9"/>
  <c r="BP35" i="9"/>
  <c r="BP131" i="9" s="1"/>
  <c r="CA493" i="3"/>
  <c r="AH496" i="2"/>
  <c r="CA17" i="3"/>
  <c r="I36" i="9"/>
  <c r="I132" i="9" s="1"/>
  <c r="BZ469" i="3"/>
  <c r="AG472" i="2"/>
  <c r="AG474" i="2"/>
  <c r="BZ257" i="3"/>
  <c r="BW35" i="9"/>
  <c r="BW131" i="9" s="1"/>
  <c r="AG391" i="1"/>
  <c r="CA353" i="3"/>
  <c r="BZ284" i="3"/>
  <c r="AF359" i="1"/>
  <c r="AG36" i="9"/>
  <c r="AG132" i="9" s="1"/>
  <c r="BK36" i="9"/>
  <c r="BK132" i="9" s="1"/>
  <c r="CA127" i="3"/>
  <c r="AH355" i="2"/>
  <c r="CA355" i="3" s="1"/>
  <c r="CA309" i="3"/>
  <c r="AG390" i="1"/>
  <c r="AH113" i="2"/>
  <c r="CA340" i="3"/>
  <c r="CA18" i="3"/>
  <c r="AH38" i="2"/>
  <c r="J36" i="9"/>
  <c r="J132" i="9" s="1"/>
  <c r="E286" i="1"/>
  <c r="E207" i="3"/>
  <c r="AU182" i="2"/>
  <c r="E153" i="3"/>
  <c r="AH295" i="2" l="1"/>
  <c r="CA295" i="3" s="1"/>
  <c r="CA99" i="3"/>
  <c r="AH459" i="2"/>
  <c r="CA459" i="3" s="1"/>
  <c r="AH328" i="2"/>
  <c r="AI101" i="2"/>
  <c r="CB101" i="3" s="1"/>
  <c r="AH30" i="2"/>
  <c r="CA30" i="3" s="1"/>
  <c r="AH357" i="2"/>
  <c r="BZ383" i="3"/>
  <c r="AH377" i="2"/>
  <c r="BA36" i="9"/>
  <c r="BA132" i="9" s="1"/>
  <c r="AH115" i="2"/>
  <c r="AH341" i="2"/>
  <c r="CA113" i="3"/>
  <c r="BZ474" i="3"/>
  <c r="AG476" i="2"/>
  <c r="AH379" i="2"/>
  <c r="CA379" i="3" s="1"/>
  <c r="Q36" i="9"/>
  <c r="Q132" i="9" s="1"/>
  <c r="AH173" i="5"/>
  <c r="CA38" i="3"/>
  <c r="BZ472" i="3"/>
  <c r="AG28" i="2"/>
  <c r="AG400" i="2"/>
  <c r="AG401" i="2"/>
  <c r="AG399" i="2"/>
  <c r="AG402" i="2"/>
  <c r="AH497" i="2"/>
  <c r="CA496" i="3"/>
  <c r="BR35" i="9"/>
  <c r="BR131" i="9" s="1"/>
  <c r="CA328" i="3"/>
  <c r="CA343" i="3"/>
  <c r="AH346" i="2"/>
  <c r="CA347" i="3" s="1"/>
  <c r="E154" i="3"/>
  <c r="AU207" i="2"/>
  <c r="AU153" i="2"/>
  <c r="AH31" i="2" l="1"/>
  <c r="CA31" i="3" s="1"/>
  <c r="AH329" i="2"/>
  <c r="CA497" i="3"/>
  <c r="AH498" i="2"/>
  <c r="CA498" i="3" s="1"/>
  <c r="BZ400" i="3"/>
  <c r="AG409" i="2"/>
  <c r="BZ402" i="3"/>
  <c r="AG411" i="2"/>
  <c r="AG139" i="2"/>
  <c r="BZ139" i="3" s="1"/>
  <c r="AG11" i="5"/>
  <c r="AG207" i="5" s="1"/>
  <c r="AG241" i="2"/>
  <c r="BZ241" i="3" s="1"/>
  <c r="AG71" i="2"/>
  <c r="BZ28" i="3"/>
  <c r="AG169" i="2"/>
  <c r="M35" i="9"/>
  <c r="AG438" i="2"/>
  <c r="AG390" i="5"/>
  <c r="CA377" i="3"/>
  <c r="AH381" i="2"/>
  <c r="CA381" i="3" s="1"/>
  <c r="BZ399" i="3"/>
  <c r="AG403" i="2"/>
  <c r="BZ403" i="3" s="1"/>
  <c r="AG408" i="2"/>
  <c r="CA342" i="3"/>
  <c r="AH345" i="2"/>
  <c r="CA346" i="3" s="1"/>
  <c r="BZ401" i="3"/>
  <c r="AG410" i="2"/>
  <c r="AG478" i="2"/>
  <c r="BZ476" i="3"/>
  <c r="CA115" i="3"/>
  <c r="AH298" i="2"/>
  <c r="CA298" i="3" s="1"/>
  <c r="AH462" i="2"/>
  <c r="CA462" i="3" s="1"/>
  <c r="CA358" i="3"/>
  <c r="AH121" i="2"/>
  <c r="AU154" i="2"/>
  <c r="AS158" i="3"/>
  <c r="AS159" i="3"/>
  <c r="E156" i="3"/>
  <c r="N36" i="9" l="1"/>
  <c r="N132" i="9" s="1"/>
  <c r="AH439" i="2"/>
  <c r="CA439" i="3" s="1"/>
  <c r="CA329" i="3"/>
  <c r="AH330" i="2"/>
  <c r="CA330" i="3" s="1"/>
  <c r="AG417" i="2"/>
  <c r="BZ410" i="3"/>
  <c r="BZ408" i="3"/>
  <c r="AG415" i="2"/>
  <c r="AG412" i="2"/>
  <c r="BZ412" i="3" s="1"/>
  <c r="W35" i="9"/>
  <c r="M131" i="9"/>
  <c r="BZ409" i="3"/>
  <c r="AG416" i="2"/>
  <c r="BZ416" i="3" s="1"/>
  <c r="AH358" i="2"/>
  <c r="CA121" i="3"/>
  <c r="BZ169" i="3"/>
  <c r="AF354" i="1"/>
  <c r="AG394" i="5"/>
  <c r="AG391" i="5"/>
  <c r="AG395" i="5" s="1"/>
  <c r="BZ478" i="3"/>
  <c r="AG480" i="2"/>
  <c r="BZ438" i="3"/>
  <c r="AG444" i="2"/>
  <c r="BZ444" i="3" s="1"/>
  <c r="AG386" i="5"/>
  <c r="AG388" i="5" s="1"/>
  <c r="BZ71" i="3"/>
  <c r="AF368" i="1"/>
  <c r="BZ411" i="3"/>
  <c r="AG418" i="2"/>
  <c r="BZ418" i="3" s="1"/>
  <c r="AU156" i="2"/>
  <c r="AS160" i="3"/>
  <c r="E159" i="3"/>
  <c r="AS162" i="3"/>
  <c r="E162" i="3" s="1"/>
  <c r="E158" i="3"/>
  <c r="W131" i="9" l="1"/>
  <c r="AG413" i="2"/>
  <c r="BZ415" i="3"/>
  <c r="AG419" i="2"/>
  <c r="CA359" i="3"/>
  <c r="AH359" i="2"/>
  <c r="AG481" i="2"/>
  <c r="AG420" i="2"/>
  <c r="BZ420" i="3" s="1"/>
  <c r="BZ480" i="3"/>
  <c r="BZ417" i="3"/>
  <c r="AG170" i="2"/>
  <c r="AU158" i="2"/>
  <c r="AU162" i="2"/>
  <c r="AU159" i="2"/>
  <c r="AS161" i="3"/>
  <c r="E160" i="3"/>
  <c r="AG210" i="2" l="1"/>
  <c r="AG268" i="2"/>
  <c r="BZ268" i="3" s="1"/>
  <c r="AF355" i="1"/>
  <c r="BZ170" i="3"/>
  <c r="AG192" i="2"/>
  <c r="AG171" i="2"/>
  <c r="BZ481" i="3"/>
  <c r="AG482" i="2"/>
  <c r="BZ482" i="3" s="1"/>
  <c r="BZ419" i="3"/>
  <c r="CA360" i="3"/>
  <c r="AH122" i="2"/>
  <c r="AS163" i="3"/>
  <c r="E161" i="3"/>
  <c r="AU160" i="2"/>
  <c r="AF356" i="1" l="1"/>
  <c r="AF361" i="1" s="1"/>
  <c r="BZ171" i="3"/>
  <c r="AH360" i="2"/>
  <c r="CA122" i="3"/>
  <c r="AH123" i="2"/>
  <c r="BZ192" i="3"/>
  <c r="AF366" i="1"/>
  <c r="AG182" i="2"/>
  <c r="AF380" i="1"/>
  <c r="BZ210" i="3"/>
  <c r="AS165" i="3"/>
  <c r="E163" i="3"/>
  <c r="AU161" i="2"/>
  <c r="AS166" i="3" l="1"/>
  <c r="AS267" i="3"/>
  <c r="E267" i="3" s="1"/>
  <c r="BZ182" i="3"/>
  <c r="AG153" i="2"/>
  <c r="AG207" i="2"/>
  <c r="CA361" i="3"/>
  <c r="BH36" i="9"/>
  <c r="BH132" i="9" s="1"/>
  <c r="AH125" i="2"/>
  <c r="CA123" i="3"/>
  <c r="AH35" i="2"/>
  <c r="AS183" i="3"/>
  <c r="AS139" i="5"/>
  <c r="E165" i="3"/>
  <c r="AU163" i="2"/>
  <c r="CA125" i="3" l="1"/>
  <c r="AH299" i="2"/>
  <c r="CA299" i="3" s="1"/>
  <c r="AH466" i="2"/>
  <c r="CA466" i="3" s="1"/>
  <c r="BZ207" i="3"/>
  <c r="CA35" i="3"/>
  <c r="AH361" i="2"/>
  <c r="AH37" i="2"/>
  <c r="AG154" i="2"/>
  <c r="BZ153" i="3"/>
  <c r="E139" i="5"/>
  <c r="D139" i="5"/>
  <c r="AS208" i="3"/>
  <c r="E183" i="3"/>
  <c r="AS184" i="3"/>
  <c r="AU267" i="2"/>
  <c r="AU165" i="2"/>
  <c r="AH440" i="2" l="1"/>
  <c r="CA440" i="3" s="1"/>
  <c r="P36" i="9"/>
  <c r="P132" i="9" s="1"/>
  <c r="CA37" i="3"/>
  <c r="CA356" i="3"/>
  <c r="CA362" i="3"/>
  <c r="AH362" i="2"/>
  <c r="CA363" i="3" s="1"/>
  <c r="BZ154" i="3"/>
  <c r="AG156" i="2"/>
  <c r="AS95" i="4"/>
  <c r="AS266" i="3"/>
  <c r="AS270" i="3" s="1"/>
  <c r="E270" i="3" s="1"/>
  <c r="AS191" i="3"/>
  <c r="AS398" i="5"/>
  <c r="AS330" i="5"/>
  <c r="E330" i="5" s="1"/>
  <c r="E184" i="3"/>
  <c r="AU183" i="2"/>
  <c r="E208" i="3"/>
  <c r="AS212" i="3"/>
  <c r="AG158" i="2" l="1"/>
  <c r="BZ156" i="3"/>
  <c r="AG159" i="2"/>
  <c r="AS225" i="3"/>
  <c r="E225" i="3" s="1"/>
  <c r="AS218" i="3"/>
  <c r="E212" i="3"/>
  <c r="E398" i="5"/>
  <c r="D398" i="5"/>
  <c r="AU184" i="2"/>
  <c r="AS193" i="3"/>
  <c r="E191" i="3"/>
  <c r="AU208" i="2"/>
  <c r="E266" i="3"/>
  <c r="BZ159" i="3" l="1"/>
  <c r="AG160" i="2"/>
  <c r="BZ158" i="3"/>
  <c r="AG162" i="2"/>
  <c r="BZ162" i="3" s="1"/>
  <c r="AU266" i="2"/>
  <c r="AU212" i="2"/>
  <c r="AS64" i="4"/>
  <c r="D64" i="4" s="1"/>
  <c r="AS331" i="5"/>
  <c r="E331" i="5" s="1"/>
  <c r="AU191" i="2"/>
  <c r="AS220" i="3"/>
  <c r="AS221" i="3"/>
  <c r="E221" i="3" s="1"/>
  <c r="AS222" i="3"/>
  <c r="E222" i="3" s="1"/>
  <c r="E218" i="3"/>
  <c r="AS199" i="3"/>
  <c r="AS195" i="3"/>
  <c r="AS201" i="3"/>
  <c r="AS197" i="3"/>
  <c r="AS196" i="3"/>
  <c r="AS198" i="3"/>
  <c r="AS200" i="3"/>
  <c r="E193" i="3"/>
  <c r="AU225" i="2"/>
  <c r="BZ160" i="3" l="1"/>
  <c r="AG161" i="2"/>
  <c r="AS324" i="4"/>
  <c r="Q344" i="1"/>
  <c r="Q303" i="1" s="1"/>
  <c r="BV297" i="1"/>
  <c r="E198" i="3"/>
  <c r="AS321" i="4"/>
  <c r="AS202" i="3"/>
  <c r="AS203" i="3" s="1"/>
  <c r="AS333" i="5" s="1"/>
  <c r="N344" i="1"/>
  <c r="BS297" i="1"/>
  <c r="E195" i="3"/>
  <c r="AU221" i="2"/>
  <c r="AU193" i="2"/>
  <c r="AS322" i="4"/>
  <c r="O344" i="1"/>
  <c r="O303" i="1" s="1"/>
  <c r="BT297" i="1"/>
  <c r="E196" i="3"/>
  <c r="AS325" i="4"/>
  <c r="R344" i="1"/>
  <c r="R303" i="1" s="1"/>
  <c r="BW297" i="1"/>
  <c r="E199" i="3"/>
  <c r="AS326" i="4"/>
  <c r="BX297" i="1"/>
  <c r="S344" i="1"/>
  <c r="S303" i="1" s="1"/>
  <c r="E200" i="3"/>
  <c r="AS323" i="4"/>
  <c r="BU297" i="1"/>
  <c r="P344" i="1"/>
  <c r="P303" i="1" s="1"/>
  <c r="E197" i="3"/>
  <c r="AU218" i="2"/>
  <c r="AS223" i="3"/>
  <c r="AS227" i="3" s="1"/>
  <c r="AS228" i="3" s="1"/>
  <c r="E220" i="3"/>
  <c r="AS204" i="3"/>
  <c r="AS515" i="3" s="1"/>
  <c r="E515" i="3" s="1"/>
  <c r="T344" i="1"/>
  <c r="T303" i="1" s="1"/>
  <c r="E201" i="3"/>
  <c r="AU222" i="2"/>
  <c r="AU270" i="2"/>
  <c r="AS516" i="3" l="1"/>
  <c r="E516" i="3" s="1"/>
  <c r="E169" i="5" s="1"/>
  <c r="R297" i="1"/>
  <c r="BK297" i="1"/>
  <c r="BZ161" i="3"/>
  <c r="AG163" i="2"/>
  <c r="AU201" i="2"/>
  <c r="E223" i="3"/>
  <c r="AU220" i="2"/>
  <c r="AU199" i="2"/>
  <c r="AU196" i="2"/>
  <c r="AS484" i="3"/>
  <c r="AS422" i="3"/>
  <c r="AS145" i="3"/>
  <c r="AS332" i="5"/>
  <c r="E202" i="3"/>
  <c r="AS334" i="5"/>
  <c r="E334" i="5" s="1"/>
  <c r="E227" i="3"/>
  <c r="BN297" i="1"/>
  <c r="U297" i="1"/>
  <c r="X297" i="1"/>
  <c r="BQ297" i="1"/>
  <c r="AU195" i="2"/>
  <c r="BL297" i="1"/>
  <c r="S297" i="1"/>
  <c r="BO297" i="1"/>
  <c r="V297" i="1"/>
  <c r="AU197" i="2"/>
  <c r="AU200" i="2"/>
  <c r="AU198" i="2"/>
  <c r="BP297" i="1"/>
  <c r="W297" i="1"/>
  <c r="BM297" i="1"/>
  <c r="T297" i="1"/>
  <c r="M344" i="1"/>
  <c r="U344" i="1" s="1"/>
  <c r="U304" i="1" s="1"/>
  <c r="N303" i="1"/>
  <c r="M303" i="1" s="1"/>
  <c r="AG165" i="2" l="1"/>
  <c r="AG267" i="2" s="1"/>
  <c r="BZ163" i="3"/>
  <c r="AU202" i="2"/>
  <c r="E203" i="3"/>
  <c r="E484" i="3"/>
  <c r="AS485" i="3"/>
  <c r="E332" i="5"/>
  <c r="D332" i="5"/>
  <c r="E358" i="5" s="1"/>
  <c r="AU223" i="2"/>
  <c r="AS244" i="3"/>
  <c r="AS146" i="3"/>
  <c r="Z95" i="9"/>
  <c r="AS197" i="5"/>
  <c r="E145" i="3"/>
  <c r="AD18" i="1"/>
  <c r="AD20" i="1" s="1"/>
  <c r="AS148" i="3"/>
  <c r="AS229" i="3"/>
  <c r="E228" i="3"/>
  <c r="AU227" i="2"/>
  <c r="E422" i="3"/>
  <c r="AS424" i="3"/>
  <c r="D146" i="3"/>
  <c r="AS129" i="5" l="1"/>
  <c r="BZ165" i="3"/>
  <c r="AG112" i="5"/>
  <c r="AG140" i="5" s="1"/>
  <c r="BZ267" i="3"/>
  <c r="AG183" i="2"/>
  <c r="AG166" i="2"/>
  <c r="BZ166" i="3" s="1"/>
  <c r="E420" i="1"/>
  <c r="F420" i="1" s="1"/>
  <c r="E357" i="5"/>
  <c r="E146" i="3"/>
  <c r="AU145" i="2"/>
  <c r="E244" i="3"/>
  <c r="AS245" i="3"/>
  <c r="E245" i="3" s="1"/>
  <c r="AU203" i="2"/>
  <c r="AS335" i="5"/>
  <c r="E229" i="3"/>
  <c r="E197" i="5"/>
  <c r="E165" i="5" s="1"/>
  <c r="AS198" i="5"/>
  <c r="E148" i="3"/>
  <c r="AS248" i="3"/>
  <c r="AJ95" i="9"/>
  <c r="AL95" i="9" s="1"/>
  <c r="Z96" i="9"/>
  <c r="AS425" i="3"/>
  <c r="E248" i="3"/>
  <c r="AU248" i="2" l="1"/>
  <c r="F96" i="9"/>
  <c r="K96" i="9" s="1"/>
  <c r="E8" i="3"/>
  <c r="AF363" i="1"/>
  <c r="AF364" i="1" s="1"/>
  <c r="AG208" i="2"/>
  <c r="BZ183" i="3"/>
  <c r="AF375" i="1"/>
  <c r="AG184" i="2"/>
  <c r="AJ96" i="9"/>
  <c r="AU229" i="2"/>
  <c r="E254" i="5"/>
  <c r="E271" i="5" s="1"/>
  <c r="AU146" i="2"/>
  <c r="E129" i="5"/>
  <c r="AS259" i="3"/>
  <c r="BT95" i="9"/>
  <c r="BY95" i="9" s="1"/>
  <c r="E335" i="5"/>
  <c r="D335" i="5"/>
  <c r="E356" i="5" s="1"/>
  <c r="AU245" i="2"/>
  <c r="AU148" i="2"/>
  <c r="E198" i="5"/>
  <c r="AS199" i="5"/>
  <c r="AU244" i="2"/>
  <c r="E259" i="3"/>
  <c r="E199" i="5"/>
  <c r="E160" i="5" l="1"/>
  <c r="AU259" i="2"/>
  <c r="E19" i="3"/>
  <c r="AD22" i="1"/>
  <c r="AD23" i="1" s="1"/>
  <c r="AJ15" i="1" s="1"/>
  <c r="E260" i="3"/>
  <c r="D259" i="3"/>
  <c r="AS200" i="5"/>
  <c r="E200" i="5" s="1"/>
  <c r="E180" i="5"/>
  <c r="C19" i="3"/>
  <c r="N126" i="1"/>
  <c r="C8" i="3"/>
  <c r="N42" i="1"/>
  <c r="E373" i="5"/>
  <c r="AU8" i="2"/>
  <c r="BZ208" i="3"/>
  <c r="AF378" i="1"/>
  <c r="AG212" i="2"/>
  <c r="AG94" i="4"/>
  <c r="AG397" i="5"/>
  <c r="BZ184" i="3"/>
  <c r="AG85" i="5"/>
  <c r="AG342" i="5" s="1"/>
  <c r="AG191" i="2"/>
  <c r="AG399" i="5"/>
  <c r="AG266" i="2"/>
  <c r="AF374" i="1"/>
  <c r="AF377" i="1" s="1"/>
  <c r="AF367" i="1"/>
  <c r="D271" i="5"/>
  <c r="D272" i="5" s="1"/>
  <c r="E272" i="5"/>
  <c r="E273" i="5" s="1"/>
  <c r="E355" i="5"/>
  <c r="E419" i="1"/>
  <c r="F419" i="1" s="1"/>
  <c r="AS261" i="3"/>
  <c r="E261" i="3" s="1"/>
  <c r="AS369" i="5"/>
  <c r="AG270" i="2" l="1"/>
  <c r="AG271" i="2"/>
  <c r="AG86" i="4" s="1"/>
  <c r="I180" i="5"/>
  <c r="E184" i="5"/>
  <c r="K97" i="9"/>
  <c r="E97" i="9" s="1"/>
  <c r="AJ12" i="1" s="1"/>
  <c r="AU19" i="2"/>
  <c r="M19" i="1"/>
  <c r="E365" i="5"/>
  <c r="E353" i="5" s="1"/>
  <c r="C353" i="5" s="1"/>
  <c r="E369" i="5"/>
  <c r="AF382" i="1"/>
  <c r="AF384" i="1" s="1"/>
  <c r="BZ191" i="3"/>
  <c r="AG193" i="2"/>
  <c r="BZ212" i="3"/>
  <c r="AG218" i="2"/>
  <c r="AG225" i="2"/>
  <c r="BZ225" i="3" s="1"/>
  <c r="BZ266" i="3"/>
  <c r="AS393" i="5"/>
  <c r="D273" i="5"/>
  <c r="AJ13" i="1" s="1"/>
  <c r="C273" i="5"/>
  <c r="I248" i="1" l="1"/>
  <c r="E418" i="1"/>
  <c r="F418" i="1" s="1"/>
  <c r="M180" i="5"/>
  <c r="M184" i="5" s="1"/>
  <c r="I184" i="5"/>
  <c r="BZ218" i="3"/>
  <c r="AG220" i="2"/>
  <c r="AG221" i="2"/>
  <c r="BZ221" i="3" s="1"/>
  <c r="AG222" i="2"/>
  <c r="BZ222" i="3" s="1"/>
  <c r="AG86" i="5"/>
  <c r="AG343" i="5" s="1"/>
  <c r="AG88" i="4"/>
  <c r="AG273" i="2" s="1"/>
  <c r="AG32" i="4"/>
  <c r="AI33" i="4" s="1"/>
  <c r="BZ270" i="3"/>
  <c r="AG196" i="2"/>
  <c r="AG197" i="2"/>
  <c r="AG199" i="2"/>
  <c r="AG201" i="2"/>
  <c r="BZ193" i="3"/>
  <c r="AG195" i="2"/>
  <c r="AG198" i="2"/>
  <c r="AG200" i="2"/>
  <c r="BZ198" i="3" l="1"/>
  <c r="AG316" i="4"/>
  <c r="N285" i="1" s="1"/>
  <c r="G332" i="1"/>
  <c r="AG317" i="4"/>
  <c r="O285" i="1" s="1"/>
  <c r="BZ199" i="3"/>
  <c r="H332" i="1"/>
  <c r="AI57" i="4"/>
  <c r="AI54" i="4"/>
  <c r="AI55" i="4"/>
  <c r="AI58" i="4"/>
  <c r="AI56" i="4"/>
  <c r="AG315" i="4"/>
  <c r="M285" i="1" s="1"/>
  <c r="BZ197" i="3"/>
  <c r="F332" i="1"/>
  <c r="AG202" i="2"/>
  <c r="D332" i="1"/>
  <c r="BZ195" i="3"/>
  <c r="AG313" i="4"/>
  <c r="K285" i="1" s="1"/>
  <c r="BZ196" i="3"/>
  <c r="E332" i="1"/>
  <c r="AG314" i="4"/>
  <c r="L285" i="1" s="1"/>
  <c r="BZ220" i="3"/>
  <c r="AG223" i="2"/>
  <c r="AG318" i="4"/>
  <c r="P285" i="1" s="1"/>
  <c r="BZ200" i="3"/>
  <c r="I332" i="1"/>
  <c r="J332" i="1"/>
  <c r="BZ201" i="3"/>
  <c r="AG204" i="2"/>
  <c r="AI59" i="4" l="1"/>
  <c r="AI272" i="2" s="1"/>
  <c r="C332" i="1"/>
  <c r="BZ223" i="3"/>
  <c r="AG227" i="2"/>
  <c r="AG145" i="2" s="1"/>
  <c r="BZ202" i="3"/>
  <c r="AG87" i="5"/>
  <c r="AG344" i="5" s="1"/>
  <c r="AF370" i="1"/>
  <c r="AG203" i="2"/>
  <c r="BZ204" i="3"/>
  <c r="AF394" i="1"/>
  <c r="AG515" i="2"/>
  <c r="BZ515" i="3" s="1"/>
  <c r="AI60" i="4" l="1"/>
  <c r="AI61" i="4"/>
  <c r="AG484" i="2"/>
  <c r="AG485" i="2" s="1"/>
  <c r="K332" i="1"/>
  <c r="AG88" i="5"/>
  <c r="AG516" i="2"/>
  <c r="BZ203" i="3"/>
  <c r="J285" i="1"/>
  <c r="AG422" i="2"/>
  <c r="AF371" i="1"/>
  <c r="AF372" i="1" s="1"/>
  <c r="BZ227" i="3"/>
  <c r="AF393" i="1"/>
  <c r="AF385" i="1"/>
  <c r="AF386" i="1" s="1"/>
  <c r="AG89" i="5"/>
  <c r="AG345" i="5" s="1"/>
  <c r="AG228" i="2"/>
  <c r="BZ228" i="3" s="1"/>
  <c r="BZ145" i="3"/>
  <c r="Z35" i="9"/>
  <c r="AH302" i="2"/>
  <c r="CA302" i="3" s="1"/>
  <c r="AG17" i="5"/>
  <c r="AG146" i="2"/>
  <c r="AG229" i="2"/>
  <c r="AG244" i="2"/>
  <c r="AG148" i="2"/>
  <c r="BZ484" i="3" l="1"/>
  <c r="BZ516" i="3"/>
  <c r="AG384" i="5"/>
  <c r="AG245" i="2"/>
  <c r="BZ244" i="3"/>
  <c r="BZ229" i="3"/>
  <c r="AG90" i="5"/>
  <c r="AG346" i="5" s="1"/>
  <c r="BZ146" i="3"/>
  <c r="AG109" i="5"/>
  <c r="BZ485" i="3"/>
  <c r="Z131" i="9"/>
  <c r="AJ35" i="9"/>
  <c r="AL35" i="9" s="1"/>
  <c r="BZ422" i="3"/>
  <c r="AG424" i="2"/>
  <c r="BZ424" i="3" s="1"/>
  <c r="AH8" i="2"/>
  <c r="AG248" i="2"/>
  <c r="BZ148" i="3"/>
  <c r="AG213" i="5"/>
  <c r="AG18" i="5"/>
  <c r="AH450" i="2" l="1"/>
  <c r="F36" i="9"/>
  <c r="AH19" i="2"/>
  <c r="AH447" i="2"/>
  <c r="AG389" i="1"/>
  <c r="I286" i="1"/>
  <c r="CA8" i="3"/>
  <c r="AH84" i="2"/>
  <c r="AH372" i="5"/>
  <c r="AH374" i="5" s="1"/>
  <c r="AG486" i="2"/>
  <c r="BZ486" i="3" s="1"/>
  <c r="AH390" i="2"/>
  <c r="AH20" i="2"/>
  <c r="BZ245" i="3"/>
  <c r="AG260" i="2"/>
  <c r="AG425" i="2"/>
  <c r="BZ425" i="3" s="1"/>
  <c r="AG214" i="5"/>
  <c r="AG19" i="5"/>
  <c r="BZ248" i="3"/>
  <c r="AG259" i="2"/>
  <c r="BT35" i="9"/>
  <c r="AJ131" i="9"/>
  <c r="AL131" i="9"/>
  <c r="AF373" i="1"/>
  <c r="AH15" i="5" l="1"/>
  <c r="AH212" i="5" s="1"/>
  <c r="AH238" i="2"/>
  <c r="CA84" i="3"/>
  <c r="AH85" i="2"/>
  <c r="CA447" i="3"/>
  <c r="BZ260" i="3"/>
  <c r="CA390" i="3"/>
  <c r="AH391" i="2"/>
  <c r="AH394" i="2"/>
  <c r="AH392" i="2"/>
  <c r="AH393" i="2"/>
  <c r="AH364" i="5"/>
  <c r="AH366" i="5" s="1"/>
  <c r="CA19" i="3"/>
  <c r="AH10" i="5"/>
  <c r="AH206" i="5" s="1"/>
  <c r="AG261" i="2"/>
  <c r="BZ261" i="3" s="1"/>
  <c r="AH232" i="2"/>
  <c r="CA232" i="3" s="1"/>
  <c r="BZ259" i="3"/>
  <c r="AG368" i="5"/>
  <c r="AG370" i="5" s="1"/>
  <c r="AG144" i="5" s="1"/>
  <c r="F132" i="9"/>
  <c r="K36" i="9"/>
  <c r="AG20" i="5"/>
  <c r="AG215" i="5"/>
  <c r="BT131" i="9"/>
  <c r="BY35" i="9"/>
  <c r="BY131" i="9" s="1"/>
  <c r="CA450" i="3"/>
  <c r="K132" i="9" l="1"/>
  <c r="CA392" i="3"/>
  <c r="AG262" i="2"/>
  <c r="AH470" i="2"/>
  <c r="CA470" i="3" s="1"/>
  <c r="AH290" i="2"/>
  <c r="CA290" i="3" s="1"/>
  <c r="CA85" i="3"/>
  <c r="AH287" i="2"/>
  <c r="CA394" i="3"/>
  <c r="AH395" i="2"/>
  <c r="CA391" i="3"/>
  <c r="AH240" i="2"/>
  <c r="AD36" i="9"/>
  <c r="AD132" i="9" s="1"/>
  <c r="CA238" i="3"/>
  <c r="CA393" i="3"/>
  <c r="CA287" i="3" l="1"/>
  <c r="AH303" i="2"/>
  <c r="CA395" i="3"/>
  <c r="AH405" i="2"/>
  <c r="CA405" i="3" s="1"/>
  <c r="AH396" i="2"/>
  <c r="CA396" i="3" s="1"/>
  <c r="CA240" i="3"/>
  <c r="AI36" i="9"/>
  <c r="AI132" i="9" s="1"/>
  <c r="CA303" i="3" l="1"/>
  <c r="AH95" i="2"/>
  <c r="AH103" i="2" l="1"/>
  <c r="CA95" i="3"/>
  <c r="AQ36" i="9"/>
  <c r="AH320" i="2"/>
  <c r="AI9" i="2"/>
  <c r="AH457" i="2"/>
  <c r="AH249" i="2"/>
  <c r="AH461" i="2" l="1"/>
  <c r="CA461" i="3" s="1"/>
  <c r="AI10" i="2"/>
  <c r="AI11" i="2" s="1"/>
  <c r="AW36" i="9"/>
  <c r="AH250" i="2"/>
  <c r="CA250" i="3" s="1"/>
  <c r="AH331" i="2"/>
  <c r="CA103" i="3"/>
  <c r="AH501" i="2"/>
  <c r="CA249" i="3"/>
  <c r="AH116" i="2"/>
  <c r="AI96" i="2"/>
  <c r="CB9" i="3"/>
  <c r="AI93" i="2"/>
  <c r="AI489" i="2"/>
  <c r="AH321" i="2"/>
  <c r="CA320" i="3"/>
  <c r="AQ132" i="9"/>
  <c r="AT36" i="9"/>
  <c r="CA457" i="3"/>
  <c r="AH175" i="2"/>
  <c r="AH251" i="2" l="1"/>
  <c r="CA251" i="3" s="1"/>
  <c r="CA175" i="3"/>
  <c r="AH281" i="2"/>
  <c r="AT132" i="9"/>
  <c r="CB11" i="3"/>
  <c r="G37" i="9"/>
  <c r="G133" i="9" s="1"/>
  <c r="AI306" i="2"/>
  <c r="H286" i="1"/>
  <c r="A287" i="1" s="1"/>
  <c r="CA321" i="3"/>
  <c r="CB489" i="3"/>
  <c r="AI310" i="2"/>
  <c r="CB310" i="3" s="1"/>
  <c r="AE37" i="9"/>
  <c r="AE133" i="9" s="1"/>
  <c r="AR37" i="9"/>
  <c r="AR133" i="9" s="1"/>
  <c r="CB96" i="3"/>
  <c r="CA501" i="3"/>
  <c r="AH503" i="2"/>
  <c r="AY36" i="9"/>
  <c r="AY132" i="9" s="1"/>
  <c r="AW132" i="9"/>
  <c r="AH117" i="2"/>
  <c r="CA116" i="3"/>
  <c r="AI12" i="2"/>
  <c r="AH252" i="2"/>
  <c r="AH347" i="2"/>
  <c r="BB36" i="9"/>
  <c r="CB10" i="3"/>
  <c r="AI100" i="2"/>
  <c r="AI94" i="2"/>
  <c r="CB93" i="3"/>
  <c r="CA331" i="3"/>
  <c r="AH332" i="2"/>
  <c r="BU36" i="9" l="1"/>
  <c r="BU132" i="9" s="1"/>
  <c r="AH349" i="2"/>
  <c r="CA348" i="3"/>
  <c r="CA503" i="3"/>
  <c r="AH505" i="2"/>
  <c r="CB100" i="3"/>
  <c r="AI102" i="2"/>
  <c r="AI176" i="2" s="1"/>
  <c r="CA252" i="3"/>
  <c r="CA117" i="3"/>
  <c r="AH508" i="2"/>
  <c r="AH348" i="2"/>
  <c r="AI13" i="2"/>
  <c r="AI14" i="2" s="1"/>
  <c r="BF36" i="9"/>
  <c r="AH253" i="2"/>
  <c r="CA253" i="3" s="1"/>
  <c r="CA332" i="3"/>
  <c r="AI324" i="2"/>
  <c r="AH118" i="2"/>
  <c r="CA281" i="3"/>
  <c r="AI308" i="2"/>
  <c r="CB308" i="3" s="1"/>
  <c r="AN37" i="9"/>
  <c r="AN133" i="9" s="1"/>
  <c r="CB94" i="3"/>
  <c r="AI491" i="2"/>
  <c r="AI293" i="2"/>
  <c r="CB293" i="3" s="1"/>
  <c r="AI456" i="2"/>
  <c r="CB456" i="3" s="1"/>
  <c r="AI377" i="5"/>
  <c r="AJ92" i="2"/>
  <c r="AI29" i="2"/>
  <c r="BB132" i="9"/>
  <c r="BC36" i="9"/>
  <c r="BC132" i="9" s="1"/>
  <c r="AI32" i="2"/>
  <c r="CB12" i="3"/>
  <c r="CB306" i="3"/>
  <c r="AI313" i="2" l="1"/>
  <c r="AI309" i="2"/>
  <c r="CB309" i="3" s="1"/>
  <c r="AI379" i="5"/>
  <c r="AI383" i="5" s="1"/>
  <c r="CB29" i="3"/>
  <c r="AI317" i="2"/>
  <c r="CB176" i="3"/>
  <c r="AH357" i="1"/>
  <c r="CA349" i="3"/>
  <c r="AH350" i="2"/>
  <c r="AI336" i="2" s="1"/>
  <c r="AH506" i="2"/>
  <c r="CA505" i="3"/>
  <c r="CC92" i="3"/>
  <c r="CA508" i="3"/>
  <c r="AH510" i="2"/>
  <c r="CB102" i="3"/>
  <c r="AI296" i="2"/>
  <c r="CB296" i="3" s="1"/>
  <c r="AI502" i="2"/>
  <c r="CB502" i="3" s="1"/>
  <c r="AI378" i="5"/>
  <c r="AI460" i="2"/>
  <c r="CB460" i="3" s="1"/>
  <c r="AU37" i="9"/>
  <c r="AU133" i="9" s="1"/>
  <c r="AI326" i="2"/>
  <c r="CB326" i="3" s="1"/>
  <c r="CA118" i="3"/>
  <c r="AH177" i="2"/>
  <c r="AH464" i="2"/>
  <c r="AH126" i="2"/>
  <c r="BG36" i="9"/>
  <c r="BG132" i="9" s="1"/>
  <c r="BF132" i="9"/>
  <c r="AI343" i="2"/>
  <c r="CB344" i="3" s="1"/>
  <c r="CB32" i="3"/>
  <c r="CB14" i="3"/>
  <c r="H37" i="9"/>
  <c r="H133" i="9" s="1"/>
  <c r="CB491" i="3"/>
  <c r="AI493" i="2"/>
  <c r="AI494" i="2"/>
  <c r="CB494" i="3" s="1"/>
  <c r="CB324" i="3"/>
  <c r="AI33" i="2"/>
  <c r="AI34" i="2" s="1"/>
  <c r="CB13" i="3"/>
  <c r="AH254" i="2"/>
  <c r="CA350" i="3"/>
  <c r="AI335" i="2"/>
  <c r="AH390" i="1" l="1"/>
  <c r="AI327" i="2"/>
  <c r="CB327" i="3" s="1"/>
  <c r="CB34" i="3"/>
  <c r="O37" i="9"/>
  <c r="O133" i="9" s="1"/>
  <c r="CB493" i="3"/>
  <c r="AI496" i="2"/>
  <c r="AH512" i="2"/>
  <c r="CA510" i="3"/>
  <c r="CB337" i="3"/>
  <c r="AI340" i="2"/>
  <c r="BV36" i="9"/>
  <c r="BV132" i="9" s="1"/>
  <c r="CA254" i="3"/>
  <c r="AH135" i="2"/>
  <c r="BI36" i="9"/>
  <c r="CA126" i="3"/>
  <c r="AH255" i="2"/>
  <c r="AH467" i="2"/>
  <c r="CA467" i="3" s="1"/>
  <c r="AI15" i="2"/>
  <c r="AH363" i="2"/>
  <c r="CB335" i="3"/>
  <c r="AI339" i="2"/>
  <c r="CB336" i="3"/>
  <c r="CA464" i="3"/>
  <c r="CB317" i="3"/>
  <c r="AI319" i="2"/>
  <c r="CB319" i="3" s="1"/>
  <c r="AI344" i="2"/>
  <c r="CB345" i="3" s="1"/>
  <c r="CB33" i="3"/>
  <c r="AH282" i="2"/>
  <c r="CA177" i="3"/>
  <c r="AI99" i="2" l="1"/>
  <c r="CB99" i="3" s="1"/>
  <c r="CA282" i="3"/>
  <c r="AH284" i="2"/>
  <c r="CA364" i="3"/>
  <c r="AH364" i="2"/>
  <c r="AI353" i="2" s="1"/>
  <c r="CB341" i="3"/>
  <c r="AI114" i="2"/>
  <c r="CB496" i="3"/>
  <c r="AI497" i="2"/>
  <c r="CB15" i="3"/>
  <c r="AI17" i="2"/>
  <c r="AI127" i="2"/>
  <c r="BL36" i="9"/>
  <c r="BI132" i="9"/>
  <c r="CB340" i="3"/>
  <c r="AI113" i="2"/>
  <c r="AH469" i="2"/>
  <c r="BO36" i="9"/>
  <c r="CA135" i="3"/>
  <c r="AI18" i="2"/>
  <c r="AH382" i="2"/>
  <c r="AH258" i="2"/>
  <c r="AH257" i="2"/>
  <c r="CA255" i="3"/>
  <c r="CA512" i="3"/>
  <c r="AH513" i="2"/>
  <c r="AI328" i="2" l="1"/>
  <c r="CB328" i="3" s="1"/>
  <c r="AI30" i="2"/>
  <c r="CB30" i="3" s="1"/>
  <c r="AJ101" i="2"/>
  <c r="CC101" i="3" s="1"/>
  <c r="AI295" i="2"/>
  <c r="CB295" i="3" s="1"/>
  <c r="AI459" i="2"/>
  <c r="CB459" i="3" s="1"/>
  <c r="AV37" i="9"/>
  <c r="AV133" i="9" s="1"/>
  <c r="CA257" i="3"/>
  <c r="BW36" i="9"/>
  <c r="BW132" i="9" s="1"/>
  <c r="CB127" i="3"/>
  <c r="AI355" i="2"/>
  <c r="CB355" i="3" s="1"/>
  <c r="BK37" i="9"/>
  <c r="BK133" i="9" s="1"/>
  <c r="AG37" i="9"/>
  <c r="AG133" i="9" s="1"/>
  <c r="CB497" i="3"/>
  <c r="AI498" i="2"/>
  <c r="CB498" i="3" s="1"/>
  <c r="CB353" i="3"/>
  <c r="AH391" i="1"/>
  <c r="CA258" i="3"/>
  <c r="AH175" i="5"/>
  <c r="BX36" i="9"/>
  <c r="BX132" i="9" s="1"/>
  <c r="BO132" i="9"/>
  <c r="BP36" i="9"/>
  <c r="BP132" i="9" s="1"/>
  <c r="I37" i="9"/>
  <c r="I133" i="9" s="1"/>
  <c r="CB17" i="3"/>
  <c r="AH383" i="2"/>
  <c r="CA382" i="3"/>
  <c r="CA469" i="3"/>
  <c r="AH474" i="2"/>
  <c r="BL132" i="9"/>
  <c r="CB114" i="3"/>
  <c r="AI342" i="2"/>
  <c r="BE37" i="9"/>
  <c r="BE133" i="9" s="1"/>
  <c r="CA284" i="3"/>
  <c r="AG359" i="1"/>
  <c r="J37" i="9"/>
  <c r="J133" i="9" s="1"/>
  <c r="AI38" i="2"/>
  <c r="E287" i="1"/>
  <c r="CB18" i="3"/>
  <c r="AI115" i="2"/>
  <c r="BA37" i="9"/>
  <c r="BA133" i="9" s="1"/>
  <c r="CB113" i="3"/>
  <c r="AI341" i="2"/>
  <c r="AH472" i="2"/>
  <c r="AI31" i="2" l="1"/>
  <c r="AI439" i="2" s="1"/>
  <c r="CB439" i="3" s="1"/>
  <c r="AI329" i="2"/>
  <c r="CB329" i="3" s="1"/>
  <c r="BR36" i="9"/>
  <c r="BR132" i="9" s="1"/>
  <c r="AI357" i="2"/>
  <c r="AI121" i="2" s="1"/>
  <c r="CB38" i="3"/>
  <c r="AI173" i="5"/>
  <c r="AI379" i="2"/>
  <c r="CB379" i="3" s="1"/>
  <c r="Q37" i="9"/>
  <c r="Q133" i="9" s="1"/>
  <c r="CA383" i="3"/>
  <c r="AI377" i="2"/>
  <c r="CA472" i="3"/>
  <c r="AH28" i="2"/>
  <c r="AH401" i="2"/>
  <c r="AH402" i="2"/>
  <c r="AH399" i="2"/>
  <c r="AH400" i="2"/>
  <c r="CB115" i="3"/>
  <c r="AI298" i="2"/>
  <c r="CB298" i="3" s="1"/>
  <c r="AI462" i="2"/>
  <c r="CB462" i="3" s="1"/>
  <c r="CB343" i="3"/>
  <c r="AI346" i="2"/>
  <c r="CB347" i="3" s="1"/>
  <c r="CA474" i="3"/>
  <c r="AH476" i="2"/>
  <c r="CB342" i="3"/>
  <c r="AI345" i="2"/>
  <c r="CB346" i="3" s="1"/>
  <c r="CB31" i="3"/>
  <c r="N37" i="9"/>
  <c r="N133" i="9" s="1"/>
  <c r="AI330" i="2" l="1"/>
  <c r="CB330" i="3" s="1"/>
  <c r="CB358" i="3"/>
  <c r="CA400" i="3"/>
  <c r="AH409" i="2"/>
  <c r="AH139" i="2"/>
  <c r="M36" i="9"/>
  <c r="AH241" i="2"/>
  <c r="CA241" i="3" s="1"/>
  <c r="AH169" i="2"/>
  <c r="CA28" i="3"/>
  <c r="AH71" i="2"/>
  <c r="AH390" i="5"/>
  <c r="AH438" i="2"/>
  <c r="AH11" i="5"/>
  <c r="AH207" i="5" s="1"/>
  <c r="CA476" i="3"/>
  <c r="AH478" i="2"/>
  <c r="AH403" i="2"/>
  <c r="CA399" i="3"/>
  <c r="AH408" i="2"/>
  <c r="CA402" i="3"/>
  <c r="AH411" i="2"/>
  <c r="AI381" i="2"/>
  <c r="CB381" i="3" s="1"/>
  <c r="CB377" i="3"/>
  <c r="CB121" i="3"/>
  <c r="AI358" i="2"/>
  <c r="CA401" i="3"/>
  <c r="AH410" i="2"/>
  <c r="CA410" i="3" l="1"/>
  <c r="AH417" i="2"/>
  <c r="CA478" i="3"/>
  <c r="AH480" i="2"/>
  <c r="CA438" i="3"/>
  <c r="AH444" i="2"/>
  <c r="CA444" i="3" s="1"/>
  <c r="CA169" i="3"/>
  <c r="AG354" i="1"/>
  <c r="CA409" i="3"/>
  <c r="AH416" i="2"/>
  <c r="CA416" i="3" s="1"/>
  <c r="CA408" i="3"/>
  <c r="AH412" i="2"/>
  <c r="CA412" i="3" s="1"/>
  <c r="AH415" i="2"/>
  <c r="AH391" i="5"/>
  <c r="AH395" i="5" s="1"/>
  <c r="AH394" i="5"/>
  <c r="CA71" i="3"/>
  <c r="AG368" i="1"/>
  <c r="AH386" i="5"/>
  <c r="AH388" i="5" s="1"/>
  <c r="M132" i="9"/>
  <c r="W36" i="9"/>
  <c r="CB359" i="3"/>
  <c r="AI359" i="2"/>
  <c r="CA411" i="3"/>
  <c r="AH418" i="2"/>
  <c r="CA418" i="3" s="1"/>
  <c r="CA403" i="3"/>
  <c r="CA139" i="3"/>
  <c r="W132" i="9" l="1"/>
  <c r="CA480" i="3"/>
  <c r="AH481" i="2"/>
  <c r="CB360" i="3"/>
  <c r="AI122" i="2"/>
  <c r="AH170" i="2"/>
  <c r="CA417" i="3"/>
  <c r="AH419" i="2"/>
  <c r="CA415" i="3"/>
  <c r="AH413" i="2"/>
  <c r="CA419" i="3" l="1"/>
  <c r="AH420" i="2"/>
  <c r="CA420" i="3" s="1"/>
  <c r="AH268" i="2"/>
  <c r="CA268" i="3" s="1"/>
  <c r="AH210" i="2"/>
  <c r="AG355" i="1"/>
  <c r="CA170" i="3"/>
  <c r="AH192" i="2"/>
  <c r="AH171" i="2"/>
  <c r="AH182" i="2" s="1"/>
  <c r="CA481" i="3"/>
  <c r="AH482" i="2"/>
  <c r="CA482" i="3" s="1"/>
  <c r="CB122" i="3"/>
  <c r="AI360" i="2"/>
  <c r="AI123" i="2"/>
  <c r="AH207" i="2" l="1"/>
  <c r="AH153" i="2"/>
  <c r="CA182" i="3"/>
  <c r="CA192" i="3"/>
  <c r="AG366" i="1"/>
  <c r="AI125" i="2"/>
  <c r="BH37" i="9"/>
  <c r="BH133" i="9" s="1"/>
  <c r="CB123" i="3"/>
  <c r="AI35" i="2"/>
  <c r="CB361" i="3"/>
  <c r="AG356" i="1"/>
  <c r="AG361" i="1" s="1"/>
  <c r="CA171" i="3"/>
  <c r="CA210" i="3"/>
  <c r="AG380" i="1"/>
  <c r="CB125" i="3" l="1"/>
  <c r="AI299" i="2"/>
  <c r="CB299" i="3" s="1"/>
  <c r="AI466" i="2"/>
  <c r="CB466" i="3" s="1"/>
  <c r="AI361" i="2"/>
  <c r="CB35" i="3"/>
  <c r="AI37" i="2"/>
  <c r="CA153" i="3"/>
  <c r="AH154" i="2"/>
  <c r="CA207" i="3"/>
  <c r="AH156" i="2" l="1"/>
  <c r="CA154" i="3"/>
  <c r="CB356" i="3"/>
  <c r="CB362" i="3"/>
  <c r="AI362" i="2"/>
  <c r="CB363" i="3" s="1"/>
  <c r="CB37" i="3"/>
  <c r="AI440" i="2"/>
  <c r="CB440" i="3" s="1"/>
  <c r="P37" i="9"/>
  <c r="P133" i="9" s="1"/>
  <c r="CA156" i="3" l="1"/>
  <c r="AH159" i="2"/>
  <c r="AH158" i="2"/>
  <c r="CA158" i="3" l="1"/>
  <c r="AH162" i="2"/>
  <c r="CA162" i="3" s="1"/>
  <c r="CA159" i="3"/>
  <c r="AH160" i="2"/>
  <c r="AH161" i="2" l="1"/>
  <c r="CA160" i="3"/>
  <c r="AH163" i="2" l="1"/>
  <c r="CA161" i="3"/>
  <c r="CA163" i="3" l="1"/>
  <c r="AH165" i="2"/>
  <c r="AH267" i="2" s="1"/>
  <c r="AH112" i="5" l="1"/>
  <c r="AH140" i="5" s="1"/>
  <c r="AH166" i="2"/>
  <c r="CA166" i="3" s="1"/>
  <c r="CA165" i="3"/>
  <c r="AH183" i="2"/>
  <c r="CA267" i="3"/>
  <c r="AG375" i="1" l="1"/>
  <c r="AH208" i="2"/>
  <c r="CA183" i="3"/>
  <c r="AG363" i="1"/>
  <c r="AG364" i="1" s="1"/>
  <c r="AH184" i="2"/>
  <c r="AG374" i="1" l="1"/>
  <c r="AG377" i="1" s="1"/>
  <c r="AG367" i="1"/>
  <c r="CA208" i="3"/>
  <c r="AG378" i="1"/>
  <c r="AH212" i="2"/>
  <c r="CA184" i="3"/>
  <c r="AH397" i="5"/>
  <c r="AH266" i="2"/>
  <c r="AH399" i="5"/>
  <c r="AH191" i="2"/>
  <c r="AH85" i="5"/>
  <c r="AH342" i="5" s="1"/>
  <c r="AH94" i="4"/>
  <c r="AH271" i="2" l="1"/>
  <c r="AH86" i="4" s="1"/>
  <c r="AH270" i="2"/>
  <c r="CA266" i="3"/>
  <c r="CA191" i="3"/>
  <c r="AH193" i="2"/>
  <c r="AH225" i="2"/>
  <c r="CA225" i="3" s="1"/>
  <c r="AH218" i="2"/>
  <c r="CA212" i="3"/>
  <c r="AG382" i="1"/>
  <c r="AG384" i="1" s="1"/>
  <c r="AH195" i="2" l="1"/>
  <c r="AH197" i="2"/>
  <c r="AH198" i="2"/>
  <c r="AH200" i="2"/>
  <c r="CA193" i="3"/>
  <c r="AH196" i="2"/>
  <c r="AH199" i="2"/>
  <c r="AH201" i="2"/>
  <c r="AH221" i="2"/>
  <c r="CA221" i="3" s="1"/>
  <c r="AH222" i="2"/>
  <c r="CA222" i="3" s="1"/>
  <c r="CA218" i="3"/>
  <c r="AH220" i="2"/>
  <c r="CA270" i="3"/>
  <c r="AH86" i="5"/>
  <c r="AH343" i="5" s="1"/>
  <c r="AH88" i="4"/>
  <c r="AH273" i="2" s="1"/>
  <c r="AH32" i="4"/>
  <c r="AJ33" i="4" s="1"/>
  <c r="AJ55" i="4" l="1"/>
  <c r="AJ58" i="4"/>
  <c r="AJ57" i="4"/>
  <c r="AJ54" i="4"/>
  <c r="AJ56" i="4"/>
  <c r="CA201" i="3"/>
  <c r="AH204" i="2"/>
  <c r="J333" i="1"/>
  <c r="CA200" i="3"/>
  <c r="I333" i="1"/>
  <c r="AH318" i="4"/>
  <c r="P286" i="1" s="1"/>
  <c r="AH317" i="4"/>
  <c r="O286" i="1" s="1"/>
  <c r="CA199" i="3"/>
  <c r="H333" i="1"/>
  <c r="AH316" i="4"/>
  <c r="N286" i="1" s="1"/>
  <c r="CA198" i="3"/>
  <c r="G333" i="1"/>
  <c r="CA196" i="3"/>
  <c r="E333" i="1"/>
  <c r="AH314" i="4"/>
  <c r="L286" i="1" s="1"/>
  <c r="AH315" i="4"/>
  <c r="M286" i="1" s="1"/>
  <c r="CA197" i="3"/>
  <c r="F333" i="1"/>
  <c r="AH223" i="2"/>
  <c r="CA220" i="3"/>
  <c r="CA195" i="3"/>
  <c r="AH202" i="2"/>
  <c r="AH313" i="4"/>
  <c r="K286" i="1" s="1"/>
  <c r="D333" i="1"/>
  <c r="AJ59" i="4" l="1"/>
  <c r="CA223" i="3"/>
  <c r="AH227" i="2"/>
  <c r="AH145" i="2" s="1"/>
  <c r="AH515" i="2"/>
  <c r="CA515" i="3" s="1"/>
  <c r="AG394" i="1"/>
  <c r="CA204" i="3"/>
  <c r="AG370" i="1"/>
  <c r="CA202" i="3"/>
  <c r="AH87" i="5"/>
  <c r="AH344" i="5" s="1"/>
  <c r="AH203" i="2"/>
  <c r="C333" i="1"/>
  <c r="AJ61" i="4" l="1"/>
  <c r="AJ272" i="2"/>
  <c r="AJ60" i="4"/>
  <c r="K333" i="1"/>
  <c r="AH484" i="2"/>
  <c r="AH485" i="2" s="1"/>
  <c r="AH422" i="2"/>
  <c r="AH424" i="2" s="1"/>
  <c r="CA424" i="3" s="1"/>
  <c r="AH88" i="5"/>
  <c r="AH516" i="2"/>
  <c r="CA203" i="3"/>
  <c r="J286" i="1"/>
  <c r="AH89" i="5"/>
  <c r="AH345" i="5" s="1"/>
  <c r="AG371" i="1"/>
  <c r="AG372" i="1" s="1"/>
  <c r="AG393" i="1"/>
  <c r="CA227" i="3"/>
  <c r="AG385" i="1"/>
  <c r="AG386" i="1" s="1"/>
  <c r="AH228" i="2"/>
  <c r="CA228" i="3" s="1"/>
  <c r="AH146" i="2"/>
  <c r="AI302" i="2"/>
  <c r="AH17" i="5"/>
  <c r="CA145" i="3"/>
  <c r="Z36" i="9"/>
  <c r="AH244" i="2"/>
  <c r="AH148" i="2"/>
  <c r="AH229" i="2"/>
  <c r="CA484" i="3" l="1"/>
  <c r="CA422" i="3"/>
  <c r="CB302" i="3"/>
  <c r="AH384" i="5"/>
  <c r="CA516" i="3"/>
  <c r="AH245" i="2"/>
  <c r="AG373" i="1" s="1"/>
  <c r="CA244" i="3"/>
  <c r="CA229" i="3"/>
  <c r="AH90" i="5"/>
  <c r="AH346" i="5" s="1"/>
  <c r="CA485" i="3"/>
  <c r="AH425" i="2"/>
  <c r="CA425" i="3" s="1"/>
  <c r="AJ36" i="9"/>
  <c r="AL36" i="9" s="1"/>
  <c r="Z132" i="9"/>
  <c r="CA146" i="3"/>
  <c r="AH109" i="5"/>
  <c r="AI8" i="2"/>
  <c r="CA148" i="3"/>
  <c r="AH248" i="2"/>
  <c r="AH213" i="5"/>
  <c r="AH18" i="5"/>
  <c r="AJ132" i="9" l="1"/>
  <c r="AL132" i="9"/>
  <c r="AH214" i="5"/>
  <c r="AH19" i="5"/>
  <c r="BT36" i="9"/>
  <c r="CA248" i="3"/>
  <c r="AH259" i="2"/>
  <c r="CA245" i="3"/>
  <c r="AH260" i="2"/>
  <c r="AH486" i="2"/>
  <c r="AI372" i="5"/>
  <c r="AI374" i="5" s="1"/>
  <c r="I287" i="1"/>
  <c r="F37" i="9"/>
  <c r="CB8" i="3"/>
  <c r="AI84" i="2"/>
  <c r="AI19" i="2"/>
  <c r="AI390" i="2"/>
  <c r="AI20" i="2"/>
  <c r="AH389" i="1"/>
  <c r="AI450" i="2"/>
  <c r="AI447" i="2"/>
  <c r="AH20" i="5" l="1"/>
  <c r="AH215" i="5"/>
  <c r="CB447" i="3"/>
  <c r="AI392" i="2"/>
  <c r="AI393" i="2"/>
  <c r="CB390" i="3"/>
  <c r="AI391" i="2"/>
  <c r="AI394" i="2"/>
  <c r="F133" i="9"/>
  <c r="K37" i="9"/>
  <c r="CA259" i="3"/>
  <c r="AH368" i="5"/>
  <c r="AH370" i="5" s="1"/>
  <c r="AH144" i="5" s="1"/>
  <c r="CA486" i="3"/>
  <c r="CB450" i="3"/>
  <c r="AI10" i="5"/>
  <c r="AI206" i="5" s="1"/>
  <c r="AI232" i="2"/>
  <c r="AI364" i="5"/>
  <c r="AI366" i="5" s="1"/>
  <c r="CB19" i="3"/>
  <c r="AH261" i="2"/>
  <c r="CA261" i="3" s="1"/>
  <c r="AI238" i="2"/>
  <c r="AI15" i="5"/>
  <c r="AI212" i="5" s="1"/>
  <c r="CB84" i="3"/>
  <c r="AI85" i="2"/>
  <c r="CA260" i="3"/>
  <c r="BY36" i="9"/>
  <c r="BY132" i="9" s="1"/>
  <c r="BT132" i="9"/>
  <c r="K133" i="9" l="1"/>
  <c r="AH262" i="2"/>
  <c r="E262" i="2" s="1"/>
  <c r="CB391" i="3"/>
  <c r="AI395" i="2"/>
  <c r="CB232" i="3"/>
  <c r="AI290" i="2"/>
  <c r="CB290" i="3" s="1"/>
  <c r="AI470" i="2"/>
  <c r="CB470" i="3" s="1"/>
  <c r="CB85" i="3"/>
  <c r="AI287" i="2"/>
  <c r="CB393" i="3"/>
  <c r="AD37" i="9"/>
  <c r="AD133" i="9" s="1"/>
  <c r="CB238" i="3"/>
  <c r="AI240" i="2"/>
  <c r="CB394" i="3"/>
  <c r="CB392" i="3"/>
  <c r="CB395" i="3" l="1"/>
  <c r="AI405" i="2"/>
  <c r="CB405" i="3" s="1"/>
  <c r="AI396" i="2"/>
  <c r="CB396" i="3" s="1"/>
  <c r="CB240" i="3"/>
  <c r="AI37" i="9"/>
  <c r="AI133" i="9" s="1"/>
  <c r="CB287" i="3"/>
  <c r="AI303" i="2"/>
  <c r="CB303" i="3" l="1"/>
  <c r="AI95" i="2"/>
  <c r="AI103" i="2" l="1"/>
  <c r="AI175" i="2" s="1"/>
  <c r="AI457" i="2"/>
  <c r="CB95" i="3"/>
  <c r="AJ9" i="2"/>
  <c r="AJ93" i="2" s="1"/>
  <c r="AQ37" i="9"/>
  <c r="AI320" i="2"/>
  <c r="AI249" i="2"/>
  <c r="CC93" i="3" l="1"/>
  <c r="AJ94" i="2"/>
  <c r="AQ133" i="9"/>
  <c r="AT37" i="9"/>
  <c r="CB457" i="3"/>
  <c r="CB175" i="3"/>
  <c r="AI281" i="2"/>
  <c r="CB103" i="3"/>
  <c r="AI501" i="2"/>
  <c r="AI461" i="2"/>
  <c r="CB461" i="3" s="1"/>
  <c r="AI250" i="2"/>
  <c r="AI251" i="2" s="1"/>
  <c r="AW37" i="9"/>
  <c r="AI331" i="2"/>
  <c r="AJ10" i="2"/>
  <c r="CB320" i="3"/>
  <c r="AI321" i="2"/>
  <c r="CB249" i="3"/>
  <c r="AJ489" i="2"/>
  <c r="AJ96" i="2"/>
  <c r="CC9" i="3"/>
  <c r="AK92" i="2"/>
  <c r="AI116" i="2"/>
  <c r="AJ293" i="2" l="1"/>
  <c r="CC293" i="3" s="1"/>
  <c r="AJ308" i="2"/>
  <c r="CC308" i="3" s="1"/>
  <c r="CC94" i="3"/>
  <c r="AJ377" i="5"/>
  <c r="AJ456" i="2"/>
  <c r="CC456" i="3" s="1"/>
  <c r="AN38" i="9"/>
  <c r="AN134" i="9" s="1"/>
  <c r="AJ11" i="2"/>
  <c r="G38" i="9" s="1"/>
  <c r="G134" i="9" s="1"/>
  <c r="AJ100" i="2"/>
  <c r="CB501" i="3"/>
  <c r="AI503" i="2"/>
  <c r="CB321" i="3"/>
  <c r="AJ306" i="2"/>
  <c r="AJ313" i="2" s="1"/>
  <c r="H287" i="1"/>
  <c r="A288" i="1" s="1"/>
  <c r="AW133" i="9"/>
  <c r="AY37" i="9"/>
  <c r="AY133" i="9" s="1"/>
  <c r="AR38" i="9"/>
  <c r="AR134" i="9" s="1"/>
  <c r="AJ310" i="2"/>
  <c r="CC310" i="3" s="1"/>
  <c r="AE38" i="9"/>
  <c r="AE134" i="9" s="1"/>
  <c r="CC96" i="3"/>
  <c r="AJ491" i="2"/>
  <c r="CC491" i="3" s="1"/>
  <c r="CD92" i="3"/>
  <c r="CC489" i="3"/>
  <c r="CB250" i="3"/>
  <c r="CB281" i="3"/>
  <c r="AJ29" i="2"/>
  <c r="CB331" i="3"/>
  <c r="AI332" i="2"/>
  <c r="AI117" i="2"/>
  <c r="AI118" i="2" s="1"/>
  <c r="AI252" i="2"/>
  <c r="AI347" i="2"/>
  <c r="BB37" i="9"/>
  <c r="AJ12" i="2"/>
  <c r="CB116" i="3"/>
  <c r="BU37" i="9"/>
  <c r="BU133" i="9" s="1"/>
  <c r="CB251" i="3"/>
  <c r="CC10" i="3"/>
  <c r="AT133" i="9"/>
  <c r="CC11" i="3" l="1"/>
  <c r="AJ493" i="2"/>
  <c r="CC100" i="3"/>
  <c r="AJ102" i="2"/>
  <c r="AJ494" i="2"/>
  <c r="CC494" i="3" s="1"/>
  <c r="BC37" i="9"/>
  <c r="BB133" i="9"/>
  <c r="AI253" i="2"/>
  <c r="AI254" i="2" s="1"/>
  <c r="CB117" i="3"/>
  <c r="AI508" i="2"/>
  <c r="AI348" i="2"/>
  <c r="AJ13" i="2"/>
  <c r="AJ14" i="2" s="1"/>
  <c r="BF37" i="9"/>
  <c r="CC493" i="3"/>
  <c r="CC306" i="3"/>
  <c r="AJ309" i="2"/>
  <c r="CB348" i="3"/>
  <c r="AI349" i="2"/>
  <c r="CB332" i="3"/>
  <c r="AJ324" i="2"/>
  <c r="CB252" i="3"/>
  <c r="CB503" i="3"/>
  <c r="AI505" i="2"/>
  <c r="CC12" i="3"/>
  <c r="AJ32" i="2"/>
  <c r="AI177" i="2"/>
  <c r="CB118" i="3"/>
  <c r="AI464" i="2"/>
  <c r="AI126" i="2"/>
  <c r="AI135" i="2" s="1"/>
  <c r="CC29" i="3"/>
  <c r="AJ317" i="2"/>
  <c r="CC317" i="3" s="1"/>
  <c r="AJ378" i="5" l="1"/>
  <c r="AJ460" i="2"/>
  <c r="CC460" i="3" s="1"/>
  <c r="AJ502" i="2"/>
  <c r="CC502" i="3" s="1"/>
  <c r="AJ296" i="2"/>
  <c r="CC296" i="3" s="1"/>
  <c r="AJ326" i="2"/>
  <c r="CC326" i="3" s="1"/>
  <c r="AU38" i="9"/>
  <c r="AU134" i="9" s="1"/>
  <c r="CC102" i="3"/>
  <c r="AJ379" i="5"/>
  <c r="AJ383" i="5" s="1"/>
  <c r="AJ176" i="2"/>
  <c r="AJ496" i="2"/>
  <c r="CB464" i="3"/>
  <c r="H38" i="9"/>
  <c r="H134" i="9" s="1"/>
  <c r="CC14" i="3"/>
  <c r="BV37" i="9"/>
  <c r="BV133" i="9" s="1"/>
  <c r="CB254" i="3"/>
  <c r="AJ335" i="2"/>
  <c r="CB350" i="3"/>
  <c r="CC13" i="3"/>
  <c r="AJ33" i="2"/>
  <c r="AJ34" i="2" s="1"/>
  <c r="CB253" i="3"/>
  <c r="CB349" i="3"/>
  <c r="AI350" i="2"/>
  <c r="AI382" i="2"/>
  <c r="AI258" i="2"/>
  <c r="CB135" i="3"/>
  <c r="AJ18" i="2"/>
  <c r="BO37" i="9"/>
  <c r="AI469" i="2"/>
  <c r="CB469" i="3" s="1"/>
  <c r="CB177" i="3"/>
  <c r="AI282" i="2"/>
  <c r="CB505" i="3"/>
  <c r="AI506" i="2"/>
  <c r="CC324" i="3"/>
  <c r="AJ319" i="2"/>
  <c r="CC319" i="3" s="1"/>
  <c r="CC496" i="3"/>
  <c r="AJ497" i="2"/>
  <c r="CB508" i="3"/>
  <c r="AI510" i="2"/>
  <c r="BC133" i="9"/>
  <c r="BI37" i="9"/>
  <c r="CB126" i="3"/>
  <c r="AJ15" i="2"/>
  <c r="AI467" i="2"/>
  <c r="CB467" i="3" s="1"/>
  <c r="AI255" i="2"/>
  <c r="AI363" i="2"/>
  <c r="AJ343" i="2"/>
  <c r="CC344" i="3" s="1"/>
  <c r="CC32" i="3"/>
  <c r="AI390" i="1"/>
  <c r="CC309" i="3"/>
  <c r="BF133" i="9"/>
  <c r="BG37" i="9"/>
  <c r="BG133" i="9" s="1"/>
  <c r="AJ327" i="2" l="1"/>
  <c r="AJ99" i="2" s="1"/>
  <c r="CC176" i="3"/>
  <c r="AI357" i="1"/>
  <c r="CB255" i="3"/>
  <c r="AI257" i="2"/>
  <c r="BI133" i="9"/>
  <c r="BL37" i="9"/>
  <c r="BO133" i="9"/>
  <c r="BP37" i="9"/>
  <c r="BP133" i="9" s="1"/>
  <c r="CB382" i="3"/>
  <c r="AI383" i="2"/>
  <c r="AJ339" i="2"/>
  <c r="CC336" i="3"/>
  <c r="CC335" i="3"/>
  <c r="CC497" i="3"/>
  <c r="AJ498" i="2"/>
  <c r="CC498" i="3" s="1"/>
  <c r="CC327" i="3"/>
  <c r="CB282" i="3"/>
  <c r="AI284" i="2"/>
  <c r="CC18" i="3"/>
  <c r="E288" i="1"/>
  <c r="J38" i="9"/>
  <c r="J134" i="9" s="1"/>
  <c r="AJ38" i="2"/>
  <c r="AJ336" i="2"/>
  <c r="CC33" i="3"/>
  <c r="AJ344" i="2"/>
  <c r="CC345" i="3" s="1"/>
  <c r="AI472" i="2"/>
  <c r="CC34" i="3"/>
  <c r="O38" i="9"/>
  <c r="O134" i="9" s="1"/>
  <c r="CC15" i="3"/>
  <c r="AJ17" i="2"/>
  <c r="AJ127" i="2"/>
  <c r="AI474" i="2"/>
  <c r="AI364" i="2"/>
  <c r="CB364" i="3"/>
  <c r="CB510" i="3"/>
  <c r="AI512" i="2"/>
  <c r="BX37" i="9"/>
  <c r="BX133" i="9" s="1"/>
  <c r="AI175" i="5"/>
  <c r="CB258" i="3"/>
  <c r="K184" i="5" l="1"/>
  <c r="AJ353" i="2"/>
  <c r="CB474" i="3"/>
  <c r="AI476" i="2"/>
  <c r="CC337" i="3"/>
  <c r="AJ340" i="2"/>
  <c r="CB512" i="3"/>
  <c r="AI513" i="2"/>
  <c r="CB472" i="3"/>
  <c r="AI28" i="2"/>
  <c r="AI402" i="2"/>
  <c r="AI400" i="2"/>
  <c r="AI401" i="2"/>
  <c r="AI399" i="2"/>
  <c r="CC38" i="3"/>
  <c r="AJ379" i="2"/>
  <c r="CC379" i="3" s="1"/>
  <c r="Q38" i="9"/>
  <c r="Q134" i="9" s="1"/>
  <c r="AJ173" i="5"/>
  <c r="CB284" i="3"/>
  <c r="AH359" i="1"/>
  <c r="CB257" i="3"/>
  <c r="BW37" i="9"/>
  <c r="BW133" i="9" s="1"/>
  <c r="AG38" i="9"/>
  <c r="AG134" i="9" s="1"/>
  <c r="BK38" i="9"/>
  <c r="BK134" i="9" s="1"/>
  <c r="CC127" i="3"/>
  <c r="AJ355" i="2"/>
  <c r="CC355" i="3" s="1"/>
  <c r="CC340" i="3"/>
  <c r="AJ113" i="2"/>
  <c r="CC17" i="3"/>
  <c r="I38" i="9"/>
  <c r="I134" i="9" s="1"/>
  <c r="AJ459" i="2"/>
  <c r="CC459" i="3" s="1"/>
  <c r="AJ295" i="2"/>
  <c r="CC295" i="3" s="1"/>
  <c r="CC99" i="3"/>
  <c r="AV38" i="9"/>
  <c r="AV134" i="9" s="1"/>
  <c r="AJ328" i="2"/>
  <c r="AK101" i="2"/>
  <c r="CD101" i="3" s="1"/>
  <c r="AJ30" i="2"/>
  <c r="AJ377" i="2"/>
  <c r="CB383" i="3"/>
  <c r="BL133" i="9"/>
  <c r="BR37" i="9"/>
  <c r="BR133" i="9" s="1"/>
  <c r="CB402" i="3" l="1"/>
  <c r="AI411" i="2"/>
  <c r="AJ329" i="2"/>
  <c r="CC329" i="3" s="1"/>
  <c r="CC30" i="3"/>
  <c r="AJ31" i="2"/>
  <c r="CB399" i="3"/>
  <c r="AI403" i="2"/>
  <c r="AI408" i="2"/>
  <c r="AI438" i="2"/>
  <c r="AI11" i="5"/>
  <c r="AI207" i="5" s="1"/>
  <c r="M37" i="9"/>
  <c r="CB28" i="3"/>
  <c r="AI139" i="2"/>
  <c r="AI241" i="2"/>
  <c r="CB241" i="3" s="1"/>
  <c r="AI71" i="2"/>
  <c r="AI169" i="2"/>
  <c r="AI390" i="5"/>
  <c r="CC353" i="3"/>
  <c r="AI391" i="1"/>
  <c r="AJ357" i="2"/>
  <c r="BA38" i="9"/>
  <c r="BA134" i="9" s="1"/>
  <c r="CC113" i="3"/>
  <c r="AJ341" i="2"/>
  <c r="CB401" i="3"/>
  <c r="AI410" i="2"/>
  <c r="CC377" i="3"/>
  <c r="AJ381" i="2"/>
  <c r="CC381" i="3" s="1"/>
  <c r="CC328" i="3"/>
  <c r="CB400" i="3"/>
  <c r="AI409" i="2"/>
  <c r="AJ114" i="2"/>
  <c r="CC341" i="3"/>
  <c r="CB476" i="3"/>
  <c r="AI478" i="2"/>
  <c r="AJ330" i="2" l="1"/>
  <c r="CC330" i="3" s="1"/>
  <c r="AJ342" i="2"/>
  <c r="BE38" i="9"/>
  <c r="BE134" i="9" s="1"/>
  <c r="CC114" i="3"/>
  <c r="AJ115" i="2"/>
  <c r="CB169" i="3"/>
  <c r="AH354" i="1"/>
  <c r="AI412" i="2"/>
  <c r="CB412" i="3" s="1"/>
  <c r="AI415" i="2"/>
  <c r="CB408" i="3"/>
  <c r="CB478" i="3"/>
  <c r="AI480" i="2"/>
  <c r="CB409" i="3"/>
  <c r="AI416" i="2"/>
  <c r="CB416" i="3" s="1"/>
  <c r="CC342" i="3"/>
  <c r="AJ345" i="2"/>
  <c r="CC346" i="3" s="1"/>
  <c r="CB71" i="3"/>
  <c r="AI386" i="5"/>
  <c r="AI388" i="5" s="1"/>
  <c r="AH368" i="1"/>
  <c r="M133" i="9"/>
  <c r="W37" i="9"/>
  <c r="CB403" i="3"/>
  <c r="CB411" i="3"/>
  <c r="AI418" i="2"/>
  <c r="CB418" i="3" s="1"/>
  <c r="CB410" i="3"/>
  <c r="AI417" i="2"/>
  <c r="CC358" i="3"/>
  <c r="AJ121" i="2"/>
  <c r="AI394" i="5"/>
  <c r="AI391" i="5"/>
  <c r="AI395" i="5" s="1"/>
  <c r="CB139" i="3"/>
  <c r="CB438" i="3"/>
  <c r="AI444" i="2"/>
  <c r="CB444" i="3" s="1"/>
  <c r="N38" i="9"/>
  <c r="N134" i="9" s="1"/>
  <c r="CC31" i="3"/>
  <c r="AJ439" i="2"/>
  <c r="CC439" i="3" s="1"/>
  <c r="W133" i="9" l="1"/>
  <c r="AI413" i="2"/>
  <c r="AI170" i="2"/>
  <c r="CB417" i="3"/>
  <c r="AI481" i="2"/>
  <c r="CB480" i="3"/>
  <c r="CC115" i="3"/>
  <c r="AJ298" i="2"/>
  <c r="CC298" i="3" s="1"/>
  <c r="AJ462" i="2"/>
  <c r="CC462" i="3" s="1"/>
  <c r="CB415" i="3"/>
  <c r="AI419" i="2"/>
  <c r="AI420" i="2" s="1"/>
  <c r="CB420" i="3" s="1"/>
  <c r="CC121" i="3"/>
  <c r="AJ358" i="2"/>
  <c r="CC343" i="3"/>
  <c r="AJ346" i="2"/>
  <c r="CC347" i="3" s="1"/>
  <c r="CC359" i="3" l="1"/>
  <c r="AJ359" i="2"/>
  <c r="CB419" i="3"/>
  <c r="CB481" i="3"/>
  <c r="AI482" i="2"/>
  <c r="CB482" i="3" s="1"/>
  <c r="AI210" i="2"/>
  <c r="AH355" i="1"/>
  <c r="AI268" i="2"/>
  <c r="CB268" i="3" s="1"/>
  <c r="CB170" i="3"/>
  <c r="AI171" i="2"/>
  <c r="AI192" i="2"/>
  <c r="AH366" i="1" l="1"/>
  <c r="CB192" i="3"/>
  <c r="CC360" i="3"/>
  <c r="AJ122" i="2"/>
  <c r="AI182" i="2"/>
  <c r="CB171" i="3"/>
  <c r="AH356" i="1"/>
  <c r="AH361" i="1" s="1"/>
  <c r="AH380" i="1"/>
  <c r="CB210" i="3"/>
  <c r="AJ360" i="2" l="1"/>
  <c r="CC122" i="3"/>
  <c r="AJ123" i="2"/>
  <c r="AI153" i="2"/>
  <c r="CB182" i="3"/>
  <c r="AI207" i="2"/>
  <c r="CB153" i="3" l="1"/>
  <c r="AI154" i="2"/>
  <c r="CC123" i="3"/>
  <c r="AJ125" i="2"/>
  <c r="BH38" i="9"/>
  <c r="BH134" i="9" s="1"/>
  <c r="AJ35" i="2"/>
  <c r="CB207" i="3"/>
  <c r="CC361" i="3"/>
  <c r="CC125" i="3" l="1"/>
  <c r="AJ299" i="2"/>
  <c r="CC299" i="3" s="1"/>
  <c r="AJ466" i="2"/>
  <c r="CC466" i="3" s="1"/>
  <c r="AJ361" i="2"/>
  <c r="CC35" i="3"/>
  <c r="AJ37" i="2"/>
  <c r="CB154" i="3"/>
  <c r="AI156" i="2"/>
  <c r="CB156" i="3" l="1"/>
  <c r="AI158" i="2"/>
  <c r="AI159" i="2"/>
  <c r="CC356" i="3"/>
  <c r="CC362" i="3"/>
  <c r="AJ362" i="2"/>
  <c r="CC363" i="3" s="1"/>
  <c r="P38" i="9"/>
  <c r="P134" i="9" s="1"/>
  <c r="AJ440" i="2"/>
  <c r="CC440" i="3" s="1"/>
  <c r="CC37" i="3"/>
  <c r="CB159" i="3" l="1"/>
  <c r="AI160" i="2"/>
  <c r="CB158" i="3"/>
  <c r="AI162" i="2"/>
  <c r="CB162" i="3" s="1"/>
  <c r="CB160" i="3" l="1"/>
  <c r="AI161" i="2"/>
  <c r="CB161" i="3" l="1"/>
  <c r="AI163" i="2"/>
  <c r="AI165" i="2" l="1"/>
  <c r="AI267" i="2" s="1"/>
  <c r="CB163" i="3"/>
  <c r="CB267" i="3" l="1"/>
  <c r="AI183" i="2"/>
  <c r="AI166" i="2"/>
  <c r="CB166" i="3" s="1"/>
  <c r="AI112" i="5"/>
  <c r="AI140" i="5" s="1"/>
  <c r="CB165" i="3"/>
  <c r="AH363" i="1" l="1"/>
  <c r="AH364" i="1" s="1"/>
  <c r="CB183" i="3"/>
  <c r="AH375" i="1"/>
  <c r="AI208" i="2"/>
  <c r="AI184" i="2"/>
  <c r="CB208" i="3" l="1"/>
  <c r="AH378" i="1"/>
  <c r="AI212" i="2"/>
  <c r="AI94" i="4"/>
  <c r="AI397" i="5"/>
  <c r="CB184" i="3"/>
  <c r="AI85" i="5"/>
  <c r="AI342" i="5" s="1"/>
  <c r="AI191" i="2"/>
  <c r="AI399" i="5"/>
  <c r="AI266" i="2"/>
  <c r="AH367" i="1"/>
  <c r="AH374" i="1"/>
  <c r="AH377" i="1" s="1"/>
  <c r="AI271" i="2" l="1"/>
  <c r="AI86" i="4" s="1"/>
  <c r="AI270" i="2"/>
  <c r="AH382" i="1"/>
  <c r="AH384" i="1" s="1"/>
  <c r="CB191" i="3"/>
  <c r="AI193" i="2"/>
  <c r="AI218" i="2"/>
  <c r="CB212" i="3"/>
  <c r="AI225" i="2"/>
  <c r="CB225" i="3" s="1"/>
  <c r="CB266" i="3"/>
  <c r="CB218" i="3" l="1"/>
  <c r="AI222" i="2"/>
  <c r="CB222" i="3" s="1"/>
  <c r="AI221" i="2"/>
  <c r="CB221" i="3" s="1"/>
  <c r="AI220" i="2"/>
  <c r="AI88" i="4"/>
  <c r="AI273" i="2" s="1"/>
  <c r="AI32" i="4"/>
  <c r="AK33" i="4" s="1"/>
  <c r="CB270" i="3"/>
  <c r="AI86" i="5"/>
  <c r="AI343" i="5" s="1"/>
  <c r="AI198" i="2"/>
  <c r="AI201" i="2"/>
  <c r="CB193" i="3"/>
  <c r="AI196" i="2"/>
  <c r="AI199" i="2"/>
  <c r="AI197" i="2"/>
  <c r="AI195" i="2"/>
  <c r="AI200" i="2"/>
  <c r="H334" i="1" l="1"/>
  <c r="AI317" i="4"/>
  <c r="O287" i="1" s="1"/>
  <c r="CB199" i="3"/>
  <c r="AI202" i="2"/>
  <c r="D334" i="1"/>
  <c r="AI313" i="4"/>
  <c r="K287" i="1" s="1"/>
  <c r="CB195" i="3"/>
  <c r="CB220" i="3"/>
  <c r="AI223" i="2"/>
  <c r="AI315" i="4"/>
  <c r="M287" i="1" s="1"/>
  <c r="CB197" i="3"/>
  <c r="F334" i="1"/>
  <c r="CB201" i="3"/>
  <c r="AI204" i="2"/>
  <c r="J334" i="1"/>
  <c r="AK57" i="4"/>
  <c r="AK58" i="4"/>
  <c r="AK56" i="4"/>
  <c r="AK55" i="4"/>
  <c r="AK54" i="4"/>
  <c r="CB198" i="3"/>
  <c r="G334" i="1"/>
  <c r="AI316" i="4"/>
  <c r="N287" i="1" s="1"/>
  <c r="AI318" i="4"/>
  <c r="P287" i="1" s="1"/>
  <c r="CB200" i="3"/>
  <c r="I334" i="1"/>
  <c r="E334" i="1"/>
  <c r="AI314" i="4"/>
  <c r="L287" i="1" s="1"/>
  <c r="CB196" i="3"/>
  <c r="AK59" i="4" l="1"/>
  <c r="CB202" i="3"/>
  <c r="AI87" i="5"/>
  <c r="AI344" i="5" s="1"/>
  <c r="AH370" i="1"/>
  <c r="AI203" i="2"/>
  <c r="AH394" i="1"/>
  <c r="AI515" i="2"/>
  <c r="CB515" i="3" s="1"/>
  <c r="CB204" i="3"/>
  <c r="AI227" i="2"/>
  <c r="CB223" i="3"/>
  <c r="C334" i="1"/>
  <c r="AK61" i="4" l="1"/>
  <c r="AK272" i="2"/>
  <c r="AI484" i="2"/>
  <c r="AH393" i="1"/>
  <c r="AI89" i="5"/>
  <c r="AI345" i="5" s="1"/>
  <c r="AH385" i="1"/>
  <c r="AH386" i="1" s="1"/>
  <c r="AH371" i="1"/>
  <c r="AH372" i="1" s="1"/>
  <c r="CB227" i="3"/>
  <c r="AI228" i="2"/>
  <c r="CB228" i="3" s="1"/>
  <c r="AI516" i="2"/>
  <c r="CB203" i="3"/>
  <c r="J287" i="1"/>
  <c r="AI88" i="5"/>
  <c r="AI422" i="2"/>
  <c r="K334" i="1"/>
  <c r="AI145" i="2"/>
  <c r="AJ302" i="2" s="1"/>
  <c r="AK60" i="4"/>
  <c r="CC302" i="3" l="1"/>
  <c r="AI244" i="2"/>
  <c r="AI146" i="2"/>
  <c r="CB145" i="3"/>
  <c r="AI17" i="5"/>
  <c r="Z37" i="9"/>
  <c r="AI148" i="2"/>
  <c r="AI229" i="2"/>
  <c r="CB484" i="3"/>
  <c r="AI485" i="2"/>
  <c r="CB422" i="3"/>
  <c r="AI424" i="2"/>
  <c r="CB424" i="3" s="1"/>
  <c r="CB516" i="3"/>
  <c r="AI384" i="5"/>
  <c r="AI90" i="5" l="1"/>
  <c r="AI346" i="5" s="1"/>
  <c r="CB229" i="3"/>
  <c r="AJ8" i="2"/>
  <c r="AI486" i="2" s="1"/>
  <c r="AI248" i="2"/>
  <c r="CB148" i="3"/>
  <c r="AI109" i="5"/>
  <c r="CB146" i="3"/>
  <c r="AJ37" i="9"/>
  <c r="AL37" i="9" s="1"/>
  <c r="Z133" i="9"/>
  <c r="CB244" i="3"/>
  <c r="AI245" i="2"/>
  <c r="AI425" i="2"/>
  <c r="CB425" i="3" s="1"/>
  <c r="CB485" i="3"/>
  <c r="AI213" i="5"/>
  <c r="AI18" i="5"/>
  <c r="CB486" i="3" l="1"/>
  <c r="CB248" i="3"/>
  <c r="AI259" i="2"/>
  <c r="BT37" i="9"/>
  <c r="AJ450" i="2"/>
  <c r="AJ19" i="2"/>
  <c r="I288" i="1"/>
  <c r="AJ447" i="2"/>
  <c r="AJ84" i="2"/>
  <c r="AJ372" i="5"/>
  <c r="AJ374" i="5" s="1"/>
  <c r="CC8" i="3"/>
  <c r="AI389" i="1"/>
  <c r="AJ390" i="2"/>
  <c r="AJ20" i="2"/>
  <c r="F38" i="9"/>
  <c r="AI19" i="5"/>
  <c r="AI214" i="5"/>
  <c r="AJ133" i="9"/>
  <c r="AL133" i="9"/>
  <c r="CB245" i="3"/>
  <c r="AI260" i="2"/>
  <c r="CB260" i="3" s="1"/>
  <c r="AH373" i="1"/>
  <c r="AJ15" i="5" l="1"/>
  <c r="AJ212" i="5" s="1"/>
  <c r="AJ85" i="2"/>
  <c r="CC84" i="3"/>
  <c r="AJ238" i="2"/>
  <c r="CC450" i="3"/>
  <c r="CC447" i="3"/>
  <c r="BT133" i="9"/>
  <c r="BY37" i="9"/>
  <c r="BY133" i="9" s="1"/>
  <c r="AJ391" i="2"/>
  <c r="AJ392" i="2"/>
  <c r="CC390" i="3"/>
  <c r="AJ394" i="2"/>
  <c r="AJ393" i="2"/>
  <c r="F134" i="9"/>
  <c r="K38" i="9"/>
  <c r="AI368" i="5"/>
  <c r="AI370" i="5" s="1"/>
  <c r="AI144" i="5" s="1"/>
  <c r="CB259" i="3"/>
  <c r="AI215" i="5"/>
  <c r="AI20" i="5"/>
  <c r="AI261" i="2"/>
  <c r="CB261" i="3" s="1"/>
  <c r="AJ232" i="2"/>
  <c r="CC232" i="3" s="1"/>
  <c r="AJ10" i="5"/>
  <c r="AJ206" i="5" s="1"/>
  <c r="CC19" i="3"/>
  <c r="AJ364" i="5"/>
  <c r="AJ366" i="5" s="1"/>
  <c r="K134" i="9" l="1"/>
  <c r="CC392" i="3"/>
  <c r="CC394" i="3"/>
  <c r="AJ290" i="2"/>
  <c r="CC290" i="3" s="1"/>
  <c r="AJ470" i="2"/>
  <c r="CC470" i="3" s="1"/>
  <c r="CC85" i="3"/>
  <c r="AJ287" i="2"/>
  <c r="CC238" i="3"/>
  <c r="AJ240" i="2"/>
  <c r="AD38" i="9"/>
  <c r="AD134" i="9" s="1"/>
  <c r="CC393" i="3"/>
  <c r="AJ395" i="2"/>
  <c r="CC391" i="3"/>
  <c r="AJ303" i="2" l="1"/>
  <c r="CC287" i="3"/>
  <c r="CC395" i="3"/>
  <c r="AJ405" i="2"/>
  <c r="CC405" i="3" s="1"/>
  <c r="AJ396" i="2"/>
  <c r="CC396" i="3" s="1"/>
  <c r="AI38" i="9"/>
  <c r="AI134" i="9" s="1"/>
  <c r="CC240" i="3"/>
  <c r="CC303" i="3" l="1"/>
  <c r="AJ95" i="2"/>
  <c r="AJ103" i="2" s="1"/>
  <c r="AJ331" i="2" l="1"/>
  <c r="AK10" i="2"/>
  <c r="AK100" i="2" s="1"/>
  <c r="AW38" i="9"/>
  <c r="CC103" i="3"/>
  <c r="AJ501" i="2"/>
  <c r="AJ461" i="2"/>
  <c r="CC461" i="3" s="1"/>
  <c r="AJ250" i="2"/>
  <c r="CC250" i="3" s="1"/>
  <c r="AJ116" i="2"/>
  <c r="AJ457" i="2"/>
  <c r="AQ38" i="9"/>
  <c r="CC95" i="3"/>
  <c r="AK9" i="2"/>
  <c r="AK93" i="2" s="1"/>
  <c r="AJ320" i="2"/>
  <c r="AJ249" i="2"/>
  <c r="AJ175" i="2"/>
  <c r="CD93" i="3" l="1"/>
  <c r="AK94" i="2"/>
  <c r="AK102" i="2"/>
  <c r="CD100" i="3"/>
  <c r="AK489" i="2"/>
  <c r="AK11" i="2"/>
  <c r="CD9" i="3"/>
  <c r="AL92" i="2"/>
  <c r="AK96" i="2"/>
  <c r="AJ117" i="2"/>
  <c r="AJ347" i="2"/>
  <c r="AJ252" i="2"/>
  <c r="BB38" i="9"/>
  <c r="CC116" i="3"/>
  <c r="AK12" i="2"/>
  <c r="AJ281" i="2"/>
  <c r="CC175" i="3"/>
  <c r="AY38" i="9"/>
  <c r="AY134" i="9" s="1"/>
  <c r="AW134" i="9"/>
  <c r="AJ251" i="2"/>
  <c r="CC249" i="3"/>
  <c r="AQ134" i="9"/>
  <c r="AT38" i="9"/>
  <c r="CD10" i="3"/>
  <c r="AJ321" i="2"/>
  <c r="CC320" i="3"/>
  <c r="CC457" i="3"/>
  <c r="CC501" i="3"/>
  <c r="AJ503" i="2"/>
  <c r="AJ332" i="2"/>
  <c r="CC331" i="3"/>
  <c r="AK29" i="2" l="1"/>
  <c r="CD102" i="3"/>
  <c r="AK378" i="5"/>
  <c r="AK460" i="2"/>
  <c r="CD460" i="3" s="1"/>
  <c r="AU39" i="9"/>
  <c r="AU135" i="9" s="1"/>
  <c r="AK326" i="2"/>
  <c r="CD326" i="3" s="1"/>
  <c r="AK296" i="2"/>
  <c r="CD296" i="3" s="1"/>
  <c r="AK502" i="2"/>
  <c r="CD502" i="3" s="1"/>
  <c r="AK456" i="2"/>
  <c r="CD456" i="3" s="1"/>
  <c r="CD94" i="3"/>
  <c r="AK377" i="5"/>
  <c r="AN39" i="9"/>
  <c r="AN135" i="9" s="1"/>
  <c r="AK293" i="2"/>
  <c r="CD293" i="3" s="1"/>
  <c r="AK308" i="2"/>
  <c r="CD308" i="3" s="1"/>
  <c r="AK379" i="5"/>
  <c r="AK383" i="5" s="1"/>
  <c r="AK176" i="2"/>
  <c r="AT134" i="9"/>
  <c r="CD12" i="3"/>
  <c r="AK32" i="2"/>
  <c r="CC252" i="3"/>
  <c r="CE92" i="3"/>
  <c r="AK306" i="2"/>
  <c r="AK313" i="2" s="1"/>
  <c r="H288" i="1"/>
  <c r="A289" i="1" s="1"/>
  <c r="CC321" i="3"/>
  <c r="CC348" i="3"/>
  <c r="AJ349" i="2"/>
  <c r="CD29" i="3"/>
  <c r="AK317" i="2"/>
  <c r="CD317" i="3" s="1"/>
  <c r="BC38" i="9"/>
  <c r="BC134" i="9" s="1"/>
  <c r="BB134" i="9"/>
  <c r="AJ253" i="2"/>
  <c r="CC253" i="3" s="1"/>
  <c r="CC117" i="3"/>
  <c r="AJ508" i="2"/>
  <c r="BF38" i="9"/>
  <c r="AK13" i="2"/>
  <c r="AK14" i="2" s="1"/>
  <c r="AJ348" i="2"/>
  <c r="CD11" i="3"/>
  <c r="G39" i="9"/>
  <c r="G135" i="9" s="1"/>
  <c r="AK324" i="2"/>
  <c r="CC332" i="3"/>
  <c r="CC503" i="3"/>
  <c r="AJ505" i="2"/>
  <c r="CC251" i="3"/>
  <c r="BU38" i="9"/>
  <c r="BU134" i="9" s="1"/>
  <c r="CC281" i="3"/>
  <c r="AJ118" i="2"/>
  <c r="AK310" i="2"/>
  <c r="CD310" i="3" s="1"/>
  <c r="AE39" i="9"/>
  <c r="AE135" i="9" s="1"/>
  <c r="AR39" i="9"/>
  <c r="AR135" i="9" s="1"/>
  <c r="CD96" i="3"/>
  <c r="AK491" i="2"/>
  <c r="CD491" i="3" s="1"/>
  <c r="CD489" i="3"/>
  <c r="AJ357" i="1" l="1"/>
  <c r="CD176" i="3"/>
  <c r="AK493" i="2"/>
  <c r="AK494" i="2"/>
  <c r="CD494" i="3" s="1"/>
  <c r="CD14" i="3"/>
  <c r="H39" i="9"/>
  <c r="H135" i="9" s="1"/>
  <c r="CC505" i="3"/>
  <c r="AJ506" i="2"/>
  <c r="BF134" i="9"/>
  <c r="BG38" i="9"/>
  <c r="BG134" i="9" s="1"/>
  <c r="CC508" i="3"/>
  <c r="AJ510" i="2"/>
  <c r="AJ350" i="2"/>
  <c r="AK336" i="2" s="1"/>
  <c r="CC349" i="3"/>
  <c r="CC350" i="3"/>
  <c r="AK335" i="2"/>
  <c r="AK319" i="2"/>
  <c r="CD319" i="3" s="1"/>
  <c r="AK309" i="2"/>
  <c r="CD306" i="3"/>
  <c r="AJ254" i="2"/>
  <c r="CD493" i="3"/>
  <c r="CC118" i="3"/>
  <c r="AJ464" i="2"/>
  <c r="AJ177" i="2"/>
  <c r="AJ126" i="2"/>
  <c r="CD324" i="3"/>
  <c r="AK327" i="2"/>
  <c r="AK33" i="2"/>
  <c r="AK34" i="2" s="1"/>
  <c r="CD13" i="3"/>
  <c r="AK343" i="2"/>
  <c r="CD344" i="3" s="1"/>
  <c r="CD32" i="3"/>
  <c r="AK496" i="2" l="1"/>
  <c r="AK497" i="2" s="1"/>
  <c r="O39" i="9"/>
  <c r="O135" i="9" s="1"/>
  <c r="CD34" i="3"/>
  <c r="CC177" i="3"/>
  <c r="AJ282" i="2"/>
  <c r="CD309" i="3"/>
  <c r="AJ390" i="1"/>
  <c r="AK99" i="2"/>
  <c r="CD327" i="3"/>
  <c r="CC464" i="3"/>
  <c r="AK340" i="2"/>
  <c r="CD337" i="3"/>
  <c r="BV38" i="9"/>
  <c r="BV134" i="9" s="1"/>
  <c r="CC254" i="3"/>
  <c r="CD336" i="3"/>
  <c r="CD335" i="3"/>
  <c r="AK339" i="2"/>
  <c r="CC510" i="3"/>
  <c r="AJ512" i="2"/>
  <c r="CD33" i="3"/>
  <c r="AK344" i="2"/>
  <c r="CD345" i="3" s="1"/>
  <c r="AJ135" i="2"/>
  <c r="BI38" i="9"/>
  <c r="AJ255" i="2"/>
  <c r="AK15" i="2"/>
  <c r="CC126" i="3"/>
  <c r="AJ363" i="2"/>
  <c r="AJ467" i="2"/>
  <c r="CC467" i="3" s="1"/>
  <c r="CD496" i="3" l="1"/>
  <c r="AK17" i="2"/>
  <c r="CD15" i="3"/>
  <c r="AK127" i="2"/>
  <c r="CD341" i="3"/>
  <c r="AK114" i="2"/>
  <c r="CC282" i="3"/>
  <c r="AJ284" i="2"/>
  <c r="AK295" i="2"/>
  <c r="CD295" i="3" s="1"/>
  <c r="AK328" i="2"/>
  <c r="AK459" i="2"/>
  <c r="CD459" i="3" s="1"/>
  <c r="AV39" i="9"/>
  <c r="AV135" i="9" s="1"/>
  <c r="CD99" i="3"/>
  <c r="AK30" i="2"/>
  <c r="AL101" i="2"/>
  <c r="CE101" i="3" s="1"/>
  <c r="CD497" i="3"/>
  <c r="AK498" i="2"/>
  <c r="CD498" i="3" s="1"/>
  <c r="AJ257" i="2"/>
  <c r="CC255" i="3"/>
  <c r="CD340" i="3"/>
  <c r="AK113" i="2"/>
  <c r="CC364" i="3"/>
  <c r="AJ364" i="2"/>
  <c r="AK353" i="2" s="1"/>
  <c r="BI134" i="9"/>
  <c r="BL38" i="9"/>
  <c r="AJ513" i="2"/>
  <c r="CC512" i="3"/>
  <c r="AJ382" i="2"/>
  <c r="BO38" i="9"/>
  <c r="AJ469" i="2"/>
  <c r="CC469" i="3" s="1"/>
  <c r="AK18" i="2"/>
  <c r="CC135" i="3"/>
  <c r="AJ258" i="2"/>
  <c r="AJ472" i="2" l="1"/>
  <c r="CC258" i="3"/>
  <c r="AJ175" i="5"/>
  <c r="BX38" i="9"/>
  <c r="BX134" i="9" s="1"/>
  <c r="BO134" i="9"/>
  <c r="BP38" i="9"/>
  <c r="BP134" i="9" s="1"/>
  <c r="CC257" i="3"/>
  <c r="BW38" i="9"/>
  <c r="BW134" i="9" s="1"/>
  <c r="CC284" i="3"/>
  <c r="AI359" i="1"/>
  <c r="CC382" i="3"/>
  <c r="AJ383" i="2"/>
  <c r="AK341" i="2"/>
  <c r="AK115" i="2"/>
  <c r="BA39" i="9"/>
  <c r="BA135" i="9" s="1"/>
  <c r="CD113" i="3"/>
  <c r="AK329" i="2"/>
  <c r="CD329" i="3" s="1"/>
  <c r="CD30" i="3"/>
  <c r="AK31" i="2"/>
  <c r="CD328" i="3"/>
  <c r="AK330" i="2"/>
  <c r="CD330" i="3" s="1"/>
  <c r="AK355" i="2"/>
  <c r="CD355" i="3" s="1"/>
  <c r="AG39" i="9"/>
  <c r="AG135" i="9" s="1"/>
  <c r="CD127" i="3"/>
  <c r="BK39" i="9"/>
  <c r="BK135" i="9" s="1"/>
  <c r="J39" i="9"/>
  <c r="J135" i="9" s="1"/>
  <c r="CD18" i="3"/>
  <c r="E289" i="1"/>
  <c r="AK38" i="2"/>
  <c r="CC472" i="3"/>
  <c r="AJ28" i="2"/>
  <c r="BE39" i="9"/>
  <c r="BE135" i="9" s="1"/>
  <c r="AK342" i="2"/>
  <c r="CD114" i="3"/>
  <c r="BL134" i="9"/>
  <c r="AJ391" i="1"/>
  <c r="CD353" i="3"/>
  <c r="AJ474" i="2"/>
  <c r="CD17" i="3"/>
  <c r="I39" i="9"/>
  <c r="I135" i="9" s="1"/>
  <c r="BR38" i="9" l="1"/>
  <c r="BR134" i="9" s="1"/>
  <c r="AJ400" i="2"/>
  <c r="AJ402" i="2"/>
  <c r="AJ399" i="2"/>
  <c r="AJ401" i="2"/>
  <c r="AK357" i="2"/>
  <c r="CD358" i="3" s="1"/>
  <c r="AJ169" i="2"/>
  <c r="CC28" i="3"/>
  <c r="AJ139" i="2"/>
  <c r="M38" i="9"/>
  <c r="AJ438" i="2"/>
  <c r="AJ241" i="2"/>
  <c r="AJ71" i="2"/>
  <c r="AJ11" i="5"/>
  <c r="AJ390" i="5"/>
  <c r="N39" i="9"/>
  <c r="N135" i="9" s="1"/>
  <c r="CD31" i="3"/>
  <c r="AK439" i="2"/>
  <c r="CD439" i="3" s="1"/>
  <c r="CC474" i="3"/>
  <c r="AJ476" i="2"/>
  <c r="AK462" i="2"/>
  <c r="CD462" i="3" s="1"/>
  <c r="AK298" i="2"/>
  <c r="CD298" i="3" s="1"/>
  <c r="CD115" i="3"/>
  <c r="CD343" i="3"/>
  <c r="AK346" i="2"/>
  <c r="CD347" i="3" s="1"/>
  <c r="AK173" i="5"/>
  <c r="Q39" i="9"/>
  <c r="Q135" i="9" s="1"/>
  <c r="CD38" i="3"/>
  <c r="AK379" i="2"/>
  <c r="CD379" i="3" s="1"/>
  <c r="CD342" i="3"/>
  <c r="AK345" i="2"/>
  <c r="CD346" i="3" s="1"/>
  <c r="CC383" i="3"/>
  <c r="AK377" i="2"/>
  <c r="AJ394" i="5" l="1"/>
  <c r="AJ391" i="5"/>
  <c r="AJ395" i="5" s="1"/>
  <c r="AJ410" i="2"/>
  <c r="CC401" i="3"/>
  <c r="AJ403" i="2"/>
  <c r="CC403" i="3" s="1"/>
  <c r="CC399" i="3"/>
  <c r="AJ408" i="2"/>
  <c r="AJ411" i="2"/>
  <c r="CC402" i="3"/>
  <c r="CC400" i="3"/>
  <c r="AJ409" i="2"/>
  <c r="AK121" i="2"/>
  <c r="CD121" i="3" s="1"/>
  <c r="AJ207" i="5"/>
  <c r="W38" i="9"/>
  <c r="M134" i="9"/>
  <c r="CC476" i="3"/>
  <c r="AJ478" i="2"/>
  <c r="CC71" i="3"/>
  <c r="AJ386" i="5"/>
  <c r="AJ388" i="5" s="1"/>
  <c r="AI368" i="1"/>
  <c r="CC139" i="3"/>
  <c r="CC241" i="3"/>
  <c r="CD377" i="3"/>
  <c r="AK381" i="2"/>
  <c r="CD381" i="3" s="1"/>
  <c r="CC438" i="3"/>
  <c r="AJ444" i="2"/>
  <c r="CC444" i="3" s="1"/>
  <c r="CC169" i="3"/>
  <c r="AI354" i="1"/>
  <c r="CC411" i="3" l="1"/>
  <c r="AJ418" i="2"/>
  <c r="CC418" i="3" s="1"/>
  <c r="CC409" i="3"/>
  <c r="AJ416" i="2"/>
  <c r="CC416" i="3" s="1"/>
  <c r="CC410" i="3"/>
  <c r="AJ417" i="2"/>
  <c r="AJ412" i="2"/>
  <c r="CC412" i="3" s="1"/>
  <c r="CC408" i="3"/>
  <c r="AJ415" i="2"/>
  <c r="AK358" i="2"/>
  <c r="CD359" i="3" s="1"/>
  <c r="CC478" i="3"/>
  <c r="AJ480" i="2"/>
  <c r="W134" i="9"/>
  <c r="AK359" i="2"/>
  <c r="CC417" i="3" l="1"/>
  <c r="AJ170" i="2"/>
  <c r="AJ413" i="2"/>
  <c r="AJ419" i="2"/>
  <c r="CC419" i="3" s="1"/>
  <c r="CC415" i="3"/>
  <c r="CC480" i="3"/>
  <c r="AJ481" i="2"/>
  <c r="AK122" i="2"/>
  <c r="CD360" i="3"/>
  <c r="AJ420" i="2" l="1"/>
  <c r="CC420" i="3" s="1"/>
  <c r="AJ210" i="2"/>
  <c r="AI355" i="1"/>
  <c r="AJ268" i="2"/>
  <c r="CC268" i="3" s="1"/>
  <c r="CC170" i="3"/>
  <c r="AJ192" i="2"/>
  <c r="AJ171" i="2"/>
  <c r="AK360" i="2"/>
  <c r="CD122" i="3"/>
  <c r="AK123" i="2"/>
  <c r="CC481" i="3"/>
  <c r="AJ482" i="2"/>
  <c r="CC482" i="3" s="1"/>
  <c r="AJ182" i="2" l="1"/>
  <c r="CC171" i="3"/>
  <c r="AI356" i="1"/>
  <c r="AI361" i="1" s="1"/>
  <c r="CC192" i="3"/>
  <c r="AI366" i="1"/>
  <c r="AI380" i="1"/>
  <c r="CC210" i="3"/>
  <c r="CD123" i="3"/>
  <c r="BH39" i="9"/>
  <c r="BH135" i="9" s="1"/>
  <c r="AK125" i="2"/>
  <c r="AK35" i="2"/>
  <c r="CD361" i="3"/>
  <c r="CC182" i="3" l="1"/>
  <c r="AJ207" i="2"/>
  <c r="CC207" i="3" s="1"/>
  <c r="AJ153" i="2"/>
  <c r="AK361" i="2"/>
  <c r="CD35" i="3"/>
  <c r="AK37" i="2"/>
  <c r="CD125" i="3"/>
  <c r="AK466" i="2"/>
  <c r="CD466" i="3" s="1"/>
  <c r="AK299" i="2"/>
  <c r="CD299" i="3" s="1"/>
  <c r="CC153" i="3" l="1"/>
  <c r="AJ154" i="2"/>
  <c r="CD37" i="3"/>
  <c r="AK440" i="2"/>
  <c r="CD440" i="3" s="1"/>
  <c r="P39" i="9"/>
  <c r="P135" i="9" s="1"/>
  <c r="CD362" i="3"/>
  <c r="CD356" i="3"/>
  <c r="AK362" i="2"/>
  <c r="CD363" i="3" s="1"/>
  <c r="AJ156" i="2" l="1"/>
  <c r="CC154" i="3"/>
  <c r="AJ158" i="2" l="1"/>
  <c r="AJ159" i="2"/>
  <c r="CC156" i="3"/>
  <c r="CC158" i="3" l="1"/>
  <c r="AJ162" i="2"/>
  <c r="CC162" i="3" s="1"/>
  <c r="CC159" i="3"/>
  <c r="AJ160" i="2"/>
  <c r="AJ161" i="2" l="1"/>
  <c r="CC160" i="3"/>
  <c r="AJ163" i="2" l="1"/>
  <c r="CC161" i="3"/>
  <c r="CC163" i="3" l="1"/>
  <c r="AJ165" i="2"/>
  <c r="AJ267" i="2" s="1"/>
  <c r="AJ166" i="2" l="1"/>
  <c r="CC166" i="3" s="1"/>
  <c r="AJ183" i="2"/>
  <c r="CC165" i="3"/>
  <c r="CC267" i="3"/>
  <c r="AJ112" i="5"/>
  <c r="AJ140" i="5" s="1"/>
  <c r="AI375" i="1" l="1"/>
  <c r="AJ208" i="2"/>
  <c r="CC183" i="3"/>
  <c r="AJ184" i="2"/>
  <c r="AI363" i="1"/>
  <c r="AI364" i="1" s="1"/>
  <c r="AI367" i="1" l="1"/>
  <c r="AI374" i="1"/>
  <c r="AI377" i="1" s="1"/>
  <c r="AJ85" i="5"/>
  <c r="AJ342" i="5" s="1"/>
  <c r="AJ191" i="2"/>
  <c r="AJ399" i="5"/>
  <c r="CC184" i="3"/>
  <c r="AJ266" i="2"/>
  <c r="AJ397" i="5"/>
  <c r="AJ94" i="4"/>
  <c r="AJ212" i="2"/>
  <c r="CC208" i="3"/>
  <c r="AI378" i="1"/>
  <c r="AJ270" i="2" l="1"/>
  <c r="AJ271" i="2"/>
  <c r="AJ86" i="4" s="1"/>
  <c r="AJ193" i="2"/>
  <c r="CC191" i="3"/>
  <c r="CC266" i="3"/>
  <c r="AJ218" i="2"/>
  <c r="CC212" i="3"/>
  <c r="AJ225" i="2"/>
  <c r="CC225" i="3" s="1"/>
  <c r="AI382" i="1"/>
  <c r="AI384" i="1" s="1"/>
  <c r="CC270" i="3" l="1"/>
  <c r="AJ86" i="5"/>
  <c r="AJ343" i="5" s="1"/>
  <c r="AJ32" i="4"/>
  <c r="AL33" i="4" s="1"/>
  <c r="CC218" i="3"/>
  <c r="AJ220" i="2"/>
  <c r="AJ222" i="2"/>
  <c r="CC222" i="3" s="1"/>
  <c r="AJ221" i="2"/>
  <c r="CC221" i="3" s="1"/>
  <c r="CC193" i="3"/>
  <c r="AJ197" i="2"/>
  <c r="AJ195" i="2"/>
  <c r="AJ201" i="2"/>
  <c r="AJ196" i="2"/>
  <c r="AJ200" i="2"/>
  <c r="AJ199" i="2"/>
  <c r="AJ198" i="2"/>
  <c r="AJ88" i="4" l="1"/>
  <c r="AJ273" i="2" s="1"/>
  <c r="AJ89" i="4"/>
  <c r="AJ274" i="2" s="1"/>
  <c r="CC196" i="3"/>
  <c r="E335" i="1"/>
  <c r="AJ314" i="4"/>
  <c r="L288" i="1" s="1"/>
  <c r="CC220" i="3"/>
  <c r="AJ223" i="2"/>
  <c r="CC201" i="3"/>
  <c r="J335" i="1"/>
  <c r="AJ204" i="2"/>
  <c r="AJ202" i="2"/>
  <c r="D335" i="1"/>
  <c r="CC195" i="3"/>
  <c r="AJ313" i="4"/>
  <c r="K288" i="1" s="1"/>
  <c r="AL57" i="4"/>
  <c r="AL58" i="4"/>
  <c r="AL56" i="4"/>
  <c r="AL55" i="4"/>
  <c r="AL54" i="4"/>
  <c r="CC197" i="3"/>
  <c r="F335" i="1"/>
  <c r="AJ315" i="4"/>
  <c r="M288" i="1" s="1"/>
  <c r="CC200" i="3"/>
  <c r="I335" i="1"/>
  <c r="AJ318" i="4"/>
  <c r="P288" i="1" s="1"/>
  <c r="AJ316" i="4"/>
  <c r="N288" i="1" s="1"/>
  <c r="CC198" i="3"/>
  <c r="G335" i="1"/>
  <c r="H335" i="1"/>
  <c r="CC199" i="3"/>
  <c r="AJ317" i="4"/>
  <c r="O288" i="1" s="1"/>
  <c r="AI394" i="1" l="1"/>
  <c r="AJ515" i="2"/>
  <c r="CC515" i="3" s="1"/>
  <c r="CC204" i="3"/>
  <c r="AJ227" i="2"/>
  <c r="CC223" i="3"/>
  <c r="C335" i="1"/>
  <c r="AL59" i="4"/>
  <c r="AI370" i="1"/>
  <c r="CC202" i="3"/>
  <c r="AJ87" i="5"/>
  <c r="AJ344" i="5" s="1"/>
  <c r="AJ203" i="2"/>
  <c r="AL61" i="4" l="1"/>
  <c r="AL272" i="2"/>
  <c r="K335" i="1"/>
  <c r="AJ484" i="2"/>
  <c r="AI393" i="1"/>
  <c r="CC227" i="3"/>
  <c r="AJ89" i="5"/>
  <c r="AJ345" i="5" s="1"/>
  <c r="AI371" i="1"/>
  <c r="AI372" i="1" s="1"/>
  <c r="AI385" i="1"/>
  <c r="AI386" i="1" s="1"/>
  <c r="AJ228" i="2"/>
  <c r="CC228" i="3" s="1"/>
  <c r="AJ88" i="5"/>
  <c r="J288" i="1"/>
  <c r="AJ516" i="2"/>
  <c r="CC203" i="3"/>
  <c r="AL60" i="4"/>
  <c r="AJ422" i="2"/>
  <c r="AJ145" i="2"/>
  <c r="AJ424" i="2" l="1"/>
  <c r="CC424" i="3" s="1"/>
  <c r="CC422" i="3"/>
  <c r="AK302" i="2"/>
  <c r="AJ148" i="2"/>
  <c r="AJ244" i="2"/>
  <c r="AJ229" i="2"/>
  <c r="Z38" i="9"/>
  <c r="CC145" i="3"/>
  <c r="AJ17" i="5"/>
  <c r="AJ146" i="2"/>
  <c r="AJ384" i="5"/>
  <c r="CC516" i="3"/>
  <c r="CC484" i="3"/>
  <c r="AJ485" i="2"/>
  <c r="CD302" i="3" l="1"/>
  <c r="AJ38" i="9"/>
  <c r="AL38" i="9" s="1"/>
  <c r="Z134" i="9"/>
  <c r="AJ245" i="2"/>
  <c r="CC244" i="3"/>
  <c r="CC229" i="3"/>
  <c r="AJ90" i="5"/>
  <c r="AJ346" i="5" s="1"/>
  <c r="CC148" i="3"/>
  <c r="AK8" i="2"/>
  <c r="AJ248" i="2"/>
  <c r="AJ213" i="5"/>
  <c r="AJ18" i="5"/>
  <c r="CC485" i="3"/>
  <c r="AJ425" i="2"/>
  <c r="CC425" i="3" s="1"/>
  <c r="AJ109" i="5"/>
  <c r="CC146" i="3"/>
  <c r="AJ260" i="2" l="1"/>
  <c r="CC260" i="3" s="1"/>
  <c r="CC245" i="3"/>
  <c r="AI373" i="1"/>
  <c r="AJ214" i="5"/>
  <c r="AJ19" i="5"/>
  <c r="BT38" i="9"/>
  <c r="CC248" i="3"/>
  <c r="AJ259" i="2"/>
  <c r="AJ134" i="9"/>
  <c r="AL134" i="9"/>
  <c r="AJ486" i="2"/>
  <c r="AK390" i="2"/>
  <c r="CD8" i="3"/>
  <c r="F39" i="9"/>
  <c r="AK20" i="2"/>
  <c r="AJ389" i="1"/>
  <c r="AK450" i="2"/>
  <c r="CD450" i="3" s="1"/>
  <c r="AK19" i="2"/>
  <c r="AK447" i="2"/>
  <c r="CD447" i="3" s="1"/>
  <c r="AK84" i="2"/>
  <c r="I289" i="1"/>
  <c r="AK372" i="5"/>
  <c r="AK374" i="5" s="1"/>
  <c r="BT134" i="9" l="1"/>
  <c r="BY38" i="9"/>
  <c r="BY134" i="9" s="1"/>
  <c r="AJ215" i="5"/>
  <c r="AJ20" i="5"/>
  <c r="AK238" i="2"/>
  <c r="AK85" i="2"/>
  <c r="AK15" i="5"/>
  <c r="AK212" i="5" s="1"/>
  <c r="CD84" i="3"/>
  <c r="AK393" i="2"/>
  <c r="AK394" i="2"/>
  <c r="AK391" i="2"/>
  <c r="CD390" i="3"/>
  <c r="AK392" i="2"/>
  <c r="AJ368" i="5"/>
  <c r="AJ370" i="5" s="1"/>
  <c r="AJ144" i="5" s="1"/>
  <c r="CC259" i="3"/>
  <c r="AK232" i="2"/>
  <c r="CD232" i="3" s="1"/>
  <c r="AK10" i="5"/>
  <c r="AK206" i="5" s="1"/>
  <c r="AJ261" i="2"/>
  <c r="CC261" i="3" s="1"/>
  <c r="CD19" i="3"/>
  <c r="AK364" i="5"/>
  <c r="AK366" i="5" s="1"/>
  <c r="K39" i="9"/>
  <c r="F135" i="9"/>
  <c r="CC486" i="3"/>
  <c r="K135" i="9" l="1"/>
  <c r="AK290" i="2"/>
  <c r="CD290" i="3" s="1"/>
  <c r="AK470" i="2"/>
  <c r="CD470" i="3" s="1"/>
  <c r="CD85" i="3"/>
  <c r="AK287" i="2"/>
  <c r="CD392" i="3"/>
  <c r="CD238" i="3"/>
  <c r="AK240" i="2"/>
  <c r="AD39" i="9"/>
  <c r="AD135" i="9" s="1"/>
  <c r="AK395" i="2"/>
  <c r="CD391" i="3"/>
  <c r="CD394" i="3"/>
  <c r="CD393" i="3"/>
  <c r="CD287" i="3" l="1"/>
  <c r="AK303" i="2"/>
  <c r="CD240" i="3"/>
  <c r="AI39" i="9"/>
  <c r="AI135" i="9" s="1"/>
  <c r="AK396" i="2"/>
  <c r="CD396" i="3" s="1"/>
  <c r="AK405" i="2"/>
  <c r="CD405" i="3" s="1"/>
  <c r="CD395" i="3"/>
  <c r="CD303" i="3" l="1"/>
  <c r="AK95" i="2"/>
  <c r="AK103" i="2" s="1"/>
  <c r="AK461" i="2" l="1"/>
  <c r="CD461" i="3" s="1"/>
  <c r="AK501" i="2"/>
  <c r="CD103" i="3"/>
  <c r="AK250" i="2"/>
  <c r="CD250" i="3" s="1"/>
  <c r="AW39" i="9"/>
  <c r="AK331" i="2"/>
  <c r="AL10" i="2"/>
  <c r="AK116" i="2"/>
  <c r="AK117" i="2" s="1"/>
  <c r="AL9" i="2"/>
  <c r="AK249" i="2"/>
  <c r="AQ39" i="9"/>
  <c r="AK320" i="2"/>
  <c r="AK457" i="2"/>
  <c r="CD457" i="3" s="1"/>
  <c r="CD95" i="3"/>
  <c r="AK175" i="2"/>
  <c r="AL100" i="2" l="1"/>
  <c r="CE10" i="3"/>
  <c r="AK281" i="2"/>
  <c r="CD281" i="3" s="1"/>
  <c r="CD175" i="3"/>
  <c r="AK332" i="2"/>
  <c r="CD331" i="3"/>
  <c r="CD320" i="3"/>
  <c r="AK321" i="2"/>
  <c r="AY39" i="9"/>
  <c r="AY135" i="9" s="1"/>
  <c r="AW135" i="9"/>
  <c r="AQ135" i="9"/>
  <c r="AT39" i="9"/>
  <c r="AT135" i="9" s="1"/>
  <c r="CD249" i="3"/>
  <c r="AK251" i="2"/>
  <c r="AL93" i="2"/>
  <c r="AL96" i="2"/>
  <c r="AL489" i="2"/>
  <c r="CE9" i="3"/>
  <c r="AL11" i="2"/>
  <c r="CD501" i="3"/>
  <c r="AK503" i="2"/>
  <c r="AK118" i="2"/>
  <c r="BF39" i="9"/>
  <c r="AK508" i="2"/>
  <c r="AK253" i="2"/>
  <c r="CD253" i="3" s="1"/>
  <c r="AL13" i="2"/>
  <c r="AK348" i="2"/>
  <c r="CD117" i="3"/>
  <c r="BB39" i="9"/>
  <c r="AK252" i="2"/>
  <c r="AK347" i="2"/>
  <c r="CD116" i="3"/>
  <c r="AL12" i="2"/>
  <c r="CE93" i="3" l="1"/>
  <c r="AL94" i="2"/>
  <c r="AK505" i="2"/>
  <c r="CD503" i="3"/>
  <c r="AK350" i="2"/>
  <c r="AL336" i="2" s="1"/>
  <c r="CD349" i="3"/>
  <c r="CE11" i="3"/>
  <c r="G40" i="9"/>
  <c r="G136" i="9" s="1"/>
  <c r="BU39" i="9"/>
  <c r="BU135" i="9" s="1"/>
  <c r="CD251" i="3"/>
  <c r="AL14" i="2"/>
  <c r="AL33" i="2"/>
  <c r="CE13" i="3"/>
  <c r="CD332" i="3"/>
  <c r="AL324" i="2"/>
  <c r="BC39" i="9"/>
  <c r="BC135" i="9" s="1"/>
  <c r="BB135" i="9"/>
  <c r="CE12" i="3"/>
  <c r="AL32" i="2"/>
  <c r="H289" i="1"/>
  <c r="A290" i="1" s="1"/>
  <c r="AL306" i="2"/>
  <c r="CD321" i="3"/>
  <c r="CD508" i="3"/>
  <c r="AK510" i="2"/>
  <c r="CE489" i="3"/>
  <c r="AK349" i="2"/>
  <c r="CD348" i="3"/>
  <c r="BF135" i="9"/>
  <c r="BG39" i="9"/>
  <c r="BG135" i="9" s="1"/>
  <c r="CE96" i="3"/>
  <c r="AE40" i="9"/>
  <c r="AE136" i="9" s="1"/>
  <c r="AL310" i="2"/>
  <c r="CE310" i="3" s="1"/>
  <c r="AR40" i="9"/>
  <c r="AR136" i="9" s="1"/>
  <c r="CD252" i="3"/>
  <c r="AK254" i="2"/>
  <c r="AK177" i="2"/>
  <c r="AK464" i="2"/>
  <c r="CD464" i="3" s="1"/>
  <c r="CD118" i="3"/>
  <c r="AK126" i="2"/>
  <c r="AK135" i="2" s="1"/>
  <c r="CE100" i="3"/>
  <c r="AL102" i="2"/>
  <c r="AK382" i="2" l="1"/>
  <c r="BO39" i="9"/>
  <c r="CD135" i="3"/>
  <c r="AL18" i="2"/>
  <c r="AK469" i="2"/>
  <c r="CD469" i="3" s="1"/>
  <c r="AK258" i="2"/>
  <c r="AK512" i="2"/>
  <c r="CD510" i="3"/>
  <c r="CE324" i="3"/>
  <c r="AK282" i="2"/>
  <c r="CD177" i="3"/>
  <c r="CE306" i="3"/>
  <c r="AL340" i="2"/>
  <c r="CE337" i="3"/>
  <c r="AL335" i="2"/>
  <c r="CD350" i="3"/>
  <c r="AL34" i="2"/>
  <c r="CE33" i="3"/>
  <c r="AL344" i="2"/>
  <c r="CE345" i="3" s="1"/>
  <c r="CE32" i="3"/>
  <c r="AL343" i="2"/>
  <c r="CE344" i="3" s="1"/>
  <c r="CE14" i="3"/>
  <c r="H40" i="9"/>
  <c r="H136" i="9" s="1"/>
  <c r="CD505" i="3"/>
  <c r="AK506" i="2"/>
  <c r="CD254" i="3"/>
  <c r="BV39" i="9"/>
  <c r="BV135" i="9" s="1"/>
  <c r="AL502" i="2"/>
  <c r="CE502" i="3" s="1"/>
  <c r="AL296" i="2"/>
  <c r="CE296" i="3" s="1"/>
  <c r="AU40" i="9"/>
  <c r="AU136" i="9" s="1"/>
  <c r="AL460" i="2"/>
  <c r="CE460" i="3" s="1"/>
  <c r="AL378" i="5"/>
  <c r="AL326" i="2"/>
  <c r="CE326" i="3" s="1"/>
  <c r="CE102" i="3"/>
  <c r="CE94" i="3"/>
  <c r="AN40" i="9"/>
  <c r="AN136" i="9" s="1"/>
  <c r="AL377" i="5"/>
  <c r="AL456" i="2"/>
  <c r="CE456" i="3" s="1"/>
  <c r="AL293" i="2"/>
  <c r="CE293" i="3" s="1"/>
  <c r="AL308" i="2"/>
  <c r="CE308" i="3" s="1"/>
  <c r="AL176" i="2"/>
  <c r="AL379" i="5"/>
  <c r="AL383" i="5" s="1"/>
  <c r="AL491" i="2"/>
  <c r="AM92" i="2"/>
  <c r="AL29" i="2"/>
  <c r="CD126" i="3"/>
  <c r="AK255" i="2"/>
  <c r="BI39" i="9"/>
  <c r="AK467" i="2"/>
  <c r="CD467" i="3" s="1"/>
  <c r="AK363" i="2"/>
  <c r="AL15" i="2"/>
  <c r="BL39" i="9" l="1"/>
  <c r="BI135" i="9"/>
  <c r="AK472" i="2"/>
  <c r="AL309" i="2"/>
  <c r="CD512" i="3"/>
  <c r="AK513" i="2"/>
  <c r="AK257" i="2"/>
  <c r="CD255" i="3"/>
  <c r="AK357" i="1"/>
  <c r="CE176" i="3"/>
  <c r="CD258" i="3"/>
  <c r="AK175" i="5"/>
  <c r="BX39" i="9"/>
  <c r="BX135" i="9" s="1"/>
  <c r="O40" i="9"/>
  <c r="O136" i="9" s="1"/>
  <c r="CE34" i="3"/>
  <c r="AL313" i="2"/>
  <c r="AK474" i="2"/>
  <c r="CE18" i="3"/>
  <c r="E290" i="1"/>
  <c r="AL38" i="2"/>
  <c r="J40" i="9"/>
  <c r="J136" i="9" s="1"/>
  <c r="CE491" i="3"/>
  <c r="AL493" i="2"/>
  <c r="AL494" i="2"/>
  <c r="CE494" i="3" s="1"/>
  <c r="CE29" i="3"/>
  <c r="AL317" i="2"/>
  <c r="AL339" i="2"/>
  <c r="CE336" i="3"/>
  <c r="CE335" i="3"/>
  <c r="CD282" i="3"/>
  <c r="AK284" i="2"/>
  <c r="CF92" i="3"/>
  <c r="AL327" i="2"/>
  <c r="BP39" i="9"/>
  <c r="BP135" i="9" s="1"/>
  <c r="BO135" i="9"/>
  <c r="AL127" i="2"/>
  <c r="CE15" i="3"/>
  <c r="AL17" i="2"/>
  <c r="CD364" i="3"/>
  <c r="AK364" i="2"/>
  <c r="AL353" i="2" s="1"/>
  <c r="AL114" i="2"/>
  <c r="CE341" i="3"/>
  <c r="CD382" i="3"/>
  <c r="AK383" i="2"/>
  <c r="CD284" i="3" l="1"/>
  <c r="AJ359" i="1"/>
  <c r="CE493" i="3"/>
  <c r="AL496" i="2"/>
  <c r="BW39" i="9"/>
  <c r="BW135" i="9" s="1"/>
  <c r="CD257" i="3"/>
  <c r="CE340" i="3"/>
  <c r="AL113" i="2"/>
  <c r="CE38" i="3"/>
  <c r="AL379" i="2"/>
  <c r="CE379" i="3" s="1"/>
  <c r="AL173" i="5"/>
  <c r="Q40" i="9"/>
  <c r="Q136" i="9" s="1"/>
  <c r="CE309" i="3"/>
  <c r="AK390" i="1"/>
  <c r="AG40" i="9"/>
  <c r="AG136" i="9" s="1"/>
  <c r="AL355" i="2"/>
  <c r="CE355" i="3" s="1"/>
  <c r="CE127" i="3"/>
  <c r="BK40" i="9"/>
  <c r="BK136" i="9" s="1"/>
  <c r="CE327" i="3"/>
  <c r="AL99" i="2"/>
  <c r="AK400" i="2"/>
  <c r="AK399" i="2"/>
  <c r="AK402" i="2"/>
  <c r="AK401" i="2"/>
  <c r="AK28" i="2"/>
  <c r="CD472" i="3"/>
  <c r="AL377" i="2"/>
  <c r="CD383" i="3"/>
  <c r="AK391" i="1"/>
  <c r="CE353" i="3"/>
  <c r="CE317" i="3"/>
  <c r="AL319" i="2"/>
  <c r="CE319" i="3" s="1"/>
  <c r="CE17" i="3"/>
  <c r="I40" i="9"/>
  <c r="I136" i="9" s="1"/>
  <c r="AL342" i="2"/>
  <c r="BE40" i="9"/>
  <c r="BE136" i="9" s="1"/>
  <c r="CE114" i="3"/>
  <c r="CD474" i="3"/>
  <c r="AK476" i="2"/>
  <c r="BL135" i="9"/>
  <c r="BR39" i="9"/>
  <c r="BR135" i="9" s="1"/>
  <c r="AL357" i="2" l="1"/>
  <c r="CE358" i="3" s="1"/>
  <c r="CD402" i="3"/>
  <c r="AK411" i="2"/>
  <c r="CD401" i="3"/>
  <c r="AK410" i="2"/>
  <c r="CD399" i="3"/>
  <c r="AK403" i="2"/>
  <c r="CD403" i="3" s="1"/>
  <c r="AK408" i="2"/>
  <c r="CD400" i="3"/>
  <c r="AK409" i="2"/>
  <c r="CE343" i="3"/>
  <c r="AL346" i="2"/>
  <c r="CE347" i="3" s="1"/>
  <c r="AL459" i="2"/>
  <c r="CE459" i="3" s="1"/>
  <c r="AL328" i="2"/>
  <c r="AM101" i="2"/>
  <c r="CF101" i="3" s="1"/>
  <c r="AV40" i="9"/>
  <c r="AV136" i="9" s="1"/>
  <c r="AL30" i="2"/>
  <c r="CE99" i="3"/>
  <c r="AL295" i="2"/>
  <c r="CE295" i="3" s="1"/>
  <c r="CE496" i="3"/>
  <c r="AL497" i="2"/>
  <c r="AK478" i="2"/>
  <c r="CD476" i="3"/>
  <c r="CE377" i="3"/>
  <c r="AL381" i="2"/>
  <c r="CE381" i="3" s="1"/>
  <c r="AL115" i="2"/>
  <c r="BA40" i="9"/>
  <c r="BA136" i="9" s="1"/>
  <c r="AL341" i="2"/>
  <c r="CE113" i="3"/>
  <c r="AK438" i="2"/>
  <c r="CD28" i="3"/>
  <c r="AK169" i="2"/>
  <c r="AK139" i="2"/>
  <c r="CD139" i="3" s="1"/>
  <c r="AK390" i="5"/>
  <c r="AK11" i="5"/>
  <c r="AK207" i="5" s="1"/>
  <c r="AK71" i="2"/>
  <c r="AK241" i="2"/>
  <c r="CD241" i="3" s="1"/>
  <c r="M39" i="9"/>
  <c r="AL121" i="2" l="1"/>
  <c r="CE497" i="3"/>
  <c r="AL498" i="2"/>
  <c r="CE498" i="3" s="1"/>
  <c r="CE328" i="3"/>
  <c r="AJ368" i="1"/>
  <c r="AK386" i="5"/>
  <c r="AK388" i="5" s="1"/>
  <c r="CD71" i="3"/>
  <c r="CE342" i="3"/>
  <c r="AL345" i="2"/>
  <c r="CE346" i="3" s="1"/>
  <c r="CD410" i="3"/>
  <c r="AK417" i="2"/>
  <c r="AK444" i="2"/>
  <c r="CD444" i="3" s="1"/>
  <c r="CD438" i="3"/>
  <c r="W39" i="9"/>
  <c r="M135" i="9"/>
  <c r="AK480" i="2"/>
  <c r="CD478" i="3"/>
  <c r="AK394" i="5"/>
  <c r="AK391" i="5"/>
  <c r="AK395" i="5" s="1"/>
  <c r="CE115" i="3"/>
  <c r="AL298" i="2"/>
  <c r="CE298" i="3" s="1"/>
  <c r="AL462" i="2"/>
  <c r="CE462" i="3" s="1"/>
  <c r="AK418" i="2"/>
  <c r="CD418" i="3" s="1"/>
  <c r="CD411" i="3"/>
  <c r="AL31" i="2"/>
  <c r="CE30" i="3"/>
  <c r="AL329" i="2"/>
  <c r="CE329" i="3" s="1"/>
  <c r="AK416" i="2"/>
  <c r="CD416" i="3" s="1"/>
  <c r="CD409" i="3"/>
  <c r="AJ354" i="1"/>
  <c r="CD169" i="3"/>
  <c r="AL358" i="2"/>
  <c r="CE121" i="3"/>
  <c r="AK415" i="2"/>
  <c r="CD408" i="3"/>
  <c r="AK412" i="2"/>
  <c r="CD412" i="3" s="1"/>
  <c r="AK413" i="2" l="1"/>
  <c r="W135" i="9"/>
  <c r="AL330" i="2"/>
  <c r="CE330" i="3" s="1"/>
  <c r="CD417" i="3"/>
  <c r="AK170" i="2"/>
  <c r="AK419" i="2"/>
  <c r="CD419" i="3" s="1"/>
  <c r="CD415" i="3"/>
  <c r="CE359" i="3"/>
  <c r="AL359" i="2"/>
  <c r="N40" i="9"/>
  <c r="N136" i="9" s="1"/>
  <c r="CE31" i="3"/>
  <c r="AL439" i="2"/>
  <c r="CE439" i="3" s="1"/>
  <c r="AK481" i="2"/>
  <c r="CD480" i="3"/>
  <c r="CD481" i="3" l="1"/>
  <c r="AK482" i="2"/>
  <c r="CD482" i="3" s="1"/>
  <c r="CE360" i="3"/>
  <c r="AL122" i="2"/>
  <c r="CD170" i="3"/>
  <c r="AK210" i="2"/>
  <c r="AJ355" i="1"/>
  <c r="AK268" i="2"/>
  <c r="CD268" i="3" s="1"/>
  <c r="AK171" i="2"/>
  <c r="AK192" i="2"/>
  <c r="AK420" i="2"/>
  <c r="CD420" i="3" s="1"/>
  <c r="CE122" i="3" l="1"/>
  <c r="AL360" i="2"/>
  <c r="CE361" i="3" s="1"/>
  <c r="AL123" i="2"/>
  <c r="CD210" i="3"/>
  <c r="AJ380" i="1"/>
  <c r="CD171" i="3"/>
  <c r="AJ356" i="1"/>
  <c r="AJ361" i="1" s="1"/>
  <c r="CD192" i="3"/>
  <c r="AJ366" i="1"/>
  <c r="AK182" i="2"/>
  <c r="AL35" i="2" l="1"/>
  <c r="CE123" i="3"/>
  <c r="AL125" i="2"/>
  <c r="BH40" i="9"/>
  <c r="BH136" i="9" s="1"/>
  <c r="AK153" i="2"/>
  <c r="AK207" i="2"/>
  <c r="CD207" i="3" s="1"/>
  <c r="CD182" i="3"/>
  <c r="AK154" i="2" l="1"/>
  <c r="CD153" i="3"/>
  <c r="CE125" i="3"/>
  <c r="AL466" i="2"/>
  <c r="CE466" i="3" s="1"/>
  <c r="AL299" i="2"/>
  <c r="CE299" i="3" s="1"/>
  <c r="CE35" i="3"/>
  <c r="AL361" i="2"/>
  <c r="AL37" i="2"/>
  <c r="CE356" i="3" l="1"/>
  <c r="AL362" i="2"/>
  <c r="CE363" i="3" s="1"/>
  <c r="CE362" i="3"/>
  <c r="CE37" i="3"/>
  <c r="AL440" i="2"/>
  <c r="CE440" i="3" s="1"/>
  <c r="P40" i="9"/>
  <c r="P136" i="9" s="1"/>
  <c r="CD154" i="3"/>
  <c r="AK156" i="2"/>
  <c r="AK159" i="2" l="1"/>
  <c r="AK158" i="2"/>
  <c r="CD156" i="3"/>
  <c r="AK162" i="2" l="1"/>
  <c r="CD162" i="3" s="1"/>
  <c r="CD158" i="3"/>
  <c r="AK160" i="2"/>
  <c r="CD159" i="3"/>
  <c r="CD160" i="3" l="1"/>
  <c r="AK161" i="2"/>
  <c r="CD161" i="3" l="1"/>
  <c r="AK163" i="2"/>
  <c r="CD163" i="3" l="1"/>
  <c r="AK165" i="2"/>
  <c r="AK267" i="2" s="1"/>
  <c r="AK166" i="2" l="1"/>
  <c r="CD166" i="3" s="1"/>
  <c r="AK112" i="5"/>
  <c r="AK140" i="5" s="1"/>
  <c r="CD165" i="3"/>
  <c r="AK183" i="2"/>
  <c r="CD267" i="3"/>
  <c r="CD183" i="3" l="1"/>
  <c r="AK208" i="2"/>
  <c r="AJ363" i="1"/>
  <c r="AJ364" i="1" s="1"/>
  <c r="AK184" i="2"/>
  <c r="AJ375" i="1"/>
  <c r="AK94" i="4" l="1"/>
  <c r="AK399" i="5"/>
  <c r="AK397" i="5"/>
  <c r="AK191" i="2"/>
  <c r="AK266" i="2"/>
  <c r="AK85" i="5"/>
  <c r="AK342" i="5" s="1"/>
  <c r="CD184" i="3"/>
  <c r="AJ367" i="1"/>
  <c r="AJ374" i="1"/>
  <c r="AJ377" i="1" s="1"/>
  <c r="CD208" i="3"/>
  <c r="AK212" i="2"/>
  <c r="AJ378" i="1"/>
  <c r="AK271" i="2" l="1"/>
  <c r="AK86" i="4" s="1"/>
  <c r="AK270" i="2"/>
  <c r="CD266" i="3"/>
  <c r="AK193" i="2"/>
  <c r="CD191" i="3"/>
  <c r="CD212" i="3"/>
  <c r="AK218" i="2"/>
  <c r="AK225" i="2"/>
  <c r="CD225" i="3" s="1"/>
  <c r="AJ382" i="1"/>
  <c r="AJ384" i="1" s="1"/>
  <c r="AK196" i="2" l="1"/>
  <c r="CD193" i="3"/>
  <c r="AK198" i="2"/>
  <c r="AK197" i="2"/>
  <c r="AK195" i="2"/>
  <c r="AK199" i="2"/>
  <c r="AK201" i="2"/>
  <c r="AK200" i="2"/>
  <c r="AK221" i="2"/>
  <c r="CD221" i="3" s="1"/>
  <c r="AK222" i="2"/>
  <c r="CD222" i="3" s="1"/>
  <c r="AK220" i="2"/>
  <c r="CD218" i="3"/>
  <c r="AK86" i="5"/>
  <c r="AK343" i="5" s="1"/>
  <c r="AK32" i="4"/>
  <c r="AM33" i="4" s="1"/>
  <c r="CD270" i="3"/>
  <c r="AK88" i="4" l="1"/>
  <c r="AK273" i="2" s="1"/>
  <c r="AK89" i="4"/>
  <c r="AK274" i="2" s="1"/>
  <c r="J336" i="1"/>
  <c r="AK204" i="2"/>
  <c r="CD201" i="3"/>
  <c r="H336" i="1"/>
  <c r="CD199" i="3"/>
  <c r="AK317" i="4"/>
  <c r="O289" i="1" s="1"/>
  <c r="AK202" i="2"/>
  <c r="CD195" i="3"/>
  <c r="D336" i="1"/>
  <c r="AK313" i="4"/>
  <c r="K289" i="1" s="1"/>
  <c r="CD220" i="3"/>
  <c r="AK223" i="2"/>
  <c r="CD197" i="3"/>
  <c r="AK315" i="4"/>
  <c r="M289" i="1" s="1"/>
  <c r="F336" i="1"/>
  <c r="CD198" i="3"/>
  <c r="G336" i="1"/>
  <c r="AK316" i="4"/>
  <c r="N289" i="1" s="1"/>
  <c r="AM56" i="4"/>
  <c r="AM57" i="4"/>
  <c r="AM54" i="4"/>
  <c r="AM58" i="4"/>
  <c r="AM55" i="4"/>
  <c r="AK318" i="4"/>
  <c r="P289" i="1" s="1"/>
  <c r="CD200" i="3"/>
  <c r="I336" i="1"/>
  <c r="CD196" i="3"/>
  <c r="E336" i="1"/>
  <c r="AK314" i="4"/>
  <c r="L289" i="1" s="1"/>
  <c r="AK87" i="5" l="1"/>
  <c r="AK344" i="5" s="1"/>
  <c r="AJ370" i="1"/>
  <c r="CD202" i="3"/>
  <c r="AK203" i="2"/>
  <c r="AM59" i="4"/>
  <c r="CD223" i="3"/>
  <c r="AK227" i="2"/>
  <c r="AK484" i="2" s="1"/>
  <c r="AJ394" i="1"/>
  <c r="AK515" i="2"/>
  <c r="CD515" i="3" s="1"/>
  <c r="CD204" i="3"/>
  <c r="C336" i="1"/>
  <c r="AM61" i="4" l="1"/>
  <c r="AM272" i="2"/>
  <c r="K336" i="1"/>
  <c r="AK422" i="2"/>
  <c r="CD422" i="3" s="1"/>
  <c r="AK88" i="5"/>
  <c r="J289" i="1"/>
  <c r="AK516" i="2"/>
  <c r="CD203" i="3"/>
  <c r="CD484" i="3"/>
  <c r="AK485" i="2"/>
  <c r="AM60" i="4"/>
  <c r="AK145" i="2"/>
  <c r="CD227" i="3"/>
  <c r="AK89" i="5"/>
  <c r="AK345" i="5" s="1"/>
  <c r="AJ393" i="1"/>
  <c r="AJ371" i="1"/>
  <c r="AJ372" i="1" s="1"/>
  <c r="AJ385" i="1"/>
  <c r="AJ386" i="1" s="1"/>
  <c r="AK228" i="2"/>
  <c r="CD228" i="3" s="1"/>
  <c r="AK424" i="2" l="1"/>
  <c r="CD424" i="3" s="1"/>
  <c r="CD485" i="3"/>
  <c r="AL302" i="2"/>
  <c r="AK244" i="2"/>
  <c r="CD145" i="3"/>
  <c r="AK148" i="2"/>
  <c r="AK229" i="2"/>
  <c r="AK146" i="2"/>
  <c r="Z39" i="9"/>
  <c r="AK17" i="5"/>
  <c r="AK384" i="5"/>
  <c r="CD516" i="3"/>
  <c r="AK425" i="2" l="1"/>
  <c r="CD425" i="3" s="1"/>
  <c r="AK90" i="5"/>
  <c r="AK346" i="5" s="1"/>
  <c r="CD229" i="3"/>
  <c r="AK109" i="5"/>
  <c r="CD146" i="3"/>
  <c r="AK248" i="2"/>
  <c r="CD148" i="3"/>
  <c r="AL8" i="2"/>
  <c r="CD244" i="3"/>
  <c r="AK245" i="2"/>
  <c r="CE302" i="3"/>
  <c r="AK213" i="5"/>
  <c r="AK18" i="5"/>
  <c r="AJ39" i="9"/>
  <c r="AL39" i="9" s="1"/>
  <c r="Z135" i="9"/>
  <c r="AJ135" i="9" l="1"/>
  <c r="AL135" i="9"/>
  <c r="AK259" i="2"/>
  <c r="BT39" i="9"/>
  <c r="CD248" i="3"/>
  <c r="AK486" i="2"/>
  <c r="AL19" i="2"/>
  <c r="AL450" i="2"/>
  <c r="CE450" i="3" s="1"/>
  <c r="AL20" i="2"/>
  <c r="AL447" i="2"/>
  <c r="CE447" i="3" s="1"/>
  <c r="AL390" i="2"/>
  <c r="AL372" i="5"/>
  <c r="AL374" i="5" s="1"/>
  <c r="F40" i="9"/>
  <c r="AK389" i="1"/>
  <c r="I290" i="1"/>
  <c r="AL84" i="2"/>
  <c r="CE8" i="3"/>
  <c r="AK19" i="5"/>
  <c r="AK214" i="5"/>
  <c r="AJ373" i="1"/>
  <c r="CD245" i="3"/>
  <c r="AK260" i="2"/>
  <c r="CD260" i="3" s="1"/>
  <c r="CD486" i="3" l="1"/>
  <c r="F136" i="9"/>
  <c r="K40" i="9"/>
  <c r="BY39" i="9"/>
  <c r="BY135" i="9" s="1"/>
  <c r="BT135" i="9"/>
  <c r="AK20" i="5"/>
  <c r="AK215" i="5"/>
  <c r="CE390" i="3"/>
  <c r="AL394" i="2"/>
  <c r="AL393" i="2"/>
  <c r="AL391" i="2"/>
  <c r="AL392" i="2"/>
  <c r="AK261" i="2"/>
  <c r="CD261" i="3" s="1"/>
  <c r="AK368" i="5"/>
  <c r="AK370" i="5" s="1"/>
  <c r="AK144" i="5" s="1"/>
  <c r="CD259" i="3"/>
  <c r="AL232" i="2"/>
  <c r="CE232" i="3" s="1"/>
  <c r="AL364" i="5"/>
  <c r="AL366" i="5" s="1"/>
  <c r="CE19" i="3"/>
  <c r="AL10" i="5"/>
  <c r="AL206" i="5" s="1"/>
  <c r="CE84" i="3"/>
  <c r="AL238" i="2"/>
  <c r="AL85" i="2"/>
  <c r="AL15" i="5"/>
  <c r="AL212" i="5" s="1"/>
  <c r="K136" i="9" l="1"/>
  <c r="CE392" i="3"/>
  <c r="CE391" i="3"/>
  <c r="AL395" i="2"/>
  <c r="AD40" i="9"/>
  <c r="AD136" i="9" s="1"/>
  <c r="CE238" i="3"/>
  <c r="AL240" i="2"/>
  <c r="CE393" i="3"/>
  <c r="CE394" i="3"/>
  <c r="AL470" i="2"/>
  <c r="CE470" i="3" s="1"/>
  <c r="CE85" i="3"/>
  <c r="AL290" i="2"/>
  <c r="CE290" i="3" s="1"/>
  <c r="AL287" i="2"/>
  <c r="AI40" i="9" l="1"/>
  <c r="AI136" i="9" s="1"/>
  <c r="CE240" i="3"/>
  <c r="AL396" i="2"/>
  <c r="CE396" i="3" s="1"/>
  <c r="AL405" i="2"/>
  <c r="CE405" i="3" s="1"/>
  <c r="CE395" i="3"/>
  <c r="AL303" i="2"/>
  <c r="CE287" i="3"/>
  <c r="CE303" i="3" l="1"/>
  <c r="AL95" i="2"/>
  <c r="AL103" i="2" l="1"/>
  <c r="AL175" i="2" s="1"/>
  <c r="AM9" i="2"/>
  <c r="AL457" i="2"/>
  <c r="CE457" i="3" s="1"/>
  <c r="AQ40" i="9"/>
  <c r="AL320" i="2"/>
  <c r="AL249" i="2"/>
  <c r="CE95" i="3"/>
  <c r="CE249" i="3" l="1"/>
  <c r="CE320" i="3"/>
  <c r="AL321" i="2"/>
  <c r="AQ136" i="9"/>
  <c r="AT40" i="9"/>
  <c r="AT136" i="9" s="1"/>
  <c r="CE175" i="3"/>
  <c r="AL281" i="2"/>
  <c r="AM93" i="2"/>
  <c r="AM96" i="2"/>
  <c r="CF9" i="3"/>
  <c r="AM489" i="2"/>
  <c r="AL250" i="2"/>
  <c r="CE250" i="3" s="1"/>
  <c r="AL331" i="2"/>
  <c r="AW40" i="9"/>
  <c r="AL501" i="2"/>
  <c r="CE103" i="3"/>
  <c r="AL461" i="2"/>
  <c r="CE461" i="3" s="1"/>
  <c r="AM10" i="2"/>
  <c r="AL116" i="2"/>
  <c r="AL117" i="2" s="1"/>
  <c r="AM13" i="2" l="1"/>
  <c r="AL508" i="2"/>
  <c r="CE117" i="3"/>
  <c r="AL348" i="2"/>
  <c r="AL253" i="2"/>
  <c r="CE253" i="3" s="1"/>
  <c r="BF40" i="9"/>
  <c r="AM100" i="2"/>
  <c r="CF10" i="3"/>
  <c r="CF489" i="3"/>
  <c r="CE281" i="3"/>
  <c r="AM11" i="2"/>
  <c r="AL503" i="2"/>
  <c r="CE501" i="3"/>
  <c r="H290" i="1"/>
  <c r="A291" i="1" s="1"/>
  <c r="AM306" i="2"/>
  <c r="CE321" i="3"/>
  <c r="AY40" i="9"/>
  <c r="AY136" i="9" s="1"/>
  <c r="AW136" i="9"/>
  <c r="AL332" i="2"/>
  <c r="CE331" i="3"/>
  <c r="AE41" i="9"/>
  <c r="AE137" i="9" s="1"/>
  <c r="CF96" i="3"/>
  <c r="AR41" i="9"/>
  <c r="AR137" i="9" s="1"/>
  <c r="AM310" i="2"/>
  <c r="CF310" i="3" s="1"/>
  <c r="AL251" i="2"/>
  <c r="AM12" i="2"/>
  <c r="CE116" i="3"/>
  <c r="AL347" i="2"/>
  <c r="AL252" i="2"/>
  <c r="BB40" i="9"/>
  <c r="AL118" i="2"/>
  <c r="CF93" i="3"/>
  <c r="AM94" i="2"/>
  <c r="CF100" i="3" l="1"/>
  <c r="AM102" i="2"/>
  <c r="BG40" i="9"/>
  <c r="BG136" i="9" s="1"/>
  <c r="BF136" i="9"/>
  <c r="CE118" i="3"/>
  <c r="AL177" i="2"/>
  <c r="AL464" i="2"/>
  <c r="AL126" i="2"/>
  <c r="CF306" i="3"/>
  <c r="BB136" i="9"/>
  <c r="BC40" i="9"/>
  <c r="AL350" i="2"/>
  <c r="AM336" i="2" s="1"/>
  <c r="CE349" i="3"/>
  <c r="CE252" i="3"/>
  <c r="AL254" i="2"/>
  <c r="BU40" i="9"/>
  <c r="BU136" i="9" s="1"/>
  <c r="CE251" i="3"/>
  <c r="AL349" i="2"/>
  <c r="CE348" i="3"/>
  <c r="AL505" i="2"/>
  <c r="CE503" i="3"/>
  <c r="CE508" i="3"/>
  <c r="AL510" i="2"/>
  <c r="AM32" i="2"/>
  <c r="CF12" i="3"/>
  <c r="AM14" i="2"/>
  <c r="AN41" i="9"/>
  <c r="AN137" i="9" s="1"/>
  <c r="AM456" i="2"/>
  <c r="CF456" i="3" s="1"/>
  <c r="AM308" i="2"/>
  <c r="CF308" i="3" s="1"/>
  <c r="CF94" i="3"/>
  <c r="AM377" i="5"/>
  <c r="AM293" i="2"/>
  <c r="CF293" i="3" s="1"/>
  <c r="AM379" i="5"/>
  <c r="AM383" i="5" s="1"/>
  <c r="AM176" i="2"/>
  <c r="AM491" i="2"/>
  <c r="AN92" i="2"/>
  <c r="AM29" i="2"/>
  <c r="CE332" i="3"/>
  <c r="AM324" i="2"/>
  <c r="CF11" i="3"/>
  <c r="G41" i="9"/>
  <c r="G137" i="9" s="1"/>
  <c r="AM33" i="2"/>
  <c r="CF13" i="3"/>
  <c r="AM309" i="2" l="1"/>
  <c r="CF309" i="3" s="1"/>
  <c r="AM34" i="2"/>
  <c r="CF33" i="3"/>
  <c r="AM344" i="2"/>
  <c r="CF345" i="3" s="1"/>
  <c r="BC136" i="9"/>
  <c r="CE464" i="3"/>
  <c r="CF176" i="3"/>
  <c r="AL357" i="1"/>
  <c r="CF14" i="3"/>
  <c r="H41" i="9"/>
  <c r="H137" i="9" s="1"/>
  <c r="AM335" i="2"/>
  <c r="CE350" i="3"/>
  <c r="CE177" i="3"/>
  <c r="AL282" i="2"/>
  <c r="CF337" i="3"/>
  <c r="AM340" i="2"/>
  <c r="CF491" i="3"/>
  <c r="AM494" i="2"/>
  <c r="CF494" i="3" s="1"/>
  <c r="AM493" i="2"/>
  <c r="CF32" i="3"/>
  <c r="AM343" i="2"/>
  <c r="CF344" i="3" s="1"/>
  <c r="CF324" i="3"/>
  <c r="CE510" i="3"/>
  <c r="AL512" i="2"/>
  <c r="BV40" i="9"/>
  <c r="BV136" i="9" s="1"/>
  <c r="CE254" i="3"/>
  <c r="AM15" i="2"/>
  <c r="AL363" i="2"/>
  <c r="AL467" i="2"/>
  <c r="CE467" i="3" s="1"/>
  <c r="CE126" i="3"/>
  <c r="BI40" i="9"/>
  <c r="AL255" i="2"/>
  <c r="AM317" i="2"/>
  <c r="CF29" i="3"/>
  <c r="AM313" i="2"/>
  <c r="AM460" i="2"/>
  <c r="CF460" i="3" s="1"/>
  <c r="AU41" i="9"/>
  <c r="AU137" i="9" s="1"/>
  <c r="AM326" i="2"/>
  <c r="CF326" i="3" s="1"/>
  <c r="AM502" i="2"/>
  <c r="CF502" i="3" s="1"/>
  <c r="CF102" i="3"/>
  <c r="AM296" i="2"/>
  <c r="CF296" i="3" s="1"/>
  <c r="AM378" i="5"/>
  <c r="CE505" i="3"/>
  <c r="AL506" i="2"/>
  <c r="CG92" i="3"/>
  <c r="AL135" i="2"/>
  <c r="AL390" i="1" l="1"/>
  <c r="AL382" i="2"/>
  <c r="AM18" i="2"/>
  <c r="AL469" i="2"/>
  <c r="BO40" i="9"/>
  <c r="CE135" i="3"/>
  <c r="AL258" i="2"/>
  <c r="CE255" i="3"/>
  <c r="AL257" i="2"/>
  <c r="BL40" i="9"/>
  <c r="BI136" i="9"/>
  <c r="AM496" i="2"/>
  <c r="CF493" i="3"/>
  <c r="AL513" i="2"/>
  <c r="CE512" i="3"/>
  <c r="AM339" i="2"/>
  <c r="CF335" i="3"/>
  <c r="CF336" i="3"/>
  <c r="CF317" i="3"/>
  <c r="AM319" i="2"/>
  <c r="CF319" i="3" s="1"/>
  <c r="AL364" i="2"/>
  <c r="AM353" i="2" s="1"/>
  <c r="CE364" i="3"/>
  <c r="CE282" i="3"/>
  <c r="AL284" i="2"/>
  <c r="AM17" i="2"/>
  <c r="CF15" i="3"/>
  <c r="AM127" i="2"/>
  <c r="AM114" i="2"/>
  <c r="CF341" i="3"/>
  <c r="AM327" i="2"/>
  <c r="O41" i="9"/>
  <c r="O137" i="9" s="1"/>
  <c r="CF34" i="3"/>
  <c r="CF340" i="3" l="1"/>
  <c r="AM113" i="2"/>
  <c r="BX40" i="9"/>
  <c r="BX136" i="9" s="1"/>
  <c r="CE258" i="3"/>
  <c r="AL175" i="5"/>
  <c r="AM99" i="2"/>
  <c r="CF327" i="3"/>
  <c r="CE257" i="3"/>
  <c r="BW40" i="9"/>
  <c r="BW136" i="9" s="1"/>
  <c r="BO136" i="9"/>
  <c r="BP40" i="9"/>
  <c r="BP136" i="9" s="1"/>
  <c r="CF353" i="3"/>
  <c r="AL391" i="1"/>
  <c r="CF496" i="3"/>
  <c r="AM497" i="2"/>
  <c r="CE469" i="3"/>
  <c r="AL472" i="2"/>
  <c r="AL474" i="2"/>
  <c r="BK41" i="9"/>
  <c r="BK137" i="9" s="1"/>
  <c r="AG41" i="9"/>
  <c r="AG137" i="9" s="1"/>
  <c r="CF127" i="3"/>
  <c r="AM355" i="2"/>
  <c r="CF355" i="3" s="1"/>
  <c r="CF18" i="3"/>
  <c r="AM38" i="2"/>
  <c r="E291" i="1"/>
  <c r="J41" i="9"/>
  <c r="J137" i="9" s="1"/>
  <c r="CF114" i="3"/>
  <c r="AM342" i="2"/>
  <c r="BE41" i="9"/>
  <c r="BE137" i="9" s="1"/>
  <c r="CF17" i="3"/>
  <c r="I41" i="9"/>
  <c r="I137" i="9" s="1"/>
  <c r="CE284" i="3"/>
  <c r="AK359" i="1"/>
  <c r="BL136" i="9"/>
  <c r="BR40" i="9"/>
  <c r="BR136" i="9" s="1"/>
  <c r="AL383" i="2"/>
  <c r="CE382" i="3"/>
  <c r="AM459" i="2" l="1"/>
  <c r="CF459" i="3" s="1"/>
  <c r="CF99" i="3"/>
  <c r="AM328" i="2"/>
  <c r="AV41" i="9"/>
  <c r="AV137" i="9" s="1"/>
  <c r="AM295" i="2"/>
  <c r="CF295" i="3" s="1"/>
  <c r="AM30" i="2"/>
  <c r="AN101" i="2"/>
  <c r="CG101" i="3" s="1"/>
  <c r="AM357" i="2"/>
  <c r="AL476" i="2"/>
  <c r="CE474" i="3"/>
  <c r="AL399" i="2"/>
  <c r="AL402" i="2"/>
  <c r="AL400" i="2"/>
  <c r="AL401" i="2"/>
  <c r="CE472" i="3"/>
  <c r="AL28" i="2"/>
  <c r="CE383" i="3"/>
  <c r="AM377" i="2"/>
  <c r="CF343" i="3"/>
  <c r="AM346" i="2"/>
  <c r="CF347" i="3" s="1"/>
  <c r="Q41" i="9"/>
  <c r="Q137" i="9" s="1"/>
  <c r="CF38" i="3"/>
  <c r="AM379" i="2"/>
  <c r="CF379" i="3" s="1"/>
  <c r="AM173" i="5"/>
  <c r="CF113" i="3"/>
  <c r="BA41" i="9"/>
  <c r="BA137" i="9" s="1"/>
  <c r="AM115" i="2"/>
  <c r="AM341" i="2"/>
  <c r="CF497" i="3"/>
  <c r="AM498" i="2"/>
  <c r="CF498" i="3" s="1"/>
  <c r="CF30" i="3" l="1"/>
  <c r="AM329" i="2"/>
  <c r="CF329" i="3" s="1"/>
  <c r="AM31" i="2"/>
  <c r="AL403" i="2"/>
  <c r="CE403" i="3" s="1"/>
  <c r="CE399" i="3"/>
  <c r="AL408" i="2"/>
  <c r="CE401" i="3"/>
  <c r="AL410" i="2"/>
  <c r="CF342" i="3"/>
  <c r="AM345" i="2"/>
  <c r="CF346" i="3" s="1"/>
  <c r="AM381" i="2"/>
  <c r="CF381" i="3" s="1"/>
  <c r="CF377" i="3"/>
  <c r="CF328" i="3"/>
  <c r="AM330" i="2"/>
  <c r="CF330" i="3" s="1"/>
  <c r="CE400" i="3"/>
  <c r="AL409" i="2"/>
  <c r="CE402" i="3"/>
  <c r="AL411" i="2"/>
  <c r="AM462" i="2"/>
  <c r="CF462" i="3" s="1"/>
  <c r="CF115" i="3"/>
  <c r="AM298" i="2"/>
  <c r="CF298" i="3" s="1"/>
  <c r="CE476" i="3"/>
  <c r="AL478" i="2"/>
  <c r="AL11" i="5"/>
  <c r="AL207" i="5" s="1"/>
  <c r="AL169" i="2"/>
  <c r="AL139" i="2"/>
  <c r="CE139" i="3" s="1"/>
  <c r="AL71" i="2"/>
  <c r="CE28" i="3"/>
  <c r="M40" i="9"/>
  <c r="AL241" i="2"/>
  <c r="CE241" i="3" s="1"/>
  <c r="AL390" i="5"/>
  <c r="AL438" i="2"/>
  <c r="CF358" i="3"/>
  <c r="AM121" i="2"/>
  <c r="AL394" i="5" l="1"/>
  <c r="AL391" i="5"/>
  <c r="AL395" i="5" s="1"/>
  <c r="AL412" i="2"/>
  <c r="CE412" i="3" s="1"/>
  <c r="AL415" i="2"/>
  <c r="CE408" i="3"/>
  <c r="AL417" i="2"/>
  <c r="CE410" i="3"/>
  <c r="W40" i="9"/>
  <c r="M136" i="9"/>
  <c r="AL444" i="2"/>
  <c r="CE444" i="3" s="1"/>
  <c r="CE438" i="3"/>
  <c r="AK368" i="1"/>
  <c r="CE71" i="3"/>
  <c r="AL386" i="5"/>
  <c r="AL388" i="5" s="1"/>
  <c r="AM439" i="2"/>
  <c r="CF439" i="3" s="1"/>
  <c r="N41" i="9"/>
  <c r="N137" i="9" s="1"/>
  <c r="CF31" i="3"/>
  <c r="CE409" i="3"/>
  <c r="AL416" i="2"/>
  <c r="CE416" i="3" s="1"/>
  <c r="CE478" i="3"/>
  <c r="AL480" i="2"/>
  <c r="AL418" i="2"/>
  <c r="CE418" i="3" s="1"/>
  <c r="CE411" i="3"/>
  <c r="AM358" i="2"/>
  <c r="CF121" i="3"/>
  <c r="AK354" i="1"/>
  <c r="CE169" i="3"/>
  <c r="AL413" i="2" l="1"/>
  <c r="W136" i="9"/>
  <c r="CE417" i="3"/>
  <c r="AL170" i="2"/>
  <c r="CE415" i="3"/>
  <c r="AL419" i="2"/>
  <c r="CE419" i="3" s="1"/>
  <c r="AL481" i="2"/>
  <c r="CE480" i="3"/>
  <c r="CF359" i="3"/>
  <c r="AM359" i="2"/>
  <c r="AL420" i="2" l="1"/>
  <c r="CE420" i="3" s="1"/>
  <c r="CE481" i="3"/>
  <c r="AL482" i="2"/>
  <c r="CE482" i="3" s="1"/>
  <c r="AL268" i="2"/>
  <c r="CE268" i="3" s="1"/>
  <c r="AL210" i="2"/>
  <c r="AK355" i="1"/>
  <c r="CE170" i="3"/>
  <c r="AL171" i="2"/>
  <c r="AL192" i="2"/>
  <c r="AM122" i="2"/>
  <c r="CF360" i="3"/>
  <c r="CE192" i="3" l="1"/>
  <c r="AK366" i="1"/>
  <c r="CE171" i="3"/>
  <c r="AK356" i="1"/>
  <c r="AK361" i="1" s="1"/>
  <c r="CF122" i="3"/>
  <c r="AM360" i="2"/>
  <c r="AM123" i="2"/>
  <c r="CE210" i="3"/>
  <c r="AK380" i="1"/>
  <c r="AL182" i="2"/>
  <c r="BH41" i="9" l="1"/>
  <c r="BH137" i="9" s="1"/>
  <c r="AM125" i="2"/>
  <c r="CF123" i="3"/>
  <c r="AM35" i="2"/>
  <c r="CF361" i="3"/>
  <c r="AL153" i="2"/>
  <c r="AL207" i="2"/>
  <c r="CE207" i="3" s="1"/>
  <c r="CE182" i="3"/>
  <c r="AL154" i="2" l="1"/>
  <c r="CE153" i="3"/>
  <c r="AM361" i="2"/>
  <c r="CF35" i="3"/>
  <c r="AM37" i="2"/>
  <c r="AM466" i="2"/>
  <c r="CF466" i="3" s="1"/>
  <c r="AM299" i="2"/>
  <c r="CF299" i="3" s="1"/>
  <c r="CF125" i="3"/>
  <c r="CF37" i="3" l="1"/>
  <c r="AM440" i="2"/>
  <c r="CF440" i="3" s="1"/>
  <c r="P41" i="9"/>
  <c r="P137" i="9" s="1"/>
  <c r="CF356" i="3"/>
  <c r="CF362" i="3"/>
  <c r="AM362" i="2"/>
  <c r="CF363" i="3" s="1"/>
  <c r="CE154" i="3"/>
  <c r="AL156" i="2"/>
  <c r="CE156" i="3" l="1"/>
  <c r="AL159" i="2"/>
  <c r="AL158" i="2"/>
  <c r="CE159" i="3" l="1"/>
  <c r="AL160" i="2"/>
  <c r="CE158" i="3"/>
  <c r="AL162" i="2"/>
  <c r="CE162" i="3" s="1"/>
  <c r="CE160" i="3" l="1"/>
  <c r="AL161" i="2"/>
  <c r="AL163" i="2" l="1"/>
  <c r="CE161" i="3"/>
  <c r="CE163" i="3" l="1"/>
  <c r="AL165" i="2"/>
  <c r="AL267" i="2" s="1"/>
  <c r="AL166" i="2" l="1"/>
  <c r="CE166" i="3" s="1"/>
  <c r="CE165" i="3"/>
  <c r="CE267" i="3"/>
  <c r="AL183" i="2"/>
  <c r="AL112" i="5"/>
  <c r="AL140" i="5" s="1"/>
  <c r="CE183" i="3" l="1"/>
  <c r="AL208" i="2"/>
  <c r="AK375" i="1"/>
  <c r="AK363" i="1"/>
  <c r="AK364" i="1" s="1"/>
  <c r="AL184" i="2"/>
  <c r="AK374" i="1" l="1"/>
  <c r="AK377" i="1" s="1"/>
  <c r="AK367" i="1"/>
  <c r="AL212" i="2"/>
  <c r="CE208" i="3"/>
  <c r="AK378" i="1"/>
  <c r="AL85" i="5"/>
  <c r="AL342" i="5" s="1"/>
  <c r="AL266" i="2"/>
  <c r="AL399" i="5"/>
  <c r="CE184" i="3"/>
  <c r="AL397" i="5"/>
  <c r="AL94" i="4"/>
  <c r="AL191" i="2"/>
  <c r="AL271" i="2" l="1"/>
  <c r="AL86" i="4" s="1"/>
  <c r="AL270" i="2"/>
  <c r="CE266" i="3"/>
  <c r="AL225" i="2"/>
  <c r="CE225" i="3" s="1"/>
  <c r="AL218" i="2"/>
  <c r="CE212" i="3"/>
  <c r="CE191" i="3"/>
  <c r="AL193" i="2"/>
  <c r="AK382" i="1"/>
  <c r="AK384" i="1" s="1"/>
  <c r="AL221" i="2" l="1"/>
  <c r="CE221" i="3" s="1"/>
  <c r="AL220" i="2"/>
  <c r="CE218" i="3"/>
  <c r="AL222" i="2"/>
  <c r="CE222" i="3" s="1"/>
  <c r="AL195" i="2"/>
  <c r="AL198" i="2"/>
  <c r="AL196" i="2"/>
  <c r="CE193" i="3"/>
  <c r="AL200" i="2"/>
  <c r="AL201" i="2"/>
  <c r="AL197" i="2"/>
  <c r="AL199" i="2"/>
  <c r="AL32" i="4"/>
  <c r="AN33" i="4" s="1"/>
  <c r="AL86" i="5"/>
  <c r="AL343" i="5" s="1"/>
  <c r="CE270" i="3"/>
  <c r="AL88" i="4" l="1"/>
  <c r="AL273" i="2" s="1"/>
  <c r="AL89" i="4"/>
  <c r="AL274" i="2" s="1"/>
  <c r="G337" i="1"/>
  <c r="AL316" i="4"/>
  <c r="N290" i="1" s="1"/>
  <c r="CE198" i="3"/>
  <c r="CE196" i="3"/>
  <c r="E337" i="1"/>
  <c r="AL314" i="4"/>
  <c r="L290" i="1" s="1"/>
  <c r="AL202" i="2"/>
  <c r="AL313" i="4"/>
  <c r="K290" i="1" s="1"/>
  <c r="D337" i="1"/>
  <c r="CE195" i="3"/>
  <c r="CE199" i="3"/>
  <c r="AL317" i="4"/>
  <c r="O290" i="1" s="1"/>
  <c r="H337" i="1"/>
  <c r="J337" i="1"/>
  <c r="AL204" i="2"/>
  <c r="CE201" i="3"/>
  <c r="CE200" i="3"/>
  <c r="I337" i="1"/>
  <c r="AL318" i="4"/>
  <c r="P290" i="1" s="1"/>
  <c r="F337" i="1"/>
  <c r="AL315" i="4"/>
  <c r="M290" i="1" s="1"/>
  <c r="CE197" i="3"/>
  <c r="CE220" i="3"/>
  <c r="AL223" i="2"/>
  <c r="AN55" i="4"/>
  <c r="AN54" i="4"/>
  <c r="AN56" i="4"/>
  <c r="AN58" i="4"/>
  <c r="AN57" i="4"/>
  <c r="AL87" i="5" l="1"/>
  <c r="AL344" i="5" s="1"/>
  <c r="AK370" i="1"/>
  <c r="CE202" i="3"/>
  <c r="AL203" i="2"/>
  <c r="CE223" i="3"/>
  <c r="AL227" i="2"/>
  <c r="AL422" i="2" s="1"/>
  <c r="AL515" i="2"/>
  <c r="CE515" i="3" s="1"/>
  <c r="AK394" i="1"/>
  <c r="CE204" i="3"/>
  <c r="AN59" i="4"/>
  <c r="C337" i="1"/>
  <c r="AN61" i="4" l="1"/>
  <c r="AN272" i="2"/>
  <c r="AL424" i="2"/>
  <c r="CE424" i="3" s="1"/>
  <c r="CE422" i="3"/>
  <c r="AL145" i="2"/>
  <c r="AL484" i="2"/>
  <c r="AL89" i="5"/>
  <c r="AL345" i="5" s="1"/>
  <c r="CE227" i="3"/>
  <c r="AK393" i="1"/>
  <c r="AK385" i="1"/>
  <c r="AK386" i="1" s="1"/>
  <c r="AK371" i="1"/>
  <c r="AK372" i="1" s="1"/>
  <c r="AL228" i="2"/>
  <c r="CE228" i="3" s="1"/>
  <c r="AL88" i="5"/>
  <c r="AL516" i="2"/>
  <c r="CE203" i="3"/>
  <c r="J290" i="1"/>
  <c r="AN60" i="4"/>
  <c r="K337" i="1"/>
  <c r="CE516" i="3" l="1"/>
  <c r="AL384" i="5"/>
  <c r="AL485" i="2"/>
  <c r="CE484" i="3"/>
  <c r="AL17" i="5"/>
  <c r="AM302" i="2"/>
  <c r="CE145" i="3"/>
  <c r="AL244" i="2"/>
  <c r="Z40" i="9"/>
  <c r="AL229" i="2"/>
  <c r="AL146" i="2"/>
  <c r="AL148" i="2"/>
  <c r="CF302" i="3" l="1"/>
  <c r="CE244" i="3"/>
  <c r="AL245" i="2"/>
  <c r="AL213" i="5"/>
  <c r="AL18" i="5"/>
  <c r="AL248" i="2"/>
  <c r="CE148" i="3"/>
  <c r="AM8" i="2"/>
  <c r="AL109" i="5"/>
  <c r="CE146" i="3"/>
  <c r="CE485" i="3"/>
  <c r="AL425" i="2"/>
  <c r="CE425" i="3" s="1"/>
  <c r="CE229" i="3"/>
  <c r="AL90" i="5"/>
  <c r="AL346" i="5" s="1"/>
  <c r="AJ40" i="9"/>
  <c r="AL40" i="9" s="1"/>
  <c r="Z136" i="9"/>
  <c r="AL259" i="2" l="1"/>
  <c r="CE248" i="3"/>
  <c r="BT40" i="9"/>
  <c r="AL19" i="5"/>
  <c r="AL214" i="5"/>
  <c r="AK373" i="1"/>
  <c r="AL260" i="2"/>
  <c r="CE260" i="3" s="1"/>
  <c r="CE245" i="3"/>
  <c r="AJ136" i="9"/>
  <c r="AL136" i="9"/>
  <c r="AM372" i="5"/>
  <c r="AM374" i="5" s="1"/>
  <c r="AL486" i="2"/>
  <c r="I291" i="1"/>
  <c r="AM390" i="2"/>
  <c r="AM447" i="2"/>
  <c r="CF447" i="3" s="1"/>
  <c r="F41" i="9"/>
  <c r="AM19" i="2"/>
  <c r="AM450" i="2"/>
  <c r="CF450" i="3" s="1"/>
  <c r="AL389" i="1"/>
  <c r="CF8" i="3"/>
  <c r="AM84" i="2"/>
  <c r="AM20" i="2"/>
  <c r="F137" i="9" l="1"/>
  <c r="K41" i="9"/>
  <c r="AM85" i="2"/>
  <c r="CF84" i="3"/>
  <c r="AM15" i="5"/>
  <c r="AM212" i="5" s="1"/>
  <c r="AM238" i="2"/>
  <c r="CE486" i="3"/>
  <c r="AL215" i="5"/>
  <c r="AL20" i="5"/>
  <c r="BY40" i="9"/>
  <c r="BY136" i="9" s="1"/>
  <c r="BT136" i="9"/>
  <c r="AM391" i="2"/>
  <c r="AM393" i="2"/>
  <c r="CF390" i="3"/>
  <c r="AM392" i="2"/>
  <c r="AM394" i="2"/>
  <c r="CF19" i="3"/>
  <c r="AM232" i="2"/>
  <c r="CF232" i="3" s="1"/>
  <c r="AM364" i="5"/>
  <c r="AM366" i="5" s="1"/>
  <c r="AM10" i="5"/>
  <c r="AM206" i="5" s="1"/>
  <c r="CE259" i="3"/>
  <c r="AL368" i="5"/>
  <c r="AL370" i="5" s="1"/>
  <c r="AL144" i="5" s="1"/>
  <c r="AL261" i="2"/>
  <c r="CE261" i="3" s="1"/>
  <c r="K137" i="9" l="1"/>
  <c r="CF393" i="3"/>
  <c r="CF238" i="3"/>
  <c r="AD41" i="9"/>
  <c r="AD137" i="9" s="1"/>
  <c r="AM240" i="2"/>
  <c r="CF391" i="3"/>
  <c r="AM395" i="2"/>
  <c r="CF392" i="3"/>
  <c r="AM290" i="2"/>
  <c r="CF290" i="3" s="1"/>
  <c r="CF85" i="3"/>
  <c r="AM470" i="2"/>
  <c r="CF470" i="3" s="1"/>
  <c r="AM287" i="2"/>
  <c r="CF394" i="3"/>
  <c r="AM405" i="2" l="1"/>
  <c r="CF405" i="3" s="1"/>
  <c r="CF395" i="3"/>
  <c r="AM396" i="2"/>
  <c r="CF396" i="3" s="1"/>
  <c r="CF287" i="3"/>
  <c r="AM303" i="2"/>
  <c r="AI41" i="9"/>
  <c r="AI137" i="9" s="1"/>
  <c r="CF240" i="3"/>
  <c r="CF303" i="3" l="1"/>
  <c r="AM95" i="2"/>
  <c r="AM249" i="2" l="1"/>
  <c r="AN9" i="2"/>
  <c r="AM457" i="2"/>
  <c r="AQ41" i="9"/>
  <c r="AM320" i="2"/>
  <c r="CF95" i="3"/>
  <c r="AM103" i="2"/>
  <c r="AM321" i="2" l="1"/>
  <c r="CF320" i="3"/>
  <c r="AQ137" i="9"/>
  <c r="AT41" i="9"/>
  <c r="CF457" i="3"/>
  <c r="AM116" i="2"/>
  <c r="AM250" i="2"/>
  <c r="CF250" i="3" s="1"/>
  <c r="AW41" i="9"/>
  <c r="AM501" i="2"/>
  <c r="CF103" i="3"/>
  <c r="AM331" i="2"/>
  <c r="AM461" i="2"/>
  <c r="CF461" i="3" s="1"/>
  <c r="AN10" i="2"/>
  <c r="AN11" i="2" s="1"/>
  <c r="AN93" i="2"/>
  <c r="AN489" i="2"/>
  <c r="AN96" i="2"/>
  <c r="CG9" i="3"/>
  <c r="AM175" i="2"/>
  <c r="CF249" i="3"/>
  <c r="AM251" i="2" l="1"/>
  <c r="BU41" i="9" s="1"/>
  <c r="BU137" i="9" s="1"/>
  <c r="CG11" i="3"/>
  <c r="G42" i="9"/>
  <c r="G138" i="9" s="1"/>
  <c r="BB41" i="9"/>
  <c r="AM347" i="2"/>
  <c r="AN12" i="2"/>
  <c r="CF116" i="3"/>
  <c r="AM252" i="2"/>
  <c r="AN100" i="2"/>
  <c r="CG10" i="3"/>
  <c r="CF331" i="3"/>
  <c r="AM332" i="2"/>
  <c r="AT137" i="9"/>
  <c r="CG93" i="3"/>
  <c r="AN94" i="2"/>
  <c r="AM503" i="2"/>
  <c r="CF501" i="3"/>
  <c r="AM281" i="2"/>
  <c r="CF175" i="3"/>
  <c r="CG96" i="3"/>
  <c r="AN310" i="2"/>
  <c r="CG310" i="3" s="1"/>
  <c r="AE42" i="9"/>
  <c r="AE138" i="9" s="1"/>
  <c r="AR42" i="9"/>
  <c r="AR138" i="9" s="1"/>
  <c r="AW137" i="9"/>
  <c r="AY41" i="9"/>
  <c r="AY137" i="9" s="1"/>
  <c r="AM117" i="2"/>
  <c r="AM118" i="2" s="1"/>
  <c r="CF251" i="3"/>
  <c r="CG489" i="3"/>
  <c r="CF321" i="3"/>
  <c r="AN306" i="2"/>
  <c r="H291" i="1"/>
  <c r="A292" i="1" s="1"/>
  <c r="AM177" i="2" l="1"/>
  <c r="AM464" i="2"/>
  <c r="CF118" i="3"/>
  <c r="AM126" i="2"/>
  <c r="CF332" i="3"/>
  <c r="AN324" i="2"/>
  <c r="CF252" i="3"/>
  <c r="CG306" i="3"/>
  <c r="AM505" i="2"/>
  <c r="CF503" i="3"/>
  <c r="CG12" i="3"/>
  <c r="AN32" i="2"/>
  <c r="AM508" i="2"/>
  <c r="AM348" i="2"/>
  <c r="CF117" i="3"/>
  <c r="AM253" i="2"/>
  <c r="CF253" i="3" s="1"/>
  <c r="AN13" i="2"/>
  <c r="BF41" i="9"/>
  <c r="CF281" i="3"/>
  <c r="AN456" i="2"/>
  <c r="CG456" i="3" s="1"/>
  <c r="AN42" i="9"/>
  <c r="AN138" i="9" s="1"/>
  <c r="CG94" i="3"/>
  <c r="AN308" i="2"/>
  <c r="CG308" i="3" s="1"/>
  <c r="AN293" i="2"/>
  <c r="CG293" i="3" s="1"/>
  <c r="AN377" i="5"/>
  <c r="AN491" i="2"/>
  <c r="AO92" i="2"/>
  <c r="CF348" i="3"/>
  <c r="AM349" i="2"/>
  <c r="BB137" i="9"/>
  <c r="BC41" i="9"/>
  <c r="BC137" i="9" s="1"/>
  <c r="AN102" i="2"/>
  <c r="CG100" i="3"/>
  <c r="AN29" i="2"/>
  <c r="CG102" i="3" l="1"/>
  <c r="AN502" i="2"/>
  <c r="CG502" i="3" s="1"/>
  <c r="AN326" i="2"/>
  <c r="CG326" i="3" s="1"/>
  <c r="AN296" i="2"/>
  <c r="CG296" i="3" s="1"/>
  <c r="AN460" i="2"/>
  <c r="CG460" i="3" s="1"/>
  <c r="AN378" i="5"/>
  <c r="AU42" i="9"/>
  <c r="AU138" i="9" s="1"/>
  <c r="AN343" i="2"/>
  <c r="CG344" i="3" s="1"/>
  <c r="CG32" i="3"/>
  <c r="AM254" i="2"/>
  <c r="AN176" i="2"/>
  <c r="BF137" i="9"/>
  <c r="BG41" i="9"/>
  <c r="BG137" i="9" s="1"/>
  <c r="CG324" i="3"/>
  <c r="AN327" i="2"/>
  <c r="CF350" i="3"/>
  <c r="AN335" i="2"/>
  <c r="AN14" i="2"/>
  <c r="CG13" i="3"/>
  <c r="AN33" i="2"/>
  <c r="CF505" i="3"/>
  <c r="AM506" i="2"/>
  <c r="AN309" i="2"/>
  <c r="AM135" i="2"/>
  <c r="BI41" i="9"/>
  <c r="CF126" i="3"/>
  <c r="AM255" i="2"/>
  <c r="AN15" i="2"/>
  <c r="AM363" i="2"/>
  <c r="AM467" i="2"/>
  <c r="CF467" i="3" s="1"/>
  <c r="AN317" i="2"/>
  <c r="CG317" i="3" s="1"/>
  <c r="CG29" i="3"/>
  <c r="AN379" i="5"/>
  <c r="AN383" i="5" s="1"/>
  <c r="CH92" i="3"/>
  <c r="CF349" i="3"/>
  <c r="AM350" i="2"/>
  <c r="AN336" i="2" s="1"/>
  <c r="CF464" i="3"/>
  <c r="CG491" i="3"/>
  <c r="AN494" i="2"/>
  <c r="CG494" i="3" s="1"/>
  <c r="AN493" i="2"/>
  <c r="CF508" i="3"/>
  <c r="AM510" i="2"/>
  <c r="AN313" i="2"/>
  <c r="CF177" i="3"/>
  <c r="AM282" i="2"/>
  <c r="AN340" i="2" l="1"/>
  <c r="CG337" i="3"/>
  <c r="CG309" i="3"/>
  <c r="AM390" i="1"/>
  <c r="AN99" i="2"/>
  <c r="CG327" i="3"/>
  <c r="CF364" i="3"/>
  <c r="AM364" i="2"/>
  <c r="AN353" i="2" s="1"/>
  <c r="CG15" i="3"/>
  <c r="AN127" i="2"/>
  <c r="AN17" i="2"/>
  <c r="AN34" i="2"/>
  <c r="CG33" i="3"/>
  <c r="AN344" i="2"/>
  <c r="CG345" i="3" s="1"/>
  <c r="AM257" i="2"/>
  <c r="CF255" i="3"/>
  <c r="CF282" i="3"/>
  <c r="AM284" i="2"/>
  <c r="CG14" i="3"/>
  <c r="H42" i="9"/>
  <c r="H138" i="9" s="1"/>
  <c r="AM357" i="1"/>
  <c r="CG176" i="3"/>
  <c r="AN496" i="2"/>
  <c r="CG493" i="3"/>
  <c r="AM512" i="2"/>
  <c r="CF510" i="3"/>
  <c r="BI137" i="9"/>
  <c r="BL41" i="9"/>
  <c r="CG336" i="3"/>
  <c r="CG335" i="3"/>
  <c r="AN339" i="2"/>
  <c r="CF254" i="3"/>
  <c r="BV41" i="9"/>
  <c r="BV137" i="9" s="1"/>
  <c r="AN319" i="2"/>
  <c r="CG319" i="3" s="1"/>
  <c r="AM382" i="2"/>
  <c r="AN18" i="2"/>
  <c r="AM469" i="2"/>
  <c r="CF469" i="3" s="1"/>
  <c r="BO41" i="9"/>
  <c r="CF135" i="3"/>
  <c r="AM258" i="2"/>
  <c r="AM474" i="2" l="1"/>
  <c r="AM472" i="2"/>
  <c r="CG18" i="3"/>
  <c r="J42" i="9"/>
  <c r="J138" i="9" s="1"/>
  <c r="AN38" i="2"/>
  <c r="E292" i="1"/>
  <c r="CF474" i="3"/>
  <c r="AM476" i="2"/>
  <c r="CF382" i="3"/>
  <c r="AM383" i="2"/>
  <c r="AV42" i="9"/>
  <c r="AV138" i="9" s="1"/>
  <c r="AN328" i="2"/>
  <c r="AN295" i="2"/>
  <c r="CG295" i="3" s="1"/>
  <c r="AN459" i="2"/>
  <c r="CG459" i="3" s="1"/>
  <c r="CG99" i="3"/>
  <c r="AN30" i="2"/>
  <c r="AO101" i="2"/>
  <c r="CH101" i="3" s="1"/>
  <c r="BL137" i="9"/>
  <c r="CF472" i="3"/>
  <c r="AM399" i="2"/>
  <c r="AM402" i="2"/>
  <c r="AM28" i="2"/>
  <c r="AM400" i="2"/>
  <c r="AM401" i="2"/>
  <c r="O42" i="9"/>
  <c r="O138" i="9" s="1"/>
  <c r="CG34" i="3"/>
  <c r="AM175" i="5"/>
  <c r="BX41" i="9"/>
  <c r="BX137" i="9" s="1"/>
  <c r="CF258" i="3"/>
  <c r="AM513" i="2"/>
  <c r="CF512" i="3"/>
  <c r="CF284" i="3"/>
  <c r="AL359" i="1"/>
  <c r="I42" i="9"/>
  <c r="I138" i="9" s="1"/>
  <c r="CG17" i="3"/>
  <c r="AN355" i="2"/>
  <c r="CG355" i="3" s="1"/>
  <c r="AG42" i="9"/>
  <c r="AG138" i="9" s="1"/>
  <c r="BK42" i="9"/>
  <c r="BK138" i="9" s="1"/>
  <c r="CG127" i="3"/>
  <c r="BO137" i="9"/>
  <c r="BP41" i="9"/>
  <c r="BP137" i="9" s="1"/>
  <c r="AN113" i="2"/>
  <c r="CG340" i="3"/>
  <c r="AN497" i="2"/>
  <c r="CG496" i="3"/>
  <c r="CF257" i="3"/>
  <c r="BW41" i="9"/>
  <c r="BW137" i="9" s="1"/>
  <c r="CG353" i="3"/>
  <c r="AM391" i="1"/>
  <c r="CG341" i="3"/>
  <c r="AN114" i="2"/>
  <c r="AN357" i="2" l="1"/>
  <c r="AN121" i="2" s="1"/>
  <c r="AN377" i="2"/>
  <c r="CF383" i="3"/>
  <c r="CF400" i="3"/>
  <c r="AM409" i="2"/>
  <c r="CF28" i="3"/>
  <c r="AM438" i="2"/>
  <c r="M41" i="9"/>
  <c r="AM11" i="5"/>
  <c r="AM207" i="5" s="1"/>
  <c r="AM169" i="2"/>
  <c r="AM390" i="5"/>
  <c r="AM139" i="2"/>
  <c r="CF139" i="3" s="1"/>
  <c r="AM241" i="2"/>
  <c r="CF241" i="3" s="1"/>
  <c r="AM71" i="2"/>
  <c r="CG30" i="3"/>
  <c r="AN329" i="2"/>
  <c r="CG329" i="3" s="1"/>
  <c r="AN31" i="2"/>
  <c r="CF476" i="3"/>
  <c r="AM478" i="2"/>
  <c r="CF401" i="3"/>
  <c r="AM410" i="2"/>
  <c r="CG114" i="3"/>
  <c r="BE42" i="9"/>
  <c r="BE138" i="9" s="1"/>
  <c r="AN342" i="2"/>
  <c r="CF402" i="3"/>
  <c r="AM411" i="2"/>
  <c r="CG497" i="3"/>
  <c r="AN498" i="2"/>
  <c r="CG498" i="3" s="1"/>
  <c r="CF399" i="3"/>
  <c r="AM403" i="2"/>
  <c r="CF403" i="3" s="1"/>
  <c r="AM408" i="2"/>
  <c r="Q42" i="9"/>
  <c r="Q138" i="9" s="1"/>
  <c r="CG38" i="3"/>
  <c r="AN173" i="5"/>
  <c r="AN379" i="2"/>
  <c r="CG379" i="3" s="1"/>
  <c r="AN115" i="2"/>
  <c r="AN341" i="2"/>
  <c r="BA42" i="9"/>
  <c r="BA138" i="9" s="1"/>
  <c r="CG113" i="3"/>
  <c r="BR41" i="9"/>
  <c r="BR137" i="9" s="1"/>
  <c r="CG328" i="3"/>
  <c r="CG358" i="3" l="1"/>
  <c r="M137" i="9"/>
  <c r="W41" i="9"/>
  <c r="AM444" i="2"/>
  <c r="CF444" i="3" s="1"/>
  <c r="CF438" i="3"/>
  <c r="AM412" i="2"/>
  <c r="CF412" i="3" s="1"/>
  <c r="AM415" i="2"/>
  <c r="CF408" i="3"/>
  <c r="CG342" i="3"/>
  <c r="AN345" i="2"/>
  <c r="CG346" i="3" s="1"/>
  <c r="AM417" i="2"/>
  <c r="CF410" i="3"/>
  <c r="AL368" i="1"/>
  <c r="AM386" i="5"/>
  <c r="AM388" i="5" s="1"/>
  <c r="CF71" i="3"/>
  <c r="CF409" i="3"/>
  <c r="AM416" i="2"/>
  <c r="CF416" i="3" s="1"/>
  <c r="AN358" i="2"/>
  <c r="CG121" i="3"/>
  <c r="AM480" i="2"/>
  <c r="CF478" i="3"/>
  <c r="CG343" i="3"/>
  <c r="AN346" i="2"/>
  <c r="CG347" i="3" s="1"/>
  <c r="AN330" i="2"/>
  <c r="CG330" i="3" s="1"/>
  <c r="CF411" i="3"/>
  <c r="AM418" i="2"/>
  <c r="CF418" i="3" s="1"/>
  <c r="AM394" i="5"/>
  <c r="AM391" i="5"/>
  <c r="AM395" i="5" s="1"/>
  <c r="AN462" i="2"/>
  <c r="CG462" i="3" s="1"/>
  <c r="CG115" i="3"/>
  <c r="AN298" i="2"/>
  <c r="CG298" i="3" s="1"/>
  <c r="CG31" i="3"/>
  <c r="N42" i="9"/>
  <c r="N138" i="9" s="1"/>
  <c r="AN439" i="2"/>
  <c r="CG439" i="3" s="1"/>
  <c r="CF169" i="3"/>
  <c r="AL354" i="1"/>
  <c r="AN381" i="2"/>
  <c r="CG381" i="3" s="1"/>
  <c r="CG377" i="3"/>
  <c r="W137" i="9" l="1"/>
  <c r="AM413" i="2"/>
  <c r="CF415" i="3"/>
  <c r="AM419" i="2"/>
  <c r="CF419" i="3" s="1"/>
  <c r="CF480" i="3"/>
  <c r="AM481" i="2"/>
  <c r="AM170" i="2"/>
  <c r="CF417" i="3"/>
  <c r="CG359" i="3"/>
  <c r="AN359" i="2"/>
  <c r="AM420" i="2" l="1"/>
  <c r="CF420" i="3" s="1"/>
  <c r="CF481" i="3"/>
  <c r="AM482" i="2"/>
  <c r="CF482" i="3" s="1"/>
  <c r="AL355" i="1"/>
  <c r="AM210" i="2"/>
  <c r="CF170" i="3"/>
  <c r="AM268" i="2"/>
  <c r="CF268" i="3" s="1"/>
  <c r="AM171" i="2"/>
  <c r="AM192" i="2"/>
  <c r="CG360" i="3"/>
  <c r="AN122" i="2"/>
  <c r="CF171" i="3" l="1"/>
  <c r="AL356" i="1"/>
  <c r="AL361" i="1" s="1"/>
  <c r="CG122" i="3"/>
  <c r="AN360" i="2"/>
  <c r="AN123" i="2"/>
  <c r="AL366" i="1"/>
  <c r="CF192" i="3"/>
  <c r="AL380" i="1"/>
  <c r="CF210" i="3"/>
  <c r="AM182" i="2"/>
  <c r="CG361" i="3" l="1"/>
  <c r="AN125" i="2"/>
  <c r="AN35" i="2"/>
  <c r="BH42" i="9"/>
  <c r="BH138" i="9" s="1"/>
  <c r="CG123" i="3"/>
  <c r="AM153" i="2"/>
  <c r="CF182" i="3"/>
  <c r="AM207" i="2"/>
  <c r="CF153" i="3" l="1"/>
  <c r="AM154" i="2"/>
  <c r="CG125" i="3"/>
  <c r="AN466" i="2"/>
  <c r="CG466" i="3" s="1"/>
  <c r="AN299" i="2"/>
  <c r="CG299" i="3" s="1"/>
  <c r="AN37" i="2"/>
  <c r="CG35" i="3"/>
  <c r="AN361" i="2"/>
  <c r="CF207" i="3"/>
  <c r="CG356" i="3" l="1"/>
  <c r="CG362" i="3"/>
  <c r="AN362" i="2"/>
  <c r="CG363" i="3" s="1"/>
  <c r="CG37" i="3"/>
  <c r="AN440" i="2"/>
  <c r="CG440" i="3" s="1"/>
  <c r="P42" i="9"/>
  <c r="P138" i="9" s="1"/>
  <c r="CF154" i="3"/>
  <c r="AM156" i="2"/>
  <c r="AM159" i="2" l="1"/>
  <c r="CF156" i="3"/>
  <c r="AM158" i="2"/>
  <c r="CF158" i="3" l="1"/>
  <c r="AM162" i="2"/>
  <c r="CF162" i="3" s="1"/>
  <c r="AM160" i="2"/>
  <c r="CF159" i="3"/>
  <c r="AM161" i="2" l="1"/>
  <c r="CF160" i="3"/>
  <c r="CF161" i="3" l="1"/>
  <c r="AM163" i="2"/>
  <c r="AM165" i="2" l="1"/>
  <c r="AM267" i="2" s="1"/>
  <c r="CF163" i="3"/>
  <c r="AM166" i="2" l="1"/>
  <c r="CF166" i="3" s="1"/>
  <c r="AM183" i="2"/>
  <c r="CF267" i="3"/>
  <c r="AM112" i="5"/>
  <c r="AM140" i="5" s="1"/>
  <c r="CF165" i="3"/>
  <c r="CF183" i="3" l="1"/>
  <c r="AL375" i="1"/>
  <c r="AM208" i="2"/>
  <c r="AL363" i="1"/>
  <c r="AL364" i="1" s="1"/>
  <c r="AM184" i="2"/>
  <c r="CF208" i="3" l="1"/>
  <c r="AL378" i="1"/>
  <c r="AM212" i="2"/>
  <c r="AM397" i="5"/>
  <c r="AM94" i="4"/>
  <c r="AM266" i="2"/>
  <c r="CF184" i="3"/>
  <c r="AM399" i="5"/>
  <c r="AM191" i="2"/>
  <c r="AM85" i="5"/>
  <c r="AM342" i="5" s="1"/>
  <c r="AL367" i="1"/>
  <c r="AL374" i="1"/>
  <c r="AL377" i="1" s="1"/>
  <c r="AM271" i="2" l="1"/>
  <c r="AM86" i="4" s="1"/>
  <c r="AM270" i="2"/>
  <c r="AL382" i="1"/>
  <c r="AL384" i="1" s="1"/>
  <c r="CF266" i="3"/>
  <c r="CF212" i="3"/>
  <c r="AM218" i="2"/>
  <c r="AM225" i="2"/>
  <c r="CF225" i="3" s="1"/>
  <c r="CF191" i="3"/>
  <c r="AM193" i="2"/>
  <c r="AM86" i="5" l="1"/>
  <c r="AM343" i="5" s="1"/>
  <c r="AM32" i="4"/>
  <c r="AO33" i="4" s="1"/>
  <c r="CF270" i="3"/>
  <c r="AM195" i="2"/>
  <c r="CF193" i="3"/>
  <c r="AM198" i="2"/>
  <c r="AM201" i="2"/>
  <c r="AM196" i="2"/>
  <c r="AM197" i="2"/>
  <c r="AM199" i="2"/>
  <c r="AM200" i="2"/>
  <c r="CF218" i="3"/>
  <c r="AM220" i="2"/>
  <c r="AM222" i="2"/>
  <c r="CF222" i="3" s="1"/>
  <c r="AM221" i="2"/>
  <c r="CF221" i="3" s="1"/>
  <c r="AM88" i="4" l="1"/>
  <c r="AM273" i="2" s="1"/>
  <c r="AM89" i="4"/>
  <c r="AM274" i="2" s="1"/>
  <c r="CF198" i="3"/>
  <c r="G338" i="1"/>
  <c r="AM316" i="4"/>
  <c r="N291" i="1" s="1"/>
  <c r="AM318" i="4"/>
  <c r="P291" i="1" s="1"/>
  <c r="CF200" i="3"/>
  <c r="I338" i="1"/>
  <c r="D338" i="1"/>
  <c r="AM313" i="4"/>
  <c r="K291" i="1" s="1"/>
  <c r="AM202" i="2"/>
  <c r="CF195" i="3"/>
  <c r="CF199" i="3"/>
  <c r="AM317" i="4"/>
  <c r="O291" i="1" s="1"/>
  <c r="H338" i="1"/>
  <c r="CF220" i="3"/>
  <c r="AM223" i="2"/>
  <c r="AM315" i="4"/>
  <c r="M291" i="1" s="1"/>
  <c r="CF197" i="3"/>
  <c r="F338" i="1"/>
  <c r="AO55" i="4"/>
  <c r="AO54" i="4"/>
  <c r="AO58" i="4"/>
  <c r="AO57" i="4"/>
  <c r="AO56" i="4"/>
  <c r="E338" i="1"/>
  <c r="AM314" i="4"/>
  <c r="L291" i="1" s="1"/>
  <c r="CF196" i="3"/>
  <c r="J338" i="1"/>
  <c r="CF201" i="3"/>
  <c r="AM204" i="2"/>
  <c r="AO59" i="4" l="1"/>
  <c r="AO272" i="2" s="1"/>
  <c r="CF223" i="3"/>
  <c r="AM227" i="2"/>
  <c r="AM422" i="2" s="1"/>
  <c r="C338" i="1"/>
  <c r="AL394" i="1"/>
  <c r="CF204" i="3"/>
  <c r="AM515" i="2"/>
  <c r="CF515" i="3" s="1"/>
  <c r="CF202" i="3"/>
  <c r="AM87" i="5"/>
  <c r="AM344" i="5" s="1"/>
  <c r="AL370" i="1"/>
  <c r="AM203" i="2"/>
  <c r="AM484" i="2" l="1"/>
  <c r="CF484" i="3" s="1"/>
  <c r="AO60" i="4"/>
  <c r="K338" i="1"/>
  <c r="AO61" i="4"/>
  <c r="AM424" i="2"/>
  <c r="CF424" i="3" s="1"/>
  <c r="CF422" i="3"/>
  <c r="AM88" i="5"/>
  <c r="J291" i="1"/>
  <c r="AM516" i="2"/>
  <c r="CF203" i="3"/>
  <c r="AM485" i="2"/>
  <c r="AM145" i="2"/>
  <c r="AL371" i="1"/>
  <c r="AL372" i="1" s="1"/>
  <c r="AL385" i="1"/>
  <c r="AL386" i="1" s="1"/>
  <c r="AM89" i="5"/>
  <c r="AM345" i="5" s="1"/>
  <c r="CF227" i="3"/>
  <c r="AL393" i="1"/>
  <c r="AM228" i="2"/>
  <c r="CF228" i="3" s="1"/>
  <c r="CF485" i="3" l="1"/>
  <c r="AM425" i="2"/>
  <c r="CF425" i="3" s="1"/>
  <c r="AM384" i="5"/>
  <c r="CF516" i="3"/>
  <c r="AN302" i="2"/>
  <c r="AM146" i="2"/>
  <c r="AM17" i="5"/>
  <c r="AM148" i="2"/>
  <c r="Z41" i="9"/>
  <c r="AM229" i="2"/>
  <c r="CF145" i="3"/>
  <c r="AM244" i="2"/>
  <c r="AM213" i="5" l="1"/>
  <c r="AM18" i="5"/>
  <c r="CF244" i="3"/>
  <c r="AM245" i="2"/>
  <c r="CG302" i="3"/>
  <c r="AM90" i="5"/>
  <c r="AM346" i="5" s="1"/>
  <c r="CF229" i="3"/>
  <c r="Z137" i="9"/>
  <c r="AJ41" i="9"/>
  <c r="AL41" i="9" s="1"/>
  <c r="AM109" i="5"/>
  <c r="CF146" i="3"/>
  <c r="AM248" i="2"/>
  <c r="AN8" i="2"/>
  <c r="CF148" i="3"/>
  <c r="AM259" i="2" l="1"/>
  <c r="BT41" i="9"/>
  <c r="CF248" i="3"/>
  <c r="AM486" i="2"/>
  <c r="I292" i="1"/>
  <c r="AN19" i="2"/>
  <c r="AN84" i="2"/>
  <c r="F42" i="9"/>
  <c r="AN390" i="2"/>
  <c r="AM389" i="1"/>
  <c r="AN447" i="2"/>
  <c r="CG447" i="3" s="1"/>
  <c r="AN20" i="2"/>
  <c r="AN450" i="2"/>
  <c r="AN372" i="5"/>
  <c r="AN374" i="5" s="1"/>
  <c r="CG8" i="3"/>
  <c r="CF245" i="3"/>
  <c r="AM260" i="2"/>
  <c r="CF260" i="3" s="1"/>
  <c r="AL373" i="1"/>
  <c r="AJ137" i="9"/>
  <c r="AL137" i="9"/>
  <c r="AM19" i="5"/>
  <c r="AM214" i="5"/>
  <c r="F138" i="9" l="1"/>
  <c r="K42" i="9"/>
  <c r="AN238" i="2"/>
  <c r="AN15" i="5"/>
  <c r="AN212" i="5" s="1"/>
  <c r="CG84" i="3"/>
  <c r="AN85" i="2"/>
  <c r="AN232" i="2"/>
  <c r="CG232" i="3" s="1"/>
  <c r="CG19" i="3"/>
  <c r="AN364" i="5"/>
  <c r="AN366" i="5" s="1"/>
  <c r="AN10" i="5"/>
  <c r="AN206" i="5" s="1"/>
  <c r="CG450" i="3"/>
  <c r="CF486" i="3"/>
  <c r="AM20" i="5"/>
  <c r="AM215" i="5"/>
  <c r="BY41" i="9"/>
  <c r="BY137" i="9" s="1"/>
  <c r="BT137" i="9"/>
  <c r="AN393" i="2"/>
  <c r="CG390" i="3"/>
  <c r="AN394" i="2"/>
  <c r="AN392" i="2"/>
  <c r="AN391" i="2"/>
  <c r="AM368" i="5"/>
  <c r="AM370" i="5" s="1"/>
  <c r="AM144" i="5" s="1"/>
  <c r="AM261" i="2"/>
  <c r="CF261" i="3" s="1"/>
  <c r="CF259" i="3"/>
  <c r="K138" i="9" l="1"/>
  <c r="CG392" i="3"/>
  <c r="CG85" i="3"/>
  <c r="AN470" i="2"/>
  <c r="CG470" i="3" s="1"/>
  <c r="AN290" i="2"/>
  <c r="CG290" i="3" s="1"/>
  <c r="AN287" i="2"/>
  <c r="CG393" i="3"/>
  <c r="CG394" i="3"/>
  <c r="CG238" i="3"/>
  <c r="AN240" i="2"/>
  <c r="AD42" i="9"/>
  <c r="AD138" i="9" s="1"/>
  <c r="AN395" i="2"/>
  <c r="CG391" i="3"/>
  <c r="CG395" i="3" l="1"/>
  <c r="AN405" i="2"/>
  <c r="CG405" i="3" s="1"/>
  <c r="AN396" i="2"/>
  <c r="CG396" i="3" s="1"/>
  <c r="CG240" i="3"/>
  <c r="AI42" i="9"/>
  <c r="AI138" i="9" s="1"/>
  <c r="AN303" i="2"/>
  <c r="CG287" i="3"/>
  <c r="CG303" i="3" l="1"/>
  <c r="AN95" i="2"/>
  <c r="AN320" i="2" l="1"/>
  <c r="AN457" i="2"/>
  <c r="AO9" i="2"/>
  <c r="AQ42" i="9"/>
  <c r="CG95" i="3"/>
  <c r="AN249" i="2"/>
  <c r="AN103" i="2"/>
  <c r="AO93" i="2" l="1"/>
  <c r="CH9" i="3"/>
  <c r="AO489" i="2"/>
  <c r="AO96" i="2"/>
  <c r="CG457" i="3"/>
  <c r="AN321" i="2"/>
  <c r="CG320" i="3"/>
  <c r="CG249" i="3"/>
  <c r="AQ138" i="9"/>
  <c r="AT42" i="9"/>
  <c r="AN116" i="2"/>
  <c r="CG103" i="3"/>
  <c r="AN461" i="2"/>
  <c r="CG461" i="3" s="1"/>
  <c r="AN331" i="2"/>
  <c r="AW42" i="9"/>
  <c r="AO10" i="2"/>
  <c r="AN501" i="2"/>
  <c r="AN250" i="2"/>
  <c r="CG250" i="3" s="1"/>
  <c r="AN175" i="2"/>
  <c r="AN251" i="2" l="1"/>
  <c r="CG251" i="3" s="1"/>
  <c r="AO11" i="2"/>
  <c r="AO100" i="2"/>
  <c r="CH10" i="3"/>
  <c r="AR43" i="9"/>
  <c r="AR139" i="9" s="1"/>
  <c r="AO310" i="2"/>
  <c r="CH310" i="3" s="1"/>
  <c r="AE43" i="9"/>
  <c r="AE139" i="9" s="1"/>
  <c r="CH96" i="3"/>
  <c r="CG331" i="3"/>
  <c r="AN332" i="2"/>
  <c r="CH489" i="3"/>
  <c r="AN503" i="2"/>
  <c r="CG501" i="3"/>
  <c r="AW138" i="9"/>
  <c r="AY42" i="9"/>
  <c r="AY138" i="9" s="1"/>
  <c r="CG321" i="3"/>
  <c r="H292" i="1"/>
  <c r="A293" i="1" s="1"/>
  <c r="AO306" i="2"/>
  <c r="CG175" i="3"/>
  <c r="AN281" i="2"/>
  <c r="CH93" i="3"/>
  <c r="AO94" i="2"/>
  <c r="CG116" i="3"/>
  <c r="AN347" i="2"/>
  <c r="BB42" i="9"/>
  <c r="AN252" i="2"/>
  <c r="AO12" i="2"/>
  <c r="AT138" i="9"/>
  <c r="AN117" i="2"/>
  <c r="BU42" i="9" l="1"/>
  <c r="BU138" i="9" s="1"/>
  <c r="AN505" i="2"/>
  <c r="CG503" i="3"/>
  <c r="CH306" i="3"/>
  <c r="BC42" i="9"/>
  <c r="BB138" i="9"/>
  <c r="AN253" i="2"/>
  <c r="CG253" i="3" s="1"/>
  <c r="CG117" i="3"/>
  <c r="BF42" i="9"/>
  <c r="AO13" i="2"/>
  <c r="AO14" i="2" s="1"/>
  <c r="AN348" i="2"/>
  <c r="AN508" i="2"/>
  <c r="AO324" i="2"/>
  <c r="CG332" i="3"/>
  <c r="AN349" i="2"/>
  <c r="CG348" i="3"/>
  <c r="CH94" i="3"/>
  <c r="AO308" i="2"/>
  <c r="CH308" i="3" s="1"/>
  <c r="AO377" i="5"/>
  <c r="AN43" i="9"/>
  <c r="AN139" i="9" s="1"/>
  <c r="AO293" i="2"/>
  <c r="CH293" i="3" s="1"/>
  <c r="AO456" i="2"/>
  <c r="CH456" i="3" s="1"/>
  <c r="AO491" i="2"/>
  <c r="AP92" i="2"/>
  <c r="AO29" i="2"/>
  <c r="AN118" i="2"/>
  <c r="CG281" i="3"/>
  <c r="AO102" i="2"/>
  <c r="CH100" i="3"/>
  <c r="CH12" i="3"/>
  <c r="AO32" i="2"/>
  <c r="CG252" i="3"/>
  <c r="G43" i="9"/>
  <c r="G139" i="9" s="1"/>
  <c r="CH11" i="3"/>
  <c r="AN254" i="2" l="1"/>
  <c r="BV42" i="9" s="1"/>
  <c r="BV138" i="9" s="1"/>
  <c r="AN126" i="2"/>
  <c r="AN135" i="2" s="1"/>
  <c r="CG118" i="3"/>
  <c r="AN464" i="2"/>
  <c r="AN177" i="2"/>
  <c r="CH324" i="3"/>
  <c r="BC138" i="9"/>
  <c r="CG508" i="3"/>
  <c r="AN510" i="2"/>
  <c r="CI92" i="3"/>
  <c r="CG349" i="3"/>
  <c r="AN350" i="2"/>
  <c r="AO336" i="2" s="1"/>
  <c r="AO309" i="2"/>
  <c r="CH29" i="3"/>
  <c r="AO317" i="2"/>
  <c r="CH317" i="3" s="1"/>
  <c r="CH13" i="3"/>
  <c r="AO33" i="2"/>
  <c r="AO343" i="2"/>
  <c r="CH344" i="3" s="1"/>
  <c r="CH32" i="3"/>
  <c r="CH491" i="3"/>
  <c r="AO493" i="2"/>
  <c r="AO494" i="2"/>
  <c r="CH494" i="3" s="1"/>
  <c r="BG42" i="9"/>
  <c r="BG138" i="9" s="1"/>
  <c r="BF138" i="9"/>
  <c r="AO313" i="2"/>
  <c r="AU43" i="9"/>
  <c r="AU139" i="9" s="1"/>
  <c r="CH102" i="3"/>
  <c r="AO502" i="2"/>
  <c r="CH502" i="3" s="1"/>
  <c r="AO460" i="2"/>
  <c r="CH460" i="3" s="1"/>
  <c r="AO378" i="5"/>
  <c r="AO296" i="2"/>
  <c r="CH296" i="3" s="1"/>
  <c r="AO326" i="2"/>
  <c r="CH326" i="3" s="1"/>
  <c r="AO379" i="5"/>
  <c r="AO383" i="5" s="1"/>
  <c r="CH14" i="3"/>
  <c r="H43" i="9"/>
  <c r="H139" i="9" s="1"/>
  <c r="AO176" i="2"/>
  <c r="AO335" i="2"/>
  <c r="CG350" i="3"/>
  <c r="CG505" i="3"/>
  <c r="AN506" i="2"/>
  <c r="CG254" i="3" l="1"/>
  <c r="AO319" i="2"/>
  <c r="CH319" i="3" s="1"/>
  <c r="AO339" i="2"/>
  <c r="CH335" i="3"/>
  <c r="CH336" i="3"/>
  <c r="CH176" i="3"/>
  <c r="AN357" i="1"/>
  <c r="AO327" i="2"/>
  <c r="CH33" i="3"/>
  <c r="AO344" i="2"/>
  <c r="CH345" i="3" s="1"/>
  <c r="AO496" i="2"/>
  <c r="CH493" i="3"/>
  <c r="CG135" i="3"/>
  <c r="AN469" i="2"/>
  <c r="CG469" i="3" s="1"/>
  <c r="AN258" i="2"/>
  <c r="AO18" i="2"/>
  <c r="AN382" i="2"/>
  <c r="BO42" i="9"/>
  <c r="CG510" i="3"/>
  <c r="AN512" i="2"/>
  <c r="AN282" i="2"/>
  <c r="CG177" i="3"/>
  <c r="CG464" i="3"/>
  <c r="AN472" i="2"/>
  <c r="AO34" i="2"/>
  <c r="CH309" i="3"/>
  <c r="AN390" i="1"/>
  <c r="CH337" i="3"/>
  <c r="AO340" i="2"/>
  <c r="AN467" i="2"/>
  <c r="CG467" i="3" s="1"/>
  <c r="AN255" i="2"/>
  <c r="AO15" i="2"/>
  <c r="AN363" i="2"/>
  <c r="CG126" i="3"/>
  <c r="BI42" i="9"/>
  <c r="AO99" i="2" l="1"/>
  <c r="CH327" i="3"/>
  <c r="BI138" i="9"/>
  <c r="BL42" i="9"/>
  <c r="CG282" i="3"/>
  <c r="AN284" i="2"/>
  <c r="CH18" i="3"/>
  <c r="AO38" i="2"/>
  <c r="E293" i="1"/>
  <c r="J43" i="9"/>
  <c r="J139" i="9" s="1"/>
  <c r="CG364" i="3"/>
  <c r="AN364" i="2"/>
  <c r="AO353" i="2" s="1"/>
  <c r="AN513" i="2"/>
  <c r="CG512" i="3"/>
  <c r="AO17" i="2"/>
  <c r="AO127" i="2"/>
  <c r="CH15" i="3"/>
  <c r="AO497" i="2"/>
  <c r="CH496" i="3"/>
  <c r="CG472" i="3"/>
  <c r="AN28" i="2"/>
  <c r="AN400" i="2"/>
  <c r="AN399" i="2"/>
  <c r="AN402" i="2"/>
  <c r="AN401" i="2"/>
  <c r="AO114" i="2"/>
  <c r="CH341" i="3"/>
  <c r="CG255" i="3"/>
  <c r="AN257" i="2"/>
  <c r="CH34" i="3"/>
  <c r="O43" i="9"/>
  <c r="O139" i="9" s="1"/>
  <c r="BP42" i="9"/>
  <c r="BP138" i="9" s="1"/>
  <c r="BO138" i="9"/>
  <c r="CG258" i="3"/>
  <c r="BX42" i="9"/>
  <c r="BX138" i="9" s="1"/>
  <c r="AN175" i="5"/>
  <c r="AN474" i="2"/>
  <c r="AN383" i="2"/>
  <c r="CG382" i="3"/>
  <c r="AO113" i="2"/>
  <c r="CH340" i="3"/>
  <c r="BK43" i="9" l="1"/>
  <c r="BK139" i="9" s="1"/>
  <c r="AO355" i="2"/>
  <c r="CH355" i="3" s="1"/>
  <c r="AG43" i="9"/>
  <c r="AG139" i="9" s="1"/>
  <c r="CH127" i="3"/>
  <c r="Q43" i="9"/>
  <c r="Q139" i="9" s="1"/>
  <c r="AO173" i="5"/>
  <c r="AO379" i="2"/>
  <c r="CH379" i="3" s="1"/>
  <c r="CH38" i="3"/>
  <c r="CG383" i="3"/>
  <c r="AO377" i="2"/>
  <c r="CG400" i="3"/>
  <c r="AN409" i="2"/>
  <c r="CH17" i="3"/>
  <c r="I43" i="9"/>
  <c r="I139" i="9" s="1"/>
  <c r="M42" i="9"/>
  <c r="AN139" i="2"/>
  <c r="CG139" i="3" s="1"/>
  <c r="CG28" i="3"/>
  <c r="AN390" i="5"/>
  <c r="AN71" i="2"/>
  <c r="AN438" i="2"/>
  <c r="AN11" i="5"/>
  <c r="AN207" i="5" s="1"/>
  <c r="AN241" i="2"/>
  <c r="CG241" i="3" s="1"/>
  <c r="AN169" i="2"/>
  <c r="CG284" i="3"/>
  <c r="AM359" i="1"/>
  <c r="AN476" i="2"/>
  <c r="CG474" i="3"/>
  <c r="BW42" i="9"/>
  <c r="BW138" i="9" s="1"/>
  <c r="CG257" i="3"/>
  <c r="CG399" i="3"/>
  <c r="AN403" i="2"/>
  <c r="CG403" i="3" s="1"/>
  <c r="AN408" i="2"/>
  <c r="CH353" i="3"/>
  <c r="AN391" i="1"/>
  <c r="AO357" i="2"/>
  <c r="BL138" i="9"/>
  <c r="BR42" i="9"/>
  <c r="BR138" i="9" s="1"/>
  <c r="AO342" i="2"/>
  <c r="CH114" i="3"/>
  <c r="BE43" i="9"/>
  <c r="BE139" i="9" s="1"/>
  <c r="CH497" i="3"/>
  <c r="AO498" i="2"/>
  <c r="CH498" i="3" s="1"/>
  <c r="CG401" i="3"/>
  <c r="AN410" i="2"/>
  <c r="BA43" i="9"/>
  <c r="BA139" i="9" s="1"/>
  <c r="AO115" i="2"/>
  <c r="AO341" i="2"/>
  <c r="CH113" i="3"/>
  <c r="CG402" i="3"/>
  <c r="AN411" i="2"/>
  <c r="CH99" i="3"/>
  <c r="AO328" i="2"/>
  <c r="AV43" i="9"/>
  <c r="AV139" i="9" s="1"/>
  <c r="AO459" i="2"/>
  <c r="CH459" i="3" s="1"/>
  <c r="AO295" i="2"/>
  <c r="CH295" i="3" s="1"/>
  <c r="AP101" i="2"/>
  <c r="CI101" i="3" s="1"/>
  <c r="AO30" i="2"/>
  <c r="CH328" i="3" l="1"/>
  <c r="AN417" i="2"/>
  <c r="CG410" i="3"/>
  <c r="CG169" i="3"/>
  <c r="AM354" i="1"/>
  <c r="W42" i="9"/>
  <c r="M138" i="9"/>
  <c r="CH30" i="3"/>
  <c r="AO329" i="2"/>
  <c r="CH329" i="3" s="1"/>
  <c r="AO31" i="2"/>
  <c r="CG411" i="3"/>
  <c r="AN418" i="2"/>
  <c r="CG418" i="3" s="1"/>
  <c r="CH358" i="3"/>
  <c r="AO121" i="2"/>
  <c r="AN444" i="2"/>
  <c r="CG444" i="3" s="1"/>
  <c r="CG438" i="3"/>
  <c r="AN416" i="2"/>
  <c r="CG416" i="3" s="1"/>
  <c r="CG409" i="3"/>
  <c r="AN478" i="2"/>
  <c r="CG476" i="3"/>
  <c r="AN386" i="5"/>
  <c r="AN388" i="5" s="1"/>
  <c r="CG71" i="3"/>
  <c r="AM368" i="1"/>
  <c r="AN394" i="5"/>
  <c r="AN391" i="5"/>
  <c r="AN395" i="5" s="1"/>
  <c r="CH377" i="3"/>
  <c r="AO381" i="2"/>
  <c r="CH381" i="3" s="1"/>
  <c r="CH342" i="3"/>
  <c r="AO345" i="2"/>
  <c r="CH346" i="3" s="1"/>
  <c r="AO298" i="2"/>
  <c r="CH298" i="3" s="1"/>
  <c r="AO462" i="2"/>
  <c r="CH462" i="3" s="1"/>
  <c r="CH115" i="3"/>
  <c r="CH343" i="3"/>
  <c r="AO346" i="2"/>
  <c r="CH347" i="3" s="1"/>
  <c r="AN415" i="2"/>
  <c r="AN412" i="2"/>
  <c r="CG412" i="3" s="1"/>
  <c r="CG408" i="3"/>
  <c r="W138" i="9" l="1"/>
  <c r="AN419" i="2"/>
  <c r="CG419" i="3" s="1"/>
  <c r="CG415" i="3"/>
  <c r="AN480" i="2"/>
  <c r="CG478" i="3"/>
  <c r="AN413" i="2"/>
  <c r="CH31" i="3"/>
  <c r="AO439" i="2"/>
  <c r="CH439" i="3" s="1"/>
  <c r="N43" i="9"/>
  <c r="N139" i="9" s="1"/>
  <c r="CG417" i="3"/>
  <c r="AN170" i="2"/>
  <c r="AO358" i="2"/>
  <c r="CH121" i="3"/>
  <c r="AO330" i="2"/>
  <c r="CH330" i="3" s="1"/>
  <c r="CH359" i="3" l="1"/>
  <c r="AO359" i="2"/>
  <c r="AN420" i="2"/>
  <c r="CG420" i="3" s="1"/>
  <c r="CG480" i="3"/>
  <c r="AN481" i="2"/>
  <c r="AM355" i="1"/>
  <c r="CG170" i="3"/>
  <c r="AN268" i="2"/>
  <c r="CG268" i="3" s="1"/>
  <c r="AN210" i="2"/>
  <c r="AN171" i="2"/>
  <c r="AN192" i="2"/>
  <c r="CG192" i="3" l="1"/>
  <c r="AM366" i="1"/>
  <c r="CG171" i="3"/>
  <c r="AM356" i="1"/>
  <c r="AM361" i="1" s="1"/>
  <c r="AN182" i="2"/>
  <c r="CG481" i="3"/>
  <c r="AN482" i="2"/>
  <c r="CG482" i="3" s="1"/>
  <c r="CH360" i="3"/>
  <c r="AO122" i="2"/>
  <c r="AM380" i="1"/>
  <c r="CG210" i="3"/>
  <c r="AN153" i="2" l="1"/>
  <c r="CG182" i="3"/>
  <c r="AN207" i="2"/>
  <c r="CH122" i="3"/>
  <c r="AO360" i="2"/>
  <c r="AO123" i="2"/>
  <c r="CH123" i="3" l="1"/>
  <c r="BH43" i="9"/>
  <c r="BH139" i="9" s="1"/>
  <c r="AO125" i="2"/>
  <c r="AO35" i="2"/>
  <c r="CG207" i="3"/>
  <c r="CH361" i="3"/>
  <c r="CG153" i="3"/>
  <c r="AN154" i="2"/>
  <c r="AO361" i="2" l="1"/>
  <c r="AO37" i="2"/>
  <c r="CH35" i="3"/>
  <c r="AO299" i="2"/>
  <c r="CH299" i="3" s="1"/>
  <c r="CH125" i="3"/>
  <c r="AO466" i="2"/>
  <c r="CH466" i="3" s="1"/>
  <c r="AN156" i="2"/>
  <c r="CG154" i="3"/>
  <c r="AN159" i="2" l="1"/>
  <c r="AN158" i="2"/>
  <c r="CG156" i="3"/>
  <c r="CH37" i="3"/>
  <c r="P43" i="9"/>
  <c r="P139" i="9" s="1"/>
  <c r="AO440" i="2"/>
  <c r="CH440" i="3" s="1"/>
  <c r="CH362" i="3"/>
  <c r="CH356" i="3"/>
  <c r="AO362" i="2"/>
  <c r="CH363" i="3" s="1"/>
  <c r="CG158" i="3" l="1"/>
  <c r="AN162" i="2"/>
  <c r="CG162" i="3" s="1"/>
  <c r="CG159" i="3"/>
  <c r="AN160" i="2"/>
  <c r="AN161" i="2" l="1"/>
  <c r="CG160" i="3"/>
  <c r="CG161" i="3" l="1"/>
  <c r="AN163" i="2"/>
  <c r="CG163" i="3" l="1"/>
  <c r="AN165" i="2"/>
  <c r="AN267" i="2" s="1"/>
  <c r="AN166" i="2" l="1"/>
  <c r="CG166" i="3" s="1"/>
  <c r="AN183" i="2"/>
  <c r="AN112" i="5"/>
  <c r="AN140" i="5" s="1"/>
  <c r="CG267" i="3"/>
  <c r="CG165" i="3"/>
  <c r="AM363" i="1" l="1"/>
  <c r="AM364" i="1" s="1"/>
  <c r="AM375" i="1"/>
  <c r="CG183" i="3"/>
  <c r="AN208" i="2"/>
  <c r="AN184" i="2"/>
  <c r="AN399" i="5" l="1"/>
  <c r="CG184" i="3"/>
  <c r="AN94" i="4"/>
  <c r="AN266" i="2"/>
  <c r="AN397" i="5"/>
  <c r="AN85" i="5"/>
  <c r="AN342" i="5" s="1"/>
  <c r="AN191" i="2"/>
  <c r="AM378" i="1"/>
  <c r="CG208" i="3"/>
  <c r="AN212" i="2"/>
  <c r="AM374" i="1"/>
  <c r="AM377" i="1" s="1"/>
  <c r="AM367" i="1"/>
  <c r="AN271" i="2" l="1"/>
  <c r="AN86" i="4" s="1"/>
  <c r="AN270" i="2"/>
  <c r="CG191" i="3"/>
  <c r="AN193" i="2"/>
  <c r="CG266" i="3"/>
  <c r="AM382" i="1"/>
  <c r="AM384" i="1" s="1"/>
  <c r="AN225" i="2"/>
  <c r="CG225" i="3" s="1"/>
  <c r="CG212" i="3"/>
  <c r="AN218" i="2"/>
  <c r="CG218" i="3" l="1"/>
  <c r="AN220" i="2"/>
  <c r="AN222" i="2"/>
  <c r="CG222" i="3" s="1"/>
  <c r="AN221" i="2"/>
  <c r="CG221" i="3" s="1"/>
  <c r="CG270" i="3"/>
  <c r="AN86" i="5"/>
  <c r="AN343" i="5" s="1"/>
  <c r="AN32" i="4"/>
  <c r="AP33" i="4" s="1"/>
  <c r="AN196" i="2"/>
  <c r="AN197" i="2"/>
  <c r="AN195" i="2"/>
  <c r="AN199" i="2"/>
  <c r="AN198" i="2"/>
  <c r="CG193" i="3"/>
  <c r="AN200" i="2"/>
  <c r="AN201" i="2"/>
  <c r="AN88" i="4" l="1"/>
  <c r="AN273" i="2" s="1"/>
  <c r="AN89" i="4"/>
  <c r="AN274" i="2" s="1"/>
  <c r="CG198" i="3"/>
  <c r="G339" i="1"/>
  <c r="AN316" i="4"/>
  <c r="N292" i="1" s="1"/>
  <c r="H339" i="1"/>
  <c r="AN317" i="4"/>
  <c r="O292" i="1" s="1"/>
  <c r="CG199" i="3"/>
  <c r="AN313" i="4"/>
  <c r="K292" i="1" s="1"/>
  <c r="CG195" i="3"/>
  <c r="AN202" i="2"/>
  <c r="D339" i="1"/>
  <c r="AN315" i="4"/>
  <c r="M292" i="1" s="1"/>
  <c r="CG197" i="3"/>
  <c r="F339" i="1"/>
  <c r="CG201" i="3"/>
  <c r="AN204" i="2"/>
  <c r="J339" i="1"/>
  <c r="CG196" i="3"/>
  <c r="E339" i="1"/>
  <c r="AN314" i="4"/>
  <c r="L292" i="1" s="1"/>
  <c r="AP58" i="4"/>
  <c r="AP55" i="4"/>
  <c r="AP56" i="4"/>
  <c r="AP54" i="4"/>
  <c r="AP57" i="4"/>
  <c r="CG220" i="3"/>
  <c r="AN223" i="2"/>
  <c r="CG200" i="3"/>
  <c r="I339" i="1"/>
  <c r="AN318" i="4"/>
  <c r="P292" i="1" s="1"/>
  <c r="AP59" i="4" l="1"/>
  <c r="AN515" i="2"/>
  <c r="CG515" i="3" s="1"/>
  <c r="AM394" i="1"/>
  <c r="CG204" i="3"/>
  <c r="CG223" i="3"/>
  <c r="AN227" i="2"/>
  <c r="AN145" i="2" s="1"/>
  <c r="C339" i="1"/>
  <c r="CG202" i="3"/>
  <c r="AN87" i="5"/>
  <c r="AN344" i="5" s="1"/>
  <c r="AM370" i="1"/>
  <c r="AN203" i="2"/>
  <c r="AP61" i="4" l="1"/>
  <c r="AP272" i="2"/>
  <c r="AP60" i="4"/>
  <c r="K339" i="1"/>
  <c r="AN88" i="5"/>
  <c r="CG203" i="3"/>
  <c r="AN516" i="2"/>
  <c r="J292" i="1"/>
  <c r="AN422" i="2"/>
  <c r="AM385" i="1"/>
  <c r="AM386" i="1" s="1"/>
  <c r="CG227" i="3"/>
  <c r="AN89" i="5"/>
  <c r="AN345" i="5" s="1"/>
  <c r="AM393" i="1"/>
  <c r="AM371" i="1"/>
  <c r="AM372" i="1" s="1"/>
  <c r="AN228" i="2"/>
  <c r="CG228" i="3" s="1"/>
  <c r="AO302" i="2"/>
  <c r="CH302" i="3" s="1"/>
  <c r="CG145" i="3"/>
  <c r="Z42" i="9"/>
  <c r="AN148" i="2"/>
  <c r="AN244" i="2"/>
  <c r="AN229" i="2"/>
  <c r="AN17" i="5"/>
  <c r="AN146" i="2"/>
  <c r="AN484" i="2"/>
  <c r="CG244" i="3" l="1"/>
  <c r="AN245" i="2"/>
  <c r="AN248" i="2"/>
  <c r="AO8" i="2"/>
  <c r="CG148" i="3"/>
  <c r="Z138" i="9"/>
  <c r="AJ42" i="9"/>
  <c r="AL42" i="9" s="1"/>
  <c r="CG229" i="3"/>
  <c r="AN90" i="5"/>
  <c r="AN346" i="5" s="1"/>
  <c r="CG422" i="3"/>
  <c r="AN424" i="2"/>
  <c r="CG424" i="3" s="1"/>
  <c r="AN485" i="2"/>
  <c r="CG484" i="3"/>
  <c r="CG146" i="3"/>
  <c r="AN109" i="5"/>
  <c r="CG516" i="3"/>
  <c r="AN384" i="5"/>
  <c r="AN213" i="5"/>
  <c r="AN18" i="5"/>
  <c r="AM373" i="1"/>
  <c r="AJ138" i="9" l="1"/>
  <c r="AL138" i="9"/>
  <c r="AN486" i="2"/>
  <c r="CG486" i="3" s="1"/>
  <c r="AO372" i="5"/>
  <c r="AO374" i="5" s="1"/>
  <c r="I293" i="1"/>
  <c r="AO390" i="2"/>
  <c r="CH8" i="3"/>
  <c r="AO19" i="2"/>
  <c r="F43" i="9"/>
  <c r="AO450" i="2"/>
  <c r="AO447" i="2"/>
  <c r="AO20" i="2"/>
  <c r="AN389" i="1"/>
  <c r="AO84" i="2"/>
  <c r="CG248" i="3"/>
  <c r="AN259" i="2"/>
  <c r="BT42" i="9"/>
  <c r="AN19" i="5"/>
  <c r="AN214" i="5"/>
  <c r="CG245" i="3"/>
  <c r="AN260" i="2"/>
  <c r="CG260" i="3" s="1"/>
  <c r="CG485" i="3"/>
  <c r="AN425" i="2"/>
  <c r="CG425" i="3" s="1"/>
  <c r="AO10" i="5" l="1"/>
  <c r="AO206" i="5" s="1"/>
  <c r="AO232" i="2"/>
  <c r="CH232" i="3" s="1"/>
  <c r="AO364" i="5"/>
  <c r="AO366" i="5" s="1"/>
  <c r="CH19" i="3"/>
  <c r="AO238" i="2"/>
  <c r="AO15" i="5"/>
  <c r="AO212" i="5" s="1"/>
  <c r="CH84" i="3"/>
  <c r="AO85" i="2"/>
  <c r="AO391" i="2"/>
  <c r="AO392" i="2"/>
  <c r="AO394" i="2"/>
  <c r="AO393" i="2"/>
  <c r="CH390" i="3"/>
  <c r="CH447" i="3"/>
  <c r="BT138" i="9"/>
  <c r="BY42" i="9"/>
  <c r="BY138" i="9" s="1"/>
  <c r="CH450" i="3"/>
  <c r="AN261" i="2"/>
  <c r="CG261" i="3" s="1"/>
  <c r="CG259" i="3"/>
  <c r="AN368" i="5"/>
  <c r="AN370" i="5" s="1"/>
  <c r="AN144" i="5" s="1"/>
  <c r="AN215" i="5"/>
  <c r="AN20" i="5"/>
  <c r="K43" i="9"/>
  <c r="F139" i="9"/>
  <c r="K139" i="9" l="1"/>
  <c r="AD43" i="9"/>
  <c r="AD139" i="9" s="1"/>
  <c r="CH238" i="3"/>
  <c r="AO240" i="2"/>
  <c r="CH393" i="3"/>
  <c r="AO395" i="2"/>
  <c r="CH391" i="3"/>
  <c r="CH394" i="3"/>
  <c r="CH85" i="3"/>
  <c r="AO470" i="2"/>
  <c r="CH470" i="3" s="1"/>
  <c r="AO290" i="2"/>
  <c r="CH290" i="3" s="1"/>
  <c r="AO287" i="2"/>
  <c r="CH392" i="3"/>
  <c r="CH240" i="3" l="1"/>
  <c r="AI43" i="9"/>
  <c r="AI139" i="9" s="1"/>
  <c r="AO405" i="2"/>
  <c r="CH405" i="3" s="1"/>
  <c r="CH395" i="3"/>
  <c r="AO396" i="2"/>
  <c r="CH396" i="3" s="1"/>
  <c r="AO303" i="2"/>
  <c r="CH287" i="3"/>
  <c r="CH303" i="3" l="1"/>
  <c r="AO95" i="2"/>
  <c r="AO249" i="2" l="1"/>
  <c r="AP9" i="2"/>
  <c r="AO320" i="2"/>
  <c r="AQ43" i="9"/>
  <c r="AO457" i="2"/>
  <c r="CH95" i="3"/>
  <c r="AO103" i="2"/>
  <c r="CH320" i="3" l="1"/>
  <c r="AO321" i="2"/>
  <c r="CH457" i="3"/>
  <c r="AQ139" i="9"/>
  <c r="AT43" i="9"/>
  <c r="CH249" i="3"/>
  <c r="AP93" i="2"/>
  <c r="AP489" i="2"/>
  <c r="AP96" i="2"/>
  <c r="CI9" i="3"/>
  <c r="AO116" i="2"/>
  <c r="AO331" i="2"/>
  <c r="CH103" i="3"/>
  <c r="AO501" i="2"/>
  <c r="AP10" i="2"/>
  <c r="AW43" i="9"/>
  <c r="AO250" i="2"/>
  <c r="CH250" i="3" s="1"/>
  <c r="AO461" i="2"/>
  <c r="CH461" i="3" s="1"/>
  <c r="AO175" i="2"/>
  <c r="AP100" i="2" l="1"/>
  <c r="CI10" i="3"/>
  <c r="AT139" i="9"/>
  <c r="CH501" i="3"/>
  <c r="AO503" i="2"/>
  <c r="AP310" i="2"/>
  <c r="CI310" i="3" s="1"/>
  <c r="CI96" i="3"/>
  <c r="AR44" i="9"/>
  <c r="AR140" i="9" s="1"/>
  <c r="AE44" i="9"/>
  <c r="AE140" i="9" s="1"/>
  <c r="AO347" i="2"/>
  <c r="BB43" i="9"/>
  <c r="CH116" i="3"/>
  <c r="AP12" i="2"/>
  <c r="AO252" i="2"/>
  <c r="CI489" i="3"/>
  <c r="CI93" i="3"/>
  <c r="AP94" i="2"/>
  <c r="CH321" i="3"/>
  <c r="AP306" i="2"/>
  <c r="H293" i="1"/>
  <c r="A294" i="1" s="1"/>
  <c r="CH175" i="3"/>
  <c r="AO281" i="2"/>
  <c r="AO251" i="2"/>
  <c r="AO117" i="2"/>
  <c r="CH331" i="3"/>
  <c r="AO332" i="2"/>
  <c r="AW139" i="9"/>
  <c r="AY43" i="9"/>
  <c r="AY139" i="9" s="1"/>
  <c r="AP11" i="2"/>
  <c r="BC43" i="9" l="1"/>
  <c r="BC139" i="9" s="1"/>
  <c r="BB139" i="9"/>
  <c r="BU43" i="9"/>
  <c r="BU139" i="9" s="1"/>
  <c r="CH251" i="3"/>
  <c r="AO349" i="2"/>
  <c r="CH348" i="3"/>
  <c r="CH281" i="3"/>
  <c r="CH117" i="3"/>
  <c r="AP13" i="2"/>
  <c r="AP14" i="2" s="1"/>
  <c r="AO348" i="2"/>
  <c r="AO508" i="2"/>
  <c r="BF43" i="9"/>
  <c r="AO253" i="2"/>
  <c r="CH253" i="3" s="1"/>
  <c r="G44" i="9"/>
  <c r="G140" i="9" s="1"/>
  <c r="CI11" i="3"/>
  <c r="AO118" i="2"/>
  <c r="CH252" i="3"/>
  <c r="AP313" i="2"/>
  <c r="CI306" i="3"/>
  <c r="CH332" i="3"/>
  <c r="AP324" i="2"/>
  <c r="AP32" i="2"/>
  <c r="CI12" i="3"/>
  <c r="AP377" i="5"/>
  <c r="AN44" i="9"/>
  <c r="AN140" i="9" s="1"/>
  <c r="CI94" i="3"/>
  <c r="AP293" i="2"/>
  <c r="CI293" i="3" s="1"/>
  <c r="AP456" i="2"/>
  <c r="CI456" i="3" s="1"/>
  <c r="AP308" i="2"/>
  <c r="CI308" i="3" s="1"/>
  <c r="AP491" i="2"/>
  <c r="AP29" i="2"/>
  <c r="AQ92" i="2"/>
  <c r="AO505" i="2"/>
  <c r="CH503" i="3"/>
  <c r="AP102" i="2"/>
  <c r="AP176" i="2" s="1"/>
  <c r="CI100" i="3"/>
  <c r="AP309" i="2" l="1"/>
  <c r="AO390" i="1" s="1"/>
  <c r="CI29" i="3"/>
  <c r="AP317" i="2"/>
  <c r="BF139" i="9"/>
  <c r="BG43" i="9"/>
  <c r="CJ92" i="3"/>
  <c r="CI176" i="3"/>
  <c r="AO357" i="1"/>
  <c r="H44" i="9"/>
  <c r="H140" i="9" s="1"/>
  <c r="CI14" i="3"/>
  <c r="AO510" i="2"/>
  <c r="CH508" i="3"/>
  <c r="CH350" i="3"/>
  <c r="AP335" i="2"/>
  <c r="AP502" i="2"/>
  <c r="CI502" i="3" s="1"/>
  <c r="AP296" i="2"/>
  <c r="CI296" i="3" s="1"/>
  <c r="CI102" i="3"/>
  <c r="AP460" i="2"/>
  <c r="CI460" i="3" s="1"/>
  <c r="AU44" i="9"/>
  <c r="AU140" i="9" s="1"/>
  <c r="AP326" i="2"/>
  <c r="CI326" i="3" s="1"/>
  <c r="AP378" i="5"/>
  <c r="AP379" i="5"/>
  <c r="AP383" i="5" s="1"/>
  <c r="AO254" i="2"/>
  <c r="CH349" i="3"/>
  <c r="AO350" i="2"/>
  <c r="AP336" i="2" s="1"/>
  <c r="AP343" i="2"/>
  <c r="CI344" i="3" s="1"/>
  <c r="CI32" i="3"/>
  <c r="AP33" i="2"/>
  <c r="CI13" i="3"/>
  <c r="AO506" i="2"/>
  <c r="CH505" i="3"/>
  <c r="CI324" i="3"/>
  <c r="AO177" i="2"/>
  <c r="AO464" i="2"/>
  <c r="CH118" i="3"/>
  <c r="AO126" i="2"/>
  <c r="AO135" i="2" s="1"/>
  <c r="CI491" i="3"/>
  <c r="AP493" i="2"/>
  <c r="AP494" i="2"/>
  <c r="CI494" i="3" s="1"/>
  <c r="CI309" i="3" l="1"/>
  <c r="AP327" i="2"/>
  <c r="AP99" i="2" s="1"/>
  <c r="AP18" i="2"/>
  <c r="AO382" i="2"/>
  <c r="AO469" i="2"/>
  <c r="CH469" i="3" s="1"/>
  <c r="CH135" i="3"/>
  <c r="AO258" i="2"/>
  <c r="BO43" i="9"/>
  <c r="AP34" i="2"/>
  <c r="AP344" i="2"/>
  <c r="CI345" i="3" s="1"/>
  <c r="CI33" i="3"/>
  <c r="AO512" i="2"/>
  <c r="CH510" i="3"/>
  <c r="BG139" i="9"/>
  <c r="AP340" i="2"/>
  <c r="CI337" i="3"/>
  <c r="CI493" i="3"/>
  <c r="AP496" i="2"/>
  <c r="CH464" i="3"/>
  <c r="AO282" i="2"/>
  <c r="CH177" i="3"/>
  <c r="BV43" i="9"/>
  <c r="BV139" i="9" s="1"/>
  <c r="CH254" i="3"/>
  <c r="AO363" i="2"/>
  <c r="BI43" i="9"/>
  <c r="AO255" i="2"/>
  <c r="AP15" i="2"/>
  <c r="CH126" i="3"/>
  <c r="AO467" i="2"/>
  <c r="CH467" i="3" s="1"/>
  <c r="CI336" i="3"/>
  <c r="AP339" i="2"/>
  <c r="CI335" i="3"/>
  <c r="CI317" i="3"/>
  <c r="AP319" i="2"/>
  <c r="CI319" i="3" s="1"/>
  <c r="CI327" i="3"/>
  <c r="O44" i="9" l="1"/>
  <c r="O140" i="9" s="1"/>
  <c r="CI34" i="3"/>
  <c r="AP295" i="2"/>
  <c r="CI295" i="3" s="1"/>
  <c r="AP328" i="2"/>
  <c r="AP459" i="2"/>
  <c r="CI459" i="3" s="1"/>
  <c r="CI99" i="3"/>
  <c r="AV44" i="9"/>
  <c r="AV140" i="9" s="1"/>
  <c r="AQ101" i="2"/>
  <c r="CJ101" i="3" s="1"/>
  <c r="AP30" i="2"/>
  <c r="AP114" i="2"/>
  <c r="CI341" i="3"/>
  <c r="BO139" i="9"/>
  <c r="BP43" i="9"/>
  <c r="BP139" i="9" s="1"/>
  <c r="AO472" i="2"/>
  <c r="CH258" i="3"/>
  <c r="BX43" i="9"/>
  <c r="BX139" i="9" s="1"/>
  <c r="AO175" i="5"/>
  <c r="CH282" i="3"/>
  <c r="AO284" i="2"/>
  <c r="AO474" i="2"/>
  <c r="AP17" i="2"/>
  <c r="CI15" i="3"/>
  <c r="AP127" i="2"/>
  <c r="BI139" i="9"/>
  <c r="BL43" i="9"/>
  <c r="CH255" i="3"/>
  <c r="AO257" i="2"/>
  <c r="CH364" i="3"/>
  <c r="AO364" i="2"/>
  <c r="AP353" i="2" s="1"/>
  <c r="CI496" i="3"/>
  <c r="AP497" i="2"/>
  <c r="CH512" i="3"/>
  <c r="AO513" i="2"/>
  <c r="CH382" i="3"/>
  <c r="AO383" i="2"/>
  <c r="AP113" i="2"/>
  <c r="CI340" i="3"/>
  <c r="J44" i="9"/>
  <c r="J140" i="9" s="1"/>
  <c r="AP38" i="2"/>
  <c r="E294" i="1"/>
  <c r="CI18" i="3"/>
  <c r="CH472" i="3" l="1"/>
  <c r="AO28" i="2"/>
  <c r="AO400" i="2"/>
  <c r="AO399" i="2"/>
  <c r="AO401" i="2"/>
  <c r="AO402" i="2"/>
  <c r="AP115" i="2"/>
  <c r="CI113" i="3"/>
  <c r="BA44" i="9"/>
  <c r="BA140" i="9" s="1"/>
  <c r="AP341" i="2"/>
  <c r="CI17" i="3"/>
  <c r="I44" i="9"/>
  <c r="I140" i="9" s="1"/>
  <c r="CH383" i="3"/>
  <c r="AP377" i="2"/>
  <c r="CH474" i="3"/>
  <c r="AO476" i="2"/>
  <c r="CI353" i="3"/>
  <c r="AO391" i="1"/>
  <c r="BW43" i="9"/>
  <c r="BW139" i="9" s="1"/>
  <c r="CH257" i="3"/>
  <c r="CH284" i="3"/>
  <c r="AN359" i="1"/>
  <c r="CI328" i="3"/>
  <c r="BL139" i="9"/>
  <c r="BR43" i="9"/>
  <c r="BR139" i="9" s="1"/>
  <c r="AP342" i="2"/>
  <c r="CI114" i="3"/>
  <c r="BE44" i="9"/>
  <c r="BE140" i="9" s="1"/>
  <c r="CI127" i="3"/>
  <c r="BK44" i="9"/>
  <c r="BK140" i="9" s="1"/>
  <c r="AP355" i="2"/>
  <c r="CI355" i="3" s="1"/>
  <c r="AG44" i="9"/>
  <c r="AG140" i="9" s="1"/>
  <c r="AP329" i="2"/>
  <c r="CI329" i="3" s="1"/>
  <c r="CI30" i="3"/>
  <c r="AP31" i="2"/>
  <c r="AP379" i="2"/>
  <c r="CI379" i="3" s="1"/>
  <c r="Q44" i="9"/>
  <c r="Q140" i="9" s="1"/>
  <c r="CI38" i="3"/>
  <c r="AP173" i="5"/>
  <c r="CI497" i="3"/>
  <c r="AP498" i="2"/>
  <c r="CI498" i="3" s="1"/>
  <c r="CH476" i="3" l="1"/>
  <c r="AO478" i="2"/>
  <c r="CI31" i="3"/>
  <c r="N44" i="9"/>
  <c r="N140" i="9" s="1"/>
  <c r="AP439" i="2"/>
  <c r="CI439" i="3" s="1"/>
  <c r="AP298" i="2"/>
  <c r="CI298" i="3" s="1"/>
  <c r="AP462" i="2"/>
  <c r="CI462" i="3" s="1"/>
  <c r="CI115" i="3"/>
  <c r="CI343" i="3"/>
  <c r="AP346" i="2"/>
  <c r="CI347" i="3" s="1"/>
  <c r="AP381" i="2"/>
  <c r="CI381" i="3" s="1"/>
  <c r="CI377" i="3"/>
  <c r="CH402" i="3"/>
  <c r="AO411" i="2"/>
  <c r="CH401" i="3"/>
  <c r="AO410" i="2"/>
  <c r="CH399" i="3"/>
  <c r="AO403" i="2"/>
  <c r="CH403" i="3" s="1"/>
  <c r="AO408" i="2"/>
  <c r="AP330" i="2"/>
  <c r="CI330" i="3" s="1"/>
  <c r="AP357" i="2"/>
  <c r="CH400" i="3"/>
  <c r="AO409" i="2"/>
  <c r="CI342" i="3"/>
  <c r="AP345" i="2"/>
  <c r="CI346" i="3" s="1"/>
  <c r="AO139" i="2"/>
  <c r="CH139" i="3" s="1"/>
  <c r="AO11" i="5"/>
  <c r="AO207" i="5" s="1"/>
  <c r="AO438" i="2"/>
  <c r="AO241" i="2"/>
  <c r="CH241" i="3" s="1"/>
  <c r="M43" i="9"/>
  <c r="AO169" i="2"/>
  <c r="AO71" i="2"/>
  <c r="AO390" i="5"/>
  <c r="CH28" i="3"/>
  <c r="AN354" i="1" l="1"/>
  <c r="CH169" i="3"/>
  <c r="CH409" i="3"/>
  <c r="AO416" i="2"/>
  <c r="CH416" i="3" s="1"/>
  <c r="M139" i="9"/>
  <c r="W43" i="9"/>
  <c r="AP121" i="2"/>
  <c r="CI358" i="3"/>
  <c r="CH411" i="3"/>
  <c r="AO418" i="2"/>
  <c r="CH418" i="3" s="1"/>
  <c r="CH438" i="3"/>
  <c r="AO444" i="2"/>
  <c r="CH444" i="3" s="1"/>
  <c r="CH408" i="3"/>
  <c r="AO415" i="2"/>
  <c r="AO412" i="2"/>
  <c r="CH412" i="3" s="1"/>
  <c r="AO394" i="5"/>
  <c r="AO391" i="5"/>
  <c r="AO395" i="5" s="1"/>
  <c r="CH478" i="3"/>
  <c r="AO480" i="2"/>
  <c r="AO386" i="5"/>
  <c r="AO388" i="5" s="1"/>
  <c r="AN368" i="1"/>
  <c r="CH71" i="3"/>
  <c r="CH410" i="3"/>
  <c r="AO417" i="2"/>
  <c r="W139" i="9" l="1"/>
  <c r="AO413" i="2"/>
  <c r="AO170" i="2"/>
  <c r="CH417" i="3"/>
  <c r="CH480" i="3"/>
  <c r="AO481" i="2"/>
  <c r="CI121" i="3"/>
  <c r="AP358" i="2"/>
  <c r="AO419" i="2"/>
  <c r="CH419" i="3" s="1"/>
  <c r="CH415" i="3"/>
  <c r="AO420" i="2" l="1"/>
  <c r="CH420" i="3" s="1"/>
  <c r="CH481" i="3"/>
  <c r="AO482" i="2"/>
  <c r="CH482" i="3" s="1"/>
  <c r="CI359" i="3"/>
  <c r="AP359" i="2"/>
  <c r="AO210" i="2"/>
  <c r="AN355" i="1"/>
  <c r="AO268" i="2"/>
  <c r="CH268" i="3" s="1"/>
  <c r="CH170" i="3"/>
  <c r="AO192" i="2"/>
  <c r="AO171" i="2"/>
  <c r="CH171" i="3" l="1"/>
  <c r="AN356" i="1"/>
  <c r="AN361" i="1" s="1"/>
  <c r="CH192" i="3"/>
  <c r="AN366" i="1"/>
  <c r="CI360" i="3"/>
  <c r="AP122" i="2"/>
  <c r="AN380" i="1"/>
  <c r="CH210" i="3"/>
  <c r="AO182" i="2"/>
  <c r="AP360" i="2" l="1"/>
  <c r="CI122" i="3"/>
  <c r="AP123" i="2"/>
  <c r="AO207" i="2"/>
  <c r="CH182" i="3"/>
  <c r="AO153" i="2"/>
  <c r="CI123" i="3" l="1"/>
  <c r="AP125" i="2"/>
  <c r="BH44" i="9"/>
  <c r="BH140" i="9" s="1"/>
  <c r="AP35" i="2"/>
  <c r="CH207" i="3"/>
  <c r="CH153" i="3"/>
  <c r="AO154" i="2"/>
  <c r="CI361" i="3"/>
  <c r="AP361" i="2" l="1"/>
  <c r="CI35" i="3"/>
  <c r="AP37" i="2"/>
  <c r="CH154" i="3"/>
  <c r="AO156" i="2"/>
  <c r="CI125" i="3"/>
  <c r="AP466" i="2"/>
  <c r="CI466" i="3" s="1"/>
  <c r="AP299" i="2"/>
  <c r="CI299" i="3" s="1"/>
  <c r="AO158" i="2" l="1"/>
  <c r="CH156" i="3"/>
  <c r="AO159" i="2"/>
  <c r="AP440" i="2"/>
  <c r="CI440" i="3" s="1"/>
  <c r="P44" i="9"/>
  <c r="P140" i="9" s="1"/>
  <c r="CI37" i="3"/>
  <c r="CI362" i="3"/>
  <c r="CI356" i="3"/>
  <c r="AP362" i="2"/>
  <c r="CI363" i="3" s="1"/>
  <c r="CH159" i="3" l="1"/>
  <c r="AO160" i="2"/>
  <c r="AO162" i="2"/>
  <c r="CH162" i="3" s="1"/>
  <c r="CH158" i="3"/>
  <c r="CH160" i="3" l="1"/>
  <c r="AO161" i="2"/>
  <c r="CH161" i="3" l="1"/>
  <c r="AO163" i="2"/>
  <c r="AO165" i="2" l="1"/>
  <c r="AO267" i="2" s="1"/>
  <c r="CH163" i="3"/>
  <c r="AO166" i="2" l="1"/>
  <c r="CH166" i="3" s="1"/>
  <c r="AO112" i="5"/>
  <c r="AO140" i="5" s="1"/>
  <c r="AO183" i="2"/>
  <c r="CH267" i="3"/>
  <c r="CH165" i="3"/>
  <c r="AN375" i="1" l="1"/>
  <c r="AN363" i="1"/>
  <c r="AN364" i="1" s="1"/>
  <c r="CH183" i="3"/>
  <c r="AO208" i="2"/>
  <c r="AO184" i="2"/>
  <c r="AO85" i="5" l="1"/>
  <c r="AO342" i="5" s="1"/>
  <c r="AO266" i="2"/>
  <c r="CH184" i="3"/>
  <c r="AO399" i="5"/>
  <c r="AO397" i="5"/>
  <c r="AO191" i="2"/>
  <c r="AO94" i="4"/>
  <c r="CH208" i="3"/>
  <c r="AN378" i="1"/>
  <c r="AO212" i="2"/>
  <c r="AN374" i="1"/>
  <c r="AN377" i="1" s="1"/>
  <c r="AN367" i="1"/>
  <c r="AO270" i="2" l="1"/>
  <c r="AO271" i="2"/>
  <c r="AO86" i="4" s="1"/>
  <c r="AN382" i="1"/>
  <c r="AN384" i="1" s="1"/>
  <c r="CH191" i="3"/>
  <c r="AO193" i="2"/>
  <c r="CH212" i="3"/>
  <c r="AO218" i="2"/>
  <c r="AO225" i="2"/>
  <c r="CH225" i="3" s="1"/>
  <c r="CH266" i="3"/>
  <c r="CH218" i="3" l="1"/>
  <c r="AO222" i="2"/>
  <c r="CH222" i="3" s="1"/>
  <c r="AO221" i="2"/>
  <c r="CH221" i="3" s="1"/>
  <c r="AO220" i="2"/>
  <c r="AO32" i="4"/>
  <c r="AQ33" i="4" s="1"/>
  <c r="AO86" i="5"/>
  <c r="AO343" i="5" s="1"/>
  <c r="CH270" i="3"/>
  <c r="AO195" i="2"/>
  <c r="AO201" i="2"/>
  <c r="AO197" i="2"/>
  <c r="AO200" i="2"/>
  <c r="AO198" i="2"/>
  <c r="AO196" i="2"/>
  <c r="CH193" i="3"/>
  <c r="AO199" i="2"/>
  <c r="AO88" i="4" l="1"/>
  <c r="AO273" i="2" s="1"/>
  <c r="AO89" i="4"/>
  <c r="AO274" i="2" s="1"/>
  <c r="CH196" i="3"/>
  <c r="AO314" i="4"/>
  <c r="L293" i="1" s="1"/>
  <c r="E340" i="1"/>
  <c r="G340" i="1"/>
  <c r="CH198" i="3"/>
  <c r="AO316" i="4"/>
  <c r="N293" i="1" s="1"/>
  <c r="AQ54" i="4"/>
  <c r="AQ55" i="4"/>
  <c r="AQ58" i="4"/>
  <c r="AQ57" i="4"/>
  <c r="AQ56" i="4"/>
  <c r="AO318" i="4"/>
  <c r="P293" i="1" s="1"/>
  <c r="CH200" i="3"/>
  <c r="I340" i="1"/>
  <c r="CH220" i="3"/>
  <c r="AO223" i="2"/>
  <c r="CH201" i="3"/>
  <c r="J340" i="1"/>
  <c r="AO204" i="2"/>
  <c r="D340" i="1"/>
  <c r="AO313" i="4"/>
  <c r="K293" i="1" s="1"/>
  <c r="CH195" i="3"/>
  <c r="AO202" i="2"/>
  <c r="AO315" i="4"/>
  <c r="M293" i="1" s="1"/>
  <c r="CH197" i="3"/>
  <c r="F340" i="1"/>
  <c r="CH199" i="3"/>
  <c r="H340" i="1"/>
  <c r="AO317" i="4"/>
  <c r="O293" i="1" s="1"/>
  <c r="AO227" i="2" l="1"/>
  <c r="AO145" i="2" s="1"/>
  <c r="CH223" i="3"/>
  <c r="AN370" i="1"/>
  <c r="CH202" i="3"/>
  <c r="AO87" i="5"/>
  <c r="AO344" i="5" s="1"/>
  <c r="AO203" i="2"/>
  <c r="AQ59" i="4"/>
  <c r="C340" i="1"/>
  <c r="AN394" i="1"/>
  <c r="AO515" i="2"/>
  <c r="CH515" i="3" s="1"/>
  <c r="CH204" i="3"/>
  <c r="AO422" i="2" l="1"/>
  <c r="AO424" i="2" s="1"/>
  <c r="CH424" i="3" s="1"/>
  <c r="K340" i="1"/>
  <c r="AQ61" i="4"/>
  <c r="AQ272" i="2"/>
  <c r="CH422" i="3"/>
  <c r="AO146" i="2"/>
  <c r="AP302" i="2"/>
  <c r="CI302" i="3" s="1"/>
  <c r="AO17" i="5"/>
  <c r="AO229" i="2"/>
  <c r="Z43" i="9"/>
  <c r="AO148" i="2"/>
  <c r="CH145" i="3"/>
  <c r="AO244" i="2"/>
  <c r="AO88" i="5"/>
  <c r="J293" i="1"/>
  <c r="AO516" i="2"/>
  <c r="CH203" i="3"/>
  <c r="AQ60" i="4"/>
  <c r="AO484" i="2"/>
  <c r="AO89" i="5"/>
  <c r="AO345" i="5" s="1"/>
  <c r="AN385" i="1"/>
  <c r="AN386" i="1" s="1"/>
  <c r="AN371" i="1"/>
  <c r="AN372" i="1" s="1"/>
  <c r="AN393" i="1"/>
  <c r="CH227" i="3"/>
  <c r="AO228" i="2"/>
  <c r="CH228" i="3" s="1"/>
  <c r="CH148" i="3" l="1"/>
  <c r="AO248" i="2"/>
  <c r="AP8" i="2"/>
  <c r="CH516" i="3"/>
  <c r="AO384" i="5"/>
  <c r="AO213" i="5"/>
  <c r="AO18" i="5"/>
  <c r="Z139" i="9"/>
  <c r="AJ43" i="9"/>
  <c r="AL43" i="9" s="1"/>
  <c r="CH146" i="3"/>
  <c r="AO109" i="5"/>
  <c r="CH484" i="3"/>
  <c r="AO485" i="2"/>
  <c r="CH244" i="3"/>
  <c r="AO245" i="2"/>
  <c r="AO90" i="5"/>
  <c r="AO346" i="5" s="1"/>
  <c r="CH229" i="3"/>
  <c r="AN373" i="1" l="1"/>
  <c r="CH245" i="3"/>
  <c r="AO260" i="2"/>
  <c r="CH260" i="3" s="1"/>
  <c r="AP450" i="2"/>
  <c r="AO486" i="2"/>
  <c r="CH486" i="3" s="1"/>
  <c r="AP84" i="2"/>
  <c r="AP20" i="2"/>
  <c r="AO389" i="1"/>
  <c r="AP447" i="2"/>
  <c r="CI8" i="3"/>
  <c r="AP19" i="2"/>
  <c r="AP390" i="2"/>
  <c r="F44" i="9"/>
  <c r="AP372" i="5"/>
  <c r="AP374" i="5" s="1"/>
  <c r="I294" i="1"/>
  <c r="AO19" i="5"/>
  <c r="AO214" i="5"/>
  <c r="AO259" i="2"/>
  <c r="CH248" i="3"/>
  <c r="BT43" i="9"/>
  <c r="CH485" i="3"/>
  <c r="AO425" i="2"/>
  <c r="CH425" i="3" s="1"/>
  <c r="AL139" i="9"/>
  <c r="AJ139" i="9"/>
  <c r="CI84" i="3" l="1"/>
  <c r="AP238" i="2"/>
  <c r="AP85" i="2"/>
  <c r="AP15" i="5"/>
  <c r="AP212" i="5" s="1"/>
  <c r="F140" i="9"/>
  <c r="K44" i="9"/>
  <c r="AP391" i="2"/>
  <c r="AP394" i="2"/>
  <c r="AP393" i="2"/>
  <c r="CI390" i="3"/>
  <c r="AP392" i="2"/>
  <c r="CI450" i="3"/>
  <c r="AP364" i="5"/>
  <c r="AP366" i="5" s="1"/>
  <c r="AP10" i="5"/>
  <c r="AP206" i="5" s="1"/>
  <c r="CI19" i="3"/>
  <c r="AP232" i="2"/>
  <c r="CI232" i="3" s="1"/>
  <c r="BT139" i="9"/>
  <c r="BY43" i="9"/>
  <c r="BY139" i="9" s="1"/>
  <c r="AO215" i="5"/>
  <c r="AO20" i="5"/>
  <c r="AO368" i="5"/>
  <c r="AO370" i="5" s="1"/>
  <c r="AO144" i="5" s="1"/>
  <c r="CH259" i="3"/>
  <c r="AO261" i="2"/>
  <c r="CH261" i="3" s="1"/>
  <c r="CI447" i="3"/>
  <c r="K140" i="9" l="1"/>
  <c r="CI394" i="3"/>
  <c r="CI392" i="3"/>
  <c r="AP470" i="2"/>
  <c r="CI470" i="3" s="1"/>
  <c r="AP290" i="2"/>
  <c r="CI290" i="3" s="1"/>
  <c r="CI85" i="3"/>
  <c r="AP287" i="2"/>
  <c r="CI238" i="3"/>
  <c r="AP240" i="2"/>
  <c r="AD44" i="9"/>
  <c r="AD140" i="9" s="1"/>
  <c r="CI391" i="3"/>
  <c r="AP395" i="2"/>
  <c r="CI393" i="3"/>
  <c r="AP396" i="2" l="1"/>
  <c r="CI396" i="3" s="1"/>
  <c r="AP405" i="2"/>
  <c r="CI405" i="3" s="1"/>
  <c r="CI395" i="3"/>
  <c r="AP303" i="2"/>
  <c r="CI287" i="3"/>
  <c r="CI240" i="3"/>
  <c r="AI44" i="9"/>
  <c r="AI140" i="9" s="1"/>
  <c r="CI303" i="3" l="1"/>
  <c r="AP95" i="2"/>
  <c r="CI95" i="3" l="1"/>
  <c r="AQ44" i="9"/>
  <c r="AP320" i="2"/>
  <c r="AP249" i="2"/>
  <c r="AQ9" i="2"/>
  <c r="AP457" i="2"/>
  <c r="AP103" i="2"/>
  <c r="AP175" i="2" s="1"/>
  <c r="CI457" i="3" l="1"/>
  <c r="AQ93" i="2"/>
  <c r="AQ489" i="2"/>
  <c r="AQ96" i="2"/>
  <c r="CJ9" i="3"/>
  <c r="AP321" i="2"/>
  <c r="CI320" i="3"/>
  <c r="CI249" i="3"/>
  <c r="AQ140" i="9"/>
  <c r="AT44" i="9"/>
  <c r="AP281" i="2"/>
  <c r="CI175" i="3"/>
  <c r="AP116" i="2"/>
  <c r="AP117" i="2" s="1"/>
  <c r="AP331" i="2"/>
  <c r="AQ10" i="2"/>
  <c r="AQ11" i="2" s="1"/>
  <c r="AP501" i="2"/>
  <c r="AP250" i="2"/>
  <c r="CI250" i="3" s="1"/>
  <c r="AW44" i="9"/>
  <c r="CI103" i="3"/>
  <c r="AP461" i="2"/>
  <c r="CI461" i="3" s="1"/>
  <c r="AP251" i="2" l="1"/>
  <c r="BU44" i="9" s="1"/>
  <c r="BU140" i="9" s="1"/>
  <c r="AP348" i="2"/>
  <c r="CI117" i="3"/>
  <c r="AP508" i="2"/>
  <c r="AP253" i="2"/>
  <c r="CI253" i="3" s="1"/>
  <c r="AQ13" i="2"/>
  <c r="BF44" i="9"/>
  <c r="CJ11" i="3"/>
  <c r="G45" i="9"/>
  <c r="G141" i="9" s="1"/>
  <c r="AQ310" i="2"/>
  <c r="CJ310" i="3" s="1"/>
  <c r="AR45" i="9"/>
  <c r="AR141" i="9" s="1"/>
  <c r="CJ96" i="3"/>
  <c r="AE45" i="9"/>
  <c r="AE141" i="9" s="1"/>
  <c r="CJ489" i="3"/>
  <c r="CI331" i="3"/>
  <c r="AP332" i="2"/>
  <c r="CJ93" i="3"/>
  <c r="AQ94" i="2"/>
  <c r="AP252" i="2"/>
  <c r="BB44" i="9"/>
  <c r="CI116" i="3"/>
  <c r="AP347" i="2"/>
  <c r="AQ12" i="2"/>
  <c r="AP118" i="2"/>
  <c r="AQ100" i="2"/>
  <c r="CJ10" i="3"/>
  <c r="AQ306" i="2"/>
  <c r="H294" i="1"/>
  <c r="A295" i="1" s="1"/>
  <c r="CI321" i="3"/>
  <c r="CI281" i="3"/>
  <c r="AP503" i="2"/>
  <c r="CI501" i="3"/>
  <c r="AW140" i="9"/>
  <c r="AY44" i="9"/>
  <c r="AY140" i="9" s="1"/>
  <c r="AT140" i="9"/>
  <c r="CI251" i="3"/>
  <c r="CJ12" i="3" l="1"/>
  <c r="AQ32" i="2"/>
  <c r="AQ14" i="2"/>
  <c r="CI348" i="3"/>
  <c r="AP349" i="2"/>
  <c r="CJ306" i="3"/>
  <c r="CI503" i="3"/>
  <c r="AP505" i="2"/>
  <c r="BF140" i="9"/>
  <c r="BG44" i="9"/>
  <c r="BG140" i="9" s="1"/>
  <c r="BB140" i="9"/>
  <c r="BC44" i="9"/>
  <c r="AQ33" i="2"/>
  <c r="CJ13" i="3"/>
  <c r="CI252" i="3"/>
  <c r="AP254" i="2"/>
  <c r="AQ102" i="2"/>
  <c r="AQ379" i="5" s="1"/>
  <c r="AQ383" i="5" s="1"/>
  <c r="CJ100" i="3"/>
  <c r="AQ456" i="2"/>
  <c r="CJ456" i="3" s="1"/>
  <c r="AQ308" i="2"/>
  <c r="CJ308" i="3" s="1"/>
  <c r="AQ293" i="2"/>
  <c r="CJ293" i="3" s="1"/>
  <c r="CJ94" i="3"/>
  <c r="AN45" i="9"/>
  <c r="AN141" i="9" s="1"/>
  <c r="AQ377" i="5"/>
  <c r="AQ176" i="2"/>
  <c r="AQ491" i="2"/>
  <c r="AR92" i="2"/>
  <c r="AQ29" i="2"/>
  <c r="CI508" i="3"/>
  <c r="AP510" i="2"/>
  <c r="CI118" i="3"/>
  <c r="AP177" i="2"/>
  <c r="AP464" i="2"/>
  <c r="AP126" i="2"/>
  <c r="AQ324" i="2"/>
  <c r="CI332" i="3"/>
  <c r="CI349" i="3"/>
  <c r="AP350" i="2"/>
  <c r="AQ336" i="2" s="1"/>
  <c r="AQ34" i="2" l="1"/>
  <c r="AQ344" i="2"/>
  <c r="CJ345" i="3" s="1"/>
  <c r="CJ33" i="3"/>
  <c r="BC140" i="9"/>
  <c r="AQ309" i="2"/>
  <c r="AQ317" i="2"/>
  <c r="CJ317" i="3" s="1"/>
  <c r="CJ29" i="3"/>
  <c r="CI464" i="3"/>
  <c r="AQ313" i="2"/>
  <c r="CI126" i="3"/>
  <c r="AP363" i="2"/>
  <c r="AQ15" i="2"/>
  <c r="AP255" i="2"/>
  <c r="AP467" i="2"/>
  <c r="CI467" i="3" s="1"/>
  <c r="BI44" i="9"/>
  <c r="CI350" i="3"/>
  <c r="AQ335" i="2"/>
  <c r="CJ337" i="3"/>
  <c r="AQ340" i="2"/>
  <c r="CJ176" i="3"/>
  <c r="AP357" i="1"/>
  <c r="AU45" i="9"/>
  <c r="AU141" i="9" s="1"/>
  <c r="CJ102" i="3"/>
  <c r="AQ502" i="2"/>
  <c r="CJ502" i="3" s="1"/>
  <c r="AQ326" i="2"/>
  <c r="CJ326" i="3" s="1"/>
  <c r="AQ296" i="2"/>
  <c r="CJ296" i="3" s="1"/>
  <c r="AQ378" i="5"/>
  <c r="AQ460" i="2"/>
  <c r="CJ460" i="3" s="1"/>
  <c r="CI177" i="3"/>
  <c r="AP282" i="2"/>
  <c r="AP512" i="2"/>
  <c r="CI510" i="3"/>
  <c r="CI254" i="3"/>
  <c r="BV44" i="9"/>
  <c r="BV140" i="9" s="1"/>
  <c r="CI505" i="3"/>
  <c r="AP506" i="2"/>
  <c r="H45" i="9"/>
  <c r="H141" i="9" s="1"/>
  <c r="CJ14" i="3"/>
  <c r="AP135" i="2"/>
  <c r="AQ343" i="2"/>
  <c r="CJ344" i="3" s="1"/>
  <c r="CJ32" i="3"/>
  <c r="CK92" i="3"/>
  <c r="CJ491" i="3"/>
  <c r="AQ493" i="2"/>
  <c r="AQ494" i="2"/>
  <c r="CJ494" i="3" s="1"/>
  <c r="CJ324" i="3"/>
  <c r="AQ327" i="2"/>
  <c r="AQ319" i="2"/>
  <c r="CJ319" i="3" s="1"/>
  <c r="AQ114" i="2" l="1"/>
  <c r="CJ341" i="3"/>
  <c r="CI364" i="3"/>
  <c r="AP364" i="2"/>
  <c r="AQ353" i="2" s="1"/>
  <c r="CJ335" i="3"/>
  <c r="CJ336" i="3"/>
  <c r="AQ339" i="2"/>
  <c r="CJ309" i="3"/>
  <c r="AP390" i="1"/>
  <c r="AP258" i="2"/>
  <c r="AP469" i="2"/>
  <c r="AP382" i="2"/>
  <c r="AQ18" i="2"/>
  <c r="BO44" i="9"/>
  <c r="CI135" i="3"/>
  <c r="AP513" i="2"/>
  <c r="CI512" i="3"/>
  <c r="CI282" i="3"/>
  <c r="AP284" i="2"/>
  <c r="BI140" i="9"/>
  <c r="BL44" i="9"/>
  <c r="CJ327" i="3"/>
  <c r="AQ99" i="2"/>
  <c r="AQ496" i="2"/>
  <c r="CJ493" i="3"/>
  <c r="AP257" i="2"/>
  <c r="CI255" i="3"/>
  <c r="AQ17" i="2"/>
  <c r="AQ127" i="2"/>
  <c r="CJ15" i="3"/>
  <c r="CJ34" i="3"/>
  <c r="O45" i="9"/>
  <c r="O141" i="9" s="1"/>
  <c r="AQ328" i="2" l="1"/>
  <c r="AV45" i="9"/>
  <c r="AV141" i="9" s="1"/>
  <c r="AQ295" i="2"/>
  <c r="CJ295" i="3" s="1"/>
  <c r="CJ99" i="3"/>
  <c r="AQ459" i="2"/>
  <c r="CJ459" i="3" s="1"/>
  <c r="AQ30" i="2"/>
  <c r="AR101" i="2"/>
  <c r="CK101" i="3" s="1"/>
  <c r="BO140" i="9"/>
  <c r="BP44" i="9"/>
  <c r="BP140" i="9" s="1"/>
  <c r="CJ340" i="3"/>
  <c r="AQ113" i="2"/>
  <c r="BL140" i="9"/>
  <c r="E295" i="1"/>
  <c r="CJ18" i="3"/>
  <c r="J45" i="9"/>
  <c r="J141" i="9" s="1"/>
  <c r="AQ38" i="2"/>
  <c r="I45" i="9"/>
  <c r="I141" i="9" s="1"/>
  <c r="CJ17" i="3"/>
  <c r="AP383" i="2"/>
  <c r="CI382" i="3"/>
  <c r="AG45" i="9"/>
  <c r="AG141" i="9" s="1"/>
  <c r="CJ127" i="3"/>
  <c r="AQ355" i="2"/>
  <c r="CJ355" i="3" s="1"/>
  <c r="BK45" i="9"/>
  <c r="BK141" i="9" s="1"/>
  <c r="CI284" i="3"/>
  <c r="AO359" i="1"/>
  <c r="CI469" i="3"/>
  <c r="AP472" i="2"/>
  <c r="AP474" i="2"/>
  <c r="CJ353" i="3"/>
  <c r="AP391" i="1"/>
  <c r="CI257" i="3"/>
  <c r="BW44" i="9"/>
  <c r="BW140" i="9" s="1"/>
  <c r="CI258" i="3"/>
  <c r="AP175" i="5"/>
  <c r="BX44" i="9"/>
  <c r="BX140" i="9" s="1"/>
  <c r="CJ496" i="3"/>
  <c r="AQ497" i="2"/>
  <c r="AQ342" i="2"/>
  <c r="BE45" i="9"/>
  <c r="BE141" i="9" s="1"/>
  <c r="CJ114" i="3"/>
  <c r="BR44" i="9" l="1"/>
  <c r="BR140" i="9" s="1"/>
  <c r="AQ357" i="2"/>
  <c r="CJ358" i="3" s="1"/>
  <c r="CJ30" i="3"/>
  <c r="AQ329" i="2"/>
  <c r="CJ329" i="3" s="1"/>
  <c r="AQ31" i="2"/>
  <c r="CI383" i="3"/>
  <c r="AQ377" i="2"/>
  <c r="CJ343" i="3"/>
  <c r="AQ346" i="2"/>
  <c r="CJ347" i="3" s="1"/>
  <c r="AQ115" i="2"/>
  <c r="AQ341" i="2"/>
  <c r="BA45" i="9"/>
  <c r="BA141" i="9" s="1"/>
  <c r="CJ113" i="3"/>
  <c r="CI474" i="3"/>
  <c r="AP476" i="2"/>
  <c r="CI472" i="3"/>
  <c r="AP28" i="2"/>
  <c r="AP400" i="2"/>
  <c r="AP399" i="2"/>
  <c r="AP402" i="2"/>
  <c r="AP401" i="2"/>
  <c r="AQ121" i="2"/>
  <c r="AQ173" i="5"/>
  <c r="Q45" i="9"/>
  <c r="Q141" i="9" s="1"/>
  <c r="CJ38" i="3"/>
  <c r="AQ379" i="2"/>
  <c r="CJ379" i="3" s="1"/>
  <c r="CJ497" i="3"/>
  <c r="AQ498" i="2"/>
  <c r="CJ498" i="3" s="1"/>
  <c r="CJ328" i="3"/>
  <c r="AQ330" i="2" l="1"/>
  <c r="CJ330" i="3" s="1"/>
  <c r="CI400" i="3"/>
  <c r="AP409" i="2"/>
  <c r="AQ462" i="2"/>
  <c r="CJ462" i="3" s="1"/>
  <c r="AQ298" i="2"/>
  <c r="CJ298" i="3" s="1"/>
  <c r="CJ115" i="3"/>
  <c r="CJ377" i="3"/>
  <c r="AQ381" i="2"/>
  <c r="CJ381" i="3" s="1"/>
  <c r="AQ358" i="2"/>
  <c r="CJ121" i="3"/>
  <c r="CI476" i="3"/>
  <c r="AP478" i="2"/>
  <c r="CI401" i="3"/>
  <c r="AP410" i="2"/>
  <c r="N45" i="9"/>
  <c r="N141" i="9" s="1"/>
  <c r="AQ439" i="2"/>
  <c r="CJ439" i="3" s="1"/>
  <c r="CJ31" i="3"/>
  <c r="CI402" i="3"/>
  <c r="AP411" i="2"/>
  <c r="AP241" i="2"/>
  <c r="CI241" i="3" s="1"/>
  <c r="AP169" i="2"/>
  <c r="CI28" i="3"/>
  <c r="AP71" i="2"/>
  <c r="AP139" i="2"/>
  <c r="CI139" i="3" s="1"/>
  <c r="AP438" i="2"/>
  <c r="AP11" i="5"/>
  <c r="AP207" i="5" s="1"/>
  <c r="M44" i="9"/>
  <c r="AP390" i="5"/>
  <c r="CI399" i="3"/>
  <c r="AP403" i="2"/>
  <c r="CI403" i="3" s="1"/>
  <c r="AP408" i="2"/>
  <c r="CJ342" i="3"/>
  <c r="AQ345" i="2"/>
  <c r="CJ346" i="3" s="1"/>
  <c r="AP412" i="2" l="1"/>
  <c r="CI412" i="3" s="1"/>
  <c r="AP415" i="2"/>
  <c r="CI408" i="3"/>
  <c r="CJ359" i="3"/>
  <c r="AQ359" i="2"/>
  <c r="CI169" i="3"/>
  <c r="AO354" i="1"/>
  <c r="AP386" i="5"/>
  <c r="AP388" i="5" s="1"/>
  <c r="AO368" i="1"/>
  <c r="CI71" i="3"/>
  <c r="CI478" i="3"/>
  <c r="AP480" i="2"/>
  <c r="AP417" i="2"/>
  <c r="CI410" i="3"/>
  <c r="W44" i="9"/>
  <c r="M140" i="9"/>
  <c r="CI411" i="3"/>
  <c r="AP418" i="2"/>
  <c r="CI418" i="3" s="1"/>
  <c r="CI409" i="3"/>
  <c r="AP416" i="2"/>
  <c r="CI416" i="3" s="1"/>
  <c r="AP394" i="5"/>
  <c r="AP391" i="5"/>
  <c r="AP395" i="5" s="1"/>
  <c r="CI438" i="3"/>
  <c r="AP444" i="2"/>
  <c r="CI444" i="3" s="1"/>
  <c r="W140" i="9" l="1"/>
  <c r="AP413" i="2"/>
  <c r="AP481" i="2"/>
  <c r="CI480" i="3"/>
  <c r="CJ360" i="3"/>
  <c r="AQ122" i="2"/>
  <c r="AP419" i="2"/>
  <c r="CI415" i="3"/>
  <c r="AP170" i="2"/>
  <c r="CI417" i="3"/>
  <c r="CI419" i="3" l="1"/>
  <c r="CJ122" i="3"/>
  <c r="AQ360" i="2"/>
  <c r="AQ123" i="2"/>
  <c r="AO355" i="1"/>
  <c r="CI170" i="3"/>
  <c r="AP268" i="2"/>
  <c r="CI268" i="3" s="1"/>
  <c r="AP210" i="2"/>
  <c r="AP192" i="2"/>
  <c r="AP171" i="2"/>
  <c r="AP420" i="2"/>
  <c r="CI420" i="3" s="1"/>
  <c r="CI481" i="3"/>
  <c r="AP482" i="2"/>
  <c r="CI482" i="3" s="1"/>
  <c r="AQ125" i="2" l="1"/>
  <c r="BH45" i="9"/>
  <c r="BH141" i="9" s="1"/>
  <c r="CJ123" i="3"/>
  <c r="AQ35" i="2"/>
  <c r="CJ361" i="3"/>
  <c r="AP182" i="2"/>
  <c r="CI171" i="3"/>
  <c r="AO356" i="1"/>
  <c r="AO361" i="1" s="1"/>
  <c r="AO366" i="1"/>
  <c r="CI192" i="3"/>
  <c r="CI210" i="3"/>
  <c r="AO380" i="1"/>
  <c r="CJ35" i="3" l="1"/>
  <c r="AQ361" i="2"/>
  <c r="AQ37" i="2"/>
  <c r="AP153" i="2"/>
  <c r="AP207" i="2"/>
  <c r="CI182" i="3"/>
  <c r="CJ125" i="3"/>
  <c r="AQ299" i="2"/>
  <c r="CJ299" i="3" s="1"/>
  <c r="AQ466" i="2"/>
  <c r="CJ466" i="3" s="1"/>
  <c r="CI207" i="3" l="1"/>
  <c r="CJ37" i="3"/>
  <c r="AQ440" i="2"/>
  <c r="CJ440" i="3" s="1"/>
  <c r="P45" i="9"/>
  <c r="P141" i="9" s="1"/>
  <c r="CJ356" i="3"/>
  <c r="CJ362" i="3"/>
  <c r="AQ362" i="2"/>
  <c r="CJ363" i="3" s="1"/>
  <c r="AP154" i="2"/>
  <c r="CI153" i="3"/>
  <c r="CI154" i="3" l="1"/>
  <c r="AP156" i="2"/>
  <c r="AP159" i="2" l="1"/>
  <c r="AP158" i="2"/>
  <c r="CI156" i="3"/>
  <c r="CI158" i="3" l="1"/>
  <c r="AP162" i="2"/>
  <c r="CI162" i="3" s="1"/>
  <c r="AP160" i="2"/>
  <c r="CI159" i="3"/>
  <c r="CI160" i="3" l="1"/>
  <c r="AP161" i="2"/>
  <c r="AP163" i="2" l="1"/>
  <c r="CI161" i="3"/>
  <c r="CI163" i="3" l="1"/>
  <c r="AP165" i="2"/>
  <c r="AP267" i="2" s="1"/>
  <c r="AP166" i="2" l="1"/>
  <c r="CI166" i="3" s="1"/>
  <c r="AP112" i="5"/>
  <c r="AP140" i="5" s="1"/>
  <c r="CI267" i="3"/>
  <c r="AP183" i="2"/>
  <c r="CI165" i="3"/>
  <c r="AO363" i="1" l="1"/>
  <c r="AO364" i="1" s="1"/>
  <c r="AP208" i="2"/>
  <c r="CI183" i="3"/>
  <c r="AO375" i="1"/>
  <c r="AP184" i="2"/>
  <c r="AP85" i="5" l="1"/>
  <c r="AP342" i="5" s="1"/>
  <c r="AP397" i="5"/>
  <c r="CI184" i="3"/>
  <c r="AP399" i="5"/>
  <c r="AP191" i="2"/>
  <c r="AP94" i="4"/>
  <c r="AP266" i="2"/>
  <c r="AO378" i="1"/>
  <c r="CI208" i="3"/>
  <c r="AP212" i="2"/>
  <c r="AO374" i="1"/>
  <c r="AO377" i="1" s="1"/>
  <c r="AO367" i="1"/>
  <c r="AP270" i="2" l="1"/>
  <c r="AP271" i="2"/>
  <c r="AP86" i="4" s="1"/>
  <c r="CI266" i="3"/>
  <c r="CI191" i="3"/>
  <c r="AP193" i="2"/>
  <c r="AO382" i="1"/>
  <c r="AO384" i="1" s="1"/>
  <c r="CI212" i="3"/>
  <c r="AP225" i="2"/>
  <c r="CI225" i="3" s="1"/>
  <c r="AP218" i="2"/>
  <c r="AP222" i="2" l="1"/>
  <c r="CI222" i="3" s="1"/>
  <c r="CI218" i="3"/>
  <c r="AP221" i="2"/>
  <c r="CI221" i="3" s="1"/>
  <c r="AP220" i="2"/>
  <c r="AP195" i="2"/>
  <c r="AP201" i="2"/>
  <c r="AP198" i="2"/>
  <c r="AP200" i="2"/>
  <c r="CI193" i="3"/>
  <c r="AP196" i="2"/>
  <c r="AP197" i="2"/>
  <c r="AP199" i="2"/>
  <c r="CI270" i="3"/>
  <c r="AP32" i="4"/>
  <c r="AR33" i="4" s="1"/>
  <c r="AP86" i="5"/>
  <c r="AP343" i="5" s="1"/>
  <c r="AP88" i="4" l="1"/>
  <c r="AP273" i="2" s="1"/>
  <c r="AP89" i="4"/>
  <c r="AP274" i="2" s="1"/>
  <c r="J341" i="1"/>
  <c r="CI201" i="3"/>
  <c r="AP204" i="2"/>
  <c r="CI195" i="3"/>
  <c r="D341" i="1"/>
  <c r="AP313" i="4"/>
  <c r="K294" i="1" s="1"/>
  <c r="AP202" i="2"/>
  <c r="AP317" i="4"/>
  <c r="O294" i="1" s="1"/>
  <c r="CI199" i="3"/>
  <c r="H341" i="1"/>
  <c r="CI197" i="3"/>
  <c r="F341" i="1"/>
  <c r="AP315" i="4"/>
  <c r="M294" i="1" s="1"/>
  <c r="CI220" i="3"/>
  <c r="AP223" i="2"/>
  <c r="E341" i="1"/>
  <c r="AP314" i="4"/>
  <c r="L294" i="1" s="1"/>
  <c r="CI196" i="3"/>
  <c r="I341" i="1"/>
  <c r="CI200" i="3"/>
  <c r="AP318" i="4"/>
  <c r="P294" i="1" s="1"/>
  <c r="AR57" i="4"/>
  <c r="AR58" i="4"/>
  <c r="AR55" i="4"/>
  <c r="AR56" i="4"/>
  <c r="AR54" i="4"/>
  <c r="AP316" i="4"/>
  <c r="N294" i="1" s="1"/>
  <c r="CI198" i="3"/>
  <c r="G341" i="1"/>
  <c r="AP227" i="2" l="1"/>
  <c r="AP145" i="2" s="1"/>
  <c r="CI223" i="3"/>
  <c r="AO370" i="1"/>
  <c r="AP87" i="5"/>
  <c r="AP344" i="5" s="1"/>
  <c r="CI202" i="3"/>
  <c r="AP203" i="2"/>
  <c r="C341" i="1"/>
  <c r="AO394" i="1"/>
  <c r="AP515" i="2"/>
  <c r="CI515" i="3" s="1"/>
  <c r="CI204" i="3"/>
  <c r="AR59" i="4"/>
  <c r="AP422" i="2" l="1"/>
  <c r="CI422" i="3" s="1"/>
  <c r="AR61" i="4"/>
  <c r="AR272" i="2"/>
  <c r="K341" i="1"/>
  <c r="AR60" i="4"/>
  <c r="AP424" i="2"/>
  <c r="CI424" i="3" s="1"/>
  <c r="AQ302" i="2"/>
  <c r="CJ302" i="3" s="1"/>
  <c r="AP17" i="5"/>
  <c r="AP244" i="2"/>
  <c r="CI145" i="3"/>
  <c r="Z44" i="9"/>
  <c r="AP146" i="2"/>
  <c r="AP229" i="2"/>
  <c r="AP148" i="2"/>
  <c r="AP88" i="5"/>
  <c r="CI203" i="3"/>
  <c r="J294" i="1"/>
  <c r="AP516" i="2"/>
  <c r="AP484" i="2"/>
  <c r="AO371" i="1"/>
  <c r="AO372" i="1" s="1"/>
  <c r="CI227" i="3"/>
  <c r="AO385" i="1"/>
  <c r="AO386" i="1" s="1"/>
  <c r="AP89" i="5"/>
  <c r="AP345" i="5" s="1"/>
  <c r="AO393" i="1"/>
  <c r="AP228" i="2"/>
  <c r="CI228" i="3" s="1"/>
  <c r="AP245" i="2" l="1"/>
  <c r="AO373" i="1" s="1"/>
  <c r="CI244" i="3"/>
  <c r="AP18" i="5"/>
  <c r="AP213" i="5"/>
  <c r="CI229" i="3"/>
  <c r="AP90" i="5"/>
  <c r="AP346" i="5" s="1"/>
  <c r="CI146" i="3"/>
  <c r="AP109" i="5"/>
  <c r="CI484" i="3"/>
  <c r="AP485" i="2"/>
  <c r="Z140" i="9"/>
  <c r="AJ44" i="9"/>
  <c r="AL44" i="9" s="1"/>
  <c r="AQ8" i="2"/>
  <c r="CI148" i="3"/>
  <c r="AP248" i="2"/>
  <c r="CI516" i="3"/>
  <c r="AP384" i="5"/>
  <c r="CI248" i="3" l="1"/>
  <c r="AP259" i="2"/>
  <c r="BT44" i="9"/>
  <c r="AL140" i="9"/>
  <c r="AJ140" i="9"/>
  <c r="CI485" i="3"/>
  <c r="AP425" i="2"/>
  <c r="CI425" i="3" s="1"/>
  <c r="AP19" i="5"/>
  <c r="AP214" i="5"/>
  <c r="AP486" i="2"/>
  <c r="CI486" i="3" s="1"/>
  <c r="AQ450" i="2"/>
  <c r="CJ8" i="3"/>
  <c r="AQ19" i="2"/>
  <c r="AQ447" i="2"/>
  <c r="F45" i="9"/>
  <c r="I295" i="1"/>
  <c r="AP389" i="1"/>
  <c r="AQ20" i="2"/>
  <c r="AQ390" i="2"/>
  <c r="AQ84" i="2"/>
  <c r="AQ372" i="5"/>
  <c r="AQ374" i="5" s="1"/>
  <c r="CI245" i="3"/>
  <c r="AP260" i="2"/>
  <c r="CI260" i="3" s="1"/>
  <c r="AP20" i="5" l="1"/>
  <c r="AP215" i="5"/>
  <c r="CJ447" i="3"/>
  <c r="F141" i="9"/>
  <c r="K45" i="9"/>
  <c r="CJ19" i="3"/>
  <c r="AQ232" i="2"/>
  <c r="CJ232" i="3" s="1"/>
  <c r="AQ10" i="5"/>
  <c r="AQ206" i="5" s="1"/>
  <c r="AQ364" i="5"/>
  <c r="AQ366" i="5" s="1"/>
  <c r="CJ84" i="3"/>
  <c r="AQ85" i="2"/>
  <c r="AQ238" i="2"/>
  <c r="AQ15" i="5"/>
  <c r="AQ212" i="5" s="1"/>
  <c r="CJ390" i="3"/>
  <c r="AQ391" i="2"/>
  <c r="AQ393" i="2"/>
  <c r="AQ394" i="2"/>
  <c r="AQ392" i="2"/>
  <c r="CJ450" i="3"/>
  <c r="BT140" i="9"/>
  <c r="BY44" i="9"/>
  <c r="BY140" i="9" s="1"/>
  <c r="CI259" i="3"/>
  <c r="AP368" i="5"/>
  <c r="AP370" i="5" s="1"/>
  <c r="AP144" i="5" s="1"/>
  <c r="AP261" i="2"/>
  <c r="CI261" i="3" s="1"/>
  <c r="K141" i="9" l="1"/>
  <c r="AQ240" i="2"/>
  <c r="AD45" i="9"/>
  <c r="AD141" i="9" s="1"/>
  <c r="CJ238" i="3"/>
  <c r="AQ290" i="2"/>
  <c r="CJ290" i="3" s="1"/>
  <c r="AQ470" i="2"/>
  <c r="CJ470" i="3" s="1"/>
  <c r="AQ287" i="2"/>
  <c r="CJ392" i="3"/>
  <c r="CJ393" i="3"/>
  <c r="CJ391" i="3"/>
  <c r="AQ395" i="2"/>
  <c r="CJ394" i="3"/>
  <c r="AQ303" i="2" l="1"/>
  <c r="CJ287" i="3"/>
  <c r="AQ405" i="2"/>
  <c r="CJ405" i="3" s="1"/>
  <c r="CJ395" i="3"/>
  <c r="AQ396" i="2"/>
  <c r="CJ396" i="3" s="1"/>
  <c r="AI45" i="9"/>
  <c r="AI141" i="9" s="1"/>
  <c r="CJ240" i="3"/>
  <c r="CJ303" i="3" l="1"/>
  <c r="AQ95" i="2"/>
  <c r="AQ103" i="2" l="1"/>
  <c r="AQ45" i="9"/>
  <c r="CJ95" i="3"/>
  <c r="AQ457" i="2"/>
  <c r="AR9" i="2"/>
  <c r="AQ249" i="2"/>
  <c r="AQ320" i="2"/>
  <c r="CJ249" i="3" l="1"/>
  <c r="AR93" i="2"/>
  <c r="CK9" i="3"/>
  <c r="AR96" i="2"/>
  <c r="AR489" i="2"/>
  <c r="CJ457" i="3"/>
  <c r="AQ141" i="9"/>
  <c r="AT45" i="9"/>
  <c r="AQ116" i="2"/>
  <c r="AQ461" i="2"/>
  <c r="CJ461" i="3" s="1"/>
  <c r="AR10" i="2"/>
  <c r="AQ250" i="2"/>
  <c r="CJ250" i="3" s="1"/>
  <c r="CJ103" i="3"/>
  <c r="AQ501" i="2"/>
  <c r="AQ331" i="2"/>
  <c r="AW45" i="9"/>
  <c r="AQ175" i="2"/>
  <c r="CJ320" i="3"/>
  <c r="AQ321" i="2"/>
  <c r="AQ281" i="2" l="1"/>
  <c r="CJ175" i="3"/>
  <c r="AQ252" i="2"/>
  <c r="AR12" i="2"/>
  <c r="CJ116" i="3"/>
  <c r="AQ347" i="2"/>
  <c r="BB45" i="9"/>
  <c r="CK489" i="3"/>
  <c r="AW141" i="9"/>
  <c r="AY45" i="9"/>
  <c r="AY141" i="9" s="1"/>
  <c r="AT141" i="9"/>
  <c r="AR310" i="2"/>
  <c r="CK310" i="3" s="1"/>
  <c r="AR46" i="9"/>
  <c r="AR142" i="9" s="1"/>
  <c r="AE46" i="9"/>
  <c r="AE142" i="9" s="1"/>
  <c r="CK96" i="3"/>
  <c r="AQ332" i="2"/>
  <c r="CJ331" i="3"/>
  <c r="CJ501" i="3"/>
  <c r="AQ503" i="2"/>
  <c r="AQ117" i="2"/>
  <c r="CK93" i="3"/>
  <c r="AR94" i="2"/>
  <c r="CJ321" i="3"/>
  <c r="AR306" i="2"/>
  <c r="H295" i="1"/>
  <c r="A296" i="1" s="1"/>
  <c r="AR100" i="2"/>
  <c r="CK10" i="3"/>
  <c r="AR11" i="2"/>
  <c r="AQ251" i="2"/>
  <c r="AQ118" i="2" l="1"/>
  <c r="AQ508" i="2"/>
  <c r="AQ348" i="2"/>
  <c r="BF45" i="9"/>
  <c r="AQ253" i="2"/>
  <c r="CJ253" i="3" s="1"/>
  <c r="CJ117" i="3"/>
  <c r="AR13" i="2"/>
  <c r="BB141" i="9"/>
  <c r="BC45" i="9"/>
  <c r="BC141" i="9" s="1"/>
  <c r="CK100" i="3"/>
  <c r="AR102" i="2"/>
  <c r="AR379" i="5" s="1"/>
  <c r="AQ505" i="2"/>
  <c r="CJ503" i="3"/>
  <c r="CJ348" i="3"/>
  <c r="AQ349" i="2"/>
  <c r="CK12" i="3"/>
  <c r="AR32" i="2"/>
  <c r="CJ251" i="3"/>
  <c r="BU45" i="9"/>
  <c r="BU141" i="9" s="1"/>
  <c r="CK11" i="3"/>
  <c r="G46" i="9"/>
  <c r="G142" i="9" s="1"/>
  <c r="CJ332" i="3"/>
  <c r="AR324" i="2"/>
  <c r="CJ252" i="3"/>
  <c r="CK306" i="3"/>
  <c r="AR293" i="2"/>
  <c r="CK94" i="3"/>
  <c r="AR377" i="5"/>
  <c r="AN46" i="9"/>
  <c r="AR308" i="2"/>
  <c r="AR309" i="2" s="1"/>
  <c r="AR456" i="2"/>
  <c r="AR491" i="2"/>
  <c r="AR29" i="2"/>
  <c r="AS92" i="2"/>
  <c r="CJ281" i="3"/>
  <c r="AR176" i="2" l="1"/>
  <c r="AQ254" i="2"/>
  <c r="CJ254" i="3" s="1"/>
  <c r="AR383" i="5"/>
  <c r="CK13" i="3"/>
  <c r="AR33" i="2"/>
  <c r="AQ390" i="1"/>
  <c r="CK309" i="3"/>
  <c r="CK456" i="3"/>
  <c r="CK308" i="3"/>
  <c r="AR313" i="2"/>
  <c r="AQ506" i="2"/>
  <c r="CJ505" i="3"/>
  <c r="E92" i="2"/>
  <c r="CL92" i="3"/>
  <c r="AN142" i="9"/>
  <c r="AR14" i="2"/>
  <c r="BF141" i="9"/>
  <c r="BG45" i="9"/>
  <c r="CK29" i="3"/>
  <c r="AR317" i="2"/>
  <c r="CK32" i="3"/>
  <c r="AR343" i="2"/>
  <c r="CK344" i="3" s="1"/>
  <c r="AR460" i="2"/>
  <c r="AR326" i="2"/>
  <c r="AR327" i="2" s="1"/>
  <c r="AU46" i="9"/>
  <c r="CK102" i="3"/>
  <c r="AR296" i="2"/>
  <c r="AR378" i="5"/>
  <c r="AR502" i="2"/>
  <c r="AQ350" i="2"/>
  <c r="AR336" i="2" s="1"/>
  <c r="CJ349" i="3"/>
  <c r="AQ357" i="1"/>
  <c r="CK176" i="3"/>
  <c r="AQ510" i="2"/>
  <c r="CJ508" i="3"/>
  <c r="CK324" i="3"/>
  <c r="CK491" i="3"/>
  <c r="AR494" i="2"/>
  <c r="CK494" i="3" s="1"/>
  <c r="AR493" i="2"/>
  <c r="CK293" i="3"/>
  <c r="AR335" i="2"/>
  <c r="CJ350" i="3"/>
  <c r="AQ464" i="2"/>
  <c r="AQ177" i="2"/>
  <c r="CJ118" i="3"/>
  <c r="AQ126" i="2"/>
  <c r="BV45" i="9" l="1"/>
  <c r="BV141" i="9" s="1"/>
  <c r="AR99" i="2"/>
  <c r="CK327" i="3"/>
  <c r="BG141" i="9"/>
  <c r="AV92" i="2"/>
  <c r="AU92" i="3"/>
  <c r="AV92" i="3" s="1"/>
  <c r="CK502" i="3"/>
  <c r="CJ510" i="3"/>
  <c r="AQ512" i="2"/>
  <c r="CK14" i="3"/>
  <c r="H46" i="9"/>
  <c r="H142" i="9" s="1"/>
  <c r="AR34" i="2"/>
  <c r="CK33" i="3"/>
  <c r="AR344" i="2"/>
  <c r="CK345" i="3" s="1"/>
  <c r="CK336" i="3"/>
  <c r="CK335" i="3"/>
  <c r="AR339" i="2"/>
  <c r="AR496" i="2"/>
  <c r="CK493" i="3"/>
  <c r="AQ135" i="2"/>
  <c r="CJ126" i="3"/>
  <c r="AQ467" i="2"/>
  <c r="CJ467" i="3" s="1"/>
  <c r="AR15" i="2"/>
  <c r="AQ255" i="2"/>
  <c r="AQ363" i="2"/>
  <c r="BI45" i="9"/>
  <c r="AU142" i="9"/>
  <c r="CJ177" i="3"/>
  <c r="AQ282" i="2"/>
  <c r="CJ464" i="3"/>
  <c r="CK326" i="3"/>
  <c r="CK317" i="3"/>
  <c r="AR319" i="2"/>
  <c r="CK319" i="3" s="1"/>
  <c r="CK296" i="3"/>
  <c r="CK337" i="3"/>
  <c r="AR340" i="2"/>
  <c r="CK460" i="3"/>
  <c r="BO45" i="9" l="1"/>
  <c r="AQ469" i="2"/>
  <c r="AQ382" i="2"/>
  <c r="AR18" i="2"/>
  <c r="AQ258" i="2"/>
  <c r="CJ135" i="3"/>
  <c r="CK34" i="3"/>
  <c r="O46" i="9"/>
  <c r="O142" i="9" s="1"/>
  <c r="AR497" i="2"/>
  <c r="CK496" i="3"/>
  <c r="BL45" i="9"/>
  <c r="BI141" i="9"/>
  <c r="CK341" i="3"/>
  <c r="AR114" i="2"/>
  <c r="CJ364" i="3"/>
  <c r="AQ364" i="2"/>
  <c r="AR353" i="2" s="1"/>
  <c r="AQ257" i="2"/>
  <c r="CJ255" i="3"/>
  <c r="AR113" i="2"/>
  <c r="CK340" i="3"/>
  <c r="AR17" i="2"/>
  <c r="AR127" i="2"/>
  <c r="CK15" i="3"/>
  <c r="CJ282" i="3"/>
  <c r="AQ284" i="2"/>
  <c r="AQ513" i="2"/>
  <c r="CJ512" i="3"/>
  <c r="AR295" i="2"/>
  <c r="CK295" i="3" s="1"/>
  <c r="CK99" i="3"/>
  <c r="AR459" i="2"/>
  <c r="CK459" i="3" s="1"/>
  <c r="AV46" i="9"/>
  <c r="AV142" i="9" s="1"/>
  <c r="AR328" i="2"/>
  <c r="AR30" i="2"/>
  <c r="AS101" i="2"/>
  <c r="CK353" i="3" l="1"/>
  <c r="AQ391" i="1"/>
  <c r="BE46" i="9"/>
  <c r="BE142" i="9" s="1"/>
  <c r="AR342" i="2"/>
  <c r="CK114" i="3"/>
  <c r="AR355" i="2"/>
  <c r="CK355" i="3" s="1"/>
  <c r="AG46" i="9"/>
  <c r="AG142" i="9" s="1"/>
  <c r="BK46" i="9"/>
  <c r="BK142" i="9" s="1"/>
  <c r="CK127" i="3"/>
  <c r="CK17" i="3"/>
  <c r="I46" i="9"/>
  <c r="I142" i="9" s="1"/>
  <c r="AQ175" i="5"/>
  <c r="BX45" i="9"/>
  <c r="BX141" i="9" s="1"/>
  <c r="CJ258" i="3"/>
  <c r="E101" i="2"/>
  <c r="CL101" i="3"/>
  <c r="AR38" i="2"/>
  <c r="E296" i="1"/>
  <c r="J46" i="9"/>
  <c r="J142" i="9" s="1"/>
  <c r="CK18" i="3"/>
  <c r="AR341" i="2"/>
  <c r="BA46" i="9"/>
  <c r="BA142" i="9" s="1"/>
  <c r="AR115" i="2"/>
  <c r="CK113" i="3"/>
  <c r="BL141" i="9"/>
  <c r="AQ383" i="2"/>
  <c r="CJ382" i="3"/>
  <c r="CJ284" i="3"/>
  <c r="AP359" i="1"/>
  <c r="CJ469" i="3"/>
  <c r="AQ472" i="2"/>
  <c r="AQ474" i="2"/>
  <c r="CK30" i="3"/>
  <c r="AR329" i="2"/>
  <c r="CK329" i="3" s="1"/>
  <c r="AR31" i="2"/>
  <c r="CK328" i="3"/>
  <c r="CJ257" i="3"/>
  <c r="BW45" i="9"/>
  <c r="BW141" i="9" s="1"/>
  <c r="CK497" i="3"/>
  <c r="AR498" i="2"/>
  <c r="CK498" i="3" s="1"/>
  <c r="BP45" i="9"/>
  <c r="BP141" i="9" s="1"/>
  <c r="BO141" i="9"/>
  <c r="AR357" i="2" l="1"/>
  <c r="CK358" i="3" s="1"/>
  <c r="CK342" i="3"/>
  <c r="AR345" i="2"/>
  <c r="CK346" i="3" s="1"/>
  <c r="CK31" i="3"/>
  <c r="N46" i="9"/>
  <c r="N142" i="9" s="1"/>
  <c r="AR439" i="2"/>
  <c r="CK439" i="3" s="1"/>
  <c r="CK343" i="3"/>
  <c r="AR346" i="2"/>
  <c r="CK347" i="3" s="1"/>
  <c r="AR377" i="2"/>
  <c r="CJ383" i="3"/>
  <c r="BR45" i="9"/>
  <c r="BR141" i="9" s="1"/>
  <c r="CJ474" i="3"/>
  <c r="AQ476" i="2"/>
  <c r="AR379" i="2"/>
  <c r="CK379" i="3" s="1"/>
  <c r="AR173" i="5"/>
  <c r="CK38" i="3"/>
  <c r="Q46" i="9"/>
  <c r="Q142" i="9" s="1"/>
  <c r="AR298" i="2"/>
  <c r="CK298" i="3" s="1"/>
  <c r="AR462" i="2"/>
  <c r="CK462" i="3" s="1"/>
  <c r="CK115" i="3"/>
  <c r="AU101" i="3"/>
  <c r="AV101" i="3" s="1"/>
  <c r="AV101" i="2"/>
  <c r="CJ472" i="3"/>
  <c r="AQ28" i="2"/>
  <c r="AQ399" i="2"/>
  <c r="AQ402" i="2"/>
  <c r="AQ401" i="2"/>
  <c r="AQ400" i="2"/>
  <c r="AR330" i="2"/>
  <c r="CK330" i="3" s="1"/>
  <c r="AV356" i="3"/>
  <c r="AR121" i="2" l="1"/>
  <c r="CK121" i="3" s="1"/>
  <c r="CK377" i="3"/>
  <c r="AR381" i="2"/>
  <c r="CK381" i="3" s="1"/>
  <c r="CJ400" i="3"/>
  <c r="AQ409" i="2"/>
  <c r="CJ401" i="3"/>
  <c r="AQ410" i="2"/>
  <c r="CJ402" i="3"/>
  <c r="AQ411" i="2"/>
  <c r="CJ476" i="3"/>
  <c r="AQ478" i="2"/>
  <c r="AQ241" i="2"/>
  <c r="AQ390" i="5"/>
  <c r="M45" i="9"/>
  <c r="AQ438" i="2"/>
  <c r="AQ169" i="2"/>
  <c r="CJ28" i="3"/>
  <c r="AQ71" i="2"/>
  <c r="AQ139" i="2"/>
  <c r="AQ11" i="5"/>
  <c r="CJ399" i="3"/>
  <c r="AQ403" i="2"/>
  <c r="AQ408" i="2"/>
  <c r="AR358" i="2" l="1"/>
  <c r="AR359" i="2" s="1"/>
  <c r="CJ139" i="3"/>
  <c r="AQ386" i="5"/>
  <c r="AQ388" i="5" s="1"/>
  <c r="CJ71" i="3"/>
  <c r="AP368" i="1"/>
  <c r="CJ409" i="3"/>
  <c r="AQ416" i="2"/>
  <c r="CJ416" i="3" s="1"/>
  <c r="AQ418" i="2"/>
  <c r="CJ418" i="3" s="1"/>
  <c r="CJ411" i="3"/>
  <c r="CJ241" i="3"/>
  <c r="AQ394" i="5"/>
  <c r="AQ391" i="5"/>
  <c r="AQ395" i="5" s="1"/>
  <c r="CJ410" i="3"/>
  <c r="AQ417" i="2"/>
  <c r="CJ408" i="3"/>
  <c r="AQ415" i="2"/>
  <c r="AQ412" i="2"/>
  <c r="CJ412" i="3" s="1"/>
  <c r="CJ169" i="3"/>
  <c r="AP354" i="1"/>
  <c r="CJ478" i="3"/>
  <c r="AQ480" i="2"/>
  <c r="W45" i="9"/>
  <c r="M141" i="9"/>
  <c r="AQ207" i="5"/>
  <c r="CK359" i="3"/>
  <c r="CJ403" i="3"/>
  <c r="CJ438" i="3"/>
  <c r="AQ444" i="2"/>
  <c r="CJ444" i="3" s="1"/>
  <c r="AQ413" i="2" l="1"/>
  <c r="CJ417" i="3"/>
  <c r="AQ170" i="2"/>
  <c r="W141" i="9"/>
  <c r="CJ480" i="3"/>
  <c r="AQ481" i="2"/>
  <c r="CJ415" i="3"/>
  <c r="AQ419" i="2"/>
  <c r="AQ420" i="2" s="1"/>
  <c r="CJ420" i="3" s="1"/>
  <c r="CK360" i="3"/>
  <c r="AR122" i="2"/>
  <c r="CK122" i="3" l="1"/>
  <c r="AR360" i="2"/>
  <c r="AR123" i="2"/>
  <c r="CJ481" i="3"/>
  <c r="AQ482" i="2"/>
  <c r="CJ482" i="3" s="1"/>
  <c r="CJ170" i="3"/>
  <c r="AQ268" i="2"/>
  <c r="CJ268" i="3" s="1"/>
  <c r="AQ210" i="2"/>
  <c r="AP355" i="1"/>
  <c r="AQ171" i="2"/>
  <c r="AQ182" i="2" s="1"/>
  <c r="AQ192" i="2"/>
  <c r="CJ419" i="3"/>
  <c r="AP366" i="1" l="1"/>
  <c r="CJ192" i="3"/>
  <c r="AQ153" i="2"/>
  <c r="AQ207" i="2"/>
  <c r="CJ182" i="3"/>
  <c r="CJ171" i="3"/>
  <c r="AP356" i="1"/>
  <c r="AP361" i="1" s="1"/>
  <c r="CK123" i="3"/>
  <c r="BH46" i="9"/>
  <c r="BH142" i="9" s="1"/>
  <c r="AR125" i="2"/>
  <c r="AR35" i="2"/>
  <c r="CK361" i="3"/>
  <c r="CJ210" i="3"/>
  <c r="AP380" i="1"/>
  <c r="CK35" i="3" l="1"/>
  <c r="AR37" i="2"/>
  <c r="AR361" i="2"/>
  <c r="CJ207" i="3"/>
  <c r="CK125" i="3"/>
  <c r="AR299" i="2"/>
  <c r="CK299" i="3" s="1"/>
  <c r="AR466" i="2"/>
  <c r="CK466" i="3" s="1"/>
  <c r="AQ154" i="2"/>
  <c r="CJ153" i="3"/>
  <c r="CK356" i="3" l="1"/>
  <c r="CK362" i="3"/>
  <c r="AR362" i="2"/>
  <c r="CK363" i="3" s="1"/>
  <c r="AR440" i="2"/>
  <c r="CK440" i="3" s="1"/>
  <c r="P46" i="9"/>
  <c r="P142" i="9" s="1"/>
  <c r="CK37" i="3"/>
  <c r="AQ156" i="2"/>
  <c r="CJ154" i="3"/>
  <c r="CJ156" i="3" l="1"/>
  <c r="AQ159" i="2"/>
  <c r="AQ158" i="2"/>
  <c r="AQ162" i="2" l="1"/>
  <c r="CJ162" i="3" s="1"/>
  <c r="CJ158" i="3"/>
  <c r="CJ159" i="3"/>
  <c r="AQ160" i="2"/>
  <c r="CJ160" i="3" l="1"/>
  <c r="AQ161" i="2"/>
  <c r="AQ163" i="2" l="1"/>
  <c r="CJ161" i="3"/>
  <c r="AQ165" i="2" l="1"/>
  <c r="AQ267" i="2" s="1"/>
  <c r="CJ163" i="3"/>
  <c r="AQ166" i="2" l="1"/>
  <c r="CJ166" i="3" s="1"/>
  <c r="CJ267" i="3"/>
  <c r="AQ112" i="5"/>
  <c r="AQ140" i="5" s="1"/>
  <c r="AQ183" i="2"/>
  <c r="CJ165" i="3"/>
  <c r="AQ208" i="2" l="1"/>
  <c r="AP363" i="1"/>
  <c r="AP364" i="1" s="1"/>
  <c r="AP375" i="1"/>
  <c r="CJ183" i="3"/>
  <c r="AQ184" i="2"/>
  <c r="AQ191" i="2" l="1"/>
  <c r="AQ399" i="5"/>
  <c r="AQ266" i="2"/>
  <c r="AQ85" i="5"/>
  <c r="AQ342" i="5" s="1"/>
  <c r="CJ184" i="3"/>
  <c r="AQ94" i="4"/>
  <c r="AQ397" i="5"/>
  <c r="AP374" i="1"/>
  <c r="AP377" i="1" s="1"/>
  <c r="AP367" i="1"/>
  <c r="CJ208" i="3"/>
  <c r="AP378" i="1"/>
  <c r="AQ212" i="2"/>
  <c r="AP382" i="1" l="1"/>
  <c r="AP384" i="1" s="1"/>
  <c r="AQ271" i="2"/>
  <c r="AQ86" i="4" s="1"/>
  <c r="AQ270" i="2"/>
  <c r="CJ266" i="3"/>
  <c r="AQ225" i="2"/>
  <c r="CJ225" i="3" s="1"/>
  <c r="AQ218" i="2"/>
  <c r="CJ212" i="3"/>
  <c r="CJ191" i="3"/>
  <c r="AQ193" i="2"/>
  <c r="AQ220" i="2" l="1"/>
  <c r="CJ218" i="3"/>
  <c r="AQ221" i="2"/>
  <c r="CJ221" i="3" s="1"/>
  <c r="AQ222" i="2"/>
  <c r="CJ222" i="3" s="1"/>
  <c r="AQ201" i="2"/>
  <c r="AQ200" i="2"/>
  <c r="AQ197" i="2"/>
  <c r="AQ198" i="2"/>
  <c r="CJ193" i="3"/>
  <c r="AQ196" i="2"/>
  <c r="AQ195" i="2"/>
  <c r="AQ199" i="2"/>
  <c r="CJ270" i="3"/>
  <c r="AQ86" i="5"/>
  <c r="AQ343" i="5" s="1"/>
  <c r="AQ32" i="4"/>
  <c r="AS33" i="4" s="1"/>
  <c r="AQ88" i="4" l="1"/>
  <c r="AQ273" i="2" s="1"/>
  <c r="AQ89" i="4"/>
  <c r="AQ274" i="2" s="1"/>
  <c r="F342" i="1"/>
  <c r="AQ315" i="4"/>
  <c r="M295" i="1" s="1"/>
  <c r="CJ197" i="3"/>
  <c r="I342" i="1"/>
  <c r="AQ318" i="4"/>
  <c r="P295" i="1" s="1"/>
  <c r="CJ200" i="3"/>
  <c r="AQ317" i="4"/>
  <c r="O295" i="1" s="1"/>
  <c r="CJ199" i="3"/>
  <c r="H342" i="1"/>
  <c r="J342" i="1"/>
  <c r="CJ201" i="3"/>
  <c r="AQ204" i="2"/>
  <c r="AQ202" i="2"/>
  <c r="AQ313" i="4"/>
  <c r="K295" i="1" s="1"/>
  <c r="D342" i="1"/>
  <c r="CJ195" i="3"/>
  <c r="AQ314" i="4"/>
  <c r="L295" i="1" s="1"/>
  <c r="CJ196" i="3"/>
  <c r="E342" i="1"/>
  <c r="AS58" i="4"/>
  <c r="D58" i="4" s="1"/>
  <c r="AS54" i="4"/>
  <c r="AS55" i="4"/>
  <c r="D55" i="4" s="1"/>
  <c r="AS57" i="4"/>
  <c r="D57" i="4" s="1"/>
  <c r="D33" i="4"/>
  <c r="AS56" i="4"/>
  <c r="D56" i="4" s="1"/>
  <c r="CJ198" i="3"/>
  <c r="G342" i="1"/>
  <c r="AQ316" i="4"/>
  <c r="N295" i="1" s="1"/>
  <c r="CJ220" i="3"/>
  <c r="AQ223" i="2"/>
  <c r="C342" i="1" l="1"/>
  <c r="D54" i="4"/>
  <c r="AS59" i="4"/>
  <c r="AP370" i="1"/>
  <c r="CJ202" i="3"/>
  <c r="AQ87" i="5"/>
  <c r="AQ344" i="5" s="1"/>
  <c r="AQ203" i="2"/>
  <c r="AQ515" i="2"/>
  <c r="CJ515" i="3" s="1"/>
  <c r="AP394" i="1"/>
  <c r="CJ204" i="3"/>
  <c r="CJ223" i="3"/>
  <c r="AQ227" i="2"/>
  <c r="AQ422" i="2" s="1"/>
  <c r="AS61" i="4" l="1"/>
  <c r="C59" i="4" s="1"/>
  <c r="D272" i="2" s="1"/>
  <c r="F137" i="1" s="1"/>
  <c r="AS272" i="2"/>
  <c r="CJ422" i="3"/>
  <c r="AQ424" i="2"/>
  <c r="CJ424" i="3" s="1"/>
  <c r="AQ88" i="5"/>
  <c r="J295" i="1"/>
  <c r="AQ516" i="2"/>
  <c r="CJ203" i="3"/>
  <c r="AQ484" i="2"/>
  <c r="AQ89" i="5"/>
  <c r="AQ345" i="5" s="1"/>
  <c r="AP371" i="1"/>
  <c r="AP372" i="1" s="1"/>
  <c r="AP393" i="1"/>
  <c r="AP385" i="1"/>
  <c r="AP386" i="1" s="1"/>
  <c r="CJ227" i="3"/>
  <c r="AQ228" i="2"/>
  <c r="CJ228" i="3" s="1"/>
  <c r="AS60" i="4"/>
  <c r="D60" i="4" s="1"/>
  <c r="E272" i="2"/>
  <c r="D59" i="4"/>
  <c r="D61" i="4"/>
  <c r="G137" i="1" s="1"/>
  <c r="AQ145" i="2"/>
  <c r="K342" i="1"/>
  <c r="E137" i="1" l="1"/>
  <c r="AV272" i="2"/>
  <c r="AU272" i="3"/>
  <c r="CJ516" i="3"/>
  <c r="AQ384" i="5"/>
  <c r="CJ484" i="3"/>
  <c r="AQ485" i="2"/>
  <c r="AR302" i="2"/>
  <c r="CK302" i="3" s="1"/>
  <c r="AQ17" i="5"/>
  <c r="Z45" i="9"/>
  <c r="CJ145" i="3"/>
  <c r="AQ146" i="2"/>
  <c r="AQ244" i="2"/>
  <c r="AQ148" i="2"/>
  <c r="AQ229" i="2"/>
  <c r="AR8" i="2" l="1"/>
  <c r="AQ248" i="2"/>
  <c r="CJ148" i="3"/>
  <c r="CJ485" i="3"/>
  <c r="AQ425" i="2"/>
  <c r="CJ425" i="3" s="1"/>
  <c r="AQ90" i="5"/>
  <c r="AQ346" i="5" s="1"/>
  <c r="CJ229" i="3"/>
  <c r="CJ244" i="3"/>
  <c r="AQ245" i="2"/>
  <c r="Z141" i="9"/>
  <c r="AJ45" i="9"/>
  <c r="AL45" i="9" s="1"/>
  <c r="CJ146" i="3"/>
  <c r="AQ109" i="5"/>
  <c r="AQ213" i="5"/>
  <c r="AQ18" i="5"/>
  <c r="AQ19" i="5" l="1"/>
  <c r="AQ214" i="5"/>
  <c r="AJ141" i="9"/>
  <c r="AL141" i="9"/>
  <c r="AQ259" i="2"/>
  <c r="BT45" i="9"/>
  <c r="CJ248" i="3"/>
  <c r="CJ245" i="3"/>
  <c r="AQ260" i="2"/>
  <c r="CJ260" i="3" s="1"/>
  <c r="AP373" i="1"/>
  <c r="AQ486" i="2"/>
  <c r="CJ486" i="3" s="1"/>
  <c r="F46" i="9"/>
  <c r="CK8" i="3"/>
  <c r="AR19" i="2"/>
  <c r="AR447" i="2"/>
  <c r="AQ389" i="1"/>
  <c r="I296" i="1"/>
  <c r="AR20" i="2"/>
  <c r="AR450" i="2"/>
  <c r="AR390" i="2"/>
  <c r="AR372" i="5"/>
  <c r="AR374" i="5" s="1"/>
  <c r="AR84" i="2"/>
  <c r="AR232" i="2" l="1"/>
  <c r="CK232" i="3" s="1"/>
  <c r="AR10" i="5"/>
  <c r="AR206" i="5" s="1"/>
  <c r="CK19" i="3"/>
  <c r="AR364" i="5"/>
  <c r="AR366" i="5" s="1"/>
  <c r="BT141" i="9"/>
  <c r="BY45" i="9"/>
  <c r="BY141" i="9" s="1"/>
  <c r="AQ368" i="5"/>
  <c r="AQ370" i="5" s="1"/>
  <c r="AQ144" i="5" s="1"/>
  <c r="AQ261" i="2"/>
  <c r="CJ261" i="3" s="1"/>
  <c r="CJ259" i="3"/>
  <c r="K46" i="9"/>
  <c r="F142" i="9"/>
  <c r="AR15" i="5"/>
  <c r="AR212" i="5" s="1"/>
  <c r="AR238" i="2"/>
  <c r="CK84" i="3"/>
  <c r="AR85" i="2"/>
  <c r="CK390" i="3"/>
  <c r="AR393" i="2"/>
  <c r="AR394" i="2"/>
  <c r="AR392" i="2"/>
  <c r="AR391" i="2"/>
  <c r="CK450" i="3"/>
  <c r="CK447" i="3"/>
  <c r="AQ215" i="5"/>
  <c r="AQ20" i="5"/>
  <c r="K142" i="9" l="1"/>
  <c r="AD46" i="9"/>
  <c r="AD142" i="9" s="1"/>
  <c r="CK238" i="3"/>
  <c r="AR240" i="2"/>
  <c r="CK392" i="3"/>
  <c r="CK394" i="3"/>
  <c r="AR395" i="2"/>
  <c r="CK391" i="3"/>
  <c r="CK393" i="3"/>
  <c r="AR290" i="2"/>
  <c r="CK290" i="3" s="1"/>
  <c r="AR470" i="2"/>
  <c r="CK470" i="3" s="1"/>
  <c r="CK85" i="3"/>
  <c r="AR287" i="2"/>
  <c r="CK287" i="3" l="1"/>
  <c r="AR303" i="2"/>
  <c r="AI46" i="9"/>
  <c r="AI142" i="9" s="1"/>
  <c r="CK240" i="3"/>
  <c r="AR405" i="2"/>
  <c r="CK405" i="3" s="1"/>
  <c r="AR396" i="2"/>
  <c r="CK396" i="3" s="1"/>
  <c r="CK395" i="3"/>
  <c r="CK303" i="3" l="1"/>
  <c r="AR95" i="2"/>
  <c r="AR249" i="2" l="1"/>
  <c r="AR320" i="2"/>
  <c r="CK95" i="3"/>
  <c r="AQ46" i="9"/>
  <c r="AS9" i="2"/>
  <c r="AR457" i="2"/>
  <c r="AR103" i="2"/>
  <c r="AR175" i="2" s="1"/>
  <c r="AS93" i="2" l="1"/>
  <c r="AS96" i="2"/>
  <c r="AS489" i="2"/>
  <c r="CL9" i="3"/>
  <c r="CK175" i="3"/>
  <c r="AR281" i="2"/>
  <c r="CK320" i="3"/>
  <c r="AR321" i="2"/>
  <c r="CK457" i="3"/>
  <c r="AQ142" i="9"/>
  <c r="AT46" i="9"/>
  <c r="CK249" i="3"/>
  <c r="AR116" i="2"/>
  <c r="AR117" i="2" s="1"/>
  <c r="CK103" i="3"/>
  <c r="AR250" i="2"/>
  <c r="CK250" i="3" s="1"/>
  <c r="AR331" i="2"/>
  <c r="AW46" i="9"/>
  <c r="AR461" i="2"/>
  <c r="CK461" i="3" s="1"/>
  <c r="AS10" i="2"/>
  <c r="AR501" i="2"/>
  <c r="AR251" i="2" l="1"/>
  <c r="CK251" i="3" s="1"/>
  <c r="AR508" i="2"/>
  <c r="AR253" i="2"/>
  <c r="CK253" i="3" s="1"/>
  <c r="AS13" i="2"/>
  <c r="CK117" i="3"/>
  <c r="AR348" i="2"/>
  <c r="BF46" i="9"/>
  <c r="CK501" i="3"/>
  <c r="AR503" i="2"/>
  <c r="AS11" i="2"/>
  <c r="AS100" i="2"/>
  <c r="CL10" i="3"/>
  <c r="CK281" i="3"/>
  <c r="AT142" i="9"/>
  <c r="AY46" i="9"/>
  <c r="AY142" i="9" s="1"/>
  <c r="AW142" i="9"/>
  <c r="AR332" i="2"/>
  <c r="CK331" i="3"/>
  <c r="CL489" i="3"/>
  <c r="AE47" i="9"/>
  <c r="CL96" i="3"/>
  <c r="E96" i="2"/>
  <c r="AR47" i="9"/>
  <c r="AS310" i="2"/>
  <c r="AR252" i="2"/>
  <c r="CK116" i="3"/>
  <c r="AR347" i="2"/>
  <c r="AS12" i="2"/>
  <c r="BB46" i="9"/>
  <c r="AR118" i="2"/>
  <c r="CK321" i="3"/>
  <c r="AS306" i="2"/>
  <c r="H296" i="1"/>
  <c r="A297" i="1" s="1"/>
  <c r="CL93" i="3"/>
  <c r="E93" i="2"/>
  <c r="AS94" i="2"/>
  <c r="BU46" i="9" l="1"/>
  <c r="BU142" i="9" s="1"/>
  <c r="AR505" i="2"/>
  <c r="CK503" i="3"/>
  <c r="CL306" i="3"/>
  <c r="CK252" i="3"/>
  <c r="AR254" i="2"/>
  <c r="BF142" i="9"/>
  <c r="BG46" i="9"/>
  <c r="BG142" i="9" s="1"/>
  <c r="AR143" i="9"/>
  <c r="AR144" i="9" s="1"/>
  <c r="AR48" i="9"/>
  <c r="CK118" i="3"/>
  <c r="AR464" i="2"/>
  <c r="AR177" i="2"/>
  <c r="AR126" i="2"/>
  <c r="AU96" i="3"/>
  <c r="AV96" i="3" s="1"/>
  <c r="F65" i="5"/>
  <c r="F310" i="5" s="1"/>
  <c r="AV96" i="2"/>
  <c r="AS324" i="2"/>
  <c r="CK332" i="3"/>
  <c r="AR350" i="2"/>
  <c r="AS336" i="2" s="1"/>
  <c r="CK349" i="3"/>
  <c r="E310" i="2"/>
  <c r="CL310" i="3"/>
  <c r="BC46" i="9"/>
  <c r="BB142" i="9"/>
  <c r="AN47" i="9"/>
  <c r="CL94" i="3"/>
  <c r="AS456" i="2"/>
  <c r="AS308" i="2"/>
  <c r="AS293" i="2"/>
  <c r="AS377" i="5"/>
  <c r="E94" i="2"/>
  <c r="AS491" i="2"/>
  <c r="AS29" i="2"/>
  <c r="CL12" i="3"/>
  <c r="AS32" i="2"/>
  <c r="AS14" i="2"/>
  <c r="AE143" i="9"/>
  <c r="AE144" i="9" s="1"/>
  <c r="AE48" i="9"/>
  <c r="AS33" i="2"/>
  <c r="CL13" i="3"/>
  <c r="AS102" i="2"/>
  <c r="CL100" i="3"/>
  <c r="E100" i="2"/>
  <c r="AU93" i="3"/>
  <c r="AV93" i="3" s="1"/>
  <c r="AV93" i="2"/>
  <c r="CK348" i="3"/>
  <c r="AR349" i="2"/>
  <c r="CL11" i="3"/>
  <c r="G47" i="9"/>
  <c r="G143" i="9" s="1"/>
  <c r="AR510" i="2"/>
  <c r="CK508" i="3"/>
  <c r="CK510" i="3" l="1"/>
  <c r="AR512" i="2"/>
  <c r="CK126" i="3"/>
  <c r="AR363" i="2"/>
  <c r="AR467" i="2"/>
  <c r="CK467" i="3" s="1"/>
  <c r="AS15" i="2"/>
  <c r="AR255" i="2"/>
  <c r="BI46" i="9"/>
  <c r="BV46" i="9"/>
  <c r="BV142" i="9" s="1"/>
  <c r="CK254" i="3"/>
  <c r="AS340" i="2"/>
  <c r="CL337" i="3"/>
  <c r="CK177" i="3"/>
  <c r="AR282" i="2"/>
  <c r="CL308" i="3"/>
  <c r="E308" i="2"/>
  <c r="CL456" i="3"/>
  <c r="E456" i="2"/>
  <c r="AS493" i="2"/>
  <c r="CL491" i="3"/>
  <c r="E491" i="2"/>
  <c r="AS494" i="2"/>
  <c r="CL494" i="3" s="1"/>
  <c r="CK464" i="3"/>
  <c r="AS34" i="2"/>
  <c r="CL33" i="3"/>
  <c r="E33" i="2"/>
  <c r="AS344" i="2"/>
  <c r="AU94" i="3"/>
  <c r="AV94" i="3" s="1"/>
  <c r="AV94" i="2"/>
  <c r="M18" i="1"/>
  <c r="AN143" i="9"/>
  <c r="AN144" i="9" s="1"/>
  <c r="AN48" i="9"/>
  <c r="CL324" i="3"/>
  <c r="AS309" i="2"/>
  <c r="AU47" i="9"/>
  <c r="CL102" i="3"/>
  <c r="AS502" i="2"/>
  <c r="AS296" i="2"/>
  <c r="AS378" i="5"/>
  <c r="AS326" i="2"/>
  <c r="AS460" i="2"/>
  <c r="E102" i="2"/>
  <c r="E34" i="5" s="1"/>
  <c r="E279" i="5" s="1"/>
  <c r="AS176" i="2"/>
  <c r="AS313" i="2"/>
  <c r="E29" i="2"/>
  <c r="CL29" i="3"/>
  <c r="AS317" i="2"/>
  <c r="AS379" i="5"/>
  <c r="BC142" i="9"/>
  <c r="H47" i="9"/>
  <c r="H143" i="9" s="1"/>
  <c r="CL14" i="3"/>
  <c r="D377" i="5"/>
  <c r="E377" i="5"/>
  <c r="D168" i="5" s="1"/>
  <c r="AS335" i="2"/>
  <c r="CK350" i="3"/>
  <c r="AU100" i="3"/>
  <c r="AV100" i="3" s="1"/>
  <c r="AV100" i="2"/>
  <c r="E32" i="2"/>
  <c r="CL32" i="3"/>
  <c r="AS343" i="2"/>
  <c r="CL293" i="3"/>
  <c r="E293" i="2"/>
  <c r="AU310" i="3"/>
  <c r="AV310" i="3" s="1"/>
  <c r="AV310" i="2"/>
  <c r="AR135" i="2"/>
  <c r="AR506" i="2"/>
  <c r="CK505" i="3"/>
  <c r="F168" i="5" l="1"/>
  <c r="G168" i="5" s="1"/>
  <c r="H168" i="5"/>
  <c r="CL326" i="3"/>
  <c r="E326" i="2"/>
  <c r="AS327" i="2"/>
  <c r="BI142" i="9"/>
  <c r="BL46" i="9"/>
  <c r="CL317" i="3"/>
  <c r="E317" i="2"/>
  <c r="D378" i="5"/>
  <c r="E378" i="5"/>
  <c r="E344" i="2"/>
  <c r="CL345" i="3"/>
  <c r="CK282" i="3"/>
  <c r="AR284" i="2"/>
  <c r="CK255" i="3"/>
  <c r="AR257" i="2"/>
  <c r="G56" i="5"/>
  <c r="G301" i="5" s="1"/>
  <c r="AV33" i="2"/>
  <c r="AU33" i="3"/>
  <c r="AV33" i="3" s="1"/>
  <c r="AS127" i="2"/>
  <c r="AS17" i="2"/>
  <c r="CL15" i="3"/>
  <c r="CL344" i="3"/>
  <c r="E343" i="2"/>
  <c r="CL502" i="3"/>
  <c r="E502" i="2"/>
  <c r="AR258" i="2"/>
  <c r="AR382" i="2"/>
  <c r="CK135" i="3"/>
  <c r="AS18" i="2"/>
  <c r="BO46" i="9"/>
  <c r="AR469" i="2"/>
  <c r="CK469" i="3" s="1"/>
  <c r="F66" i="5"/>
  <c r="F311" i="5" s="1"/>
  <c r="O47" i="9"/>
  <c r="E34" i="2"/>
  <c r="CL34" i="3"/>
  <c r="AS496" i="2"/>
  <c r="CL493" i="3"/>
  <c r="AR364" i="2"/>
  <c r="AS353" i="2" s="1"/>
  <c r="CK364" i="3"/>
  <c r="CL176" i="3"/>
  <c r="AR357" i="1"/>
  <c r="D357" i="1" s="1"/>
  <c r="E176" i="2"/>
  <c r="AU143" i="9"/>
  <c r="AU144" i="9" s="1"/>
  <c r="AU48" i="9"/>
  <c r="AC38" i="1" s="1"/>
  <c r="AS319" i="2"/>
  <c r="CL319" i="3" s="1"/>
  <c r="AS114" i="2"/>
  <c r="CL341" i="3"/>
  <c r="CL296" i="3"/>
  <c r="E296" i="2"/>
  <c r="AV32" i="2"/>
  <c r="G55" i="5"/>
  <c r="AU32" i="3"/>
  <c r="AV32" i="3" s="1"/>
  <c r="AS383" i="5"/>
  <c r="E383" i="5" s="1"/>
  <c r="E379" i="5"/>
  <c r="D379" i="5"/>
  <c r="D383" i="5" s="1"/>
  <c r="AU102" i="3"/>
  <c r="AV102" i="3" s="1"/>
  <c r="AV102" i="2"/>
  <c r="AR390" i="1"/>
  <c r="CL309" i="3"/>
  <c r="AR472" i="2"/>
  <c r="CK512" i="3"/>
  <c r="AR513" i="2"/>
  <c r="F52" i="5"/>
  <c r="AU29" i="3"/>
  <c r="AV29" i="3" s="1"/>
  <c r="AV29" i="2"/>
  <c r="AV293" i="2"/>
  <c r="AU293" i="3"/>
  <c r="AV293" i="3" s="1"/>
  <c r="CL335" i="3"/>
  <c r="CL336" i="3"/>
  <c r="AS339" i="2"/>
  <c r="CL460" i="3"/>
  <c r="E460" i="2"/>
  <c r="AV308" i="2"/>
  <c r="AU308" i="3"/>
  <c r="AV308" i="3" s="1"/>
  <c r="AR474" i="2" l="1"/>
  <c r="CK474" i="3" s="1"/>
  <c r="AS38" i="2"/>
  <c r="J47" i="9"/>
  <c r="J143" i="9" s="1"/>
  <c r="E297" i="1"/>
  <c r="CL18" i="3"/>
  <c r="E496" i="2"/>
  <c r="CL496" i="3"/>
  <c r="AS497" i="2"/>
  <c r="CK284" i="3"/>
  <c r="AQ359" i="1"/>
  <c r="BL142" i="9"/>
  <c r="G300" i="5"/>
  <c r="G61" i="5"/>
  <c r="G306" i="5" s="1"/>
  <c r="CK382" i="3"/>
  <c r="AR383" i="2"/>
  <c r="CL17" i="3"/>
  <c r="I47" i="9"/>
  <c r="I143" i="9" s="1"/>
  <c r="CK472" i="3"/>
  <c r="AR28" i="2"/>
  <c r="AR402" i="2"/>
  <c r="AR400" i="2"/>
  <c r="AR399" i="2"/>
  <c r="AR401" i="2"/>
  <c r="AV176" i="2"/>
  <c r="AU176" i="3"/>
  <c r="AV176" i="3" s="1"/>
  <c r="AV34" i="2"/>
  <c r="AU34" i="3"/>
  <c r="AV34" i="3" s="1"/>
  <c r="AR175" i="5"/>
  <c r="BX46" i="9"/>
  <c r="BX142" i="9" s="1"/>
  <c r="CK258" i="3"/>
  <c r="CL127" i="3"/>
  <c r="E127" i="2"/>
  <c r="AS355" i="2"/>
  <c r="BK47" i="9"/>
  <c r="AG47" i="9"/>
  <c r="AS99" i="2"/>
  <c r="CL327" i="3"/>
  <c r="AV296" i="2"/>
  <c r="AU296" i="3"/>
  <c r="AV296" i="3" s="1"/>
  <c r="O48" i="9"/>
  <c r="O143" i="9"/>
  <c r="O144" i="9" s="1"/>
  <c r="AU344" i="3"/>
  <c r="AV344" i="3" s="1"/>
  <c r="AV344" i="2"/>
  <c r="AU326" i="3"/>
  <c r="AV326" i="3" s="1"/>
  <c r="AV326" i="2"/>
  <c r="F297" i="5"/>
  <c r="AU343" i="3"/>
  <c r="AV343" i="3" s="1"/>
  <c r="AV343" i="2"/>
  <c r="AS113" i="2"/>
  <c r="CL340" i="3"/>
  <c r="D359" i="5"/>
  <c r="E414" i="1"/>
  <c r="E114" i="2"/>
  <c r="AS342" i="2"/>
  <c r="BE47" i="9"/>
  <c r="CL114" i="3"/>
  <c r="CL353" i="3"/>
  <c r="AR391" i="1"/>
  <c r="BO142" i="9"/>
  <c r="BP46" i="9"/>
  <c r="BP142" i="9" s="1"/>
  <c r="BW46" i="9"/>
  <c r="BW142" i="9" s="1"/>
  <c r="CK257" i="3"/>
  <c r="AU317" i="3"/>
  <c r="AV317" i="3" s="1"/>
  <c r="AV317" i="2"/>
  <c r="AR476" i="2" l="1"/>
  <c r="CK476" i="3" s="1"/>
  <c r="E428" i="1"/>
  <c r="F428" i="1" s="1"/>
  <c r="F414" i="1"/>
  <c r="CK400" i="3"/>
  <c r="AR409" i="2"/>
  <c r="AS328" i="2"/>
  <c r="AS459" i="2"/>
  <c r="AV47" i="9"/>
  <c r="CL99" i="3"/>
  <c r="E99" i="2"/>
  <c r="AS295" i="2"/>
  <c r="AS30" i="2"/>
  <c r="CK402" i="3"/>
  <c r="AR411" i="2"/>
  <c r="CL497" i="3"/>
  <c r="E497" i="2"/>
  <c r="AS498" i="2"/>
  <c r="AG48" i="9"/>
  <c r="AG143" i="9"/>
  <c r="AG144" i="9" s="1"/>
  <c r="AR390" i="5"/>
  <c r="AR71" i="2"/>
  <c r="M46" i="9"/>
  <c r="AR438" i="2"/>
  <c r="AR11" i="5"/>
  <c r="CK28" i="3"/>
  <c r="AR169" i="2"/>
  <c r="AR139" i="2"/>
  <c r="AR241" i="2"/>
  <c r="F359" i="5"/>
  <c r="G359" i="5"/>
  <c r="CL113" i="3"/>
  <c r="E113" i="2"/>
  <c r="AS341" i="2"/>
  <c r="AS115" i="2"/>
  <c r="BA47" i="9"/>
  <c r="BK143" i="9"/>
  <c r="BK144" i="9" s="1"/>
  <c r="BK48" i="9"/>
  <c r="AS357" i="2"/>
  <c r="CL355" i="3"/>
  <c r="E355" i="2"/>
  <c r="BE143" i="9"/>
  <c r="BE144" i="9" s="1"/>
  <c r="BE48" i="9"/>
  <c r="AV127" i="2"/>
  <c r="AU127" i="3"/>
  <c r="AV127" i="3" s="1"/>
  <c r="H74" i="5"/>
  <c r="H319" i="5" s="1"/>
  <c r="BR46" i="9"/>
  <c r="BR142" i="9" s="1"/>
  <c r="CL343" i="3"/>
  <c r="E342" i="2"/>
  <c r="AS346" i="2"/>
  <c r="CL347" i="3" s="1"/>
  <c r="CK401" i="3"/>
  <c r="AR410" i="2"/>
  <c r="CK383" i="3"/>
  <c r="AS377" i="2"/>
  <c r="AV114" i="2"/>
  <c r="I160" i="1"/>
  <c r="AU114" i="3"/>
  <c r="AV114" i="3" s="1"/>
  <c r="CK399" i="3"/>
  <c r="AR403" i="2"/>
  <c r="AR408" i="2"/>
  <c r="E38" i="2"/>
  <c r="AS379" i="2"/>
  <c r="AS173" i="5"/>
  <c r="Q47" i="9"/>
  <c r="CL38" i="3"/>
  <c r="AR478" i="2" l="1"/>
  <c r="CK478" i="3" s="1"/>
  <c r="AS121" i="2"/>
  <c r="CL358" i="3"/>
  <c r="AU113" i="3"/>
  <c r="AV113" i="3" s="1"/>
  <c r="I159" i="1"/>
  <c r="AV113" i="2"/>
  <c r="E498" i="2"/>
  <c r="CL498" i="3"/>
  <c r="D173" i="5"/>
  <c r="D175" i="5" s="1"/>
  <c r="E173" i="5"/>
  <c r="E379" i="2"/>
  <c r="AU379" i="3" s="1"/>
  <c r="AV379" i="3" s="1"/>
  <c r="CL379" i="3"/>
  <c r="CL377" i="3"/>
  <c r="AS381" i="2"/>
  <c r="CL381" i="3" s="1"/>
  <c r="AR207" i="5"/>
  <c r="AV143" i="9"/>
  <c r="AV144" i="9" s="1"/>
  <c r="AV48" i="9"/>
  <c r="I60" i="5"/>
  <c r="AV38" i="2"/>
  <c r="AU38" i="3"/>
  <c r="AV38" i="3" s="1"/>
  <c r="D152" i="5"/>
  <c r="AR444" i="2"/>
  <c r="CK444" i="3" s="1"/>
  <c r="CK438" i="3"/>
  <c r="CL459" i="3"/>
  <c r="E459" i="2"/>
  <c r="CK408" i="3"/>
  <c r="AR412" i="2"/>
  <c r="CK412" i="3" s="1"/>
  <c r="AR415" i="2"/>
  <c r="CK410" i="3"/>
  <c r="AR417" i="2"/>
  <c r="W46" i="9"/>
  <c r="M142" i="9"/>
  <c r="AR418" i="2"/>
  <c r="CK418" i="3" s="1"/>
  <c r="CK411" i="3"/>
  <c r="E328" i="2"/>
  <c r="CL328" i="3"/>
  <c r="CK403" i="3"/>
  <c r="CK71" i="3"/>
  <c r="AR386" i="5"/>
  <c r="AR388" i="5" s="1"/>
  <c r="AQ368" i="1"/>
  <c r="CK409" i="3"/>
  <c r="AR416" i="2"/>
  <c r="CK416" i="3" s="1"/>
  <c r="BA143" i="9"/>
  <c r="BA144" i="9" s="1"/>
  <c r="BA48" i="9"/>
  <c r="CK241" i="3"/>
  <c r="AR394" i="5"/>
  <c r="AR391" i="5"/>
  <c r="AR395" i="5" s="1"/>
  <c r="AS329" i="2"/>
  <c r="AS330" i="2" s="1"/>
  <c r="CL330" i="3" s="1"/>
  <c r="CL30" i="3"/>
  <c r="E30" i="2"/>
  <c r="AS31" i="2"/>
  <c r="AU342" i="3"/>
  <c r="AV342" i="3" s="1"/>
  <c r="AV342" i="2"/>
  <c r="AV355" i="2"/>
  <c r="AU355" i="3"/>
  <c r="AV355" i="3" s="1"/>
  <c r="E115" i="2"/>
  <c r="AS298" i="2"/>
  <c r="CL115" i="3"/>
  <c r="AS462" i="2"/>
  <c r="CK139" i="3"/>
  <c r="CL295" i="3"/>
  <c r="E295" i="2"/>
  <c r="Q143" i="9"/>
  <c r="Q144" i="9" s="1"/>
  <c r="Q48" i="9"/>
  <c r="E341" i="2"/>
  <c r="CL342" i="3"/>
  <c r="AS345" i="2"/>
  <c r="CL346" i="3" s="1"/>
  <c r="CK169" i="3"/>
  <c r="AQ354" i="1"/>
  <c r="F64" i="5"/>
  <c r="F309" i="5" s="1"/>
  <c r="AU99" i="3"/>
  <c r="AV99" i="3" s="1"/>
  <c r="D99" i="3" s="1"/>
  <c r="E33" i="5"/>
  <c r="E278" i="5" s="1"/>
  <c r="AV99" i="2"/>
  <c r="D99" i="2" s="1"/>
  <c r="I151" i="1"/>
  <c r="AR480" i="2" l="1"/>
  <c r="CK480" i="3" s="1"/>
  <c r="AU115" i="3"/>
  <c r="AV115" i="3" s="1"/>
  <c r="AV115" i="2"/>
  <c r="G69" i="5"/>
  <c r="G314" i="5" s="1"/>
  <c r="E38" i="5"/>
  <c r="E283" i="5" s="1"/>
  <c r="CL329" i="3"/>
  <c r="E329" i="2"/>
  <c r="CK415" i="3"/>
  <c r="AR419" i="2"/>
  <c r="AU295" i="3"/>
  <c r="AV295" i="3" s="1"/>
  <c r="AV295" i="2"/>
  <c r="AU328" i="3"/>
  <c r="AV328" i="3" s="1"/>
  <c r="AV328" i="2"/>
  <c r="AR413" i="2"/>
  <c r="I61" i="5"/>
  <c r="I306" i="5" s="1"/>
  <c r="I305" i="5"/>
  <c r="CL298" i="3"/>
  <c r="E298" i="2"/>
  <c r="E462" i="2"/>
  <c r="CL462" i="3"/>
  <c r="CL31" i="3"/>
  <c r="AS439" i="2"/>
  <c r="E31" i="2"/>
  <c r="N47" i="9"/>
  <c r="W142" i="9"/>
  <c r="AU341" i="3"/>
  <c r="AV341" i="3" s="1"/>
  <c r="AV341" i="2"/>
  <c r="AU30" i="3"/>
  <c r="AV30" i="3" s="1"/>
  <c r="F54" i="5"/>
  <c r="AV30" i="2"/>
  <c r="CK417" i="3"/>
  <c r="AR170" i="2"/>
  <c r="E121" i="2"/>
  <c r="CL121" i="3"/>
  <c r="AS358" i="2"/>
  <c r="AR481" i="2" l="1"/>
  <c r="E439" i="2"/>
  <c r="CL439" i="3"/>
  <c r="F299" i="5"/>
  <c r="F61" i="5"/>
  <c r="F306" i="5" s="1"/>
  <c r="AU298" i="3"/>
  <c r="AV298" i="3" s="1"/>
  <c r="AV298" i="2"/>
  <c r="AR268" i="2"/>
  <c r="CK268" i="3" s="1"/>
  <c r="AQ355" i="1"/>
  <c r="AR210" i="2"/>
  <c r="CK170" i="3"/>
  <c r="AR192" i="2"/>
  <c r="AR171" i="2"/>
  <c r="CK419" i="3"/>
  <c r="AR420" i="2"/>
  <c r="CK420" i="3" s="1"/>
  <c r="E358" i="2"/>
  <c r="CL359" i="3"/>
  <c r="AS359" i="2"/>
  <c r="N143" i="9"/>
  <c r="N144" i="9" s="1"/>
  <c r="N48" i="9"/>
  <c r="AC35" i="1" s="1"/>
  <c r="CK481" i="3"/>
  <c r="AR482" i="2"/>
  <c r="CK482" i="3" s="1"/>
  <c r="AU121" i="3"/>
  <c r="AV121" i="3" s="1"/>
  <c r="AV121" i="2"/>
  <c r="I154" i="1"/>
  <c r="AU31" i="3"/>
  <c r="AV31" i="3" s="1"/>
  <c r="AV31" i="2"/>
  <c r="AU329" i="3"/>
  <c r="AV329" i="3" s="1"/>
  <c r="AV329" i="2"/>
  <c r="AQ356" i="1" l="1"/>
  <c r="AQ361" i="1" s="1"/>
  <c r="CK171" i="3"/>
  <c r="AQ366" i="1"/>
  <c r="CK192" i="3"/>
  <c r="CL360" i="3"/>
  <c r="AS122" i="2"/>
  <c r="AR182" i="2"/>
  <c r="AU358" i="3"/>
  <c r="AV358" i="3" s="1"/>
  <c r="AV358" i="2"/>
  <c r="AQ380" i="1"/>
  <c r="CK210" i="3"/>
  <c r="CK182" i="3" l="1"/>
  <c r="AR153" i="2"/>
  <c r="AR207" i="2"/>
  <c r="E122" i="2"/>
  <c r="CL122" i="3"/>
  <c r="AS360" i="2"/>
  <c r="AS123" i="2"/>
  <c r="E123" i="2" l="1"/>
  <c r="CL123" i="3"/>
  <c r="AS125" i="2"/>
  <c r="BH47" i="9"/>
  <c r="AS35" i="2"/>
  <c r="E360" i="2"/>
  <c r="CL361" i="3"/>
  <c r="AU122" i="3"/>
  <c r="AV122" i="3" s="1"/>
  <c r="I155" i="1"/>
  <c r="AV122" i="2"/>
  <c r="CK207" i="3"/>
  <c r="AR154" i="2"/>
  <c r="CK153" i="3"/>
  <c r="AR156" i="2" l="1"/>
  <c r="CK154" i="3"/>
  <c r="AU360" i="3"/>
  <c r="AV360" i="3" s="1"/>
  <c r="AV360" i="2"/>
  <c r="CL35" i="3"/>
  <c r="AS361" i="2"/>
  <c r="E35" i="2"/>
  <c r="AS37" i="2"/>
  <c r="BH48" i="9"/>
  <c r="BH143" i="9"/>
  <c r="BH144" i="9" s="1"/>
  <c r="AS299" i="2"/>
  <c r="CL125" i="3"/>
  <c r="AS466" i="2"/>
  <c r="E125" i="2"/>
  <c r="AU123" i="3"/>
  <c r="AV123" i="3" s="1"/>
  <c r="AV123" i="2"/>
  <c r="E37" i="2" l="1"/>
  <c r="AS440" i="2"/>
  <c r="P47" i="9"/>
  <c r="CL37" i="3"/>
  <c r="H57" i="5"/>
  <c r="AU35" i="3"/>
  <c r="AV35" i="3" s="1"/>
  <c r="AV35" i="2"/>
  <c r="H72" i="5"/>
  <c r="H317" i="5" s="1"/>
  <c r="AV125" i="2"/>
  <c r="E41" i="5"/>
  <c r="E286" i="5" s="1"/>
  <c r="AU125" i="3"/>
  <c r="AV125" i="3" s="1"/>
  <c r="CL356" i="3"/>
  <c r="CL362" i="3"/>
  <c r="E361" i="2"/>
  <c r="AS362" i="2"/>
  <c r="CL363" i="3" s="1"/>
  <c r="E466" i="2"/>
  <c r="CL466" i="3"/>
  <c r="E299" i="2"/>
  <c r="CL299" i="3"/>
  <c r="CK156" i="3"/>
  <c r="AR158" i="2"/>
  <c r="AR159" i="2"/>
  <c r="AU361" i="3" l="1"/>
  <c r="AV361" i="3" s="1"/>
  <c r="AV361" i="2"/>
  <c r="CK159" i="3"/>
  <c r="AR160" i="2"/>
  <c r="H61" i="5"/>
  <c r="H306" i="5" s="1"/>
  <c r="H302" i="5"/>
  <c r="CK158" i="3"/>
  <c r="AR162" i="2"/>
  <c r="CK162" i="3" s="1"/>
  <c r="AV299" i="2"/>
  <c r="AU299" i="3"/>
  <c r="AV299" i="3" s="1"/>
  <c r="P143" i="9"/>
  <c r="P144" i="9" s="1"/>
  <c r="P48" i="9"/>
  <c r="AE35" i="1" s="1"/>
  <c r="E440" i="2"/>
  <c r="CL440" i="3"/>
  <c r="AV37" i="2"/>
  <c r="AU37" i="3"/>
  <c r="AV37" i="3" s="1"/>
  <c r="AR161" i="2" l="1"/>
  <c r="CK160" i="3"/>
  <c r="CK161" i="3" l="1"/>
  <c r="AR163" i="2"/>
  <c r="AR165" i="2" l="1"/>
  <c r="AR267" i="2" s="1"/>
  <c r="CK163" i="3"/>
  <c r="AR166" i="2" l="1"/>
  <c r="CK166" i="3" s="1"/>
  <c r="AR112" i="5"/>
  <c r="AR140" i="5" s="1"/>
  <c r="CK165" i="3"/>
  <c r="AR183" i="2"/>
  <c r="CK267" i="3"/>
  <c r="AR208" i="2" l="1"/>
  <c r="CK183" i="3"/>
  <c r="AQ363" i="1"/>
  <c r="AQ364" i="1" s="1"/>
  <c r="AQ375" i="1"/>
  <c r="AR184" i="2"/>
  <c r="AR85" i="5" l="1"/>
  <c r="AR342" i="5" s="1"/>
  <c r="AR266" i="2"/>
  <c r="AR399" i="5"/>
  <c r="AR94" i="4"/>
  <c r="CK184" i="3"/>
  <c r="AR191" i="2"/>
  <c r="AR397" i="5"/>
  <c r="AQ374" i="1"/>
  <c r="AQ377" i="1" s="1"/>
  <c r="AQ367" i="1"/>
  <c r="CK208" i="3"/>
  <c r="AQ378" i="1"/>
  <c r="AR212" i="2"/>
  <c r="AQ382" i="1" l="1"/>
  <c r="AQ384" i="1" s="1"/>
  <c r="AR271" i="2"/>
  <c r="AR86" i="4" s="1"/>
  <c r="AR270" i="2"/>
  <c r="CK191" i="3"/>
  <c r="AR193" i="2"/>
  <c r="CK266" i="3"/>
  <c r="AR218" i="2"/>
  <c r="AR225" i="2"/>
  <c r="CK225" i="3" s="1"/>
  <c r="CK212" i="3"/>
  <c r="AR222" i="2" l="1"/>
  <c r="CK222" i="3" s="1"/>
  <c r="CK218" i="3"/>
  <c r="AR221" i="2"/>
  <c r="CK221" i="3" s="1"/>
  <c r="AR220" i="2"/>
  <c r="AR32" i="4"/>
  <c r="CK270" i="3"/>
  <c r="AR86" i="5"/>
  <c r="AR343" i="5" s="1"/>
  <c r="AR197" i="2"/>
  <c r="AR200" i="2"/>
  <c r="AR199" i="2"/>
  <c r="AR196" i="2"/>
  <c r="CK193" i="3"/>
  <c r="AR195" i="2"/>
  <c r="AR198" i="2"/>
  <c r="AR201" i="2"/>
  <c r="AR88" i="4" l="1"/>
  <c r="AR273" i="2" s="1"/>
  <c r="AR89" i="4"/>
  <c r="AR274" i="2" s="1"/>
  <c r="D343" i="1"/>
  <c r="AR202" i="2"/>
  <c r="AR313" i="4"/>
  <c r="K296" i="1" s="1"/>
  <c r="CK195" i="3"/>
  <c r="E343" i="1"/>
  <c r="AR314" i="4"/>
  <c r="L296" i="1" s="1"/>
  <c r="CK196" i="3"/>
  <c r="AR317" i="4"/>
  <c r="O296" i="1" s="1"/>
  <c r="H343" i="1"/>
  <c r="CK199" i="3"/>
  <c r="CK220" i="3"/>
  <c r="AR223" i="2"/>
  <c r="AR318" i="4"/>
  <c r="P296" i="1" s="1"/>
  <c r="CK200" i="3"/>
  <c r="I343" i="1"/>
  <c r="F343" i="1"/>
  <c r="AR315" i="4"/>
  <c r="M296" i="1" s="1"/>
  <c r="CK197" i="3"/>
  <c r="AR204" i="2"/>
  <c r="CK201" i="3"/>
  <c r="J343" i="1"/>
  <c r="CK198" i="3"/>
  <c r="AR316" i="4"/>
  <c r="N296" i="1" s="1"/>
  <c r="G343" i="1"/>
  <c r="AR227" i="2" l="1"/>
  <c r="AR422" i="2" s="1"/>
  <c r="CK223" i="3"/>
  <c r="AQ394" i="1"/>
  <c r="AR515" i="2"/>
  <c r="CK515" i="3" s="1"/>
  <c r="CK204" i="3"/>
  <c r="CK202" i="3"/>
  <c r="AQ370" i="1"/>
  <c r="AR87" i="5"/>
  <c r="AR344" i="5" s="1"/>
  <c r="AR203" i="2"/>
  <c r="C343" i="1"/>
  <c r="K343" i="1" l="1"/>
  <c r="AR145" i="2"/>
  <c r="AR146" i="2" s="1"/>
  <c r="AR88" i="5"/>
  <c r="J296" i="1"/>
  <c r="AR516" i="2"/>
  <c r="CK203" i="3"/>
  <c r="CK422" i="3"/>
  <c r="AR424" i="2"/>
  <c r="CK424" i="3" s="1"/>
  <c r="AS302" i="2"/>
  <c r="Z46" i="9"/>
  <c r="AR244" i="2"/>
  <c r="CK145" i="3"/>
  <c r="AR17" i="5"/>
  <c r="AR148" i="2"/>
  <c r="AR229" i="2"/>
  <c r="AR484" i="2"/>
  <c r="AQ393" i="1"/>
  <c r="CK227" i="3"/>
  <c r="AR89" i="5"/>
  <c r="AR345" i="5" s="1"/>
  <c r="AQ385" i="1"/>
  <c r="AQ386" i="1" s="1"/>
  <c r="AQ371" i="1"/>
  <c r="AQ372" i="1" s="1"/>
  <c r="AR228" i="2"/>
  <c r="CK228" i="3" s="1"/>
  <c r="Z142" i="9" l="1"/>
  <c r="AJ46" i="9"/>
  <c r="AL46" i="9" s="1"/>
  <c r="CK484" i="3"/>
  <c r="AR485" i="2"/>
  <c r="AR90" i="5"/>
  <c r="AR346" i="5" s="1"/>
  <c r="CK229" i="3"/>
  <c r="AR109" i="5"/>
  <c r="CK146" i="3"/>
  <c r="AR384" i="5"/>
  <c r="CK516" i="3"/>
  <c r="CL302" i="3"/>
  <c r="E302" i="2"/>
  <c r="AS8" i="2"/>
  <c r="AR248" i="2"/>
  <c r="CK148" i="3"/>
  <c r="AR213" i="5"/>
  <c r="AR18" i="5"/>
  <c r="CK244" i="3"/>
  <c r="AR245" i="2"/>
  <c r="AQ373" i="1" s="1"/>
  <c r="AU302" i="3" l="1"/>
  <c r="AV302" i="3" s="1"/>
  <c r="AV302" i="2"/>
  <c r="AR486" i="2"/>
  <c r="AS20" i="2"/>
  <c r="AT20" i="2" s="1"/>
  <c r="F47" i="9"/>
  <c r="AS450" i="2"/>
  <c r="CL8" i="3"/>
  <c r="AS84" i="2"/>
  <c r="AS372" i="5"/>
  <c r="AS374" i="5" s="1"/>
  <c r="AS390" i="2"/>
  <c r="AR389" i="1"/>
  <c r="AS447" i="2"/>
  <c r="AS19" i="2"/>
  <c r="I297" i="1"/>
  <c r="CK485" i="3"/>
  <c r="AR425" i="2"/>
  <c r="CK425" i="3" s="1"/>
  <c r="BT46" i="9"/>
  <c r="CK248" i="3"/>
  <c r="AR259" i="2"/>
  <c r="CK245" i="3"/>
  <c r="AR260" i="2"/>
  <c r="AR19" i="5"/>
  <c r="AR214" i="5"/>
  <c r="AJ142" i="9"/>
  <c r="AL142" i="9"/>
  <c r="AS15" i="5" l="1"/>
  <c r="CL84" i="3"/>
  <c r="E84" i="2"/>
  <c r="AS238" i="2"/>
  <c r="AS85" i="2"/>
  <c r="CL450" i="3"/>
  <c r="AR215" i="5"/>
  <c r="AR20" i="5"/>
  <c r="CL19" i="3"/>
  <c r="AS364" i="5"/>
  <c r="AS366" i="5" s="1"/>
  <c r="AS232" i="2"/>
  <c r="AS10" i="5"/>
  <c r="AS206" i="5" s="1"/>
  <c r="F143" i="9"/>
  <c r="K47" i="9"/>
  <c r="E145" i="1"/>
  <c r="N123" i="1"/>
  <c r="N125" i="1"/>
  <c r="B20" i="3"/>
  <c r="B20" i="2"/>
  <c r="J18" i="1"/>
  <c r="N39" i="1"/>
  <c r="N41" i="1"/>
  <c r="CK486" i="3"/>
  <c r="E486" i="2"/>
  <c r="AR261" i="2"/>
  <c r="CK261" i="3" s="1"/>
  <c r="CK259" i="3"/>
  <c r="AR368" i="5"/>
  <c r="AR370" i="5" s="1"/>
  <c r="AR144" i="5" s="1"/>
  <c r="AS392" i="2"/>
  <c r="AS393" i="2"/>
  <c r="E390" i="2"/>
  <c r="AS391" i="2"/>
  <c r="AS394" i="2"/>
  <c r="CL390" i="3"/>
  <c r="BY46" i="9"/>
  <c r="BY142" i="9" s="1"/>
  <c r="BT142" i="9"/>
  <c r="CK260" i="3"/>
  <c r="E447" i="2"/>
  <c r="CL447" i="3"/>
  <c r="E232" i="2"/>
  <c r="K143" i="9" l="1"/>
  <c r="AV232" i="2"/>
  <c r="AU232" i="3"/>
  <c r="AV232" i="3" s="1"/>
  <c r="CL393" i="3"/>
  <c r="CL232" i="3"/>
  <c r="AS290" i="2"/>
  <c r="AS470" i="2"/>
  <c r="E85" i="2"/>
  <c r="CL85" i="3"/>
  <c r="AS287" i="2"/>
  <c r="AS240" i="2"/>
  <c r="AD47" i="9"/>
  <c r="E238" i="2"/>
  <c r="CL238" i="3"/>
  <c r="CL392" i="3"/>
  <c r="CL394" i="3"/>
  <c r="AU84" i="3"/>
  <c r="AV84" i="3" s="1"/>
  <c r="AV84" i="2"/>
  <c r="AC16" i="1"/>
  <c r="CL391" i="3"/>
  <c r="AS395" i="2"/>
  <c r="AS212" i="5"/>
  <c r="E212" i="5" s="1"/>
  <c r="E15" i="5"/>
  <c r="AV85" i="2" l="1"/>
  <c r="E31" i="5"/>
  <c r="AU85" i="3"/>
  <c r="AV85" i="3" s="1"/>
  <c r="AC12" i="1"/>
  <c r="K174" i="1"/>
  <c r="AS396" i="2"/>
  <c r="AS405" i="2"/>
  <c r="CL405" i="3" s="1"/>
  <c r="E395" i="2"/>
  <c r="CL395" i="3"/>
  <c r="E470" i="2"/>
  <c r="CL470" i="3"/>
  <c r="CL290" i="3"/>
  <c r="E290" i="2"/>
  <c r="AU238" i="3"/>
  <c r="AV238" i="3" s="1"/>
  <c r="AV238" i="2"/>
  <c r="AD143" i="9"/>
  <c r="AD144" i="9" s="1"/>
  <c r="AD48" i="9"/>
  <c r="AA41" i="1" s="1"/>
  <c r="CL240" i="3"/>
  <c r="AI47" i="9"/>
  <c r="E240" i="2"/>
  <c r="AS303" i="2"/>
  <c r="CL287" i="3"/>
  <c r="E287" i="2"/>
  <c r="AV240" i="2" l="1"/>
  <c r="AU240" i="3"/>
  <c r="AV240" i="3" s="1"/>
  <c r="AI143" i="9"/>
  <c r="AI144" i="9" s="1"/>
  <c r="AI48" i="9"/>
  <c r="CL396" i="3"/>
  <c r="E396" i="2"/>
  <c r="AV287" i="2"/>
  <c r="AU287" i="3"/>
  <c r="AV287" i="3" s="1"/>
  <c r="E276" i="5"/>
  <c r="CL303" i="3"/>
  <c r="E303" i="2"/>
  <c r="AS95" i="2"/>
  <c r="AV290" i="2"/>
  <c r="AU290" i="3"/>
  <c r="AV290" i="3" s="1"/>
  <c r="E95" i="2" l="1"/>
  <c r="AS320" i="2"/>
  <c r="AS457" i="2"/>
  <c r="AQ47" i="9"/>
  <c r="CL95" i="3"/>
  <c r="AS249" i="2"/>
  <c r="AS103" i="2"/>
  <c r="AS116" i="2" s="1"/>
  <c r="AV303" i="2"/>
  <c r="AU303" i="3"/>
  <c r="AV303" i="3" s="1"/>
  <c r="E249" i="2"/>
  <c r="AV249" i="2" l="1"/>
  <c r="E9" i="2"/>
  <c r="AU249" i="3"/>
  <c r="AV249" i="3" s="1"/>
  <c r="AS117" i="2"/>
  <c r="AS118" i="2" s="1"/>
  <c r="BB47" i="9"/>
  <c r="CL116" i="3"/>
  <c r="E116" i="2"/>
  <c r="AS252" i="2"/>
  <c r="AS347" i="2"/>
  <c r="CL249" i="3"/>
  <c r="AT47" i="9"/>
  <c r="AQ143" i="9"/>
  <c r="AQ144" i="9" s="1"/>
  <c r="AQ48" i="9"/>
  <c r="E457" i="2"/>
  <c r="CL457" i="3"/>
  <c r="E320" i="2"/>
  <c r="AS321" i="2"/>
  <c r="CL320" i="3"/>
  <c r="AU95" i="3"/>
  <c r="AV95" i="3" s="1"/>
  <c r="AV95" i="2"/>
  <c r="AS175" i="2"/>
  <c r="AS250" i="2"/>
  <c r="AS251" i="2" s="1"/>
  <c r="E103" i="2"/>
  <c r="AS331" i="2"/>
  <c r="AS461" i="2"/>
  <c r="AW47" i="9"/>
  <c r="AS501" i="2"/>
  <c r="CL103" i="3"/>
  <c r="E252" i="2"/>
  <c r="E251" i="2"/>
  <c r="E250" i="2"/>
  <c r="E321" i="2"/>
  <c r="AU321" i="3" l="1"/>
  <c r="AV321" i="3" s="1"/>
  <c r="AV321" i="2"/>
  <c r="E11" i="2"/>
  <c r="AU251" i="3"/>
  <c r="AV251" i="3" s="1"/>
  <c r="AV251" i="2"/>
  <c r="E10" i="2"/>
  <c r="AU250" i="3"/>
  <c r="AV250" i="3" s="1"/>
  <c r="AV250" i="2"/>
  <c r="AV252" i="2"/>
  <c r="E12" i="2"/>
  <c r="AU252" i="3"/>
  <c r="AV252" i="3" s="1"/>
  <c r="E118" i="2"/>
  <c r="AS464" i="2"/>
  <c r="CL118" i="3"/>
  <c r="AS177" i="2"/>
  <c r="AS126" i="2"/>
  <c r="AS135" i="2" s="1"/>
  <c r="AS503" i="2"/>
  <c r="CL501" i="3"/>
  <c r="E501" i="2"/>
  <c r="AU116" i="3"/>
  <c r="AV116" i="3" s="1"/>
  <c r="AV116" i="2"/>
  <c r="AY47" i="9"/>
  <c r="AW48" i="9"/>
  <c r="AW143" i="9"/>
  <c r="AW144" i="9" s="1"/>
  <c r="E461" i="2"/>
  <c r="CL461" i="3"/>
  <c r="CL331" i="3"/>
  <c r="E331" i="2"/>
  <c r="AS332" i="2"/>
  <c r="CL321" i="3"/>
  <c r="H297" i="1"/>
  <c r="AT48" i="9"/>
  <c r="AT143" i="9"/>
  <c r="AT144" i="9" s="1"/>
  <c r="BB143" i="9"/>
  <c r="BB144" i="9" s="1"/>
  <c r="BB48" i="9"/>
  <c r="BC47" i="9"/>
  <c r="AV320" i="2"/>
  <c r="AU320" i="3"/>
  <c r="AV320" i="3" s="1"/>
  <c r="BU47" i="9"/>
  <c r="BU143" i="9" s="1"/>
  <c r="CL251" i="3"/>
  <c r="AS253" i="2"/>
  <c r="AS348" i="2"/>
  <c r="BF47" i="9"/>
  <c r="E117" i="2"/>
  <c r="AV117" i="2" s="1"/>
  <c r="AS508" i="2"/>
  <c r="CL117" i="3"/>
  <c r="E35" i="5"/>
  <c r="AV103" i="2"/>
  <c r="AU103" i="3"/>
  <c r="AV103" i="3" s="1"/>
  <c r="CL250" i="3"/>
  <c r="E175" i="2"/>
  <c r="CL175" i="3"/>
  <c r="AS281" i="2"/>
  <c r="CL348" i="3"/>
  <c r="AS349" i="2"/>
  <c r="E347" i="2"/>
  <c r="F41" i="1"/>
  <c r="AU9" i="3"/>
  <c r="AV9" i="3" s="1"/>
  <c r="J148" i="1"/>
  <c r="AV9" i="2"/>
  <c r="F67" i="5"/>
  <c r="AS254" i="2"/>
  <c r="CL252" i="3"/>
  <c r="E332" i="2"/>
  <c r="E349" i="2"/>
  <c r="E253" i="2"/>
  <c r="E254" i="2"/>
  <c r="AU332" i="3" l="1"/>
  <c r="AV332" i="3" s="1"/>
  <c r="AV332" i="2"/>
  <c r="AV349" i="2"/>
  <c r="AU349" i="3"/>
  <c r="AV349" i="3" s="1"/>
  <c r="AV253" i="2"/>
  <c r="AU253" i="3"/>
  <c r="AV253" i="3" s="1"/>
  <c r="E13" i="2"/>
  <c r="AU254" i="3"/>
  <c r="AV254" i="3" s="1"/>
  <c r="AV254" i="2"/>
  <c r="E14" i="2"/>
  <c r="D181" i="5" s="1"/>
  <c r="AS469" i="2"/>
  <c r="AS258" i="2"/>
  <c r="CL135" i="3"/>
  <c r="BO47" i="9"/>
  <c r="AS382" i="2"/>
  <c r="E135" i="2"/>
  <c r="E281" i="2"/>
  <c r="CL281" i="3"/>
  <c r="AY143" i="9"/>
  <c r="AY144" i="9" s="1"/>
  <c r="AY48" i="9"/>
  <c r="CL177" i="3"/>
  <c r="E177" i="2"/>
  <c r="AS282" i="2"/>
  <c r="E508" i="2"/>
  <c r="CL508" i="3"/>
  <c r="AS510" i="2"/>
  <c r="CL332" i="3"/>
  <c r="F42" i="1"/>
  <c r="J151" i="1"/>
  <c r="AU10" i="3"/>
  <c r="AV10" i="3" s="1"/>
  <c r="AV10" i="2"/>
  <c r="E280" i="5"/>
  <c r="AU175" i="3"/>
  <c r="AV175" i="3" s="1"/>
  <c r="AV175" i="2"/>
  <c r="BC48" i="9"/>
  <c r="BC143" i="9"/>
  <c r="BC144" i="9" s="1"/>
  <c r="AV331" i="2"/>
  <c r="AU331" i="3"/>
  <c r="AV331" i="3" s="1"/>
  <c r="E464" i="2"/>
  <c r="CL464" i="3"/>
  <c r="BF143" i="9"/>
  <c r="BF144" i="9" s="1"/>
  <c r="BF48" i="9"/>
  <c r="BG47" i="9"/>
  <c r="AU117" i="3"/>
  <c r="AV117" i="3" s="1"/>
  <c r="AV118" i="2"/>
  <c r="AU118" i="3"/>
  <c r="AV118" i="3" s="1"/>
  <c r="G70" i="5"/>
  <c r="E39" i="5"/>
  <c r="E284" i="5" s="1"/>
  <c r="AV347" i="2"/>
  <c r="AU347" i="3"/>
  <c r="AV347" i="3" s="1"/>
  <c r="E348" i="2"/>
  <c r="CL349" i="3"/>
  <c r="AS350" i="2"/>
  <c r="G48" i="9"/>
  <c r="AV11" i="2"/>
  <c r="C11" i="2"/>
  <c r="AU11" i="3"/>
  <c r="AV11" i="3" s="1"/>
  <c r="F312" i="5"/>
  <c r="F79" i="5"/>
  <c r="CL350" i="3"/>
  <c r="CL253" i="3"/>
  <c r="E503" i="2"/>
  <c r="CL503" i="3"/>
  <c r="AS505" i="2"/>
  <c r="J159" i="1"/>
  <c r="AV12" i="2"/>
  <c r="AU12" i="3"/>
  <c r="AV12" i="3" s="1"/>
  <c r="BV47" i="9"/>
  <c r="BV143" i="9" s="1"/>
  <c r="CL254" i="3"/>
  <c r="BI47" i="9"/>
  <c r="E126" i="2"/>
  <c r="CL126" i="3"/>
  <c r="AS363" i="2"/>
  <c r="AS467" i="2"/>
  <c r="AS255" i="2"/>
  <c r="E350" i="2"/>
  <c r="E258" i="2"/>
  <c r="E255" i="2"/>
  <c r="AU350" i="3" l="1"/>
  <c r="AV350" i="3" s="1"/>
  <c r="AV350" i="2"/>
  <c r="AU255" i="3"/>
  <c r="AV255" i="3" s="1"/>
  <c r="AV255" i="2"/>
  <c r="E15" i="2"/>
  <c r="E175" i="5"/>
  <c r="AV258" i="2"/>
  <c r="E18" i="2"/>
  <c r="AU258" i="3"/>
  <c r="AV258" i="3" s="1"/>
  <c r="G144" i="9"/>
  <c r="E282" i="2"/>
  <c r="CL282" i="3"/>
  <c r="E46" i="5"/>
  <c r="E291" i="5" s="1"/>
  <c r="AU135" i="3"/>
  <c r="AV135" i="3" s="1"/>
  <c r="AV135" i="2"/>
  <c r="I77" i="5"/>
  <c r="AU177" i="3"/>
  <c r="AV177" i="3" s="1"/>
  <c r="AV177" i="2"/>
  <c r="CL382" i="3"/>
  <c r="E382" i="2"/>
  <c r="AU382" i="3" s="1"/>
  <c r="AV382" i="3" s="1"/>
  <c r="AS383" i="2"/>
  <c r="AV13" i="2"/>
  <c r="AU13" i="3"/>
  <c r="AV13" i="3" s="1"/>
  <c r="J160" i="1"/>
  <c r="F324" i="5"/>
  <c r="F80" i="5"/>
  <c r="BP47" i="9"/>
  <c r="BO143" i="9"/>
  <c r="BO144" i="9" s="1"/>
  <c r="BO48" i="9"/>
  <c r="CL255" i="3"/>
  <c r="AS257" i="2"/>
  <c r="CL467" i="3"/>
  <c r="E467" i="2"/>
  <c r="AS472" i="2"/>
  <c r="AS474" i="2"/>
  <c r="CL364" i="3"/>
  <c r="E363" i="2"/>
  <c r="AS364" i="2"/>
  <c r="AU348" i="3"/>
  <c r="AV348" i="3" s="1"/>
  <c r="AV348" i="2"/>
  <c r="BG48" i="9"/>
  <c r="AC37" i="1" s="1"/>
  <c r="BG143" i="9"/>
  <c r="BG144" i="9" s="1"/>
  <c r="J181" i="5"/>
  <c r="F181" i="5"/>
  <c r="H181" i="5"/>
  <c r="CL258" i="3"/>
  <c r="AS175" i="5"/>
  <c r="BX47" i="9"/>
  <c r="BX143" i="9" s="1"/>
  <c r="AS512" i="2"/>
  <c r="E510" i="2"/>
  <c r="CL510" i="3"/>
  <c r="AS284" i="2"/>
  <c r="CL469" i="3"/>
  <c r="E469" i="2"/>
  <c r="E505" i="2"/>
  <c r="CL505" i="3"/>
  <c r="AS506" i="2"/>
  <c r="E506" i="2" s="1"/>
  <c r="H186" i="1" s="1"/>
  <c r="I186" i="1" s="1"/>
  <c r="AK186" i="1" s="1"/>
  <c r="BI143" i="9"/>
  <c r="BI144" i="9" s="1"/>
  <c r="BI48" i="9"/>
  <c r="BL47" i="9"/>
  <c r="C14" i="2"/>
  <c r="AV14" i="2"/>
  <c r="F46" i="1"/>
  <c r="H48" i="9"/>
  <c r="H144" i="9" s="1"/>
  <c r="AU14" i="3"/>
  <c r="AV14" i="3" s="1"/>
  <c r="AV126" i="2"/>
  <c r="AU126" i="3"/>
  <c r="AV126" i="3" s="1"/>
  <c r="E42" i="5"/>
  <c r="E287" i="5" s="1"/>
  <c r="H73" i="5"/>
  <c r="G315" i="5"/>
  <c r="G79" i="5"/>
  <c r="AU281" i="3"/>
  <c r="AV281" i="3" s="1"/>
  <c r="AV281" i="2"/>
  <c r="E383" i="2"/>
  <c r="E364" i="2"/>
  <c r="E257" i="2"/>
  <c r="E47" i="5" l="1"/>
  <c r="AU364" i="3"/>
  <c r="AV364" i="3" s="1"/>
  <c r="AV364" i="2"/>
  <c r="AU383" i="3"/>
  <c r="AV383" i="3" s="1"/>
  <c r="AU257" i="3"/>
  <c r="AV257" i="3" s="1"/>
  <c r="E17" i="2"/>
  <c r="AV257" i="2"/>
  <c r="H318" i="5"/>
  <c r="H79" i="5"/>
  <c r="AU18" i="3"/>
  <c r="AV18" i="3" s="1"/>
  <c r="AV18" i="2"/>
  <c r="I251" i="1"/>
  <c r="M17" i="1"/>
  <c r="F45" i="1"/>
  <c r="D154" i="5"/>
  <c r="D183" i="5"/>
  <c r="J48" i="9"/>
  <c r="J144" i="9" s="1"/>
  <c r="AU363" i="3"/>
  <c r="AV363" i="3" s="1"/>
  <c r="AV363" i="2"/>
  <c r="CL383" i="3"/>
  <c r="BL143" i="9"/>
  <c r="BL144" i="9" s="1"/>
  <c r="BL48" i="9"/>
  <c r="CL284" i="3"/>
  <c r="AR359" i="1"/>
  <c r="D359" i="1" s="1"/>
  <c r="E284" i="2"/>
  <c r="L181" i="5"/>
  <c r="J184" i="5"/>
  <c r="CL474" i="3"/>
  <c r="AS476" i="2"/>
  <c r="BR47" i="9"/>
  <c r="BP48" i="9"/>
  <c r="AE37" i="1" s="1"/>
  <c r="BP143" i="9"/>
  <c r="BP144" i="9" s="1"/>
  <c r="AU282" i="3"/>
  <c r="AV282" i="3" s="1"/>
  <c r="AV282" i="2"/>
  <c r="F43" i="1"/>
  <c r="J154" i="1"/>
  <c r="AV15" i="2"/>
  <c r="CL472" i="3"/>
  <c r="E472" i="2"/>
  <c r="AS28" i="2"/>
  <c r="AS400" i="2"/>
  <c r="AS402" i="2"/>
  <c r="AS399" i="2"/>
  <c r="AS401" i="2"/>
  <c r="F326" i="5"/>
  <c r="F325" i="5"/>
  <c r="AC34" i="1"/>
  <c r="E292" i="5"/>
  <c r="D47" i="5"/>
  <c r="D292" i="5" s="1"/>
  <c r="CL512" i="3"/>
  <c r="AS513" i="2"/>
  <c r="E513" i="2" s="1"/>
  <c r="H187" i="1" s="1"/>
  <c r="I187" i="1" s="1"/>
  <c r="AK187" i="1" s="1"/>
  <c r="AK23" i="1" s="1"/>
  <c r="E9" i="1" s="1"/>
  <c r="E512" i="2"/>
  <c r="G324" i="5"/>
  <c r="G80" i="5"/>
  <c r="I322" i="5"/>
  <c r="I79" i="5"/>
  <c r="BW47" i="9"/>
  <c r="BW143" i="9" s="1"/>
  <c r="CL257" i="3"/>
  <c r="AU284" i="3" l="1"/>
  <c r="AV284" i="3" s="1"/>
  <c r="AV284" i="2"/>
  <c r="H324" i="5"/>
  <c r="H80" i="5"/>
  <c r="H183" i="5"/>
  <c r="F183" i="5"/>
  <c r="I324" i="5"/>
  <c r="I80" i="5"/>
  <c r="G326" i="5"/>
  <c r="G325" i="5"/>
  <c r="BR143" i="9"/>
  <c r="BR144" i="9" s="1"/>
  <c r="BR48" i="9"/>
  <c r="AA42" i="1" s="1"/>
  <c r="C17" i="2"/>
  <c r="D182" i="5"/>
  <c r="AV17" i="2"/>
  <c r="I48" i="9"/>
  <c r="CL28" i="3"/>
  <c r="AS438" i="2"/>
  <c r="M47" i="9"/>
  <c r="AS169" i="2"/>
  <c r="AS241" i="2"/>
  <c r="AS11" i="5"/>
  <c r="AS139" i="2"/>
  <c r="AS71" i="2"/>
  <c r="E28" i="2"/>
  <c r="AS390" i="5"/>
  <c r="CL401" i="3"/>
  <c r="AS410" i="2"/>
  <c r="AS403" i="2"/>
  <c r="CL399" i="3"/>
  <c r="AS408" i="2"/>
  <c r="AS478" i="2"/>
  <c r="CL476" i="3"/>
  <c r="CL402" i="3"/>
  <c r="AS411" i="2"/>
  <c r="CL400" i="3"/>
  <c r="AS409" i="2"/>
  <c r="AS412" i="2" l="1"/>
  <c r="CL408" i="3"/>
  <c r="AS415" i="2"/>
  <c r="AS386" i="5"/>
  <c r="AR368" i="1"/>
  <c r="E71" i="2"/>
  <c r="CL71" i="3"/>
  <c r="I144" i="9"/>
  <c r="AE34" i="1"/>
  <c r="I325" i="5"/>
  <c r="I326" i="5"/>
  <c r="CL139" i="3"/>
  <c r="E139" i="2"/>
  <c r="AS416" i="2"/>
  <c r="CL409" i="3"/>
  <c r="CL403" i="3"/>
  <c r="E403" i="2"/>
  <c r="AS207" i="5"/>
  <c r="E207" i="5" s="1"/>
  <c r="E11" i="5"/>
  <c r="D164" i="5" s="1"/>
  <c r="H182" i="5"/>
  <c r="F182" i="5"/>
  <c r="CL410" i="3"/>
  <c r="AS417" i="2"/>
  <c r="CL241" i="3"/>
  <c r="E241" i="2"/>
  <c r="H325" i="5"/>
  <c r="H326" i="5"/>
  <c r="W47" i="9"/>
  <c r="M48" i="9"/>
  <c r="AA35" i="1" s="1"/>
  <c r="M143" i="9"/>
  <c r="M144" i="9" s="1"/>
  <c r="CL411" i="3"/>
  <c r="AS418" i="2"/>
  <c r="CL169" i="3"/>
  <c r="AR354" i="1"/>
  <c r="E169" i="2"/>
  <c r="AS391" i="5"/>
  <c r="AS395" i="5" s="1"/>
  <c r="D390" i="5"/>
  <c r="E390" i="5"/>
  <c r="AS394" i="5"/>
  <c r="E438" i="2"/>
  <c r="CL438" i="3"/>
  <c r="AS444" i="2"/>
  <c r="CL478" i="3"/>
  <c r="AS413" i="2"/>
  <c r="AS480" i="2"/>
  <c r="E478" i="2"/>
  <c r="AV28" i="2"/>
  <c r="AU28" i="3"/>
  <c r="AV28" i="3" s="1"/>
  <c r="E48" i="5"/>
  <c r="AC13" i="1"/>
  <c r="CL416" i="3" l="1"/>
  <c r="E416" i="2"/>
  <c r="D394" i="5"/>
  <c r="E394" i="5"/>
  <c r="D354" i="1"/>
  <c r="H164" i="5"/>
  <c r="F164" i="5"/>
  <c r="G164" i="5" s="1"/>
  <c r="AU139" i="3"/>
  <c r="AV139" i="3" s="1"/>
  <c r="AV139" i="2"/>
  <c r="AU71" i="3"/>
  <c r="AV71" i="3" s="1"/>
  <c r="AV71" i="2"/>
  <c r="CL480" i="3"/>
  <c r="AS481" i="2"/>
  <c r="E480" i="2"/>
  <c r="CL418" i="3"/>
  <c r="E418" i="2"/>
  <c r="AV241" i="2"/>
  <c r="AU241" i="3"/>
  <c r="AV241" i="3" s="1"/>
  <c r="D368" i="1"/>
  <c r="D386" i="5"/>
  <c r="D388" i="5" s="1"/>
  <c r="E386" i="5"/>
  <c r="AS388" i="5"/>
  <c r="E388" i="5" s="1"/>
  <c r="E444" i="2"/>
  <c r="CL444" i="3"/>
  <c r="E417" i="2"/>
  <c r="CL417" i="3"/>
  <c r="AS170" i="2"/>
  <c r="CL415" i="3"/>
  <c r="E415" i="2"/>
  <c r="AS419" i="2"/>
  <c r="AS420" i="2" s="1"/>
  <c r="AU169" i="3"/>
  <c r="AV169" i="3" s="1"/>
  <c r="AV169" i="2"/>
  <c r="E293" i="5"/>
  <c r="E61" i="5"/>
  <c r="W143" i="9"/>
  <c r="W144" i="9" s="1"/>
  <c r="W48" i="9"/>
  <c r="CL412" i="3"/>
  <c r="E412" i="2"/>
  <c r="E306" i="5" l="1"/>
  <c r="D61" i="5"/>
  <c r="E420" i="2"/>
  <c r="CL420" i="3"/>
  <c r="E481" i="2"/>
  <c r="CL481" i="3"/>
  <c r="AS482" i="2"/>
  <c r="AS268" i="2"/>
  <c r="AS210" i="2"/>
  <c r="AR355" i="1"/>
  <c r="CL170" i="3"/>
  <c r="E170" i="2"/>
  <c r="AS171" i="2"/>
  <c r="AS192" i="2"/>
  <c r="CL419" i="3"/>
  <c r="E419" i="2"/>
  <c r="E171" i="2" l="1"/>
  <c r="CL171" i="3"/>
  <c r="AR356" i="1"/>
  <c r="D356" i="1" s="1"/>
  <c r="E210" i="2"/>
  <c r="AR380" i="1"/>
  <c r="D380" i="1" s="1"/>
  <c r="CL210" i="3"/>
  <c r="AS182" i="2"/>
  <c r="D355" i="1"/>
  <c r="E268" i="2"/>
  <c r="CL268" i="3"/>
  <c r="D306" i="5"/>
  <c r="AU170" i="3"/>
  <c r="AV170" i="3" s="1"/>
  <c r="AV170" i="2"/>
  <c r="AR366" i="1"/>
  <c r="E192" i="2"/>
  <c r="CL192" i="3"/>
  <c r="E482" i="2"/>
  <c r="AI17" i="1" s="1"/>
  <c r="CL482" i="3"/>
  <c r="AV210" i="2" l="1"/>
  <c r="AU210" i="3"/>
  <c r="AV210" i="3" s="1"/>
  <c r="AV268" i="2"/>
  <c r="AU268" i="3"/>
  <c r="AV268" i="3" s="1"/>
  <c r="AS207" i="2"/>
  <c r="E182" i="2"/>
  <c r="AS153" i="2"/>
  <c r="CL182" i="3"/>
  <c r="AV192" i="2"/>
  <c r="AU366" i="1" s="1"/>
  <c r="AU367" i="1" s="1"/>
  <c r="AU192" i="3"/>
  <c r="AV192" i="3" s="1"/>
  <c r="AR361" i="1"/>
  <c r="AV171" i="2"/>
  <c r="AU171" i="3"/>
  <c r="AV171" i="3" s="1"/>
  <c r="AS154" i="2" l="1"/>
  <c r="E153" i="2"/>
  <c r="CL153" i="3"/>
  <c r="D361" i="1"/>
  <c r="AV182" i="2"/>
  <c r="AU182" i="3"/>
  <c r="AV182" i="3" s="1"/>
  <c r="D366" i="1"/>
  <c r="CL207" i="3"/>
  <c r="E207" i="2"/>
  <c r="AV153" i="2" l="1"/>
  <c r="AU153" i="3"/>
  <c r="AV153" i="3" s="1"/>
  <c r="AV207" i="2"/>
  <c r="AU207" i="3"/>
  <c r="AV207" i="3" s="1"/>
  <c r="CL154" i="3"/>
  <c r="E154" i="2"/>
  <c r="AS156" i="2"/>
  <c r="AV154" i="2" l="1"/>
  <c r="AU154" i="3"/>
  <c r="AV154" i="3" s="1"/>
  <c r="CL156" i="3"/>
  <c r="E156" i="2"/>
  <c r="AS159" i="2"/>
  <c r="AS158" i="2"/>
  <c r="E158" i="2" l="1"/>
  <c r="AS162" i="2"/>
  <c r="CL158" i="3"/>
  <c r="AS160" i="2"/>
  <c r="CL159" i="3"/>
  <c r="E159" i="2"/>
  <c r="AU156" i="3"/>
  <c r="AV156" i="3" s="1"/>
  <c r="AV156" i="2"/>
  <c r="CL162" i="3" l="1"/>
  <c r="E162" i="2"/>
  <c r="AV159" i="2"/>
  <c r="AU159" i="3"/>
  <c r="AV159" i="3" s="1"/>
  <c r="E160" i="2"/>
  <c r="CL160" i="3"/>
  <c r="AS161" i="2"/>
  <c r="AV158" i="2"/>
  <c r="AU158" i="3"/>
  <c r="AV158" i="3" s="1"/>
  <c r="AV160" i="2" l="1"/>
  <c r="AU160" i="3"/>
  <c r="AV160" i="3" s="1"/>
  <c r="AU162" i="3"/>
  <c r="AV162" i="3" s="1"/>
  <c r="AV162" i="2"/>
  <c r="E161" i="2"/>
  <c r="CL161" i="3"/>
  <c r="AS163" i="2"/>
  <c r="AS165" i="2" l="1"/>
  <c r="AS267" i="2" s="1"/>
  <c r="E163" i="2"/>
  <c r="CL163" i="3"/>
  <c r="AV161" i="2"/>
  <c r="AU161" i="3"/>
  <c r="AV161" i="3" s="1"/>
  <c r="AV163" i="2" l="1"/>
  <c r="AU163" i="3"/>
  <c r="AV163" i="3" s="1"/>
  <c r="AS166" i="2"/>
  <c r="CL166" i="3" s="1"/>
  <c r="AS112" i="5"/>
  <c r="E165" i="2"/>
  <c r="CL165" i="3"/>
  <c r="AS183" i="2"/>
  <c r="AU165" i="3" l="1"/>
  <c r="AV165" i="3" s="1"/>
  <c r="AV165" i="2"/>
  <c r="CL267" i="3"/>
  <c r="E267" i="2"/>
  <c r="E183" i="2"/>
  <c r="AS208" i="2"/>
  <c r="AR363" i="1"/>
  <c r="CL183" i="3"/>
  <c r="AR375" i="1"/>
  <c r="D375" i="1" s="1"/>
  <c r="AS184" i="2"/>
  <c r="E112" i="5"/>
  <c r="E140" i="5" s="1"/>
  <c r="D112" i="5"/>
  <c r="D140" i="5" s="1"/>
  <c r="AS140" i="5"/>
  <c r="D363" i="1" l="1"/>
  <c r="AR364" i="1"/>
  <c r="AU267" i="3"/>
  <c r="AV267" i="3" s="1"/>
  <c r="AV267" i="2"/>
  <c r="E208" i="2"/>
  <c r="CL208" i="3"/>
  <c r="AR378" i="1"/>
  <c r="D378" i="1" s="1"/>
  <c r="AS212" i="2"/>
  <c r="AS399" i="5"/>
  <c r="E399" i="5" s="1"/>
  <c r="E400" i="5" s="1"/>
  <c r="CL184" i="3"/>
  <c r="AS85" i="5"/>
  <c r="AS397" i="5"/>
  <c r="E184" i="2"/>
  <c r="AS94" i="4"/>
  <c r="AS266" i="2"/>
  <c r="AS191" i="2"/>
  <c r="AV183" i="2"/>
  <c r="AU183" i="3"/>
  <c r="AV183" i="3" s="1"/>
  <c r="AS271" i="2" l="1"/>
  <c r="AS270" i="2"/>
  <c r="CL191" i="3"/>
  <c r="E191" i="2"/>
  <c r="AS193" i="2"/>
  <c r="CL266" i="3"/>
  <c r="E266" i="2"/>
  <c r="AU208" i="3"/>
  <c r="AV208" i="3" s="1"/>
  <c r="AV208" i="2"/>
  <c r="AS342" i="5"/>
  <c r="E342" i="5" s="1"/>
  <c r="E85" i="5"/>
  <c r="AV184" i="2"/>
  <c r="AU184" i="3"/>
  <c r="AV184" i="3" s="1"/>
  <c r="E397" i="5"/>
  <c r="D397" i="5"/>
  <c r="D399" i="5" s="1"/>
  <c r="D400" i="5" s="1"/>
  <c r="AR367" i="1"/>
  <c r="D367" i="1" s="1"/>
  <c r="D364" i="1"/>
  <c r="AR374" i="1"/>
  <c r="E212" i="2"/>
  <c r="CL212" i="3"/>
  <c r="AS218" i="2"/>
  <c r="AS225" i="2"/>
  <c r="AS86" i="4" l="1"/>
  <c r="E271" i="2"/>
  <c r="E270" i="2"/>
  <c r="AS32" i="4"/>
  <c r="D32" i="4" s="1"/>
  <c r="AS86" i="5"/>
  <c r="CL270" i="3"/>
  <c r="AS197" i="2"/>
  <c r="AS196" i="2"/>
  <c r="AS200" i="2"/>
  <c r="AS199" i="2"/>
  <c r="AS195" i="2"/>
  <c r="E193" i="2"/>
  <c r="CL193" i="3"/>
  <c r="AS201" i="2"/>
  <c r="AS198" i="2"/>
  <c r="AU266" i="3"/>
  <c r="AV266" i="3" s="1"/>
  <c r="AV266" i="2"/>
  <c r="AS220" i="2"/>
  <c r="CL218" i="3"/>
  <c r="AS222" i="2"/>
  <c r="AS221" i="2"/>
  <c r="E218" i="2"/>
  <c r="AU191" i="3"/>
  <c r="AV191" i="3" s="1"/>
  <c r="AV191" i="2"/>
  <c r="CL225" i="3"/>
  <c r="E225" i="2"/>
  <c r="AU212" i="3"/>
  <c r="AV212" i="3" s="1"/>
  <c r="AV212" i="2"/>
  <c r="AR377" i="1"/>
  <c r="D374" i="1"/>
  <c r="AS88" i="4" l="1"/>
  <c r="AS273" i="2" s="1"/>
  <c r="E273" i="2" s="1"/>
  <c r="AS89" i="4"/>
  <c r="CL196" i="3"/>
  <c r="E196" i="2"/>
  <c r="E344" i="1"/>
  <c r="E303" i="1" s="1"/>
  <c r="AS314" i="4"/>
  <c r="L297" i="1" s="1"/>
  <c r="AS315" i="4"/>
  <c r="M297" i="1" s="1"/>
  <c r="CL197" i="3"/>
  <c r="F344" i="1"/>
  <c r="F303" i="1" s="1"/>
  <c r="E197" i="2"/>
  <c r="D377" i="1"/>
  <c r="AR382" i="1"/>
  <c r="AS204" i="2"/>
  <c r="J344" i="1"/>
  <c r="J303" i="1" s="1"/>
  <c r="E201" i="2"/>
  <c r="CL201" i="3"/>
  <c r="CL221" i="3"/>
  <c r="E221" i="2"/>
  <c r="E222" i="2"/>
  <c r="CL222" i="3"/>
  <c r="AV193" i="2"/>
  <c r="AU193" i="3"/>
  <c r="AV193" i="3" s="1"/>
  <c r="E86" i="5"/>
  <c r="AS343" i="5"/>
  <c r="E343" i="5" s="1"/>
  <c r="AV218" i="2"/>
  <c r="AU218" i="3"/>
  <c r="AV218" i="3" s="1"/>
  <c r="E195" i="2"/>
  <c r="AS202" i="2"/>
  <c r="AS313" i="4"/>
  <c r="K297" i="1" s="1"/>
  <c r="CL195" i="3"/>
  <c r="D344" i="1"/>
  <c r="E198" i="2"/>
  <c r="AS316" i="4"/>
  <c r="N297" i="1" s="1"/>
  <c r="G344" i="1"/>
  <c r="G303" i="1" s="1"/>
  <c r="CL198" i="3"/>
  <c r="AU225" i="3"/>
  <c r="AV225" i="3" s="1"/>
  <c r="AV225" i="2"/>
  <c r="H344" i="1"/>
  <c r="H303" i="1" s="1"/>
  <c r="AS317" i="4"/>
  <c r="O297" i="1" s="1"/>
  <c r="E199" i="2"/>
  <c r="CL199" i="3"/>
  <c r="AU270" i="3"/>
  <c r="AV270" i="3" s="1"/>
  <c r="AV270" i="2"/>
  <c r="AS223" i="2"/>
  <c r="CL220" i="3"/>
  <c r="E220" i="2"/>
  <c r="CL200" i="3"/>
  <c r="AS318" i="4"/>
  <c r="P297" i="1" s="1"/>
  <c r="I344" i="1"/>
  <c r="I303" i="1" s="1"/>
  <c r="E200" i="2"/>
  <c r="D88" i="4" l="1"/>
  <c r="D89" i="4"/>
  <c r="AS274" i="2"/>
  <c r="E274" i="2" s="1"/>
  <c r="AV221" i="2"/>
  <c r="AU221" i="3"/>
  <c r="AV221" i="3" s="1"/>
  <c r="AV197" i="2"/>
  <c r="AU197" i="3"/>
  <c r="AV197" i="3" s="1"/>
  <c r="AU199" i="3"/>
  <c r="AV199" i="3" s="1"/>
  <c r="AV199" i="2"/>
  <c r="AV198" i="2"/>
  <c r="AU198" i="3"/>
  <c r="AV198" i="3" s="1"/>
  <c r="AV201" i="2"/>
  <c r="AU201" i="3"/>
  <c r="AV201" i="3" s="1"/>
  <c r="AU200" i="3"/>
  <c r="AV200" i="3" s="1"/>
  <c r="AV200" i="2"/>
  <c r="D303" i="1"/>
  <c r="C303" i="1" s="1"/>
  <c r="C344" i="1"/>
  <c r="AS515" i="2"/>
  <c r="CL204" i="3"/>
  <c r="AR394" i="1"/>
  <c r="AV220" i="2"/>
  <c r="E223" i="2"/>
  <c r="AU220" i="3"/>
  <c r="AV220" i="3" s="1"/>
  <c r="CL223" i="3"/>
  <c r="AS227" i="2"/>
  <c r="AS87" i="5"/>
  <c r="CL202" i="3"/>
  <c r="AR370" i="1"/>
  <c r="E202" i="2"/>
  <c r="AS203" i="2"/>
  <c r="D382" i="1"/>
  <c r="AR384" i="1"/>
  <c r="AU196" i="3"/>
  <c r="AV196" i="3" s="1"/>
  <c r="AV196" i="2"/>
  <c r="AV273" i="2"/>
  <c r="D273" i="2"/>
  <c r="E138" i="1"/>
  <c r="AV195" i="2"/>
  <c r="AU195" i="3"/>
  <c r="AV195" i="3" s="1"/>
  <c r="AU222" i="3"/>
  <c r="AV222" i="3" s="1"/>
  <c r="AV222" i="2"/>
  <c r="AV274" i="2" l="1"/>
  <c r="D274" i="2"/>
  <c r="D384" i="1"/>
  <c r="AS484" i="2"/>
  <c r="AR385" i="1"/>
  <c r="D385" i="1" s="1"/>
  <c r="AR371" i="1"/>
  <c r="D371" i="1" s="1"/>
  <c r="AR393" i="1"/>
  <c r="D393" i="1" s="1"/>
  <c r="CL227" i="3"/>
  <c r="AS89" i="5"/>
  <c r="E227" i="2"/>
  <c r="AS228" i="2"/>
  <c r="CL228" i="3" s="1"/>
  <c r="K344" i="1"/>
  <c r="K304" i="1" s="1"/>
  <c r="AS145" i="2"/>
  <c r="AS422" i="2"/>
  <c r="AU223" i="3"/>
  <c r="AV223" i="3" s="1"/>
  <c r="AV223" i="2"/>
  <c r="E87" i="5"/>
  <c r="AS344" i="5"/>
  <c r="E344" i="5" s="1"/>
  <c r="D87" i="5"/>
  <c r="AS88" i="5"/>
  <c r="AS516" i="2"/>
  <c r="CL203" i="3"/>
  <c r="J297" i="1"/>
  <c r="E203" i="2"/>
  <c r="AU202" i="3"/>
  <c r="AV202" i="3" s="1"/>
  <c r="AV202" i="2"/>
  <c r="M14" i="1"/>
  <c r="E515" i="2"/>
  <c r="CL515" i="3"/>
  <c r="D370" i="1"/>
  <c r="AR372" i="1" l="1"/>
  <c r="D372" i="1" s="1"/>
  <c r="E89" i="5"/>
  <c r="AS345" i="5"/>
  <c r="E345" i="5" s="1"/>
  <c r="E422" i="2"/>
  <c r="CL422" i="3"/>
  <c r="AS424" i="2"/>
  <c r="CL424" i="3" s="1"/>
  <c r="AU203" i="3"/>
  <c r="AV203" i="3" s="1"/>
  <c r="AV203" i="2"/>
  <c r="AS384" i="5"/>
  <c r="E384" i="5" s="1"/>
  <c r="E516" i="2"/>
  <c r="D169" i="5" s="1"/>
  <c r="CL516" i="3"/>
  <c r="CL484" i="3"/>
  <c r="E484" i="2"/>
  <c r="AS485" i="2"/>
  <c r="D344" i="5"/>
  <c r="D358" i="5"/>
  <c r="D386" i="1"/>
  <c r="E413" i="1"/>
  <c r="D357" i="5"/>
  <c r="CL145" i="3"/>
  <c r="AS17" i="5"/>
  <c r="E145" i="2"/>
  <c r="AS146" i="2"/>
  <c r="Z47" i="9"/>
  <c r="AS244" i="2"/>
  <c r="AC18" i="1"/>
  <c r="AC20" i="1" s="1"/>
  <c r="AS148" i="2"/>
  <c r="AS229" i="2"/>
  <c r="AU227" i="3"/>
  <c r="AV227" i="3" s="1"/>
  <c r="AV227" i="2"/>
  <c r="E228" i="2"/>
  <c r="AR386" i="1"/>
  <c r="D146" i="2"/>
  <c r="E244" i="2" l="1"/>
  <c r="CL244" i="3"/>
  <c r="AS245" i="2"/>
  <c r="G358" i="5"/>
  <c r="F358" i="5"/>
  <c r="CL485" i="3"/>
  <c r="AS425" i="2"/>
  <c r="CL425" i="3" s="1"/>
  <c r="CL146" i="3"/>
  <c r="AS109" i="5"/>
  <c r="E17" i="5"/>
  <c r="D165" i="5" s="1"/>
  <c r="AS213" i="5"/>
  <c r="E213" i="5" s="1"/>
  <c r="AS18" i="5"/>
  <c r="E229" i="2"/>
  <c r="CL229" i="3"/>
  <c r="AS90" i="5"/>
  <c r="CL148" i="3"/>
  <c r="E148" i="2"/>
  <c r="AS248" i="2"/>
  <c r="G357" i="5"/>
  <c r="F357" i="5"/>
  <c r="Z143" i="9"/>
  <c r="Z144" i="9" s="1"/>
  <c r="AJ47" i="9"/>
  <c r="AL47" i="9" s="1"/>
  <c r="Z48" i="9"/>
  <c r="AA40" i="1" s="1"/>
  <c r="AU145" i="3"/>
  <c r="AV145" i="3" s="1"/>
  <c r="E146" i="2"/>
  <c r="AV145" i="2"/>
  <c r="E427" i="1"/>
  <c r="F427" i="1" s="1"/>
  <c r="F413" i="1"/>
  <c r="F169" i="5"/>
  <c r="G169" i="5" s="1"/>
  <c r="H169" i="5"/>
  <c r="E248" i="2"/>
  <c r="AU248" i="3" l="1"/>
  <c r="AV248" i="3" s="1"/>
  <c r="AV248" i="2"/>
  <c r="E8" i="2"/>
  <c r="F48" i="9"/>
  <c r="AJ48" i="9"/>
  <c r="AJ143" i="9"/>
  <c r="AJ144" i="9" s="1"/>
  <c r="AL143" i="9"/>
  <c r="AU229" i="3"/>
  <c r="AV229" i="3" s="1"/>
  <c r="AV229" i="2"/>
  <c r="AR373" i="1"/>
  <c r="CL245" i="3"/>
  <c r="E245" i="2"/>
  <c r="E90" i="5"/>
  <c r="AS346" i="5"/>
  <c r="E346" i="5" s="1"/>
  <c r="D90" i="5"/>
  <c r="BT47" i="9"/>
  <c r="CL248" i="3"/>
  <c r="AS259" i="2"/>
  <c r="H165" i="5"/>
  <c r="F165" i="5"/>
  <c r="G165" i="5" s="1"/>
  <c r="AS19" i="5"/>
  <c r="AS214" i="5"/>
  <c r="E214" i="5" s="1"/>
  <c r="E18" i="5"/>
  <c r="AU146" i="3"/>
  <c r="AV146" i="3" s="1"/>
  <c r="E109" i="5"/>
  <c r="E62" i="5"/>
  <c r="AV146" i="2"/>
  <c r="AU148" i="3"/>
  <c r="AV148" i="3" s="1"/>
  <c r="AV148" i="2"/>
  <c r="AU244" i="3"/>
  <c r="AV244" i="3" s="1"/>
  <c r="AV244" i="2"/>
  <c r="E19" i="5"/>
  <c r="E259" i="2"/>
  <c r="D160" i="5" l="1"/>
  <c r="AU259" i="3"/>
  <c r="AV259" i="3" s="1"/>
  <c r="E19" i="2"/>
  <c r="AV259" i="2"/>
  <c r="AC22" i="1"/>
  <c r="AC23" i="1" s="1"/>
  <c r="AI15" i="1" s="1"/>
  <c r="E260" i="2"/>
  <c r="AS215" i="5"/>
  <c r="AS20" i="5"/>
  <c r="E20" i="5" s="1"/>
  <c r="BT143" i="9"/>
  <c r="BY47" i="9"/>
  <c r="BY143" i="9" s="1"/>
  <c r="F144" i="9"/>
  <c r="AA34" i="1"/>
  <c r="K48" i="9"/>
  <c r="D356" i="5"/>
  <c r="D346" i="5"/>
  <c r="D355" i="5"/>
  <c r="E412" i="1"/>
  <c r="D180" i="5"/>
  <c r="I254" i="1"/>
  <c r="C19" i="2"/>
  <c r="N40" i="1"/>
  <c r="B204" i="5"/>
  <c r="J17" i="1"/>
  <c r="AU8" i="3"/>
  <c r="AV8" i="3" s="1"/>
  <c r="AV8" i="2"/>
  <c r="F40" i="1"/>
  <c r="F47" i="1" s="1"/>
  <c r="E372" i="5"/>
  <c r="E374" i="5" s="1"/>
  <c r="N38" i="1"/>
  <c r="N124" i="1"/>
  <c r="N122" i="1"/>
  <c r="D259" i="2"/>
  <c r="AV245" i="2"/>
  <c r="AU245" i="3"/>
  <c r="AV245" i="3" s="1"/>
  <c r="E79" i="5"/>
  <c r="E307" i="5"/>
  <c r="CL259" i="3"/>
  <c r="AS261" i="2"/>
  <c r="AS368" i="5"/>
  <c r="AS370" i="5" s="1"/>
  <c r="D161" i="5" l="1"/>
  <c r="AS144" i="5"/>
  <c r="C144" i="5" s="1"/>
  <c r="E161" i="5"/>
  <c r="G161" i="5" s="1"/>
  <c r="E354" i="5"/>
  <c r="D354" i="5"/>
  <c r="G356" i="5"/>
  <c r="F356" i="5"/>
  <c r="AU19" i="3"/>
  <c r="AV19" i="3" s="1"/>
  <c r="D15" i="10"/>
  <c r="AV19" i="2"/>
  <c r="K49" i="9"/>
  <c r="E49" i="9" s="1"/>
  <c r="E368" i="5"/>
  <c r="M12" i="1"/>
  <c r="M20" i="1" s="1"/>
  <c r="E364" i="5"/>
  <c r="J131" i="1"/>
  <c r="F180" i="5"/>
  <c r="F184" i="5" s="1"/>
  <c r="H180" i="5"/>
  <c r="D184" i="5"/>
  <c r="E324" i="5"/>
  <c r="D79" i="5"/>
  <c r="E80" i="5"/>
  <c r="E426" i="1"/>
  <c r="F426" i="1" s="1"/>
  <c r="F412" i="1"/>
  <c r="D18" i="5"/>
  <c r="E261" i="2"/>
  <c r="CL261" i="3"/>
  <c r="AE42" i="1"/>
  <c r="K144" i="9"/>
  <c r="F355" i="5"/>
  <c r="G355" i="5"/>
  <c r="H160" i="5"/>
  <c r="F160" i="5"/>
  <c r="G160" i="5" s="1"/>
  <c r="D144" i="5" l="1"/>
  <c r="I116" i="5"/>
  <c r="G354" i="5"/>
  <c r="D353" i="5"/>
  <c r="E366" i="5"/>
  <c r="F354" i="5"/>
  <c r="D324" i="5"/>
  <c r="D80" i="5"/>
  <c r="I247" i="1"/>
  <c r="I249" i="1" s="1"/>
  <c r="I250" i="1" s="1"/>
  <c r="E411" i="1"/>
  <c r="E370" i="5"/>
  <c r="E325" i="5"/>
  <c r="E81" i="5"/>
  <c r="K2" i="9"/>
  <c r="AI12" i="1"/>
  <c r="L180" i="5"/>
  <c r="L184" i="5" s="1"/>
  <c r="L185" i="5" s="1"/>
  <c r="I252" i="1" s="1"/>
  <c r="H184" i="5"/>
  <c r="F161" i="5"/>
  <c r="F411" i="1" l="1"/>
  <c r="E425" i="1"/>
  <c r="F425" i="1" s="1"/>
  <c r="C81" i="5"/>
  <c r="D325" i="5"/>
  <c r="D81" i="5"/>
  <c r="AI13" i="1" s="1"/>
  <c r="F353" i="5"/>
  <c r="G353" i="5"/>
  <c r="F409" i="1" l="1"/>
</calcChain>
</file>

<file path=xl/comments1.xml><?xml version="1.0" encoding="utf-8"?>
<comments xmlns="http://schemas.openxmlformats.org/spreadsheetml/2006/main">
  <authors>
    <author>Author</author>
  </authors>
  <commentList>
    <comment ref="E2" authorId="0" shapeId="0">
      <text>
        <r>
          <rPr>
            <b/>
            <sz val="11"/>
            <color indexed="12"/>
            <rFont val="Tahoma"/>
            <family val="2"/>
          </rPr>
          <t>Shows or hides the column letters and row numbers and all the cell outlines.
Uses macros: 
HeaderShow
HeaderHide</t>
        </r>
        <r>
          <rPr>
            <sz val="11"/>
            <color indexed="12"/>
            <rFont val="Tahoma"/>
            <family val="2"/>
          </rPr>
          <t xml:space="preserve">
</t>
        </r>
      </text>
    </comment>
    <comment ref="E20" authorId="0" shapeId="0">
      <text>
        <r>
          <rPr>
            <b/>
            <sz val="11"/>
            <color indexed="17"/>
            <rFont val="Tahoma"/>
            <family val="2"/>
          </rPr>
          <t>Section instructions are in headings that have a red corner marker.  Hover your cursor over the cell to read it.</t>
        </r>
      </text>
    </comment>
    <comment ref="E22" authorId="0" shapeId="0">
      <text>
        <r>
          <rPr>
            <b/>
            <sz val="12"/>
            <color indexed="17"/>
            <rFont val="Tahoma"/>
            <family val="2"/>
          </rPr>
          <t>Like this cell!</t>
        </r>
        <r>
          <rPr>
            <sz val="9"/>
            <color indexed="17"/>
            <rFont val="Tahoma"/>
            <family val="2"/>
          </rPr>
          <t xml:space="preserve">
</t>
        </r>
      </text>
    </comment>
    <comment ref="C42" authorId="0" shapeId="0">
      <text>
        <r>
          <rPr>
            <b/>
            <sz val="11"/>
            <color indexed="12"/>
            <rFont val="Tahoma"/>
            <family val="2"/>
          </rPr>
          <t>Problems seen in Libre Calc version 5.3.7.2
Some macros will fail and an error message is displayed.  Just close the displayed code box if this occurs.
Some cell comments do not display.
Saving the file in Libre then opening it in Excel 2013 results in Excel removing some data reference that Libre added. This removal doesn't appear to have an impact on the model in 2013.</t>
        </r>
      </text>
    </comment>
  </commentList>
</comments>
</file>

<file path=xl/comments2.xml><?xml version="1.0" encoding="utf-8"?>
<comments xmlns="http://schemas.openxmlformats.org/spreadsheetml/2006/main">
  <authors>
    <author>Author</author>
    <author>BigFoot48</author>
  </authors>
  <commentList>
    <comment ref="F1" authorId="0" shapeId="0">
      <text>
        <r>
          <rPr>
            <b/>
            <sz val="11"/>
            <color indexed="12"/>
            <rFont val="Tahoma"/>
            <family val="2"/>
          </rPr>
          <t xml:space="preserve">Enter your personal and portfolio data, assumptions for future returns, and your age and spouse's (purple titled items) when events may occur in the input sections below.  Be sure to read the instructions and tips contained in cell comments (corner red or black flag).
The portfolio includes optional traditional IRA to Roth IRA conversions and alternative Social Security benefits.  If selected to be included, the results are automatcally compared to a basic (Base) portfolio without these options, and the resulting impacts presented in various tables, charts and analyses.
Be sure to read instructions and help comments in cells indicated by a red/black triangle. Hover your cursor over the cell to read.  (A red dot in an empty cell indicates an error calculation and message is in that cell and should be ignored.)
</t>
        </r>
        <r>
          <rPr>
            <b/>
            <sz val="11"/>
            <color indexed="10"/>
            <rFont val="Tahoma"/>
            <family val="2"/>
          </rPr>
          <t xml:space="preserve">The example data can be removed entirely using the Clear Entries macro, or you can replace them one by one by entering your own data.
</t>
        </r>
        <r>
          <rPr>
            <b/>
            <sz val="11"/>
            <color indexed="12"/>
            <rFont val="Tahoma"/>
            <family val="2"/>
          </rPr>
          <t xml:space="preserve">
This page has </t>
        </r>
        <r>
          <rPr>
            <b/>
            <sz val="11"/>
            <color indexed="10"/>
            <rFont val="Tahoma"/>
            <family val="2"/>
          </rPr>
          <t>Protection</t>
        </r>
        <r>
          <rPr>
            <b/>
            <sz val="11"/>
            <color indexed="12"/>
            <rFont val="Tahoma"/>
            <family val="2"/>
          </rPr>
          <t xml:space="preserve"> turned on to prevent inadvertent changes to non-input cells.  To turn it off, select Excel 2013: Review &gt; Protect Workbook; Excel 2003: Tools &gt; Protection &gt; Unprotect Sheet.  There is no password.  
To view Row &amp; Column Headers, or Gridlines in Excel 2013: Page Layout &gt; Gridlines or Headings; in Excel 2003: Tools &gt; Options &gt; View  and  select the checkboxes for "Gridlines" and "Row and columns headers", then select OK.
Recommended: Set your spreadsheet to automatic recalculation. In Excel 2013: Files &gt; Options &gt; Formulas; in Excel 2003: Tools &gt; Options &gt; Calculations.
</t>
        </r>
        <r>
          <rPr>
            <b/>
            <sz val="11"/>
            <color indexed="10"/>
            <rFont val="Tahoma"/>
            <family val="2"/>
          </rPr>
          <t>Keep in mind:</t>
        </r>
        <r>
          <rPr>
            <b/>
            <sz val="11"/>
            <color indexed="12"/>
            <rFont val="Tahoma"/>
            <family val="2"/>
          </rPr>
          <t xml:space="preserve"> While ever effort has been made to insure the model uses settings properly and calculates results accurately, the complexity of trying to account for different user's situations may result in calculation or reporting errors.  To test the accuracy of your results it is recommended that results be reviewed after each entry, or individually, as many items, like SS benefits, can be entered without other portfolio data being included.
</t>
        </r>
        <r>
          <rPr>
            <b/>
            <sz val="11"/>
            <color indexed="10"/>
            <rFont val="Tahoma"/>
            <family val="2"/>
          </rPr>
          <t>Tip:</t>
        </r>
        <r>
          <rPr>
            <b/>
            <sz val="11"/>
            <color indexed="12"/>
            <rFont val="Tahoma"/>
            <family val="2"/>
          </rPr>
          <t xml:space="preserve"> Use "load entries" macro or the Excel "Compare Side by Side" feature (in Window menu item) to easily transfer previous RPM Setup entries to a new model version.  
</t>
        </r>
      </text>
    </comment>
    <comment ref="G1" authorId="0" shapeId="0">
      <text>
        <r>
          <rPr>
            <b/>
            <sz val="12"/>
            <color indexed="12"/>
            <rFont val="Tahoma"/>
            <family val="2"/>
          </rPr>
          <t xml:space="preserve">Macros perform various tasks, such jumping to a different location, copying and pasting results for saving, clearing all setup data, and showing or hiding gridlines and headers. 
The macros in this model, if downloaded from the link on the Bogleheads' forum, are strictly limited to operations within RPM. They do not access other computer programs or drive folders.  They do not access the Internet.
</t>
        </r>
        <r>
          <rPr>
            <b/>
            <sz val="12"/>
            <color indexed="10"/>
            <rFont val="Tahoma"/>
            <family val="2"/>
          </rPr>
          <t>The model can be used without activating macros.</t>
        </r>
        <r>
          <rPr>
            <b/>
            <sz val="12"/>
            <color indexed="12"/>
            <rFont val="Tahoma"/>
            <family val="2"/>
          </rPr>
          <t xml:space="preserve"> Here are some menu commands that can be used in lieu of the provided macros. (Excel 2003 or 2013)
</t>
        </r>
        <r>
          <rPr>
            <b/>
            <sz val="12"/>
            <color indexed="81"/>
            <rFont val="Tahoma"/>
            <family val="2"/>
          </rPr>
          <t>View macros:</t>
        </r>
        <r>
          <rPr>
            <b/>
            <sz val="12"/>
            <color indexed="12"/>
            <rFont val="Tahoma"/>
            <family val="2"/>
          </rPr>
          <t xml:space="preserve"> in Excel 2013: View &gt; Macros; in Excel 2003: Tools &gt; Macro &gt; Macros &gt; Edit or View &gt; Macros
</t>
        </r>
        <r>
          <rPr>
            <b/>
            <sz val="12"/>
            <color indexed="81"/>
            <rFont val="Tahoma"/>
            <family val="2"/>
          </rPr>
          <t>Enable or disable macros:</t>
        </r>
        <r>
          <rPr>
            <b/>
            <sz val="12"/>
            <color indexed="12"/>
            <rFont val="Tahoma"/>
            <family val="2"/>
          </rPr>
          <t xml:space="preserve"> in Excel 2013: File -&gt; Options -&gt; Trust Center; in Excel 2003: Tools &gt; Macro &gt; Security
</t>
        </r>
      </text>
    </comment>
    <comment ref="N1" authorId="0" shapeId="0">
      <text>
        <r>
          <rPr>
            <b/>
            <sz val="11"/>
            <color indexed="12"/>
            <rFont val="Tahoma"/>
            <family val="2"/>
          </rPr>
          <t>Clicking the Clear Entries button will prompt for a confirmation, and will then</t>
        </r>
        <r>
          <rPr>
            <b/>
            <sz val="11"/>
            <color indexed="10"/>
            <rFont val="Tahoma"/>
            <family val="2"/>
          </rPr>
          <t xml:space="preserve"> erase nearly all the user entered factors and data entered on this page.  
</t>
        </r>
        <r>
          <rPr>
            <b/>
            <sz val="11"/>
            <color indexed="12"/>
            <rFont val="Tahoma"/>
            <family val="2"/>
          </rPr>
          <t xml:space="preserve">Use this to insure that all the data entered is selected by you.  </t>
        </r>
        <r>
          <rPr>
            <b/>
            <sz val="11"/>
            <color indexed="10"/>
            <rFont val="Tahoma"/>
            <family val="2"/>
          </rPr>
          <t xml:space="preserve">Save your model before using!
</t>
        </r>
        <r>
          <rPr>
            <b/>
            <sz val="11"/>
            <color indexed="12"/>
            <rFont val="Tahoma"/>
            <family val="2"/>
          </rPr>
          <t xml:space="preserve">
Uses macro:
Clear_Input
</t>
        </r>
      </text>
    </comment>
    <comment ref="P1" authorId="0" shapeId="0">
      <text>
        <r>
          <rPr>
            <b/>
            <sz val="11"/>
            <color indexed="12"/>
            <rFont val="Tahoma"/>
            <family val="2"/>
          </rPr>
          <t>Shows or hides the column letters and row numbers and all the cell outlines.
Uses macros: 
HeaderShow
HeaderHide</t>
        </r>
        <r>
          <rPr>
            <sz val="11"/>
            <color indexed="12"/>
            <rFont val="Tahoma"/>
            <family val="2"/>
          </rPr>
          <t xml:space="preserve">
</t>
        </r>
      </text>
    </comment>
    <comment ref="S1" authorId="0" shapeId="0">
      <text>
        <r>
          <rPr>
            <b/>
            <sz val="11"/>
            <color indexed="12"/>
            <rFont val="Tahoma"/>
            <family val="2"/>
          </rPr>
          <t>The Readme page contains an overview of the Retiree Portfolio Model, some links to spreadsheet that have been tested that run the model, and a list of all the changes to the model.  This page can be hidden to simplify the page tab list.
Macros:
Readme_TabShow
Readme_TabHide</t>
        </r>
      </text>
    </comment>
    <comment ref="Y1" authorId="0" shapeId="0">
      <text>
        <r>
          <rPr>
            <b/>
            <sz val="11"/>
            <color indexed="12"/>
            <rFont val="Tahoma"/>
            <family val="2"/>
          </rPr>
          <t>Various calculations, reference data and scriblings are hidden in the columns to the right.
Macros:
Setup_Calc_Show
Setup_Calc_Hide</t>
        </r>
        <r>
          <rPr>
            <sz val="10"/>
            <color indexed="17"/>
            <rFont val="Tahoma"/>
            <family val="2"/>
          </rPr>
          <t xml:space="preserve">
</t>
        </r>
      </text>
    </comment>
    <comment ref="N2" authorId="0" shapeId="0">
      <text>
        <r>
          <rPr>
            <b/>
            <sz val="11"/>
            <color indexed="12"/>
            <rFont val="Tahoma"/>
            <family val="2"/>
          </rPr>
          <t xml:space="preserve">Previous RPM model Setup entries can be automatically copied to this model using this macro.  Because of model revisions, not all old entries may be loaded but this macro will do at least 98% of them.
1. Clear existing entries using "clear entries" macro.  This is not required but a good practice.
2. Select "load entries" macro and select or enter a previous model file name.
3. Click OK at message prompt and when done review results, manually adding any data not copied.
Note: The selected spreadsheet will load into Excel and after the entries are copied it will be shown.  Switch (Ctrl-Tab) to the new model and after reviewing the entries you can switch back to the old one and close it.
Tested and works copying entries from RPM version 17.0 and 16.3.  It will work, but omit recent additions, with earlier versions.
</t>
        </r>
        <r>
          <rPr>
            <b/>
            <sz val="11"/>
            <color indexed="10"/>
            <rFont val="Tahoma"/>
            <family val="2"/>
          </rPr>
          <t xml:space="preserve">
Setup entries not copied from version 17.0:
</t>
        </r>
        <r>
          <rPr>
            <b/>
            <sz val="11"/>
            <color indexed="12"/>
            <rFont val="Tahoma"/>
            <family val="2"/>
          </rPr>
          <t xml:space="preserve">Roth conversion, withdrawal and storage yearly amounts
Results Summary three columns of copied results
IRA withdrawal factors "optional base case withdrawals"
</t>
        </r>
        <r>
          <rPr>
            <b/>
            <sz val="11"/>
            <color indexed="10"/>
            <rFont val="Tahoma"/>
            <family val="2"/>
          </rPr>
          <t xml:space="preserve">Setup entries not copied from version 16.3:
</t>
        </r>
        <r>
          <rPr>
            <b/>
            <sz val="11"/>
            <color indexed="12"/>
            <rFont val="Tahoma"/>
            <family val="2"/>
          </rPr>
          <t>All of the above plus</t>
        </r>
        <r>
          <rPr>
            <b/>
            <sz val="11"/>
            <color indexed="10"/>
            <rFont val="Tahoma"/>
            <family val="2"/>
          </rPr>
          <t xml:space="preserve">
</t>
        </r>
        <r>
          <rPr>
            <b/>
            <sz val="11"/>
            <color indexed="12"/>
            <rFont val="Tahoma"/>
            <family val="2"/>
          </rPr>
          <t xml:space="preserve">Income tax exemptions
All of these entries will be supported when copying from 18.0 to future versions, e.g. 18.1
Uses macro:
Copy_Setup
</t>
        </r>
      </text>
    </comment>
    <comment ref="S2" authorId="0" shapeId="0">
      <text>
        <r>
          <rPr>
            <b/>
            <sz val="11"/>
            <color indexed="12"/>
            <rFont val="Tahoma"/>
            <family val="2"/>
          </rPr>
          <t>The Tax Table page has the current year tax rate, brackets, and other tax data along with schedules of the calculated Federal tax amounts by year.
The default is to hide the page.
Macros:
Tax_TabHide
Tax_TabShow</t>
        </r>
      </text>
    </comment>
    <comment ref="Z2" authorId="0" shapeId="0">
      <text>
        <r>
          <rPr>
            <b/>
            <sz val="11"/>
            <color indexed="12"/>
            <rFont val="Tahoma"/>
            <family val="2"/>
          </rPr>
          <t>Developer use: protect or unprotect all pages from changes to locked cells.
Macros:
All_Protect
All_Unprotect</t>
        </r>
        <r>
          <rPr>
            <sz val="10"/>
            <color indexed="17"/>
            <rFont val="Tahoma"/>
            <family val="2"/>
          </rPr>
          <t xml:space="preserve">
</t>
        </r>
      </text>
    </comment>
    <comment ref="AA2" authorId="0" shapeId="0">
      <text>
        <r>
          <rPr>
            <b/>
            <sz val="11"/>
            <color indexed="12"/>
            <rFont val="Tahoma"/>
            <family val="2"/>
          </rPr>
          <t>Developer use: show or hide the column letters and row numbers and all the cell outlines on all pages.
Macros:
All_Show
All_Unhide</t>
        </r>
        <r>
          <rPr>
            <sz val="10"/>
            <color indexed="17"/>
            <rFont val="Tahoma"/>
            <family val="2"/>
          </rPr>
          <t xml:space="preserve">
</t>
        </r>
      </text>
    </comment>
    <comment ref="B3" authorId="0" shapeId="0">
      <text>
        <r>
          <rPr>
            <b/>
            <sz val="12"/>
            <color indexed="12"/>
            <rFont val="Tahoma"/>
            <family val="2"/>
          </rPr>
          <t>Click on titles to jump to selected section on this page.  Requires macros to be enabled.
Uses macros:
Setup_# (1-9)</t>
        </r>
      </text>
    </comment>
    <comment ref="S3" authorId="0" shapeId="0">
      <text>
        <r>
          <rPr>
            <b/>
            <sz val="11"/>
            <color indexed="12"/>
            <rFont val="Tahoma"/>
            <family val="2"/>
          </rPr>
          <t>Optimal Retirement Planner (ORP) is a online retirement portfolio planning tool which uses sophisticated programming to forecast optimum retirement strategies based on input user data.  
A page is provided in RPM for comparing ORP results to RPM results. This is normally hidden as most users will not need or use the comparison.
Macros:
ORP_TabShow
ORP_TabHide</t>
        </r>
      </text>
    </comment>
    <comment ref="A8" authorId="0" shapeId="0">
      <text>
        <r>
          <rPr>
            <b/>
            <sz val="11"/>
            <color indexed="12"/>
            <rFont val="Tahoma"/>
            <family val="2"/>
          </rPr>
          <t>Read a typical family story and how they use the model by placing your cursor over the left-most cell of each green section bar.</t>
        </r>
      </text>
    </comment>
    <comment ref="M8" authorId="0" shapeId="0">
      <text>
        <r>
          <rPr>
            <b/>
            <sz val="11"/>
            <color indexed="12"/>
            <rFont val="Tahoma"/>
            <family val="2"/>
          </rPr>
          <t>Use these copy-paste buttons to copy the current results summary numbers to the storage column below the button. This will also copy all the settings to the storage section at the bottom of this page.
Macros: 
copy_sum1
copy_sum2
copy_sum3</t>
        </r>
      </text>
    </comment>
    <comment ref="A9" authorId="0" shapeId="0">
      <text>
        <r>
          <rPr>
            <b/>
            <sz val="11"/>
            <color indexed="12"/>
            <rFont val="Tahoma"/>
            <family val="2"/>
          </rPr>
          <t xml:space="preserve">George and Martha, who are 62 and 61 respectively, retired in 2018.  They will be using RPM to get an estimate of their future retirement life, based on their expections and best-guess on dozens of accounts and events.
One goal of their retirement planning is to evaluate the impact of converting a portion of George's traditional IRA into a Roth.  Not only would this provide them tax-free withdrawals later in life, it create an asset in their estate could provide their children with a tax-free source of income.  They also want to know the impact of starting Social Security benefits at different ages.  This model can provide that information and much more.
general settings:
They use the default rounding to the nearest $100, but occasionally look at everything in $1,000s to compare to other models, such as ORP and FIREcalc.  They intend to model their own withdrawals to meet expenses, so choose not to use the automated withdrawals feature.  They set the Discount Rate for present value calculations to 3%, representing a real return rate and used for comparing results that have different yearly results, such as alternative Social Security benefits.
</t>
        </r>
      </text>
    </comment>
    <comment ref="D9" authorId="0" shapeId="0">
      <text>
        <r>
          <rPr>
            <b/>
            <sz val="12"/>
            <color indexed="12"/>
            <rFont val="Tahoma"/>
            <family val="2"/>
          </rPr>
          <t xml:space="preserve">Select which special features you want included or excluded in the portfolio forecast.
</t>
        </r>
      </text>
    </comment>
    <comment ref="L9" authorId="0" shapeId="0">
      <text>
        <r>
          <rPr>
            <b/>
            <sz val="11"/>
            <color indexed="12"/>
            <rFont val="Tahoma"/>
            <family val="2"/>
          </rPr>
          <t xml:space="preserve">Three storage columns are provided for saving summary results of your model. Enter a 3-line description first, then use macro buttons or menu commands to copy current results to one of the three storage lines.  (i.e. copy-paste values)
Note: Using the macros also copies all Setup page entries to the respective storage column (1 to 1, etc) in the Case Results and Input Data Storage section at the bottom of this page.
</t>
        </r>
        <r>
          <rPr>
            <b/>
            <sz val="11"/>
            <color indexed="10"/>
            <rFont val="Tahoma"/>
            <family val="2"/>
          </rPr>
          <t xml:space="preserve">
Manual method:</t>
        </r>
        <r>
          <rPr>
            <b/>
            <sz val="11"/>
            <color indexed="12"/>
            <rFont val="Tahoma"/>
            <family val="2"/>
          </rPr>
          <t xml:space="preserve">
1. Select the nine rows of "current results" data. 
2. Copy using menu icon or Ctrl-C. 
3. Select one of the columns by selecting the first row below the comment area.
4. Paste values using menu icon or right-click and Paste Special - Values.
</t>
        </r>
      </text>
    </comment>
    <comment ref="D11" authorId="0" shapeId="0">
      <text>
        <r>
          <rPr>
            <b/>
            <sz val="11"/>
            <color indexed="12"/>
            <rFont val="Tahoma"/>
            <family val="2"/>
          </rPr>
          <t>There are two options that can either be included or excluded from the portfolio forecast. The base case used for automatic comparisons excludes these two options by default.
If both options are set to 'n' the portfolio forecast should be the same as the base case and the calculated differences all zero.</t>
        </r>
      </text>
    </comment>
    <comment ref="D12" authorId="0" shapeId="0">
      <text>
        <r>
          <rPr>
            <b/>
            <sz val="11"/>
            <color indexed="12"/>
            <rFont val="Tahoma"/>
            <family val="2"/>
          </rPr>
          <t>Enter a 'y' to include a Roth conversion in your portfolio.  Enter a  'n' to exclude it.
The model automatically determines  portfolio results excluding  Roth conversions and provides a comparison in various schedules in the model.
Roth conversions and expenditures from the created Roth IRA are entered in section 10 - Roth Conversions.</t>
        </r>
        <r>
          <rPr>
            <sz val="11"/>
            <color indexed="12"/>
            <rFont val="Tahoma"/>
            <family val="2"/>
          </rPr>
          <t xml:space="preserve">
</t>
        </r>
      </text>
    </comment>
    <comment ref="H12" authorId="0" shapeId="0">
      <text>
        <r>
          <rPr>
            <b/>
            <sz val="11"/>
            <color indexed="12"/>
            <rFont val="Tahoma"/>
            <family val="2"/>
          </rPr>
          <t xml:space="preserve">Enter rounding number for future years forecasting and calculations.  Use 1, 100, 1000, etc..  100 is recommended.
Future tax rates rounding is limited to 1-100 to maintain forecasting accuracy.  Standard deductions and personal exemptions rounding is fixed at $50 to mimic actual rates.
</t>
        </r>
        <r>
          <rPr>
            <b/>
            <sz val="10"/>
            <color indexed="81"/>
            <rFont val="Tahoma"/>
            <family val="2"/>
          </rPr>
          <t xml:space="preserve">
</t>
        </r>
      </text>
    </comment>
    <comment ref="D13" authorId="0" shapeId="0">
      <text>
        <r>
          <rPr>
            <b/>
            <sz val="11"/>
            <color indexed="12"/>
            <rFont val="Tahoma"/>
            <family val="2"/>
          </rPr>
          <t xml:space="preserve">Enter a 'y' to use alternative Social Security benefits starting ages and amounts to the default entries.  Enter a 'n' to use the default amounts.
The model automatically determines  portfolio results using the default benefits and provides a comparison in various schedules in the model.
SS benefits are entered in section 4. Income.
</t>
        </r>
      </text>
    </comment>
    <comment ref="H13" authorId="0" shapeId="0">
      <text>
        <r>
          <rPr>
            <b/>
            <sz val="11"/>
            <color indexed="12"/>
            <rFont val="Tahoma"/>
            <family val="2"/>
          </rPr>
          <t>Enter the minimum balance to maintain in the Taxable account when using the automated IRA withdrawal feature.  10,000 is recommended.
Because of the approximation used in this calculation, it's better to keep this amount high ($10k+), otherwise negative taxable account balances are more likely to occur in some years.</t>
        </r>
        <r>
          <rPr>
            <sz val="11"/>
            <color indexed="12"/>
            <rFont val="Tahoma"/>
            <family val="2"/>
          </rPr>
          <t xml:space="preserve">
</t>
        </r>
      </text>
    </comment>
    <comment ref="H14" authorId="0" shapeId="0">
      <text>
        <r>
          <rPr>
            <b/>
            <sz val="11"/>
            <color indexed="12"/>
            <rFont val="Tahoma"/>
            <family val="2"/>
          </rPr>
          <t>Enter a 'y' to have the model automatically calculate withdrawal amounts (in addition to any manual withdrawals entered) from tax-advantaged accounts to fund deficits in the Taxable account.  Enter a 'n' to only use your input withdrawal amounts. 
Default is 'n'.
Set a minimum balance higher than $0 for the Taxable account, otherwise it will default to $0 when automated setting is used.
Withdrawals are made in this order, with each account depleted to $0 before the next account is used:
1. Traditional IRAs
2. Inherited IRAs
3. Roth IRA 1
4. Roth Conversion IRA (Full case only)
Limitation:  Because of circular calculation issues, this feature uses the prior years' tax expenses in determining the current year withdrawal amounts.  This makes it more of an approximation and may result in a Taxable account balance that is not equal to the selected Minimum Balance.</t>
        </r>
        <r>
          <rPr>
            <b/>
            <sz val="10"/>
            <color indexed="81"/>
            <rFont val="Tahoma"/>
            <family val="2"/>
          </rPr>
          <t xml:space="preserve">
</t>
        </r>
      </text>
    </comment>
    <comment ref="H15" authorId="0" shapeId="0">
      <text>
        <r>
          <rPr>
            <b/>
            <sz val="11"/>
            <color indexed="12"/>
            <rFont val="Tahoma"/>
            <family val="2"/>
          </rPr>
          <t>Enter a discount rate to determine the net present value of several results in the model.  This PV rate is only used for analysis, not in any model calculations.  
See Results page: Income Taxes, Social Security and Roth Conversions for DCF calculations.
Comparing the present value of cash flows, such as Social Security benefits, may provide useful information for you.
An appropriate discount rate is difficult to determine for this type of model.  A real rate (after inflation)  of 3% is used for the Example data.  An alternative could be the portfolio  forecast average real return rate.</t>
        </r>
      </text>
    </comment>
    <comment ref="D16" authorId="0" shapeId="0">
      <text>
        <r>
          <rPr>
            <b/>
            <sz val="11"/>
            <color indexed="12"/>
            <rFont val="Tahoma"/>
            <family val="2"/>
          </rPr>
          <t>Enter a 'y' to exclude Federal and state income taxes from the results.  Set to 'n' to include taxes (default).  
Use to temporarily remove these expenses to compare the current year model results to a prior year model, or to just see the portfolio results without the impact of taxes.</t>
        </r>
      </text>
    </comment>
    <comment ref="D17" authorId="0" shapeId="0">
      <text>
        <r>
          <rPr>
            <b/>
            <sz val="11"/>
            <color indexed="12"/>
            <rFont val="Tahoma"/>
            <family val="2"/>
          </rPr>
          <t>Enter a 'y' to use alternative tax rates to test the impact on portfolio values.  Enter a 'n' to use the current tax year rate schedule for all future years (default).  
Alternate tax rates are entered in section 9. Taxes.</t>
        </r>
        <r>
          <rPr>
            <b/>
            <sz val="10"/>
            <color indexed="81"/>
            <rFont val="Tahoma"/>
            <family val="2"/>
          </rPr>
          <t xml:space="preserve">
</t>
        </r>
      </text>
    </comment>
    <comment ref="J17" authorId="0" shapeId="0">
      <text>
        <r>
          <rPr>
            <b/>
            <sz val="11"/>
            <color indexed="12"/>
            <rFont val="Tahoma"/>
            <family val="2"/>
          </rPr>
          <t>This model requires the user to schedule and use  income, expenditure and IRA withdrawal values such as at the end of the planning period none of the accounts have a negative balance.
If one or more accounts do have negative balance, then modify your setup entries to eliminate them or try the "auto withdrawal" setting.</t>
        </r>
      </text>
    </comment>
    <comment ref="L18" authorId="0" shapeId="0">
      <text>
        <r>
          <rPr>
            <b/>
            <sz val="11"/>
            <color indexed="12"/>
            <rFont val="Tahoma"/>
            <family val="2"/>
          </rPr>
          <t>Total Required Minimum Distributions of IRA 1 that is used to fund Roth conversions.</t>
        </r>
      </text>
    </comment>
    <comment ref="L19" authorId="0" shapeId="0">
      <text>
        <r>
          <rPr>
            <b/>
            <sz val="11"/>
            <color indexed="12"/>
            <rFont val="Tahoma"/>
            <family val="2"/>
          </rPr>
          <t>The Base portfolio excludes the Roth conversion IRA and the alternsative Social Security benefit.  The allows it to be easily compared to the full default portfolio that may includes those items.</t>
        </r>
      </text>
    </comment>
    <comment ref="A20" authorId="0" shapeId="0">
      <text>
        <r>
          <rPr>
            <b/>
            <sz val="11"/>
            <color indexed="12"/>
            <rFont val="Tahoma"/>
            <family val="2"/>
          </rPr>
          <t xml:space="preserve">They expect to live well into their 80's and have set the model to calculate into their early 90's, a 30 year period.  To model the impact on income, taxes and RMD, they assume George will pass away at age 85.
Based on their birth dates, he will have to start taking required minimum distributions (RMD) from his IRA at 71 and Martha from hers at 70.  They also expect to both inherit IRAs, his at age 77 and hers at 72.  RMDs will start one year later.
</t>
        </r>
      </text>
    </comment>
    <comment ref="D20" authorId="0" shapeId="0">
      <text>
        <r>
          <rPr>
            <b/>
            <sz val="12"/>
            <color indexed="12"/>
            <rFont val="Tahoma"/>
            <family val="2"/>
          </rPr>
          <t xml:space="preserve">Enter how many years you want to model and your age and spouse's age Recommended: use age each person will reach in the current year.  
If you have or will inherit IRAs then enter the owner's age when RMD will start and who the owners are.
</t>
        </r>
      </text>
    </comment>
    <comment ref="J22" authorId="0" shapeId="0">
      <text>
        <r>
          <rPr>
            <b/>
            <sz val="11"/>
            <color indexed="12"/>
            <rFont val="Tahoma"/>
            <family val="2"/>
          </rPr>
          <t>Calculators are provided on the Setup page to help determine various setup factors. Values calculated not used in the model.</t>
        </r>
      </text>
    </comment>
    <comment ref="D23" authorId="0" shapeId="0">
      <text>
        <r>
          <rPr>
            <b/>
            <sz val="11"/>
            <color indexed="12"/>
            <rFont val="Tahoma"/>
            <family val="2"/>
          </rPr>
          <t>Enter the first year of the modeling period.  Use the current year to match the current year tax rates. 
Tax rates are entered on the Tax Tables page.</t>
        </r>
        <r>
          <rPr>
            <sz val="11"/>
            <color indexed="12"/>
            <rFont val="Tahoma"/>
            <family val="2"/>
          </rPr>
          <t xml:space="preserve">
</t>
        </r>
      </text>
    </comment>
    <comment ref="I23" authorId="0" shapeId="0">
      <text>
        <r>
          <rPr>
            <b/>
            <sz val="11"/>
            <color indexed="17"/>
            <rFont val="Tahoma"/>
            <family val="2"/>
          </rPr>
          <t>Calculator</t>
        </r>
        <r>
          <rPr>
            <b/>
            <sz val="11"/>
            <color indexed="12"/>
            <rFont val="Tahoma"/>
            <family val="2"/>
          </rPr>
          <t xml:space="preserve">
Enter an age to see average age a person can expect to live to.
Uses the Social Security actuary data.  Source table is at the bottom of Tax Tables page.
</t>
        </r>
      </text>
    </comment>
    <comment ref="D24" authorId="0" shapeId="0">
      <text>
        <r>
          <rPr>
            <b/>
            <sz val="11"/>
            <color indexed="12"/>
            <rFont val="Tahoma"/>
            <family val="2"/>
          </rPr>
          <t xml:space="preserve">Enter the number of years you would like to model, from 1 to 40. </t>
        </r>
      </text>
    </comment>
    <comment ref="F24" authorId="0" shapeId="0">
      <text>
        <r>
          <rPr>
            <b/>
            <sz val="11"/>
            <color indexed="12"/>
            <rFont val="Tahoma"/>
            <family val="2"/>
          </rPr>
          <t>Enter the age the person may pass away (assumes Dec 31).  Use this same age in the Social Security section.  
If the person is the owner of IRA 1  and/or IRA 2, each IRA is assumed to be  inherited by the other person.  Only one person's age can be entered.  If the other IRA is owned by the surviving person, it will remained owned by that person for the entire modeling period.</t>
        </r>
        <r>
          <rPr>
            <b/>
            <i/>
            <sz val="11"/>
            <color indexed="12"/>
            <rFont val="Tahoma"/>
            <family val="2"/>
          </rPr>
          <t xml:space="preserve">
</t>
        </r>
        <r>
          <rPr>
            <b/>
            <sz val="11"/>
            <color indexed="12"/>
            <rFont val="Tahoma"/>
            <family val="2"/>
          </rPr>
          <t>RMDs based on the owner's age will end at the age entered, and the other person's age in that year will be used for the RMD calculations for the remaining years of the forecast.
Does not apply to inherited IRAs.  If single, leave blank.</t>
        </r>
      </text>
    </comment>
    <comment ref="G24" authorId="0" shapeId="0">
      <text>
        <r>
          <rPr>
            <b/>
            <sz val="11"/>
            <color indexed="12"/>
            <rFont val="Tahoma"/>
            <family val="2"/>
          </rPr>
          <t>Ages at end of modeling period.  Calculated ending ages shown on right.</t>
        </r>
        <r>
          <rPr>
            <b/>
            <sz val="10"/>
            <color indexed="81"/>
            <rFont val="Tahoma"/>
            <family val="2"/>
          </rPr>
          <t xml:space="preserve">
</t>
        </r>
      </text>
    </comment>
    <comment ref="D25" authorId="0" shapeId="0">
      <text>
        <r>
          <rPr>
            <b/>
            <sz val="11"/>
            <color indexed="12"/>
            <rFont val="Tahoma"/>
            <family val="2"/>
          </rPr>
          <t>Enter the age in the first year for a single person or the first person in a couple.  Recommended: use age person will reach in the first year.
The 'Your' age is used throughout the model for events related to this person, like SS benefits and inheritances. and for determining when some general events occur, like IRA withdrawals.</t>
        </r>
      </text>
    </comment>
    <comment ref="D26" authorId="0" shapeId="0">
      <text>
        <r>
          <rPr>
            <b/>
            <sz val="11"/>
            <color indexed="12"/>
            <rFont val="Tahoma"/>
            <family val="2"/>
          </rPr>
          <t xml:space="preserve">Enter the age in the first year for the second person in a couple or leave blank if single. Recommended: use age person will reach in the first year.
Spouse-related entries have purple titles.
The 'Spouse' age is used in the model for events related to this person, like IRA RMD, SS benefits and IRA inheritances. 
ALERT: If you are single and see error messages after deleting the Example data spouse age, find the other spouse-related entries and delete them also.
If you are single, but have a spousal SS benefit and will later take your own SS benefit, make this age the same as yours to correctly include both benefits.
</t>
        </r>
      </text>
    </comment>
    <comment ref="N28" authorId="0" shapeId="0">
      <text>
        <r>
          <rPr>
            <b/>
            <sz val="11"/>
            <color indexed="17"/>
            <rFont val="Tahoma"/>
            <family val="2"/>
          </rPr>
          <t>Calculator</t>
        </r>
        <r>
          <rPr>
            <b/>
            <sz val="11"/>
            <color indexed="12"/>
            <rFont val="Tahoma"/>
            <family val="2"/>
          </rPr>
          <t xml:space="preserve">
Enter an IRA balance as of the end of the prior year, and the owner's age in the current year.
Only applicable if your spouse/beneficiary is 10 years or younger than you are.  
This uses the IRS Uniform Lifetime table, Table III at the bottom of the Tax Tables page.
If the primary beneficiary is a spouse more than 10 years younger, the IRA owner must use the Joint Life Expectancy Table II (see IRS Publication 590) which will generally produce lower required distributions.
</t>
        </r>
      </text>
    </comment>
    <comment ref="D29" authorId="0" shapeId="0">
      <text>
        <r>
          <rPr>
            <b/>
            <sz val="11"/>
            <color indexed="12"/>
            <rFont val="Tahoma"/>
            <family val="2"/>
          </rPr>
          <t xml:space="preserve">Your required minimum distribution is the minimum amount you must withdraw from your account each year. You generally have to start taking withdrawals from your IRA, SEP IRA, SIMPLE IRA, or retirement plan account when you reach age 70½. Roth IRAs do not require withdrawals until after the death of the owner.
&gt; You can withdraw more than the minimum required amount.
&gt; Your withdrawals will be included in your taxable income except for any part that was taxed before (your basis) or that can be received tax-free (such as qualified distributions from designated Roth accounts).   Source: IRS
This model does not provide for any after-tax contributions made to IRAs.
</t>
        </r>
      </text>
    </comment>
    <comment ref="E29" authorId="0" shapeId="0">
      <text>
        <r>
          <rPr>
            <b/>
            <sz val="11"/>
            <color indexed="12"/>
            <rFont val="Tahoma"/>
            <family val="2"/>
          </rPr>
          <t xml:space="preserve">Enter the RMD starting age for each IRA based on the owner's birth date (either 70 or 71) or the age in the year after the IRA was inherited.  
Note this uses either Your age and/or the  Spouse's age, depending on who owns each IRA.
</t>
        </r>
      </text>
    </comment>
    <comment ref="F29" authorId="0" shapeId="0">
      <text>
        <r>
          <rPr>
            <b/>
            <sz val="11"/>
            <color indexed="12"/>
            <rFont val="Tahoma"/>
            <family val="2"/>
          </rPr>
          <t xml:space="preserve">Enter the owner of each IRA.
y - will use your age for making the  RMD calculation.
s - will use spouse's age
</t>
        </r>
      </text>
    </comment>
    <comment ref="G29" authorId="0" shapeId="0">
      <text>
        <r>
          <rPr>
            <b/>
            <sz val="11"/>
            <color indexed="12"/>
            <rFont val="Tahoma"/>
            <family val="2"/>
          </rPr>
          <t>Beginning of year balance at IRA owner's  RMD start age.</t>
        </r>
      </text>
    </comment>
    <comment ref="D30" authorId="0" shapeId="0">
      <text>
        <r>
          <rPr>
            <b/>
            <sz val="11"/>
            <color indexed="12"/>
            <rFont val="Tahoma"/>
            <family val="2"/>
          </rPr>
          <t>Enter the IRA's owner's age when RMDs will begin, either 70 or 71.
Born January-June example: Your 70th birthday is June 30, 2018. You reach age 70½ on December 30, 2018. You must take your first RMD (for 2018) by April 1, 2019 and the RMD for 2019 must be taken by December 31, 2019.  However, this model cannot do two RMDs in a single year, so schedule the first RMD for 2018, or the owner's age 70.
Born July-December example: Your 70th birthday is July 1, 2018. You reach age 70½ on January 1, 2019. Your first RMD should be scheduled for 2019, or the owner's age 71. 
The IRS rule for taking required minimum distributions states:  "You must take your first required minimum distribution for the year in which you turn 70 1/2. However, the first payment can be delayed until April 1 of the year following the year in which you turn 70 1/2. For all subsequent years, including the year in which you were paid the first RMD by April 1, you must take the RMD by December 31 of the year."
Uses the IRS Life Expectancy Table III in the Tax Table page to determine RMD percentage.
Note: If your spouse is your sole-beneficiary AND more than 10 years younger than you, an alternative life expectancy table must be used.  Go to Tax Tables and at the bottom locate the Override Table II and insert the life expectancy values the IRS provides for your ages and change the default table setting located there.
ALERT: As of v18.0 selecting the Override Table will use those factors for all IRAs, including a spouse IRA owner who the 10-years younger factor does not apply to.</t>
        </r>
      </text>
    </comment>
    <comment ref="O30" authorId="0" shapeId="0">
      <text>
        <r>
          <rPr>
            <b/>
            <sz val="11"/>
            <color indexed="12"/>
            <rFont val="Tahoma"/>
            <family val="2"/>
          </rPr>
          <t xml:space="preserve">IRA year-end balances as of December 31 of the year prior to the RMD year.
</t>
        </r>
      </text>
    </comment>
    <comment ref="O31" authorId="0" shapeId="0">
      <text>
        <r>
          <rPr>
            <b/>
            <sz val="11"/>
            <color indexed="12"/>
            <rFont val="Tahoma"/>
            <family val="2"/>
          </rPr>
          <t xml:space="preserve">IRA owner's age at end of first RMD year.
</t>
        </r>
      </text>
    </comment>
    <comment ref="D32" authorId="0" shapeId="0">
      <text>
        <r>
          <rPr>
            <b/>
            <sz val="11"/>
            <color indexed="12"/>
            <rFont val="Tahoma"/>
            <family val="2"/>
          </rPr>
          <t>Enter age of the heir when RMDs are required to start.
RMD is required to start in the year after the death of the original owner of the IRA.  So this age should be the age entered in the Special Events section for the IRA inheritance plus one (e.g. 77+1). The inherit age is shown in the title.  
This calculation assumes the beneficiary is not the spouse of the deceased.  It uses the beneficiary's life expectancy in determining the first year's RMD with each subsequent year reduced by one.
Uses the Single Life Expectancy table I in the Tax Tables page  for the starting life expectancy number.</t>
        </r>
      </text>
    </comment>
    <comment ref="A36" authorId="0" shapeId="0">
      <text>
        <r>
          <rPr>
            <b/>
            <sz val="11"/>
            <color indexed="12"/>
            <rFont val="Tahoma"/>
            <family val="2"/>
          </rPr>
          <t xml:space="preserve">They have a current financial portfolio of $1,000,000.  Their taxable brokerage and bank account is $200,000.  George's IRA, which was created when he rolled out of his company's 401k, is their largest single asset at $500,000, and Martha has a $200,000 IRA.   They also have two existing Roth IRAs with balances of $75,000  and $25,000 .
</t>
        </r>
      </text>
    </comment>
    <comment ref="D36" authorId="0" shapeId="0">
      <text>
        <r>
          <rPr>
            <b/>
            <sz val="12"/>
            <color indexed="12"/>
            <rFont val="Tahoma"/>
            <family val="2"/>
          </rPr>
          <t xml:space="preserve">Enter beginning balances of portfolio accounts. 
</t>
        </r>
      </text>
    </comment>
    <comment ref="D40" authorId="0" shapeId="0">
      <text>
        <r>
          <rPr>
            <b/>
            <sz val="11"/>
            <color indexed="12"/>
            <rFont val="Tahoma"/>
            <family val="2"/>
          </rPr>
          <t xml:space="preserve">Enter your current or forecast starting balance for your taxable accounts.  Include brokerage, savings, credit union, etc. accounts.
Withdrawals are not subject to income tax.
Note: Taxable brokerage accounts may include capital gains that would be subject to tax when the security holding these gains is sold.  At the present time, the model cannot calculate this tax liability and thus taxes may be understated as the taxable account funds are withdrawn and used. </t>
        </r>
      </text>
    </comment>
    <comment ref="D41" authorId="0" shapeId="0">
      <text>
        <r>
          <rPr>
            <b/>
            <sz val="11"/>
            <color indexed="12"/>
            <rFont val="Tahoma"/>
            <family val="2"/>
          </rPr>
          <t>Enter your current or forecast starting balance for your traditional IRA (t
IRA).  Also include 401k, 403b, 457, Keogh, SEP, and other tax-deferred accounts in this category.
All withdrawals from this account will be subject to income tax as after-tax contributions are not provided for in RPM.
Note: All Roth conversions come out of this IRA.</t>
        </r>
        <r>
          <rPr>
            <sz val="11"/>
            <color indexed="12"/>
            <rFont val="Tahoma"/>
            <family val="2"/>
          </rPr>
          <t xml:space="preserve">
</t>
        </r>
      </text>
    </comment>
    <comment ref="D42" authorId="0" shapeId="0">
      <text>
        <r>
          <rPr>
            <b/>
            <sz val="11"/>
            <color indexed="12"/>
            <rFont val="Tahoma"/>
            <family val="2"/>
          </rPr>
          <t>Enter your current or forecast starting balance for your second traditional IRA (tIRA).  Also include 401k, 403b, 457, Keogh, SEP, and other tax-deferred accounts in this category.
All withdrawals from this account will be subject to income tax as after-tax contributions are not provided for in RPM.
Note: No Roth conversions are made from this IRA.</t>
        </r>
        <r>
          <rPr>
            <sz val="11"/>
            <color indexed="12"/>
            <rFont val="Tahoma"/>
            <family val="2"/>
          </rPr>
          <t xml:space="preserve">
</t>
        </r>
      </text>
    </comment>
    <comment ref="D43" authorId="0" shapeId="0">
      <text>
        <r>
          <rPr>
            <b/>
            <sz val="11"/>
            <color indexed="12"/>
            <rFont val="Tahoma"/>
            <family val="2"/>
          </rPr>
          <t>Enter your current or forecast starting balance for your existing Roth IRAs and 529 accounts.  
Withdrawals are not subject to income tax.</t>
        </r>
        <r>
          <rPr>
            <sz val="11"/>
            <color indexed="12"/>
            <rFont val="Tahoma"/>
            <family val="2"/>
          </rPr>
          <t xml:space="preserve">
</t>
        </r>
        <r>
          <rPr>
            <b/>
            <sz val="11"/>
            <color indexed="12"/>
            <rFont val="Tahoma"/>
            <family val="2"/>
          </rPr>
          <t xml:space="preserve">
SPI Annuity can be purchased with this IRA.</t>
        </r>
      </text>
    </comment>
    <comment ref="D44" authorId="0" shapeId="0">
      <text>
        <r>
          <rPr>
            <b/>
            <sz val="11"/>
            <color indexed="12"/>
            <rFont val="Tahoma"/>
            <family val="2"/>
          </rPr>
          <t>Enter your current or forecast starting balance for your existing Roth IRAs and 529 accounts.  
Withdrawals are not subject to income tax.</t>
        </r>
        <r>
          <rPr>
            <sz val="11"/>
            <color indexed="12"/>
            <rFont val="Tahoma"/>
            <family val="2"/>
          </rPr>
          <t xml:space="preserve">
</t>
        </r>
      </text>
    </comment>
    <comment ref="D45" authorId="0" shapeId="0">
      <text>
        <r>
          <rPr>
            <b/>
            <sz val="11"/>
            <color indexed="12"/>
            <rFont val="Tahoma"/>
            <family val="2"/>
          </rPr>
          <t>Future modeling event</t>
        </r>
      </text>
    </comment>
    <comment ref="D46" authorId="0" shapeId="0">
      <text>
        <r>
          <rPr>
            <b/>
            <sz val="11"/>
            <color indexed="12"/>
            <rFont val="Tahoma"/>
            <family val="2"/>
          </rPr>
          <t>Future entered event</t>
        </r>
      </text>
    </comment>
    <comment ref="A50" authorId="0" shapeId="0">
      <text>
        <r>
          <rPr>
            <b/>
            <sz val="11"/>
            <color indexed="12"/>
            <rFont val="Tahoma"/>
            <family val="2"/>
          </rPr>
          <t xml:space="preserve">As long-time Bogleheads, they know that keeping as much of the stock fund portion of their portfolio in the taxable accounts, with bond funds in the tax-deferred accounts, is a good tax strategy.  Using the simple Account Earnings input factors they conservatively estimate the nominal average annual return on the taxable account, with its concentration of stock funds, will be 7.0%, higher than the return in their IRA with its bond funds, which they set at 5.0%. For their Roths, they plan to invest it a little more aggressively for their heirs but assume the 5.0% return for planning purposes. 
However, as they recognize the importance of maintaining the correct asset allocation during retirement, they decide to use the more precise Asset Allocation method of forecasting earnings, keeping in mind that past performance does not necessarily predict future results.  They want about 60% stocks and 40% bonds at their current ages, and plan on reducing that to about 30% stock, 70% bond at age 80.
They start by allocating a 45% stock fund and 50% tax-exempt bond funds in the taxable account, where their tax efficiency is needed.  The balance is split between a short term bond fund and the money market account, which comprise their emergency fund.  To achieve about a 60% stock allocation overall, they plan to hold about 50% stocks in each of their existing IRAs.  They go through a similar exercise for their age 80 asset allocation change.
They then look at the historic returns for the Total Stock Market, Total Bond Market, Tax-Exempt and Money Market funds, and reduce them by an arbitrary 3% for forecasting purposes and use the resulting rates for their asset category returns.
Note: For the Example data different percentages are used for each asset to make it easier to track results when testing the  model.  Users may want to keep it simpler.
</t>
        </r>
      </text>
    </comment>
    <comment ref="D50" authorId="0" shapeId="0">
      <text>
        <r>
          <rPr>
            <b/>
            <sz val="12"/>
            <color indexed="12"/>
            <rFont val="Tahoma"/>
            <family val="2"/>
          </rPr>
          <t>Enter return rates (yield plus capital appreciation) and asset allocations and choose which method to use for your forecast.
Inflated amounts or real amounts:  If nominal rates are used for earnings, rather than real rates that exclude inflation, and an inflation factor is entered for expenses, then the results are inflated amounts.  Tax brackets also have escalation factors increasing them each year.</t>
        </r>
      </text>
    </comment>
    <comment ref="AG50" authorId="0" shapeId="0">
      <text>
        <r>
          <rPr>
            <b/>
            <sz val="11"/>
            <color indexed="12"/>
            <rFont val="Tahoma"/>
            <family val="2"/>
          </rPr>
          <t xml:space="preserve">Xxxxxxxxxxxxxxxxxxxxxxxxxxxxxxxx </t>
        </r>
        <r>
          <rPr>
            <b/>
            <sz val="11"/>
            <color indexed="10"/>
            <rFont val="Tahoma"/>
            <family val="2"/>
          </rPr>
          <t>noxxxxxxxxxxxxxxxxxxxxxxxxxxxxxxxxxxxxxxxxxxt be taxed</t>
        </r>
        <r>
          <rPr>
            <b/>
            <sz val="11"/>
            <color indexed="12"/>
            <rFont val="Tahoma"/>
            <family val="2"/>
          </rPr>
          <t xml:space="preserve"> </t>
        </r>
      </text>
    </comment>
    <comment ref="AD51" authorId="0" shapeId="0">
      <text>
        <r>
          <rPr>
            <b/>
            <sz val="11"/>
            <color indexed="12"/>
            <rFont val="Tahoma"/>
            <family val="2"/>
          </rPr>
          <t>Shows or hides the detailed rows in the Portfolio Activity by Account schedule, including the base case and comparison schedules.
Uses macros: 
Res_SS_Show
Res_SS_Hide</t>
        </r>
        <r>
          <rPr>
            <sz val="11"/>
            <color indexed="12"/>
            <rFont val="Tahoma"/>
            <family val="2"/>
          </rPr>
          <t xml:space="preserve">
</t>
        </r>
      </text>
    </comment>
    <comment ref="AG51" authorId="1" shapeId="0">
      <text>
        <r>
          <rPr>
            <sz val="12"/>
            <color indexed="81"/>
            <rFont val="Arial"/>
            <family val="2"/>
          </rPr>
          <t xml:space="preserve">xxxxxx </t>
        </r>
        <r>
          <rPr>
            <sz val="12"/>
            <color indexed="10"/>
            <rFont val="Arial"/>
            <family val="2"/>
          </rPr>
          <t>xxxxxx</t>
        </r>
        <r>
          <rPr>
            <sz val="12"/>
            <color indexed="81"/>
            <rFont val="Arial"/>
            <family val="2"/>
          </rPr>
          <t xml:space="preserve"> </t>
        </r>
        <r>
          <rPr>
            <sz val="12"/>
            <color indexed="17"/>
            <rFont val="Arial"/>
            <family val="2"/>
          </rPr>
          <t>xxxxxx</t>
        </r>
        <r>
          <rPr>
            <sz val="12"/>
            <color indexed="81"/>
            <rFont val="Arial"/>
            <family val="2"/>
          </rPr>
          <t xml:space="preserve"> </t>
        </r>
        <r>
          <rPr>
            <sz val="12"/>
            <color indexed="12"/>
            <rFont val="Arial"/>
            <family val="2"/>
          </rPr>
          <t>xxxxxx</t>
        </r>
        <r>
          <rPr>
            <sz val="12"/>
            <color indexed="81"/>
            <rFont val="Arial"/>
            <family val="2"/>
          </rPr>
          <t xml:space="preserve">
</t>
        </r>
        <r>
          <rPr>
            <b/>
            <sz val="12"/>
            <color indexed="81"/>
            <rFont val="Arial"/>
            <family val="2"/>
          </rPr>
          <t xml:space="preserve">xxxxxx </t>
        </r>
        <r>
          <rPr>
            <b/>
            <sz val="12"/>
            <color indexed="10"/>
            <rFont val="Arial"/>
            <family val="2"/>
          </rPr>
          <t>xxxxxx</t>
        </r>
        <r>
          <rPr>
            <b/>
            <sz val="12"/>
            <color indexed="81"/>
            <rFont val="Arial"/>
            <family val="2"/>
          </rPr>
          <t xml:space="preserve"> </t>
        </r>
        <r>
          <rPr>
            <b/>
            <sz val="12"/>
            <color indexed="17"/>
            <rFont val="Arial"/>
            <family val="2"/>
          </rPr>
          <t>xxxxxx</t>
        </r>
        <r>
          <rPr>
            <b/>
            <sz val="12"/>
            <color indexed="81"/>
            <rFont val="Arial"/>
            <family val="2"/>
          </rPr>
          <t xml:space="preserve"> </t>
        </r>
        <r>
          <rPr>
            <b/>
            <sz val="12"/>
            <color indexed="12"/>
            <rFont val="Arial"/>
            <family val="2"/>
          </rPr>
          <t>xxxxxx</t>
        </r>
        <r>
          <rPr>
            <b/>
            <sz val="12"/>
            <color indexed="81"/>
            <rFont val="Arial"/>
            <family val="2"/>
          </rPr>
          <t xml:space="preserve">
</t>
        </r>
      </text>
    </comment>
    <comment ref="AG52" authorId="0" shapeId="0">
      <text>
        <r>
          <rPr>
            <b/>
            <sz val="11"/>
            <color indexed="12"/>
            <rFont val="Tahoma"/>
            <family val="2"/>
          </rPr>
          <t xml:space="preserve">Enter rates and choices to approximate your state's income tax.  These choices apply to both cases.  Note: the change from married to single rates used in the Federal tax calculation is not available in the current state tax calculation but exemptions and deductions are reduced in the single rate year.
Two methods are available for forecasting state income tax for your current state and a future state if a move is planned.  
</t>
        </r>
        <r>
          <rPr>
            <b/>
            <sz val="11"/>
            <color indexed="17"/>
            <rFont val="Tahoma"/>
            <family val="2"/>
          </rPr>
          <t>Simple:</t>
        </r>
        <r>
          <rPr>
            <b/>
            <sz val="11"/>
            <color indexed="12"/>
            <rFont val="Tahoma"/>
            <family val="2"/>
          </rPr>
          <t xml:space="preserve"> A percentage of state Adjusted Gross Income is used to approximate your state income tax.  State AGI is Federal AGI adjusted for how SS benefits and Pension 1 income are taxed in the state.
</t>
        </r>
        <r>
          <rPr>
            <b/>
            <sz val="11"/>
            <color indexed="17"/>
            <rFont val="Tahoma"/>
            <family val="2"/>
          </rPr>
          <t>Detailed:</t>
        </r>
        <r>
          <rPr>
            <b/>
            <sz val="11"/>
            <color indexed="12"/>
            <rFont val="Tahoma"/>
            <family val="2"/>
          </rPr>
          <t xml:space="preserve"> Tax rates and brackets (limited to three) along with personal exemptions and standard deductions amounts are used to calculate income taxes. These are applied to the state AGI amount.
Tip: Use this method with a single rate to possibly get a better estimate of state taxes.
</t>
        </r>
        <r>
          <rPr>
            <b/>
            <sz val="11"/>
            <color indexed="17"/>
            <rFont val="Tahoma"/>
            <family val="2"/>
          </rPr>
          <t>Default:</t>
        </r>
        <r>
          <rPr>
            <b/>
            <sz val="11"/>
            <color indexed="12"/>
            <rFont val="Tahoma"/>
            <family val="2"/>
          </rPr>
          <t xml:space="preserve"> percent method at 1%</t>
        </r>
      </text>
    </comment>
    <comment ref="D53" authorId="0" shapeId="0">
      <text>
        <r>
          <rPr>
            <b/>
            <sz val="11"/>
            <color indexed="12"/>
            <rFont val="Tahoma"/>
            <family val="2"/>
          </rPr>
          <t xml:space="preserve">Enter method to use in estimating returns (yield plus capital appreciation) in account balances. There are two choice:
a - account method 
c - asset class method
Account method uses an overall return rate for each account.  This is simple, and is a good way to test average return rates.
Asset class method separates each account into four asset classes.  This allows a better assignment of return rates as historic returns on stock, bond, tax-exempt, and money market/other historic can be used as a guide.  This method also provides the option for a future change in the asset allocation.  Reducing stock allocation is a strategy to reduce risk during retirement.
The asset class method is recommended.
</t>
        </r>
      </text>
    </comment>
    <comment ref="L53" authorId="0" shapeId="0">
      <text>
        <r>
          <rPr>
            <b/>
            <sz val="11"/>
            <color indexed="17"/>
            <rFont val="Tahoma"/>
            <family val="2"/>
          </rPr>
          <t>Calculator</t>
        </r>
        <r>
          <rPr>
            <b/>
            <sz val="11"/>
            <color indexed="12"/>
            <rFont val="Tahoma"/>
            <family val="2"/>
          </rPr>
          <t xml:space="preserve">
Use this calculator to determine the average return for an account based on the average returns of its components.  
Note: While this works using a fund's "average" return rate, it doesn't work using a fund's Compound Annual Growth Rate (annualized return) or CAGR, which is the correct rate to use for the Return Rates factors.  Using CAGR rates in this calculator results in an average that is lower than what the combined CAGR rate actually is.
Tip: Use Bogleheads' Simba's backtesting spreadsheet for more precise historic return rates.</t>
        </r>
      </text>
    </comment>
    <comment ref="J54" authorId="0" shapeId="0">
      <text>
        <r>
          <rPr>
            <b/>
            <sz val="11"/>
            <color indexed="12"/>
            <rFont val="Tahoma"/>
            <family val="2"/>
          </rPr>
          <t xml:space="preserve">These are the return rates that are being used in the model based on the selected method.
</t>
        </r>
      </text>
    </comment>
    <comment ref="D55" authorId="0" shapeId="0">
      <text>
        <r>
          <rPr>
            <b/>
            <sz val="11"/>
            <color indexed="12"/>
            <rFont val="Tahoma"/>
            <family val="2"/>
          </rPr>
          <t>Enter the average annual return rate you expect or want to forecast for each account based on its stock, bond and other investment content.  
These rates used in this manner corresponds to the Compound Annual Growth Rate (CAGR) calculation used to document historic results.
Some historic CAGR portfolio nominal returns from Simba's  Backtest Spreadsheet for 1985-2017:
Wellington - 65/40% - 10.66% 
Wellesley    - 40/60% -   9.61%
Taylor's 3-Fund (US/Foreign/Bond):
50/30/20% -10.02%
40/25/35% -  9.53%
30/20/50% -  8.98%
25/15/60% -  8.59%</t>
        </r>
      </text>
    </comment>
    <comment ref="F55" authorId="0" shapeId="0">
      <text>
        <r>
          <rPr>
            <b/>
            <sz val="11"/>
            <color indexed="12"/>
            <rFont val="Tahoma"/>
            <family val="2"/>
          </rPr>
          <t xml:space="preserve">Enter average annual return rates for each asset class.  These are applied to the allocations entered below to determine the average return for each account.
7% is the 10 year Rate of Return (ROR) for popular S&amp;P 500 index funds as reported by Zacks.
3.5% Moody's . Aaa Corporate Bond Yield.
-above from ORP: www.i-orp.com
The rates used in this manner corresponds to the Compound Annual Growth Rate (CAGR) calculation used in evaluating historic results.
</t>
        </r>
      </text>
    </comment>
    <comment ref="D56" authorId="0" shapeId="0">
      <text>
        <r>
          <rPr>
            <b/>
            <sz val="11"/>
            <color indexed="12"/>
            <rFont val="Tahoma"/>
            <family val="2"/>
          </rPr>
          <t xml:space="preserve">The taxable account.
Note: All taxable account returns for each year are treated as current year taxable income in the model, even though some, in reality, are undistributed gains which will not be taxed until the funds or stocks are sold and then taxed at a capital gains rate.
This results in taxes being somewhat overstated in years when the account is growing, and understated when investments might be sold and used for living expenses. 
To make a portion of these returns non-taxable, a Non-Taxable Adjustment is available in section 8 - Income Taxes.
</t>
        </r>
      </text>
    </comment>
    <comment ref="F56" authorId="0" shapeId="0">
      <text>
        <r>
          <rPr>
            <b/>
            <sz val="11"/>
            <color indexed="12"/>
            <rFont val="Tahoma"/>
            <family val="2"/>
          </rPr>
          <t>Enter an average stock return rate.
For 1970-2017 the Vanguard Total Stock Market fund (VTSMX) CAGR was 10.35% per Simba's Backtesting Spreadsheet v17e.</t>
        </r>
      </text>
    </comment>
    <comment ref="D57" authorId="0" shapeId="0">
      <text>
        <r>
          <rPr>
            <b/>
            <sz val="11"/>
            <color indexed="12"/>
            <rFont val="Tahoma"/>
            <family val="2"/>
          </rPr>
          <t>IRA 1 account and inherited IRA 1 account return rate</t>
        </r>
      </text>
    </comment>
    <comment ref="F57" authorId="0" shapeId="0">
      <text>
        <r>
          <rPr>
            <b/>
            <sz val="11"/>
            <color indexed="12"/>
            <rFont val="Tahoma"/>
            <family val="2"/>
          </rPr>
          <t>Enter an average bond return rate.
For 1970-2017 the Total Bond fund (VBMFX) CAGR was 7.18%. (per Simba's Backtesting Spreadsheet)</t>
        </r>
      </text>
    </comment>
    <comment ref="D58" authorId="0" shapeId="0">
      <text>
        <r>
          <rPr>
            <b/>
            <sz val="11"/>
            <color indexed="12"/>
            <rFont val="Tahoma"/>
            <family val="2"/>
          </rPr>
          <t>IRA 2 account and inherited IRA 2 account return rate</t>
        </r>
      </text>
    </comment>
    <comment ref="F58" authorId="0" shapeId="0">
      <text>
        <r>
          <rPr>
            <b/>
            <sz val="11"/>
            <color indexed="12"/>
            <rFont val="Tahoma"/>
            <family val="2"/>
          </rPr>
          <t>Enter an average tax-exempt bond return rate.
For 1970-2017 the Intermediate-Term Tax Exempt fund (VWITX) CAGR was 4.51%. (per Simba's Backtesting Spreadsheet)</t>
        </r>
      </text>
    </comment>
    <comment ref="D59" authorId="0" shapeId="0">
      <text>
        <r>
          <rPr>
            <b/>
            <sz val="11"/>
            <color indexed="12"/>
            <rFont val="Tahoma"/>
            <family val="2"/>
          </rPr>
          <t>Roth IRA 1 account return rate</t>
        </r>
      </text>
    </comment>
    <comment ref="F59" authorId="0" shapeId="0">
      <text>
        <r>
          <rPr>
            <b/>
            <sz val="11"/>
            <color indexed="12"/>
            <rFont val="Tahoma"/>
            <family val="2"/>
          </rPr>
          <t xml:space="preserve">Enter an average Money Market rate.
For 1970-2017 the T-Bills/Money Market fund (VUSXX) CAGR was 4.81% (per Simba's Backtesting Spreadsheet).
</t>
        </r>
      </text>
    </comment>
    <comment ref="H59" authorId="0" shapeId="0">
      <text>
        <r>
          <rPr>
            <b/>
            <sz val="11"/>
            <color indexed="12"/>
            <rFont val="Tahoma"/>
            <family val="2"/>
          </rPr>
          <t>Applies to existing and conversion Roth IRAs.
If doing a Roth conversion analysis, it is recommended to keep the return rates for the traditional IRA and the Roth IRA accounts the same.  This removes a return  difference due to different rates when evaluating the financial outcome of the two alternatives.</t>
        </r>
      </text>
    </comment>
    <comment ref="B60" authorId="0" shapeId="0">
      <text>
        <r>
          <rPr>
            <b/>
            <sz val="11"/>
            <color indexed="12"/>
            <rFont val="Tahoma"/>
            <family val="2"/>
          </rPr>
          <t>This investment now has its own return rate.
If comparing v19 results to v18, be sure to insert the Roth 1 IRA rate in this setting, which is the setting used in v18 and earlier.</t>
        </r>
      </text>
    </comment>
    <comment ref="D60" authorId="0" shapeId="0">
      <text>
        <r>
          <rPr>
            <b/>
            <sz val="11"/>
            <color indexed="12"/>
            <rFont val="Tahoma"/>
            <family val="2"/>
          </rPr>
          <t>Roth IRA 2 account return rate</t>
        </r>
      </text>
    </comment>
    <comment ref="H60" authorId="0" shapeId="0">
      <text>
        <r>
          <rPr>
            <b/>
            <sz val="11"/>
            <color indexed="12"/>
            <rFont val="Tahoma"/>
            <family val="2"/>
          </rPr>
          <t>Applies to existing and conversion Roth IRAs.
If doing a Roth conversion analysis, it is recommended to keep the return rates for the traditional IRA and the Roth IRA accounts the same.  This removes a return  difference due to different rates when evaluating the financial outcome of the two alternatives.</t>
        </r>
      </text>
    </comment>
    <comment ref="B61" authorId="0" shapeId="0">
      <text>
        <r>
          <rPr>
            <b/>
            <sz val="11"/>
            <color indexed="12"/>
            <rFont val="Tahoma"/>
            <family val="2"/>
          </rPr>
          <t>This investment now has its own return rate.
If comparing v19 results to v18, be sure to insert the Roth 1 IRA rate in this setting, which is the setting used in v18 and earlier.</t>
        </r>
      </text>
    </comment>
    <comment ref="D61" authorId="0" shapeId="0">
      <text>
        <r>
          <rPr>
            <b/>
            <sz val="11"/>
            <color indexed="12"/>
            <rFont val="Tahoma"/>
            <family val="2"/>
          </rPr>
          <t>Roth conversion IRA account average rate.
When doing a Roth conversion analysis it is recommended to keep the return rates for the traditional IRA that funds the Roth IRA and the Roth conversion IRA the same.  This removes a return rate difference that might skew the results when evaluating the financial outcome of doing the Roth conversion.</t>
        </r>
      </text>
    </comment>
    <comment ref="H61" authorId="0" shapeId="0">
      <text>
        <r>
          <rPr>
            <b/>
            <sz val="11"/>
            <color indexed="12"/>
            <rFont val="Tahoma"/>
            <family val="2"/>
          </rPr>
          <t>Applies to existing and conversion Roth IRAs.
If doing a Roth conversion analysis, it is recommended to keep the return rates for the traditional IRA and the Roth IRA accounts the same.  This removes a return  difference due to different rates when evaluating the financial outcome of the two alternatives.</t>
        </r>
      </text>
    </comment>
    <comment ref="D65" authorId="0" shapeId="0">
      <text>
        <r>
          <rPr>
            <b/>
            <sz val="11"/>
            <color indexed="12"/>
            <rFont val="Tahoma"/>
            <family val="2"/>
          </rPr>
          <t>Required if using the asset class method.
Enter the percentage of stocks, bonds, tax exempt (taxable account only) and money market/other assets for each account.  The result should approximate the beginning asset allocation in each account.
Used with the class rates to determine the average return rate for each account.</t>
        </r>
      </text>
    </comment>
    <comment ref="H65" authorId="0" shapeId="0">
      <text>
        <r>
          <rPr>
            <b/>
            <sz val="11"/>
            <color indexed="12"/>
            <rFont val="Tahoma"/>
            <family val="2"/>
          </rPr>
          <t>Balance of allocation is assigned to Money Market/Other funds.</t>
        </r>
      </text>
    </comment>
    <comment ref="I65" authorId="0" shapeId="0">
      <text>
        <r>
          <rPr>
            <b/>
            <sz val="11"/>
            <color indexed="12"/>
            <rFont val="Tahoma"/>
            <family val="2"/>
          </rPr>
          <t>The return rates by asset class entered above for stocks, bonds, tax-exempt, and money market/other  are multiplied by the allocation percentages to determine the average return for each account.</t>
        </r>
      </text>
    </comment>
    <comment ref="D66" authorId="0" shapeId="0">
      <text>
        <r>
          <rPr>
            <b/>
            <sz val="11"/>
            <color indexed="12"/>
            <rFont val="Tahoma"/>
            <family val="2"/>
          </rPr>
          <t>Taxable account allocation.</t>
        </r>
      </text>
    </comment>
    <comment ref="D67" authorId="0" shapeId="0">
      <text>
        <r>
          <rPr>
            <b/>
            <sz val="11"/>
            <color indexed="12"/>
            <rFont val="Tahoma"/>
            <family val="2"/>
          </rPr>
          <t>IRA 1 account allocation. Also applies to inherited IRA 1.</t>
        </r>
      </text>
    </comment>
    <comment ref="D68" authorId="0" shapeId="0">
      <text>
        <r>
          <rPr>
            <b/>
            <sz val="11"/>
            <color indexed="12"/>
            <rFont val="Tahoma"/>
            <family val="2"/>
          </rPr>
          <t>IRA 2 account allocation. Also applies to inherited IRA 2.</t>
        </r>
      </text>
    </comment>
    <comment ref="D69" authorId="0" shapeId="0">
      <text>
        <r>
          <rPr>
            <b/>
            <sz val="11"/>
            <color indexed="12"/>
            <rFont val="Tahoma"/>
            <family val="2"/>
          </rPr>
          <t>Roth IRA 1 account allocation.</t>
        </r>
      </text>
    </comment>
    <comment ref="B70" authorId="0" shapeId="0">
      <text>
        <r>
          <rPr>
            <b/>
            <sz val="11"/>
            <color indexed="12"/>
            <rFont val="Tahoma"/>
            <family val="2"/>
          </rPr>
          <t>This investment now has its own allocation percentage.
If comparing v19 results to v18, be sure to insert the Roth 1 IRA allocation in this setting, which is the setting used in v18 and earlier.</t>
        </r>
      </text>
    </comment>
    <comment ref="D70" authorId="0" shapeId="0">
      <text>
        <r>
          <rPr>
            <b/>
            <sz val="11"/>
            <color indexed="12"/>
            <rFont val="Tahoma"/>
            <family val="2"/>
          </rPr>
          <t>Roth IRA 2 account allocation.</t>
        </r>
      </text>
    </comment>
    <comment ref="B71" authorId="0" shapeId="0">
      <text>
        <r>
          <rPr>
            <b/>
            <sz val="11"/>
            <color indexed="12"/>
            <rFont val="Tahoma"/>
            <family val="2"/>
          </rPr>
          <t>This investment now has its own allocation percentage.
If comparing v19 results to v18, be sure to insert the Roth 1 IRA allocation in this setting, which is the setting used in v18 and earlier.</t>
        </r>
      </text>
    </comment>
    <comment ref="D71" authorId="0" shapeId="0">
      <text>
        <r>
          <rPr>
            <b/>
            <sz val="11"/>
            <color indexed="12"/>
            <rFont val="Tahoma"/>
            <family val="2"/>
          </rPr>
          <t>Roth conversion account allocation.</t>
        </r>
      </text>
    </comment>
    <comment ref="D74" authorId="0" shapeId="0">
      <text>
        <r>
          <rPr>
            <b/>
            <sz val="11"/>
            <color indexed="12"/>
            <rFont val="Tahoma"/>
            <family val="2"/>
          </rPr>
          <t>Memo area: enter your desired allocation.</t>
        </r>
      </text>
    </comment>
    <comment ref="E77" authorId="0" shapeId="0">
      <text>
        <r>
          <rPr>
            <b/>
            <sz val="11"/>
            <color indexed="12"/>
            <rFont val="Tahoma"/>
            <family val="2"/>
          </rPr>
          <t>Enter Your age to start using this asset allocation, replacing the starting allocation.
Example: If a future inheritance might warrant an allocation change, enter the 'you' age when the inheritance occurs.
Delete age (use blank or 0) to not use the future allocations.</t>
        </r>
      </text>
    </comment>
    <comment ref="D78" authorId="0" shapeId="0">
      <text>
        <r>
          <rPr>
            <b/>
            <sz val="11"/>
            <color indexed="12"/>
            <rFont val="Tahoma"/>
            <family val="2"/>
          </rPr>
          <t>Use this if you plan to change your portfolio asset allocation in a future year, commonly known as setting a glidepath.
Enter the revised percentage of stocks, bonds, tax exempt (taxable account only) and money market/other assets for each account.
If the asset class method is chosen and an age is entered, the calculated earnings rates based on the revised allocation will be used starting at that age.</t>
        </r>
      </text>
    </comment>
    <comment ref="J78" authorId="0" shapeId="0">
      <text>
        <r>
          <rPr>
            <b/>
            <sz val="11"/>
            <color indexed="12"/>
            <rFont val="Tahoma"/>
            <family val="2"/>
          </rPr>
          <t>Beginning year  balances in change year.
IRA balances include inherited IRAs.</t>
        </r>
      </text>
    </comment>
    <comment ref="D79" authorId="0" shapeId="0">
      <text>
        <r>
          <rPr>
            <b/>
            <sz val="11"/>
            <color indexed="12"/>
            <rFont val="Tahoma"/>
            <family val="2"/>
          </rPr>
          <t>Taxable account allocation.</t>
        </r>
      </text>
    </comment>
    <comment ref="D80" authorId="0" shapeId="0">
      <text>
        <r>
          <rPr>
            <b/>
            <sz val="11"/>
            <color indexed="12"/>
            <rFont val="Tahoma"/>
            <family val="2"/>
          </rPr>
          <t>IRA 1 account allocation. Also applies to inherited IRA 1.</t>
        </r>
      </text>
    </comment>
    <comment ref="D81" authorId="0" shapeId="0">
      <text>
        <r>
          <rPr>
            <b/>
            <sz val="11"/>
            <color indexed="12"/>
            <rFont val="Tahoma"/>
            <family val="2"/>
          </rPr>
          <t>IRA 2 account allocation. Also applies to inherited IRA 2.</t>
        </r>
      </text>
    </comment>
    <comment ref="D82" authorId="0" shapeId="0">
      <text>
        <r>
          <rPr>
            <b/>
            <sz val="11"/>
            <color indexed="12"/>
            <rFont val="Tahoma"/>
            <family val="2"/>
          </rPr>
          <t>Roth IRA 1 account allocation.</t>
        </r>
      </text>
    </comment>
    <comment ref="B83" authorId="0" shapeId="0">
      <text>
        <r>
          <rPr>
            <b/>
            <sz val="11"/>
            <color indexed="12"/>
            <rFont val="Tahoma"/>
            <family val="2"/>
          </rPr>
          <t>This investment now has its own allocation percentage.
If comparing v19 results to v18, be sure to insert the Roth 1 IRA allocation in this setting, which is the setting used in v18 and earlier.</t>
        </r>
      </text>
    </comment>
    <comment ref="D83" authorId="0" shapeId="0">
      <text>
        <r>
          <rPr>
            <b/>
            <sz val="11"/>
            <color indexed="12"/>
            <rFont val="Tahoma"/>
            <family val="2"/>
          </rPr>
          <t>Roth IRA 2 account allocation.</t>
        </r>
      </text>
    </comment>
    <comment ref="B84" authorId="0" shapeId="0">
      <text>
        <r>
          <rPr>
            <b/>
            <sz val="11"/>
            <color indexed="12"/>
            <rFont val="Tahoma"/>
            <family val="2"/>
          </rPr>
          <t>This investment now has its own allocation percentage.
If comparing v19 results to v18, be sure to insert the Roth 1 IRA allocation in this setting, which is the setting used in v18 and earlier.</t>
        </r>
      </text>
    </comment>
    <comment ref="D84" authorId="0" shapeId="0">
      <text>
        <r>
          <rPr>
            <b/>
            <sz val="11"/>
            <color indexed="12"/>
            <rFont val="Tahoma"/>
            <family val="2"/>
          </rPr>
          <t>Roth conversion account allocation.</t>
        </r>
      </text>
    </comment>
    <comment ref="D87" authorId="0" shapeId="0">
      <text>
        <r>
          <rPr>
            <b/>
            <sz val="11"/>
            <color indexed="12"/>
            <rFont val="Tahoma"/>
            <family val="2"/>
          </rPr>
          <t>Memo area: enter your future desired allocation.</t>
        </r>
      </text>
    </comment>
    <comment ref="A90" authorId="0" shapeId="0">
      <text>
        <r>
          <rPr>
            <b/>
            <sz val="11"/>
            <color indexed="12"/>
            <rFont val="Tahoma"/>
            <family val="2"/>
          </rPr>
          <t xml:space="preserve">Martha gets a $8,000 annual pension with a 3% COLA, so that is entered that into Pensions 1 without an ending age so it will last the full 30 years.  George gets a $2,000 pension with no COLA that will end when he dies, which is modeled to be at age 85.  Martha expects to work a part-time job from age 65 to 70, earning $5,000 a year.  This is entered into Other Income 1.  They also expect to receive a $15,000 gift when he is 63 so that is entered in Other income 2.
George's Social Security benefit will be $30,000 a year at his Full Retirement Age of 66. She also has SS benefits of $20,000.    As they has learned in recent years, the optimum strategy for most married couples is to delay starting his benefit until age 70 so that Martha can be assured the maximum, COLA-adjusted benefit after his death. 
George is using the future reduction feature to reduce their benefits by 23% in 2035 as forecast by the SS Administration as a possible event should funding not be provided.  He doesn't think this will happen for current beneficiaries but wants a conservative forecast.
They had planned on George using the File and Suspend strategy to allow Martha to take spousal benefits from age 66 to 69, but that option was eliminated in 2015.  
The model escalates the FRA benefits to the year they plan to start taking each of them, based on a forecast of annual COLA percentages.
For testing the impact of Martha starting her smaller benefit early, they use the Optional Alternative Benefits feature and enter a starting benefit age of 62 for both of them.  Additionally, because they met the age requirement added in 2015, they plan on George using the Restricted Application strategy at 66 that allows him to receive spousal benefits while continuing to defer and grow his benefits. They model this benefit using the Additional Benefits feature. To see the results on their portfolio, they select only this special feature to be activated in the Full case (i.e. leaving Roth conversions out to avoid mixing optional results).
George is considering buying a Single Payment Immediate Annuity to insure an income stream later in life.  He first gets a quote from Vanguard on what income from a $100,000 annuity will provide.  He then uses the model to test the results of buying it from his taxable account, his IRA or his Roth, as each has different results on taxable income.
</t>
        </r>
      </text>
    </comment>
    <comment ref="D90" authorId="0" shapeId="0">
      <text>
        <r>
          <rPr>
            <b/>
            <sz val="12"/>
            <color indexed="12"/>
            <rFont val="Tahoma"/>
            <family val="2"/>
          </rPr>
          <t>Enter income from pensions and employment during modeling period, and forecast Social Security benefits.</t>
        </r>
      </text>
    </comment>
    <comment ref="D92" authorId="0" shapeId="0">
      <text>
        <r>
          <rPr>
            <b/>
            <sz val="11"/>
            <color indexed="12"/>
            <rFont val="Tahoma"/>
            <family val="2"/>
          </rPr>
          <t>Typical income sources are pensions, annuities, wages, rental income, alimony, reverse mortgages, etc.
All four income items are calculated and considered identical in the model. 
All of these are Federal and state taxable income, but Pension 1 can be excluded (0%-100%) from state income tax.</t>
        </r>
      </text>
    </comment>
    <comment ref="F92" authorId="0" shapeId="0">
      <text>
        <r>
          <rPr>
            <b/>
            <sz val="11"/>
            <color indexed="12"/>
            <rFont val="Tahoma"/>
            <family val="2"/>
          </rPr>
          <t>Enter a positive or negative percentage to increase or decrease annual income.  This could be a pension COLA or other anticpated change.</t>
        </r>
        <r>
          <rPr>
            <sz val="11"/>
            <color indexed="12"/>
            <rFont val="Tahoma"/>
            <family val="2"/>
          </rPr>
          <t xml:space="preserve">
</t>
        </r>
        <r>
          <rPr>
            <b/>
            <sz val="11"/>
            <color indexed="12"/>
            <rFont val="Tahoma"/>
            <family val="2"/>
          </rPr>
          <t xml:space="preserve">
Note: The rounding setting may make small percentages ineffective when income amounts  are also small.</t>
        </r>
      </text>
    </comment>
    <comment ref="G92" authorId="0" shapeId="0">
      <text>
        <r>
          <rPr>
            <b/>
            <sz val="11"/>
            <color indexed="12"/>
            <rFont val="Tahoma"/>
            <family val="2"/>
          </rPr>
          <t>Enter Your age to start income.
If already started, entering an earlier age will result in the income starting in the model at Your age.</t>
        </r>
        <r>
          <rPr>
            <sz val="11"/>
            <color indexed="12"/>
            <rFont val="Tahoma"/>
            <family val="2"/>
          </rPr>
          <t xml:space="preserve">
</t>
        </r>
      </text>
    </comment>
    <comment ref="H92" authorId="0" shapeId="0">
      <text>
        <r>
          <rPr>
            <b/>
            <sz val="11"/>
            <color indexed="12"/>
            <rFont val="Tahoma"/>
            <family val="2"/>
          </rPr>
          <t xml:space="preserve">Enter Your age for the last year of income.  Delete age to automatically use the forecast model end year.
</t>
        </r>
        <r>
          <rPr>
            <sz val="11"/>
            <color indexed="12"/>
            <rFont val="Tahoma"/>
            <family val="2"/>
          </rPr>
          <t xml:space="preserve">
</t>
        </r>
      </text>
    </comment>
    <comment ref="D93" authorId="0" shapeId="0">
      <text>
        <r>
          <rPr>
            <b/>
            <sz val="11"/>
            <color indexed="12"/>
            <rFont val="Tahoma"/>
            <family val="2"/>
          </rPr>
          <t xml:space="preserve">Pension or other annual income source. This income item is included in Federal and state taxable income </t>
        </r>
        <r>
          <rPr>
            <b/>
            <sz val="11"/>
            <color indexed="10"/>
            <rFont val="Tahoma"/>
            <family val="2"/>
          </rPr>
          <t xml:space="preserve">but can be excluded (0%-100%)  from state income tax. </t>
        </r>
        <r>
          <rPr>
            <b/>
            <sz val="11"/>
            <color indexed="12"/>
            <rFont val="Tahoma"/>
            <family val="2"/>
          </rPr>
          <t xml:space="preserve"> See State Tax section.</t>
        </r>
      </text>
    </comment>
    <comment ref="D94" authorId="0" shapeId="0">
      <text>
        <r>
          <rPr>
            <b/>
            <sz val="11"/>
            <color indexed="12"/>
            <rFont val="Tahoma"/>
            <family val="2"/>
          </rPr>
          <t>Pension or other annual income. This income is included in Federal and state taxable income.</t>
        </r>
      </text>
    </comment>
    <comment ref="D95" authorId="0" shapeId="0">
      <text>
        <r>
          <rPr>
            <b/>
            <sz val="11"/>
            <color indexed="12"/>
            <rFont val="Tahoma"/>
            <family val="2"/>
          </rPr>
          <t>Annual income including wages, pensions, annuities, and reverse mortgages. This income is included in Federal and state taxable income.</t>
        </r>
      </text>
    </comment>
    <comment ref="D96" authorId="0" shapeId="0">
      <text>
        <r>
          <rPr>
            <b/>
            <sz val="11"/>
            <color indexed="12"/>
            <rFont val="Tahoma"/>
            <family val="2"/>
          </rPr>
          <t>Other annual income including wages, pensions, annuities, and reverse mortgages. This income is included in Federal and state taxable income.</t>
        </r>
      </text>
    </comment>
    <comment ref="AB97" authorId="0" shapeId="0">
      <text>
        <r>
          <rPr>
            <b/>
            <sz val="11"/>
            <color indexed="12"/>
            <rFont val="Tahoma"/>
            <family val="2"/>
          </rPr>
          <t>These calculation tables take the user provided Primary Insurance Amount at Full Retirement Age and adjust it to the age the person has selected to take their benefits.  It also calculates the spousal benefit of each earner's benefit, and the File and Suspend and Restricted Application amounts if those options are selected.
The calculated benefits provide the starting amount in the first year of each person's SS benefits.</t>
        </r>
      </text>
    </comment>
    <comment ref="Q99" authorId="0" shapeId="0">
      <text>
        <r>
          <rPr>
            <b/>
            <sz val="11"/>
            <color indexed="12"/>
            <rFont val="Tahoma"/>
            <family val="2"/>
          </rPr>
          <t>Enter ages and data from Social Security showing Full Retirement Age forecast benefits.  
This calculator will show how much benefits will be during the claiming ages of 62-70.  Mid-year benefit FRA for those born 1955-1959 is not supported.  Use nearest age.</t>
        </r>
      </text>
    </comment>
    <comment ref="AE99" authorId="0" shapeId="0">
      <text>
        <r>
          <rPr>
            <b/>
            <sz val="11"/>
            <color indexed="12"/>
            <rFont val="Tahoma"/>
            <family val="2"/>
          </rPr>
          <t xml:space="preserve">Spousal benefits for each person based on ages, PIA and benefit starting age.
</t>
        </r>
      </text>
    </comment>
    <comment ref="D100" authorId="0" shapeId="0">
      <text>
        <r>
          <rPr>
            <b/>
            <sz val="11"/>
            <color indexed="12"/>
            <rFont val="Tahoma"/>
            <family val="2"/>
          </rPr>
          <t xml:space="preserve">Default Social Security benefits - Enter starting ages, and options.  Use the optional alternative benefits section to compare two different claiming methods.  </t>
        </r>
        <r>
          <rPr>
            <b/>
            <sz val="11"/>
            <color indexed="10"/>
            <rFont val="Tahoma"/>
            <family val="2"/>
          </rPr>
          <t xml:space="preserve">Note: This will model the most common claiming options but not all of them.  You may have a strategy that can only be approximated here.     </t>
        </r>
        <r>
          <rPr>
            <b/>
            <sz val="11"/>
            <color indexed="12"/>
            <rFont val="Tahoma"/>
            <family val="2"/>
          </rPr>
          <t xml:space="preserve">
Enter each person's Full Retirement Age (FRA) Personal Insurance Amount (PIA) benefit amount and either a 66 or 67 FRA.  If you begin benefits before your FRA the model will reduce them by the SS penalty factor, and if you begin after your FRA they will be increased by the Delayed Retirement Credit.
Each SS benefit account is independent of the other. However, if either benefit is less than one half of the other, you can set the  "Use automatic spousal benefits" setting to "y" to have the program use the spousal benefit rule and replace the lower amount with one half of the other persons benefit.  Or, set the automatic setting to "n" to force the entered amount to be used, even if it is less than 50% of the other person's benefit.
Use the Additional Benefits feature to add other benefits, such as existing or grandfathered Restricted Application or File and Suspend benefits, prior marriage benefits, etc.
Use the Alternative benefit section to calculate the impact of benefits starting in different ages on your entire portfolio, including RMD changes and SS benefits taxation.  This can be selected to be used in portfolio calculation, replacing the default benefits entries above. The default will still be used in the comparison base case calculation.
Tip: Don't include Roth conversions when doing the SS comparison.  Also make sure IRA withdrawals are the same for both cases.</t>
        </r>
      </text>
    </comment>
    <comment ref="F100" authorId="0" shapeId="0">
      <text>
        <r>
          <rPr>
            <b/>
            <sz val="11"/>
            <color indexed="12"/>
            <rFont val="Tahoma"/>
            <family val="2"/>
          </rPr>
          <t>Enter each person's FRA age based on their birth year, either 66 (born 1943 - 1957) or 
67 (born 1958-1960 or later).  
Actual FRA for those born 1955-1959 based on birth month is not available in this model, chose the nearest FRA as shown above.</t>
        </r>
      </text>
    </comment>
    <comment ref="G100" authorId="0" shapeId="0">
      <text>
        <r>
          <rPr>
            <b/>
            <sz val="11"/>
            <color indexed="12"/>
            <rFont val="Tahoma"/>
            <family val="2"/>
          </rPr>
          <t>Enter each person's age when their  benefits will start (62-70).  If benefits have already started for either person, make their Start Age the same as the age entered in the Age Factors section for that person.</t>
        </r>
      </text>
    </comment>
    <comment ref="H100" authorId="0" shapeId="0">
      <text>
        <r>
          <rPr>
            <b/>
            <sz val="11"/>
            <color indexed="12"/>
            <rFont val="Tahoma"/>
            <family val="2"/>
          </rPr>
          <t xml:space="preserve">The age of the person whose benefits will be ending based on the end age entered in the Ages Factors section and the benefit amounts.
For example, if the You person dies at 85 and has the larger benefit, that age will be shown here in the Spouse's benefit line, indicating the Spouse benefits will end.  If they have smaller benefits, such as spousal, then the end age will be their age, as their benefits will end, rather than being transferred to the surviving spouse.
A person getting spousal benefits, rather than their own higher self benefits, typically assume their spouse's benefits upon that person's death.  So the last year of either benefit is the other person's age.
</t>
        </r>
      </text>
    </comment>
    <comment ref="I100" authorId="0" shapeId="0">
      <text>
        <r>
          <rPr>
            <b/>
            <sz val="11"/>
            <color indexed="12"/>
            <rFont val="Tahoma"/>
            <family val="2"/>
          </rPr>
          <t>This is the starting SS benefit, adjusted for the annual DRC, COLA or early benefit reduction for the years between you or spouse starting age to the benefit start age.
If you have already started benefits, set the Benefits Started option to 'y' to eliminate these yearly adjustments from the calculations.</t>
        </r>
      </text>
    </comment>
    <comment ref="J100" authorId="0" shapeId="0">
      <text>
        <r>
          <rPr>
            <b/>
            <sz val="11"/>
            <color indexed="12"/>
            <rFont val="Tahoma"/>
            <family val="2"/>
          </rPr>
          <t xml:space="preserve">Total benefits. The Spousal and Additional benefits shown below, if any, are included in these totals.
</t>
        </r>
      </text>
    </comment>
    <comment ref="K100" authorId="0" shapeId="0">
      <text>
        <r>
          <rPr>
            <b/>
            <sz val="11"/>
            <color indexed="12"/>
            <rFont val="Tahoma"/>
            <family val="2"/>
          </rPr>
          <t xml:space="preserve">Indicates the type of SS benefit being received based on the data and selections entered.
Self - the person's own benefit based FRA PIA.
Spousal - 50% of the other person's benefit.
</t>
        </r>
      </text>
    </comment>
    <comment ref="Q100" authorId="0" shapeId="0">
      <text>
        <r>
          <rPr>
            <b/>
            <sz val="11"/>
            <color indexed="12"/>
            <rFont val="Tahoma"/>
            <family val="2"/>
          </rPr>
          <t>This calculator will estimate Social Security benefits between ages 62-70 based on the data entered.  See cell comment instructions for each entry.</t>
        </r>
      </text>
    </comment>
    <comment ref="D101" authorId="0" shapeId="0">
      <text>
        <r>
          <rPr>
            <b/>
            <sz val="11"/>
            <color indexed="12"/>
            <rFont val="Tahoma"/>
            <family val="2"/>
          </rPr>
          <t>Enter Your Full Retirement Age (FRA) Personal Insurance Amount (PIA) in current dollars.  If  either or both persons are currently receiving benefits, enter those amount and set entry "Benefits have started" to "y".
If a person will be receiving a spousal benefit, set their amount to 50% of the other person's PIA.  If amount entered here is 50% or less of the other PIA, it will be treated as a spousal benefit.  If the amount is less than 50% of the other person's benefit, and the "Use automatic spousal benefits" option is set to "y", the model will adjust the entered benefit  to 50% of the other person's PIA (or attempt to - review results closely). 
Option: Enter your or your spouse's PIA in the Social Security Benefits Calculator to the far right side to view COLA escalated benefits at different ages.</t>
        </r>
      </text>
    </comment>
    <comment ref="H101" authorId="0" shapeId="0">
      <text>
        <r>
          <rPr>
            <b/>
            <sz val="11"/>
            <color indexed="12"/>
            <rFont val="Tahoma"/>
            <family val="2"/>
          </rPr>
          <t xml:space="preserve">If this is blank, these benefits will continue to the end of the modeling period.
</t>
        </r>
      </text>
    </comment>
    <comment ref="R101" authorId="0" shapeId="0">
      <text>
        <r>
          <rPr>
            <b/>
            <sz val="11"/>
            <color indexed="12"/>
            <rFont val="Tahoma"/>
            <family val="2"/>
          </rPr>
          <t>Enter each person's age they will be by the end of the current year.</t>
        </r>
      </text>
    </comment>
    <comment ref="S101" authorId="0" shapeId="0">
      <text>
        <r>
          <rPr>
            <b/>
            <sz val="11"/>
            <color indexed="12"/>
            <rFont val="Tahoma"/>
            <family val="2"/>
          </rPr>
          <t>Enter each person's Full Retirement Age (FRA) based on their birth year, either 66 (born 1943 - 1957) or 67 (born 1958 or later).  
Actual FRA for those born 1955-1959 using an interim birth month is not available - choose the nearest year.</t>
        </r>
      </text>
    </comment>
    <comment ref="T101" authorId="0" shapeId="0">
      <text>
        <r>
          <rPr>
            <b/>
            <sz val="11"/>
            <color indexed="12"/>
            <rFont val="Tahoma"/>
            <family val="2"/>
          </rPr>
          <t>Enter the Personal Insurance Amount (PIA) provided by Social Security for your FRA.  This is in  current dollars which will be escalated by the COLA.</t>
        </r>
      </text>
    </comment>
    <comment ref="U101" authorId="0" shapeId="0">
      <text>
        <r>
          <rPr>
            <b/>
            <sz val="11"/>
            <color indexed="12"/>
            <rFont val="Tahoma"/>
            <family val="2"/>
          </rPr>
          <t>Enter an estimate for the annual SS COLA amount.  See the COLA entry comment in the SS Benefits section for historic COLA rates.</t>
        </r>
      </text>
    </comment>
    <comment ref="AB101" authorId="0" shapeId="0">
      <text>
        <r>
          <rPr>
            <b/>
            <sz val="11"/>
            <color indexed="12"/>
            <rFont val="Tahoma"/>
            <family val="2"/>
          </rPr>
          <t xml:space="preserve">Primary Insurance Amount
</t>
        </r>
      </text>
    </comment>
    <comment ref="D102" authorId="0" shapeId="0">
      <text>
        <r>
          <rPr>
            <b/>
            <sz val="11"/>
            <color indexed="12"/>
            <rFont val="Tahoma"/>
            <family val="2"/>
          </rPr>
          <t>Enter Spouse Full Retirement Age (FRA) Personal Insurance Amount (PIA) in current dollars.</t>
        </r>
      </text>
    </comment>
    <comment ref="D103" authorId="0" shapeId="0">
      <text>
        <r>
          <rPr>
            <b/>
            <sz val="11"/>
            <color indexed="12"/>
            <rFont val="Tahoma"/>
            <family val="2"/>
          </rPr>
          <t>Enter an estimate for the annual SS COLA amount.
Annual average COLA thru 2019:
30 years: 2.4%
20 years: 2.2%
10 years: 1.5%
2015-2019: 1.7%, 0.0%, 0.3%, 2.0%, 2.8% 
See Tax Tables - Other Data Tables for history of COLAs.</t>
        </r>
      </text>
    </comment>
    <comment ref="D104" authorId="0" shapeId="0">
      <text>
        <r>
          <rPr>
            <b/>
            <sz val="11"/>
            <color indexed="12"/>
            <rFont val="Tahoma"/>
            <family val="2"/>
          </rPr>
          <t xml:space="preserve">Set to 'y' if benefits have started for either person.  The respective SS Start Age must be the same as Your Age or  the Spouse Age to activate this feature.   Set to 'n' if both benefits start in a future year.
If the person's age and the start age are the same, the early start benefit reduction, Deferred Retirement Credit, and COLA are not used.  This results in the Annual SS benefit amount you input being used as the Starting amount, rather than a calculated amount using those factors to adjust the Annual amount to the starting age amount.
</t>
        </r>
      </text>
    </comment>
    <comment ref="D105" authorId="0" shapeId="0">
      <text>
        <r>
          <rPr>
            <b/>
            <sz val="11"/>
            <color indexed="12"/>
            <rFont val="Tahoma"/>
            <family val="2"/>
          </rPr>
          <t xml:space="preserve">Set to 'y' to have the program automatically adjust either person's benefit to 50% of the other, larger benefit.  
If a person starts their own benefit and later swiches to a spousal benefit, use the "Additional Benefits" entries to add the additional benefit.
Set to 'n' to use the annual benefits entered.  This allows non-spouse or benefits resulting from other situations to be used.
</t>
        </r>
      </text>
    </comment>
    <comment ref="H105" authorId="0" shapeId="0">
      <text>
        <r>
          <rPr>
            <b/>
            <sz val="11"/>
            <color indexed="12"/>
            <rFont val="Tahoma"/>
            <family val="2"/>
          </rPr>
          <t xml:space="preserve">Spousal amount if automatic spousal benefits is used.
</t>
        </r>
      </text>
    </comment>
    <comment ref="K105" authorId="0" shapeId="0">
      <text>
        <r>
          <rPr>
            <b/>
            <sz val="11"/>
            <color indexed="12"/>
            <rFont val="Tahoma"/>
            <family val="2"/>
          </rPr>
          <t>Who is receiving the spousal benefit.</t>
        </r>
      </text>
    </comment>
    <comment ref="T105" authorId="0" shapeId="0">
      <text>
        <r>
          <rPr>
            <b/>
            <sz val="11"/>
            <color indexed="12"/>
            <rFont val="Tahoma"/>
            <family val="2"/>
          </rPr>
          <t>PIA benefits adjusted for pre-FRA penalties or post-FRA Delayed Retirement Credits (DRC) escalations.</t>
        </r>
      </text>
    </comment>
    <comment ref="V105" authorId="0" shapeId="0">
      <text>
        <r>
          <rPr>
            <b/>
            <sz val="11"/>
            <color indexed="12"/>
            <rFont val="Tahoma"/>
            <family val="2"/>
          </rPr>
          <t xml:space="preserve">Delayed Retirement Credits, about 8% per year, increase SS benefits for delaying benefits past your Full Retirement Age. 
A pre-Full Retirement Age penalty is applied for taking benefits earlier than FRA.
These amounts are applied to the Pre-COLA Benefits to calculate the Estimated Benefits.
</t>
        </r>
      </text>
    </comment>
    <comment ref="AB105" authorId="0" shapeId="0">
      <text>
        <r>
          <rPr>
            <b/>
            <sz val="11"/>
            <color indexed="12"/>
            <rFont val="Tahoma"/>
            <family val="2"/>
          </rPr>
          <t xml:space="preserve">This is the years between each person's current age and their SS starting age.  Used along with the annual Cost Of Living Adjustment percent to determine the future benefit amount.
</t>
        </r>
      </text>
    </comment>
    <comment ref="D106" authorId="0" shapeId="0">
      <text>
        <r>
          <rPr>
            <b/>
            <sz val="11"/>
            <color indexed="12"/>
            <rFont val="Tahoma"/>
            <family val="2"/>
          </rPr>
          <t>Use for benefits that cannot be modeled using the above calculations. Examples are spousal benefits from an earlier marriage, additional spousal benefits, grandfathered Restricted Application benefits, or File and Suspend benefits currently being received.
Enter forecast annual SS benefits for the age you expect to receive them, in current dollars. Enter 0 to not use this feature.
The model will escalate this amount by the annual COLA from your current age to the age the benefits will start.</t>
        </r>
      </text>
    </comment>
    <comment ref="AB106" authorId="0" shapeId="0">
      <text>
        <r>
          <rPr>
            <b/>
            <sz val="11"/>
            <color indexed="12"/>
            <rFont val="Tahoma"/>
            <family val="2"/>
          </rPr>
          <t xml:space="preserve">SSA Cost of Living Adjustment
</t>
        </r>
      </text>
    </comment>
    <comment ref="D107" authorId="0" shapeId="0">
      <text>
        <r>
          <rPr>
            <b/>
            <sz val="11"/>
            <color indexed="12"/>
            <rFont val="Tahoma"/>
            <family val="2"/>
          </rPr>
          <t>Enter the additional annual SS benefits for the age the spouse expects to receive them in current dollars. 
Enter 0 to not use this feature.</t>
        </r>
      </text>
    </comment>
    <comment ref="AB107" authorId="0" shapeId="0">
      <text>
        <r>
          <rPr>
            <b/>
            <sz val="11"/>
            <color indexed="12"/>
            <rFont val="Tahoma"/>
            <family val="2"/>
          </rPr>
          <t>Number of Deferred Retirement Credit years, i.e. years from FRA to start of benefits.</t>
        </r>
      </text>
    </comment>
    <comment ref="D108" authorId="0" shapeId="0">
      <text>
        <r>
          <rPr>
            <b/>
            <sz val="11"/>
            <color indexed="12"/>
            <rFont val="Tahoma"/>
            <family val="2"/>
          </rPr>
          <t>The Social Security and Medicare Boards of Trustees estimate that Social Security's Old Age and Survivors Insurance (OASI) Trust Fund has a projected reserve depletion date of 2035.  In that year it is estimated that only 77% of benefits could be paid.
Enter the reduction in benefits percent, e.g. 23%, and the  calendar year to start the reduction, e.g. 2035  here if you want to include it in your forecast.
Leave year blank for no reduction (default).  Omitting either factor will result in no reduction.</t>
        </r>
      </text>
    </comment>
    <comment ref="AB108" authorId="0" shapeId="0">
      <text>
        <r>
          <rPr>
            <b/>
            <sz val="11"/>
            <color indexed="12"/>
            <rFont val="Tahoma"/>
            <family val="2"/>
          </rPr>
          <t>DRC increases and spousal pre-FRA reduction percentage (at FRA this is 50%).</t>
        </r>
      </text>
    </comment>
    <comment ref="AC109" authorId="0" shapeId="0">
      <text>
        <r>
          <rPr>
            <b/>
            <sz val="11"/>
            <color indexed="12"/>
            <rFont val="Tahoma"/>
            <family val="2"/>
          </rPr>
          <t>Used for first year benefits in model.</t>
        </r>
      </text>
    </comment>
    <comment ref="AF110" authorId="0" shapeId="0">
      <text>
        <r>
          <rPr>
            <b/>
            <sz val="11"/>
            <color indexed="12"/>
            <rFont val="Tahoma"/>
            <family val="2"/>
          </rPr>
          <t xml:space="preserve">Who is receiving spousal benefits.
</t>
        </r>
      </text>
    </comment>
    <comment ref="D111" authorId="0" shapeId="0">
      <text>
        <r>
          <rPr>
            <b/>
            <sz val="11"/>
            <color indexed="12"/>
            <rFont val="Tahoma"/>
            <family val="2"/>
          </rPr>
          <t xml:space="preserve">Alternative benefits - enter  different starting ages and amounts from the default amounts entered above to see how they will impact SS benefits and your portfolio.  
These values, instead of the default entries above, will be used to calculate SS benefits when activated in the Portfolio Option settings.  If not activated, the default benefits will be used and SS comparison schedules will not show any differences.
See instructions for entering data in the above section.
</t>
        </r>
      </text>
    </comment>
    <comment ref="J121" authorId="0" shapeId="0">
      <text>
        <r>
          <rPr>
            <b/>
            <sz val="11"/>
            <color indexed="12"/>
            <rFont val="Tahoma"/>
            <family val="2"/>
          </rPr>
          <t>Beginning of year account balances available to fund the SPIA purchase at the buying age entered.
If Roth conversions are being made, insure that IRA1 has a sufficient balance  to fund the SPIA.</t>
        </r>
      </text>
    </comment>
    <comment ref="D122" authorId="0" shapeId="0">
      <text>
        <r>
          <rPr>
            <b/>
            <sz val="11"/>
            <color indexed="12"/>
            <rFont val="Tahoma"/>
            <family val="2"/>
          </rPr>
          <t xml:space="preserve">Use this feature to see the impact of purchasing a SPIA on your income, taxes and portfolio.  
The purchase of the annuity can be made from one of three accounts, each having different Federal tax consequences.   If bought in an earlier year, enter the income here and use your age when bought.
Taxable account:  The annuity income is taxable but reduced by the Exclusion Factor.  This factor represents the portion of the original investment that is included in each annuity payment.  For example, a $400 monthly annuity with a 75% exclusion factor will result in only $100 being subject to income tax.
Traditional IRA:  The entire annuity income is taxable.  However, it's complicated.  The annuity purchased in a IRA can be held two ways.  1) Rolled out into a Individual Retirement Annuity where  the annuity income is treated as a RMD withdrawal and taxed accordingly.  This model uses this method for determining taxable income and RMD calculations.  2) Left as part of the Individual Retirement "Arrangement", which will then consist of the IRA and the SPIA.  The SPIA purchase price is included in the IRA year-end balance for determining the following year's RMD using a present value of future payments calculation.  This method is not used in this model.
There is also as of 2014 a qualified longevity annuity contract (QLAC) option that allows the purchase price to be deducted from the IRA, thus reducing RMDs, with the taxable income starting at a later age.
Roth IRA: The annuity income is non-taxable.
</t>
        </r>
      </text>
    </comment>
    <comment ref="D123" authorId="0" shapeId="0">
      <text>
        <r>
          <rPr>
            <b/>
            <sz val="11"/>
            <color indexed="12"/>
            <rFont val="Tahoma"/>
            <family val="2"/>
          </rPr>
          <t>Annuity investment purchase price.  If bought in an earlier year enter the price or at least $1 to have the income included.
Set to zero to not include in your portfolio.</t>
        </r>
      </text>
    </comment>
    <comment ref="F123" authorId="0" shapeId="0">
      <text>
        <r>
          <rPr>
            <b/>
            <sz val="11"/>
            <color indexed="12"/>
            <rFont val="Tahoma"/>
            <family val="2"/>
          </rPr>
          <t>Your age when the annuity is purchased.
If bought in an earlier year, enter your age when bought, or one year earlier than your current age.  This will result in no purchase being deducted but the income will be included.</t>
        </r>
      </text>
    </comment>
    <comment ref="H123" authorId="0" shapeId="0">
      <text>
        <r>
          <rPr>
            <b/>
            <sz val="11"/>
            <color indexed="12"/>
            <rFont val="Tahoma"/>
            <family val="2"/>
          </rPr>
          <t xml:space="preserve">Annual income
</t>
        </r>
      </text>
    </comment>
    <comment ref="D124" authorId="0" shapeId="0">
      <text>
        <r>
          <rPr>
            <b/>
            <sz val="11"/>
            <color indexed="12"/>
            <rFont val="Tahoma"/>
            <family val="2"/>
          </rPr>
          <t xml:space="preserve">Select the account to use to purchase the annuity and where the income will be shown.
t - taxable
i - IRA 1
r - Roth IRA 1
</t>
        </r>
      </text>
    </comment>
    <comment ref="F124" authorId="0" shapeId="0">
      <text>
        <r>
          <rPr>
            <b/>
            <sz val="11"/>
            <color indexed="12"/>
            <rFont val="Tahoma"/>
            <family val="2"/>
          </rPr>
          <t xml:space="preserve">Your age when annuity income starts.
</t>
        </r>
      </text>
    </comment>
    <comment ref="H124" authorId="0" shapeId="0">
      <text>
        <r>
          <rPr>
            <b/>
            <sz val="11"/>
            <color indexed="12"/>
            <rFont val="Tahoma"/>
            <family val="2"/>
          </rPr>
          <t xml:space="preserve">The annuity's inflation-indexed annual income increase, if applicable.
</t>
        </r>
      </text>
    </comment>
    <comment ref="F125" authorId="0" shapeId="0">
      <text>
        <r>
          <rPr>
            <b/>
            <sz val="11"/>
            <color indexed="12"/>
            <rFont val="Tahoma"/>
            <family val="2"/>
          </rPr>
          <t xml:space="preserve">Your age for the last year of annuity income.  Delete age to use model's final forecast year.
</t>
        </r>
      </text>
    </comment>
    <comment ref="H125" authorId="0" shapeId="0">
      <text>
        <r>
          <rPr>
            <b/>
            <sz val="11"/>
            <color indexed="12"/>
            <rFont val="Tahoma"/>
            <family val="2"/>
          </rPr>
          <t>The exclusion ratio.  The percentage of annuity income that represents a return of the investment cost and will not be included in taxable income.
Note: Reduction in this percentage when the purchase price has been completely returned via income is not provided for in this model.</t>
        </r>
      </text>
    </comment>
    <comment ref="H126" authorId="0" shapeId="0">
      <text>
        <r>
          <rPr>
            <b/>
            <sz val="11"/>
            <color indexed="12"/>
            <rFont val="Tahoma"/>
            <family val="2"/>
          </rPr>
          <t xml:space="preserve">Annual annuity income that will be non-taxable based on the exclusion ratio above. </t>
        </r>
      </text>
    </comment>
    <comment ref="A128" authorId="0" shapeId="0">
      <text>
        <r>
          <rPr>
            <b/>
            <sz val="11"/>
            <color indexed="12"/>
            <rFont val="Tahoma"/>
            <family val="2"/>
          </rPr>
          <t>They estimate their living expenses will be $70,000 before income taxes, well below their expenses while working as they will be no longer incurring working costs, adding to savings, or paying employment taxes.   They choose 2.0% as the annual expense (and CPI-inflation) escalation rate.  
They think there might be an increase in their expenses if they enter an assisted living center when George is 80, so have increased expenses 20% in that year to model the impact of that possible event.  This factor can also be used to decrease expenses at a future age by entering it as a negative amount, such might occur with reduced travel or the death of a spouse.
The monitor their possible higher Medicare premiums using the IRMAa surcharge estimator.</t>
        </r>
      </text>
    </comment>
    <comment ref="D128" authorId="0" shapeId="0">
      <text>
        <r>
          <rPr>
            <b/>
            <sz val="12"/>
            <color indexed="12"/>
            <rFont val="Tahoma"/>
            <family val="2"/>
          </rPr>
          <t xml:space="preserve">Enter your first year living expenses, excluding Federal and state taxes, and an annual inflation/escalation rate.
</t>
        </r>
        <r>
          <rPr>
            <b/>
            <sz val="10"/>
            <color indexed="12"/>
            <rFont val="Tahoma"/>
            <family val="2"/>
          </rPr>
          <t xml:space="preserve">
</t>
        </r>
        <r>
          <rPr>
            <b/>
            <sz val="12"/>
            <color indexed="12"/>
            <rFont val="Tahoma"/>
            <family val="2"/>
          </rPr>
          <t xml:space="preserve">Optional: Enter a percent to increase or decrease expenses in a future year using Your age. </t>
        </r>
      </text>
    </comment>
    <comment ref="Q129" authorId="0" shapeId="0">
      <text>
        <r>
          <rPr>
            <b/>
            <sz val="11"/>
            <color indexed="12"/>
            <rFont val="Tahoma"/>
            <family val="2"/>
          </rPr>
          <t>Use this table to estimate and record expenses.  Titles can be edited.  The total is not used by the model.</t>
        </r>
      </text>
    </comment>
    <comment ref="AF129" authorId="0" shapeId="0">
      <text>
        <r>
          <rPr>
            <b/>
            <sz val="11"/>
            <color indexed="12"/>
            <rFont val="Tahoma"/>
            <family val="2"/>
          </rPr>
          <t xml:space="preserve">Delayed Retirement Credits, about 8% per year, increase SS benefits for delaying benefits past your Full Retirement Age. 
Penalty is applied for taking benefits earlier than FRA.
These amounts used in the benefit calculation table.
</t>
        </r>
      </text>
    </comment>
    <comment ref="F130" authorId="0" shapeId="0">
      <text>
        <r>
          <rPr>
            <b/>
            <sz val="11"/>
            <color indexed="12"/>
            <rFont val="Tahoma"/>
            <family val="2"/>
          </rPr>
          <t xml:space="preserve">Annual escalation rate for living expenses aka COLA.  Using a rate based on historic CPI-U averages is suggested.
Annual average CPI-U inflation thru 2018:
30 years: 2.6%
20 years: 2.2%
10 years: 1.6%
See Tax Tables - Other Data Tables ( bottom of page) for history of CPI-U inflation.
</t>
        </r>
      </text>
    </comment>
    <comment ref="G130" authorId="0" shapeId="0">
      <text>
        <r>
          <rPr>
            <b/>
            <sz val="11"/>
            <color indexed="12"/>
            <rFont val="Tahoma"/>
            <family val="2"/>
          </rPr>
          <t xml:space="preserve">Living expenses are likely to change later in life.  Travel expenses may go down and medical and assisted living expenses may increase.  Research indicates that on average spending goes down during retirement years (Michael Stein, Dr. Pfau).
Enter Your age when expenses may increase or decrease.  Delete age to remove change.
Enter the percent expenses will change:  
Positive percentage increases expenses
Negative percentage decreases expenses
</t>
        </r>
      </text>
    </comment>
    <comment ref="J130" authorId="0" shapeId="0">
      <text>
        <r>
          <rPr>
            <b/>
            <sz val="11"/>
            <color indexed="12"/>
            <rFont val="Tahoma"/>
            <family val="2"/>
          </rPr>
          <t>Suggestion for a portfolio test:  Increase expenses until the ending portfolio balance approaches zero to estimate maximum expenses.</t>
        </r>
      </text>
    </comment>
    <comment ref="AE130" authorId="0" shapeId="0">
      <text>
        <r>
          <rPr>
            <b/>
            <sz val="11"/>
            <color indexed="12"/>
            <rFont val="Tahoma"/>
            <family val="2"/>
          </rPr>
          <t>Spousal benefit based on 50% the largest of the individuals' PIA benefits at FRA.</t>
        </r>
      </text>
    </comment>
    <comment ref="D133" authorId="0" shapeId="0">
      <text>
        <r>
          <rPr>
            <b/>
            <sz val="11"/>
            <color indexed="12"/>
            <rFont val="Tahoma"/>
            <family val="2"/>
          </rPr>
          <t xml:space="preserve">This is an optional feature that calculates an estimate of additional Medicare premiums resulting from high income levels, the  income-related monthly adjustment amount (IRMAA).
The yearly calculated amounts are NOT included in yearly expenses.  If significant you should consider including them in your expense estimate or on the expense manual input line.
In 2018 for joint filers the Part B monthly surcharge could be as much as $300, for single filers $55, and the Part D surcharge as much as $100.  
The adjustment for the current year is based on the MAGI reported on the prior year's tax return, which is the MAGI from two years earlier.
These adjustments impact fewer than 5 percent of people on Medicare, but this may increase in future years. 
Under the Affordable Care Act, the inflation adjustments to the MAGI thresholds were frozen in place from 2011 to 2019.   For this model it is assumed an escalation will occur in 2020.
</t>
        </r>
      </text>
    </comment>
    <comment ref="H133" authorId="0" shapeId="0">
      <text>
        <r>
          <rPr>
            <b/>
            <sz val="11"/>
            <color indexed="12"/>
            <rFont val="Tahoma"/>
            <family val="2"/>
          </rPr>
          <t>If the automatic expense amounts are not providing a reasonable expense estimate result in one or more years, manually-entered yearly expenses can be added on the Details page.  The Base case uses the same amounts.
Adjustments might include: more large expenditures than the Special Events section provides for, temporary expenditures, etc.
Macro used: Adj_Expenses</t>
        </r>
      </text>
    </comment>
    <comment ref="D134" authorId="0" shapeId="0">
      <text>
        <r>
          <rPr>
            <b/>
            <sz val="11"/>
            <color indexed="12"/>
            <rFont val="Tahoma"/>
            <family val="2"/>
          </rPr>
          <t>Enter your monthly Part B premium for the current year for a single person.
For 2018 the standard premium was $134, rising to $135.50 in 2019.</t>
        </r>
      </text>
    </comment>
    <comment ref="D135" authorId="0" shapeId="0">
      <text>
        <r>
          <rPr>
            <b/>
            <sz val="11"/>
            <color indexed="12"/>
            <rFont val="Tahoma"/>
            <family val="2"/>
          </rPr>
          <t>Enter your monthly Part D premium for the current year for a single person.
For 2017 the average monthly premium was $34 and $41 in 2019.</t>
        </r>
      </text>
    </comment>
    <comment ref="AC135" authorId="0" shapeId="0">
      <text>
        <r>
          <rPr>
            <b/>
            <sz val="12"/>
            <color indexed="12"/>
            <rFont val="Tahoma"/>
            <family val="2"/>
          </rPr>
          <t xml:space="preserve">Your annual Full Retirement Age (FRA) 66 Primary Insurance Amount (PIA) in today's dollars as entered in the primary SS benefit input section.  
The related yearly Spousal benefit is determined from this amount or the spouse's PIA (whichever is larger), and the associated age adjustment factors (Delayed Retirement Credits and Reductions).
</t>
        </r>
      </text>
    </comment>
    <comment ref="AD135" authorId="0" shapeId="0">
      <text>
        <r>
          <rPr>
            <b/>
            <sz val="12"/>
            <color indexed="12"/>
            <rFont val="Tahoma"/>
            <family val="2"/>
          </rPr>
          <t>Spouse Full Retirement Age (FRA) 66 Primary Insurance Amount (PIA).</t>
        </r>
      </text>
    </comment>
    <comment ref="E136" authorId="0" shapeId="0">
      <text>
        <r>
          <rPr>
            <b/>
            <sz val="11"/>
            <color indexed="12"/>
            <rFont val="Tahoma"/>
            <family val="2"/>
          </rPr>
          <t xml:space="preserve">If IRMAA is expected to be applicable in the current, i.e.  first model year, enter your MAGI here from two years before this year. (As shown in the previous  year's tax return.)  </t>
        </r>
      </text>
    </comment>
    <comment ref="F136" authorId="0" shapeId="0">
      <text>
        <r>
          <rPr>
            <b/>
            <sz val="11"/>
            <color indexed="12"/>
            <rFont val="Tahoma"/>
            <family val="2"/>
          </rPr>
          <t xml:space="preserve">If IRMAA is expected to be applicable in the next year, i.e.  second model year, enter your MAGI here from the year before this year. (As shown in the current  year's tax return.)  </t>
        </r>
      </text>
    </comment>
    <comment ref="AC136" authorId="0" shapeId="0">
      <text>
        <r>
          <rPr>
            <b/>
            <sz val="12"/>
            <color indexed="12"/>
            <rFont val="Tahoma"/>
            <family val="2"/>
          </rPr>
          <t>Your annual Full Retirement Age (FRA) 67 Primary Insurance Amount (PIA).</t>
        </r>
      </text>
    </comment>
    <comment ref="AD136" authorId="0" shapeId="0">
      <text>
        <r>
          <rPr>
            <b/>
            <sz val="12"/>
            <color indexed="12"/>
            <rFont val="Tahoma"/>
            <family val="2"/>
          </rPr>
          <t>Spouse Full Retirement Age (FRA) 67 Primary Insurance Amount (PIA).</t>
        </r>
      </text>
    </comment>
    <comment ref="D137" authorId="0" shapeId="0">
      <text>
        <r>
          <rPr>
            <b/>
            <sz val="11"/>
            <color indexed="12"/>
            <rFont val="Tahoma"/>
            <family val="2"/>
          </rPr>
          <t>The estimated total of Medicare surcharges for all years.  The amounts are not included in expenses.
If they are significant, adjust your expense entry on the Setup page or add them to the manual-entry expense line in the expense section on the Details page.</t>
        </r>
      </text>
    </comment>
    <comment ref="D138" authorId="0" shapeId="0">
      <text>
        <r>
          <rPr>
            <b/>
            <sz val="11"/>
            <color indexed="12"/>
            <rFont val="Tahoma"/>
            <family val="2"/>
          </rPr>
          <t>If you are buying health insurance under the Affordable Care Act before Medicare starts at 65, you may be eligible for subsidies based on your level of income relative to the Federal poverty levels (FPL).
You and/or your spouse qualify for the premium subsidy only if your modified adjusted gross income (MAGI) is between 100% and 400% of the FPL.
This is a rough estimate of the number of years before Your or Spouse's age of 65 that might meet this subsidy level.  The actual subsidy is not estimated.
Go to the Details page to see which years may qualify.</t>
        </r>
      </text>
    </comment>
    <comment ref="E138" authorId="0" shapeId="0">
      <text>
        <r>
          <rPr>
            <b/>
            <sz val="11"/>
            <color indexed="12"/>
            <rFont val="Tahoma"/>
            <family val="2"/>
          </rPr>
          <t>Income calculated by the model based on the factors input may show that in one or more years MAGI is between 100% and 400% of the poverty levels and ACA premium tax credits may be available in those years.
Current year FPL levels are escalated for inflation using the tax factor escalation rate.</t>
        </r>
      </text>
    </comment>
    <comment ref="A140" authorId="0" shapeId="0">
      <text>
        <r>
          <rPr>
            <b/>
            <sz val="11"/>
            <color indexed="12"/>
            <rFont val="Tahoma"/>
            <family val="2"/>
          </rPr>
          <t>George noticed the Taxable account was showing a negative balance due to being depleted before his Social Security benefit starts, so a $40,000 annual IRA withdrawal amount is entered in withdrawal field #1, with a 3% annual escalation, ending when George turns 69 as his IRA RMD starts the next year.  
They also anticipate withdrawing $10,000 a year starting at age 70, continuing for 5 more years, for travel expenses, decreasing by 10% a year.
For their second IRA they plan to add to it until age 70, then model a $5,000 withdrawal to continue through the modeling period.   For the first of their existing Roth the plan a $1,000 withdrawal starting at age 80 with no escalation, and $5,000 for six years from the other.  Small withdrawals are planned for their two inherited IRAs.  
They also tested the model by entering small withdrawals from an existing Roth IRA and two IRAs they expect to inherit.
An adjustment can be made to the IRA withdrawals in the comparison base case to help in comparing the benefits of a Roth conversion, but George is not interested in this refinement so he leaves the amounts at 0.</t>
        </r>
      </text>
    </comment>
    <comment ref="D140" authorId="0" shapeId="0">
      <text>
        <r>
          <rPr>
            <b/>
            <sz val="12"/>
            <color indexed="12"/>
            <rFont val="Tahoma"/>
            <family val="2"/>
          </rPr>
          <t>Enter contributions to selected IRAs and withdrawals from existing and inherited IRAs necessary to fund living expenses or other needs.</t>
        </r>
      </text>
    </comment>
    <comment ref="D141" authorId="0" shapeId="0">
      <text>
        <r>
          <rPr>
            <b/>
            <sz val="11"/>
            <color indexed="12"/>
            <rFont val="Tahoma"/>
            <family val="2"/>
          </rPr>
          <t>Contributions to IRA 1, 2 and Roth IRA 1 can be entered here.  Roth Conversion IRA amounts are entered in section 10.
ALERT: Taxes on traditional IRA withdrawals are not adjusted (reduced) for these after-tax contributions in the model.  This will result in higher forecast taxes than will actually be incurred.  Use the AGI User Input adjustment line on the Details page to adjust for this if necessary.
There is a limit on traditional IRA contributions based on age and earnings.</t>
        </r>
      </text>
    </comment>
    <comment ref="E141" authorId="0" shapeId="0">
      <text>
        <r>
          <rPr>
            <b/>
            <sz val="11"/>
            <color indexed="12"/>
            <rFont val="Tahoma"/>
            <family val="2"/>
          </rPr>
          <t>Enter annual amount to contribute and withdraw.</t>
        </r>
      </text>
    </comment>
    <comment ref="F141" authorId="0" shapeId="0">
      <text>
        <r>
          <rPr>
            <b/>
            <sz val="11"/>
            <color indexed="12"/>
            <rFont val="Tahoma"/>
            <family val="2"/>
          </rPr>
          <t>Enter a positive or negative percentage to increase or decrease annual contributions and withdrawals.</t>
        </r>
        <r>
          <rPr>
            <sz val="11"/>
            <color indexed="12"/>
            <rFont val="Tahoma"/>
            <family val="2"/>
          </rPr>
          <t xml:space="preserve">
</t>
        </r>
        <r>
          <rPr>
            <b/>
            <sz val="11"/>
            <color indexed="12"/>
            <rFont val="Tahoma"/>
            <family val="2"/>
          </rPr>
          <t xml:space="preserve">
Note: Rounding may make small percentages ineffective when IRA balances are also low.</t>
        </r>
      </text>
    </comment>
    <comment ref="G141" authorId="0" shapeId="0">
      <text>
        <r>
          <rPr>
            <b/>
            <sz val="11"/>
            <color indexed="12"/>
            <rFont val="Tahoma"/>
            <family val="2"/>
          </rPr>
          <t>Enter Your age to start contributions and withdrawals.  This is required if an amount is entered.
Also use Your age for any IRA inherited by spouse.</t>
        </r>
        <r>
          <rPr>
            <sz val="11"/>
            <color indexed="12"/>
            <rFont val="Tahoma"/>
            <family val="2"/>
          </rPr>
          <t xml:space="preserve">
</t>
        </r>
        <r>
          <rPr>
            <sz val="9"/>
            <color indexed="81"/>
            <rFont val="Tahoma"/>
            <family val="2"/>
          </rPr>
          <t xml:space="preserve">
</t>
        </r>
      </text>
    </comment>
    <comment ref="H141" authorId="0" shapeId="0">
      <text>
        <r>
          <rPr>
            <b/>
            <sz val="11"/>
            <color indexed="12"/>
            <rFont val="Tahoma"/>
            <family val="2"/>
          </rPr>
          <t>Enter Your age for the last year of contributions and withdrawals, including any IRA inherited by spouse.
Use blank to automatically use the modeling period's last year.</t>
        </r>
      </text>
    </comment>
    <comment ref="AF141" authorId="0" shapeId="0">
      <text>
        <r>
          <rPr>
            <b/>
            <sz val="11"/>
            <color indexed="12"/>
            <rFont val="Tahoma"/>
            <family val="2"/>
          </rPr>
          <t xml:space="preserve">Delayed Retirement Credits, about 8% per year, increase SS benefits for delaying benefits past your Full Retirement Age. 
Penalty is applied for taking benefits earlier than FRA.
These amounts used in the calculation tables below.
</t>
        </r>
      </text>
    </comment>
    <comment ref="D142" authorId="0" shapeId="0">
      <text>
        <r>
          <rPr>
            <b/>
            <sz val="11"/>
            <color indexed="12"/>
            <rFont val="Tahoma"/>
            <family val="2"/>
          </rPr>
          <t>Enter amounts and factors to schedule contributions to IRA 1.  These amounts are withdrawan from the Taxable account.</t>
        </r>
      </text>
    </comment>
    <comment ref="AE142" authorId="0" shapeId="0">
      <text>
        <r>
          <rPr>
            <b/>
            <sz val="11"/>
            <color indexed="12"/>
            <rFont val="Tahoma"/>
            <family val="2"/>
          </rPr>
          <t>Spousal benefit based on 50% the largest of the individuals' PIA benefits at FRA.</t>
        </r>
      </text>
    </comment>
    <comment ref="D143" authorId="0" shapeId="0">
      <text>
        <r>
          <rPr>
            <b/>
            <sz val="11"/>
            <color indexed="12"/>
            <rFont val="Tahoma"/>
            <family val="2"/>
          </rPr>
          <t>Enter amounts and factors to schedule contributions to IRA 2.  These amounts are withdrawan from the Taxable account.</t>
        </r>
      </text>
    </comment>
    <comment ref="B144" authorId="0" shapeId="0">
      <text>
        <r>
          <rPr>
            <b/>
            <sz val="11"/>
            <color indexed="12"/>
            <rFont val="Tahoma"/>
            <family val="2"/>
          </rPr>
          <t>The Roth 1 account now has a second withdrawal option.</t>
        </r>
      </text>
    </comment>
    <comment ref="D144" authorId="0" shapeId="0">
      <text>
        <r>
          <rPr>
            <b/>
            <sz val="11"/>
            <color indexed="12"/>
            <rFont val="Tahoma"/>
            <family val="2"/>
          </rPr>
          <t>Enter amounts and factors to schedule contributions to Roth IRA 1.  These amounts are withdrawan from the Taxable account.</t>
        </r>
      </text>
    </comment>
    <comment ref="D146" authorId="0" shapeId="0">
      <text>
        <r>
          <rPr>
            <b/>
            <sz val="11"/>
            <color indexed="12"/>
            <rFont val="Tahoma"/>
            <family val="2"/>
          </rPr>
          <t xml:space="preserve">Withdrawals from your traditional IRA may be required for retirement living expenses, and to provide funds to pay  taxes due on Roth conversions.  These input fields allow you to set up withdrawal schedules in both cases to provide funds for these purposes.  </t>
        </r>
        <r>
          <rPr>
            <b/>
            <sz val="11"/>
            <color indexed="10"/>
            <rFont val="Tahoma"/>
            <family val="2"/>
          </rPr>
          <t xml:space="preserve">Note: withdrawals are normally considered as meeting RMD requirements but not in this model. </t>
        </r>
        <r>
          <rPr>
            <b/>
            <sz val="11"/>
            <color indexed="12"/>
            <rFont val="Tahoma"/>
            <family val="2"/>
          </rPr>
          <t xml:space="preserve"> Adjust your manual withdrawals as necessary in RMD years.
Recommended: Turn automated withdrawals off.  Keep "optional base case withdrawals" at 0 to start.  This eliminates having different amounts being a factor in evaluating the impact of Roth conversions or alternative SS benefits.  
How to set the withdrawal factors in conjunction with conversions:
1. Set withdrawals so that the Taxable account balance is positive in all years.  See graph to right to monitor the taxable account.
2. Enter conversion amounts in the Roth Conversion section below. This will create tax expense and the Taxable account may have a negative balance in some years.
3. Add additional withdrawals (use the #2 entry) if necessary to keep the  Taxable account positive.  Use the start and stop ages to fine tune.
4. Review conversions again and adjust to keep tax bracket percentage at the amount you want, typically near or at 100% of the 15% bracket.
5. Repeat 3 and 4 until results are as desired and the Taxable account has a positive balance.
</t>
        </r>
      </text>
    </comment>
    <comment ref="D147" authorId="0" shapeId="0">
      <text>
        <r>
          <rPr>
            <b/>
            <sz val="11"/>
            <color indexed="12"/>
            <rFont val="Tahoma"/>
            <family val="2"/>
          </rPr>
          <t xml:space="preserve">Enter amounts and factors to schedule withdrawals from IRA 1.  Two withdrawal schedules are available.  If there is no balance in IRA 1 the amounts are not used.
Suggested use: Withdrawal 1 for living expenses and 2 for Roth conversion tax funding or other temporary needs.
Withdrawals are taxable. </t>
        </r>
      </text>
    </comment>
    <comment ref="AC147" authorId="0" shapeId="0">
      <text>
        <r>
          <rPr>
            <b/>
            <sz val="12"/>
            <color indexed="12"/>
            <rFont val="Tahoma"/>
            <family val="2"/>
          </rPr>
          <t>Your annual Full Retirement Age (FRA) 66 Primary Insurance Amount (PIA) in today's dollars as entered in the primary SS benefit input section.  
The related yearly Spousal benefit is determined from this amount or the spouse's PIA (whichever is larger), and the associated age adjustment factors (Delayed Retirement Credits and Reductions).
Enter an amount in the Test PIA cells above to see alternative amounts. This feature does not impact the model's calculations.
The highest possible age-66 FRA benefit in 2015 is $2,663/mo or $31,956/yr.</t>
        </r>
      </text>
    </comment>
    <comment ref="AD147" authorId="0" shapeId="0">
      <text>
        <r>
          <rPr>
            <b/>
            <sz val="12"/>
            <color indexed="12"/>
            <rFont val="Tahoma"/>
            <family val="2"/>
          </rPr>
          <t>Spouse Full Retirement Age (FRA) 66 Primary Insurance Amount (PIA).</t>
        </r>
      </text>
    </comment>
    <comment ref="AC148" authorId="0" shapeId="0">
      <text>
        <r>
          <rPr>
            <b/>
            <sz val="12"/>
            <color indexed="12"/>
            <rFont val="Tahoma"/>
            <family val="2"/>
          </rPr>
          <t>Your annual Full Retirement Age (FRA) 67 Primary Insurance Amount (PIA).</t>
        </r>
      </text>
    </comment>
    <comment ref="AD148" authorId="0" shapeId="0">
      <text>
        <r>
          <rPr>
            <b/>
            <sz val="12"/>
            <color indexed="12"/>
            <rFont val="Tahoma"/>
            <family val="2"/>
          </rPr>
          <t>Spouse Full Retirement Age (FRA) 67 Primary Insurance Amount (PIA).</t>
        </r>
      </text>
    </comment>
    <comment ref="D150" authorId="0" shapeId="0">
      <text>
        <r>
          <rPr>
            <b/>
            <sz val="11"/>
            <color indexed="12"/>
            <rFont val="Tahoma"/>
            <family val="2"/>
          </rPr>
          <t xml:space="preserve">Enter amounts and factors to schedule withdrawals from IRA 2. If there is no balance in IRA 2 the amounts are ignored.
</t>
        </r>
        <r>
          <rPr>
            <b/>
            <sz val="11"/>
            <color indexed="12"/>
            <rFont val="Tahoma"/>
            <family val="2"/>
          </rPr>
          <t xml:space="preserve">Withdrawals are taxable.  </t>
        </r>
      </text>
    </comment>
    <comment ref="C153" authorId="0" shapeId="0">
      <text>
        <r>
          <rPr>
            <b/>
            <sz val="11"/>
            <color indexed="12"/>
            <rFont val="Tahoma"/>
            <family val="2"/>
          </rPr>
          <t xml:space="preserve">Enter amounts and factors to schedule withdrawals from any existing Roth. If there is no existing Roths the amounts are ignored.
Withdrawals are not taxed.
 </t>
        </r>
      </text>
    </comment>
    <comment ref="D153" authorId="0" shapeId="0">
      <text>
        <r>
          <rPr>
            <b/>
            <sz val="11"/>
            <color indexed="12"/>
            <rFont val="Tahoma"/>
            <family val="2"/>
          </rPr>
          <t xml:space="preserve">Enter amounts and factors to schedule withdrawals from IRA 1.  Two withdrawal schedules are available.  If there is no balance in IRA 1 the amounts are not used.
Suggested use: Withdrawal 1 for living expenses and 2 for Roth conversion tax funding or other temporary needs.
Withdrawals are taxable. </t>
        </r>
      </text>
    </comment>
    <comment ref="B155" authorId="0" shapeId="0">
      <text>
        <r>
          <rPr>
            <b/>
            <sz val="11"/>
            <color indexed="12"/>
            <rFont val="Tahoma"/>
            <family val="2"/>
          </rPr>
          <t>The Roth 1 account now has a second withdrawal option.</t>
        </r>
      </text>
    </comment>
    <comment ref="D158" authorId="0" shapeId="0">
      <text>
        <r>
          <rPr>
            <b/>
            <sz val="11"/>
            <color indexed="12"/>
            <rFont val="Tahoma"/>
            <family val="2"/>
          </rPr>
          <t xml:space="preserve">Enter amounts and factors to schedule withdrawals  from each inherited IRA.  If there is no inheritance in either or both IRAs, the respective amounts are ignored.   
Use Your age, even for IRAs inherited by spouse. Start Age must be on or after the year inherited by either person.
Set withdrawal amounts and timing to meet expenditure needs, to optimize tax expenses, or to fund deficits in the Taxable account.
</t>
        </r>
      </text>
    </comment>
    <comment ref="D162" authorId="0" shapeId="0">
      <text>
        <r>
          <rPr>
            <b/>
            <sz val="11"/>
            <color indexed="12"/>
            <rFont val="Tahoma"/>
            <family val="2"/>
          </rPr>
          <t xml:space="preserve">Making Roth conversions may require additional IRA withdrawals to fund Federal taxes. Use these optional  adjustments to reduce the withdrawals in the comparison (base) case for these extra  withdrawals. This will provide a more accurate comparison in evaluating the benefit of Roth conversions as those higher withdrawals are not needed if conversions are not being made.
Enter changes here to the amounts entered for the default case above, either positive amounts to increase the withdrawals, or negative amounts to decrease them.
The starting age, duration and interim percent changes will be identical.
If there are no withdrawals or no balance in the IRAs set these amounts to zero.
</t>
        </r>
        <r>
          <rPr>
            <b/>
            <sz val="11"/>
            <color indexed="10"/>
            <rFont val="Tahoma"/>
            <family val="2"/>
          </rPr>
          <t xml:space="preserve">Keep these amounts zero if possible  to avoid making this item a source of differences when comparing the results of doing Roth conversions and/or alternative SS benefits.
</t>
        </r>
      </text>
    </comment>
    <comment ref="C163" authorId="0" shapeId="0">
      <text>
        <r>
          <rPr>
            <b/>
            <sz val="11"/>
            <color indexed="12"/>
            <rFont val="Tahoma"/>
            <family val="2"/>
          </rPr>
          <t>These use to be additional withdrawal amounts and factors but starting in version 18.0 they were revised to be adjustment amounts, either position for higher withdrawals or negative for smaller.  The age and percentage change factors have also been changed to always be the same as the default (Full) case amounts.</t>
        </r>
      </text>
    </comment>
    <comment ref="D163" authorId="0" shapeId="0">
      <text>
        <r>
          <rPr>
            <b/>
            <sz val="11"/>
            <color indexed="12"/>
            <rFont val="Tahoma"/>
            <family val="2"/>
          </rPr>
          <t xml:space="preserve">Enter amounts and factors to schedule withdrawals from IRA 1 in the comparison (base) portfolio.  Two withdrawal schedules are available.  If there is no balance in IRA 1 the amounts are not used.
Withdrawals are taxable. </t>
        </r>
      </text>
    </comment>
    <comment ref="D166" authorId="0" shapeId="0">
      <text>
        <r>
          <rPr>
            <b/>
            <sz val="11"/>
            <color indexed="12"/>
            <rFont val="Tahoma"/>
            <family val="2"/>
          </rPr>
          <t xml:space="preserve">Enter amounts and factors to schedule withdrawals from IRA 2 in the comparison (base) portfolio.  If there is no balance in IRA 2 the amounts are not used.
Withdrawals are taxable. </t>
        </r>
      </text>
    </comment>
    <comment ref="A169" authorId="0" shapeId="0">
      <text>
        <r>
          <rPr>
            <b/>
            <sz val="11"/>
            <color indexed="12"/>
            <rFont val="Tahoma"/>
            <family val="2"/>
          </rPr>
          <t>George expects to receive an inheritance consisting of both a taxable account and an IRA at age 77.  Martha expects a similar inheritance when she is 72.  The heir designation is in the Age section. 
They expect to sell their house when George is 84 and move into an apartment or assisted living.  Using the Future Amount inflation calculator they estimated the value of their home at that time will be a net $400,000 after selling costs. They expect to sell their art collection at 86 for $100,000.   
They plan to buy a Tesla for $80,000 when George is 72 and take a world tour at 74 costing $20,000. NOTE: Both Asset Sales and Expenditures can be entered as negative numbers to use them as expenditures or cash receipts, respectively, instead of their default uses.
Making donations to several charities is very important to them and they plan to use the Qualified Charitable Distributions method to do this.  They will make the donations as part of their annual RMD withdrawal procedure from one of their existing IRA's and an inherited one.</t>
        </r>
      </text>
    </comment>
    <comment ref="D169" authorId="0" shapeId="0">
      <text>
        <r>
          <rPr>
            <b/>
            <sz val="11"/>
            <color indexed="12"/>
            <rFont val="Tahoma"/>
            <family val="2"/>
          </rPr>
          <t>Enter special events that typically occur during retirement, such receiving an inheritance, selling a house or purchasing an RV.  Two events are available for each category.
Enter Qualified Charitable Distributions donations from IRAs. This is a method of making donation while reducing taxable income from IRA RMDs.</t>
        </r>
      </text>
    </comment>
    <comment ref="G171" authorId="0" shapeId="0">
      <text>
        <r>
          <rPr>
            <b/>
            <sz val="11"/>
            <color indexed="12"/>
            <rFont val="Tahoma"/>
            <family val="2"/>
          </rPr>
          <t>Use for any future receipt of funds, such as from selling a home, receiving an additional inheritance, lottery winnings, gifts, etc. 
A negative amount (cash outflow) can also be entered if needed for additional expenditures.
These are considered non-taxable when received.  If a taxable event is entered, such as a home sale with a gain over the exemption, then deduct the estimated taxes and enter the net amount.</t>
        </r>
      </text>
    </comment>
    <comment ref="I171" authorId="0" shapeId="0">
      <text>
        <r>
          <rPr>
            <b/>
            <sz val="11"/>
            <color indexed="12"/>
            <rFont val="Tahoma"/>
            <family val="2"/>
          </rPr>
          <t>Use for expenditures such as buying a second home (for cash) or an RV, buying into an assisted living facility, making gifts, etc.
A negative amount (cash inflow) can also be entered if additional non-taxable funds are being received.</t>
        </r>
      </text>
    </comment>
    <comment ref="H172" authorId="0" shapeId="0">
      <text>
        <r>
          <rPr>
            <b/>
            <sz val="11"/>
            <color indexed="12"/>
            <rFont val="Tahoma"/>
            <family val="2"/>
          </rPr>
          <t>Any transaction resulting in cash inflow can be entered here but using it for the primary  home sale helps when comparing results to the ORP model.</t>
        </r>
      </text>
    </comment>
    <comment ref="L172" authorId="0" shapeId="0">
      <text>
        <r>
          <rPr>
            <b/>
            <sz val="11"/>
            <color indexed="17"/>
            <rFont val="Tahoma"/>
            <family val="2"/>
          </rPr>
          <t>Useful Calculator</t>
        </r>
        <r>
          <rPr>
            <b/>
            <sz val="11"/>
            <color indexed="12"/>
            <rFont val="Tahoma"/>
            <family val="2"/>
          </rPr>
          <t xml:space="preserve">
Use to determine future values for special events.  The current amount is inflated by the rate entered for the period from Your starting age to the future age entered.
For sales be sure to deduct any selling costs from the future amount.</t>
        </r>
        <r>
          <rPr>
            <sz val="11"/>
            <color indexed="12"/>
            <rFont val="Tahoma"/>
            <family val="2"/>
          </rPr>
          <t xml:space="preserve">
</t>
        </r>
      </text>
    </comment>
    <comment ref="D173" authorId="0" shapeId="0">
      <text>
        <r>
          <rPr>
            <b/>
            <sz val="11"/>
            <color indexed="12"/>
            <rFont val="Tahoma"/>
            <family val="2"/>
          </rPr>
          <t xml:space="preserve">Enter a y to include or an n to exclude each individual event.  
</t>
        </r>
      </text>
    </comment>
    <comment ref="D174" authorId="0" shapeId="0">
      <text>
        <r>
          <rPr>
            <b/>
            <sz val="11"/>
            <color indexed="12"/>
            <rFont val="Tahoma"/>
            <family val="2"/>
          </rPr>
          <t xml:space="preserve">Enter the estimated future value of each event at the age selected. Amounts will be added to or withdrawn from the taxable account.
Use Future Value Calculator to help in determining amounts to enter.
</t>
        </r>
      </text>
    </comment>
    <comment ref="G174" authorId="0" shapeId="0">
      <text>
        <r>
          <rPr>
            <b/>
            <sz val="11"/>
            <color indexed="12"/>
            <rFont val="Tahoma"/>
            <family val="2"/>
          </rPr>
          <t>positive = income
negative = expense</t>
        </r>
      </text>
    </comment>
    <comment ref="H174" authorId="0" shapeId="0">
      <text>
        <r>
          <rPr>
            <b/>
            <sz val="11"/>
            <color indexed="12"/>
            <rFont val="Tahoma"/>
            <family val="2"/>
          </rPr>
          <t>positive = income
negative = expense</t>
        </r>
      </text>
    </comment>
    <comment ref="I174" authorId="0" shapeId="0">
      <text>
        <r>
          <rPr>
            <b/>
            <sz val="11"/>
            <color indexed="12"/>
            <rFont val="Tahoma"/>
            <family val="2"/>
          </rPr>
          <t>positive = expense
negative = income</t>
        </r>
      </text>
    </comment>
    <comment ref="J174" authorId="0" shapeId="0">
      <text>
        <r>
          <rPr>
            <b/>
            <sz val="11"/>
            <color indexed="12"/>
            <rFont val="Tahoma"/>
            <family val="2"/>
          </rPr>
          <t>positive = expense
negative = income</t>
        </r>
      </text>
    </comment>
    <comment ref="M174" authorId="0" shapeId="0">
      <text>
        <r>
          <rPr>
            <b/>
            <sz val="11"/>
            <color indexed="12"/>
            <rFont val="Tahoma"/>
            <family val="2"/>
          </rPr>
          <t>Enter an annual escalation rate to determine the future value.  Use the historic CPI average, or a rate suitable for the asset to be escalated, i.e. homes may be lower or higher.
See the Inflation factor comment for historic inflation rates.</t>
        </r>
      </text>
    </comment>
    <comment ref="D175" authorId="0" shapeId="0">
      <text>
        <r>
          <rPr>
            <b/>
            <sz val="11"/>
            <color indexed="12"/>
            <rFont val="Tahoma"/>
            <family val="2"/>
          </rPr>
          <t>Enter IRAs that will be inherited. These are considered traditional IRAs in the model.
The existing IRAs 1 &amp; 2 earnings rates are used to calculate annual earnings for inherited IRAs 1 &amp; 2, respectively. 
Enter who inherits each IRA (shown below) and the age to start RMD in the Ages and Year Factors section.</t>
        </r>
      </text>
    </comment>
    <comment ref="G175" authorId="0" shapeId="0">
      <text>
        <r>
          <rPr>
            <b/>
            <sz val="11"/>
            <color indexed="12"/>
            <rFont val="Tahoma"/>
            <family val="2"/>
          </rPr>
          <t>Enter descriptions of events in these cells.</t>
        </r>
      </text>
    </comment>
    <comment ref="D176" authorId="0" shapeId="0">
      <text>
        <r>
          <rPr>
            <b/>
            <sz val="11"/>
            <color indexed="12"/>
            <rFont val="Tahoma"/>
            <family val="2"/>
          </rPr>
          <t xml:space="preserve">Inheritances:  Enter Your age or Spouse age, depending upon who is the heir. Enter the heir designation in the Age and Years Factors section.  These designations are used in determining when RMDs start.  </t>
        </r>
        <r>
          <rPr>
            <b/>
            <sz val="11"/>
            <color indexed="10"/>
            <rFont val="Tahoma"/>
            <family val="2"/>
          </rPr>
          <t>This is the only entry that can also use the Spouse's age.  All others use Your age.</t>
        </r>
        <r>
          <rPr>
            <b/>
            <sz val="11"/>
            <color indexed="12"/>
            <rFont val="Tahoma"/>
            <family val="2"/>
          </rPr>
          <t xml:space="preserve">
Asset Sales and Expenditures:  Enter Your age when each event will occur.</t>
        </r>
      </text>
    </comment>
    <comment ref="E177" authorId="0" shapeId="0">
      <text>
        <r>
          <rPr>
            <b/>
            <sz val="11"/>
            <color indexed="12"/>
            <rFont val="Tahoma"/>
            <family val="2"/>
          </rPr>
          <t xml:space="preserve">Beneficiary and year inherited
</t>
        </r>
      </text>
    </comment>
    <comment ref="D179" authorId="0" shapeId="0">
      <text>
        <r>
          <rPr>
            <b/>
            <sz val="11"/>
            <color indexed="12"/>
            <rFont val="Tahoma"/>
            <family val="2"/>
          </rPr>
          <t>Qualified charitable distributions (QCDs) allow individuals to donate to charity as a tax-free IRA distribution.  This model allows two donations to be made from a choice of existing and inherited IRAs over one or more years.
QCDs can be included as part of a Required Minimum Distribution.  You can match the RMD amount or exceed it by scheduling additional IRA withdrawals.</t>
        </r>
        <r>
          <rPr>
            <b/>
            <sz val="11"/>
            <color indexed="10"/>
            <rFont val="Tahoma"/>
            <family val="2"/>
          </rPr>
          <t xml:space="preserve">  You must have enough RMDs and enter enough additional withdrawals such that the QCD is equal to or less than the withdrawal total for each year.</t>
        </r>
        <r>
          <rPr>
            <b/>
            <sz val="11"/>
            <color indexed="12"/>
            <rFont val="Tahoma"/>
            <family val="2"/>
          </rPr>
          <t xml:space="preserve">
There are several restrictions:
    The maximum deductible contribution limit is $100,000 per person per year.
    Distributions must be made directly to the charitable organization.
    The IRA owner must be 70 1/2 or over.
QCDs must come from an individual IRA. A SEP or SIMPLE IRA does not qualify.  
If you file a joint return, your spouse can also have a QCD and exclude up to $100,000. The amount of the QCD is limited to the amount of the distribution that would otherwise be included in income.
If Roth conversions are scheduled IRA 1 will have less funds available for donation.</t>
        </r>
      </text>
    </comment>
    <comment ref="H179" authorId="0" shapeId="0">
      <text>
        <r>
          <rPr>
            <b/>
            <sz val="11"/>
            <color indexed="12"/>
            <rFont val="Tahoma"/>
            <family val="2"/>
          </rPr>
          <t>Total RMD and withdrawals in each IRA for age entered.</t>
        </r>
      </text>
    </comment>
    <comment ref="J179" authorId="0" shapeId="0">
      <text>
        <r>
          <rPr>
            <b/>
            <sz val="11"/>
            <color indexed="12"/>
            <rFont val="Tahoma"/>
            <family val="2"/>
          </rPr>
          <t>RMD in QCD starting year based on Your age.  Unless other withdrawals are made from the IRA, or the account balance decreases (0% earnings rate in this model), the RMD amount will increase each year until the IRA reaches $0.</t>
        </r>
      </text>
    </comment>
    <comment ref="L179" authorId="0" shapeId="0">
      <text>
        <r>
          <rPr>
            <b/>
            <sz val="11"/>
            <color indexed="12"/>
            <rFont val="Tahoma"/>
            <family val="2"/>
          </rPr>
          <t>IRA withdrawals for each IRA in first donation year.  These withdrawals are available for QCD donations, but user must insure that adequate withdrawals are always available for the entire donation period.</t>
        </r>
      </text>
    </comment>
    <comment ref="C180" authorId="0" shapeId="0">
      <text>
        <r>
          <rPr>
            <b/>
            <sz val="11"/>
            <color indexed="12"/>
            <rFont val="Tahoma"/>
            <family val="2"/>
          </rPr>
          <t xml:space="preserve">Choose if QCD expenditures will be included in model.
y - include
n - exclude </t>
        </r>
      </text>
    </comment>
    <comment ref="D181" authorId="0" shapeId="0">
      <text>
        <r>
          <rPr>
            <b/>
            <sz val="11"/>
            <color indexed="12"/>
            <rFont val="Tahoma"/>
            <family val="2"/>
          </rPr>
          <t xml:space="preserve">Select the IRA account that will be the source of the QCD.
Source of donation:
i1 (IRA 1) or 
i2 (IRA 2) or
h1 (Inherited IRA 1) or
h2 (Inherited IRA 2) 
</t>
        </r>
      </text>
    </comment>
    <comment ref="J181" authorId="0" shapeId="0">
      <text>
        <r>
          <rPr>
            <b/>
            <sz val="11"/>
            <color indexed="12"/>
            <rFont val="Tahoma"/>
            <family val="2"/>
          </rPr>
          <t>IRA 1 RMD</t>
        </r>
      </text>
    </comment>
    <comment ref="L181" authorId="0" shapeId="0">
      <text>
        <r>
          <rPr>
            <b/>
            <sz val="11"/>
            <color indexed="12"/>
            <rFont val="Tahoma"/>
            <family val="2"/>
          </rPr>
          <t>IRA 1 Withdrawals #1
+
IRA 1 withdrawals - automatic</t>
        </r>
      </text>
    </comment>
    <comment ref="D182" authorId="0" shapeId="0">
      <text>
        <r>
          <rPr>
            <b/>
            <sz val="11"/>
            <color indexed="12"/>
            <rFont val="Tahoma"/>
            <family val="2"/>
          </rPr>
          <t>Enter Your age when each QCD donation is to start.
For inherited IRAs the age must be after the inheritance.</t>
        </r>
      </text>
    </comment>
    <comment ref="J182" authorId="0" shapeId="0">
      <text>
        <r>
          <rPr>
            <b/>
            <sz val="11"/>
            <color indexed="12"/>
            <rFont val="Tahoma"/>
            <family val="2"/>
          </rPr>
          <t>IRA 2 RMD</t>
        </r>
      </text>
    </comment>
    <comment ref="L182" authorId="0" shapeId="0">
      <text>
        <r>
          <rPr>
            <b/>
            <sz val="11"/>
            <color indexed="12"/>
            <rFont val="Tahoma"/>
            <family val="2"/>
          </rPr>
          <t>IRA 2 Withdrawals #1
+
IRA 2 withdrawals - automatic</t>
        </r>
      </text>
    </comment>
    <comment ref="D183" authorId="0" shapeId="0">
      <text>
        <r>
          <rPr>
            <b/>
            <sz val="11"/>
            <color indexed="12"/>
            <rFont val="Tahoma"/>
            <family val="2"/>
          </rPr>
          <t xml:space="preserve">Funds available in first year based on Your age entered.  Note that entered IRA distributions may impact future years.  
</t>
        </r>
        <r>
          <rPr>
            <b/>
            <sz val="11"/>
            <color indexed="10"/>
            <rFont val="Tahoma"/>
            <family val="2"/>
          </rPr>
          <t xml:space="preserve">User must make sure that adequate IRA distributions are available in all years to meet the QCD amount. </t>
        </r>
      </text>
    </comment>
    <comment ref="J183" authorId="0" shapeId="0">
      <text>
        <r>
          <rPr>
            <b/>
            <sz val="11"/>
            <color indexed="12"/>
            <rFont val="Tahoma"/>
            <family val="2"/>
          </rPr>
          <t>Inherited IRA 1 RMD</t>
        </r>
      </text>
    </comment>
    <comment ref="L183" authorId="0" shapeId="0">
      <text>
        <r>
          <rPr>
            <b/>
            <sz val="11"/>
            <color indexed="12"/>
            <rFont val="Tahoma"/>
            <family val="2"/>
          </rPr>
          <t>Inherited IRA 1 RMD
+
Inherited IRA 1 - Automatic</t>
        </r>
      </text>
    </comment>
    <comment ref="D184" authorId="0" shapeId="0">
      <text>
        <r>
          <rPr>
            <b/>
            <sz val="11"/>
            <color indexed="12"/>
            <rFont val="Tahoma"/>
            <family val="2"/>
          </rPr>
          <t xml:space="preserve">Donation amount. </t>
        </r>
        <r>
          <rPr>
            <b/>
            <sz val="11"/>
            <color indexed="10"/>
            <rFont val="Tahoma"/>
            <family val="2"/>
          </rPr>
          <t xml:space="preserve"> Alert:</t>
        </r>
        <r>
          <rPr>
            <b/>
            <sz val="11"/>
            <color indexed="12"/>
            <rFont val="Tahoma"/>
            <family val="2"/>
          </rPr>
          <t xml:space="preserve"> This is the amount than is shown as a credit on the Fed income tax calculation of Adjusted Gross Income.  It is NOT the amount deducted from the IRAs.  You must have sufficient withdrawals to fund the QCD.</t>
        </r>
      </text>
    </comment>
    <comment ref="J184" authorId="0" shapeId="0">
      <text>
        <r>
          <rPr>
            <b/>
            <sz val="11"/>
            <color indexed="12"/>
            <rFont val="Tahoma"/>
            <family val="2"/>
          </rPr>
          <t>Inherited IRA 2 RMD</t>
        </r>
      </text>
    </comment>
    <comment ref="L184" authorId="0" shapeId="0">
      <text>
        <r>
          <rPr>
            <b/>
            <sz val="11"/>
            <color indexed="12"/>
            <rFont val="Tahoma"/>
            <family val="2"/>
          </rPr>
          <t>Inherited IRA 2 RMD
+
Inherited IRA 2 - Automatic</t>
        </r>
      </text>
    </comment>
    <comment ref="D185" authorId="0" shapeId="0">
      <text>
        <r>
          <rPr>
            <b/>
            <sz val="11"/>
            <color indexed="12"/>
            <rFont val="Tahoma"/>
            <family val="2"/>
          </rPr>
          <t>Number of years to donate the QCD amount.  Must not exceed the positive balance life of the IRA.</t>
        </r>
      </text>
    </comment>
    <comment ref="G186" authorId="0" shapeId="0">
      <text>
        <r>
          <rPr>
            <b/>
            <sz val="11"/>
            <color indexed="12"/>
            <rFont val="Tahoma"/>
            <family val="2"/>
          </rPr>
          <t>Funds check - should be 0.
Monthly total IRA withdrawals and RMDs are compared to the monthly QCD donations and any negative months are totaled here.</t>
        </r>
      </text>
    </comment>
    <comment ref="A189" authorId="0" shapeId="0">
      <text>
        <r>
          <rPr>
            <b/>
            <sz val="11"/>
            <color indexed="12"/>
            <rFont val="Tahoma"/>
            <family val="2"/>
          </rPr>
          <t xml:space="preserve">George and Martha file as married filing jointly.  Based on the year entered when Martha's SS benefits will end and she assumes George's higher benefits upon his death, they enter that same year for the start of the single income tax rate for Martha.  
They plan on using itemized deductions for a few years, switching to standard when George is 68. 
They expect a portion of their taxable account's earnings will consist of mutual fund appreciation and lower taxed dividends and capital gains.  To approximate the lower resulting taxable income, they enter 60% as the amount of taxable earnings to be excluded from AGI.
They could use a simple percentage for their current state's rates but decide to use the brackets for a more accurate forecast.  They may move to the state where their children live when George is 84, so have entered that state's rate data and the estimated move year for the model to start using in that year.
</t>
        </r>
      </text>
    </comment>
    <comment ref="D189" authorId="0" shapeId="0">
      <text>
        <r>
          <rPr>
            <b/>
            <sz val="11"/>
            <color indexed="12"/>
            <rFont val="Tahoma"/>
            <family val="2"/>
          </rPr>
          <t>Enter Federal and state income tax calculation factors and settings here.
This model uses the actual current year Federal rates, brackets and deduction factors, which are escalated at the historic rate to forecast future years.
The model does not model more detailed tax situations, such as AMT, foreign income, dividend and capital gain tax rates, tax-exempt interest, exemption and deduction phase-outs, or other targeted tax provisions.  
Also not modeled are the capital gains on the sale of taxable account assets needed to meet yearly spending needs, likely understating tax expenses in those years.</t>
        </r>
      </text>
    </comment>
    <comment ref="R190" authorId="0" shapeId="0">
      <text>
        <r>
          <rPr>
            <b/>
            <sz val="11"/>
            <color indexed="17"/>
            <rFont val="Tahoma"/>
            <family val="2"/>
          </rPr>
          <t xml:space="preserve">Federal income tax estimator
</t>
        </r>
        <r>
          <rPr>
            <b/>
            <sz val="11"/>
            <color indexed="12"/>
            <rFont val="Tahoma"/>
            <family val="2"/>
          </rPr>
          <t xml:space="preserve">
Enter current year income data to see an approximation of Federal income taxes.</t>
        </r>
        <r>
          <rPr>
            <b/>
            <sz val="10"/>
            <color indexed="81"/>
            <rFont val="Tahoma"/>
            <family val="2"/>
          </rPr>
          <t xml:space="preserve">
</t>
        </r>
        <r>
          <rPr>
            <b/>
            <sz val="11"/>
            <color indexed="12"/>
            <rFont val="Tahoma"/>
            <family val="2"/>
          </rPr>
          <t>Select either the current or previous tax year.  Enter your data which is limited to major factors.  
RPM model results are also shown to the right  for verifying that modeled Federal taxes for the first year are similar to the results from this calculator.
This is a simple tax calculation and doesn't include every tax factor or calculation.</t>
        </r>
      </text>
    </comment>
    <comment ref="G191" authorId="0" shapeId="0">
      <text>
        <r>
          <rPr>
            <b/>
            <sz val="11"/>
            <color indexed="12"/>
            <rFont val="Tahoma"/>
            <family val="2"/>
          </rPr>
          <t>Exemptions have been eliminated for Federal taxes effective in the 2018 tax year.  
Any additional exemptions added here will have no impact on tax calculations.</t>
        </r>
      </text>
    </comment>
    <comment ref="H191" authorId="0" shapeId="0">
      <text>
        <r>
          <rPr>
            <b/>
            <sz val="11"/>
            <color indexed="12"/>
            <rFont val="Tahoma"/>
            <family val="2"/>
          </rPr>
          <t>Additional personal exemptions can be added to the normal 1 or 2 that are automatically used based on filing status.
Additional exemptions not used in state tax calculation.</t>
        </r>
      </text>
    </comment>
    <comment ref="U191" authorId="0" shapeId="0">
      <text>
        <r>
          <rPr>
            <b/>
            <sz val="11"/>
            <color indexed="12"/>
            <rFont val="Tahoma"/>
            <family val="2"/>
          </rPr>
          <t>Enter current or previous year.</t>
        </r>
      </text>
    </comment>
    <comment ref="V191" authorId="0" shapeId="0">
      <text>
        <r>
          <rPr>
            <b/>
            <sz val="11"/>
            <color indexed="12"/>
            <rFont val="Tahoma"/>
            <family val="2"/>
          </rPr>
          <t>Tax return line numbers for previous year's return.</t>
        </r>
      </text>
    </comment>
    <comment ref="X191" authorId="0" shapeId="0">
      <text>
        <r>
          <rPr>
            <b/>
            <sz val="11"/>
            <color indexed="12"/>
            <rFont val="Tahoma"/>
            <family val="2"/>
          </rPr>
          <t>RPM tax factors, if in the model, for the first year.  Use this to confirm the model is calculating taxes reasonably correct.</t>
        </r>
      </text>
    </comment>
    <comment ref="D192" authorId="0" shapeId="0">
      <text>
        <r>
          <rPr>
            <b/>
            <sz val="11"/>
            <color indexed="12"/>
            <rFont val="Tahoma"/>
            <family val="2"/>
          </rPr>
          <t xml:space="preserve">Enter filing status:
m - married/filing jointly
s - single
No other status is available.
</t>
        </r>
      </text>
    </comment>
    <comment ref="G192" authorId="0" shapeId="0">
      <text>
        <r>
          <rPr>
            <b/>
            <sz val="11"/>
            <color indexed="12"/>
            <rFont val="Tahoma"/>
            <family val="2"/>
          </rPr>
          <t xml:space="preserve">Enter a number (can be negative)  with associated starting and ending year (your age). 
Enter 0 to </t>
        </r>
      </text>
    </comment>
    <comment ref="N192" authorId="0" shapeId="0">
      <text>
        <r>
          <rPr>
            <b/>
            <sz val="11"/>
            <color indexed="12"/>
            <rFont val="Tahoma"/>
            <family val="2"/>
          </rPr>
          <t xml:space="preserve">Select a year to see a summary of the taxable income calculation and total income and expenses for that year.
</t>
        </r>
      </text>
    </comment>
    <comment ref="P192" authorId="0" shapeId="0">
      <text>
        <r>
          <rPr>
            <b/>
            <sz val="11"/>
            <color indexed="12"/>
            <rFont val="Tahoma"/>
            <family val="2"/>
          </rPr>
          <t>Enter model year to view.</t>
        </r>
      </text>
    </comment>
    <comment ref="D193" authorId="0" shapeId="0">
      <text>
        <r>
          <rPr>
            <b/>
            <sz val="11"/>
            <color indexed="12"/>
            <rFont val="Tahoma"/>
            <family val="2"/>
          </rPr>
          <t xml:space="preserve">The year single filing status starts, if married is the starting status, and the death of a spouse is entered in the Ages and Years Factors (you or spouse End Age).  Tax calculations will begin using single status starting in the year shown.
This change does not occur in the state tax calculation.
Use the field below to override this start year for any reason.
</t>
        </r>
      </text>
    </comment>
    <comment ref="G193" authorId="0" shapeId="0">
      <text>
        <r>
          <rPr>
            <b/>
            <sz val="11"/>
            <color indexed="12"/>
            <rFont val="Tahoma"/>
            <family val="2"/>
          </rPr>
          <t>Enter Your age in the first year of additional exemptions.</t>
        </r>
      </text>
    </comment>
    <comment ref="D194" authorId="0" shapeId="0">
      <text>
        <r>
          <rPr>
            <b/>
            <sz val="11"/>
            <color indexed="12"/>
            <rFont val="Tahoma"/>
            <family val="2"/>
          </rPr>
          <t>Enter a year to override the calculated single rate start year shown above.</t>
        </r>
      </text>
    </comment>
    <comment ref="G194" authorId="0" shapeId="0">
      <text>
        <r>
          <rPr>
            <b/>
            <sz val="11"/>
            <color indexed="12"/>
            <rFont val="Tahoma"/>
            <family val="2"/>
          </rPr>
          <t>Enter Your age in the last  year of additional exemptions</t>
        </r>
      </text>
    </comment>
    <comment ref="O195" authorId="0" shapeId="0">
      <text>
        <r>
          <rPr>
            <b/>
            <sz val="11"/>
            <color indexed="12"/>
            <rFont val="Tahoma"/>
            <family val="2"/>
          </rPr>
          <t>Unrealized appreciation included in the taxable account earnings is not taxable.  Also, qualified dividends and capital gains are taxed at other than the marginal rate. 
The factor entered in the Income Taxes section is used to calculate this amount.</t>
        </r>
      </text>
    </comment>
    <comment ref="S195" authorId="0" shapeId="0">
      <text>
        <r>
          <rPr>
            <b/>
            <sz val="11"/>
            <color indexed="12"/>
            <rFont val="Tahoma"/>
            <family val="2"/>
          </rPr>
          <t>Not in Total Income or AGI but included in determining taxable SS benefits.</t>
        </r>
      </text>
    </comment>
    <comment ref="H196" authorId="0" shapeId="0">
      <text>
        <r>
          <rPr>
            <b/>
            <sz val="11"/>
            <color indexed="12"/>
            <rFont val="Tahoma"/>
            <family val="2"/>
          </rPr>
          <t>Yearly adjustments to the tax calculations can be made on the Details page. Use this to supplement or correct the model's calculation of AGI or MAGI.</t>
        </r>
      </text>
    </comment>
    <comment ref="S196" authorId="0" shapeId="0">
      <text>
        <r>
          <rPr>
            <b/>
            <sz val="11"/>
            <color indexed="12"/>
            <rFont val="Tahoma"/>
            <family val="2"/>
          </rPr>
          <t>Include Qualified Dividends entered below.</t>
        </r>
      </text>
    </comment>
    <comment ref="D197" authorId="0" shapeId="0">
      <text>
        <r>
          <rPr>
            <b/>
            <sz val="11"/>
            <color indexed="12"/>
            <rFont val="Tahoma"/>
            <family val="2"/>
          </rPr>
          <t xml:space="preserve">Enter an amount to use instead of the standard deduction starting in the first model year.  
</t>
        </r>
        <r>
          <rPr>
            <b/>
            <sz val="11"/>
            <color indexed="10"/>
            <rFont val="Tahoma"/>
            <family val="2"/>
          </rPr>
          <t xml:space="preserve">Enter 0 or delete to use the standard deduction in all years.  
</t>
        </r>
        <r>
          <rPr>
            <sz val="11"/>
            <color indexed="12"/>
            <rFont val="Tahoma"/>
            <family val="2"/>
          </rPr>
          <t xml:space="preserve">
</t>
        </r>
      </text>
    </comment>
    <comment ref="G197" authorId="0" shapeId="0">
      <text>
        <r>
          <rPr>
            <b/>
            <sz val="11"/>
            <color indexed="12"/>
            <rFont val="Tahoma"/>
            <family val="2"/>
          </rPr>
          <t xml:space="preserve">Go to the line in the Adjusted Gross Income calculation on the Details page to manually  enter adjustments directly into the AGI calculation for any years of the forecast period.
Adjustments examples: additional taxable income, capital gain taxes on the sale of taxable account assets, tax credits, 401k RMD that are non-taxable, etc.
Macros used:
AGI_Full
</t>
        </r>
      </text>
    </comment>
    <comment ref="S197" authorId="0" shapeId="0">
      <text>
        <r>
          <rPr>
            <b/>
            <sz val="11"/>
            <color indexed="12"/>
            <rFont val="Tahoma"/>
            <family val="2"/>
          </rPr>
          <t>Not in Total Income or AGI but taxes are calculated and included in Total Federal Taxes.
Rates: 0%, 15% and 20%.</t>
        </r>
      </text>
    </comment>
    <comment ref="D198" authorId="0" shapeId="0">
      <text>
        <r>
          <rPr>
            <b/>
            <sz val="11"/>
            <color indexed="12"/>
            <rFont val="Tahoma"/>
            <family val="2"/>
          </rPr>
          <t>Enter a percentage to increase or decrease (-) the itemized deduction amount each year.</t>
        </r>
        <r>
          <rPr>
            <sz val="11"/>
            <color indexed="12"/>
            <rFont val="Tahoma"/>
            <family val="2"/>
          </rPr>
          <t xml:space="preserve">
</t>
        </r>
      </text>
    </comment>
    <comment ref="G198" authorId="0" shapeId="0">
      <text>
        <r>
          <rPr>
            <b/>
            <sz val="11"/>
            <color indexed="12"/>
            <rFont val="Tahoma"/>
            <family val="2"/>
          </rPr>
          <t xml:space="preserve">Go to the line in the Modified  Adjusted Gross Income calculation on the Details page to manually enter yearly Excluded Foreign Income or other adjustments to MAGI .
Macros used:
MAGI_Full
</t>
        </r>
      </text>
    </comment>
    <comment ref="O198" authorId="0" shapeId="0">
      <text>
        <r>
          <rPr>
            <b/>
            <sz val="11"/>
            <color indexed="12"/>
            <rFont val="Tahoma"/>
            <family val="2"/>
          </rPr>
          <t xml:space="preserve">Wages, pensions, other misc income, SPIA income less exclusion, IRA withdrawals including conversions.
</t>
        </r>
      </text>
    </comment>
    <comment ref="D199" authorId="0" shapeId="0">
      <text>
        <r>
          <rPr>
            <b/>
            <sz val="11"/>
            <color indexed="12"/>
            <rFont val="Tahoma"/>
            <family val="2"/>
          </rPr>
          <t xml:space="preserve">Enter your age for the last itemized deduction year.  The standard deduction will be used in the remaining years.
Delete age to use itemized for the entire model period.  </t>
        </r>
        <r>
          <rPr>
            <sz val="11"/>
            <color indexed="12"/>
            <rFont val="Tahoma"/>
            <family val="2"/>
          </rPr>
          <t xml:space="preserve">
</t>
        </r>
        <r>
          <rPr>
            <sz val="10"/>
            <color indexed="81"/>
            <rFont val="Tahoma"/>
            <family val="2"/>
          </rPr>
          <t xml:space="preserve">
</t>
        </r>
      </text>
    </comment>
    <comment ref="S199" authorId="0" shapeId="0">
      <text>
        <r>
          <rPr>
            <b/>
            <sz val="11"/>
            <color indexed="12"/>
            <rFont val="Tahoma"/>
            <family val="2"/>
          </rPr>
          <t>Capital gain distributions and net short term gains and losses.</t>
        </r>
      </text>
    </comment>
    <comment ref="V199" authorId="0" shapeId="0">
      <text>
        <r>
          <rPr>
            <b/>
            <sz val="11"/>
            <color indexed="12"/>
            <rFont val="Tahoma"/>
            <family val="2"/>
          </rPr>
          <t>Shown on 1040 in Capital Gain or Loss line 13 along with Long Term gains/losses, or line 10 in 1040A.  Separated for this calculator.  
Shown on line 7 in Schedule D.</t>
        </r>
      </text>
    </comment>
    <comment ref="B200" authorId="0" shapeId="0">
      <text>
        <r>
          <rPr>
            <b/>
            <sz val="11"/>
            <color indexed="12"/>
            <rFont val="Tahoma"/>
            <family val="2"/>
          </rPr>
          <t>This is an improvement to the previous Taxable account tax adjustment.  This adds a deduction to distributed earnings for qualified dividends and LTCGs which should not be taxed at the margibal rate.</t>
        </r>
      </text>
    </comment>
    <comment ref="S200" authorId="0" shapeId="0">
      <text>
        <r>
          <rPr>
            <b/>
            <sz val="11"/>
            <color indexed="12"/>
            <rFont val="Tahoma"/>
            <family val="2"/>
          </rPr>
          <t>Net long-term capital gains or (losses) and LT capital gain distributions.
If a net loss, enter up to a negative $3,000.</t>
        </r>
      </text>
    </comment>
    <comment ref="U200" authorId="0" shapeId="0">
      <text>
        <r>
          <rPr>
            <b/>
            <sz val="11"/>
            <color indexed="12"/>
            <rFont val="Tahoma"/>
            <family val="2"/>
          </rPr>
          <t xml:space="preserve">Enter as a  positive or negative number.
</t>
        </r>
      </text>
    </comment>
    <comment ref="V200" authorId="0" shapeId="0">
      <text>
        <r>
          <rPr>
            <b/>
            <sz val="11"/>
            <color indexed="12"/>
            <rFont val="Tahoma"/>
            <family val="2"/>
          </rPr>
          <t>Shown on 1040 in Capital Gain or Loss line 13 along with Short Term gains/losses, or line 10 in 1040A.  Separated for this calculator.  
Shown on line 15 in Schedule D.</t>
        </r>
      </text>
    </comment>
    <comment ref="D201" authorId="0" shapeId="0">
      <text>
        <r>
          <rPr>
            <b/>
            <sz val="11"/>
            <color indexed="12"/>
            <rFont val="Tahoma"/>
            <family val="2"/>
          </rPr>
          <t xml:space="preserve">The annual earnings of the taxable account includes asset appreciation plus distributed interest, ordinary and qualified dividends and short and long-term capital gains.  Not all of these elements are taxable.
The factors in this section are designed to reduce the taxable account earnings by an estimate you make of the non-taxable and lower-rate taxable items.
Instructions for each entry are in the descriptions' cell comments.
</t>
        </r>
      </text>
    </comment>
    <comment ref="F201" authorId="0" shapeId="0">
      <text>
        <r>
          <rPr>
            <b/>
            <sz val="11"/>
            <color indexed="12"/>
            <rFont val="Tahoma"/>
            <family val="2"/>
          </rPr>
          <t>Insert alternative amounts here to override the model's current year Taxable account amounts shown on the left to determine "net yearly growth".
You might want to use these if you have actual Taxable account amounts from a recent year which better represents your taxable account earnings.
These amounts are used to calculate the percentages shown below, which are used to calculate the adjustment for all futre years.</t>
        </r>
      </text>
    </comment>
    <comment ref="S201" authorId="0" shapeId="0">
      <text>
        <r>
          <rPr>
            <b/>
            <sz val="11"/>
            <color indexed="12"/>
            <rFont val="Tahoma"/>
            <family val="2"/>
          </rPr>
          <t>Net of Qualified Charitable Distributions</t>
        </r>
      </text>
    </comment>
    <comment ref="D202" authorId="0" shapeId="0">
      <text>
        <r>
          <rPr>
            <b/>
            <sz val="11"/>
            <color indexed="12"/>
            <rFont val="Tahoma"/>
            <family val="2"/>
          </rPr>
          <t xml:space="preserve">The amount calculated by model for the first year Taxable account growth is shown and used when the Alternative setting is set to 0 or blank.
Enter an Alternative amount to use a better amount, perhaps your prior year actual amount, in the adjustment calculation.
</t>
        </r>
      </text>
    </comment>
    <comment ref="D203" authorId="0" shapeId="0">
      <text>
        <r>
          <rPr>
            <b/>
            <sz val="11"/>
            <color indexed="12"/>
            <rFont val="Tahoma"/>
            <family val="2"/>
          </rPr>
          <t xml:space="preserve">The amount calculated by model for the first year Taxable account tax-exempt earnings is shown and used when the Alternative setting is set to 0 or blank.
Enter an Alternative amount to use a better amount, perhaps your prior year actual amount, in the adjustment calculation.
The tax exempt investment percentage is set in the Return Rates and Allocation section.  The current percentage is shown in this setting's title.
Tax exempt earnings are automatically deducted from taxable account earnings to determine taxable income.
</t>
        </r>
      </text>
    </comment>
    <comment ref="S203" authorId="0" shapeId="0">
      <text>
        <r>
          <rPr>
            <b/>
            <sz val="11"/>
            <color indexed="12"/>
            <rFont val="Tahoma"/>
            <family val="2"/>
          </rPr>
          <t>Not in Total Income or AGI.</t>
        </r>
      </text>
    </comment>
    <comment ref="D205" authorId="0" shapeId="0">
      <text>
        <r>
          <rPr>
            <b/>
            <sz val="11"/>
            <color indexed="12"/>
            <rFont val="Tahoma"/>
            <family val="2"/>
          </rPr>
          <t>Enter an estimate of how much of the net yearly growth, as shown above,  will be distributed for the year as interest, dividends, qualified dividends and short and long term capital gains.
This will create the rate shown to the right that will be used in all model years.
NOTE: The amount shown in the example data for 2019 is 40% of the taxable account, the same as used in the 2018 model example data.
Dividends and short-term capital gains on stock investments are taxed at your marginal tax rate. 
Qualified dividends and long-term capital gains, as of 2018, are taxed at 0% for the lowest two tax brackets, 15% for the next three higher brackets, and 20% in the two highest.</t>
        </r>
      </text>
    </comment>
    <comment ref="F205" authorId="0" shapeId="0">
      <text>
        <r>
          <rPr>
            <b/>
            <sz val="11"/>
            <color indexed="12"/>
            <rFont val="Tahoma"/>
            <family val="2"/>
          </rPr>
          <t>Percent of net yearly growth distributed which is income.  This includes interest, dividends and capital gains.  This rate will be used in all model years.</t>
        </r>
      </text>
    </comment>
    <comment ref="D206" authorId="0" shapeId="0">
      <text>
        <r>
          <rPr>
            <b/>
            <sz val="11"/>
            <color indexed="12"/>
            <rFont val="Tahoma"/>
            <family val="2"/>
          </rPr>
          <t>Enter an estimate of how much of the distributed income entered above are Qualified Dividends and Long-Term Capital Gains.  While a portion of these may be taxed on your Federal return, the rates are below the marginal rates, so for modeling purposes and simplicity they are excluded from taxable Federal income.
This will create the rate shown to the right that will be used in all model years.
For the Example data in 2019 the estimated distributed earnings, interest, dividends and short and long term capital gains, are $2,700.  The estimate of how much of that is qualified dividends and long-term capital gains is $2,000.
NOTE: The amount entered here will result in a better estimate of taxable income when compared to previous RPM versions.</t>
        </r>
      </text>
    </comment>
    <comment ref="F206" authorId="0" shapeId="0">
      <text>
        <r>
          <rPr>
            <b/>
            <sz val="11"/>
            <color indexed="12"/>
            <rFont val="Tahoma"/>
            <family val="2"/>
          </rPr>
          <t>Percent of net yearly growth to be excluded from Federal taxable income.  This rate will be used in all model years.</t>
        </r>
      </text>
    </comment>
    <comment ref="S207" authorId="0" shapeId="0">
      <text>
        <r>
          <rPr>
            <b/>
            <sz val="11"/>
            <color indexed="12"/>
            <rFont val="Tahoma"/>
            <family val="2"/>
          </rPr>
          <t>1040 line 36: lines23-35: alimony, education expenses, IRA deduction, moving expenses, etc.</t>
        </r>
      </text>
    </comment>
    <comment ref="U207" authorId="0" shapeId="0">
      <text>
        <r>
          <rPr>
            <b/>
            <sz val="11"/>
            <color indexed="12"/>
            <rFont val="Tahoma"/>
            <family val="2"/>
          </rPr>
          <t xml:space="preserve">Enter as a  positive number.
</t>
        </r>
      </text>
    </comment>
    <comment ref="D208" authorId="0" shapeId="0">
      <text>
        <r>
          <rPr>
            <b/>
            <sz val="11"/>
            <color indexed="12"/>
            <rFont val="Tahoma"/>
            <family val="2"/>
          </rPr>
          <t xml:space="preserve">Enter rates and choices to approximate your state's income tax.  These choices apply to both cases.  Note: the change from married to single rates used in the Federal tax calculation is not available in the current state tax calculation but exemptions and deductions are reduced in the single rate year.
Two methods are available for forecasting state income tax for your current state and a future state if a move is planned.  
</t>
        </r>
        <r>
          <rPr>
            <b/>
            <sz val="11"/>
            <color indexed="17"/>
            <rFont val="Tahoma"/>
            <family val="2"/>
          </rPr>
          <t>Simple:</t>
        </r>
        <r>
          <rPr>
            <b/>
            <sz val="11"/>
            <color indexed="12"/>
            <rFont val="Tahoma"/>
            <family val="2"/>
          </rPr>
          <t xml:space="preserve"> A percentage of state Adjusted Gross Income is used to approximate your state income tax.  State AGI is Federal AGI adjusted for how SS benefits and Pension 1 income are taxed in the state.
</t>
        </r>
        <r>
          <rPr>
            <b/>
            <sz val="11"/>
            <color indexed="17"/>
            <rFont val="Tahoma"/>
            <family val="2"/>
          </rPr>
          <t>Detailed:</t>
        </r>
        <r>
          <rPr>
            <b/>
            <sz val="11"/>
            <color indexed="12"/>
            <rFont val="Tahoma"/>
            <family val="2"/>
          </rPr>
          <t xml:space="preserve"> Tax rates and brackets (limited to three) along with personal exemptions and standard deductions amounts are used to calculate income taxes. These are applied to the state AGI amount.
Tip: Use this method with a single rate to possibly get a better estimate of state taxes.
</t>
        </r>
        <r>
          <rPr>
            <b/>
            <sz val="11"/>
            <color indexed="17"/>
            <rFont val="Tahoma"/>
            <family val="2"/>
          </rPr>
          <t>Default:</t>
        </r>
        <r>
          <rPr>
            <b/>
            <sz val="11"/>
            <color indexed="12"/>
            <rFont val="Tahoma"/>
            <family val="2"/>
          </rPr>
          <t xml:space="preserve"> percent method at 1%</t>
        </r>
      </text>
    </comment>
    <comment ref="H208" authorId="0" shapeId="0">
      <text>
        <r>
          <rPr>
            <b/>
            <sz val="11"/>
            <color indexed="12"/>
            <rFont val="Tahoma"/>
            <family val="2"/>
          </rPr>
          <t xml:space="preserve">Yearly adjustments to your Adjusted Gross Income for the state tax calculation can be made on the Details page.  Use this to supplement or adjust the model's calculation of state AGI.
Go to the line in the state Adjusted Gross Income calculation on the Details page to manually  enter adjustments directly into the state AGI calculation for any years of the forecast period.
Adjustments examples: additional taxable income, capital gain taxes on the sale of taxable account assets, tax credits, 401k RMD that are non-taxable, contributions to 529 accounts, etc.
Macros used:
AGI_State
</t>
        </r>
      </text>
    </comment>
    <comment ref="D209" authorId="0" shapeId="0">
      <text>
        <r>
          <rPr>
            <b/>
            <sz val="11"/>
            <color indexed="12"/>
            <rFont val="Tahoma"/>
            <family val="2"/>
          </rPr>
          <t>Select 'percent' to use a percent of state AGI income for state taxes.
Select  'bracket' to use the more accurate rates, brackets, standard deduction and exemption factors method.</t>
        </r>
      </text>
    </comment>
    <comment ref="G209" authorId="0" shapeId="0">
      <text>
        <r>
          <rPr>
            <b/>
            <sz val="11"/>
            <color indexed="12"/>
            <rFont val="Tahoma"/>
            <family val="2"/>
          </rPr>
          <t>Total adjustments to the state Adjusted Gross Income on the Details page.</t>
        </r>
      </text>
    </comment>
    <comment ref="O209" authorId="0" shapeId="0">
      <text>
        <r>
          <rPr>
            <b/>
            <sz val="11"/>
            <color indexed="12"/>
            <rFont val="Tahoma"/>
            <family val="2"/>
          </rPr>
          <t xml:space="preserve">Earnings in all accounts and from all sources, including  Taxable (net with adjustment), traditional IRAs.  pensions, SS benefits, annuities, and other income.
</t>
        </r>
      </text>
    </comment>
    <comment ref="U210" authorId="0" shapeId="0">
      <text>
        <r>
          <rPr>
            <b/>
            <sz val="11"/>
            <color indexed="12"/>
            <rFont val="Tahoma"/>
            <family val="2"/>
          </rPr>
          <t xml:space="preserve">Enter either your itemized deductions or the standard deduction.
2019:
Individual $12,200 (+1,650 if 65+)
Married: $24,400 (+$1,300/ea if 65+)
2018:
Individual $12,000 (+1,600 if 65+)
Married: $24,000 (+$1,300/ea if 65+)
2017:
Individual $6,350 (+1,550 if 65+)
Married: $12,700 (+1,250/ea if 65+)
Enter as a  positive number.
</t>
        </r>
      </text>
    </comment>
    <comment ref="D211" authorId="0" shapeId="0">
      <text>
        <r>
          <rPr>
            <b/>
            <sz val="11"/>
            <color indexed="12"/>
            <rFont val="Tahoma"/>
            <family val="2"/>
          </rPr>
          <t>Enter a percentage to be multiplied by the model's calculated and adjusted state Adjusted Gross Income to estimate your state income tax.  This is intended to provide an approximate amount of this tax expense.
If you plan to move to another state, enter its rate in the next cell along with Your age when the move will occur and the new rate start.</t>
        </r>
        <r>
          <rPr>
            <sz val="11"/>
            <color indexed="12"/>
            <rFont val="Tahoma"/>
            <family val="2"/>
          </rPr>
          <t xml:space="preserve">
</t>
        </r>
      </text>
    </comment>
    <comment ref="U211" authorId="0" shapeId="0">
      <text>
        <r>
          <rPr>
            <b/>
            <sz val="11"/>
            <color indexed="12"/>
            <rFont val="Tahoma"/>
            <family val="2"/>
          </rPr>
          <t xml:space="preserve">Enter your personal exemptions amount.
2018-2019:
Individual $0
Married: $0
2017:
Individual $4,050
Married: $8,100
Enter as a  positive number.
</t>
        </r>
      </text>
    </comment>
    <comment ref="H212" authorId="0" shapeId="0">
      <text>
        <r>
          <rPr>
            <b/>
            <sz val="11"/>
            <color indexed="12"/>
            <rFont val="Tahoma"/>
            <family val="2"/>
          </rPr>
          <t>Enter Your age when you move to a new state.  The new rate applies starting in this year.
Delete age to not use the new state rate.</t>
        </r>
        <r>
          <rPr>
            <sz val="11"/>
            <color indexed="12"/>
            <rFont val="Tahoma"/>
            <family val="2"/>
          </rPr>
          <t xml:space="preserve">
</t>
        </r>
      </text>
    </comment>
    <comment ref="D213" authorId="0" shapeId="0">
      <text>
        <r>
          <rPr>
            <b/>
            <sz val="11"/>
            <color indexed="12"/>
            <rFont val="Tahoma"/>
            <family val="2"/>
          </rPr>
          <t>Enter 'n' to exclude SS benefits from state tax.   Enter 'y' to include taxable SS benefits in the AGI for calculating state taxes.  This adjustment to AGI applies to both the simple percent method and the bracket method
States broadly fall into four categories when it comes to taxing SS benefits:
(1) states that fully exempt Social Security benefits from their state income tax - 28 states and DC.  Enter 'n'.
(2) states that tax Social Security benefits the same way in which the federal government taxes them - 6 states. Enter 'y'.
(3) states that base benefit exemptions on certain factors such as age or income - 8 states.  Enter 'y'.
(4) states that do not tax income at all - 9 states.  Use 'n' and a 0%.
Above from Tax Foundation 2013.</t>
        </r>
        <r>
          <rPr>
            <sz val="11"/>
            <color indexed="12"/>
            <rFont val="Tahoma"/>
            <family val="2"/>
          </rPr>
          <t xml:space="preserve">
</t>
        </r>
      </text>
    </comment>
    <comment ref="B214" authorId="0" shapeId="0">
      <text>
        <r>
          <rPr>
            <b/>
            <sz val="11"/>
            <color indexed="12"/>
            <rFont val="Tahoma"/>
            <family val="2"/>
          </rPr>
          <t>Corrected the instruction for this entry to indicate this is the percent of pension income to be included in state taxable income.</t>
        </r>
      </text>
    </comment>
    <comment ref="D214" authorId="0" shapeId="0">
      <text>
        <r>
          <rPr>
            <b/>
            <sz val="11"/>
            <color indexed="12"/>
            <rFont val="Tahoma"/>
            <family val="2"/>
          </rPr>
          <t xml:space="preserve">Some pensions are not taxable by the state. Enter a percentage of the income shown for the Pension 1 entry to be </t>
        </r>
        <r>
          <rPr>
            <b/>
            <sz val="11"/>
            <color indexed="10"/>
            <rFont val="Tahoma"/>
            <family val="2"/>
          </rPr>
          <t>included in</t>
        </r>
        <r>
          <rPr>
            <b/>
            <sz val="11"/>
            <color indexed="12"/>
            <rFont val="Tahoma"/>
            <family val="2"/>
          </rPr>
          <t xml:space="preserve"> state adjusted gross income and be subject to state income taxes.  
Applies only to the bracket method.
</t>
        </r>
      </text>
    </comment>
    <comment ref="D215" authorId="0" shapeId="0">
      <text>
        <r>
          <rPr>
            <b/>
            <sz val="11"/>
            <color indexed="12"/>
            <rFont val="Tahoma"/>
            <family val="2"/>
          </rPr>
          <t xml:space="preserve">Many Federal tax-exempt investments are taxable income in your state. Enter a percentage of tax-exempt income to be </t>
        </r>
        <r>
          <rPr>
            <b/>
            <sz val="11"/>
            <color indexed="10"/>
            <rFont val="Tahoma"/>
            <family val="2"/>
          </rPr>
          <t>included</t>
        </r>
        <r>
          <rPr>
            <b/>
            <sz val="11"/>
            <color indexed="12"/>
            <rFont val="Tahoma"/>
            <family val="2"/>
          </rPr>
          <t xml:space="preserve"> in state income tax.  
Applies only to the bracket method.
</t>
        </r>
      </text>
    </comment>
    <comment ref="U215" authorId="0" shapeId="0">
      <text>
        <r>
          <rPr>
            <b/>
            <sz val="11"/>
            <color indexed="12"/>
            <rFont val="Tahoma"/>
            <family val="2"/>
          </rPr>
          <t xml:space="preserve">Enter as a  positive number.
</t>
        </r>
      </text>
    </comment>
    <comment ref="AD216" authorId="0" shapeId="0">
      <text>
        <r>
          <rPr>
            <b/>
            <sz val="11"/>
            <color indexed="12"/>
            <rFont val="Tahoma"/>
            <family val="2"/>
          </rPr>
          <t>An estimate of the proportion of taxable account income that would need to be taxed at the marginal rate in order to match the actual income+LTCG combined taxes.
This factor may be a more accurate estimate for the Taxable Account Adjustment.
Requires the Tax Calculator to contain recent actual tax data.</t>
        </r>
      </text>
    </comment>
    <comment ref="D217" authorId="0" shapeId="0">
      <text>
        <r>
          <rPr>
            <b/>
            <sz val="11"/>
            <color indexed="12"/>
            <rFont val="Tahoma"/>
            <family val="2"/>
          </rPr>
          <t xml:space="preserve">Enter 'i' to use the Federal itemized deductions amount for the state return.
Enter 's' to use the state standard deduction in all years.  
Itemized deductions will end and standard begin is an end age is entered above.  Standard deduction, if being used, will change to the new state amount in the specified Move Age.
</t>
        </r>
      </text>
    </comment>
    <comment ref="AC217" authorId="0" shapeId="0">
      <text>
        <r>
          <rPr>
            <b/>
            <sz val="11"/>
            <color indexed="12"/>
            <rFont val="Tahoma"/>
            <family val="2"/>
          </rPr>
          <t>An estimate of the proportion of taxable account income that would need to be taxed at the marginal rate in order to match the actual income+LTCG combined taxes.
This factor can be used to determine a more accurate estimate for the Taxable Account Adjustment in Tax section.
Requires the above schedule to contain recent actual tax data.</t>
        </r>
      </text>
    </comment>
    <comment ref="AE217" authorId="0" shapeId="0">
      <text>
        <r>
          <rPr>
            <b/>
            <sz val="11"/>
            <color indexed="12"/>
            <rFont val="Tahoma"/>
            <family val="2"/>
          </rPr>
          <t>(((8a+9a-9b) x marginal rate) + ((9b+13) x cap gain rate))  ÷
((8a+9a+13) x marginal rate)
interest + total dividends - qualified dividends 
x marginal rate +
qualified dividends + capital gains
x capital gains rate
divided by
taxable interest + ordinary dividends + st capital gains 
x marginal rate
=
rate taxable account earnings will be taxed at</t>
        </r>
      </text>
    </comment>
    <comment ref="D218" authorId="0" shapeId="0">
      <text>
        <r>
          <rPr>
            <b/>
            <sz val="11"/>
            <color indexed="12"/>
            <rFont val="Tahoma"/>
            <family val="2"/>
          </rPr>
          <t>Per person.  Tax return filing choice ( married or single)  determines the number of deductions.
Amount subject to Federal annual escalation factor.</t>
        </r>
      </text>
    </comment>
    <comment ref="D219" authorId="0" shapeId="0">
      <text>
        <r>
          <rPr>
            <b/>
            <sz val="11"/>
            <color indexed="12"/>
            <rFont val="Tahoma"/>
            <family val="2"/>
          </rPr>
          <t>Per person.  Tax return filing choice (married or single)  determines the number of exemptions.
Amount subject to Federal annual escalation factor.
More exemptions: if you have more than 1 or 2 state exemptions just adjust this amount to create the correct total exemption amount.</t>
        </r>
      </text>
    </comment>
    <comment ref="F220" authorId="0" shapeId="0">
      <text>
        <r>
          <rPr>
            <b/>
            <sz val="11"/>
            <color indexed="12"/>
            <rFont val="Tahoma"/>
            <family val="2"/>
          </rPr>
          <t>Enter your state's tax return brackets for the current year.   Bracket amounts are escalated by the Federal annual escalation factor, unless turned off below.</t>
        </r>
      </text>
    </comment>
    <comment ref="D221" authorId="0" shapeId="0">
      <text>
        <r>
          <rPr>
            <b/>
            <sz val="11"/>
            <color indexed="12"/>
            <rFont val="Tahoma"/>
            <family val="2"/>
          </rPr>
          <t>Enter your state's first three actual state tax return brackets, or adjust them to approximate your state's brackets.  Enter brackets for another state if you are planning to move.
Bracket amounts, but not rates, are escalated by the  Federal annual escalation factor unless turned off below.</t>
        </r>
      </text>
    </comment>
    <comment ref="D227" authorId="0" shapeId="0">
      <text>
        <r>
          <rPr>
            <b/>
            <sz val="11"/>
            <color indexed="12"/>
            <rFont val="Tahoma"/>
            <family val="2"/>
          </rPr>
          <t>Enter 'y' to escalate the Federal and state standard deduction and personal exemption amounts, and tax brackets by the historic escalation rate as set in the Tax Tables page and shown here.  This is recommended if an inflation rate is also entered for expenses.
Enter 'n' to use the current year deduction and exemption amounts and tax brackets  in all years.  This may be useful to test a future year's taxable income amounts with other calculation tools, such as Turbotax TaxCaster, to confirm this model's accuracy.
Default: y</t>
        </r>
      </text>
    </comment>
    <comment ref="A229" authorId="0" shapeId="0">
      <text>
        <r>
          <rPr>
            <b/>
            <sz val="11"/>
            <color indexed="12"/>
            <rFont val="Tahoma"/>
            <family val="2"/>
          </rPr>
          <t xml:space="preserve">George wants to see the impact on their portfolio of a future tax increase.  He particularly wants to see how this would impact the Roth conversion decision. To test this, they assume a 5% increase in all rates in 2025.
</t>
        </r>
      </text>
    </comment>
    <comment ref="D229" authorId="0" shapeId="0">
      <text>
        <r>
          <rPr>
            <b/>
            <sz val="11"/>
            <color indexed="12"/>
            <rFont val="Tahoma"/>
            <family val="2"/>
          </rPr>
          <t xml:space="preserve">This optional feature allows testing the impact of a future tax increase on portfolio results.  The possibility of a tax increase is one reason people use to justify doing Roth conversions at possibly lower current rates.
Enter new rates for the existing brackets and the year they will change. These new rates can used in lieu of the existing rates by selecting the option in the Case Option section at the top.  Activate to see how such changes may impact your future results, the Roth conversion decision, or other optional events.
The rate changes are used in the default portfolio (full) and comparison portfolio (base).
Go to the Tax Tables page for current year tax rates, brackets, deductions, exemptions and escalation rate.
</t>
        </r>
      </text>
    </comment>
    <comment ref="F232" authorId="0" shapeId="0">
      <text>
        <r>
          <rPr>
            <b/>
            <sz val="11"/>
            <color indexed="12"/>
            <rFont val="Tahoma"/>
            <family val="2"/>
          </rPr>
          <t>Enter the year to begin using the new rates, e.g. 2025,  replacing the current year rates in the tax calculations.  The year must be greater than the Start Year.
Option: All rates use the entered year, but each rate can have its own year by 1) unprotecting the Sheet, then unprotecting the cell, and then entering a year, thus overriding the existing formula.  This allows selected rates to have a different change year.</t>
        </r>
        <r>
          <rPr>
            <sz val="11"/>
            <color indexed="12"/>
            <rFont val="Tahoma"/>
            <family val="2"/>
          </rPr>
          <t xml:space="preserve">
</t>
        </r>
      </text>
    </comment>
    <comment ref="A242" authorId="0" shapeId="0">
      <text>
        <r>
          <rPr>
            <b/>
            <sz val="11"/>
            <color indexed="12"/>
            <rFont val="Tahoma"/>
            <family val="2"/>
          </rPr>
          <t>After entering all their income and expense data, George enters in the conversions/withdrawals table an amount in each year prior to the start of their RMD.  He sets the maximum amount of each entry by using the marginal tax schedule shown to use 95%-100% of the 15% bracket.  He also schedules some withdrawals to use as charitable donations.
A calculation method of creating conversion and withdrawal amounts is also available to quickly test this option, although it doesn't allow the precise use of the entire 15% bracket.   George opts to use the "enter" method.</t>
        </r>
      </text>
    </comment>
    <comment ref="D242" authorId="0" shapeId="0">
      <text>
        <r>
          <rPr>
            <b/>
            <sz val="11"/>
            <color indexed="12"/>
            <rFont val="Tahoma"/>
            <family val="2"/>
          </rPr>
          <t>Enter Roth conversions and withdrawals.  Use either the "calculated" method to easily create conversion and withdrawal amounts, or the "entered" method to fine-tune conversions to achieve the precise use of lower tax brackets.  
IRA 1 is the source of the conversion funds.  Taxes on withdrawals are taken from the taxable account and it should be monitored to insure it has a positive balance in every year.  An automatic balancing setting is available in the General Settings section.
Tip: Use the marginal tax rates shown here to adjust conversions to maximize your lower tax brackets, e.g. the 15% bracket. 
Very Important:  The model may not be able to compensate for amounts entered here that create negative IRA balances.  Unusual and undesirable results may occur, such as negative income, and random amounts in the IRA withdrawal fields.  Reduce conversions or increase IRA and other withdrawals if the amounts entered here create a negative IRA or taxable account balance.
The inclusion of these conversions and withdrawals is done by a setting in 1. Model Options  Recommended: keep other alternative features, like SS benefits, "off" to see only the impact of Roth conversions.</t>
        </r>
        <r>
          <rPr>
            <sz val="11"/>
            <color indexed="12"/>
            <rFont val="Tahoma"/>
            <family val="2"/>
          </rPr>
          <t xml:space="preserve">
</t>
        </r>
      </text>
    </comment>
    <comment ref="D244" authorId="0" shapeId="0">
      <text>
        <r>
          <rPr>
            <b/>
            <sz val="11"/>
            <color indexed="12"/>
            <rFont val="Tahoma"/>
            <family val="2"/>
          </rPr>
          <t xml:space="preserve">Select which conversion method to use:
c - calculated amounts based on factors selected
e - entered yearly amounts
The entered method allows one to use conversion amounts that will fill a tax bracket. The calculated amount is a quicker but less precise method using a fixed or escalating amount over a defined age range.
</t>
        </r>
      </text>
    </comment>
    <comment ref="D250" authorId="0" shapeId="0">
      <text>
        <r>
          <rPr>
            <b/>
            <sz val="11"/>
            <color indexed="12"/>
            <rFont val="Tahoma"/>
            <family val="2"/>
          </rPr>
          <t xml:space="preserve">Enter Your age for the last year for each entry, or leave blank to automatically use the model end age.
</t>
        </r>
      </text>
    </comment>
    <comment ref="D251" authorId="0" shapeId="0">
      <text>
        <r>
          <rPr>
            <b/>
            <sz val="11"/>
            <color indexed="12"/>
            <rFont val="Tahoma"/>
            <family val="2"/>
          </rPr>
          <t xml:space="preserve">Shown if this method has been selected.
</t>
        </r>
      </text>
    </comment>
    <comment ref="H252" authorId="0" shapeId="0">
      <text>
        <r>
          <rPr>
            <b/>
            <sz val="11"/>
            <color indexed="12"/>
            <rFont val="Tahoma"/>
            <family val="2"/>
          </rPr>
          <t>Estimate of Federal tax savings in the first year for those inheriting traditional and  Roth IRAs, compared to not doinga conversion.  See Results page for details.</t>
        </r>
      </text>
    </comment>
    <comment ref="C253" authorId="0" shapeId="0">
      <text>
        <r>
          <rPr>
            <b/>
            <sz val="11"/>
            <color indexed="12"/>
            <rFont val="Tahoma"/>
            <family val="2"/>
          </rPr>
          <t>Total of conversion amounts after any adjustments.
The program will automatically reduce the entered yearly conversion amounts below if the IRA 1 being converted has a zero balance.  The flag "A" will appear to the left of each year adjusted.</t>
        </r>
      </text>
    </comment>
    <comment ref="D253" authorId="0" shapeId="0">
      <text>
        <r>
          <rPr>
            <b/>
            <sz val="11"/>
            <color indexed="12"/>
            <rFont val="Tahoma"/>
            <family val="2"/>
          </rPr>
          <t>Total of Roth withdrawals after any automatic adjustments.
The program will automatically reduce the entered withdrawal amounts entered below if the IRA balance reaches zero and future withdrawals would create a negative balance.</t>
        </r>
      </text>
    </comment>
    <comment ref="I254" authorId="0" shapeId="0">
      <text>
        <r>
          <rPr>
            <b/>
            <sz val="11"/>
            <color indexed="12"/>
            <rFont val="Tahoma"/>
            <family val="2"/>
          </rPr>
          <t>Ending Balance</t>
        </r>
        <r>
          <rPr>
            <sz val="11"/>
            <color indexed="12"/>
            <rFont val="Tahoma"/>
            <family val="2"/>
          </rPr>
          <t xml:space="preserve">
</t>
        </r>
      </text>
    </comment>
    <comment ref="K256" authorId="0" shapeId="0">
      <text>
        <r>
          <rPr>
            <b/>
            <sz val="11"/>
            <color indexed="12"/>
            <rFont val="Tahoma"/>
            <family val="2"/>
          </rPr>
          <t>Warning: Rounding higher than 100, the limit set for Tax Tables rounding, may result in tax bracket percentages above or below 100%.</t>
        </r>
      </text>
    </comment>
    <comment ref="S256" authorId="0" shapeId="0">
      <text>
        <r>
          <rPr>
            <b/>
            <sz val="11"/>
            <color indexed="12"/>
            <rFont val="Tahoma"/>
            <family val="2"/>
          </rPr>
          <t>Warning: Rounding higher than 100, the limit set for Tax Tables rounding, may result in tax bracket percentages above or below 100%.</t>
        </r>
      </text>
    </comment>
    <comment ref="A257" authorId="0" shapeId="0">
      <text>
        <r>
          <rPr>
            <b/>
            <sz val="11"/>
            <color indexed="12"/>
            <rFont val="Tahoma"/>
            <family val="2"/>
          </rPr>
          <t>The program will automatically reduce future conversion amounts entered below once the IRA balance reaches zero.  Having Other Withdrawals from the IRA, as shown to the right, might cause this.
The flag "A" will appear in the years that get adjusted.  The adjusted total is shown above.</t>
        </r>
      </text>
    </comment>
    <comment ref="F257" authorId="0" shapeId="0">
      <text>
        <r>
          <rPr>
            <b/>
            <sz val="11"/>
            <color indexed="12"/>
            <rFont val="Tahoma"/>
            <family val="2"/>
          </rPr>
          <t>Enter or copy conversion and/or withdrawal entries here for storing and reference.</t>
        </r>
      </text>
    </comment>
    <comment ref="G257" authorId="0" shapeId="0">
      <text>
        <r>
          <rPr>
            <b/>
            <sz val="11"/>
            <color indexed="12"/>
            <rFont val="Tahoma"/>
            <family val="2"/>
          </rPr>
          <t xml:space="preserve">These are the Withdrawals 1 &amp; 2 as entered in the 6. IRA Withdrawals section.
</t>
        </r>
      </text>
    </comment>
    <comment ref="I257" authorId="0" shapeId="0">
      <text>
        <r>
          <rPr>
            <b/>
            <sz val="11"/>
            <color indexed="12"/>
            <rFont val="Tahoma"/>
            <family val="2"/>
          </rPr>
          <t xml:space="preserve">Beginning of year
</t>
        </r>
      </text>
    </comment>
    <comment ref="Y344" authorId="0" shapeId="0">
      <text>
        <r>
          <rPr>
            <b/>
            <sz val="11"/>
            <color indexed="12"/>
            <rFont val="Tahoma"/>
            <family val="2"/>
          </rPr>
          <t>Various calculations, reference data and scribblings are hidden in the columns to the right.
Macros:
Setup_Calc_Show
Setup_Calc_Hide</t>
        </r>
        <r>
          <rPr>
            <sz val="10"/>
            <color indexed="17"/>
            <rFont val="Tahoma"/>
            <family val="2"/>
          </rPr>
          <t xml:space="preserve">
</t>
        </r>
      </text>
    </comment>
    <comment ref="E347" authorId="0" shapeId="0">
      <text>
        <r>
          <rPr>
            <b/>
            <sz val="11"/>
            <color indexed="81"/>
            <rFont val="Tahoma"/>
            <family val="2"/>
          </rPr>
          <t>Macros:
Setup_Supporting_Show
Setup_Supporting_Hide</t>
        </r>
      </text>
    </comment>
    <comment ref="H347" authorId="0" shapeId="0">
      <text>
        <r>
          <rPr>
            <b/>
            <sz val="12"/>
            <color indexed="81"/>
            <rFont val="Tahoma"/>
            <family val="2"/>
          </rPr>
          <t>IRA RMD ages and owners 
Additional SS benefits/opt start year - you/spouse
SS benefits/opt start year hidden tables - you/spouse
Income tax: year single starts
Income tax: future state year starts
Income Tax calculator: all 
?? RMD calculator Fed marginal rate result</t>
        </r>
      </text>
    </comment>
    <comment ref="B348" authorId="0" shapeId="0">
      <text>
        <r>
          <rPr>
            <b/>
            <sz val="11"/>
            <color indexed="81"/>
            <rFont val="Tahoma"/>
            <family val="2"/>
          </rPr>
          <t xml:space="preserve">Used by cell menu
</t>
        </r>
      </text>
    </comment>
    <comment ref="C348" authorId="0" shapeId="0">
      <text>
        <r>
          <rPr>
            <b/>
            <sz val="11"/>
            <color indexed="12"/>
            <rFont val="Tahoma"/>
            <family val="2"/>
          </rPr>
          <t>Select portfolio version to view.
Full default
Base excl Roth</t>
        </r>
      </text>
    </comment>
    <comment ref="E349" authorId="0" shapeId="0">
      <text>
        <r>
          <rPr>
            <b/>
            <sz val="11"/>
            <color indexed="81"/>
            <rFont val="Tahoma"/>
            <family val="2"/>
          </rPr>
          <t xml:space="preserve">Your age
</t>
        </r>
      </text>
    </comment>
    <comment ref="E350" authorId="0" shapeId="0">
      <text>
        <r>
          <rPr>
            <b/>
            <sz val="11"/>
            <color indexed="81"/>
            <rFont val="Tahoma"/>
            <family val="2"/>
          </rPr>
          <t xml:space="preserve">Spouse's age
</t>
        </r>
      </text>
    </comment>
    <comment ref="B356" authorId="0" shapeId="0">
      <text>
        <r>
          <rPr>
            <b/>
            <sz val="11"/>
            <color indexed="81"/>
            <rFont val="Tahoma"/>
            <family val="2"/>
          </rPr>
          <t>The adjustment to the taxable account earnings to approximate the impact of LTCG, qualified dividends, and tax-exempt interest on the actual taxes of the earnings.</t>
        </r>
      </text>
    </comment>
    <comment ref="B359" authorId="0" shapeId="0">
      <text>
        <r>
          <rPr>
            <b/>
            <sz val="11"/>
            <color indexed="81"/>
            <rFont val="Tahoma"/>
            <family val="2"/>
          </rPr>
          <t xml:space="preserve">Wages, pensions, other misc income, SPIA income less exclusion, IRA withdrawals incl conversions.
</t>
        </r>
      </text>
    </comment>
    <comment ref="B368" authorId="0" shapeId="0">
      <text>
        <r>
          <rPr>
            <b/>
            <sz val="11"/>
            <color indexed="81"/>
            <rFont val="Tahoma"/>
            <family val="2"/>
          </rPr>
          <t xml:space="preserve">Earnings in all accounts and from all sources.  Taxable, traditional and Roth IRAs.  Pensions, SS benefits, annuities, and other income.
</t>
        </r>
      </text>
    </comment>
    <comment ref="G404" authorId="0" shapeId="0">
      <text>
        <r>
          <rPr>
            <b/>
            <sz val="11"/>
            <color indexed="12"/>
            <rFont val="Tahoma"/>
            <family val="2"/>
          </rPr>
          <t xml:space="preserve">Click on one of the four macro buttons to copy and paste current results into the storage area below it, or click the "copy results" macro button to copy the results, then paste the values manually into any storage column.  </t>
        </r>
        <r>
          <rPr>
            <b/>
            <sz val="11"/>
            <color indexed="10"/>
            <rFont val="Tahoma"/>
            <family val="2"/>
          </rPr>
          <t xml:space="preserve"> 
</t>
        </r>
        <r>
          <rPr>
            <b/>
            <sz val="11"/>
            <color indexed="12"/>
            <rFont val="Tahoma"/>
            <family val="2"/>
          </rPr>
          <t xml:space="preserve">
Enter a description in the four rows below each macro button.
</t>
        </r>
        <r>
          <rPr>
            <b/>
            <sz val="11"/>
            <color indexed="10"/>
            <rFont val="Tahoma"/>
            <family val="2"/>
          </rPr>
          <t xml:space="preserve">Note: Using the three copy macros on the Setup page at the Summary Results section also copies and stores the Current Results data to the first three columns  (1,2,3).
</t>
        </r>
        <r>
          <rPr>
            <b/>
            <sz val="11"/>
            <color indexed="12"/>
            <rFont val="Tahoma"/>
            <family val="2"/>
          </rPr>
          <t xml:space="preserve">
Manual method:
1. Select current results between yellow labels
2. Copy using menu or Ctrl-C
3. Select one of the top cells in this area
4. Paste data using menu or right-click and Paste Special - Values
</t>
        </r>
        <r>
          <rPr>
            <b/>
            <sz val="11"/>
            <color indexed="10"/>
            <rFont val="Tahoma"/>
            <family val="2"/>
          </rPr>
          <t xml:space="preserve">
</t>
        </r>
      </text>
    </comment>
    <comment ref="K404" authorId="0" shapeId="0">
      <text>
        <r>
          <rPr>
            <b/>
            <sz val="11"/>
            <color indexed="12"/>
            <rFont val="Tahoma"/>
            <family val="2"/>
          </rPr>
          <t>Clicking the Clear Entries button will prompt for a confirmation, and will then</t>
        </r>
        <r>
          <rPr>
            <b/>
            <sz val="11"/>
            <color indexed="10"/>
            <rFont val="Tahoma"/>
            <family val="2"/>
          </rPr>
          <t xml:space="preserve"> erase the four columns of saved results and setup entries in this section.
</t>
        </r>
        <r>
          <rPr>
            <b/>
            <sz val="11"/>
            <color indexed="12"/>
            <rFont val="Tahoma"/>
            <family val="2"/>
          </rPr>
          <t xml:space="preserve">
Uses macro:
Clear_Results
</t>
        </r>
      </text>
    </comment>
    <comment ref="G405" authorId="0" shapeId="0">
      <text>
        <r>
          <rPr>
            <b/>
            <sz val="11"/>
            <color indexed="12"/>
            <rFont val="Tahoma"/>
            <family val="2"/>
          </rPr>
          <t>Clicking the copy-paste button will copy the results and Setup input entries in the Current Results column to the area below.</t>
        </r>
        <r>
          <rPr>
            <b/>
            <sz val="11"/>
            <color indexed="10"/>
            <rFont val="Tahoma"/>
            <family val="2"/>
          </rPr>
          <t xml:space="preserve">
</t>
        </r>
        <r>
          <rPr>
            <b/>
            <sz val="11"/>
            <color indexed="12"/>
            <rFont val="Tahoma"/>
            <family val="2"/>
          </rPr>
          <t xml:space="preserve">
Uses macro:
Copy_Results1
</t>
        </r>
      </text>
    </comment>
    <comment ref="H405" authorId="0" shapeId="0">
      <text>
        <r>
          <rPr>
            <b/>
            <sz val="11"/>
            <color indexed="12"/>
            <rFont val="Tahoma"/>
            <family val="2"/>
          </rPr>
          <t>Clicking the copy-paste button will copy the results and Setup input entries in the Current Results column to the area below.</t>
        </r>
        <r>
          <rPr>
            <b/>
            <sz val="11"/>
            <color indexed="10"/>
            <rFont val="Tahoma"/>
            <family val="2"/>
          </rPr>
          <t xml:space="preserve">
</t>
        </r>
        <r>
          <rPr>
            <b/>
            <sz val="11"/>
            <color indexed="12"/>
            <rFont val="Tahoma"/>
            <family val="2"/>
          </rPr>
          <t xml:space="preserve">
Uses macro:
Copy_Results2
</t>
        </r>
      </text>
    </comment>
    <comment ref="I405" authorId="0" shapeId="0">
      <text>
        <r>
          <rPr>
            <b/>
            <sz val="11"/>
            <color indexed="12"/>
            <rFont val="Tahoma"/>
            <family val="2"/>
          </rPr>
          <t>Clicking the copy-paste button will copy the results and Setup input entries in the Current Results column to the area below.</t>
        </r>
        <r>
          <rPr>
            <b/>
            <sz val="11"/>
            <color indexed="10"/>
            <rFont val="Tahoma"/>
            <family val="2"/>
          </rPr>
          <t xml:space="preserve">
</t>
        </r>
        <r>
          <rPr>
            <b/>
            <sz val="11"/>
            <color indexed="12"/>
            <rFont val="Tahoma"/>
            <family val="2"/>
          </rPr>
          <t xml:space="preserve">
Uses macro:
Copy_Results3
</t>
        </r>
      </text>
    </comment>
    <comment ref="J405" authorId="0" shapeId="0">
      <text>
        <r>
          <rPr>
            <b/>
            <sz val="11"/>
            <color indexed="12"/>
            <rFont val="Tahoma"/>
            <family val="2"/>
          </rPr>
          <t>Clicking the copy-paste button will copy the results and Setup input entries in the Current Results column to the area below.</t>
        </r>
        <r>
          <rPr>
            <b/>
            <sz val="11"/>
            <color indexed="10"/>
            <rFont val="Tahoma"/>
            <family val="2"/>
          </rPr>
          <t xml:space="preserve">
</t>
        </r>
        <r>
          <rPr>
            <b/>
            <sz val="11"/>
            <color indexed="12"/>
            <rFont val="Tahoma"/>
            <family val="2"/>
          </rPr>
          <t xml:space="preserve">
Uses macro:
Copy_Results4
</t>
        </r>
      </text>
    </comment>
    <comment ref="D406" authorId="0" shapeId="0">
      <text>
        <r>
          <rPr>
            <b/>
            <sz val="11"/>
            <color indexed="12"/>
            <rFont val="Tahoma"/>
            <family val="2"/>
          </rPr>
          <t xml:space="preserve">Clicking the Copy button will copy the results and entry factors shown below to the clipboard.  This can then be pasted to any of the four columns or in an adjacent blank area.
</t>
        </r>
        <r>
          <rPr>
            <b/>
            <sz val="11"/>
            <color indexed="10"/>
            <rFont val="Tahoma"/>
            <family val="2"/>
          </rPr>
          <t xml:space="preserve">Note: Use the "paste-values" command, not the "paste".
</t>
        </r>
        <r>
          <rPr>
            <b/>
            <sz val="11"/>
            <color indexed="12"/>
            <rFont val="Tahoma"/>
            <family val="2"/>
          </rPr>
          <t xml:space="preserve">
Uses macro:
CopyResults
</t>
        </r>
      </text>
    </comment>
    <comment ref="E410" authorId="0" shapeId="0">
      <text>
        <r>
          <rPr>
            <b/>
            <sz val="11"/>
            <color indexed="12"/>
            <rFont val="Tahoma"/>
            <family val="2"/>
          </rPr>
          <t xml:space="preserve">Use the copy-paste macros to copy current results and settings to the columns provided to the right.
To do without using macros:
Select the Current Results column of data from between "Copy Below" and "Copy Above" labels shown below.  
Copy using Ctrl-C or Edit-Copy, then place  your cursor on an empty column  in the storage area on the right and below the heading line, and select "Edit", "Paste Special" using "Values" to copy the data. Then add heading explanation.
</t>
        </r>
      </text>
    </comment>
    <comment ref="F410" authorId="0" shapeId="0">
      <text>
        <r>
          <rPr>
            <b/>
            <sz val="11"/>
            <color indexed="12"/>
            <rFont val="Tahoma"/>
            <family val="2"/>
          </rPr>
          <t xml:space="preserve">&lt;#&gt; indicates there's a difference between Current Results and Column 1 of saved data.  
</t>
        </r>
      </text>
    </comment>
    <comment ref="B414" authorId="0" shapeId="0">
      <text>
        <r>
          <rPr>
            <b/>
            <sz val="10"/>
            <color indexed="81"/>
            <rFont val="Tahoma"/>
            <family val="2"/>
          </rPr>
          <t>Excludes inherited IRA RMD.</t>
        </r>
        <r>
          <rPr>
            <sz val="9"/>
            <color indexed="81"/>
            <rFont val="Tahoma"/>
            <family val="2"/>
          </rPr>
          <t xml:space="preserve">
</t>
        </r>
      </text>
    </comment>
    <comment ref="B421" authorId="0" shapeId="0">
      <text>
        <r>
          <rPr>
            <b/>
            <sz val="10"/>
            <color indexed="81"/>
            <rFont val="Tahoma"/>
            <family val="2"/>
          </rPr>
          <t>Excludes inherited IRA RMD.</t>
        </r>
        <r>
          <rPr>
            <sz val="9"/>
            <color indexed="81"/>
            <rFont val="Tahoma"/>
            <family val="2"/>
          </rPr>
          <t xml:space="preserve">
</t>
        </r>
      </text>
    </comment>
    <comment ref="B428" authorId="0" shapeId="0">
      <text>
        <r>
          <rPr>
            <b/>
            <sz val="10"/>
            <color indexed="81"/>
            <rFont val="Tahoma"/>
            <family val="2"/>
          </rPr>
          <t>Excludes inherited IRA RMD.</t>
        </r>
        <r>
          <rPr>
            <sz val="9"/>
            <color indexed="81"/>
            <rFont val="Tahoma"/>
            <family val="2"/>
          </rPr>
          <t xml:space="preserve">
</t>
        </r>
      </text>
    </comment>
  </commentList>
</comments>
</file>

<file path=xl/comments3.xml><?xml version="1.0" encoding="utf-8"?>
<comments xmlns="http://schemas.openxmlformats.org/spreadsheetml/2006/main">
  <authors>
    <author>Author</author>
  </authors>
  <commentList>
    <comment ref="M1" authorId="0" shapeId="0">
      <text>
        <r>
          <rPr>
            <b/>
            <sz val="11"/>
            <color indexed="12"/>
            <rFont val="Tahoma"/>
            <family val="2"/>
          </rPr>
          <t>This page contains summary data showing account balances, earnings and income, expenses and expenditures and account withdrawals.   The base model without Roth conversions and/or alternative Social Security is also shown along with a schedule showing the differences resulting from doing Roth conversions and/or an alternative SS benefit.
Rounding can be changed from the recommended $1,000, but adjusting column widths may be required for smaller amounts.</t>
        </r>
      </text>
    </comment>
    <comment ref="Q1" authorId="0" shapeId="0">
      <text>
        <r>
          <rPr>
            <b/>
            <sz val="11"/>
            <color indexed="12"/>
            <rFont val="Tahoma"/>
            <family val="2"/>
          </rPr>
          <t>Shows or hides the column letters and row numbers and all the cell outlines.
Uses macros: 
HeaderShow
HeaderHide</t>
        </r>
        <r>
          <rPr>
            <sz val="11"/>
            <color indexed="12"/>
            <rFont val="Tahoma"/>
            <family val="2"/>
          </rPr>
          <t xml:space="preserve">
</t>
        </r>
      </text>
    </comment>
    <comment ref="Q2" authorId="0" shapeId="0">
      <text>
        <r>
          <rPr>
            <b/>
            <sz val="11"/>
            <color indexed="12"/>
            <rFont val="Tahoma"/>
            <family val="2"/>
          </rPr>
          <t>Some columns containing results details  are hidden by default to simplify the viewing of results. These macros allow the viewing and re-hiding of these columns.
Uses macros:
Summary_Show
Summary_Hide</t>
        </r>
        <r>
          <rPr>
            <sz val="9"/>
            <color indexed="81"/>
            <rFont val="Tahoma"/>
            <family val="2"/>
          </rPr>
          <t xml:space="preserve">
</t>
        </r>
      </text>
    </comment>
    <comment ref="V2" authorId="0" shapeId="0">
      <text>
        <r>
          <rPr>
            <b/>
            <sz val="11"/>
            <color indexed="12"/>
            <rFont val="Tahoma"/>
            <family val="2"/>
          </rPr>
          <t xml:space="preserve">How amounts will be displayed in these tables. Default is 1,000. Using less than 1,000 requires widening columns to view entire amounts.
</t>
        </r>
      </text>
    </comment>
    <comment ref="AI7" authorId="0" shapeId="0">
      <text>
        <r>
          <rPr>
            <b/>
            <sz val="11"/>
            <color indexed="12"/>
            <rFont val="Tahoma"/>
            <family val="2"/>
          </rPr>
          <t xml:space="preserve">Inheritances, asset sales, SPIA,  purchase, QCD,  special expenditures and receipt of funds from other sources.
</t>
        </r>
      </text>
    </comment>
    <comment ref="BQ7" authorId="0" shapeId="0">
      <text>
        <r>
          <rPr>
            <b/>
            <sz val="11"/>
            <color indexed="12"/>
            <rFont val="Tahoma"/>
            <family val="2"/>
          </rPr>
          <t>The QCD expenditure is done as part of the IRA withdrawal and RMD. The net of this is what flows to the taxable account.</t>
        </r>
      </text>
    </comment>
    <comment ref="D49" authorId="0" shapeId="0">
      <text>
        <r>
          <rPr>
            <b/>
            <sz val="11"/>
            <color indexed="12"/>
            <rFont val="Tahoma"/>
            <family val="2"/>
          </rPr>
          <t>Case total on this line should be the same as Summary total above it, +/- 1.</t>
        </r>
      </text>
    </comment>
    <comment ref="AI55" authorId="0" shapeId="0">
      <text>
        <r>
          <rPr>
            <b/>
            <sz val="11"/>
            <color indexed="12"/>
            <rFont val="Tahoma"/>
            <family val="2"/>
          </rPr>
          <t xml:space="preserve">Inheritances, asset sales, SPIA,  purchase, QCD,  special expenditures and receipt of funds from other sources.
</t>
        </r>
      </text>
    </comment>
    <comment ref="D97" authorId="0" shapeId="0">
      <text>
        <r>
          <rPr>
            <b/>
            <sz val="11"/>
            <color indexed="12"/>
            <rFont val="Tahoma"/>
            <family val="2"/>
          </rPr>
          <t>Case total on this line should be the same as Summary total above it, +/- 1.</t>
        </r>
      </text>
    </comment>
    <comment ref="AI103" authorId="0" shapeId="0">
      <text>
        <r>
          <rPr>
            <b/>
            <sz val="11"/>
            <color indexed="12"/>
            <rFont val="Tahoma"/>
            <family val="2"/>
          </rPr>
          <t xml:space="preserve">Inheritances, asset sales, SPIA,  purchase, QCD,  special expenditures and receipt of funds from other sources.
</t>
        </r>
      </text>
    </comment>
  </commentList>
</comments>
</file>

<file path=xl/comments4.xml><?xml version="1.0" encoding="utf-8"?>
<comments xmlns="http://schemas.openxmlformats.org/spreadsheetml/2006/main">
  <authors>
    <author>Author</author>
  </authors>
  <commentList>
    <comment ref="F1" authorId="0" shapeId="0">
      <text>
        <r>
          <rPr>
            <b/>
            <sz val="11"/>
            <color indexed="81"/>
            <rFont val="Tahoma"/>
            <family val="2"/>
          </rPr>
          <t xml:space="preserve">Your age
</t>
        </r>
      </text>
    </comment>
    <comment ref="F2" authorId="0" shapeId="0">
      <text>
        <r>
          <rPr>
            <b/>
            <sz val="11"/>
            <color indexed="81"/>
            <rFont val="Tahoma"/>
            <family val="2"/>
          </rPr>
          <t xml:space="preserve">Spouse's age
</t>
        </r>
      </text>
    </comment>
    <comment ref="B3" authorId="0" shapeId="0">
      <text>
        <r>
          <rPr>
            <b/>
            <sz val="11"/>
            <color indexed="81"/>
            <rFont val="Tahoma"/>
            <family val="2"/>
          </rPr>
          <t xml:space="preserve">Sections:
</t>
        </r>
        <r>
          <rPr>
            <b/>
            <sz val="11"/>
            <color indexed="10"/>
            <rFont val="Tahoma"/>
            <family val="2"/>
          </rPr>
          <t>Case Results</t>
        </r>
        <r>
          <rPr>
            <b/>
            <sz val="11"/>
            <color indexed="81"/>
            <rFont val="Tahoma"/>
            <family val="2"/>
          </rPr>
          <t xml:space="preserve"> - The major elements of your retirement forecast are summarized here.  Use the Full case for most complete retirement financial forecasting.
</t>
        </r>
        <r>
          <rPr>
            <b/>
            <sz val="11"/>
            <color indexed="10"/>
            <rFont val="Tahoma"/>
            <family val="2"/>
          </rPr>
          <t>Graphs</t>
        </r>
        <r>
          <rPr>
            <b/>
            <sz val="11"/>
            <color indexed="81"/>
            <rFont val="Tahoma"/>
            <family val="2"/>
          </rPr>
          <t xml:space="preserve"> - Key data from each case.
</t>
        </r>
        <r>
          <rPr>
            <b/>
            <sz val="11"/>
            <color indexed="10"/>
            <rFont val="Tahoma"/>
            <family val="2"/>
          </rPr>
          <t>Portfolio Account Activity</t>
        </r>
        <r>
          <rPr>
            <b/>
            <sz val="11"/>
            <color indexed="81"/>
            <rFont val="Tahoma"/>
            <family val="2"/>
          </rPr>
          <t xml:space="preserve"> - Summary of major account categories sowing balances, inflows and outflows.
</t>
        </r>
        <r>
          <rPr>
            <b/>
            <sz val="11"/>
            <color indexed="10"/>
            <rFont val="Tahoma"/>
            <family val="2"/>
          </rPr>
          <t>Full vs Base Results</t>
        </r>
        <r>
          <rPr>
            <b/>
            <sz val="11"/>
            <color indexed="81"/>
            <rFont val="Tahoma"/>
            <family val="2"/>
          </rPr>
          <t xml:space="preserve"> - Key results for both cases and how the cases differ based on the options chosen.  Use the Full case to test Roth, SS benefits, and alternative tIRA withdrawals and see how that compares to your Base case results.
</t>
        </r>
        <r>
          <rPr>
            <b/>
            <sz val="11"/>
            <color indexed="10"/>
            <rFont val="Tahoma"/>
            <family val="2"/>
          </rPr>
          <t>Taxes</t>
        </r>
        <r>
          <rPr>
            <b/>
            <sz val="11"/>
            <color indexed="81"/>
            <rFont val="Tahoma"/>
            <family val="2"/>
          </rPr>
          <t xml:space="preserve"> - Comparison of Federal income taxes for both cases.
</t>
        </r>
        <r>
          <rPr>
            <b/>
            <sz val="11"/>
            <color indexed="10"/>
            <rFont val="Tahoma"/>
            <family val="2"/>
          </rPr>
          <t>Roth Conversion Analysis</t>
        </r>
        <r>
          <rPr>
            <b/>
            <sz val="11"/>
            <color indexed="81"/>
            <rFont val="Tahoma"/>
            <family val="2"/>
          </rPr>
          <t xml:space="preserve"> - Details of this option, including how conversions impact taxes over your forecast period.
</t>
        </r>
        <r>
          <rPr>
            <b/>
            <sz val="11"/>
            <color indexed="10"/>
            <rFont val="Tahoma"/>
            <family val="2"/>
          </rPr>
          <t>Social Security Benefits Comparison</t>
        </r>
        <r>
          <rPr>
            <b/>
            <sz val="11"/>
            <color indexed="81"/>
            <rFont val="Tahoma"/>
            <family val="2"/>
          </rPr>
          <t xml:space="preserve"> - The impact on income, taxes and portfolio balances are detailed, with specific analysis of impacts on the age 62-69 period.
</t>
        </r>
        <r>
          <rPr>
            <b/>
            <sz val="11"/>
            <color indexed="10"/>
            <rFont val="Tahoma"/>
            <family val="2"/>
          </rPr>
          <t>Case Results, Input Data and Comparisons</t>
        </r>
        <r>
          <rPr>
            <b/>
            <sz val="11"/>
            <color indexed="81"/>
            <rFont val="Tahoma"/>
            <family val="2"/>
          </rPr>
          <t xml:space="preserve"> - Key indicators and all setup choices are listed with an area to save different modeling results.
</t>
        </r>
      </text>
    </comment>
    <comment ref="B5" authorId="0" shapeId="0">
      <text>
        <r>
          <rPr>
            <b/>
            <sz val="11"/>
            <color indexed="12"/>
            <rFont val="Tahoma"/>
            <family val="2"/>
          </rPr>
          <t>Go to sections in Results page.
Uses macros: 
Results1
Results3
Results5
Results7
Results6
Results2
Results4</t>
        </r>
      </text>
    </comment>
    <comment ref="I5" authorId="0" shapeId="0">
      <text>
        <r>
          <rPr>
            <b/>
            <sz val="11"/>
            <color indexed="12"/>
            <rFont val="Tahoma"/>
            <family val="2"/>
          </rPr>
          <t>Shows or hides the column letters and row numbers and all the cell outlines.
Uses macros: 
HeaderShow
HeaderHide</t>
        </r>
        <r>
          <rPr>
            <sz val="11"/>
            <color indexed="12"/>
            <rFont val="Tahoma"/>
            <family val="2"/>
          </rPr>
          <t xml:space="preserve">
</t>
        </r>
      </text>
    </comment>
    <comment ref="B20" authorId="0" shapeId="0">
      <text>
        <r>
          <rPr>
            <b/>
            <sz val="11"/>
            <color indexed="12"/>
            <rFont val="Tahoma"/>
            <family val="2"/>
          </rPr>
          <t>An estimate of the portfolio withdrawal rate. Use for seeing how it compares to the  4% portfolio withdrawal rate recommendation.
Comprised of living expenses and taxes less income that would offset all or a portion of those, thus reducing portfolio withdrawals.  Income is the taxable portion of the Taxable Account earnings plus income from pensions, wages, etc. 
Inheritances and special income and expenses are not included.</t>
        </r>
      </text>
    </comment>
    <comment ref="F25" authorId="0" shapeId="0">
      <text>
        <r>
          <rPr>
            <b/>
            <sz val="11"/>
            <color indexed="12"/>
            <rFont val="Tahoma"/>
            <family val="2"/>
          </rPr>
          <t xml:space="preserve">Shows or hides the detailed rows in the Portfolio Activity by Account schedule, including the base case and comparison schedules.
Uses macros: 
Port_Show
Port_Hide
</t>
        </r>
        <r>
          <rPr>
            <sz val="9"/>
            <color indexed="12"/>
            <rFont val="Tahoma"/>
            <family val="2"/>
          </rPr>
          <t xml:space="preserve">
</t>
        </r>
      </text>
    </comment>
    <comment ref="D84" authorId="0" shapeId="0">
      <text>
        <r>
          <rPr>
            <b/>
            <sz val="11"/>
            <color indexed="12"/>
            <rFont val="Tahoma"/>
            <family val="2"/>
          </rPr>
          <t>Discounted Cash Flow at discount rate entered on Setup page</t>
        </r>
      </text>
    </comment>
    <comment ref="F97" authorId="0" shapeId="0">
      <text>
        <r>
          <rPr>
            <b/>
            <sz val="11"/>
            <color indexed="12"/>
            <rFont val="Tahoma"/>
            <family val="2"/>
          </rPr>
          <t>Shows or hides a Social Security comparison section below that shows default SS benefit data and compares it to alternative SS benefits, if entered.
Suggestion: leave hidden when not doing a comparison.
Uses macros:
SS_Show
SS_Hide</t>
        </r>
        <r>
          <rPr>
            <sz val="11"/>
            <color indexed="12"/>
            <rFont val="Tahoma"/>
            <family val="2"/>
          </rPr>
          <t xml:space="preserve">
</t>
        </r>
      </text>
    </comment>
    <comment ref="D100" authorId="0" shapeId="0">
      <text>
        <r>
          <rPr>
            <b/>
            <sz val="11"/>
            <color indexed="12"/>
            <rFont val="Tahoma"/>
            <family val="2"/>
          </rPr>
          <t>Discounted Cash Flow at discount rate selected</t>
        </r>
      </text>
    </comment>
    <comment ref="I114" authorId="0" shapeId="0">
      <text>
        <r>
          <rPr>
            <b/>
            <sz val="11"/>
            <color indexed="12"/>
            <rFont val="Tahoma"/>
            <family val="2"/>
          </rPr>
          <t xml:space="preserve">Breakeven calculation between two alternative Social Security benefit claiming choices.
Requires using Alternative Benefits option. </t>
        </r>
      </text>
    </comment>
    <comment ref="H115" authorId="0" shapeId="0">
      <text>
        <r>
          <rPr>
            <b/>
            <sz val="11"/>
            <color indexed="12"/>
            <rFont val="Tahoma"/>
            <family val="2"/>
          </rPr>
          <t>Your age at which the cumulative default benefits equal the cumulative alternative  benefits (approximate age +/-1).
Note: Other model differences, like Roth conversion and additional IRA withdrawal in the Base portfolio, will distort this number.  Include only the option for the SS alternative (no Roth conv, etc.) for a more accurate number.</t>
        </r>
      </text>
    </comment>
    <comment ref="I115" authorId="0" shapeId="0">
      <text>
        <r>
          <rPr>
            <b/>
            <sz val="11"/>
            <color indexed="12"/>
            <rFont val="Tahoma"/>
            <family val="2"/>
          </rPr>
          <t>Your age at which portfolio balances at year end are approximately the same using selected or default benefits.
Includes all impacts of social security benefits including start ages, use of other funds before benefits start, loss of earnings from using those funds, income taxes on benefits and impact of Roth conversions (but including it will make this calculation is less accurate).</t>
        </r>
        <r>
          <rPr>
            <sz val="11"/>
            <color indexed="12"/>
            <rFont val="Tahoma"/>
            <family val="2"/>
          </rPr>
          <t xml:space="preserve">
</t>
        </r>
      </text>
    </comment>
    <comment ref="M115" authorId="0" shapeId="0">
      <text>
        <r>
          <rPr>
            <b/>
            <sz val="11"/>
            <color indexed="12"/>
            <rFont val="Tahoma"/>
            <family val="2"/>
          </rPr>
          <t xml:space="preserve">Model settings that will result in differences between the default (Full) portfolio and the Base portfolio.  These should be understood when comparing portfolio results.
Minimize  differences to focus on the impact of a single factor, like doing only a Roth conversion.
</t>
        </r>
      </text>
    </comment>
    <comment ref="M116" authorId="0" shapeId="0">
      <text>
        <r>
          <rPr>
            <b/>
            <sz val="11"/>
            <color indexed="12"/>
            <rFont val="Tahoma"/>
            <family val="2"/>
          </rPr>
          <t>Roth conversions can be included in the portfolio and compared to a base portfolio that excludes the conversions.</t>
        </r>
      </text>
    </comment>
    <comment ref="M117" authorId="0" shapeId="0">
      <text>
        <r>
          <rPr>
            <b/>
            <sz val="11"/>
            <color indexed="12"/>
            <rFont val="Tahoma"/>
            <family val="2"/>
          </rPr>
          <t xml:space="preserve">Additional IRA withdrawal amounts can be entered in the comparison base case in analyzing Roth conversion results.
</t>
        </r>
      </text>
    </comment>
    <comment ref="M118" authorId="0" shapeId="0">
      <text>
        <r>
          <rPr>
            <b/>
            <sz val="11"/>
            <color indexed="12"/>
            <rFont val="Tahoma"/>
            <family val="2"/>
          </rPr>
          <t>Alternative Social Security benefits can be entered and compared to the base portfolio using the default SS benefits.</t>
        </r>
      </text>
    </comment>
    <comment ref="M119" authorId="0" shapeId="0">
      <text>
        <r>
          <rPr>
            <b/>
            <sz val="11"/>
            <color indexed="12"/>
            <rFont val="Tahoma"/>
            <family val="2"/>
          </rPr>
          <t>Alternative Federal tax rates can be used and compared to the base portfolio using the default tax rates.</t>
        </r>
      </text>
    </comment>
    <comment ref="M120" authorId="0" shapeId="0">
      <text>
        <r>
          <rPr>
            <b/>
            <sz val="11"/>
            <color indexed="12"/>
            <rFont val="Tahoma"/>
            <family val="2"/>
          </rPr>
          <t>Federal and state taxes can be excluded from the portfolios.</t>
        </r>
      </text>
    </comment>
    <comment ref="B140" authorId="0" shapeId="0">
      <text>
        <r>
          <rPr>
            <b/>
            <sz val="11"/>
            <color indexed="12"/>
            <rFont val="Tahoma"/>
            <family val="2"/>
          </rPr>
          <t>If Roth conversions are activated taxable income will be different and taxable SS benefits will be different even if the alternative benefits are not being used.</t>
        </r>
      </text>
    </comment>
    <comment ref="F147" authorId="0" shapeId="0">
      <text>
        <r>
          <rPr>
            <b/>
            <sz val="11"/>
            <color indexed="12"/>
            <rFont val="Tahoma"/>
            <family val="2"/>
          </rPr>
          <t>Shows or hides the Roth IRA conversion section below that shows the results of a conversion and compares to a portfolio without conversions.
Suggestion: leave hidden if not doing Roth conversions
Uses macros:
Roth_Show
Roth_Hide</t>
        </r>
        <r>
          <rPr>
            <sz val="11"/>
            <color indexed="12"/>
            <rFont val="Tahoma"/>
            <family val="2"/>
          </rPr>
          <t xml:space="preserve">
</t>
        </r>
      </text>
    </comment>
    <comment ref="K148" authorId="0" shapeId="0">
      <text>
        <r>
          <rPr>
            <b/>
            <sz val="11"/>
            <color indexed="12"/>
            <rFont val="Tahoma"/>
            <family val="2"/>
          </rPr>
          <t xml:space="preserve">Model settings that will result in differences between the default (Full) portfolio and the Base portfolio.  These should be understood when comparing portfolio results.
Minimize  differences to focus on the impact of a single factor, like doing only a Roth conversion.
</t>
        </r>
      </text>
    </comment>
    <comment ref="K149" authorId="0" shapeId="0">
      <text>
        <r>
          <rPr>
            <b/>
            <sz val="11"/>
            <color indexed="12"/>
            <rFont val="Tahoma"/>
            <family val="2"/>
          </rPr>
          <t>Roth conversions can be included in the portfolio and compared to a base portfolio that excludes the conversions.</t>
        </r>
      </text>
    </comment>
    <comment ref="K150" authorId="0" shapeId="0">
      <text>
        <r>
          <rPr>
            <b/>
            <sz val="11"/>
            <color indexed="12"/>
            <rFont val="Tahoma"/>
            <family val="2"/>
          </rPr>
          <t>Alternative Social Security benefits can be entered and compared to the base portfolio using the default SS benefits.</t>
        </r>
      </text>
    </comment>
    <comment ref="K151" authorId="0" shapeId="0">
      <text>
        <r>
          <rPr>
            <b/>
            <sz val="11"/>
            <color indexed="12"/>
            <rFont val="Tahoma"/>
            <family val="2"/>
          </rPr>
          <t xml:space="preserve">Additional IRA withdrawal amounts can be entered in the comparison base case in analyzing Roth conversion results.
</t>
        </r>
      </text>
    </comment>
    <comment ref="K152" authorId="0" shapeId="0">
      <text>
        <r>
          <rPr>
            <b/>
            <sz val="11"/>
            <color indexed="12"/>
            <rFont val="Tahoma"/>
            <family val="2"/>
          </rPr>
          <t>Alternative Federal tax rates can be used and compared to the base portfolio using the default tax rates.</t>
        </r>
      </text>
    </comment>
    <comment ref="K153" authorId="0" shapeId="0">
      <text>
        <r>
          <rPr>
            <b/>
            <sz val="11"/>
            <color indexed="12"/>
            <rFont val="Tahoma"/>
            <family val="2"/>
          </rPr>
          <t>Federal and state taxes can be excluded from the portfolios.</t>
        </r>
      </text>
    </comment>
    <comment ref="N155" authorId="0" shapeId="0">
      <text>
        <r>
          <rPr>
            <b/>
            <sz val="11"/>
            <color indexed="12"/>
            <rFont val="Tahoma"/>
            <family val="2"/>
          </rPr>
          <t xml:space="preserve">Enter description then click on macro button to copy summary data.  </t>
        </r>
        <r>
          <rPr>
            <b/>
            <sz val="11"/>
            <color indexed="10"/>
            <rFont val="Tahoma"/>
            <family val="2"/>
          </rPr>
          <t>Warning: if using LibreOffice Calc the macro will NOT work and will result in an error message.</t>
        </r>
        <r>
          <rPr>
            <b/>
            <sz val="11"/>
            <color indexed="12"/>
            <rFont val="Tahoma"/>
            <family val="2"/>
          </rPr>
          <t xml:space="preserve"> 
Manual method:
1. Select Summary data area.
2. Copy using Ctrl-C, 
3. Select top-left data cell in this area.
4. Paste data using menu or right-click and Paste Special - Values.
Macros: 
Copy_Paste_Roth
</t>
        </r>
      </text>
    </comment>
    <comment ref="H159" authorId="0" shapeId="0">
      <text>
        <r>
          <rPr>
            <b/>
            <sz val="11"/>
            <color indexed="12"/>
            <rFont val="Tahoma"/>
            <family val="2"/>
          </rPr>
          <t xml:space="preserve">What conversion comparison amounts generally indicate should be done.
</t>
        </r>
      </text>
    </comment>
    <comment ref="B167" authorId="0" shapeId="0">
      <text>
        <r>
          <rPr>
            <b/>
            <sz val="11"/>
            <color indexed="12"/>
            <rFont val="Tahoma"/>
            <family val="2"/>
          </rPr>
          <t>Excludes inherited IRA RMD.</t>
        </r>
        <r>
          <rPr>
            <sz val="11"/>
            <color indexed="12"/>
            <rFont val="Tahoma"/>
            <family val="2"/>
          </rPr>
          <t xml:space="preserve">
</t>
        </r>
      </text>
    </comment>
    <comment ref="B169" authorId="0" shapeId="0">
      <text>
        <r>
          <rPr>
            <b/>
            <sz val="11"/>
            <color indexed="12"/>
            <rFont val="Tahoma"/>
            <family val="2"/>
          </rPr>
          <t>Estimate of Federal taxes on IRA 1 RMD based on yearly marginal rates.</t>
        </r>
      </text>
    </comment>
    <comment ref="D171" authorId="0" shapeId="0">
      <text>
        <r>
          <rPr>
            <b/>
            <sz val="11"/>
            <color indexed="12"/>
            <rFont val="Tahoma"/>
            <family val="2"/>
          </rPr>
          <t>Discounted Cash Flow at discount rate selected</t>
        </r>
      </text>
    </comment>
    <comment ref="J178" authorId="0" shapeId="0">
      <text>
        <r>
          <rPr>
            <b/>
            <sz val="11"/>
            <color indexed="12"/>
            <rFont val="Tahoma"/>
            <family val="2"/>
          </rPr>
          <t>Estimate of Required Minimum Distributions from inherited IRAs in the first year.  Enter RMD factor for age of heir in first year after inheriting the IRA using IRA Table 1 at bottom of Tax Tables page.</t>
        </r>
      </text>
    </comment>
    <comment ref="L178" authorId="0" shapeId="0">
      <text>
        <r>
          <rPr>
            <b/>
            <sz val="11"/>
            <color indexed="12"/>
            <rFont val="Tahoma"/>
            <family val="2"/>
          </rPr>
          <t>Taxable account earnings include undistributed amounts and distributed LTCG taxed at a lower rate.  The taxable account adjustment rate determined in Setup is used to reduce the earnings amount subject to taxes.</t>
        </r>
      </text>
    </comment>
    <comment ref="N178" authorId="0" shapeId="0">
      <text>
        <r>
          <rPr>
            <b/>
            <sz val="11"/>
            <color indexed="12"/>
            <rFont val="Tahoma"/>
            <family val="2"/>
          </rPr>
          <t>Enter the marginal or effective total tax rates the heir might pay in their first year after inheriting your portfolio.  This can be Federal only or include state.</t>
        </r>
      </text>
    </comment>
    <comment ref="B179" authorId="0" shapeId="0">
      <text>
        <r>
          <rPr>
            <b/>
            <sz val="11"/>
            <color indexed="12"/>
            <rFont val="Tahoma"/>
            <family val="2"/>
          </rPr>
          <t>A brief evaluation of the benefits to those inheriting a portfolio that includes a Roth conversion IRA compared to inheriting one that dosen't.</t>
        </r>
      </text>
    </comment>
    <comment ref="G179" authorId="0" shapeId="0">
      <text>
        <r>
          <rPr>
            <b/>
            <sz val="11"/>
            <color indexed="12"/>
            <rFont val="Tahoma"/>
            <family val="2"/>
          </rPr>
          <t>Rates from Return Rates by Account, Setup page, section 3.</t>
        </r>
      </text>
    </comment>
    <comment ref="N180" authorId="0" shapeId="0">
      <text>
        <r>
          <rPr>
            <b/>
            <sz val="11"/>
            <color indexed="12"/>
            <rFont val="Tahoma"/>
            <family val="2"/>
          </rPr>
          <t xml:space="preserve">Factors for an IRA beneficiary using IRS Table I: Single Life
</t>
        </r>
      </text>
    </comment>
    <comment ref="B200" authorId="0" shapeId="0">
      <text>
        <r>
          <rPr>
            <b/>
            <sz val="11"/>
            <color indexed="12"/>
            <rFont val="Tahoma"/>
            <family val="2"/>
          </rPr>
          <t>An estimate of the portfolio withdrawal rate. Use for seeing how it compares to the famous 4% withdrawal rate.
Comprised of living expenses and taxes less income that would offset a portion of those, thus reducing portfolio withdrawals.  Income is the taxable portion of the Taxable Account earnings plus income from pensions, etc. 
Inheritances and special income and expenses are not included.</t>
        </r>
      </text>
    </comment>
    <comment ref="F217" authorId="0" shapeId="0">
      <text>
        <r>
          <rPr>
            <b/>
            <sz val="11"/>
            <color indexed="12"/>
            <rFont val="Tahoma"/>
            <family val="2"/>
          </rPr>
          <t xml:space="preserve">Shows or hides the detailed rows in the Portfolio Activity by Account schedule, including the base case and comparison schedules.
Uses macros: 
Port_Show
Port_Hide
</t>
        </r>
      </text>
    </comment>
    <comment ref="D329" authorId="0" shapeId="0">
      <text>
        <r>
          <rPr>
            <b/>
            <sz val="11"/>
            <color indexed="12"/>
            <rFont val="Tahoma"/>
            <family val="2"/>
          </rPr>
          <t>Discounted Cash Flow at discount rate selected</t>
        </r>
      </text>
    </comment>
    <comment ref="E352" authorId="0" shapeId="0">
      <text>
        <r>
          <rPr>
            <b/>
            <sz val="11"/>
            <color indexed="12"/>
            <rFont val="Tahoma"/>
            <family val="2"/>
          </rPr>
          <t>Excludes Roth conversions and alternative Social Security benefits.</t>
        </r>
        <r>
          <rPr>
            <sz val="11"/>
            <color indexed="12"/>
            <rFont val="Tahoma"/>
            <family val="2"/>
          </rPr>
          <t xml:space="preserve">
</t>
        </r>
      </text>
    </comment>
    <comment ref="I352" authorId="0" shapeId="0">
      <text>
        <r>
          <rPr>
            <b/>
            <sz val="11"/>
            <color indexed="12"/>
            <rFont val="Tahoma"/>
            <family val="2"/>
          </rPr>
          <t xml:space="preserve">Model settings that will result in differences between the default (Full) portfolio and the Base portfolio.  These should be understood when comparing portfolio results.
Minimize  differences to focus on the impact of a single factor, like doing only a Roth conversion.
</t>
        </r>
      </text>
    </comment>
    <comment ref="I353" authorId="0" shapeId="0">
      <text>
        <r>
          <rPr>
            <b/>
            <sz val="11"/>
            <color indexed="12"/>
            <rFont val="Tahoma"/>
            <family val="2"/>
          </rPr>
          <t>Roth conversions can be included in the portfolio and compared to a base portfolio that excludes the conversions.</t>
        </r>
      </text>
    </comment>
    <comment ref="I354" authorId="0" shapeId="0">
      <text>
        <r>
          <rPr>
            <b/>
            <sz val="11"/>
            <color indexed="12"/>
            <rFont val="Tahoma"/>
            <family val="2"/>
          </rPr>
          <t>Alternative Social Security benefits can be entered and compared to the base portfolio using the default SS benefits.</t>
        </r>
      </text>
    </comment>
    <comment ref="I355" authorId="0" shapeId="0">
      <text>
        <r>
          <rPr>
            <b/>
            <sz val="11"/>
            <color indexed="12"/>
            <rFont val="Tahoma"/>
            <family val="2"/>
          </rPr>
          <t xml:space="preserve">Additional IRA withdrawal amounts can be entered in the comparison base case in analyzing Roth conversion results.
</t>
        </r>
      </text>
    </comment>
    <comment ref="I356" authorId="0" shapeId="0">
      <text>
        <r>
          <rPr>
            <b/>
            <sz val="11"/>
            <color indexed="12"/>
            <rFont val="Tahoma"/>
            <family val="2"/>
          </rPr>
          <t>Alternative Federal tax rates can be used and compared to the base portfolio using the default tax rates.</t>
        </r>
      </text>
    </comment>
    <comment ref="I357" authorId="0" shapeId="0">
      <text>
        <r>
          <rPr>
            <b/>
            <sz val="11"/>
            <color indexed="12"/>
            <rFont val="Tahoma"/>
            <family val="2"/>
          </rPr>
          <t>Federal and state taxes can be excluded from the portfolios.</t>
        </r>
      </text>
    </comment>
    <comment ref="B365" authorId="0" shapeId="0">
      <text>
        <r>
          <rPr>
            <b/>
            <sz val="11"/>
            <color indexed="12"/>
            <rFont val="Tahoma"/>
            <family val="2"/>
          </rPr>
          <t>Excludes Roth conversions and alternative Social Security benefits.</t>
        </r>
        <r>
          <rPr>
            <sz val="11"/>
            <color indexed="12"/>
            <rFont val="Tahoma"/>
            <family val="2"/>
          </rPr>
          <t xml:space="preserve">
</t>
        </r>
      </text>
    </comment>
    <comment ref="B376" authorId="0" shapeId="0">
      <text>
        <r>
          <rPr>
            <b/>
            <sz val="11"/>
            <color indexed="12"/>
            <rFont val="Tahoma"/>
            <family val="2"/>
          </rPr>
          <t>Excludes inherited IRA RMD.</t>
        </r>
        <r>
          <rPr>
            <sz val="11"/>
            <color indexed="12"/>
            <rFont val="Tahoma"/>
            <family val="2"/>
          </rPr>
          <t xml:space="preserve">
</t>
        </r>
      </text>
    </comment>
    <comment ref="D376" authorId="0" shapeId="0">
      <text>
        <r>
          <rPr>
            <b/>
            <sz val="11"/>
            <color indexed="12"/>
            <rFont val="Tahoma"/>
            <family val="2"/>
          </rPr>
          <t>Discounted Cash Flow at discount rate selected</t>
        </r>
      </text>
    </comment>
    <comment ref="B384" authorId="0" shapeId="0">
      <text>
        <r>
          <rPr>
            <b/>
            <sz val="11"/>
            <color indexed="12"/>
            <rFont val="Tahoma"/>
            <family val="2"/>
          </rPr>
          <t>Approximate impact of Roth conversions on Federal income taxes as a result of reducing the IRA balance and the RMD amounts.  
Note: do not use alternative SS benefits to make this comparison more accurate
Uses the average tax rates for each year.</t>
        </r>
        <r>
          <rPr>
            <sz val="11"/>
            <color indexed="12"/>
            <rFont val="Tahoma"/>
            <family val="2"/>
          </rPr>
          <t xml:space="preserve">
</t>
        </r>
      </text>
    </comment>
    <comment ref="B390" authorId="0" shapeId="0">
      <text>
        <r>
          <rPr>
            <b/>
            <sz val="11"/>
            <color indexed="12"/>
            <rFont val="Tahoma"/>
            <family val="2"/>
          </rPr>
          <t xml:space="preserve">Taxable, traditional IRAs and Roth IRAs. Includes inherited IRAs. </t>
        </r>
      </text>
    </comment>
    <comment ref="B397" authorId="0" shapeId="0">
      <text>
        <r>
          <rPr>
            <b/>
            <sz val="11"/>
            <color indexed="12"/>
            <rFont val="Tahoma"/>
            <family val="2"/>
          </rPr>
          <t xml:space="preserve">See hidden rows in the portfolio for income and adjustments used to determine AGI.
</t>
        </r>
      </text>
    </comment>
  </commentList>
</comments>
</file>

<file path=xl/comments5.xml><?xml version="1.0" encoding="utf-8"?>
<comments xmlns="http://schemas.openxmlformats.org/spreadsheetml/2006/main">
  <authors>
    <author>Author</author>
  </authors>
  <commentList>
    <comment ref="E1" authorId="0" shapeId="0">
      <text>
        <r>
          <rPr>
            <b/>
            <sz val="11"/>
            <color indexed="81"/>
            <rFont val="Tahoma"/>
            <family val="2"/>
          </rPr>
          <t xml:space="preserve">This page contains the yearly account balances, income and expenses resulting from the data you entered on the Setup page, including Roth conversions and expenditures.  
There are no user input cells or fields on this page, except for an optional Adjusted Gross Income adjustment entry at about line 167 and an optional entry for Excluded Foreign Income for calculating Modified AGI at about line 262.
After entering your data on the Setup page, review this data to insure there are no negative balances in any year in any of the accounts.  While the model will prevent some negatives from occurring, you should adjust your assumptions as necessary to eliminate any that may occur.  This will help insure the integrity of the calculated results.
Some rows of data used in calculating a primary result, such as total SS benefits, have been hidden to simplify the schedule.  You can  unhide these rows if you want using the "Show" button or via the spreadsheet menu.  </t>
        </r>
        <r>
          <rPr>
            <b/>
            <sz val="11"/>
            <color indexed="10"/>
            <rFont val="Tahoma"/>
            <family val="2"/>
          </rPr>
          <t>These rows are above lines with titles that have the ^ symbol.</t>
        </r>
        <r>
          <rPr>
            <b/>
            <sz val="11"/>
            <color indexed="81"/>
            <rFont val="Tahoma"/>
            <family val="2"/>
          </rPr>
          <t xml:space="preserve">
This page has Protection turned on to prevent inadvertent changes to any cell.  To turn it off, select Tools - Protection - Unprotect Sheet.  There is no password.</t>
        </r>
      </text>
    </comment>
    <comment ref="F1" authorId="0" shapeId="0">
      <text>
        <r>
          <rPr>
            <b/>
            <sz val="11"/>
            <color indexed="12"/>
            <rFont val="Tahoma"/>
            <family val="2"/>
          </rPr>
          <t>Shows or hides the column letters and row numbers and all the cell outlines.
Uses macros: 
HeaderShow
HeaderHide</t>
        </r>
        <r>
          <rPr>
            <sz val="11"/>
            <color indexed="12"/>
            <rFont val="Tahoma"/>
            <family val="2"/>
          </rPr>
          <t xml:space="preserve">
</t>
        </r>
      </text>
    </comment>
    <comment ref="H1" authorId="0" shapeId="0">
      <text>
        <r>
          <rPr>
            <b/>
            <sz val="11"/>
            <color indexed="12"/>
            <rFont val="Tahoma"/>
            <family val="2"/>
          </rPr>
          <t xml:space="preserve">Some rows containing account details and calculations are hidden by default to simplify the viewing of results. These macros allow the viewing and re-hiding of these rows. 
Uses macros:
Show
Hide
</t>
        </r>
      </text>
    </comment>
    <comment ref="A4" authorId="0" shapeId="0">
      <text>
        <r>
          <rPr>
            <b/>
            <sz val="11"/>
            <color indexed="12"/>
            <rFont val="Tahoma"/>
            <family val="2"/>
          </rPr>
          <t>Yearly adjustments to the tax calculations can be made on the Details page. Use this to supplement or correct the model's calculation of AGI or MAGI.</t>
        </r>
      </text>
    </comment>
    <comment ref="F4" authorId="0" shapeId="0">
      <text>
        <r>
          <rPr>
            <b/>
            <sz val="11"/>
            <color indexed="81"/>
            <rFont val="Tahoma"/>
            <family val="2"/>
          </rPr>
          <t xml:space="preserve">Your age
</t>
        </r>
      </text>
    </comment>
    <comment ref="F5" authorId="0" shapeId="0">
      <text>
        <r>
          <rPr>
            <b/>
            <sz val="11"/>
            <color indexed="81"/>
            <rFont val="Tahoma"/>
            <family val="2"/>
          </rPr>
          <t xml:space="preserve">Spouse's age
</t>
        </r>
      </text>
    </comment>
    <comment ref="B7" authorId="0" shapeId="0">
      <text>
        <r>
          <rPr>
            <b/>
            <sz val="11"/>
            <color indexed="12"/>
            <rFont val="Tahoma"/>
            <family val="2"/>
          </rPr>
          <t>Beginning of year balances
^ symbol  indicates hidden rows are above</t>
        </r>
      </text>
    </comment>
    <comment ref="F8" authorId="0" shapeId="0">
      <text>
        <r>
          <rPr>
            <b/>
            <sz val="11"/>
            <color indexed="12"/>
            <rFont val="Tahoma"/>
            <family val="2"/>
          </rPr>
          <t xml:space="preserve">A green font in this column indicates the formula in the cell is different from those in the cells to the right.
</t>
        </r>
      </text>
    </comment>
    <comment ref="A9" authorId="0" shapeId="0">
      <text>
        <r>
          <rPr>
            <b/>
            <sz val="11"/>
            <color indexed="12"/>
            <rFont val="Tahoma"/>
            <family val="2"/>
          </rPr>
          <t xml:space="preserve">All rows with a "c" in column A will be hidden or shown using the "hidden rows" macro.
</t>
        </r>
      </text>
    </comment>
    <comment ref="C9" authorId="0" shapeId="0">
      <text>
        <r>
          <rPr>
            <b/>
            <sz val="11"/>
            <color indexed="12"/>
            <rFont val="Tahoma"/>
            <family val="2"/>
          </rPr>
          <t>Taxable income</t>
        </r>
      </text>
    </comment>
    <comment ref="F12" authorId="0" shapeId="0">
      <text>
        <r>
          <rPr>
            <b/>
            <sz val="10"/>
            <color indexed="81"/>
            <rFont val="Tahoma"/>
            <family val="2"/>
          </rPr>
          <t>Must be zero at start of year. Inherited IRAs in first year will show in second year beginning balances.</t>
        </r>
      </text>
    </comment>
    <comment ref="B28" authorId="0" shapeId="0">
      <text>
        <r>
          <rPr>
            <b/>
            <sz val="11"/>
            <color indexed="81"/>
            <rFont val="Tahoma"/>
            <family val="2"/>
          </rPr>
          <t>Taxable income
Calculated on average of yearly beginning and pre-taxes ending balances.
See detail of this calculation at the bottom of the page.</t>
        </r>
      </text>
    </comment>
    <comment ref="B43" authorId="0" shapeId="0">
      <text>
        <r>
          <rPr>
            <b/>
            <sz val="11"/>
            <color indexed="12"/>
            <rFont val="Tahoma"/>
            <family val="2"/>
          </rPr>
          <t xml:space="preserve">Note: These formulas differ from the Base portfolio  in order to calculate the optional SS feature that compares alternative starting years and benefit amounts.
</t>
        </r>
      </text>
    </comment>
    <comment ref="B48" authorId="0" shapeId="0">
      <text>
        <r>
          <rPr>
            <b/>
            <sz val="11"/>
            <color indexed="12"/>
            <rFont val="Tahoma"/>
            <family val="2"/>
          </rPr>
          <t xml:space="preserve">Note: These formulas differ from the Base portfolio  in order to calculate the optional SS feature that compares alternative starting years and benefit amounts.
</t>
        </r>
      </text>
    </comment>
    <comment ref="B54" authorId="0" shapeId="0">
      <text>
        <r>
          <rPr>
            <b/>
            <sz val="11"/>
            <color indexed="12"/>
            <rFont val="Tahoma"/>
            <family val="2"/>
          </rPr>
          <t xml:space="preserve">Note: These formulas differ from the Base portfolio  in order to calculate the optional SS feature that compares alternative starting years and benefit amounts.
</t>
        </r>
      </text>
    </comment>
    <comment ref="B59" authorId="0" shapeId="0">
      <text>
        <r>
          <rPr>
            <b/>
            <sz val="11"/>
            <color indexed="12"/>
            <rFont val="Tahoma"/>
            <family val="2"/>
          </rPr>
          <t xml:space="preserve">Note: These formulas differ from the Base portfolio  in order to calculate the optional SS feature that compares alternative starting years and benefit amounts.
</t>
        </r>
      </text>
    </comment>
    <comment ref="B61" authorId="0" shapeId="0">
      <text>
        <r>
          <rPr>
            <b/>
            <sz val="11"/>
            <color indexed="12"/>
            <rFont val="Tahoma"/>
            <family val="2"/>
          </rPr>
          <t>A portion may be Federal taxable income.</t>
        </r>
      </text>
    </comment>
    <comment ref="F62" authorId="0" shapeId="0">
      <text>
        <r>
          <rPr>
            <b/>
            <sz val="10"/>
            <color indexed="81"/>
            <rFont val="Tahoma"/>
            <family val="2"/>
          </rPr>
          <t>Note: Formulas on this row differ from the other case as inclusion in the Base case is optional.</t>
        </r>
      </text>
    </comment>
    <comment ref="F63" authorId="0" shapeId="0">
      <text>
        <r>
          <rPr>
            <b/>
            <sz val="10"/>
            <color indexed="81"/>
            <rFont val="Tahoma"/>
            <family val="2"/>
          </rPr>
          <t>Note: Formulas on this row differ from the other case as inclusion in the Base case is optional.</t>
        </r>
      </text>
    </comment>
    <comment ref="F64" authorId="0" shapeId="0">
      <text>
        <r>
          <rPr>
            <b/>
            <sz val="10"/>
            <color indexed="81"/>
            <rFont val="Tahoma"/>
            <family val="2"/>
          </rPr>
          <t>Note: Formulas on this row differ from the other case as inclusion in the Base case is optional.</t>
        </r>
      </text>
    </comment>
    <comment ref="B70" authorId="0" shapeId="0">
      <text>
        <r>
          <rPr>
            <b/>
            <sz val="11"/>
            <color indexed="12"/>
            <rFont val="Tahoma"/>
            <family val="2"/>
          </rPr>
          <t>Taxable income</t>
        </r>
      </text>
    </comment>
    <comment ref="B88" authorId="0" shapeId="0">
      <text>
        <r>
          <rPr>
            <b/>
            <sz val="11"/>
            <color indexed="12"/>
            <rFont val="Tahoma"/>
            <family val="2"/>
          </rPr>
          <t>Taxable income</t>
        </r>
        <r>
          <rPr>
            <b/>
            <sz val="11"/>
            <color indexed="81"/>
            <rFont val="Tahoma"/>
            <family val="2"/>
          </rPr>
          <t xml:space="preserve">
</t>
        </r>
      </text>
    </comment>
    <comment ref="F88" authorId="0" shapeId="0">
      <text>
        <r>
          <rPr>
            <b/>
            <sz val="11"/>
            <color indexed="12"/>
            <rFont val="Tahoma"/>
            <family val="2"/>
          </rPr>
          <t>Note: Formulas on this row differ from the other case because of the optional base case withdrawal adjustment.</t>
        </r>
      </text>
    </comment>
    <comment ref="B89" authorId="0" shapeId="0">
      <text>
        <r>
          <rPr>
            <b/>
            <sz val="11"/>
            <color indexed="12"/>
            <rFont val="Tahoma"/>
            <family val="2"/>
          </rPr>
          <t>Taxable income</t>
        </r>
        <r>
          <rPr>
            <b/>
            <sz val="11"/>
            <color indexed="81"/>
            <rFont val="Tahoma"/>
            <family val="2"/>
          </rPr>
          <t xml:space="preserve">
</t>
        </r>
      </text>
    </comment>
    <comment ref="F89" authorId="0" shapeId="0">
      <text>
        <r>
          <rPr>
            <b/>
            <sz val="11"/>
            <color indexed="12"/>
            <rFont val="Tahoma"/>
            <family val="2"/>
          </rPr>
          <t>Note: Formulas on this row differ from the other case because of the optional base case withdrawal adjustment.</t>
        </r>
      </text>
    </comment>
    <comment ref="B91" authorId="0" shapeId="0">
      <text>
        <r>
          <rPr>
            <b/>
            <sz val="11"/>
            <color indexed="12"/>
            <rFont val="Tahoma"/>
            <family val="2"/>
          </rPr>
          <t>Taxable income</t>
        </r>
        <r>
          <rPr>
            <b/>
            <sz val="11"/>
            <color indexed="81"/>
            <rFont val="Tahoma"/>
            <family val="2"/>
          </rPr>
          <t xml:space="preserve">
</t>
        </r>
      </text>
    </comment>
    <comment ref="C91" authorId="0" shapeId="0">
      <text>
        <r>
          <rPr>
            <b/>
            <sz val="11"/>
            <color indexed="12"/>
            <rFont val="Tahoma"/>
            <family val="2"/>
          </rPr>
          <t>Includes IRA 1 withdrawals #1 and #2.   If the optional Base case adjustments #1 and #2 are zero  the cell note will say "Same as Base", otherwise the note will say "Differs from Base".</t>
        </r>
        <r>
          <rPr>
            <sz val="11"/>
            <color indexed="12"/>
            <rFont val="Tahoma"/>
            <family val="2"/>
          </rPr>
          <t xml:space="preserve">
</t>
        </r>
      </text>
    </comment>
    <comment ref="F92" authorId="0" shapeId="0">
      <text>
        <r>
          <rPr>
            <b/>
            <sz val="11"/>
            <color indexed="12"/>
            <rFont val="Tahoma"/>
            <family val="2"/>
          </rPr>
          <t xml:space="preserve">Additional error check added to prevent #VALUE error if no RMD age entered.
</t>
        </r>
      </text>
    </comment>
    <comment ref="B94" authorId="0" shapeId="0">
      <text>
        <r>
          <rPr>
            <b/>
            <sz val="11"/>
            <color indexed="12"/>
            <rFont val="Tahoma"/>
            <family val="2"/>
          </rPr>
          <t>Taxable income</t>
        </r>
        <r>
          <rPr>
            <b/>
            <sz val="11"/>
            <color indexed="81"/>
            <rFont val="Tahoma"/>
            <family val="2"/>
          </rPr>
          <t xml:space="preserve">
</t>
        </r>
      </text>
    </comment>
    <comment ref="B95" authorId="0" shapeId="0">
      <text>
        <r>
          <rPr>
            <b/>
            <sz val="11"/>
            <color indexed="12"/>
            <rFont val="Tahoma"/>
            <family val="2"/>
          </rPr>
          <t>Taxable income</t>
        </r>
        <r>
          <rPr>
            <b/>
            <sz val="11"/>
            <color indexed="81"/>
            <rFont val="Tahoma"/>
            <family val="2"/>
          </rPr>
          <t xml:space="preserve">
</t>
        </r>
      </text>
    </comment>
    <comment ref="B99" authorId="0" shapeId="0">
      <text>
        <r>
          <rPr>
            <b/>
            <sz val="11"/>
            <color indexed="12"/>
            <rFont val="Tahoma"/>
            <family val="2"/>
          </rPr>
          <t>Taxable income</t>
        </r>
        <r>
          <rPr>
            <b/>
            <sz val="11"/>
            <color indexed="81"/>
            <rFont val="Tahoma"/>
            <family val="2"/>
          </rPr>
          <t xml:space="preserve">
</t>
        </r>
      </text>
    </comment>
    <comment ref="C99" authorId="0" shapeId="0">
      <text>
        <r>
          <rPr>
            <b/>
            <sz val="11"/>
            <color indexed="12"/>
            <rFont val="Tahoma"/>
            <family val="2"/>
          </rPr>
          <t>Includes IRA 2 withdrawal.   If the optional Base case withdrawal adjustment  is zero  the cell note will say "Same as Base", otherwise the note will say "Differs from Base".</t>
        </r>
        <r>
          <rPr>
            <sz val="11"/>
            <color indexed="12"/>
            <rFont val="Tahoma"/>
            <family val="2"/>
          </rPr>
          <t xml:space="preserve">
</t>
        </r>
      </text>
    </comment>
    <comment ref="F99" authorId="0" shapeId="0">
      <text>
        <r>
          <rPr>
            <b/>
            <sz val="11"/>
            <color indexed="12"/>
            <rFont val="Tahoma"/>
            <family val="2"/>
          </rPr>
          <t>Note: Formulas on this row differ from the other case because of the optional base case withdrawal adjustment.</t>
        </r>
      </text>
    </comment>
    <comment ref="F100" authorId="0" shapeId="0">
      <text>
        <r>
          <rPr>
            <b/>
            <sz val="11"/>
            <color indexed="12"/>
            <rFont val="Tahoma"/>
            <family val="2"/>
          </rPr>
          <t xml:space="preserve">Additional error check added to prevent #VALUE error if no RMD age entered.
</t>
        </r>
        <r>
          <rPr>
            <b/>
            <sz val="10"/>
            <color indexed="81"/>
            <rFont val="Tahoma"/>
            <family val="2"/>
          </rPr>
          <t xml:space="preserve">
</t>
        </r>
      </text>
    </comment>
    <comment ref="B102" authorId="0" shapeId="0">
      <text>
        <r>
          <rPr>
            <b/>
            <sz val="11"/>
            <color indexed="12"/>
            <rFont val="Tahoma"/>
            <family val="2"/>
          </rPr>
          <t>Taxable income</t>
        </r>
        <r>
          <rPr>
            <b/>
            <sz val="11"/>
            <color indexed="81"/>
            <rFont val="Tahoma"/>
            <family val="2"/>
          </rPr>
          <t xml:space="preserve">
</t>
        </r>
      </text>
    </comment>
    <comment ref="B103" authorId="0" shapeId="0">
      <text>
        <r>
          <rPr>
            <b/>
            <sz val="11"/>
            <color indexed="12"/>
            <rFont val="Tahoma"/>
            <family val="2"/>
          </rPr>
          <t>Taxable income</t>
        </r>
        <r>
          <rPr>
            <b/>
            <sz val="11"/>
            <color indexed="81"/>
            <rFont val="Tahoma"/>
            <family val="2"/>
          </rPr>
          <t xml:space="preserve">
</t>
        </r>
      </text>
    </comment>
    <comment ref="B112" authorId="0" shapeId="0">
      <text>
        <r>
          <rPr>
            <b/>
            <sz val="11"/>
            <color indexed="12"/>
            <rFont val="Tahoma"/>
            <family val="2"/>
          </rPr>
          <t>Taxable income</t>
        </r>
        <r>
          <rPr>
            <b/>
            <sz val="11"/>
            <color indexed="81"/>
            <rFont val="Tahoma"/>
            <family val="2"/>
          </rPr>
          <t xml:space="preserve">
</t>
        </r>
      </text>
    </comment>
    <comment ref="B115" authorId="0" shapeId="0">
      <text>
        <r>
          <rPr>
            <b/>
            <sz val="11"/>
            <color indexed="12"/>
            <rFont val="Tahoma"/>
            <family val="2"/>
          </rPr>
          <t>Taxable income</t>
        </r>
        <r>
          <rPr>
            <b/>
            <sz val="11"/>
            <color indexed="81"/>
            <rFont val="Tahoma"/>
            <family val="2"/>
          </rPr>
          <t xml:space="preserve">
</t>
        </r>
      </text>
    </comment>
    <comment ref="B118" authorId="0" shapeId="0">
      <text>
        <r>
          <rPr>
            <b/>
            <sz val="11"/>
            <color indexed="12"/>
            <rFont val="Tahoma"/>
            <family val="2"/>
          </rPr>
          <t>Taxable income</t>
        </r>
        <r>
          <rPr>
            <b/>
            <sz val="11"/>
            <color indexed="81"/>
            <rFont val="Tahoma"/>
            <family val="2"/>
          </rPr>
          <t xml:space="preserve">
</t>
        </r>
      </text>
    </comment>
    <comment ref="B126" authorId="0" shapeId="0">
      <text>
        <r>
          <rPr>
            <b/>
            <sz val="11"/>
            <color indexed="17"/>
            <rFont val="Tahoma"/>
            <family val="2"/>
          </rPr>
          <t>Automatic withdrawals not available for Roth 2</t>
        </r>
      </text>
    </comment>
    <comment ref="B133" authorId="0" shapeId="0">
      <text>
        <r>
          <rPr>
            <b/>
            <sz val="11"/>
            <color indexed="12"/>
            <rFont val="Tahoma"/>
            <family val="2"/>
          </rPr>
          <t>Taxable income</t>
        </r>
        <r>
          <rPr>
            <b/>
            <sz val="11"/>
            <color indexed="81"/>
            <rFont val="Tahoma"/>
            <family val="2"/>
          </rPr>
          <t xml:space="preserve">
</t>
        </r>
      </text>
    </comment>
    <comment ref="B137" authorId="0" shapeId="0">
      <text>
        <r>
          <rPr>
            <b/>
            <sz val="11"/>
            <color indexed="81"/>
            <rFont val="Tahoma"/>
            <family val="2"/>
          </rPr>
          <t xml:space="preserve">Qualified Charitable Deductions included in IRA RMDs.  This entry reduces the amount of RMD going into the taxable account, as the payment is to the charity.
Source of donation:
i1 (IRA 1) 
i2 (IRA 2) 
h1 (Inherited IRA 1)
h2 (Inherited IRA 2) 
</t>
        </r>
      </text>
    </comment>
    <comment ref="B139" authorId="0" shapeId="0">
      <text>
        <r>
          <rPr>
            <b/>
            <sz val="11"/>
            <color indexed="81"/>
            <rFont val="Tahoma"/>
            <family val="2"/>
          </rPr>
          <t>Change in Taxable account before expenses and income taxes.
Includes:
Yearly earnings on avr balance
SS benefits
SPIA income
IRA 1&amp;2 contributions
Special events
IRA withdrawals incl inherited
IRA RMD incl inherited
Roth withdrawals
Roth conversion withdrawals</t>
        </r>
      </text>
    </comment>
    <comment ref="D142" authorId="0" shapeId="0">
      <text>
        <r>
          <rPr>
            <b/>
            <sz val="11"/>
            <color indexed="12"/>
            <rFont val="Tahoma"/>
            <family val="2"/>
          </rPr>
          <t>Inflation rate</t>
        </r>
      </text>
    </comment>
    <comment ref="B143" authorId="0" shapeId="0">
      <text>
        <r>
          <rPr>
            <b/>
            <sz val="11"/>
            <color indexed="12"/>
            <rFont val="Tahoma"/>
            <family val="2"/>
          </rPr>
          <t>If the automatic expense amounts are not providing a reasonable result in one or more years, use this line to add aor reduce expenses.
Adjustments might include: more large expenditures than the Special Events section provides for, temporary expenditures, etc.</t>
        </r>
      </text>
    </comment>
    <comment ref="D143" authorId="0" shapeId="0">
      <text>
        <r>
          <rPr>
            <b/>
            <sz val="11"/>
            <color indexed="12"/>
            <rFont val="Tahoma"/>
            <family val="2"/>
          </rPr>
          <t>Enter yearly amounts to adjust the model's expense calculation for factors not included in the model.
Postive +: increase expenses
Negative -: reduce expenses</t>
        </r>
      </text>
    </comment>
    <comment ref="D146" authorId="0" shapeId="0">
      <text>
        <r>
          <rPr>
            <b/>
            <sz val="11"/>
            <color indexed="12"/>
            <rFont val="Tahoma"/>
            <family val="2"/>
          </rPr>
          <t>Final year</t>
        </r>
        <r>
          <rPr>
            <b/>
            <sz val="11"/>
            <color indexed="81"/>
            <rFont val="Tahoma"/>
            <family val="2"/>
          </rPr>
          <t xml:space="preserve">
</t>
        </r>
      </text>
    </comment>
    <comment ref="B151" authorId="0" shapeId="0">
      <text>
        <r>
          <rPr>
            <b/>
            <sz val="12"/>
            <color indexed="81"/>
            <rFont val="Tahoma"/>
            <family val="2"/>
          </rPr>
          <t>The benefits entered in Setup which will also be the amount from the annual Social Security Benefit Statement - box 5</t>
        </r>
      </text>
    </comment>
    <comment ref="B153" authorId="0" shapeId="0">
      <text>
        <r>
          <rPr>
            <b/>
            <sz val="11"/>
            <color indexed="81"/>
            <rFont val="Tahoma"/>
            <family val="2"/>
          </rPr>
          <t xml:space="preserve">Includes
7. wages, salaries, tips, etc.
8a. taxable interest
8b. tax-exempt interest
9a. ordinary dividends
10. taxable refunds, credits
11. alimony
12. business income or (loos)
13. capital gains or (loss)
14. other gains or (losses)
15b. IRA distributions taxable
16b. pensions and annuities taxable
17. rental, royalities, etc.
18. farm income or (loss)
19. unemployment comp
21. other income
</t>
        </r>
      </text>
    </comment>
    <comment ref="B165" authorId="0" shapeId="0">
      <text>
        <r>
          <rPr>
            <b/>
            <sz val="11"/>
            <color indexed="12"/>
            <rFont val="Tahoma"/>
            <family val="2"/>
          </rPr>
          <t>Taxable income</t>
        </r>
        <r>
          <rPr>
            <b/>
            <sz val="11"/>
            <color indexed="81"/>
            <rFont val="Tahoma"/>
            <family val="2"/>
          </rPr>
          <t xml:space="preserve">
</t>
        </r>
      </text>
    </comment>
    <comment ref="B169" authorId="0" shapeId="0">
      <text>
        <r>
          <rPr>
            <b/>
            <sz val="11"/>
            <color indexed="12"/>
            <rFont val="Tahoma"/>
            <family val="2"/>
          </rPr>
          <t>Taxable income after adjustments</t>
        </r>
        <r>
          <rPr>
            <b/>
            <sz val="11"/>
            <color indexed="81"/>
            <rFont val="Tahoma"/>
            <family val="2"/>
          </rPr>
          <t xml:space="preserve">
</t>
        </r>
      </text>
    </comment>
    <comment ref="B170" authorId="0" shapeId="0">
      <text>
        <r>
          <rPr>
            <b/>
            <sz val="11"/>
            <color indexed="81"/>
            <rFont val="Tahoma"/>
            <family val="2"/>
          </rPr>
          <t xml:space="preserve">The portion of taxable account earnings that are from tax-exempt investments as specified in the asset allocation.  Calculation of this amount is in the "Taxable account earnings by asset class" section further down.
</t>
        </r>
      </text>
    </comment>
    <comment ref="B171" authorId="0" shapeId="0">
      <text>
        <r>
          <rPr>
            <b/>
            <sz val="11"/>
            <color indexed="81"/>
            <rFont val="Tahoma"/>
            <family val="2"/>
          </rPr>
          <t>The estimate of that portion of taxable account earnings, net of tax-exempt earnings, that represent capital gains and dividends for taxpayers in the 0%-15% brackets and thus have a 0% tax rate.</t>
        </r>
      </text>
    </comment>
    <comment ref="B172" authorId="0" shapeId="0">
      <text>
        <r>
          <rPr>
            <b/>
            <sz val="11"/>
            <color indexed="12"/>
            <rFont val="Tahoma"/>
            <family val="2"/>
          </rPr>
          <t>Taxable income</t>
        </r>
        <r>
          <rPr>
            <b/>
            <sz val="11"/>
            <color indexed="81"/>
            <rFont val="Tahoma"/>
            <family val="2"/>
          </rPr>
          <t xml:space="preserve">
</t>
        </r>
      </text>
    </comment>
    <comment ref="B175" authorId="0" shapeId="0">
      <text>
        <r>
          <rPr>
            <b/>
            <sz val="11"/>
            <color indexed="12"/>
            <rFont val="Tahoma"/>
            <family val="2"/>
          </rPr>
          <t>Taxable income</t>
        </r>
        <r>
          <rPr>
            <b/>
            <sz val="11"/>
            <color indexed="81"/>
            <rFont val="Tahoma"/>
            <family val="2"/>
          </rPr>
          <t xml:space="preserve">
</t>
        </r>
      </text>
    </comment>
    <comment ref="B176" authorId="0" shapeId="0">
      <text>
        <r>
          <rPr>
            <b/>
            <sz val="11"/>
            <color indexed="12"/>
            <rFont val="Tahoma"/>
            <family val="2"/>
          </rPr>
          <t>Taxable income</t>
        </r>
        <r>
          <rPr>
            <b/>
            <sz val="11"/>
            <color indexed="81"/>
            <rFont val="Tahoma"/>
            <family val="2"/>
          </rPr>
          <t xml:space="preserve">
</t>
        </r>
      </text>
    </comment>
    <comment ref="B177" authorId="0" shapeId="0">
      <text>
        <r>
          <rPr>
            <b/>
            <sz val="11"/>
            <color indexed="12"/>
            <rFont val="Tahoma"/>
            <family val="2"/>
          </rPr>
          <t>Taxable income</t>
        </r>
        <r>
          <rPr>
            <b/>
            <sz val="11"/>
            <color indexed="81"/>
            <rFont val="Tahoma"/>
            <family val="2"/>
          </rPr>
          <t xml:space="preserve">
</t>
        </r>
      </text>
    </comment>
    <comment ref="B178" authorId="0" shapeId="0">
      <text>
        <r>
          <rPr>
            <b/>
            <sz val="11"/>
            <color indexed="12"/>
            <rFont val="Tahoma"/>
            <family val="2"/>
          </rPr>
          <t>Taxable income</t>
        </r>
        <r>
          <rPr>
            <b/>
            <sz val="11"/>
            <color indexed="81"/>
            <rFont val="Tahoma"/>
            <family val="2"/>
          </rPr>
          <t xml:space="preserve">
</t>
        </r>
      </text>
    </comment>
    <comment ref="B180" authorId="0" shapeId="0">
      <text>
        <r>
          <rPr>
            <b/>
            <sz val="11"/>
            <color indexed="12"/>
            <rFont val="Tahoma"/>
            <family val="2"/>
          </rPr>
          <t>Taxable income</t>
        </r>
        <r>
          <rPr>
            <b/>
            <sz val="11"/>
            <color indexed="81"/>
            <rFont val="Tahoma"/>
            <family val="2"/>
          </rPr>
          <t xml:space="preserve">
</t>
        </r>
      </text>
    </comment>
    <comment ref="B181" authorId="0" shapeId="0">
      <text>
        <r>
          <rPr>
            <b/>
            <sz val="11"/>
            <color indexed="12"/>
            <rFont val="Tahoma"/>
            <family val="2"/>
          </rPr>
          <t>If the provided calculated amounts are not providing a reasonable Adjusted Gross Income amount then enter adjustments directly here.
Adjustments might include: additional income, capital gain taxes on the sale of taxable account assets, tax credits, etc.</t>
        </r>
      </text>
    </comment>
    <comment ref="D181" authorId="0" shapeId="0">
      <text>
        <r>
          <rPr>
            <b/>
            <sz val="11"/>
            <color indexed="12"/>
            <rFont val="Tahoma"/>
            <family val="2"/>
          </rPr>
          <t>Enter yearly amounts to adjust the model's AGI calculation for factors not included in the model.
Postive +: increase AGI 
Negative -: reduce AGI</t>
        </r>
        <r>
          <rPr>
            <sz val="11"/>
            <color indexed="12"/>
            <rFont val="Tahoma"/>
            <family val="2"/>
          </rPr>
          <t xml:space="preserve">
Negative </t>
        </r>
      </text>
    </comment>
    <comment ref="B183" authorId="0" shapeId="0">
      <text>
        <r>
          <rPr>
            <b/>
            <sz val="11"/>
            <color indexed="12"/>
            <rFont val="Tahoma"/>
            <family val="2"/>
          </rPr>
          <t>Taxable income</t>
        </r>
        <r>
          <rPr>
            <b/>
            <sz val="11"/>
            <color indexed="81"/>
            <rFont val="Tahoma"/>
            <family val="2"/>
          </rPr>
          <t xml:space="preserve">
</t>
        </r>
      </text>
    </comment>
    <comment ref="B184" authorId="0" shapeId="0">
      <text>
        <r>
          <rPr>
            <b/>
            <sz val="11"/>
            <color indexed="81"/>
            <rFont val="Tahoma"/>
            <family val="2"/>
          </rPr>
          <t xml:space="preserve">Adjustments to Total Income (form 1040 lines 23-35) , such as moving expenses, IRA early withdrawal penalties, and IRA deductions, are not included in this model, but can be entered using the User Input line.
</t>
        </r>
      </text>
    </comment>
    <comment ref="D184" authorId="0" shapeId="0">
      <text>
        <r>
          <rPr>
            <b/>
            <sz val="11"/>
            <color indexed="12"/>
            <rFont val="Tahoma"/>
            <family val="2"/>
          </rPr>
          <t>Taxable account earnings have been reduced by this percent  to determine the amount of Taxable account earnings to be subject to the marginal Federal tax rate rather than the dividend/capital gains rate.</t>
        </r>
        <r>
          <rPr>
            <sz val="11"/>
            <color indexed="12"/>
            <rFont val="Tahoma"/>
            <family val="2"/>
          </rPr>
          <t xml:space="preserve">
</t>
        </r>
      </text>
    </comment>
    <comment ref="B191" authorId="0" shapeId="0">
      <text>
        <r>
          <rPr>
            <b/>
            <sz val="11"/>
            <color indexed="81"/>
            <rFont val="Tahoma"/>
            <family val="2"/>
          </rPr>
          <t xml:space="preserve">This is an approximation based on forecast income using guessed rates from various accounts, IRA withdrawals, and RMD.  Excluded is the impact of dividends taxes at different rates and non-taxable income like savings and municipal bonds.  Also excluded for high income persons are the impact of higher Medicare costs and phase-out of exemptions and deductions.
So, as a precise forecast of Federal income tax it is somewhat limited.  However, when comparing the Full and Base case to see the impact of Roth conversions or alternative SS benefits, the impact of these exclusions is somewhat mitigated. 
</t>
        </r>
      </text>
    </comment>
    <comment ref="B192" authorId="0" shapeId="0">
      <text>
        <r>
          <rPr>
            <b/>
            <sz val="11"/>
            <color indexed="12"/>
            <rFont val="Tahoma"/>
            <family val="2"/>
          </rPr>
          <t xml:space="preserve">Qualified Dividends and Long-Term Capital Gains are substracted from Federal taxable income here.  While a portion of these may be taxed on your Federal return, the rates are below the marginal rates, so for modeling puposes and simplicity they are excluded from taxable Federal income (but not state).
</t>
        </r>
      </text>
    </comment>
    <comment ref="B193" authorId="0" shapeId="0">
      <text>
        <r>
          <rPr>
            <b/>
            <sz val="11"/>
            <color indexed="12"/>
            <rFont val="Tahoma"/>
            <family val="2"/>
          </rPr>
          <t>Forecast Taxable Income less estimate of Qualified Dividends and Long Term Capital Gains.  The taxes on these two income items are, as of version 19.0, are not calculated and included in Federal or state taxes.</t>
        </r>
      </text>
    </comment>
    <comment ref="B207" authorId="0" shapeId="0">
      <text>
        <r>
          <rPr>
            <b/>
            <sz val="11"/>
            <color indexed="12"/>
            <rFont val="Tahoma"/>
            <family val="2"/>
          </rPr>
          <t>Includes taxable account LTCG and Qualified Dividends that are deducted in determining  Federal taxable income.</t>
        </r>
      </text>
    </comment>
    <comment ref="B211" authorId="0" shapeId="0">
      <text>
        <r>
          <rPr>
            <b/>
            <sz val="11"/>
            <color indexed="12"/>
            <rFont val="Tahoma"/>
            <family val="2"/>
          </rPr>
          <t>If the provided calculated amounts are not providing a reasonable Adjusted Gross Income amount then enter adjustments directly here.
Adjustments might include: additional income, capital gain taxes on the sale of taxable account assets, tax credits, etc.</t>
        </r>
      </text>
    </comment>
    <comment ref="D211" authorId="0" shapeId="0">
      <text>
        <r>
          <rPr>
            <b/>
            <sz val="11"/>
            <color indexed="12"/>
            <rFont val="Tahoma"/>
            <family val="2"/>
          </rPr>
          <t>Enter yearly amounts to adjust the model's AGI calculation for factors not included in the model.
Postive +: increase AGI 
Negative -: reduce AGI</t>
        </r>
      </text>
    </comment>
    <comment ref="B216" authorId="0" shapeId="0">
      <text>
        <r>
          <rPr>
            <b/>
            <sz val="11"/>
            <color indexed="12"/>
            <rFont val="Tahoma"/>
            <family val="2"/>
          </rPr>
          <t xml:space="preserve">If Federal itemized deduction is used for the state, it will continue only as long as set in the Setup entry.
If a second state is set to use intemized but it was set to change to standard deduction prior to the move, zero will be shown for the deduction.
</t>
        </r>
      </text>
    </comment>
    <comment ref="D267" authorId="0" shapeId="0">
      <text>
        <r>
          <rPr>
            <b/>
            <sz val="11"/>
            <color indexed="12"/>
            <rFont val="Tahoma"/>
            <family val="2"/>
          </rPr>
          <t>This adjustment applies to only the ACA credit calculation.</t>
        </r>
      </text>
    </comment>
    <comment ref="C269" authorId="0" shapeId="0">
      <text>
        <r>
          <rPr>
            <b/>
            <sz val="11"/>
            <color indexed="81"/>
            <rFont val="Tahoma"/>
            <family val="2"/>
          </rPr>
          <t>Form 2555</t>
        </r>
        <r>
          <rPr>
            <sz val="9"/>
            <color indexed="81"/>
            <rFont val="Tahoma"/>
            <family val="2"/>
          </rPr>
          <t xml:space="preserve">
</t>
        </r>
      </text>
    </comment>
    <comment ref="D269" authorId="0" shapeId="0">
      <text>
        <r>
          <rPr>
            <b/>
            <sz val="11"/>
            <color indexed="12"/>
            <rFont val="Tahoma"/>
            <family val="2"/>
          </rPr>
          <t>Enter yearly amounts to adjust the model's MAGI calculation for factors not included in the model.</t>
        </r>
        <r>
          <rPr>
            <sz val="11"/>
            <color indexed="12"/>
            <rFont val="Tahoma"/>
            <family val="2"/>
          </rPr>
          <t xml:space="preserve">
</t>
        </r>
      </text>
    </comment>
    <comment ref="B272" authorId="0" shapeId="0">
      <text>
        <r>
          <rPr>
            <b/>
            <sz val="11"/>
            <color indexed="12"/>
            <rFont val="Tahoma"/>
            <family val="2"/>
          </rPr>
          <t>Since 2007 Medicare participants with higher incomes have been required to pay higher Part B monthly premiums, the income-related monthly adjustment amount (IRMAA). This could add up to about $300 to the monthly premiums.
In 2011 Part D premiums were also subject to this adjustment.  This could add up to about another $100 to the monthly premiums.
These impact fewer than 5 percent of people with Medicare but this may increase in future years. 
The calculation of the estimated income-related monthly adjustment amount (IRMAA) is on the Tax Tables page.  The estimated amounts are shown here for information only, and are not included in any expense amounts.
If they are significant, adjust your expense entry on the Setup page or add them to the manual-entry expense line in the expense section above.</t>
        </r>
      </text>
    </comment>
    <comment ref="B273" authorId="0" shapeId="0">
      <text>
        <r>
          <rPr>
            <b/>
            <sz val="11"/>
            <color indexed="12"/>
            <rFont val="Tahoma"/>
            <family val="2"/>
          </rPr>
          <t>If you are buying health insurance under the Affordable Care Act before Medicare starts at 65, you may be eligiible for subsidies based on your level of income relative to the Federal poverty levels (FPL).
You qualify for the premium subsidy only if your modified adjusted gross income (MAGI) is at least 100% and less than 400% of FPL.
This is an estimate of the number of years you or your spouse may be eligible for subsidies using the FPL calculation and your ages.
This was changed in 18.1 to years eligible for subsidy. Previously it was years ineligble.</t>
        </r>
      </text>
    </comment>
    <comment ref="F276" authorId="0" shapeId="0">
      <text>
        <r>
          <rPr>
            <b/>
            <sz val="11"/>
            <color indexed="12"/>
            <rFont val="Tahoma"/>
            <family val="2"/>
          </rPr>
          <t>The rows below contain calculations and are hidden by default to simplify the viewing of results. These macros allow the viewing and re-hiding of these rows. 
Uses macros:
Show_Support
Hide_Support</t>
        </r>
        <r>
          <rPr>
            <sz val="11"/>
            <color indexed="12"/>
            <rFont val="Tahoma"/>
            <family val="2"/>
          </rPr>
          <t xml:space="preserve">
</t>
        </r>
      </text>
    </comment>
    <comment ref="B277" authorId="0" shapeId="0">
      <text>
        <r>
          <rPr>
            <b/>
            <sz val="11"/>
            <color indexed="81"/>
            <rFont val="Tahoma"/>
            <family val="2"/>
          </rPr>
          <t xml:space="preserve">Wages, pensions, annuities, SPIA (less exclusion), other, tIRA withdrawals, conversion of tIRA funds to Roth. 
</t>
        </r>
        <r>
          <rPr>
            <b/>
            <sz val="10"/>
            <color indexed="81"/>
            <rFont val="Tahoma"/>
            <family val="2"/>
          </rPr>
          <t xml:space="preserve">
</t>
        </r>
      </text>
    </comment>
    <comment ref="C287" authorId="0" shapeId="0">
      <text>
        <r>
          <rPr>
            <b/>
            <sz val="12"/>
            <color indexed="10"/>
            <rFont val="Tahoma"/>
            <family val="2"/>
          </rPr>
          <t>Make sure all taxable account changes are included here.  Except automatic withdrawals which use this line.</t>
        </r>
      </text>
    </comment>
    <comment ref="D287" authorId="0" shapeId="0">
      <text>
        <r>
          <rPr>
            <b/>
            <sz val="11"/>
            <color indexed="17"/>
            <rFont val="Tahoma"/>
            <family val="2"/>
          </rPr>
          <t xml:space="preserve">QCD was not deducted from Taxable Acct balances in calculating earnings.  Earnings were overstated. Fixed in v18.0.
</t>
        </r>
      </text>
    </comment>
    <comment ref="D302" authorId="0" shapeId="0">
      <text>
        <r>
          <rPr>
            <b/>
            <sz val="11"/>
            <color indexed="81"/>
            <rFont val="Tahoma"/>
            <family val="2"/>
          </rPr>
          <t>In order to include automatic withdrawals from tIRA accounts in taxable income, while avoiding a circular calculation, it was necessary to refer to the previous years taxes in these formulas rather than the current year true  amount, resulting in a rough estimate of the funds needed in the current year.  This may result in some negative taxable account balances.</t>
        </r>
      </text>
    </comment>
    <comment ref="F302" authorId="0" shapeId="0">
      <text>
        <r>
          <rPr>
            <b/>
            <sz val="11"/>
            <color indexed="81"/>
            <rFont val="Tahoma"/>
            <family val="2"/>
          </rPr>
          <t>In order to include automatic withdrawals from tIRA accounts in taxable income, while avoiding a circular calculation, it was necessary to refer to the previous years taxes in these formulas rather than the current year true  amount, resulting in a rough estimate of the funds needed in the current year.  This may result in some negative taxable account balances.</t>
        </r>
      </text>
    </comment>
    <comment ref="C306" authorId="0" shapeId="0">
      <text>
        <r>
          <rPr>
            <b/>
            <sz val="11"/>
            <color indexed="17"/>
            <rFont val="Tahoma"/>
            <family val="2"/>
          </rPr>
          <t xml:space="preserve">The years that withdrawals are made to these accounts are sed in determing the Available for Withdrawals amounts.  
So while an account may have a balance, zero will be shown in the Availble lines if the year is outside the withdrawal start and end ages.
</t>
        </r>
      </text>
    </comment>
  </commentList>
</comments>
</file>

<file path=xl/comments6.xml><?xml version="1.0" encoding="utf-8"?>
<comments xmlns="http://schemas.openxmlformats.org/spreadsheetml/2006/main">
  <authors>
    <author>Author</author>
  </authors>
  <commentList>
    <comment ref="E1" authorId="0" shapeId="0">
      <text>
        <r>
          <rPr>
            <b/>
            <sz val="11"/>
            <color indexed="81"/>
            <rFont val="Tahoma"/>
            <family val="2"/>
          </rPr>
          <t xml:space="preserve">The Base case contains the yearly account balances, income and expenses resulting from the data you entered on the Setup page, </t>
        </r>
        <r>
          <rPr>
            <b/>
            <sz val="11"/>
            <color indexed="10"/>
            <rFont val="Tahoma"/>
            <family val="2"/>
          </rPr>
          <t xml:space="preserve">excluding Roth conversions and expenditures and alternative Social Security benefits.  
</t>
        </r>
        <r>
          <rPr>
            <b/>
            <sz val="11"/>
            <color indexed="81"/>
            <rFont val="Tahoma"/>
            <family val="2"/>
          </rPr>
          <t xml:space="preserve">
There are no user input cells or fields on this page.
After entering your data on the Setup page, review this data to insure there are no negative balances in any year in any of the accounts.  While the model will prevent some negatives from occurring, you should adjust your assumptions as necessary to eliminate any that may occur.  This will help insure the integrity of the calculated results.
Some rows of data used in calculating a primary result, such as total SS benefits, have been hidden to simplify the schedule.  You can  unhide these rows if you want using the "Show" button or via the spreadsheet menu.  </t>
        </r>
        <r>
          <rPr>
            <b/>
            <sz val="11"/>
            <color indexed="10"/>
            <rFont val="Tahoma"/>
            <family val="2"/>
          </rPr>
          <t>These rows are above lines with titles that have the ^ symbol.</t>
        </r>
        <r>
          <rPr>
            <b/>
            <sz val="11"/>
            <color indexed="81"/>
            <rFont val="Tahoma"/>
            <family val="2"/>
          </rPr>
          <t xml:space="preserve">
This page has Protection turned on to prevent inadvertent changes to any cell.  To turn it off, select Tools - Protection - Unprotect Sheet.  There is no password.</t>
        </r>
      </text>
    </comment>
    <comment ref="F1" authorId="0" shapeId="0">
      <text>
        <r>
          <rPr>
            <b/>
            <sz val="11"/>
            <color indexed="12"/>
            <rFont val="Tahoma"/>
            <family val="2"/>
          </rPr>
          <t>Shows or hides the column letters and row numbers and all the cell outlines.
Uses macros: 
HeaderShow
HeaderHide</t>
        </r>
        <r>
          <rPr>
            <sz val="11"/>
            <color indexed="12"/>
            <rFont val="Tahoma"/>
            <family val="2"/>
          </rPr>
          <t xml:space="preserve">
</t>
        </r>
      </text>
    </comment>
    <comment ref="H1" authorId="0" shapeId="0">
      <text>
        <r>
          <rPr>
            <b/>
            <sz val="11"/>
            <color indexed="12"/>
            <rFont val="Tahoma"/>
            <family val="2"/>
          </rPr>
          <t xml:space="preserve">Some rows containing account details and calculations are hidden by default to simplify the viewing of results. These macros allow the viewing and re-hiding of these rows. 
Uses macros:
Show
Hide
</t>
        </r>
      </text>
    </comment>
    <comment ref="K1" authorId="0" shapeId="0">
      <text>
        <r>
          <rPr>
            <sz val="9"/>
            <color indexed="81"/>
            <rFont val="Tahoma"/>
            <family val="2"/>
          </rPr>
          <t xml:space="preserve">Enter case title on Setup page
</t>
        </r>
      </text>
    </comment>
    <comment ref="BD1" authorId="0" shapeId="0">
      <text>
        <r>
          <rPr>
            <b/>
            <sz val="11"/>
            <color indexed="81"/>
            <rFont val="Tahoma"/>
            <family val="2"/>
          </rPr>
          <t>This page contains the detailed differences between the Full case and the Base case (Full amounts minus Base amounts)  There is no user input cells or fields on this page.
Review this page to see how the two cases differ.  
This page has Protection turned on to prevent inadvertent changes to any cell.  To turn it off, select Tools - Protection - Unprotect Sheet.  There is no password.</t>
        </r>
      </text>
    </comment>
    <comment ref="F4" authorId="0" shapeId="0">
      <text>
        <r>
          <rPr>
            <b/>
            <sz val="11"/>
            <color indexed="81"/>
            <rFont val="Tahoma"/>
            <family val="2"/>
          </rPr>
          <t xml:space="preserve">Your age
</t>
        </r>
      </text>
    </comment>
    <comment ref="AY4" authorId="0" shapeId="0">
      <text>
        <r>
          <rPr>
            <b/>
            <sz val="11"/>
            <color indexed="81"/>
            <rFont val="Tahoma"/>
            <family val="2"/>
          </rPr>
          <t xml:space="preserve">Your age
</t>
        </r>
      </text>
    </comment>
    <comment ref="F5" authorId="0" shapeId="0">
      <text>
        <r>
          <rPr>
            <b/>
            <sz val="11"/>
            <color indexed="81"/>
            <rFont val="Tahoma"/>
            <family val="2"/>
          </rPr>
          <t xml:space="preserve">Spouse's age
</t>
        </r>
      </text>
    </comment>
    <comment ref="AY5" authorId="0" shapeId="0">
      <text>
        <r>
          <rPr>
            <b/>
            <sz val="11"/>
            <color indexed="81"/>
            <rFont val="Tahoma"/>
            <family val="2"/>
          </rPr>
          <t xml:space="preserve">Spouse's age
</t>
        </r>
      </text>
    </comment>
    <comment ref="B7" authorId="0" shapeId="0">
      <text>
        <r>
          <rPr>
            <b/>
            <sz val="11"/>
            <color indexed="81"/>
            <rFont val="Tahoma"/>
            <family val="2"/>
          </rPr>
          <t>Beginning of year balances
^ symbol  indicates hidden details rows above</t>
        </r>
      </text>
    </comment>
    <comment ref="F8" authorId="0" shapeId="0">
      <text>
        <r>
          <rPr>
            <b/>
            <sz val="11"/>
            <color indexed="12"/>
            <rFont val="Tahoma"/>
            <family val="2"/>
          </rPr>
          <t xml:space="preserve">A green font in this column indicates the formula in the cell is different from those in the cells to the right.
</t>
        </r>
      </text>
    </comment>
    <comment ref="A9" authorId="0" shapeId="0">
      <text>
        <r>
          <rPr>
            <b/>
            <sz val="11"/>
            <color indexed="12"/>
            <rFont val="Tahoma"/>
            <family val="2"/>
          </rPr>
          <t xml:space="preserve">All rows with a "c" in column A will be hidden or shown using the "hidden rows" macro.
</t>
        </r>
      </text>
    </comment>
    <comment ref="F12" authorId="0" shapeId="0">
      <text>
        <r>
          <rPr>
            <b/>
            <sz val="10"/>
            <color indexed="81"/>
            <rFont val="Tahoma"/>
            <family val="2"/>
          </rPr>
          <t>Must be zero at start of year. Inherited IRAs in first year will show in second year beginning balances.</t>
        </r>
      </text>
    </comment>
    <comment ref="B28" authorId="0" shapeId="0">
      <text>
        <r>
          <rPr>
            <b/>
            <sz val="11"/>
            <color indexed="81"/>
            <rFont val="Tahoma"/>
            <family val="2"/>
          </rPr>
          <t>Taxable income
Calculated on average of yearly beginning and pre-taxes ending balances.
See detail of this calculation at the bottom of the page.</t>
        </r>
      </text>
    </comment>
    <comment ref="B43" authorId="0" shapeId="0">
      <text>
        <r>
          <rPr>
            <b/>
            <sz val="11"/>
            <color indexed="12"/>
            <rFont val="Tahoma"/>
            <family val="2"/>
          </rPr>
          <t xml:space="preserve">Note: These formulas differ from the Base portfolio  in order to calculate the optional SS feature that compares alternative starting years and benefit amounts.
</t>
        </r>
      </text>
    </comment>
    <comment ref="B48" authorId="0" shapeId="0">
      <text>
        <r>
          <rPr>
            <b/>
            <sz val="11"/>
            <color indexed="12"/>
            <rFont val="Tahoma"/>
            <family val="2"/>
          </rPr>
          <t xml:space="preserve">Note: These formulas differ from the Base portfolio  in order to calculate the optional SS feature that compares alternative starting years and benefit amounts.
</t>
        </r>
      </text>
    </comment>
    <comment ref="B54" authorId="0" shapeId="0">
      <text>
        <r>
          <rPr>
            <b/>
            <sz val="11"/>
            <color indexed="12"/>
            <rFont val="Tahoma"/>
            <family val="2"/>
          </rPr>
          <t xml:space="preserve">Note: These formulas differ from the Base portfolio  in order to calculate the optional SS feature that compares alternative starting years and benefit amounts.
</t>
        </r>
      </text>
    </comment>
    <comment ref="B59" authorId="0" shapeId="0">
      <text>
        <r>
          <rPr>
            <b/>
            <sz val="11"/>
            <color indexed="12"/>
            <rFont val="Tahoma"/>
            <family val="2"/>
          </rPr>
          <t xml:space="preserve">Note: These formulas differ from the Base portfolio  in order to calculate the optional SS feature that compares alternative starting years and benefit amounts.
</t>
        </r>
      </text>
    </comment>
    <comment ref="B61" authorId="0" shapeId="0">
      <text>
        <r>
          <rPr>
            <b/>
            <sz val="11"/>
            <color indexed="12"/>
            <rFont val="Tahoma"/>
            <family val="2"/>
          </rPr>
          <t>A portion may be Federal taxable income.</t>
        </r>
      </text>
    </comment>
    <comment ref="F62" authorId="0" shapeId="0">
      <text>
        <r>
          <rPr>
            <b/>
            <sz val="10"/>
            <color indexed="81"/>
            <rFont val="Tahoma"/>
            <family val="2"/>
          </rPr>
          <t>Note: Formulas on this row differ from the other case as inclusion in the Base case is optional.</t>
        </r>
      </text>
    </comment>
    <comment ref="F63" authorId="0" shapeId="0">
      <text>
        <r>
          <rPr>
            <b/>
            <sz val="10"/>
            <color indexed="81"/>
            <rFont val="Tahoma"/>
            <family val="2"/>
          </rPr>
          <t>Note: Formulas on this row differ from the other case as inclusion in the Base case is optional.</t>
        </r>
      </text>
    </comment>
    <comment ref="F64" authorId="0" shapeId="0">
      <text>
        <r>
          <rPr>
            <b/>
            <sz val="10"/>
            <color indexed="81"/>
            <rFont val="Tahoma"/>
            <family val="2"/>
          </rPr>
          <t>Note: Formulas on this row differ from the other case as inclusion in the Base case is optional.</t>
        </r>
      </text>
    </comment>
    <comment ref="B70" authorId="0" shapeId="0">
      <text>
        <r>
          <rPr>
            <b/>
            <sz val="11"/>
            <color indexed="12"/>
            <rFont val="Tahoma"/>
            <family val="2"/>
          </rPr>
          <t>Taxable income</t>
        </r>
      </text>
    </comment>
    <comment ref="B88" authorId="0" shapeId="0">
      <text>
        <r>
          <rPr>
            <b/>
            <sz val="11"/>
            <color indexed="12"/>
            <rFont val="Tahoma"/>
            <family val="2"/>
          </rPr>
          <t>Taxable income</t>
        </r>
        <r>
          <rPr>
            <b/>
            <sz val="11"/>
            <color indexed="81"/>
            <rFont val="Tahoma"/>
            <family val="2"/>
          </rPr>
          <t xml:space="preserve">
</t>
        </r>
      </text>
    </comment>
    <comment ref="F88" authorId="0" shapeId="0">
      <text>
        <r>
          <rPr>
            <b/>
            <sz val="11"/>
            <color indexed="12"/>
            <rFont val="Tahoma"/>
            <family val="2"/>
          </rPr>
          <t>Note: Formulas on this row differ from the other case because of the optional base case withdrawal adjustment.</t>
        </r>
      </text>
    </comment>
    <comment ref="B89" authorId="0" shapeId="0">
      <text>
        <r>
          <rPr>
            <b/>
            <sz val="11"/>
            <color indexed="12"/>
            <rFont val="Tahoma"/>
            <family val="2"/>
          </rPr>
          <t>Taxable income</t>
        </r>
        <r>
          <rPr>
            <b/>
            <sz val="11"/>
            <color indexed="81"/>
            <rFont val="Tahoma"/>
            <family val="2"/>
          </rPr>
          <t xml:space="preserve">
</t>
        </r>
      </text>
    </comment>
    <comment ref="F89" authorId="0" shapeId="0">
      <text>
        <r>
          <rPr>
            <b/>
            <sz val="11"/>
            <color indexed="12"/>
            <rFont val="Tahoma"/>
            <family val="2"/>
          </rPr>
          <t>Note: Formulas on this row differ from the other case because of the optional base case withdrawal adjustment.</t>
        </r>
      </text>
    </comment>
    <comment ref="B91" authorId="0" shapeId="0">
      <text>
        <r>
          <rPr>
            <b/>
            <sz val="11"/>
            <color indexed="12"/>
            <rFont val="Tahoma"/>
            <family val="2"/>
          </rPr>
          <t>Taxable income</t>
        </r>
        <r>
          <rPr>
            <b/>
            <sz val="11"/>
            <color indexed="81"/>
            <rFont val="Tahoma"/>
            <family val="2"/>
          </rPr>
          <t xml:space="preserve">
</t>
        </r>
      </text>
    </comment>
    <comment ref="C91" authorId="0" shapeId="0">
      <text>
        <r>
          <rPr>
            <b/>
            <sz val="11"/>
            <color indexed="12"/>
            <rFont val="Tahoma"/>
            <family val="2"/>
          </rPr>
          <t>Includes IRA 1 withdrawals #1 and #2 plus optional withdrawal adjustments #1 and #2 just for this base portfolio.   If the optional adjustments are zero  the cell note will say "Same as Full", otherwise the note will say "Differs from Full".</t>
        </r>
        <r>
          <rPr>
            <sz val="11"/>
            <color indexed="12"/>
            <rFont val="Tahoma"/>
            <family val="2"/>
          </rPr>
          <t xml:space="preserve">
</t>
        </r>
      </text>
    </comment>
    <comment ref="F92" authorId="0" shapeId="0">
      <text>
        <r>
          <rPr>
            <b/>
            <sz val="11"/>
            <color indexed="12"/>
            <rFont val="Tahoma"/>
            <family val="2"/>
          </rPr>
          <t xml:space="preserve">Additional error check added to prevent #VALUE error if no RMD age entered.
</t>
        </r>
      </text>
    </comment>
    <comment ref="B94" authorId="0" shapeId="0">
      <text>
        <r>
          <rPr>
            <b/>
            <sz val="11"/>
            <color indexed="12"/>
            <rFont val="Tahoma"/>
            <family val="2"/>
          </rPr>
          <t>Taxable income</t>
        </r>
        <r>
          <rPr>
            <b/>
            <sz val="11"/>
            <color indexed="81"/>
            <rFont val="Tahoma"/>
            <family val="2"/>
          </rPr>
          <t xml:space="preserve">
</t>
        </r>
      </text>
    </comment>
    <comment ref="B95" authorId="0" shapeId="0">
      <text>
        <r>
          <rPr>
            <b/>
            <sz val="11"/>
            <color indexed="12"/>
            <rFont val="Tahoma"/>
            <family val="2"/>
          </rPr>
          <t>Taxable income</t>
        </r>
        <r>
          <rPr>
            <b/>
            <sz val="11"/>
            <color indexed="81"/>
            <rFont val="Tahoma"/>
            <family val="2"/>
          </rPr>
          <t xml:space="preserve">
</t>
        </r>
      </text>
    </comment>
    <comment ref="B99" authorId="0" shapeId="0">
      <text>
        <r>
          <rPr>
            <b/>
            <sz val="11"/>
            <color indexed="12"/>
            <rFont val="Tahoma"/>
            <family val="2"/>
          </rPr>
          <t>Taxable income</t>
        </r>
        <r>
          <rPr>
            <b/>
            <sz val="11"/>
            <color indexed="81"/>
            <rFont val="Tahoma"/>
            <family val="2"/>
          </rPr>
          <t xml:space="preserve">
</t>
        </r>
      </text>
    </comment>
    <comment ref="C99" authorId="0" shapeId="0">
      <text>
        <r>
          <rPr>
            <b/>
            <sz val="11"/>
            <color indexed="12"/>
            <rFont val="Tahoma"/>
            <family val="2"/>
          </rPr>
          <t>Includes IRA 2 withdrawal plus the optional withdrawal adjustment just for this base portfolio.   If the optional adjustment is zero  the cell note will say "Same as Full", otherwise the note will say "Differs from Full".</t>
        </r>
        <r>
          <rPr>
            <sz val="11"/>
            <color indexed="12"/>
            <rFont val="Tahoma"/>
            <family val="2"/>
          </rPr>
          <t xml:space="preserve">
</t>
        </r>
      </text>
    </comment>
    <comment ref="F99" authorId="0" shapeId="0">
      <text>
        <r>
          <rPr>
            <b/>
            <sz val="11"/>
            <color indexed="12"/>
            <rFont val="Tahoma"/>
            <family val="2"/>
          </rPr>
          <t>Note: Formulas on this row differ from the other case because of the optional base case withdrawal adjustment.</t>
        </r>
      </text>
    </comment>
    <comment ref="F100" authorId="0" shapeId="0">
      <text>
        <r>
          <rPr>
            <b/>
            <sz val="11"/>
            <color indexed="12"/>
            <rFont val="Tahoma"/>
            <family val="2"/>
          </rPr>
          <t xml:space="preserve">Additional error check added to prevent #VALUE error if no RMD age entered.
</t>
        </r>
        <r>
          <rPr>
            <b/>
            <sz val="10"/>
            <color indexed="81"/>
            <rFont val="Tahoma"/>
            <family val="2"/>
          </rPr>
          <t xml:space="preserve">
</t>
        </r>
      </text>
    </comment>
    <comment ref="B102" authorId="0" shapeId="0">
      <text>
        <r>
          <rPr>
            <b/>
            <sz val="11"/>
            <color indexed="12"/>
            <rFont val="Tahoma"/>
            <family val="2"/>
          </rPr>
          <t>Taxable income</t>
        </r>
        <r>
          <rPr>
            <b/>
            <sz val="11"/>
            <color indexed="81"/>
            <rFont val="Tahoma"/>
            <family val="2"/>
          </rPr>
          <t xml:space="preserve">
</t>
        </r>
      </text>
    </comment>
    <comment ref="B103" authorId="0" shapeId="0">
      <text>
        <r>
          <rPr>
            <b/>
            <sz val="11"/>
            <color indexed="12"/>
            <rFont val="Tahoma"/>
            <family val="2"/>
          </rPr>
          <t>Taxable income</t>
        </r>
        <r>
          <rPr>
            <b/>
            <sz val="11"/>
            <color indexed="81"/>
            <rFont val="Tahoma"/>
            <family val="2"/>
          </rPr>
          <t xml:space="preserve">
</t>
        </r>
      </text>
    </comment>
    <comment ref="B112" authorId="0" shapeId="0">
      <text>
        <r>
          <rPr>
            <b/>
            <sz val="11"/>
            <color indexed="12"/>
            <rFont val="Tahoma"/>
            <family val="2"/>
          </rPr>
          <t>Taxable income</t>
        </r>
        <r>
          <rPr>
            <b/>
            <sz val="11"/>
            <color indexed="81"/>
            <rFont val="Tahoma"/>
            <family val="2"/>
          </rPr>
          <t xml:space="preserve">
</t>
        </r>
      </text>
    </comment>
    <comment ref="B115" authorId="0" shapeId="0">
      <text>
        <r>
          <rPr>
            <b/>
            <sz val="11"/>
            <color indexed="12"/>
            <rFont val="Tahoma"/>
            <family val="2"/>
          </rPr>
          <t>Taxable income</t>
        </r>
        <r>
          <rPr>
            <b/>
            <sz val="11"/>
            <color indexed="81"/>
            <rFont val="Tahoma"/>
            <family val="2"/>
          </rPr>
          <t xml:space="preserve">
</t>
        </r>
      </text>
    </comment>
    <comment ref="B118" authorId="0" shapeId="0">
      <text>
        <r>
          <rPr>
            <b/>
            <sz val="11"/>
            <color indexed="12"/>
            <rFont val="Tahoma"/>
            <family val="2"/>
          </rPr>
          <t>Taxable income</t>
        </r>
        <r>
          <rPr>
            <b/>
            <sz val="11"/>
            <color indexed="81"/>
            <rFont val="Tahoma"/>
            <family val="2"/>
          </rPr>
          <t xml:space="preserve">
</t>
        </r>
      </text>
    </comment>
    <comment ref="B126" authorId="0" shapeId="0">
      <text>
        <r>
          <rPr>
            <b/>
            <sz val="11"/>
            <color indexed="17"/>
            <rFont val="Tahoma"/>
            <family val="2"/>
          </rPr>
          <t>Automatic withdrawals not available for Roth 2</t>
        </r>
      </text>
    </comment>
    <comment ref="B133" authorId="0" shapeId="0">
      <text>
        <r>
          <rPr>
            <b/>
            <sz val="11"/>
            <color indexed="12"/>
            <rFont val="Tahoma"/>
            <family val="2"/>
          </rPr>
          <t>Taxable income</t>
        </r>
        <r>
          <rPr>
            <b/>
            <sz val="11"/>
            <color indexed="81"/>
            <rFont val="Tahoma"/>
            <family val="2"/>
          </rPr>
          <t xml:space="preserve">
</t>
        </r>
      </text>
    </comment>
    <comment ref="B137" authorId="0" shapeId="0">
      <text>
        <r>
          <rPr>
            <b/>
            <sz val="11"/>
            <color indexed="81"/>
            <rFont val="Tahoma"/>
            <family val="2"/>
          </rPr>
          <t xml:space="preserve">Qualified Charitable Deductions included in IRA RMDs.  This entry reduces the amount of RMD going into the taxable account, as the payment is to the charity.
Source of donation:
i1 (IRA 1) 
i2 (IRA 2) 
h1 (Inherited IRA 1)
h2 (Inherited IRA 2) 
</t>
        </r>
      </text>
    </comment>
    <comment ref="B139" authorId="0" shapeId="0">
      <text>
        <r>
          <rPr>
            <b/>
            <sz val="11"/>
            <color indexed="81"/>
            <rFont val="Tahoma"/>
            <family val="2"/>
          </rPr>
          <t>Change in Taxable account before expenses and income taxes.
Includes:
Yearly earnings on avr balance
SS benefits
SPIA income
IRA 1&amp;2 contributions
Special events
IRA withdrawals incl inherited
IRA RMD incl inherited
Roth withdrawals
Roth conversion withdrawals</t>
        </r>
      </text>
    </comment>
    <comment ref="D142" authorId="0" shapeId="0">
      <text>
        <r>
          <rPr>
            <b/>
            <sz val="11"/>
            <color indexed="12"/>
            <rFont val="Tahoma"/>
            <family val="2"/>
          </rPr>
          <t>Inflation rate</t>
        </r>
      </text>
    </comment>
    <comment ref="B143" authorId="0" shapeId="0">
      <text>
        <r>
          <rPr>
            <b/>
            <sz val="11"/>
            <color indexed="12"/>
            <rFont val="Tahoma"/>
            <family val="2"/>
          </rPr>
          <t>If the automatic expense amounts are not providing a reasonable result in one or more years, use this line to add aor reduce expenses.
Adjustments might include: more large expenditures than the Special Events section provides for, temporary expenditures, etc.</t>
        </r>
      </text>
    </comment>
    <comment ref="D146" authorId="0" shapeId="0">
      <text>
        <r>
          <rPr>
            <b/>
            <sz val="11"/>
            <color indexed="12"/>
            <rFont val="Tahoma"/>
            <family val="2"/>
          </rPr>
          <t>Final year</t>
        </r>
        <r>
          <rPr>
            <b/>
            <sz val="11"/>
            <color indexed="81"/>
            <rFont val="Tahoma"/>
            <family val="2"/>
          </rPr>
          <t xml:space="preserve">
</t>
        </r>
      </text>
    </comment>
    <comment ref="B151" authorId="0" shapeId="0">
      <text>
        <r>
          <rPr>
            <b/>
            <sz val="12"/>
            <color indexed="81"/>
            <rFont val="Tahoma"/>
            <family val="2"/>
          </rPr>
          <t>The benefits entered in Setup which will also be the amount from the annual Social Security Benefit Statement - box 5</t>
        </r>
      </text>
    </comment>
    <comment ref="B153" authorId="0" shapeId="0">
      <text>
        <r>
          <rPr>
            <b/>
            <sz val="11"/>
            <color indexed="81"/>
            <rFont val="Tahoma"/>
            <family val="2"/>
          </rPr>
          <t xml:space="preserve">Includes
7. wages, salaries, tips, etc.
8a. taxable interest
8b. tax-exempt interest
9a. ordinary dividends
10. taxable refunds, credits
11. alimony
12. business income or (loos)
13. capital gains or (loss)
14. other gains or (losses)
15b. IRA distributions taxable
16b. pensions and annuities taxable
17. rental, royalities, etc.
18. farm income or (loss)
19. unemployment comp
21. other income
</t>
        </r>
      </text>
    </comment>
    <comment ref="B165" authorId="0" shapeId="0">
      <text>
        <r>
          <rPr>
            <b/>
            <sz val="11"/>
            <color indexed="12"/>
            <rFont val="Tahoma"/>
            <family val="2"/>
          </rPr>
          <t>Taxable income</t>
        </r>
        <r>
          <rPr>
            <b/>
            <sz val="11"/>
            <color indexed="81"/>
            <rFont val="Tahoma"/>
            <family val="2"/>
          </rPr>
          <t xml:space="preserve">
</t>
        </r>
      </text>
    </comment>
    <comment ref="B169" authorId="0" shapeId="0">
      <text>
        <r>
          <rPr>
            <b/>
            <sz val="11"/>
            <color indexed="12"/>
            <rFont val="Tahoma"/>
            <family val="2"/>
          </rPr>
          <t>Taxable income after adjustments</t>
        </r>
        <r>
          <rPr>
            <b/>
            <sz val="11"/>
            <color indexed="81"/>
            <rFont val="Tahoma"/>
            <family val="2"/>
          </rPr>
          <t xml:space="preserve">
</t>
        </r>
      </text>
    </comment>
    <comment ref="B170" authorId="0" shapeId="0">
      <text>
        <r>
          <rPr>
            <b/>
            <sz val="11"/>
            <color indexed="81"/>
            <rFont val="Tahoma"/>
            <family val="2"/>
          </rPr>
          <t xml:space="preserve">The portion of taxable account earnings that are from tax-exempt investments as specified in the asset allocation.  Calculation of this amount is in the "Taxable account earnings by asset class" section further down.
</t>
        </r>
      </text>
    </comment>
    <comment ref="B171" authorId="0" shapeId="0">
      <text>
        <r>
          <rPr>
            <b/>
            <sz val="11"/>
            <color indexed="81"/>
            <rFont val="Tahoma"/>
            <family val="2"/>
          </rPr>
          <t>The estimate of that portion of taxable account earnings, net of tax-exempt earnings, that represent capital gains and dividends for taxpayers in the 0%-15% brackets and thus have a 0% tax rate.</t>
        </r>
      </text>
    </comment>
    <comment ref="B172" authorId="0" shapeId="0">
      <text>
        <r>
          <rPr>
            <b/>
            <sz val="11"/>
            <color indexed="12"/>
            <rFont val="Tahoma"/>
            <family val="2"/>
          </rPr>
          <t>Taxable income</t>
        </r>
        <r>
          <rPr>
            <b/>
            <sz val="11"/>
            <color indexed="81"/>
            <rFont val="Tahoma"/>
            <family val="2"/>
          </rPr>
          <t xml:space="preserve">
</t>
        </r>
      </text>
    </comment>
    <comment ref="B175" authorId="0" shapeId="0">
      <text>
        <r>
          <rPr>
            <b/>
            <sz val="11"/>
            <color indexed="12"/>
            <rFont val="Tahoma"/>
            <family val="2"/>
          </rPr>
          <t>Taxable income</t>
        </r>
        <r>
          <rPr>
            <b/>
            <sz val="11"/>
            <color indexed="81"/>
            <rFont val="Tahoma"/>
            <family val="2"/>
          </rPr>
          <t xml:space="preserve">
</t>
        </r>
      </text>
    </comment>
    <comment ref="B176" authorId="0" shapeId="0">
      <text>
        <r>
          <rPr>
            <b/>
            <sz val="11"/>
            <color indexed="12"/>
            <rFont val="Tahoma"/>
            <family val="2"/>
          </rPr>
          <t>Taxable income</t>
        </r>
        <r>
          <rPr>
            <b/>
            <sz val="11"/>
            <color indexed="81"/>
            <rFont val="Tahoma"/>
            <family val="2"/>
          </rPr>
          <t xml:space="preserve">
</t>
        </r>
      </text>
    </comment>
    <comment ref="B177" authorId="0" shapeId="0">
      <text>
        <r>
          <rPr>
            <b/>
            <sz val="11"/>
            <color indexed="12"/>
            <rFont val="Tahoma"/>
            <family val="2"/>
          </rPr>
          <t>Taxable income</t>
        </r>
        <r>
          <rPr>
            <b/>
            <sz val="11"/>
            <color indexed="81"/>
            <rFont val="Tahoma"/>
            <family val="2"/>
          </rPr>
          <t xml:space="preserve">
</t>
        </r>
      </text>
    </comment>
    <comment ref="B178" authorId="0" shapeId="0">
      <text>
        <r>
          <rPr>
            <b/>
            <sz val="11"/>
            <color indexed="12"/>
            <rFont val="Tahoma"/>
            <family val="2"/>
          </rPr>
          <t>Taxable income</t>
        </r>
        <r>
          <rPr>
            <b/>
            <sz val="11"/>
            <color indexed="81"/>
            <rFont val="Tahoma"/>
            <family val="2"/>
          </rPr>
          <t xml:space="preserve">
</t>
        </r>
      </text>
    </comment>
    <comment ref="B180" authorId="0" shapeId="0">
      <text>
        <r>
          <rPr>
            <b/>
            <sz val="11"/>
            <color indexed="12"/>
            <rFont val="Tahoma"/>
            <family val="2"/>
          </rPr>
          <t>Taxable income</t>
        </r>
        <r>
          <rPr>
            <b/>
            <sz val="11"/>
            <color indexed="81"/>
            <rFont val="Tahoma"/>
            <family val="2"/>
          </rPr>
          <t xml:space="preserve">
</t>
        </r>
      </text>
    </comment>
    <comment ref="B181" authorId="0" shapeId="0">
      <text>
        <r>
          <rPr>
            <b/>
            <sz val="11"/>
            <color indexed="12"/>
            <rFont val="Tahoma"/>
            <family val="2"/>
          </rPr>
          <t>If the provided calculated amounts are not providing a reasonable Adjusted Gross Income amount then enter adjustments directly here.
Adjustments might include: additional income, capital gain taxes on the sale of taxable account assets, tax credits, etc.</t>
        </r>
      </text>
    </comment>
    <comment ref="B183" authorId="0" shapeId="0">
      <text>
        <r>
          <rPr>
            <b/>
            <sz val="11"/>
            <color indexed="12"/>
            <rFont val="Tahoma"/>
            <family val="2"/>
          </rPr>
          <t>Taxable income</t>
        </r>
        <r>
          <rPr>
            <b/>
            <sz val="11"/>
            <color indexed="81"/>
            <rFont val="Tahoma"/>
            <family val="2"/>
          </rPr>
          <t xml:space="preserve">
</t>
        </r>
      </text>
    </comment>
    <comment ref="B184" authorId="0" shapeId="0">
      <text>
        <r>
          <rPr>
            <b/>
            <sz val="11"/>
            <color indexed="81"/>
            <rFont val="Tahoma"/>
            <family val="2"/>
          </rPr>
          <t xml:space="preserve">Adjustments to Total Income (form 1040 lines 23-35) , such as moving expenses, IRA early withdrawal penalties, and IRA deductions, are not included in this model, but can be entered using the User Input line.
</t>
        </r>
      </text>
    </comment>
    <comment ref="D184" authorId="0" shapeId="0">
      <text>
        <r>
          <rPr>
            <b/>
            <sz val="11"/>
            <color indexed="12"/>
            <rFont val="Tahoma"/>
            <family val="2"/>
          </rPr>
          <t>Taxable account earnings have been reduced by this percent  to determine the amount of Taxable account earnings to be subject to the marginal Federal tax rate rather than the dividend/capital gains rate.</t>
        </r>
        <r>
          <rPr>
            <sz val="11"/>
            <color indexed="12"/>
            <rFont val="Tahoma"/>
            <family val="2"/>
          </rPr>
          <t xml:space="preserve">
</t>
        </r>
      </text>
    </comment>
    <comment ref="B191" authorId="0" shapeId="0">
      <text>
        <r>
          <rPr>
            <b/>
            <sz val="11"/>
            <color indexed="81"/>
            <rFont val="Tahoma"/>
            <family val="2"/>
          </rPr>
          <t xml:space="preserve">This is an approximation based on forecast income using guessed rates from various accounts, IRA withdrawals, and RMD.  Excluded is the impact of dividends taxes at different rates and non-taxable income like savings and municipal bonds.  Also excluded for high income persons are the impact of higher Medicare costs and phase-out of exemptions and deductions.
So, as a precise forecast of Federal income tax it is somewhat limited.  However, when comparing the Full and Base case to see the impact of Roth conversions or alternative SS benefits, the impact of these exclusions is somewhat mitigated. 
</t>
        </r>
      </text>
    </comment>
    <comment ref="B192" authorId="0" shapeId="0">
      <text>
        <r>
          <rPr>
            <b/>
            <sz val="11"/>
            <color indexed="12"/>
            <rFont val="Tahoma"/>
            <family val="2"/>
          </rPr>
          <t xml:space="preserve">Qualified Dividends and Long-Term Capital Gains are substracted from Federal taxable income here.  While a portion of these may be taxed on your Federal return, the rates are below the marginal rates, so for modeling puposes and simplicity they are excluded from taxable Federal income (but not state).
</t>
        </r>
      </text>
    </comment>
    <comment ref="B193" authorId="0" shapeId="0">
      <text>
        <r>
          <rPr>
            <b/>
            <sz val="11"/>
            <color indexed="12"/>
            <rFont val="Tahoma"/>
            <family val="2"/>
          </rPr>
          <t>Forecast Taxable Income less estimate of Qualified Dividends and Long Term Capital Gains.  The taxes on these two income items are, as of version 19.0, are not calculated and included in Federal or state taxes.</t>
        </r>
      </text>
    </comment>
    <comment ref="B207" authorId="0" shapeId="0">
      <text>
        <r>
          <rPr>
            <b/>
            <sz val="11"/>
            <color indexed="12"/>
            <rFont val="Tahoma"/>
            <family val="2"/>
          </rPr>
          <t>Includes taxable account LTCG and Qualified Dividends that are deducted in determining  Federal taxable income.</t>
        </r>
      </text>
    </comment>
    <comment ref="B211" authorId="0" shapeId="0">
      <text>
        <r>
          <rPr>
            <b/>
            <sz val="11"/>
            <color indexed="12"/>
            <rFont val="Tahoma"/>
            <family val="2"/>
          </rPr>
          <t>If the provided calculated amounts are not providing a reasonable Adjusted Gross Income amount then enter adjustments directly here.
Adjustments might include: additional income, capital gain taxes on the sale of taxable account assets, tax credits, etc.</t>
        </r>
      </text>
    </comment>
    <comment ref="B216" authorId="0" shapeId="0">
      <text>
        <r>
          <rPr>
            <b/>
            <sz val="11"/>
            <color indexed="12"/>
            <rFont val="Tahoma"/>
            <family val="2"/>
          </rPr>
          <t xml:space="preserve">If Federal itemized deduction is used for the state, it will continue only as long as set in the Setup entry.
If a second state is set to use intemized but it was set to change to standard deduction prior to the move, zero will be shown for the deduction.
</t>
        </r>
      </text>
    </comment>
    <comment ref="D267" authorId="0" shapeId="0">
      <text>
        <r>
          <rPr>
            <b/>
            <sz val="11"/>
            <color indexed="12"/>
            <rFont val="Tahoma"/>
            <family val="2"/>
          </rPr>
          <t>This adjustment applies to only the ACA credit calculation.</t>
        </r>
      </text>
    </comment>
    <comment ref="C269" authorId="0" shapeId="0">
      <text>
        <r>
          <rPr>
            <b/>
            <sz val="11"/>
            <color indexed="81"/>
            <rFont val="Tahoma"/>
            <family val="2"/>
          </rPr>
          <t>Form 2555</t>
        </r>
        <r>
          <rPr>
            <sz val="9"/>
            <color indexed="81"/>
            <rFont val="Tahoma"/>
            <family val="2"/>
          </rPr>
          <t xml:space="preserve">
</t>
        </r>
      </text>
    </comment>
    <comment ref="D269" authorId="0" shapeId="0">
      <text>
        <r>
          <rPr>
            <b/>
            <sz val="11"/>
            <color indexed="12"/>
            <rFont val="Tahoma"/>
            <family val="2"/>
          </rPr>
          <t>This user-input MAGI adjustment is entered on the Details portfolio page.</t>
        </r>
      </text>
    </comment>
    <comment ref="B272" authorId="0" shapeId="0">
      <text>
        <r>
          <rPr>
            <b/>
            <sz val="11"/>
            <color indexed="12"/>
            <rFont val="Tahoma"/>
            <family val="2"/>
          </rPr>
          <t>Since 2007 Medicare participants with higher incomes have been required to pay higher Part B monthly premiums, the income-related monthly adjustment amount (IRMAA). This could add up to about $300 to the monthly premiums.
In 2011 Part D premiums were also subject to this adjustment.  This could add up to about another $100 to the monthly premiums.
These impact fewer than 5 percent of people with Medicare but this may increase in future years. 
The calculation of the estimated income-related monthly adjustment amount (IRMAA) is on the Tax Tables page.  The estimated amounts are shown here for information only, and are not included in any expense amounts.
If they are significant, adjust your expense entry on the Setup page or add them to the manual-entry expense line in the expense section above.</t>
        </r>
      </text>
    </comment>
    <comment ref="F276" authorId="0" shapeId="0">
      <text>
        <r>
          <rPr>
            <b/>
            <sz val="11"/>
            <color indexed="12"/>
            <rFont val="Tahoma"/>
            <family val="2"/>
          </rPr>
          <t>The rows below contain calculations and are hidden by default to simplify the viewing of results. These macros allow the viewing and re-hiding of these rows. 
Uses macros:
Show_Supporting
Hide_Supporting</t>
        </r>
        <r>
          <rPr>
            <sz val="11"/>
            <color indexed="12"/>
            <rFont val="Tahoma"/>
            <family val="2"/>
          </rPr>
          <t xml:space="preserve">
</t>
        </r>
      </text>
    </comment>
    <comment ref="B277" authorId="0" shapeId="0">
      <text>
        <r>
          <rPr>
            <b/>
            <sz val="11"/>
            <color indexed="81"/>
            <rFont val="Tahoma"/>
            <family val="2"/>
          </rPr>
          <t xml:space="preserve">Wages, pensions, annuities, SPIA (less exclusion), other, tIRA withdrawals, conversion of tIRA funds to Roth. 
</t>
        </r>
        <r>
          <rPr>
            <b/>
            <sz val="10"/>
            <color indexed="81"/>
            <rFont val="Tahoma"/>
            <family val="2"/>
          </rPr>
          <t xml:space="preserve">
</t>
        </r>
      </text>
    </comment>
    <comment ref="D302" authorId="0" shapeId="0">
      <text>
        <r>
          <rPr>
            <b/>
            <sz val="11"/>
            <color indexed="81"/>
            <rFont val="Tahoma"/>
            <family val="2"/>
          </rPr>
          <t>In order to include automatic withdrawals from tIRA accounts in taxable income, while avoiding a circular calculation, it was necessary to refer to the previous years taxes in these formulas rather than the current year true  amount, resulting in a rough estimate of the funds needed in the current year.  This may result in some negative taxable account balances.</t>
        </r>
      </text>
    </comment>
    <comment ref="F302" authorId="0" shapeId="0">
      <text>
        <r>
          <rPr>
            <b/>
            <sz val="11"/>
            <color indexed="81"/>
            <rFont val="Tahoma"/>
            <family val="2"/>
          </rPr>
          <t>In order to include automatic withdrawals from tIRA accounts in taxable income, while avoiding a circular calculation, it was necessary to refer to the previous years taxes in these formulas rather than the current year true  amount, resulting in a rough estimate of the funds needed in the current year.  This may result in some negative taxable account balances.</t>
        </r>
      </text>
    </comment>
    <comment ref="C306" authorId="0" shapeId="0">
      <text>
        <r>
          <rPr>
            <b/>
            <sz val="11"/>
            <color indexed="17"/>
            <rFont val="Tahoma"/>
            <family val="2"/>
          </rPr>
          <t xml:space="preserve">The years that withdrawals are made to these accounts are sed in determing the Available for Withdrawals amounts.  
So while an account may have a balance, zero will be shown in the Availble lines if the year is outside the withdrawal start and end ages.
</t>
        </r>
      </text>
    </comment>
  </commentList>
</comments>
</file>

<file path=xl/comments7.xml><?xml version="1.0" encoding="utf-8"?>
<comments xmlns="http://schemas.openxmlformats.org/spreadsheetml/2006/main">
  <authors>
    <author>Author</author>
    <author xml:space="preserve"> </author>
    <author>PandM</author>
  </authors>
  <commentList>
    <comment ref="D1" authorId="0" shapeId="0">
      <text>
        <r>
          <rPr>
            <b/>
            <sz val="11"/>
            <color indexed="12"/>
            <rFont val="Tahoma"/>
            <family val="2"/>
          </rPr>
          <t>This page contains the current tax year tax rates and factors, and forecasts for future years.  
You can update current year tax factors here, but test future tax rate changes on the Setup page.
This page has Protection turned on to prevent inadvertent changes to any cell.  To turn it off, select Tools - Protection - Unprotect Sheet.  There is no password.</t>
        </r>
      </text>
    </comment>
    <comment ref="G3" authorId="0" shapeId="0">
      <text>
        <r>
          <rPr>
            <b/>
            <sz val="11"/>
            <color indexed="12"/>
            <rFont val="Tahoma"/>
            <family val="2"/>
          </rPr>
          <t>Shows or hides the column letters and row numbers and all the cell outlines.
Uses macros: 
HeaderShow
HeaderHide</t>
        </r>
        <r>
          <rPr>
            <sz val="11"/>
            <color indexed="12"/>
            <rFont val="Tahoma"/>
            <family val="2"/>
          </rPr>
          <t xml:space="preserve">
</t>
        </r>
      </text>
    </comment>
    <comment ref="C10" authorId="0" shapeId="0">
      <text>
        <r>
          <rPr>
            <b/>
            <sz val="11"/>
            <color indexed="81"/>
            <rFont val="Tahoma"/>
            <family val="2"/>
          </rPr>
          <t>T</t>
        </r>
        <r>
          <rPr>
            <b/>
            <sz val="11"/>
            <color indexed="12"/>
            <rFont val="Tahoma"/>
            <family val="2"/>
          </rPr>
          <t>his cell contains the escalation rate used in the  tax bracket and factors calculations.  The source of this rate is the amount entered in the cell to the right.
However, if an "n" is entered on the Setup page, Income Taxes section, "Escalate Federal deductions and exemptions? " entry, then the escalation rate will be set to 0%. Doing this uses the current year's factors in all years for testing and evaluation purposes.
This has been CPI-U but in 2018 became chained CPI-U which will result in a lower factor escalation rate.  Prior to 2019 it averaged about 2.4% but for 2019 was 2.1%.</t>
        </r>
      </text>
    </comment>
    <comment ref="D10" authorId="0" shapeId="0">
      <text>
        <r>
          <rPr>
            <b/>
            <sz val="11"/>
            <color indexed="81"/>
            <rFont val="Tahoma"/>
            <family val="2"/>
          </rPr>
          <t>Yearly escalation rate used for deduction and exemption amounts.
Average annual escalation of the married filing jointly 10% bracket for 2003-2018 was
2.3%.  See analysis at bottom of page.
Method changed in 2018 tax law to use CPI-U in 2018 which will be slightly lower than CPI.  Escalation rate reduced to 2.2% for v18 and 2.1% for v19.
From the Tax Foundation:
Each tax parameter is adjusted for inflation by taking its base value (from legislation) and multiplying it by the current fiscal year’s average Consumer Price Index (CPI) and then dividing that by the base fiscal year’s CPI. 
Each parameter is rounded to either the nearest $10, $25, or $100 (depending on the specified rounding method in the legislation).</t>
        </r>
      </text>
    </comment>
    <comment ref="F10" authorId="0" shapeId="0">
      <text>
        <r>
          <rPr>
            <b/>
            <sz val="11"/>
            <color indexed="81"/>
            <rFont val="Tahoma"/>
            <family val="2"/>
          </rPr>
          <t>Future values of these tax factors assuming annual escalations are about equal to the historic average escalation. rate.</t>
        </r>
      </text>
    </comment>
    <comment ref="C11" authorId="0" shapeId="0">
      <text>
        <r>
          <rPr>
            <b/>
            <sz val="11"/>
            <color indexed="12"/>
            <rFont val="Tahoma"/>
            <family val="2"/>
          </rPr>
          <t xml:space="preserve">Reference rate - not used.
</t>
        </r>
      </text>
    </comment>
    <comment ref="C12" authorId="0" shapeId="0">
      <text>
        <r>
          <rPr>
            <b/>
            <sz val="11"/>
            <color indexed="12"/>
            <rFont val="Tahoma"/>
            <family val="2"/>
          </rPr>
          <t>Age 65 or blind (not a model option).</t>
        </r>
      </text>
    </comment>
    <comment ref="C13" authorId="0" shapeId="0">
      <text>
        <r>
          <rPr>
            <b/>
            <sz val="11"/>
            <color indexed="12"/>
            <rFont val="Tahoma"/>
            <family val="2"/>
          </rPr>
          <t>Unmarried and not a surviving spouse.</t>
        </r>
      </text>
    </comment>
    <comment ref="B14" authorId="0" shapeId="0">
      <text>
        <r>
          <rPr>
            <b/>
            <sz val="11"/>
            <color indexed="12"/>
            <rFont val="Tahoma"/>
            <family val="2"/>
          </rPr>
          <t xml:space="preserve">Personal exemptions eliminated in 2018 (combined into Standard Deduction).
</t>
        </r>
      </text>
    </comment>
    <comment ref="C14" authorId="0" shapeId="0">
      <text>
        <r>
          <rPr>
            <b/>
            <sz val="11"/>
            <color indexed="12"/>
            <rFont val="Tahoma"/>
            <family val="2"/>
          </rPr>
          <t xml:space="preserve">Reference rate - not used.
</t>
        </r>
      </text>
    </comment>
    <comment ref="D15" authorId="0" shapeId="0">
      <text>
        <r>
          <rPr>
            <b/>
            <sz val="11"/>
            <color indexed="81"/>
            <rFont val="Tahoma"/>
            <family val="2"/>
          </rPr>
          <t xml:space="preserve">Rounding for tax bracket amounts and calculated taxes.  Rounding greater than 100 is not recommended to maintain accurate future forecast amounts.
If the model rounding amount entered on the Setup page is using less than the amount entered here, then that factor is used, i.e. 1, otherwise the amount entered here is used.
Recommended: 100
</t>
        </r>
      </text>
    </comment>
    <comment ref="D16" authorId="0" shapeId="0">
      <text>
        <r>
          <rPr>
            <b/>
            <sz val="11"/>
            <color indexed="81"/>
            <rFont val="Tahoma"/>
            <family val="2"/>
          </rPr>
          <t>Rounding for standard deductions and personal exemptions is recommended to be $50, the same as used by the IRS.</t>
        </r>
      </text>
    </comment>
    <comment ref="B19" authorId="0" shapeId="0">
      <text>
        <r>
          <rPr>
            <b/>
            <sz val="11"/>
            <color indexed="12"/>
            <rFont val="Tahoma"/>
            <family val="2"/>
          </rPr>
          <t xml:space="preserve">These factors are used in determining the amount of your Social Security benefit that will be subject to Federal tax as a result of your other income.  These are the rates from Publication 915, Jan 2018.  Also see  worksheet "Form 1040, Line 20 = Social Security Benefits Worksheet" for these factors. 
Factors reviewed December 2018 for v19.0.
</t>
        </r>
      </text>
    </comment>
    <comment ref="B24" authorId="0" shapeId="0">
      <text>
        <r>
          <rPr>
            <b/>
            <sz val="12"/>
            <color indexed="81"/>
            <rFont val="Tahoma"/>
            <family val="2"/>
          </rPr>
          <t>Personal Exemption Phase-Out (PEP) , aka  Pease limitation.
Repealed in 2018.</t>
        </r>
      </text>
    </comment>
    <comment ref="B26" authorId="0" shapeId="0">
      <text>
        <r>
          <rPr>
            <b/>
            <sz val="11"/>
            <color indexed="12"/>
            <rFont val="Tahoma"/>
            <family val="2"/>
          </rPr>
          <t>Shows or hides the Medicare IRMAA forecast.
Uses macros:
Taxes_Medicare_Hide
Taxes_Medicare_Show</t>
        </r>
        <r>
          <rPr>
            <sz val="11"/>
            <color indexed="12"/>
            <rFont val="Tahoma"/>
            <family val="2"/>
          </rPr>
          <t xml:space="preserve">
</t>
        </r>
      </text>
    </comment>
    <comment ref="B28" authorId="0" shapeId="0">
      <text>
        <r>
          <rPr>
            <b/>
            <sz val="11"/>
            <color indexed="12"/>
            <rFont val="Tahoma"/>
            <family val="2"/>
          </rPr>
          <t xml:space="preserve">Since 2007 Medicare participants with higher incomes have been required to pay higher Part B monthly premiums. This could add up to about $300 to the monthly premiums.
In 2011 Part D premiums were also subject to this adjustment.  This could add up to about another $100 to the monthly premiums.
These income-related monthly adjustment amount (IRMAA) affect fewer than 5 percent of people with Medicare but this may increase in future years. </t>
        </r>
      </text>
    </comment>
    <comment ref="E29" authorId="1" shapeId="0">
      <text>
        <r>
          <rPr>
            <b/>
            <sz val="11"/>
            <color indexed="81"/>
            <rFont val="Tahoma"/>
            <family val="2"/>
          </rPr>
          <t>Age heading modified to show zero after either person's death age and after model period final year.</t>
        </r>
      </text>
    </comment>
    <comment ref="F33" authorId="0" shapeId="0">
      <text>
        <r>
          <rPr>
            <b/>
            <sz val="11"/>
            <color indexed="12"/>
            <rFont val="Tahoma"/>
            <family val="2"/>
          </rPr>
          <t xml:space="preserve">If IRMAA is expected to be applicable in this year, enter your MAGI on the Setup page  from two years before this year. (As shown in the previous  year's tax return.)  </t>
        </r>
      </text>
    </comment>
    <comment ref="G33" authorId="0" shapeId="0">
      <text>
        <r>
          <rPr>
            <b/>
            <sz val="11"/>
            <color indexed="12"/>
            <rFont val="Tahoma"/>
            <family val="2"/>
          </rPr>
          <t xml:space="preserve">If IRMAA is expected to be applicable in this year, enter your MAGI on the Setup page  from two years before this year. (As shown in the previous  year's tax return.)  </t>
        </r>
      </text>
    </comment>
    <comment ref="B37" authorId="0" shapeId="0">
      <text>
        <r>
          <rPr>
            <b/>
            <sz val="11"/>
            <color indexed="12"/>
            <rFont val="Tahoma"/>
            <family val="2"/>
          </rPr>
          <t>Per person</t>
        </r>
      </text>
    </comment>
    <comment ref="D49" authorId="0" shapeId="0">
      <text>
        <r>
          <rPr>
            <b/>
            <sz val="11"/>
            <color indexed="12"/>
            <rFont val="Tahoma"/>
            <family val="2"/>
          </rPr>
          <t>Current year monthly  Part B surcharges by tier.</t>
        </r>
      </text>
    </comment>
    <comment ref="E49" authorId="0" shapeId="0">
      <text>
        <r>
          <rPr>
            <b/>
            <sz val="11"/>
            <color indexed="12"/>
            <rFont val="Tahoma"/>
            <family val="2"/>
          </rPr>
          <t>Current year monthly  Part D surcharges by tier.</t>
        </r>
      </text>
    </comment>
    <comment ref="B62" authorId="0" shapeId="0">
      <text>
        <r>
          <rPr>
            <b/>
            <sz val="11"/>
            <color indexed="12"/>
            <rFont val="Tahoma"/>
            <family val="2"/>
          </rPr>
          <t>This is 0 and the surcharge will not be included if a spouse died 1 or 2 years before the current year.</t>
        </r>
      </text>
    </comment>
    <comment ref="B75" authorId="0" shapeId="0">
      <text>
        <r>
          <rPr>
            <b/>
            <sz val="11"/>
            <color indexed="12"/>
            <rFont val="Tahoma"/>
            <family val="2"/>
          </rPr>
          <t>This is 0 and the surcharge will not be included if a spouse died 1 or 2 years before the current year.</t>
        </r>
      </text>
    </comment>
    <comment ref="B76" authorId="0" shapeId="0">
      <text>
        <r>
          <rPr>
            <b/>
            <sz val="12"/>
            <color indexed="81"/>
            <rFont val="Tahoma"/>
            <family val="2"/>
          </rPr>
          <t xml:space="preserve">Premium Tax Credit - People who don’t have health insurance from work can buy health coverage under the Affordable Care Act. The premiums are made affordable by a premium subsidy in the form of a tax credit calculated off your income relative to the federal poverty levels (FPL).
To qualify for the premium subsidy your modified adjusted gross income (MAGI) must be at least 100% and not greater than 400% of the FPL.
Some states like Alaska and Hawaii have higher levels.
</t>
        </r>
      </text>
    </comment>
    <comment ref="F91" authorId="0" shapeId="0">
      <text>
        <r>
          <rPr>
            <b/>
            <sz val="11"/>
            <color indexed="81"/>
            <rFont val="Tahoma"/>
            <family val="2"/>
          </rPr>
          <t xml:space="preserve">Your age
</t>
        </r>
      </text>
    </comment>
    <comment ref="F92" authorId="0" shapeId="0">
      <text>
        <r>
          <rPr>
            <b/>
            <sz val="11"/>
            <color indexed="81"/>
            <rFont val="Tahoma"/>
            <family val="2"/>
          </rPr>
          <t xml:space="preserve">Spouse's age
</t>
        </r>
      </text>
    </comment>
    <comment ref="C136" authorId="0" shapeId="0">
      <text>
        <r>
          <rPr>
            <b/>
            <sz val="12"/>
            <color indexed="81"/>
            <rFont val="Arial"/>
            <family val="2"/>
          </rPr>
          <t xml:space="preserve">As of v18.0 these rates and brackets are only used for the bonus income tax calculator.
</t>
        </r>
      </text>
    </comment>
    <comment ref="B137" authorId="2" shapeId="0">
      <text>
        <r>
          <rPr>
            <b/>
            <sz val="9"/>
            <color indexed="81"/>
            <rFont val="Tahoma"/>
            <family val="2"/>
          </rPr>
          <t xml:space="preserve"> </t>
        </r>
        <r>
          <rPr>
            <b/>
            <sz val="12"/>
            <color indexed="81"/>
            <rFont val="Arial"/>
            <family val="2"/>
          </rPr>
          <t xml:space="preserve">Rates will change if optional Alternative Tax Rate is activated.
</t>
        </r>
      </text>
    </comment>
    <comment ref="C215" authorId="0" shapeId="0">
      <text>
        <r>
          <rPr>
            <b/>
            <sz val="12"/>
            <color indexed="81"/>
            <rFont val="Arial"/>
            <family val="2"/>
          </rPr>
          <t xml:space="preserve">As of v18.0 these rates and brackets are only used for the bonus income tax calculator.
</t>
        </r>
      </text>
    </comment>
    <comment ref="B216" authorId="2" shapeId="0">
      <text>
        <r>
          <rPr>
            <b/>
            <sz val="9"/>
            <color indexed="81"/>
            <rFont val="Tahoma"/>
            <family val="2"/>
          </rPr>
          <t xml:space="preserve"> </t>
        </r>
        <r>
          <rPr>
            <b/>
            <sz val="12"/>
            <color indexed="81"/>
            <rFont val="Arial"/>
            <family val="2"/>
          </rPr>
          <t xml:space="preserve">Rates will change if optional Alternative Tax Rate is activated.
</t>
        </r>
      </text>
    </comment>
    <comment ref="C335" authorId="0" shapeId="0">
      <text>
        <r>
          <rPr>
            <b/>
            <sz val="11"/>
            <color indexed="12"/>
            <rFont val="Tahoma"/>
            <family val="2"/>
          </rPr>
          <t>d - default Table III
o - override Table II</t>
        </r>
      </text>
    </comment>
    <comment ref="C336" authorId="0" shapeId="0">
      <text>
        <r>
          <rPr>
            <b/>
            <sz val="11"/>
            <color indexed="12"/>
            <rFont val="Tahoma"/>
            <family val="2"/>
          </rPr>
          <t xml:space="preserve">IRS Table III: Uniform Life
Use Table III for:
1. Unmarried owners,
2. Married owners whose spouses are not more than 10 years younger, and
3. Married owners whose spouses are not the sole beneficiaries of their IRAs
This table is the model default.
</t>
        </r>
      </text>
    </comment>
    <comment ref="E336" authorId="0" shapeId="0">
      <text>
        <r>
          <rPr>
            <b/>
            <sz val="11"/>
            <color indexed="12"/>
            <rFont val="Tahoma"/>
            <family val="2"/>
          </rPr>
          <t xml:space="preserve">Table II:  Joint Life and Last Survivor Expectancy
Use Table II for
1. an IRA owner whose spouse is 
    the sole designated beneficiary
    </t>
        </r>
        <r>
          <rPr>
            <b/>
            <sz val="11"/>
            <color indexed="10"/>
            <rFont val="Tahoma"/>
            <family val="2"/>
          </rPr>
          <t>and</t>
        </r>
        <r>
          <rPr>
            <b/>
            <sz val="11"/>
            <color indexed="12"/>
            <rFont val="Tahoma"/>
            <family val="2"/>
          </rPr>
          <t xml:space="preserve"> more than 10 years younger. 
This table can be used for RMD calculations by using an "o" in the "Table To Use" field to the left.
</t>
        </r>
        <r>
          <rPr>
            <b/>
            <sz val="11"/>
            <color indexed="10"/>
            <rFont val="Tahoma"/>
            <family val="2"/>
          </rPr>
          <t xml:space="preserve">You must input the life expectancy numbers for your and your spouse's age from IRS Table II. See link above.  </t>
        </r>
        <r>
          <rPr>
            <b/>
            <sz val="11"/>
            <color indexed="81"/>
            <rFont val="Tahoma"/>
            <family val="2"/>
          </rPr>
          <t xml:space="preserve"> Example data is for an IRA owner wiith a spouse 12 years younger.</t>
        </r>
      </text>
    </comment>
    <comment ref="AD336" authorId="0" shapeId="0">
      <text>
        <r>
          <rPr>
            <b/>
            <sz val="11"/>
            <color indexed="12"/>
            <rFont val="Tahoma"/>
            <family val="2"/>
          </rPr>
          <t xml:space="preserve">This Social Security actuarial table is used in the Setup page life expectancy calculator. </t>
        </r>
      </text>
    </comment>
    <comment ref="B337" authorId="0" shapeId="0">
      <text>
        <r>
          <rPr>
            <b/>
            <sz val="11"/>
            <color indexed="12"/>
            <rFont val="Tahoma"/>
            <family val="2"/>
          </rPr>
          <t xml:space="preserve">The IRS uses one of three different life expectancy tables for determining the current year Required Minimum Distribution when the IRA owner reaches age 70.5. Table I is for single persons. Tables II is for married couples where the spouse is 10 or more years younger than the owner. Table III is for all the other married couples.
</t>
        </r>
        <r>
          <rPr>
            <b/>
            <sz val="11"/>
            <color indexed="81"/>
            <rFont val="Tahoma"/>
            <family val="2"/>
          </rPr>
          <t>Table I (Single Life Expectancy):</t>
        </r>
        <r>
          <rPr>
            <b/>
            <sz val="11"/>
            <color indexed="12"/>
            <rFont val="Tahoma"/>
            <family val="2"/>
          </rPr>
          <t xml:space="preserve">
</t>
        </r>
        <r>
          <rPr>
            <b/>
            <sz val="11"/>
            <color indexed="10"/>
            <rFont val="Tahoma"/>
            <family val="2"/>
          </rPr>
          <t>Use Table I</t>
        </r>
        <r>
          <rPr>
            <b/>
            <sz val="11"/>
            <color indexed="12"/>
            <rFont val="Tahoma"/>
            <family val="2"/>
          </rPr>
          <t xml:space="preserve"> if you are an individual and a designated beneficiary, but not the owner's surviving spouse and sole designated beneficiary.
or
The beneficiary is not an individual and the owner died on or after the required beginning date, defined earlier.
</t>
        </r>
        <r>
          <rPr>
            <b/>
            <sz val="11"/>
            <color indexed="81"/>
            <rFont val="Tahoma"/>
            <family val="2"/>
          </rPr>
          <t>Table II (Joint Life and Last Survivor Expectancy):</t>
        </r>
        <r>
          <rPr>
            <b/>
            <sz val="11"/>
            <color indexed="12"/>
            <rFont val="Tahoma"/>
            <family val="2"/>
          </rPr>
          <t xml:space="preserve">   
</t>
        </r>
        <r>
          <rPr>
            <b/>
            <sz val="11"/>
            <color indexed="10"/>
            <rFont val="Tahoma"/>
            <family val="2"/>
          </rPr>
          <t>Use Table II</t>
        </r>
        <r>
          <rPr>
            <b/>
            <sz val="11"/>
            <color indexed="12"/>
            <rFont val="Tahoma"/>
            <family val="2"/>
          </rPr>
          <t xml:space="preserve"> if you are the IRA owner and your spouse is both your sole designated beneficiary and more than 10 years younger than you.
TO USE THIS: First, choose the Override (o) setting in the selector above. Then go to IRS Publication 590-B and find its Table II in Appendix B. There, in the left column reading down, locate your age at which RMDs will begin. For a Traditional IRA this is "age 70.5" which means age 70 if you were born Jan-Jun or age 71 if you were born Jul-Dec. 
Reading across the table, find the spouse age that will pertain at your starting age. Enter that in the first cell of the "Spouse Age" column in the Override Table II to the right here; the cells below that will auto-fill with the following ages. Then copy the Life Expectancy values that begin at that point in the IRS table (going down) into the "Life Exp" column to the right here. Overwrite the sample data provided, which is for an IRA owner age 60 with a spouse age 50. 
</t>
        </r>
        <r>
          <rPr>
            <b/>
            <sz val="11"/>
            <color indexed="81"/>
            <rFont val="Tahoma"/>
            <family val="2"/>
          </rPr>
          <t>Table III (Uniform Lifetime):</t>
        </r>
        <r>
          <rPr>
            <b/>
            <sz val="11"/>
            <color indexed="12"/>
            <rFont val="Tahoma"/>
            <family val="2"/>
          </rPr>
          <t xml:space="preserve">   
</t>
        </r>
        <r>
          <rPr>
            <b/>
            <sz val="11"/>
            <color indexed="10"/>
            <rFont val="Tahoma"/>
            <family val="2"/>
          </rPr>
          <t>Use Table III</t>
        </r>
        <r>
          <rPr>
            <b/>
            <sz val="11"/>
            <color indexed="12"/>
            <rFont val="Tahoma"/>
            <family val="2"/>
          </rPr>
          <t xml:space="preserve"> if you are the IRA owner and your spouse is NOT both the sole designated beneficiary of your IRA and more than 10 years younger than you. 
Table III is for IRAs owned by an unmarried person, or a married person with a spouse no more  than 10 years younger, or a married person with a spouse who is not the sole benefactor of the IRA.
TO USE THIS: Choose the Default (d) setting to use this table.
</t>
        </r>
      </text>
    </comment>
    <comment ref="E337" authorId="0" shapeId="0">
      <text>
        <r>
          <rPr>
            <b/>
            <sz val="11"/>
            <color indexed="12"/>
            <rFont val="Tahoma"/>
            <family val="2"/>
          </rPr>
          <t>Enter the spouse age that corresponds to the Owner Age to the left.  If the spouse is 12 years younger than the owner of the IRA, enter 50-12=38 here.</t>
        </r>
      </text>
    </comment>
    <comment ref="F337" authorId="0" shapeId="0">
      <text>
        <r>
          <rPr>
            <b/>
            <sz val="11"/>
            <color indexed="12"/>
            <rFont val="Tahoma"/>
            <family val="2"/>
          </rPr>
          <t>Enter the joint life expectancy for each combination of owner and spouse ages here.  
In IRS Table II the owner age is in the left vertical column and the spouse age is in the top horizontal row.
Find the starting owner's age, ie 62, then find the starting spouse's age, ie 50, at the top of the ITS Table.  The intersecting number is the joint life expectancy.
Then move one down and one to the right on the IRS chart, and enter the number for their one year older ages.
NOTE: Only numbers corresponding to the owner and spouse's real age and future ages need to be entered.  The example shows all numbers assuming  the owner is 62.  If the owner is actually 65 and spouse 53, then only the amounts starting at owner age 65 need to be entered.  Stop at the model period end, ie 30 years.</t>
        </r>
      </text>
    </comment>
    <comment ref="H337" authorId="0" shapeId="0">
      <text>
        <r>
          <rPr>
            <b/>
            <sz val="11"/>
            <color indexed="12"/>
            <rFont val="Tahoma"/>
            <family val="2"/>
          </rPr>
          <t xml:space="preserve">Factors for a married couple using either Table III (most common) or Table II (spouse more than 10 years younger), based on which table is selected to be used.
</t>
        </r>
      </text>
    </comment>
    <comment ref="I337" authorId="0" shapeId="0">
      <text>
        <r>
          <rPr>
            <b/>
            <sz val="11"/>
            <color indexed="12"/>
            <rFont val="Tahoma"/>
            <family val="2"/>
          </rPr>
          <t xml:space="preserve">Factors for an IRA beneficiary using IRS Table I: Single Life
</t>
        </r>
      </text>
    </comment>
    <comment ref="V405" authorId="0" shapeId="0">
      <text>
        <r>
          <rPr>
            <b/>
            <sz val="10"/>
            <color indexed="81"/>
            <rFont val="Tahoma"/>
            <family val="2"/>
          </rPr>
          <t>Consists Of: Taxable earnings, Other Income, tIRA withdrawals, tIRA RMD, Inherited tIRA RMD, tIRA withdrawals for Roth conversions, less Taxable Earnings' non-taxable adjustment.</t>
        </r>
        <r>
          <rPr>
            <sz val="9"/>
            <color indexed="81"/>
            <rFont val="Tahoma"/>
            <family val="2"/>
          </rPr>
          <t xml:space="preserve">
</t>
        </r>
      </text>
    </comment>
    <comment ref="Z405" authorId="0" shapeId="0">
      <text>
        <r>
          <rPr>
            <b/>
            <sz val="9"/>
            <color indexed="81"/>
            <rFont val="Tahoma"/>
            <family val="2"/>
          </rPr>
          <t>7. wages, salaries, tips, etc.
8a. taxable interest
8b. tax-exempt interest
9a. ordinary dividends
10. taxable refunds, credits
11. alimony
12. business income or (loos)
13. capital gains or (loss)
14. other gains or (losses)
15b. IRA distributions taxable
16b. pensions and annuities taxable
17. rental, royalities, etc.
18. farm income or (loss)
19. unemployment comp
21. other income</t>
        </r>
      </text>
    </comment>
    <comment ref="G407" authorId="0" shapeId="0">
      <text>
        <r>
          <rPr>
            <b/>
            <sz val="11"/>
            <color indexed="12"/>
            <rFont val="Tahoma"/>
            <family val="2"/>
          </rPr>
          <t>Not in Total Income or AGI.</t>
        </r>
      </text>
    </comment>
    <comment ref="G409" authorId="0" shapeId="0">
      <text>
        <r>
          <rPr>
            <b/>
            <sz val="11"/>
            <color indexed="12"/>
            <rFont val="Tahoma"/>
            <family val="2"/>
          </rPr>
          <t>Not in Total Income or AGI nor tax calculations as of ver 16.0.
Rates: 0%, 15% and 20%.</t>
        </r>
      </text>
    </comment>
    <comment ref="C426" authorId="0" shapeId="0">
      <text>
        <r>
          <rPr>
            <b/>
            <sz val="10"/>
            <color indexed="81"/>
            <rFont val="Tahoma"/>
            <family val="2"/>
          </rPr>
          <t xml:space="preserve">This is an approximation based on forecast income using guessed rates from various accounts, IRA withdrawals, and RMD.  Excluded is the impact of dividends taxes at a different rate and non-taxable income like savings and municipal bonds.  Also excluded for high income persons are the impact of higher Medicare costs and phase-out of exemptions and deductions.
So its use as a good forecast of Federal income tax is somewhat limited.  However, as the two cases are compared to see the impact of Roth conversions and distributions, the impact of these exclusions is somewhat mitigated.  Use as a rough approximation.
</t>
        </r>
      </text>
    </comment>
  </commentList>
</comments>
</file>

<file path=xl/comments8.xml><?xml version="1.0" encoding="utf-8"?>
<comments xmlns="http://schemas.openxmlformats.org/spreadsheetml/2006/main">
  <authors>
    <author>Author</author>
  </authors>
  <commentList>
    <comment ref="B2" authorId="0" shapeId="0">
      <text>
        <r>
          <rPr>
            <b/>
            <sz val="11"/>
            <color indexed="12"/>
            <rFont val="Tahoma"/>
            <family val="2"/>
          </rPr>
          <t xml:space="preserve">Use a smaller set of input numbers to compare RPM to ORP.  The result should be that the ending total portfolio balances are very close. 
Note that ORP uses slightly different method of calculating annual earnings, and has a more sophisticated capital gains tax calculation, which results in some of the differences. </t>
        </r>
      </text>
    </comment>
    <comment ref="B5" authorId="0" shapeId="0">
      <text>
        <r>
          <rPr>
            <b/>
            <sz val="11"/>
            <color indexed="12"/>
            <rFont val="Tahoma"/>
            <family val="2"/>
          </rPr>
          <t>Some of the differences beween the models:
ORP distributions are made at the beginning of the year and investment returns are credited at the end of the year but don't show up until the next year.  RPM has current year earnings and expendtures included in the end of year balance.
ORP uses a different method of calculating annual earnings than the RPM average account balance times earnings rate method.
ORP has a more sophisticated capital gains tax calculation, while RPM has a more detailed income tax calculation.
ORP has an automatic method of withdrawing from different account while the RPM user must determine which accounts and the amounts to withdraw.
All of the above result in different taxable income amounts and taxes, which accumulate over the years.</t>
        </r>
      </text>
    </comment>
    <comment ref="C11" authorId="0" shapeId="0">
      <text>
        <r>
          <rPr>
            <b/>
            <sz val="11"/>
            <color indexed="12"/>
            <rFont val="Tahoma"/>
            <family val="2"/>
          </rPr>
          <t>Macro used:
ORP_1</t>
        </r>
      </text>
    </comment>
    <comment ref="M13" authorId="0" shapeId="0">
      <text>
        <r>
          <rPr>
            <b/>
            <sz val="11"/>
            <color indexed="12"/>
            <rFont val="Tahoma"/>
            <family val="2"/>
          </rPr>
          <t xml:space="preserve">The ORP Results web page has a selection to Download Spreadsheet Summary. This is a csv file. Download it, open in Excel, then copy all the data (e.g. A1 to Q71)  and paste below.
Current as of 11/11/2017
</t>
        </r>
      </text>
    </comment>
    <comment ref="AB13" authorId="0" shapeId="0">
      <text>
        <r>
          <rPr>
            <b/>
            <sz val="11"/>
            <color indexed="12"/>
            <rFont val="Tahoma"/>
            <family val="2"/>
          </rPr>
          <t>Estimate average earnings rate used by ORP.  Used in column 14 - Earnings</t>
        </r>
      </text>
    </comment>
    <comment ref="D14" authorId="0" shapeId="0">
      <text>
        <r>
          <rPr>
            <b/>
            <sz val="11"/>
            <color indexed="12"/>
            <rFont val="Tahoma"/>
            <family val="2"/>
          </rPr>
          <t>If the current model has been done to compare to ORP, these amounts should closely match the copied OPR settings.  Once satisfied, select the Copy button to save the current RPM amounts to the Copied column below.</t>
        </r>
      </text>
    </comment>
    <comment ref="F15" authorId="0" shapeId="0">
      <text>
        <r>
          <rPr>
            <b/>
            <sz val="11"/>
            <color indexed="12"/>
            <rFont val="Tahoma"/>
            <family val="2"/>
          </rPr>
          <t>Enter ORP Asset Balance, Last Year Total, from ORP Results report.</t>
        </r>
      </text>
    </comment>
    <comment ref="F17" authorId="0" shapeId="0">
      <text>
        <r>
          <rPr>
            <b/>
            <sz val="11"/>
            <color indexed="12"/>
            <rFont val="Tahoma"/>
            <family val="2"/>
          </rPr>
          <t>This data is at the bottom of the ORP Results web page report.  Start at CurrAge and select to the end of the ORP settings. Copy then paste here.
Updated Nov 2018</t>
        </r>
      </text>
    </comment>
    <comment ref="Y17" authorId="0" shapeId="0">
      <text>
        <r>
          <rPr>
            <b/>
            <sz val="11"/>
            <color indexed="12"/>
            <rFont val="Tahoma"/>
            <family val="2"/>
          </rPr>
          <t xml:space="preserve">Note: ORP does not provide account earnings.  These must be estimated based on account balances, allocations and rates.
As of Nov 2018
</t>
        </r>
      </text>
    </comment>
    <comment ref="AD17" authorId="0" shapeId="0">
      <text>
        <r>
          <rPr>
            <b/>
            <sz val="11"/>
            <color indexed="12"/>
            <rFont val="Tahoma"/>
            <family val="2"/>
          </rPr>
          <t xml:space="preserve">Note: ORP does not provide account earnings.  These must be estimated based on account balances, allocations and rates.
As of Nov 2018
</t>
        </r>
      </text>
    </comment>
    <comment ref="C36" authorId="0" shapeId="0">
      <text>
        <r>
          <rPr>
            <b/>
            <sz val="12"/>
            <color indexed="12"/>
            <rFont val="Tahoma"/>
            <family val="2"/>
          </rPr>
          <t>Note: ORP input values for assets are current amounts that get escalated to the sales year.  So adjust them to generally match the RPM amounts which are the future values.
Example: RPM asset $100k to be sold at age 86.  Set ORP asset value of $50k to become $100k at age 86.</t>
        </r>
      </text>
    </comment>
    <comment ref="C37" authorId="0" shapeId="0">
      <text>
        <r>
          <rPr>
            <b/>
            <sz val="12"/>
            <color indexed="12"/>
            <rFont val="Tahoma"/>
            <family val="2"/>
          </rPr>
          <t>Note: ORP input values for assets are current amounts that get escalated to the sales year.  So adjust them to generally match the RPM amounts which are the future values.
Example: RPM asset $400k to be sold at age 84.  Set ORP asset value of $175k to become $400k at age 84.</t>
        </r>
      </text>
    </comment>
    <comment ref="BL63" authorId="0" shapeId="0">
      <text>
        <r>
          <rPr>
            <b/>
            <sz val="11"/>
            <color indexed="12"/>
            <rFont val="Tahoma"/>
            <family val="2"/>
          </rPr>
          <t xml:space="preserve">Inheritances, asset sales, SPIA,  purchase, QCD,  special expenditures and receipts.
</t>
        </r>
      </text>
    </comment>
  </commentList>
</comments>
</file>

<file path=xl/sharedStrings.xml><?xml version="1.0" encoding="utf-8"?>
<sst xmlns="http://schemas.openxmlformats.org/spreadsheetml/2006/main" count="5644" uniqueCount="2353">
  <si>
    <t>Itemized Deductions in First Year</t>
  </si>
  <si>
    <t>Added choice of Social Security Full Retirement Age 67 to calculations for those born 1960 and later.</t>
  </si>
  <si>
    <t xml:space="preserve"> Inflatn  2        Inflation rate for income</t>
  </si>
  <si>
    <t xml:space="preserve"> Termr    92       Retiree Planning Horizon</t>
  </si>
  <si>
    <t xml:space="preserve"> Terms    92       Spouse Planning Horizon</t>
  </si>
  <si>
    <t>Suggested method of doing an ORP comparison:</t>
  </si>
  <si>
    <t>Blank out the unused/wrong columns after doing the copy.</t>
  </si>
  <si>
    <t>With-A</t>
  </si>
  <si>
    <t>Added macros to hide little used pages, and improved hiding Base case amounts and comparisons.</t>
  </si>
  <si>
    <t>Roth Withdrawals auto, Existing</t>
  </si>
  <si>
    <t xml:space="preserve">Additional </t>
  </si>
  <si>
    <t xml:space="preserve"> MinTaxbl 0        Minimum After-tax Account Balance</t>
  </si>
  <si>
    <t xml:space="preserve"> Extra1I  0        Amount of 1st Extraordinary Income</t>
  </si>
  <si>
    <t xml:space="preserve"> Extra3I  0        Amount of 3rd Extraordinary Income</t>
  </si>
  <si>
    <t xml:space="preserve"> Extra4A  0        Age of 4th Extraordinary Event</t>
  </si>
  <si>
    <t xml:space="preserve"> Extra4I  0        Amount of 4th Extraordinary Income</t>
  </si>
  <si>
    <t xml:space="preserve"> Extra5A  0        Age of 5th Extraordinary Event</t>
  </si>
  <si>
    <t xml:space="preserve"> Extra5I  0        Amount of 5th Extraordinary Income</t>
  </si>
  <si>
    <t xml:space="preserve"> Extra6A  0        Age of 6th Extraordinary Event</t>
  </si>
  <si>
    <t xml:space="preserve"> Extra6I  0        Amount of 6th Extraordinary Income</t>
  </si>
  <si>
    <t>Tax-exempt interest</t>
  </si>
  <si>
    <t>Excluded foreign income</t>
  </si>
  <si>
    <t>Modified Adjusted Gross Income (MAGI)</t>
  </si>
  <si>
    <t>line 37</t>
  </si>
  <si>
    <t>line 8b</t>
  </si>
  <si>
    <t>Expanded some calculation details, normally hidden, to provide easier understanding and an audit trail.</t>
  </si>
  <si>
    <t>Improved instructions and labels.</t>
  </si>
  <si>
    <t>n/a</t>
  </si>
  <si>
    <t>3. Study how RPM input items compare to ORPs in the "#1 - ORP Input Parameters" schedule below. Enter RPM amounts to match as closely as possible.</t>
  </si>
  <si>
    <t>Added calculation of Federal income tax impact of Roth conversion on the RMD of the IRA used in the conversion.</t>
  </si>
  <si>
    <t>Fixed earnings calculation for final year if an account has a balance.</t>
  </si>
  <si>
    <t>Previous</t>
  </si>
  <si>
    <t>Added some warning messages should any account end up with a negative balance as they don't as yet have a procedure to keep them from going negative.</t>
  </si>
  <si>
    <t>Amounts</t>
  </si>
  <si>
    <t>Heading, help and note changes, and simplification of Setup page.</t>
  </si>
  <si>
    <t>Added new graphs to Results page containing account balance and earnings data.</t>
  </si>
  <si>
    <t>Income Taxes</t>
  </si>
  <si>
    <t>Instructions - Contents</t>
  </si>
  <si>
    <t>Inh IRA 1</t>
  </si>
  <si>
    <t>Inh IRA 2</t>
  </si>
  <si>
    <t>i2</t>
  </si>
  <si>
    <t>Fixed checking for adequate balance for taxable account SPIA purchase in Full case to current year starting balance (was prior year starting balance).</t>
  </si>
  <si>
    <t xml:space="preserve">Age at first donation </t>
  </si>
  <si>
    <t xml:space="preserve">IRA source </t>
  </si>
  <si>
    <t xml:space="preserve">Qualified Charitable Distributions from RMDs </t>
  </si>
  <si>
    <t xml:space="preserve">Total donation years </t>
  </si>
  <si>
    <t>Comparison of RPM stored results to ORP copied results. Uses ORP data output types (eg, 01_TaxDe, 02_RothI, etc)</t>
  </si>
  <si>
    <t>Changed the Alternative Tax Rate schedule to force all rates to use the same year, although this can be overridden (see cell comment).</t>
  </si>
  <si>
    <t xml:space="preserve"> Round results to nearest </t>
  </si>
  <si>
    <t xml:space="preserve"> Minimum taxable balance </t>
  </si>
  <si>
    <t>Income from earnings, dividends, pension, wages, etc.</t>
  </si>
  <si>
    <t>Owner</t>
  </si>
  <si>
    <t xml:space="preserve">Fixed instructions in state tax on SS Benefits cell note to indicate calculation method being used, which is Federal AGI multiplied by state rate, </t>
  </si>
  <si>
    <t xml:space="preserve"> RetAgeS  61       Age at which spouse retires.</t>
  </si>
  <si>
    <t xml:space="preserve"> earlyr   0        Retiree early withdrawal (-1 none)</t>
  </si>
  <si>
    <t xml:space="preserve">  information. Also the heading for a calculator or data storage area.</t>
  </si>
  <si>
    <t>Green font - result from the amount entered or selection made. Shown for user</t>
  </si>
  <si>
    <t xml:space="preserve">  On yearly calculation pages indicates end of modeling period balances.</t>
  </si>
  <si>
    <t>Blue font - Data entry section headings; first year formulas</t>
  </si>
  <si>
    <t>No guarantees are made as to the accuracy of the information in this spreadsheet or the appropriateness of any advice to your particular situation. Use results at your own risk.  Remember, the data is not a future reality, just a mathematical construct.</t>
  </si>
  <si>
    <r>
      <t xml:space="preserve">Red dot </t>
    </r>
    <r>
      <rPr>
        <b/>
        <sz val="12"/>
        <color indexed="10"/>
        <rFont val="Arial"/>
        <family val="2"/>
      </rPr>
      <t xml:space="preserve">. </t>
    </r>
    <r>
      <rPr>
        <b/>
        <sz val="12"/>
        <rFont val="Arial"/>
        <family val="2"/>
      </rPr>
      <t>in a cell indicates a hidden error or warning message is there</t>
    </r>
  </si>
  <si>
    <t>Topic info in cell comment</t>
  </si>
  <si>
    <t>Standard Deduction Age 65 Bonus - Yours</t>
  </si>
  <si>
    <t>9b</t>
  </si>
  <si>
    <t>15b</t>
  </si>
  <si>
    <t>16b</t>
  </si>
  <si>
    <t>20a</t>
  </si>
  <si>
    <t>20b</t>
  </si>
  <si>
    <t xml:space="preserve"> Less tax-exempt earnings</t>
  </si>
  <si>
    <t>check total 2</t>
  </si>
  <si>
    <t>Net income cash flow</t>
  </si>
  <si>
    <t>Total Income line 43 calculation</t>
  </si>
  <si>
    <t>37 &amp; 38</t>
  </si>
  <si>
    <t>IF(E$68&gt;='Tax Tables'!E$40,('Tax Tables'!E$40-'Tax Tables'!E$39)*'Tax Tables'!E$41,0)),</t>
  </si>
  <si>
    <t>IF(E$68&gt;='Tax Tables'!E$75,('Tax Tables'!E$75-'Tax Tables'!E$74)*'Tax Tables'!E$76,0))),</t>
  </si>
  <si>
    <t>Taxable account</t>
  </si>
  <si>
    <t>Fixed Hide Base case macro - Nov 2</t>
  </si>
  <si>
    <t xml:space="preserve">Excl Ratio </t>
  </si>
  <si>
    <t>Case names</t>
  </si>
  <si>
    <t>Determine year end balance before earnings</t>
  </si>
  <si>
    <t>Blue background - input fields: factors, numbers and data</t>
  </si>
  <si>
    <t>End of year balances</t>
  </si>
  <si>
    <t xml:space="preserve">  DRC &amp; Pre-FRA Adj</t>
  </si>
  <si>
    <t>14,19,29,32</t>
  </si>
  <si>
    <t xml:space="preserve">Life expectancy table to use </t>
  </si>
  <si>
    <t>Default Table III</t>
  </si>
  <si>
    <t>Override Table II</t>
  </si>
  <si>
    <t>Life Exp</t>
  </si>
  <si>
    <t>SPIA</t>
  </si>
  <si>
    <t>Portfolio</t>
  </si>
  <si>
    <t xml:space="preserve"> Federal taxable income</t>
  </si>
  <si>
    <t>State average</t>
  </si>
  <si>
    <t>20. Line 19 x 15%</t>
  </si>
  <si>
    <t>21. Add line 11 and 19</t>
  </si>
  <si>
    <t>23. Line 22 x 20%</t>
  </si>
  <si>
    <t>24. Tax on line 7</t>
  </si>
  <si>
    <t>25. Add lines 20, 23, 24</t>
  </si>
  <si>
    <t>26. Tax on line 1</t>
  </si>
  <si>
    <t>4. Add 2 and 3</t>
  </si>
  <si>
    <t xml:space="preserve">   IF(OR(E$5&lt;'Setup and Input'!$B$54,'Setup and Input'!$B$54=""),</t>
  </si>
  <si>
    <t>Bogleheads, a name chosen to honor Vanguard's founder and investor advocate John Bogle, are investing enthusiasts who participate in the Bogleheads Forum.</t>
  </si>
  <si>
    <t xml:space="preserve">current portfolio balances </t>
  </si>
  <si>
    <t xml:space="preserve">by account type </t>
  </si>
  <si>
    <t xml:space="preserve">ages and settings </t>
  </si>
  <si>
    <t xml:space="preserve">Social Security benefits </t>
  </si>
  <si>
    <t xml:space="preserve">single premium </t>
  </si>
  <si>
    <t>immediate annuity (SPIA)</t>
  </si>
  <si>
    <t xml:space="preserve">excluding income taxes </t>
  </si>
  <si>
    <t xml:space="preserve">living expenses </t>
  </si>
  <si>
    <t xml:space="preserve">IRA withdrawals </t>
  </si>
  <si>
    <t xml:space="preserve">future events </t>
  </si>
  <si>
    <t xml:space="preserve">filing status </t>
  </si>
  <si>
    <t xml:space="preserve">itemized deductions </t>
  </si>
  <si>
    <t xml:space="preserve">state rates and factors </t>
  </si>
  <si>
    <t xml:space="preserve">tax modeling option </t>
  </si>
  <si>
    <t xml:space="preserve">Federal rate changes </t>
  </si>
  <si>
    <t>Inheritance 2</t>
  </si>
  <si>
    <t>Asset Sale 1</t>
  </si>
  <si>
    <t>Asset Sale 2</t>
  </si>
  <si>
    <t>Special Expenditure 1</t>
  </si>
  <si>
    <t>Special Expenditure 2</t>
  </si>
  <si>
    <t>Inheritances</t>
  </si>
  <si>
    <t>Life Expectancy Factor 2: Table 1</t>
  </si>
  <si>
    <t>Beginning of year balance 1</t>
  </si>
  <si>
    <t>Beginning of year balance 2</t>
  </si>
  <si>
    <t>Less RMD 1</t>
  </si>
  <si>
    <t>Less RMD 2</t>
  </si>
  <si>
    <t>Available for Withdrawal 1</t>
  </si>
  <si>
    <t>Available for Withdrawal 2</t>
  </si>
  <si>
    <t>Less Withdrawals 1</t>
  </si>
  <si>
    <t>Less Withdrawals 2</t>
  </si>
  <si>
    <t>Plus Earnings 1</t>
  </si>
  <si>
    <t>Plus Earnings 2</t>
  </si>
  <si>
    <t>Available for Automatic Withdrawals 1</t>
  </si>
  <si>
    <t>Available for Automatic Withdrawals 2</t>
  </si>
  <si>
    <t>Less Auto Withdrawals 1</t>
  </si>
  <si>
    <t>Less Auto Withdrawals 2</t>
  </si>
  <si>
    <t>Life Expectancy Factor 1: Table 1</t>
  </si>
  <si>
    <t xml:space="preserve">method to use </t>
  </si>
  <si>
    <t>Fed tax exempt income taxable in state</t>
  </si>
  <si>
    <t>Tax-exempt earnings</t>
  </si>
  <si>
    <t>Many Boglehead forum members have used the model and offered suggestions for improving it, fixing problems and generally making it better. I particularly want to thank</t>
  </si>
  <si>
    <t>9. Alternative Tax Rates</t>
  </si>
  <si>
    <t>Account Balances - End of Year</t>
  </si>
  <si>
    <t>Net funds added to or (deducted from) Taxable account</t>
  </si>
  <si>
    <t>Taxable SS benefits ^</t>
  </si>
  <si>
    <t xml:space="preserve">         Social Security COLA</t>
  </si>
  <si>
    <t xml:space="preserve">          Social Security COLA</t>
  </si>
  <si>
    <t>Added yearly marginal tax rate determination, and a chart comparing the two cases in the Results page.</t>
  </si>
  <si>
    <t>Net yearly change</t>
  </si>
  <si>
    <t>Federal Modified Adjusted Gross Income</t>
  </si>
  <si>
    <t xml:space="preserve">IRA RMD ages and owners </t>
  </si>
  <si>
    <t>Start age</t>
  </si>
  <si>
    <t>Added year to end itemized deductions and then use standard, and unique escalation rate.</t>
  </si>
  <si>
    <t>Than</t>
  </si>
  <si>
    <t>Beginning of year balance</t>
  </si>
  <si>
    <t>Less RMD</t>
  </si>
  <si>
    <t>Available for Withdrawal #1</t>
  </si>
  <si>
    <t>Available for Withdrawal #2</t>
  </si>
  <si>
    <r>
      <t xml:space="preserve">Macros:
</t>
    </r>
    <r>
      <rPr>
        <sz val="12"/>
        <rFont val="Arial"/>
        <family val="2"/>
      </rPr>
      <t xml:space="preserve">
Macros were added in version 15.  These macros are activated by clicking on the labeled light blue buttons.  They perform various tasks, such jumping to a different location, copying and pasting results for saving, clearing all setup data, and showing or hiding gridlines and headers. </t>
    </r>
    <r>
      <rPr>
        <b/>
        <sz val="12"/>
        <rFont val="Arial"/>
        <family val="2"/>
      </rPr>
      <t>The model can be used without activating or using the macros.</t>
    </r>
    <r>
      <rPr>
        <sz val="12"/>
        <rFont val="Arial"/>
        <family val="2"/>
      </rPr>
      <t xml:space="preserve">  
Macro content can be viewed by selecting Tools &gt; Macro &gt; Macros &gt; Edit. The macro security level can also be changed at Tools &gt; Macro &gt; Security to enable or disable macros. The macros in this model, if downloaded from the direct link on the Bogleheads' forum, are strictly limited to operations within RPM. They do not access other computer programs or drive folders.  They do not access the Internet.  They are strictly used to make the model easier to use.</t>
    </r>
  </si>
  <si>
    <t>Available for Withdrawal #3</t>
  </si>
  <si>
    <t>Available for Roth Conversions</t>
  </si>
  <si>
    <t>Less Conversions</t>
  </si>
  <si>
    <t>Less Withdrawal #1</t>
  </si>
  <si>
    <t>Less Withdrawal #3</t>
  </si>
  <si>
    <t>Less Withdrawal #2</t>
  </si>
  <si>
    <t>Plus Earnings</t>
  </si>
  <si>
    <t>Starting year, new tax rates, brackets, exemptions and deductions set for 2014.  (User adjustable as always.)</t>
  </si>
  <si>
    <t xml:space="preserve">Other income 1 </t>
  </si>
  <si>
    <t xml:space="preserve">Other income 2 </t>
  </si>
  <si>
    <t>Inherited IRA</t>
  </si>
  <si>
    <t>Inherited IRA End of year balance 1</t>
  </si>
  <si>
    <t>IF(Taxable income&gt;=$85650 AND Taxable income&lt;=$178650,Taxable income-$85650*'28%,</t>
  </si>
  <si>
    <t>Inherited IRA End of year balance 2</t>
  </si>
  <si>
    <t>IRA 1 incl Inherited 1</t>
  </si>
  <si>
    <t>COLA</t>
  </si>
  <si>
    <t>Inheritance 1 age</t>
  </si>
  <si>
    <t>Inhrt</t>
  </si>
  <si>
    <t>Taxbl</t>
  </si>
  <si>
    <t>Sale</t>
  </si>
  <si>
    <t>Cumulative benefits</t>
  </si>
  <si>
    <t>Comparison to default benefits</t>
  </si>
  <si>
    <t>Yearly default benefits</t>
  </si>
  <si>
    <t xml:space="preserve"> Present value discount rate </t>
  </si>
  <si>
    <t xml:space="preserve">optional: change asset </t>
  </si>
  <si>
    <t>FRA age:</t>
  </si>
  <si>
    <t xml:space="preserve">    DRC &amp; Pre-FRA Adj</t>
  </si>
  <si>
    <t>Benefits</t>
  </si>
  <si>
    <t>Percent of annual living &amp; tax expenses</t>
  </si>
  <si>
    <t>Total - You Alternative</t>
  </si>
  <si>
    <t>Total - Spouse Alternative</t>
  </si>
  <si>
    <t>Tax brackets rounding factor</t>
  </si>
  <si>
    <t xml:space="preserve">Years to forecast </t>
  </si>
  <si>
    <t xml:space="preserve">Your age </t>
  </si>
  <si>
    <t>Interest</t>
  </si>
  <si>
    <t>SS benefits</t>
  </si>
  <si>
    <t xml:space="preserve">An information and instruction page has been added, along with a number of title and formatting changes. </t>
  </si>
  <si>
    <t>Added a Comparison page that shows the differences for all case items.  All normally hidden rows are shown on this page.</t>
  </si>
  <si>
    <t>Lump Sum Events details added to Base and Compare yearly spreadsheets.</t>
  </si>
  <si>
    <t>First release.  Hello world!</t>
  </si>
  <si>
    <t xml:space="preserve">ORP - Optimal Retirement Planner. </t>
  </si>
  <si>
    <t>Simplified SS benefit calculation.  Just insert your FRA benefit amount and the age you want to start and everything is calculated.</t>
  </si>
  <si>
    <t>Changed name of Compare case to Full Case and focused on it as the default retirement model.</t>
  </si>
  <si>
    <t>Full</t>
  </si>
  <si>
    <t>Year</t>
  </si>
  <si>
    <t>Living</t>
  </si>
  <si>
    <t xml:space="preserve">  with tools such as TaxCaster.</t>
  </si>
  <si>
    <t>8. Income Taxes</t>
  </si>
  <si>
    <t>7. Special Events</t>
  </si>
  <si>
    <t>5. Expenses</t>
  </si>
  <si>
    <t>4. Income</t>
  </si>
  <si>
    <t>3. Allocation and Earnings Rates</t>
  </si>
  <si>
    <t>2. Portfolio Balances</t>
  </si>
  <si>
    <t>10. Roth Conv and Withdr Amounts</t>
  </si>
  <si>
    <t>Added option to round calculations to the nearest $1, $100, $1,000, etc..  Example data default changed to nearest $100. Slightly reduced final results.</t>
  </si>
  <si>
    <t>Roth Conversion Analysis</t>
  </si>
  <si>
    <t>Optional worksheet - compare results of RPM to ORP</t>
  </si>
  <si>
    <t>Spouse RMD Change Age</t>
  </si>
  <si>
    <t xml:space="preserve">Spouse age </t>
  </si>
  <si>
    <t>Beneficiary</t>
  </si>
  <si>
    <t>Income from pensions, wages, etc.</t>
  </si>
  <si>
    <t>Income from Social Security</t>
  </si>
  <si>
    <t>Inheritances and asset sales</t>
  </si>
  <si>
    <t>Otherwise, calculate single taxes</t>
  </si>
  <si>
    <t>If married status and single year hasn't occurred or doesn't exist, then</t>
  </si>
  <si>
    <t>Developer notes</t>
  </si>
  <si>
    <t>Less other non-taxable earnings in taxable</t>
  </si>
  <si>
    <t xml:space="preserve">Added separate page for inputting Roth conversion amounts, allowing one to monitor the effect it has on the yearly Federal </t>
  </si>
  <si>
    <t xml:space="preserve">   income taxes to stay within the desired brackets.</t>
  </si>
  <si>
    <t>Corrected IRA withdrawal calculation for Base Case which uses different input fields than Roth Case.  Misc title name changes.</t>
  </si>
  <si>
    <t>Account balances at start of year</t>
  </si>
  <si>
    <t>Removed the choice to include an annuity purchase in the Base case. This was an un-necessary complication for this common and minor event.</t>
  </si>
  <si>
    <t>1. Enter your data into ORP using as simple a model as possible to start.</t>
  </si>
  <si>
    <t>balance</t>
  </si>
  <si>
    <t>State Effective Tax Rate future</t>
  </si>
  <si>
    <t>Percent of Pension 1 taxable in state</t>
  </si>
  <si>
    <t>Percent of Pension 1 taxable in state future</t>
  </si>
  <si>
    <t xml:space="preserve">End age </t>
  </si>
  <si>
    <t xml:space="preserve">Calculated totals </t>
  </si>
  <si>
    <t xml:space="preserve">First year </t>
  </si>
  <si>
    <t>read</t>
  </si>
  <si>
    <t xml:space="preserve">  the resulting earnings in a future year. Reducing stock allocation at age 80, for example.</t>
  </si>
  <si>
    <t>Results</t>
  </si>
  <si>
    <t>Taxable account - special events</t>
  </si>
  <si>
    <t>Model End</t>
  </si>
  <si>
    <t>Recommended forecasting tools:</t>
  </si>
  <si>
    <t>Error checks</t>
  </si>
  <si>
    <t>Case check totals</t>
  </si>
  <si>
    <t>Should Be</t>
  </si>
  <si>
    <t>&lt; 3</t>
  </si>
  <si>
    <t>Federal income tax on RMD</t>
  </si>
  <si>
    <t>revised withdrawal method</t>
  </si>
  <si>
    <t>Value</t>
  </si>
  <si>
    <t xml:space="preserve">Filing status </t>
  </si>
  <si>
    <t>Average of start and end balances</t>
  </si>
  <si>
    <t>Total Federal taxes</t>
  </si>
  <si>
    <t xml:space="preserve"> LumpMort 0        Reverse Mortgage: Lump Sum Distribution</t>
  </si>
  <si>
    <t>IRA 1 Withdrawals</t>
  </si>
  <si>
    <t>IRA 1 Withdrawals #1</t>
  </si>
  <si>
    <t>Inherited IRA withdrawals</t>
  </si>
  <si>
    <t xml:space="preserve">1943-54 </t>
  </si>
  <si>
    <t xml:space="preserve">86 2⁄3 </t>
  </si>
  <si>
    <t xml:space="preserve">93 1⁄3 </t>
  </si>
  <si>
    <t xml:space="preserve">66, 2 mo. </t>
  </si>
  <si>
    <t xml:space="preserve">74 1⁄6 </t>
  </si>
  <si>
    <t xml:space="preserve">79 1⁄6 </t>
  </si>
  <si>
    <t xml:space="preserve">85 5⁄9 </t>
  </si>
  <si>
    <t xml:space="preserve">92 2⁄9 </t>
  </si>
  <si>
    <t xml:space="preserve">98 8⁄9 </t>
  </si>
  <si>
    <t>15: Smaller of line 2 or line 14</t>
  </si>
  <si>
    <t>Beginning of year balances</t>
  </si>
  <si>
    <t>Default</t>
  </si>
  <si>
    <t>Optional</t>
  </si>
  <si>
    <t>results</t>
  </si>
  <si>
    <t xml:space="preserve">  Results Summary</t>
  </si>
  <si>
    <t>copy</t>
  </si>
  <si>
    <t xml:space="preserve">  Store settings and results in this area</t>
  </si>
  <si>
    <t>Modified "copy results" macros on Setup page to also copy settings and data to their respective storage area on the Results page.</t>
  </si>
  <si>
    <t>Inherited IRA 2 earnings changed from using existing tIRA 1's rate to tIRA 2's.</t>
  </si>
  <si>
    <t xml:space="preserve">Total </t>
  </si>
  <si>
    <t>Improved and updated menus, instructions and cell help comments.</t>
  </si>
  <si>
    <t>Appears to work properly with LibreOffice Calc 5.0.2.2</t>
  </si>
  <si>
    <t>Taxable Interest</t>
  </si>
  <si>
    <t>Modified yearly dividend/revenue growth to use average change, rather than starting balance, to better reflect impact of additions and deductions.</t>
  </si>
  <si>
    <t xml:space="preserve">Added option to not calculate Federal and state income taxes to better understand impact of Roth and other decisions on after tax cash flow. </t>
  </si>
  <si>
    <t>$70k exp</t>
  </si>
  <si>
    <t>QCD fix v18.0</t>
  </si>
  <si>
    <t>Portfolios difference</t>
  </si>
  <si>
    <t xml:space="preserve">This is a retiree portfolio forecasting model created for personal use that is being made available to Boglehead forum members and visitors. The model's primary purpose is use a household's portfolio data and estimates of future income, expenses and expenditures, and calculate the yearly and long term financial results from that data, helping to determine the impact on those results from doing various common retiree choices, such as converting traditional IRA funds to a Roth IRA.  While a reasonable effort has been made to insure that the model manipulates the various amounts and factors supplied by the user using mathematical standards and logically to achieve the designed result, it is not represented or guaranteed to do this correctly, and should only be relied upon for general information, education, and non-commercial purposes.  The user bears the sole responsibility of evaluating the merits and risks associated with using this model, doing Roth conversions, selecting a Social Security benefits strategy, or making decisions based on the results. 
</t>
  </si>
  <si>
    <t>choose test</t>
  </si>
  <si>
    <t>Net changes before taxes and taxable earnings</t>
  </si>
  <si>
    <t>Tax Exempt - average</t>
  </si>
  <si>
    <t>Taxable account earnings by asset class</t>
  </si>
  <si>
    <t>Total and weighted average</t>
  </si>
  <si>
    <t>Less tax-exempt investments earnings</t>
  </si>
  <si>
    <t>Exclusion Ratio</t>
  </si>
  <si>
    <t>End age</t>
  </si>
  <si>
    <t>Added a simple current year Federal income tax calculator, including taxable SS benefits, to the Setup page.</t>
  </si>
  <si>
    <t>supporting data and calculations hidden below</t>
  </si>
  <si>
    <t>Macro - click to run</t>
  </si>
  <si>
    <t>Added life expectancy calculator to Setup page for general information.</t>
  </si>
  <si>
    <t>Added an Account Average Return Calculator for estimating the overall return from an account containing cash, stocks, bonds and other investments.</t>
  </si>
  <si>
    <t>Input</t>
  </si>
  <si>
    <t xml:space="preserve">-  </t>
  </si>
  <si>
    <t>Updated tax rates and brackets to 2016 amounts.</t>
  </si>
  <si>
    <t>Cash Flow chart source data</t>
  </si>
  <si>
    <t>Reconciliation Check</t>
  </si>
  <si>
    <t>column numbers</t>
  </si>
  <si>
    <t>Base portfolio</t>
  </si>
  <si>
    <t>current</t>
  </si>
  <si>
    <t>Conclusion</t>
  </si>
  <si>
    <t>Key portfolio elements</t>
  </si>
  <si>
    <t>Portfolio summary</t>
  </si>
  <si>
    <t>convert</t>
  </si>
  <si>
    <t>.</t>
  </si>
  <si>
    <t>SS details</t>
  </si>
  <si>
    <t xml:space="preserve">  Roth Conver</t>
  </si>
  <si>
    <t>Macro added that will copy nearly all Setup page factors from a previous RPM model to the current one.  Many thanks to BH mjf55 for this big time-saver!</t>
  </si>
  <si>
    <t>Enhanced Setup page summary results copy macros to also copy setup factors in storage area on Results page.</t>
  </si>
  <si>
    <t>Bond - average</t>
  </si>
  <si>
    <t>Earnings by Account - Change</t>
  </si>
  <si>
    <t>Earnings by Account</t>
  </si>
  <si>
    <t>Change Yr</t>
  </si>
  <si>
    <t xml:space="preserve">Roth Conversion </t>
  </si>
  <si>
    <t xml:space="preserve">Age when event occurs </t>
  </si>
  <si>
    <t>Jan 29: Fixed validation checking for Income by Source - Your Age.</t>
  </si>
  <si>
    <t>End of</t>
  </si>
  <si>
    <t>Account Balances - Start of Year</t>
  </si>
  <si>
    <t>Taxble</t>
  </si>
  <si>
    <t>Expend</t>
  </si>
  <si>
    <t>Inherit</t>
  </si>
  <si>
    <t>Living expenses usually drop later in life.  A percentage reduction can now be entered at a future age.</t>
  </si>
  <si>
    <t>20_Spending</t>
  </si>
  <si>
    <t>2. Copy two of the schedules ORP produces to the areas shown below.  Note: ORP is under constant improvement and the formatting and content of these schedules may change, making this worksheet null and void.</t>
  </si>
  <si>
    <t>Spending change age</t>
  </si>
  <si>
    <t>Some RPM factors not in ORP</t>
  </si>
  <si>
    <t>State bracket method</t>
  </si>
  <si>
    <t>Differences</t>
  </si>
  <si>
    <t xml:space="preserve">      IF(E$68&gt;='Tax Tables'!E$80,('Tax Tables'!E$80-'Tax Tables'!E$79)*'Tax Tables'!E$81,0))),</t>
  </si>
  <si>
    <t xml:space="preserve">      IF(AND(E$68&gt;='Tax Tables'!E$79,E$68&lt;='Tax Tables'!E$80),(E$68-'Tax Tables'!E$79)*'Tax Tables'!E$81,</t>
  </si>
  <si>
    <t>Added 33% and 36% tax brackets</t>
  </si>
  <si>
    <t>Allocation</t>
  </si>
  <si>
    <t xml:space="preserve">Total  </t>
  </si>
  <si>
    <t>Fixed tIRA 2 to use its own annual return rate, rather than the return rate of tIRA 1.</t>
  </si>
  <si>
    <t>Calculated</t>
  </si>
  <si>
    <t>Google Sheets</t>
  </si>
  <si>
    <t>Years to average</t>
  </si>
  <si>
    <t>IRA 2 RMD original owner</t>
  </si>
  <si>
    <t>IRA 2 RMD beneficiary</t>
  </si>
  <si>
    <t>IRA 2 RMD</t>
  </si>
  <si>
    <t>Inherited IRA 1 RMD</t>
  </si>
  <si>
    <t>Inherited IRA 2 RMD</t>
  </si>
  <si>
    <t>IRA withdrawals</t>
  </si>
  <si>
    <t>IRA withdrawals automatic</t>
  </si>
  <si>
    <t>IRA 1 RMD Start Age</t>
  </si>
  <si>
    <t>IRA 2 RMD Start Age</t>
  </si>
  <si>
    <t>Inherited IRA 1 RMD Start Age</t>
  </si>
  <si>
    <t>Inherited IRA 2 RMD Start Age</t>
  </si>
  <si>
    <t>IRA Amount</t>
  </si>
  <si>
    <t>Inherited IRA automatic</t>
  </si>
  <si>
    <t>IRA SPIA purchase</t>
  </si>
  <si>
    <t>IF(AND(E$68&gt;='Tax Tables'!E$74,E$68&lt;='Tax Tables'!E$75),(E$68-'Tax Tables'!E$74)*'Tax Tables'!E$76,</t>
  </si>
  <si>
    <t>Start Age</t>
  </si>
  <si>
    <t>End Age</t>
  </si>
  <si>
    <t>Withdrawals</t>
  </si>
  <si>
    <t>Conversions</t>
  </si>
  <si>
    <t>Click here</t>
  </si>
  <si>
    <r>
      <t xml:space="preserve">for the current model link at the Bogleheads' forum.  </t>
    </r>
    <r>
      <rPr>
        <b/>
        <sz val="12"/>
        <color indexed="10"/>
        <rFont val="Arial"/>
        <family val="2"/>
      </rPr>
      <t>DO NOT download or run this model from any other link or website.</t>
    </r>
  </si>
  <si>
    <t xml:space="preserve">4. Income  </t>
  </si>
  <si>
    <t xml:space="preserve">7. Special Events  </t>
  </si>
  <si>
    <t xml:space="preserve">83 1⁄3 </t>
  </si>
  <si>
    <t xml:space="preserve">96 2⁄3 </t>
  </si>
  <si>
    <t xml:space="preserve">66, 8 mo. </t>
  </si>
  <si>
    <t xml:space="preserve">71 2⁄3 </t>
  </si>
  <si>
    <t xml:space="preserve">76 2⁄3 </t>
  </si>
  <si>
    <t xml:space="preserve">82 2⁄9 </t>
  </si>
  <si>
    <t xml:space="preserve">88 8⁄9 </t>
  </si>
  <si>
    <t xml:space="preserve">95 5⁄9 </t>
  </si>
  <si>
    <t xml:space="preserve">102 2⁄3 </t>
  </si>
  <si>
    <t>126 2⁄3</t>
  </si>
  <si>
    <t xml:space="preserve">66, 10 mo. </t>
  </si>
  <si>
    <t xml:space="preserve">70 5⁄6 </t>
  </si>
  <si>
    <t xml:space="preserve">75 5⁄6 </t>
  </si>
  <si>
    <t xml:space="preserve">81 1⁄9 </t>
  </si>
  <si>
    <t xml:space="preserve">87 7⁄9 </t>
  </si>
  <si>
    <t xml:space="preserve">94 4⁄9 </t>
  </si>
  <si>
    <t>increase</t>
  </si>
  <si>
    <t>Fed adjusted gross income</t>
  </si>
  <si>
    <t>Less taxable SS income</t>
  </si>
  <si>
    <t>Less pension 1</t>
  </si>
  <si>
    <t>State adjusted gross income</t>
  </si>
  <si>
    <t>State income</t>
  </si>
  <si>
    <t>load entries</t>
  </si>
  <si>
    <t>Earnings rate</t>
  </si>
  <si>
    <t>Cases</t>
  </si>
  <si>
    <t>Withdrawals - entered, RMD &amp; SPIA purchase</t>
  </si>
  <si>
    <t>End of year balance before earnings</t>
  </si>
  <si>
    <t>Difference from Earnings section calculation: larger / (smaller)</t>
  </si>
  <si>
    <t>Example data story moved to cell comments in far left section of green section title labels.</t>
  </si>
  <si>
    <t>Portfolio Activity by Account Comparison</t>
  </si>
  <si>
    <t>Copy and store current results here</t>
  </si>
  <si>
    <t>Example: Roth conv plus 5% tax rate increase in 2020</t>
  </si>
  <si>
    <t>Fixed inherited IRA showing up at start of inherited year.  End of year correct.  Start of year should not include it.</t>
  </si>
  <si>
    <t>Portfolio Account Activity</t>
  </si>
  <si>
    <t>Change Year</t>
  </si>
  <si>
    <t>Calculations for Simple Tax Calculator on Setup page</t>
  </si>
  <si>
    <t>lines 7, 8a, 8b, 9a, 10-14, 15b, 16b, 17-19, 21</t>
  </si>
  <si>
    <t>7: Net income</t>
  </si>
  <si>
    <t>2 + 3</t>
  </si>
  <si>
    <t>QCD</t>
  </si>
  <si>
    <t>IRA source 2</t>
  </si>
  <si>
    <t>IRA source 1</t>
  </si>
  <si>
    <t>Age at first donation 1</t>
  </si>
  <si>
    <t>Age at first donation 2</t>
  </si>
  <si>
    <t>QCD 2</t>
  </si>
  <si>
    <t>QCD 1</t>
  </si>
  <si>
    <t>Total donation years 2</t>
  </si>
  <si>
    <t>Total donation years 1</t>
  </si>
  <si>
    <t>One benefit of doing a Roth conversion is to use those funds tax-free in a future year.  A large expenditure can now be input in a future year</t>
  </si>
  <si>
    <t>Trigger "year" type input data has been changed to the more intuitive trigger "age".</t>
  </si>
  <si>
    <t>Roth Withdrawals, Existing</t>
  </si>
  <si>
    <t>Roth Withdrawals, Conversion</t>
  </si>
  <si>
    <t>IRA Withdrawals</t>
  </si>
  <si>
    <r>
      <t>Inheritance 1</t>
    </r>
    <r>
      <rPr>
        <sz val="12"/>
        <rFont val="Arial"/>
        <family val="2"/>
      </rPr>
      <t xml:space="preserve"> - Include?</t>
    </r>
  </si>
  <si>
    <r>
      <t>Inheritance 2</t>
    </r>
    <r>
      <rPr>
        <sz val="12"/>
        <rFont val="Arial"/>
        <family val="2"/>
      </rPr>
      <t xml:space="preserve"> - Include?</t>
    </r>
  </si>
  <si>
    <r>
      <t>Asset Sale 1</t>
    </r>
    <r>
      <rPr>
        <sz val="12"/>
        <rFont val="Arial"/>
        <family val="2"/>
      </rPr>
      <t xml:space="preserve"> - Include?</t>
    </r>
  </si>
  <si>
    <r>
      <t>Expenditure 1</t>
    </r>
    <r>
      <rPr>
        <sz val="12"/>
        <rFont val="Arial"/>
        <family val="2"/>
      </rPr>
      <t xml:space="preserve"> - Include?</t>
    </r>
  </si>
  <si>
    <r>
      <t>Expenditure 2</t>
    </r>
    <r>
      <rPr>
        <sz val="12"/>
        <rFont val="Arial"/>
        <family val="2"/>
      </rPr>
      <t xml:space="preserve"> - Include?</t>
    </r>
  </si>
  <si>
    <t>SS Benefits - Spouse - spousal alt</t>
  </si>
  <si>
    <t>Added the SS benefits File &amp; Suspend strategy to the SS benefits calculations. Improved SS benefit model to allow either person to receive</t>
  </si>
  <si>
    <t xml:space="preserve">  spousal benefits.</t>
  </si>
  <si>
    <t>Self</t>
  </si>
  <si>
    <t>Problem somewhere if not near zero</t>
  </si>
  <si>
    <t>Itemized Deductions Yearly Escalation Rate</t>
  </si>
  <si>
    <t>Taxes by Bracket</t>
  </si>
  <si>
    <t>Last Line</t>
  </si>
  <si>
    <t>Balance</t>
  </si>
  <si>
    <t>IF(AND(E$68&gt;='Tax Tables'!E$79,E$68&lt;='Tax Tables'!E$80),(E$68-'Tax Tables'!E$79)*'Tax Tables'!E$81,</t>
  </si>
  <si>
    <t>Calculated Totals</t>
  </si>
  <si>
    <t>Not in Base</t>
  </si>
  <si>
    <t>Annual Escalation/-Reduction</t>
  </si>
  <si>
    <t>Withdrawals - Starting Amounts</t>
  </si>
  <si>
    <t>Conversions - Starting Amounts</t>
  </si>
  <si>
    <t xml:space="preserve"> Current amount</t>
  </si>
  <si>
    <t xml:space="preserve"> Future age</t>
  </si>
  <si>
    <t xml:space="preserve"> Future amount</t>
  </si>
  <si>
    <t xml:space="preserve"> Escalation rate</t>
  </si>
  <si>
    <t>Fixed issue with File &amp; Suspend that might have affected the calculation for different aged spouses.</t>
  </si>
  <si>
    <t>Earnings and Income</t>
  </si>
  <si>
    <t xml:space="preserve">   Discounted cash flow</t>
  </si>
  <si>
    <t>Removed cancelled SS benefit strategies File and Suspend and Restricted Application. Added an "Additional Benefits" option to allow entry of these or other benefits.</t>
  </si>
  <si>
    <t>Average taxable account balance</t>
  </si>
  <si>
    <t>Taxable earnings rate</t>
  </si>
  <si>
    <t>Start of year balance</t>
  </si>
  <si>
    <t>Taxable earnings</t>
  </si>
  <si>
    <t>Rounded</t>
  </si>
  <si>
    <t>Average increase</t>
  </si>
  <si>
    <t>Updating format and corrected totals for omitted factors and suppressed zeros to make for easier reading on Summary page</t>
  </si>
  <si>
    <t>Added an option to select the IRS Table II - Joint Life for calculating RMD if the spouse is more than 10 years younger. Requires user to input data in table.</t>
  </si>
  <si>
    <t>SS Benefits - Spouse - using</t>
  </si>
  <si>
    <r>
      <t xml:space="preserve">Additions </t>
    </r>
    <r>
      <rPr>
        <b/>
        <sz val="10"/>
        <color indexed="22"/>
        <rFont val="Arial"/>
        <family val="2"/>
      </rPr>
      <t>(details above)</t>
    </r>
  </si>
  <si>
    <r>
      <t>Earnings</t>
    </r>
    <r>
      <rPr>
        <b/>
        <sz val="12"/>
        <color indexed="22"/>
        <rFont val="Arial"/>
        <family val="2"/>
      </rPr>
      <t xml:space="preserve"> </t>
    </r>
    <r>
      <rPr>
        <b/>
        <sz val="10"/>
        <color indexed="22"/>
        <rFont val="Arial"/>
        <family val="2"/>
      </rPr>
      <t>(details above)</t>
    </r>
  </si>
  <si>
    <r>
      <t xml:space="preserve">Expenses and withdrawals </t>
    </r>
    <r>
      <rPr>
        <b/>
        <sz val="10"/>
        <color indexed="22"/>
        <rFont val="Arial"/>
        <family val="2"/>
      </rPr>
      <t>(details above)</t>
    </r>
  </si>
  <si>
    <t xml:space="preserve">Your additional benefits </t>
  </si>
  <si>
    <t xml:space="preserve">Start Age </t>
  </si>
  <si>
    <t xml:space="preserve">End Age </t>
  </si>
  <si>
    <t xml:space="preserve">Spouse additional benefits </t>
  </si>
  <si>
    <t>Include Roth conversions and withdrawals?</t>
  </si>
  <si>
    <t>Federal and state taxes</t>
  </si>
  <si>
    <t>RMD</t>
  </si>
  <si>
    <t>Withdr</t>
  </si>
  <si>
    <t>Roth IRA</t>
  </si>
  <si>
    <t>Inhrtd IRA 1</t>
  </si>
  <si>
    <t>Inhrtd IRA 2</t>
  </si>
  <si>
    <t>Acct</t>
  </si>
  <si>
    <t>Added a Summary page containing account balances and earnings and expenditures for both cases and a comparison.</t>
  </si>
  <si>
    <t xml:space="preserve">Income </t>
  </si>
  <si>
    <t xml:space="preserve">COLA </t>
  </si>
  <si>
    <t>Improved how account forecast earnings are calculated by adding an asset allocation method, and a means of changing allocation and</t>
  </si>
  <si>
    <t>Added error checking and messages, including hint to match going to a Single tax rate for married couples in the same year that SS benefits end for one.</t>
  </si>
  <si>
    <t>Fixed and clarified signs and titles in Results page to be consistent and informative.</t>
  </si>
  <si>
    <t>Total expenses</t>
  </si>
  <si>
    <t>Total SS benefits</t>
  </si>
  <si>
    <t>Year end portfolio balances</t>
  </si>
  <si>
    <t>Social Security cumulative benefits</t>
  </si>
  <si>
    <t>Table I</t>
  </si>
  <si>
    <t>Table I: Single life expectancy for use by beneficiaries.</t>
  </si>
  <si>
    <t xml:space="preserve">The forum's regular posters discuss financial news and theory, while also helping less experienced investors manage their portfolios. </t>
  </si>
  <si>
    <t>IF((Taxable income&gt;=$142700 AND Taxable income&lt;=$217450),(Taxable income-$142700)*28%,</t>
  </si>
  <si>
    <t>IF(Taxable income&gt;=$217450,($217450-$142700)*28%,0)),</t>
  </si>
  <si>
    <t>Improved SS benefit input error messages.  Added start years to spousal and special amounts.</t>
  </si>
  <si>
    <t xml:space="preserve"> ContRoth 0        Contribution to Roth IRA Account</t>
  </si>
  <si>
    <t xml:space="preserve"> CntRoth2 0        Spouses Contribution to Roth IRA Account</t>
  </si>
  <si>
    <t>Added a priority for tIRA withdrawals: Withdrawal #1, then Roth conversions, then Withdrawal #2, and finally Withdrawal #3.</t>
  </si>
  <si>
    <t>Compare Larger/(Smaller)</t>
  </si>
  <si>
    <t>Compare Smaller/(Larger)</t>
  </si>
  <si>
    <t>your model description</t>
  </si>
  <si>
    <t>Added estimate of the yearly Federal tax impact of reducing tIRA balances subject to RMD to the Results schedule.</t>
  </si>
  <si>
    <t>Minimum Balance</t>
  </si>
  <si>
    <t>Bogleheads Website</t>
  </si>
  <si>
    <t>Stock</t>
  </si>
  <si>
    <t>Bond</t>
  </si>
  <si>
    <t>Life Expectancy</t>
  </si>
  <si>
    <t>Male</t>
  </si>
  <si>
    <t>Female</t>
  </si>
  <si>
    <t>Impact on RMD of Roth conversions</t>
  </si>
  <si>
    <t>Restructured and improved the Results page to better present the data, adding analysis sections and additional graphs.</t>
  </si>
  <si>
    <t>Taxable account average balance</t>
  </si>
  <si>
    <t>Taxable account averages by asset type</t>
  </si>
  <si>
    <t>Difference from default calculation method</t>
  </si>
  <si>
    <t xml:space="preserve">  above translates to</t>
  </si>
  <si>
    <t>Special expenditures</t>
  </si>
  <si>
    <t>Net yearly changes</t>
  </si>
  <si>
    <t>Yearly Tax Rates Used in Calculations</t>
  </si>
  <si>
    <t>Social Security Benefits Analysis</t>
  </si>
  <si>
    <t xml:space="preserve">   Index</t>
  </si>
  <si>
    <t>Change</t>
  </si>
  <si>
    <t>Fixed tax calculation of zero taxable income years and State income tax which had the wrong sign.</t>
  </si>
  <si>
    <t>Separated lump sum inheritance amounts and asset sales to better reflect when these events will occur.</t>
  </si>
  <si>
    <t>08_Roth Withdr</t>
  </si>
  <si>
    <t>06_TaxDef Withdr</t>
  </si>
  <si>
    <t>check total 1: must agree yr/yr w/check total 2</t>
  </si>
  <si>
    <t xml:space="preserve">IRA 2 </t>
  </si>
  <si>
    <t>Filing Single</t>
  </si>
  <si>
    <t>Calculation of Taxable Account Tax-Exempt Earnings</t>
  </si>
  <si>
    <t>RPM uses all tax brackets</t>
  </si>
  <si>
    <t>Calculation of taxable SS benefits</t>
  </si>
  <si>
    <t>filing status</t>
  </si>
  <si>
    <t xml:space="preserve">Pension 1 income </t>
  </si>
  <si>
    <t xml:space="preserve"> ContSave 0        Contribution to Savings Account</t>
  </si>
  <si>
    <t>SS comparison hidden above</t>
  </si>
  <si>
    <t>r</t>
  </si>
  <si>
    <t>Roth conversion analysis hidden above</t>
  </si>
  <si>
    <t>CPI-W</t>
  </si>
  <si>
    <t>h2</t>
  </si>
  <si>
    <t>Special Events, Annuity and QCD</t>
  </si>
  <si>
    <t>Special events and QCD</t>
  </si>
  <si>
    <t>Unrealized appreciation</t>
  </si>
  <si>
    <t>You</t>
  </si>
  <si>
    <t>Required Minimum Distribution</t>
  </si>
  <si>
    <t>Change Log</t>
  </si>
  <si>
    <t>Improved some calculations in IRA Withdrawals to help prevent negative balances, but user monitoring and correcting negative balances is still required.</t>
  </si>
  <si>
    <t>Escalated tax factors</t>
  </si>
  <si>
    <t>Escalation rate</t>
  </si>
  <si>
    <t>Filing status selected</t>
  </si>
  <si>
    <t>Personal exemption</t>
  </si>
  <si>
    <t>Reformatted pages for easier viewing and better layout.</t>
  </si>
  <si>
    <r>
      <t xml:space="preserve">Beginning of year balance - </t>
    </r>
    <r>
      <rPr>
        <b/>
        <sz val="12"/>
        <rFont val="Arial"/>
        <family val="2"/>
      </rPr>
      <t>Available for Withdrawal</t>
    </r>
  </si>
  <si>
    <t>Entered Conversion Amounts</t>
  </si>
  <si>
    <t>Conversion Summary</t>
  </si>
  <si>
    <t xml:space="preserve">  2) The rate used to calculate spousal benefits taken before FRA was incorrect, overstating the benefit.  In the example data, if the supplied</t>
  </si>
  <si>
    <t xml:space="preserve">  </t>
  </si>
  <si>
    <t>Tax exempt Interest</t>
  </si>
  <si>
    <t xml:space="preserve">9. Optional: Alternative Tax Rates  </t>
  </si>
  <si>
    <t xml:space="preserve">10. Optional: Roth Conversions  </t>
  </si>
  <si>
    <t xml:space="preserve">optional: alternative benefits </t>
  </si>
  <si>
    <t>#1 - ORP Input Parameters: copy and paste below</t>
  </si>
  <si>
    <t>Balances</t>
  </si>
  <si>
    <t>Fixed error of cell references for last 9 years of Roth Conversion and Expenditure amounts were pointing to amount in Year 31, rather than each of their own years.</t>
  </si>
  <si>
    <t>Taxable Income and Tax Summary table</t>
  </si>
  <si>
    <t xml:space="preserve">Modified Example users case factors to better illustrate alternative SS benefits and use consistent earnings rates for similar investment accounts. </t>
  </si>
  <si>
    <t xml:space="preserve">Modified the SPIA purchase and earnings default.  It now is included in the Full case, and optionally in the Base case.  Was the other way. </t>
  </si>
  <si>
    <t xml:space="preserve">   3) the alternative SS benefit option was not including automated spousal benefits in yearly forecasts, potentially underestimating this option.</t>
  </si>
  <si>
    <t>Entered Amounts - Conversions</t>
  </si>
  <si>
    <t xml:space="preserve">   to simulate the use of these funds, rather than just their accumulation in the taxable account. Pending: Option to use IRA withdrawal in Base Case to fund.</t>
  </si>
  <si>
    <t>Updated tax rates and brackets to 2017 amounts. Set tax factors escalation rate to 2.2% (was 2.5%).</t>
  </si>
  <si>
    <t>Added option to have additional personal exemptions. Modified tax factor escalation method resulting in slightly different forecast amounts.</t>
  </si>
  <si>
    <t>Total events</t>
  </si>
  <si>
    <t>Events</t>
  </si>
  <si>
    <t>Inherited IRAs</t>
  </si>
  <si>
    <t>IF(Taxable income&gt;=$178650,$178650-$85650*28%,0))),</t>
  </si>
  <si>
    <t>FIRECalc®: How long will your money last?</t>
  </si>
  <si>
    <t xml:space="preserve">Year - Age  </t>
  </si>
  <si>
    <t>Inheritance/Asset Sale</t>
  </si>
  <si>
    <t>IRA Required Minimum Distribution</t>
  </si>
  <si>
    <t xml:space="preserve">    Instructions</t>
  </si>
  <si>
    <t>Portfolio Activity by Account</t>
  </si>
  <si>
    <t>hidden rows</t>
  </si>
  <si>
    <t>Data below used by</t>
  </si>
  <si>
    <t>not included</t>
  </si>
  <si>
    <t>border &amp; lines</t>
  </si>
  <si>
    <t xml:space="preserve">planning options </t>
  </si>
  <si>
    <t>16: Line 12 x 85%</t>
  </si>
  <si>
    <t>Added Base Case marginal tax rates and amounts to Roth Conversions page.  Can be used for focusing on Base Case results.</t>
  </si>
  <si>
    <t>Added optional Ending Year for Other Income - Long Term to provide additional modeling flexibility.</t>
  </si>
  <si>
    <t>Added "Average Tax Rate" for each year to Roth Conversions page.  (Suggestion of users.)</t>
  </si>
  <si>
    <t>Tax</t>
  </si>
  <si>
    <t>Escalation Rate</t>
  </si>
  <si>
    <t>Expenses</t>
  </si>
  <si>
    <t xml:space="preserve">106 2⁄3 </t>
  </si>
  <si>
    <t>130 2⁄3</t>
  </si>
  <si>
    <t xml:space="preserve">66, 4 mo. </t>
  </si>
  <si>
    <t xml:space="preserve">73 1⁄3 </t>
  </si>
  <si>
    <t xml:space="preserve">78 1⁄3 </t>
  </si>
  <si>
    <t xml:space="preserve">84 4⁄9 </t>
  </si>
  <si>
    <t xml:space="preserve">91 1⁄9 </t>
  </si>
  <si>
    <t>1: Total Social Security net benefits</t>
  </si>
  <si>
    <t>3: All other Income</t>
  </si>
  <si>
    <t>14: Smaller of 50% SS or Line 13</t>
  </si>
  <si>
    <t>2: Half of Line 1</t>
  </si>
  <si>
    <t>rates: start - change</t>
  </si>
  <si>
    <r>
      <t xml:space="preserve">Roth IRA </t>
    </r>
    <r>
      <rPr>
        <b/>
        <sz val="12"/>
        <color indexed="22"/>
        <rFont val="Arial"/>
        <family val="2"/>
      </rPr>
      <t>^</t>
    </r>
  </si>
  <si>
    <r>
      <t xml:space="preserve">IRA, inherited </t>
    </r>
    <r>
      <rPr>
        <b/>
        <sz val="12"/>
        <color indexed="22"/>
        <rFont val="Arial"/>
        <family val="2"/>
      </rPr>
      <t>^</t>
    </r>
  </si>
  <si>
    <r>
      <t xml:space="preserve">SPIA income </t>
    </r>
    <r>
      <rPr>
        <b/>
        <sz val="12"/>
        <color indexed="22"/>
        <rFont val="Arial"/>
        <family val="2"/>
      </rPr>
      <t>^</t>
    </r>
  </si>
  <si>
    <r>
      <t xml:space="preserve">Other income (pensions, wages, etc.) </t>
    </r>
    <r>
      <rPr>
        <b/>
        <sz val="12"/>
        <color indexed="22"/>
        <rFont val="Arial"/>
        <family val="2"/>
      </rPr>
      <t>^</t>
    </r>
  </si>
  <si>
    <t>Will be using "Interim Changes" on Readme page to track minor updates made that are not significant enough to warrant a numbered update release.</t>
  </si>
  <si>
    <t xml:space="preserve">State tax in first year </t>
  </si>
  <si>
    <t xml:space="preserve">Re-defined the model as the Retiree Portfolio Model to highlight the features added sine the original Roth conversion analysis, </t>
  </si>
  <si>
    <t>Use alternative SS ages and benefits?</t>
  </si>
  <si>
    <t>Cumulative</t>
  </si>
  <si>
    <t>Round Results to Nearest</t>
  </si>
  <si>
    <t>Added the Social Security Restricted Application scenario as part of an update to the SS calculation section. Tied end of benefit age</t>
  </si>
  <si>
    <t>Added areas on the right side of the Setup page for the user to make notes.</t>
  </si>
  <si>
    <t>Fixed Base case marginal tax rate chart at bottom of Setup page.  Reformatted this area.</t>
  </si>
  <si>
    <t>Other</t>
  </si>
  <si>
    <t xml:space="preserve">  results for saving, navigating, and showing or hiding gridlines, headers and rows. The model can be used without activating macros.</t>
  </si>
  <si>
    <t>Changed default tax escalation rate to 2.5% from 2.7% to better reflect recent historic and average since the last tax rate change in 2003.</t>
  </si>
  <si>
    <t>Donatn</t>
  </si>
  <si>
    <t>Less</t>
  </si>
  <si>
    <t>Qualified Charitable Dist</t>
  </si>
  <si>
    <t xml:space="preserve"> Less QCD</t>
  </si>
  <si>
    <t>Income and Net Cash Flow</t>
  </si>
  <si>
    <t>Added factor to reduce Taxable Account earnings for AGI and tax calculation, to approximate non-taxable income and special dividend tax rates.</t>
  </si>
  <si>
    <t>Corrected tIRA yearly calculated income which was not reflecting the impact of current year Roth conversions, thus being overstated.</t>
  </si>
  <si>
    <t>Provided details on how historic tax rate escalations were determined, shown at bottom of Tax Tables page.</t>
  </si>
  <si>
    <t xml:space="preserve"> PensinI2 0        Spouses Pension, Adjusted For Inflation.</t>
  </si>
  <si>
    <t xml:space="preserve"> EarnInc  0        Earned Income.</t>
  </si>
  <si>
    <t xml:space="preserve"> EarnInc2 0        Spouses Earned Income.</t>
  </si>
  <si>
    <t xml:space="preserve"> EarnIage 0        Age to end Earned Income.</t>
  </si>
  <si>
    <t xml:space="preserve"> EarnIag2 0        Spouses Age to end Earned Income.</t>
  </si>
  <si>
    <t>Existing Roth IRAs</t>
  </si>
  <si>
    <t>Fixed calculation of IRA earnings in final year if account is zero. RMD assumed to be on Jan 1 now for earnings calculation.</t>
  </si>
  <si>
    <t>17: 85% of Line 1 (Smaller of 16 or 17 is Taxable SS amount)</t>
  </si>
  <si>
    <t>Amount</t>
  </si>
  <si>
    <t>Social Security Benefits</t>
  </si>
  <si>
    <t>Total</t>
  </si>
  <si>
    <t>Account Changes</t>
  </si>
  <si>
    <t>Added line breaking out the Inherited IRA amount in the Account Changes section.</t>
  </si>
  <si>
    <t>Account balances at end of year</t>
  </si>
  <si>
    <t>d</t>
  </si>
  <si>
    <t xml:space="preserve">    Self Benefits</t>
  </si>
  <si>
    <t>Earnings Rates</t>
  </si>
  <si>
    <t>Taxable Account</t>
  </si>
  <si>
    <t>Spouse</t>
  </si>
  <si>
    <t>This schedule for possible future use.</t>
  </si>
  <si>
    <t>activity details</t>
  </si>
  <si>
    <t>Total income after taxes</t>
  </si>
  <si>
    <t>IRA required minimum distribution</t>
  </si>
  <si>
    <t>Social security benefits</t>
  </si>
  <si>
    <t>Key Results</t>
  </si>
  <si>
    <t xml:space="preserve">clear saved </t>
  </si>
  <si>
    <t>Withdrawal #1</t>
  </si>
  <si>
    <t>Annual withdrawal rate</t>
  </si>
  <si>
    <t xml:space="preserve">taxable account adjustment </t>
  </si>
  <si>
    <t>Base Portfolio Activity and Balances</t>
  </si>
  <si>
    <t>Base Income Taxes</t>
  </si>
  <si>
    <t>Asset Sales</t>
  </si>
  <si>
    <t>Expenditures</t>
  </si>
  <si>
    <t>Fixed Lump Sum Change event that was included in wrong year.</t>
  </si>
  <si>
    <t>Added several error checks to alert for negative account balances in any year, and SS start date earlier than users' ages.</t>
  </si>
  <si>
    <t>14: One-half of line 13</t>
  </si>
  <si>
    <t>13: Smaller of line 10 or 11</t>
  </si>
  <si>
    <t>12: Net SS or zero</t>
  </si>
  <si>
    <t>11: Filing factor</t>
  </si>
  <si>
    <t>9: Social Security Base Amount</t>
  </si>
  <si>
    <t>10: Amount over $32,000 or $25,000</t>
  </si>
  <si>
    <t>6: Combine 2, 3, 4 &amp; 5</t>
  </si>
  <si>
    <t>--</t>
  </si>
  <si>
    <t xml:space="preserve"> Taxable acct earnings</t>
  </si>
  <si>
    <t xml:space="preserve"> IRA RMD</t>
  </si>
  <si>
    <t xml:space="preserve"> Other taxable income</t>
  </si>
  <si>
    <t xml:space="preserve"> AGI bef txbl SS benefits</t>
  </si>
  <si>
    <t xml:space="preserve"> SS Benefits</t>
  </si>
  <si>
    <t xml:space="preserve"> Taxable SS benefits</t>
  </si>
  <si>
    <t xml:space="preserve"> Adjusted gross income</t>
  </si>
  <si>
    <t xml:space="preserve"> Total earnings &amp; income</t>
  </si>
  <si>
    <t xml:space="preserve"> Living expenses</t>
  </si>
  <si>
    <t xml:space="preserve"> Federal taxes</t>
  </si>
  <si>
    <t xml:space="preserve"> State taxes</t>
  </si>
  <si>
    <t xml:space="preserve"> Net cash flow</t>
  </si>
  <si>
    <t>Earnings Summary</t>
  </si>
  <si>
    <t>The model is no longer compatible with Google Sheets for unknown reasons, although it appears to be related to cell names not being read correctly.</t>
  </si>
  <si>
    <t>Fixed Protect Sheet setting to allow use of sheet format macros without unprotecting the page.</t>
  </si>
  <si>
    <t>Fixed Federal Exemptions for married filing that was defaulting to 1 when no spouse early death was input.</t>
  </si>
  <si>
    <t>SS Benefits Taxable in State future</t>
  </si>
  <si>
    <t xml:space="preserve">other options </t>
  </si>
  <si>
    <t xml:space="preserve">ORP is a premier retirement planning tool which uses sophisticated programming to forecast optimum retirement strategies based on input user data. </t>
  </si>
  <si>
    <t>Added an itemized deduction option to the federal tax calculation.</t>
  </si>
  <si>
    <t>Added or changed numerous other descriptive and help information items</t>
  </si>
  <si>
    <t>Corrected a tax factor escalation calculation.</t>
  </si>
  <si>
    <t>Added Other Income revenue item with an end date, use for temporary income like a pre-retiree salary or temporary job.</t>
  </si>
  <si>
    <t>match &gt;&gt;</t>
  </si>
  <si>
    <t>Final year balances above</t>
  </si>
  <si>
    <t>Totals above</t>
  </si>
  <si>
    <t xml:space="preserve"> Percent</t>
  </si>
  <si>
    <t xml:space="preserve">general settings </t>
  </si>
  <si>
    <t>IRA Owner</t>
  </si>
  <si>
    <t>Owner Age</t>
  </si>
  <si>
    <t xml:space="preserve"> Withdrawal Factor</t>
  </si>
  <si>
    <t xml:space="preserve">Percent method rate </t>
  </si>
  <si>
    <t>updating?</t>
  </si>
  <si>
    <t>Fixed some verification and error messages. Updated instructions and cell comments. Updated ORP page for recent ORP changes.</t>
  </si>
  <si>
    <t>Tested against ORP. Using ORP returns, distributions, Roth conversions and withdrawals vs. the Roth Case resulted in slightly higher ending balances (&lt;$60k).</t>
  </si>
  <si>
    <t>of Year</t>
  </si>
  <si>
    <t>Roth Start</t>
  </si>
  <si>
    <t>Macros</t>
  </si>
  <si>
    <t>x</t>
  </si>
  <si>
    <t xml:space="preserve">     calculators</t>
  </si>
  <si>
    <t>Several corrections to SS benefits calculations were made.  1) End age for spouse benefits was using the spouse's age rather than the "you" age</t>
  </si>
  <si>
    <t xml:space="preserve">  and in the example data this resulted in one extra year of spouse benefits.  This correction reduced SS benefits by about $45,000 at age 85 and</t>
  </si>
  <si>
    <t>MM/Other</t>
  </si>
  <si>
    <t>Money Mkt</t>
  </si>
  <si>
    <t xml:space="preserve">  now available to clear nearly all input items for a clean start.</t>
  </si>
  <si>
    <t>Tested against TurboTax 2013 and confirmed accuracy of the calculation of portion (0%-85%) of SS benefits subject to income tax based on other taxable income.</t>
  </si>
  <si>
    <t>Sp</t>
  </si>
  <si>
    <t>Added start year to Taxable and Roth accounts withdrawals, allowing more flexibility in matching withdrawals with needs,</t>
  </si>
  <si>
    <t>Added field to enter Case Description to track and label results and remember model input factors.</t>
  </si>
  <si>
    <t>8: Social Security Base Amount</t>
  </si>
  <si>
    <t>10: Married Factor</t>
  </si>
  <si>
    <t>11: Net SS or Zero</t>
  </si>
  <si>
    <t>13: One-Half of Line 12</t>
  </si>
  <si>
    <t>Mar 19: Fixed ORP comparison schedule for ORP results table change (removed Taxable)</t>
  </si>
  <si>
    <t>Your</t>
  </si>
  <si>
    <t xml:space="preserve"> TaxDef2  0        Spouse Initial Tax-Deferred Account Bala</t>
  </si>
  <si>
    <t xml:space="preserve"> TaxBasis 0        Illiquid Asset Tax Basis.</t>
  </si>
  <si>
    <t>IRA 2 incl Inherited 2</t>
  </si>
  <si>
    <t>Portfolios</t>
  </si>
  <si>
    <t>Qualified Charitable Distribution</t>
  </si>
  <si>
    <t>Tax exempt interest</t>
  </si>
  <si>
    <t>Annuities</t>
  </si>
  <si>
    <t>AGI</t>
  </si>
  <si>
    <t>Added a Single Premium Immediate Annuity feature that will calculate the impact of buying an annuity on income, taxes and RMD.</t>
  </si>
  <si>
    <t>Age bought</t>
  </si>
  <si>
    <t xml:space="preserve">Portfolio account used </t>
  </si>
  <si>
    <t>Purchase price</t>
  </si>
  <si>
    <t>Less SPIA purchase</t>
  </si>
  <si>
    <t>Personal Exemptions</t>
  </si>
  <si>
    <t>Added Future Value Calculator to determine inflation adjusted amounts to use in the Lump Sum Events option.</t>
  </si>
  <si>
    <t>Living Expenses Excluding Taxes</t>
  </si>
  <si>
    <t>Your Age for Last Itemized Year</t>
  </si>
  <si>
    <t xml:space="preserve">Deductions used for tax calculation </t>
  </si>
  <si>
    <t>Inherited IRA 1 Withdrawals</t>
  </si>
  <si>
    <t>Inherited IRA 2 Withdrawals</t>
  </si>
  <si>
    <t>Inherited IRA 1 - Automatic</t>
  </si>
  <si>
    <t>Inherited IRA 2 - Automatic</t>
  </si>
  <si>
    <t>IRA 1 withdrawals</t>
  </si>
  <si>
    <t>IRA 2 withdrawals</t>
  </si>
  <si>
    <t>IRA 1 - Funds Availability, Priority and Age Constraint Schedule</t>
  </si>
  <si>
    <t xml:space="preserve"> StkRothR 60       %  in Roth stocks at retirement</t>
  </si>
  <si>
    <t>Doubled the number of Lump Sum Events.  Moved "Inherited By" input cell to Lump Sum section.</t>
  </si>
  <si>
    <t>Added, improved and updated cell comments and error messages.</t>
  </si>
  <si>
    <t>Taxable Income</t>
  </si>
  <si>
    <t>Final portfolio balance</t>
  </si>
  <si>
    <t>Comparison details &gt;&gt;&gt;</t>
  </si>
  <si>
    <t>Fixed calculation for year to start single tax rate based on the passing of a spouse.  It was off by one year.</t>
  </si>
  <si>
    <t>Spousal Benefits</t>
  </si>
  <si>
    <t>Stocks</t>
  </si>
  <si>
    <t>Bonds</t>
  </si>
  <si>
    <t xml:space="preserve">Stocks </t>
  </si>
  <si>
    <t xml:space="preserve">Roth 2 </t>
  </si>
  <si>
    <t>Roth 1</t>
  </si>
  <si>
    <t>Roth 2</t>
  </si>
  <si>
    <t>Roth 1 SPIA Income</t>
  </si>
  <si>
    <t xml:space="preserve">Roth IRA 1 </t>
  </si>
  <si>
    <t xml:space="preserve">Roth IRA 2 </t>
  </si>
  <si>
    <t>Itemized Deductions</t>
  </si>
  <si>
    <t>Added several Base case account and calculation amounts to Setup page to assist in setting and observing impact of input choices.</t>
  </si>
  <si>
    <t>Added RMD calculator for most common ownership status.</t>
  </si>
  <si>
    <t>Radio Button Test</t>
  </si>
  <si>
    <t>Taxable income</t>
  </si>
  <si>
    <t>Non-taxable earnings</t>
  </si>
  <si>
    <t>=IF('Setup and Input'!$B$53="m",IF(OR(E$5&lt;'Setup and Input'!$B$54,'Setup and Input'!$B$54=""),IF(AND(E$68&gt;='Tax Tables'!E$39,E$68&lt;='Tax Tables'!E$40),(E$68-'Tax Tables'!E$39)*'Tax Tables'!E$41,IF(E$68&gt;='Tax Tables'!E$40,('Tax Tables'!E$40-'Tax Tables'!E$39)*'Tax Tables'!E$41,0)),IF(AND(E$68&gt;='Tax Tables'!E$74,E$68&lt;='Tax Tables'!E$75),(E$68-'Tax Tables'!E$74)*'Tax Tables'!E$76,IF(E$68&gt;='Tax Tables'!E$75,('Tax Tables'!E$75-'Tax Tables'!E$74)*'Tax Tables'!E$76,0))),IF(AND(E$68&gt;='Tax Tables'!E$74,E$68&lt;='Tax Tables'!E$75),(E$68-'Tax Tables'!E$74)*'Tax Tables'!E$76,IF(E$68&gt;='Tax Tables'!E$75,('Tax Tables'!E$75-'Tax Tables'!E$74)*'Tax Tables'!E$76,0)))</t>
  </si>
  <si>
    <t xml:space="preserve">Current age </t>
  </si>
  <si>
    <t xml:space="preserve">COLA years </t>
  </si>
  <si>
    <t xml:space="preserve">DRC years </t>
  </si>
  <si>
    <t>DRC &amp; spousal</t>
  </si>
  <si>
    <t>IF('Setup and Input'!$B$53="m",IF(OR(E$5&lt;'Setup and Input'!$B$54,'Setup and Input'!$B$54=""),</t>
  </si>
  <si>
    <t>Fixed Base Case Special IRA Withdrawal which was not escalating due to a missing cell reference.</t>
  </si>
  <si>
    <t>No Roth</t>
  </si>
  <si>
    <t>Years portfolio is larger than other</t>
  </si>
  <si>
    <t>Required Minimum Distributions</t>
  </si>
  <si>
    <t>Total Base portfolio</t>
  </si>
  <si>
    <t>Default is greater/(smaller)</t>
  </si>
  <si>
    <t>on yearly average rate</t>
  </si>
  <si>
    <t>IRA 1 Federal marginal tax impact - lower/(higher)</t>
  </si>
  <si>
    <t>Roth conversion elements</t>
  </si>
  <si>
    <t>Full is more or (less) than base</t>
  </si>
  <si>
    <t>Tax Comparison</t>
  </si>
  <si>
    <t>Full is more</t>
  </si>
  <si>
    <t>or (less)</t>
  </si>
  <si>
    <t>Sum of beginning and ending balances</t>
  </si>
  <si>
    <t>Divide by two</t>
  </si>
  <si>
    <t>30 yr difference</t>
  </si>
  <si>
    <t>User input income, credit and adjustments</t>
  </si>
  <si>
    <t>State 1 Std Ded + Exemption</t>
  </si>
  <si>
    <t>3. Return Rates and Allocation</t>
  </si>
  <si>
    <t>Average Returns Calculator</t>
  </si>
  <si>
    <t>qualified charitable distribution</t>
  </si>
  <si>
    <t>Donations</t>
  </si>
  <si>
    <t>Copied</t>
  </si>
  <si>
    <t>Documented that Living Expenses can be either increased or decreased in a future year, and revised input sign to better represent both options.</t>
  </si>
  <si>
    <t>Married</t>
  </si>
  <si>
    <t>Added portfolio summaries to Results page.</t>
  </si>
  <si>
    <t xml:space="preserve">Buying age </t>
  </si>
  <si>
    <t>Net income after taxes, before living expenses</t>
  </si>
  <si>
    <t>Summary of account changes</t>
  </si>
  <si>
    <t>Inherited taxable</t>
  </si>
  <si>
    <t>Inherited IRA ^</t>
  </si>
  <si>
    <t>SPI annuity income</t>
  </si>
  <si>
    <t xml:space="preserve">      IF(AND(E$68&gt;='Tax Tables'!E$44,E$68&lt;='Tax Tables'!E$45),(E$68-'Tax Tables'!E$44)*'Tax Tables'!E$46,</t>
  </si>
  <si>
    <t>Ordinary dividends</t>
  </si>
  <si>
    <t>Taxable account taxes</t>
  </si>
  <si>
    <t>Portfolio Comparison</t>
  </si>
  <si>
    <t>Portfolio balance at start of year</t>
  </si>
  <si>
    <t>Portfolio balance at end of year</t>
  </si>
  <si>
    <t>Taxable account balances at start of year</t>
  </si>
  <si>
    <t>Earnings and income</t>
  </si>
  <si>
    <t>Account earnings</t>
  </si>
  <si>
    <t>Model</t>
  </si>
  <si>
    <t>Settings</t>
  </si>
  <si>
    <t>Taxable benefits by year</t>
  </si>
  <si>
    <t>average</t>
  </si>
  <si>
    <t>Benefits as percent of living &amp; tax expenses</t>
  </si>
  <si>
    <t>Taxable default benefits by year</t>
  </si>
  <si>
    <t>Default is more/(less) than base</t>
  </si>
  <si>
    <t>Results are more/(less) than base</t>
  </si>
  <si>
    <t>Cumulative difference</t>
  </si>
  <si>
    <t xml:space="preserve">Breakeven Calculations  </t>
  </si>
  <si>
    <t>Summary - default</t>
  </si>
  <si>
    <t>SS breakeven age calculation</t>
  </si>
  <si>
    <t>benefit comparison</t>
  </si>
  <si>
    <t>At Age 70</t>
  </si>
  <si>
    <t>Tested data against FIRECalc.  Using a 50%/50% portfolio it ended at about $2.0M (visual inspect), a 7%/5% return $1.4M, vs. the Base Case $1.6M.</t>
  </si>
  <si>
    <t>Taylor Larimore's Three Fund Portfolio Discussion</t>
  </si>
  <si>
    <t>Fixed age reference to point to correct person for start of IRA withdrawals.</t>
  </si>
  <si>
    <t>Amount converted</t>
  </si>
  <si>
    <t>Totals</t>
  </si>
  <si>
    <t>IRA 1 used for conversion</t>
  </si>
  <si>
    <t>Benefit</t>
  </si>
  <si>
    <t>improved</t>
  </si>
  <si>
    <t>SS calc</t>
  </si>
  <si>
    <t>SS Benefits - You - spousal</t>
  </si>
  <si>
    <t>SS Benefits - You - spousal alt</t>
  </si>
  <si>
    <t>SS Benefits - Spouse - spousal</t>
  </si>
  <si>
    <t>Earnings from growth, dividends and interest</t>
  </si>
  <si>
    <t>Tax Exempt</t>
  </si>
  <si>
    <t xml:space="preserve">Tax Exempt </t>
  </si>
  <si>
    <t>&amp; Other</t>
  </si>
  <si>
    <t>MM &amp; Other</t>
  </si>
  <si>
    <t>Tax-exempt</t>
  </si>
  <si>
    <t>Starting year, new tax rates, brackets, exemptions and deductions set for 2013, as best currently determined.  (Always user adjustable.)</t>
  </si>
  <si>
    <t>y</t>
  </si>
  <si>
    <t>Earnings &amp;</t>
  </si>
  <si>
    <t>Number of years larger than other case</t>
  </si>
  <si>
    <t>Added macros.  Macros are clickable buttons that perform various housekeeping tasks, such as clearing all setup data, copying and pasting</t>
  </si>
  <si>
    <t>Example case data has been expanded to use every user input item to increase the possibly of revealing programming errors. A macro is</t>
  </si>
  <si>
    <t xml:space="preserve"> penex    0        Pension Exclusion From State Taxes</t>
  </si>
  <si>
    <t xml:space="preserve">Standard deduction </t>
  </si>
  <si>
    <t>Social Security taxation factors</t>
  </si>
  <si>
    <t xml:space="preserve"> essfst   0        Exclude Soc Sec benefits from State Tax.</t>
  </si>
  <si>
    <t>2 - Home</t>
  </si>
  <si>
    <t>1- Any</t>
  </si>
  <si>
    <t xml:space="preserve">  Net</t>
  </si>
  <si>
    <t xml:space="preserve">Include? </t>
  </si>
  <si>
    <t xml:space="preserve">Lump sum </t>
  </si>
  <si>
    <t xml:space="preserve">Annual pmt </t>
  </si>
  <si>
    <t>Your SS benefits</t>
  </si>
  <si>
    <t>Social Security Cost-of-Living Adjustments (COLAs)</t>
  </si>
  <si>
    <t>Fixed Roth 2 withdrawals and other calculations related to this new feature. - Nov 23</t>
  </si>
  <si>
    <t xml:space="preserve">  to Age section entry to eliminate double-posting.  Also insured largest benefit is used by default after a spouse's passing.</t>
  </si>
  <si>
    <t xml:space="preserve"> Extra2I  0        Amount of 2nd Extraordinary Income</t>
  </si>
  <si>
    <t>user input</t>
  </si>
  <si>
    <t>Model end - you</t>
  </si>
  <si>
    <t>Model end - spouse</t>
  </si>
  <si>
    <t>17. Add line 7 and 11</t>
  </si>
  <si>
    <t>19. Smaller of 14 or 18</t>
  </si>
  <si>
    <t>How the complex tax calculation formulas work.  Source cell E74</t>
  </si>
  <si>
    <t>33% bracket formula</t>
  </si>
  <si>
    <t>Tip: maximize use of lowest brackets</t>
  </si>
  <si>
    <t>Added or improved automatic monitoring of balances, ensuring tIRA accounts are fully used as specified by the user.</t>
  </si>
  <si>
    <t>Both: Use automated withdrawals?</t>
  </si>
  <si>
    <t>Conversion Roth End of year balance</t>
  </si>
  <si>
    <t>Plus Conversions</t>
  </si>
  <si>
    <t>Less Withdrawals</t>
  </si>
  <si>
    <t>Starting balance</t>
  </si>
  <si>
    <t>Conversion</t>
  </si>
  <si>
    <t>Inherited</t>
  </si>
  <si>
    <t>8a</t>
  </si>
  <si>
    <t>line</t>
  </si>
  <si>
    <t>1040</t>
  </si>
  <si>
    <t>8b</t>
  </si>
  <si>
    <t>9a</t>
  </si>
  <si>
    <t>Wages, etc. - other income 1 &amp; 2</t>
  </si>
  <si>
    <t>Roth 1 &amp; 2, existing withdrawals</t>
  </si>
  <si>
    <t>Roth IRA 2</t>
  </si>
  <si>
    <t>yr 40 omitted</t>
  </si>
  <si>
    <t>last modeling yr omitted</t>
  </si>
  <si>
    <t xml:space="preserve">    Standard Deduction</t>
  </si>
  <si>
    <t>Reduced default inflation rate  and SS COLA rate to 2.0% based on review of recent 10-20 year averages.</t>
  </si>
  <si>
    <t>Started using cell names in formulas to make them easier to understand for thee and me!</t>
  </si>
  <si>
    <t>Totals or</t>
  </si>
  <si>
    <t>Federal taxes</t>
  </si>
  <si>
    <t>State taxes</t>
  </si>
  <si>
    <t>Model Color Key and Features</t>
  </si>
  <si>
    <t>Improved automated IRA deduction formula to prevent a negative balance, although not quite perfect yet as small positive balances can remain.</t>
  </si>
  <si>
    <t>Added Change Log</t>
  </si>
  <si>
    <t xml:space="preserve"> TDNoTaxr 0        Retiree tax-deferred, after tax balance.</t>
  </si>
  <si>
    <t xml:space="preserve"> earlys   0        Spouse early withdrawal (-1 none)</t>
  </si>
  <si>
    <t xml:space="preserve"> TaxRateI 15       Combined Capital Gains Tax Rate</t>
  </si>
  <si>
    <t xml:space="preserve"> VWSyear  0        Year to begin VWS simulation.</t>
  </si>
  <si>
    <t>Sell age asset 1</t>
  </si>
  <si>
    <t>Sell age asset 2 home</t>
  </si>
  <si>
    <t>Asset Sales &amp; Other 2 home</t>
  </si>
  <si>
    <t>Expenditures/Receipts 1 age</t>
  </si>
  <si>
    <t>Expenditures/Receipts 2 age</t>
  </si>
  <si>
    <t>Improved alternative tax rate feature by using yes/no trigger, allowing a quick method of comparing the impact of higher rates in a future year.</t>
  </si>
  <si>
    <t>Age When Event Occurs</t>
  </si>
  <si>
    <t>Roth IRA 1, existing</t>
  </si>
  <si>
    <t>Roth IRA 2, existing</t>
  </si>
  <si>
    <t>Roth 2 end of year balance</t>
  </si>
  <si>
    <t>Roth 1 end of year balance</t>
  </si>
  <si>
    <t>Roth IRA, conversion</t>
  </si>
  <si>
    <t>Roth IRA 1</t>
  </si>
  <si>
    <t>Roth 2 existing</t>
  </si>
  <si>
    <t>Roth 1 existing</t>
  </si>
  <si>
    <t>IRA 1, inherited</t>
  </si>
  <si>
    <t>IRA 2, inherited</t>
  </si>
  <si>
    <t>IRA ^</t>
  </si>
  <si>
    <t>IRA, inherited ^</t>
  </si>
  <si>
    <t>Roth IRA ^</t>
  </si>
  <si>
    <t>Added details of how earnings are calculated for selected accounts at the bottom of the case pages.</t>
  </si>
  <si>
    <t xml:space="preserve">You </t>
  </si>
  <si>
    <t>ORP</t>
  </si>
  <si>
    <t>Taxable account ending balance before earnings and taxes</t>
  </si>
  <si>
    <t>Taxable account ending balance</t>
  </si>
  <si>
    <t>these BH for their help: SlowLane, bsteiner, BradFreeMan, jdjd2, zip605, LadyGeek, rogerdub, indexmeasp, J W Nearly Retired, cdbma, wjiwji, keith simpson, Mike Piper</t>
  </si>
  <si>
    <t>Itemized or standard deduction ^</t>
  </si>
  <si>
    <t>State taxable income</t>
  </si>
  <si>
    <t>Roth, existing</t>
  </si>
  <si>
    <t>Roth, conversion</t>
  </si>
  <si>
    <t>Added age data to clarify how to correctly use the Spouse Age to end spousal SS benefits upon the death of a spouse, and continue the higher benefit.</t>
  </si>
  <si>
    <t>SPIA Income</t>
  </si>
  <si>
    <t>Differs vs other</t>
  </si>
  <si>
    <t>Other Income - pensions, wages, etc.</t>
  </si>
  <si>
    <t>Taxable account earnings</t>
  </si>
  <si>
    <t>SPIA income</t>
  </si>
  <si>
    <t xml:space="preserve">  Macros can be viewed using Tools - Macro - Macros - Edit.  Some macros may not work in Libre Calc.</t>
  </si>
  <si>
    <t>Removed Excel mround function which was causing a minor difference when running in Libre Calc.</t>
  </si>
  <si>
    <t xml:space="preserve">   Sections</t>
  </si>
  <si>
    <t>Vastly speeded up Clear Entries and other macros thanks to BH JohnFrugal.</t>
  </si>
  <si>
    <t>Fixed Summary page "hide columns" macro so it won't hide too much.</t>
  </si>
  <si>
    <t xml:space="preserve"> rrp      0        Spending Model.</t>
  </si>
  <si>
    <t>Moved RPM summary for ORP comparison to ORP page.  Jul 26</t>
  </si>
  <si>
    <t>Reviewed, modified and added comments and formatting.  Consolidated links to Internet information and provided "Useful Info" macro button access.</t>
  </si>
  <si>
    <t>Your life expectancy</t>
  </si>
  <si>
    <t>Spouse life expectancy</t>
  </si>
  <si>
    <t>Roth conversion</t>
  </si>
  <si>
    <t>Standard deduction</t>
  </si>
  <si>
    <t xml:space="preserve">Personal exemption </t>
  </si>
  <si>
    <t xml:space="preserve">Bracket 1 </t>
  </si>
  <si>
    <t xml:space="preserve">Bracket 2 </t>
  </si>
  <si>
    <t xml:space="preserve">Bracket 3 </t>
  </si>
  <si>
    <t>Fed taxable SS income taxable in state</t>
  </si>
  <si>
    <t>Pension 1 income taxable in state</t>
  </si>
  <si>
    <t>Pensions 1</t>
  </si>
  <si>
    <t>Pensions 2</t>
  </si>
  <si>
    <t xml:space="preserve">Pensions 1 </t>
  </si>
  <si>
    <t xml:space="preserve">Pensions 2 </t>
  </si>
  <si>
    <t>State AGI</t>
  </si>
  <si>
    <t>Personal exemptions</t>
  </si>
  <si>
    <t>State Taxes</t>
  </si>
  <si>
    <t>Number of exemptions</t>
  </si>
  <si>
    <t>Future state</t>
  </si>
  <si>
    <t>Current state</t>
  </si>
  <si>
    <t>=IF('Setup and Input'!$B$53="m",IF(OR(E$5&lt;'Setup and Input'!$B$54,'Setup and Input'!$B$54=""),IF(AND(E$68&gt;='Tax Tables'!E$44,E$68&lt;='Tax Tables'!E$45),(E$68-'Tax Tables'!E$44)*'Tax Tables'!E$46,IF(E$68&gt;='Tax Tables'!E$45,('Tax Tables'!E$45-'Tax Tables'!E$44)*'Tax Tables'!E$46,0)),IF(AND(E$68&gt;='Tax Tables'!E$79,E$68&lt;='Tax Tables'!E$80),(E$68-'Tax Tables'!E$79)*'Tax Tables'!E$81,IF(E$68&gt;='Tax Tables'!E$80,('Tax Tables'!E$80-'Tax Tables'!E$79)*'Tax Tables'!E$81,0))),IF(AND(E$68&gt;='Tax Tables'!E$79,E$68&lt;='Tax Tables'!E$80),(E$68-'Tax Tables'!E$79)*'Tax Tables'!E$81,IF(E$68&gt;='Tax Tables'!E$80,('Tax Tables'!E$80-'Tax Tables'!E$79)*'Tax Tables'!E$81,0)))</t>
  </si>
  <si>
    <t>Beginning</t>
  </si>
  <si>
    <t>Escalation</t>
  </si>
  <si>
    <t>Rates</t>
  </si>
  <si>
    <t>-</t>
  </si>
  <si>
    <t>Taxable</t>
  </si>
  <si>
    <t>Other Income</t>
  </si>
  <si>
    <t>IRA</t>
  </si>
  <si>
    <t>17: Total of lines 15 &amp; 16</t>
  </si>
  <si>
    <t>18: 85% of line 1 (smaller of 17 or 18 is taxable SS amount)</t>
  </si>
  <si>
    <t>RMD Factors</t>
  </si>
  <si>
    <t xml:space="preserve">Error checking has been added to warn if any account balance becomes negative due to excessive withdrawals, and </t>
  </si>
  <si>
    <t>An automated reduction in user IRA withdrawal amounts to prevent negative balances is now in place.</t>
  </si>
  <si>
    <t>Put in an error check to keep the IRA balance from going negative due to all these automated withdrawals</t>
  </si>
  <si>
    <t xml:space="preserve">   model the lost of benefits occurring from the death of a spouse,</t>
  </si>
  <si>
    <t xml:space="preserve">Override single rate start year </t>
  </si>
  <si>
    <t>Not Used</t>
  </si>
  <si>
    <t>07_Taxab</t>
  </si>
  <si>
    <t xml:space="preserve"> Illiquid 0        Illiquid Asset Value.</t>
  </si>
  <si>
    <t xml:space="preserve"> Pension  0        Pension, NOT Adjusted For Inflation.</t>
  </si>
  <si>
    <t xml:space="preserve"> Pension2 0        Spouses Pension - NO Inflation.</t>
  </si>
  <si>
    <t>Personal exemption future</t>
  </si>
  <si>
    <t>Standard deduction future</t>
  </si>
  <si>
    <t>Bracket 1 future</t>
  </si>
  <si>
    <t>Bracket 2 future</t>
  </si>
  <si>
    <t>Bracket 3 future</t>
  </si>
  <si>
    <t>1. Taxable income - line 43</t>
  </si>
  <si>
    <t>Added a report on of the number of years in which Medicare premium may increase due to high income (MAGI) above the threshold and</t>
  </si>
  <si>
    <t>And a special thanks to James Welch who created the remarkable ORP retirement planner who helped reconcile this model to ORP, and for providing a link in his website to it.</t>
  </si>
  <si>
    <t xml:space="preserve">Funds available </t>
  </si>
  <si>
    <t>IF(E$68&gt;='Tax Tables'!E$80,('Tax Tables'!E$80-'Tax Tables'!E$79)*'Tax Tables'!E$81,0))),</t>
  </si>
  <si>
    <t>IF(E$68&gt;='Tax Tables'!E$80,('Tax Tables'!E$80-'Tax Tables'!E$79)*'Tax Tables'!E$81,0)))</t>
  </si>
  <si>
    <t>If single status year has occurred</t>
  </si>
  <si>
    <t>Factor</t>
  </si>
  <si>
    <t>All pages/sheets are now protected to prevent inadvertent changes.  Select Tools-Protection-Unprotect Sheet to unprotect.  There is no password.</t>
  </si>
  <si>
    <t>Starting balances</t>
  </si>
  <si>
    <t>Brackets and rates changed in 2003</t>
  </si>
  <si>
    <t>All pages</t>
  </si>
  <si>
    <t>storage of macro samples</t>
  </si>
  <si>
    <t>Schedule hidden below for future use</t>
  </si>
  <si>
    <t>Percent of Tax-Exempt taxable in state</t>
  </si>
  <si>
    <t>Percent of Tax-Exempt taxable in state future</t>
  </si>
  <si>
    <t>Net short-term capital gains</t>
  </si>
  <si>
    <t>Total Federal income taxes</t>
  </si>
  <si>
    <t>Added option to select either yourself or spouse as inheritor of an IRA, and use that person's age for start of RMD.</t>
  </si>
  <si>
    <t>Portfolio Activity and Yearly Balances</t>
  </si>
  <si>
    <t xml:space="preserve">MM/Other </t>
  </si>
  <si>
    <t>Added the option to not escalate Federal standard deduction and personal exemption amounts, allowing testing of future tax calculations</t>
  </si>
  <si>
    <t xml:space="preserve"> MonteC   0        Monte Carlo Risk Assessment</t>
  </si>
  <si>
    <t>Added charts to Setup and Results pages to show status of portfolio and other data.  Improved existing charts. Google Spreadsheet has a problem with charts.</t>
  </si>
  <si>
    <t>supporting data</t>
  </si>
  <si>
    <t>readme page</t>
  </si>
  <si>
    <t xml:space="preserve">     tax tables page</t>
  </si>
  <si>
    <t xml:space="preserve">     ORP page</t>
  </si>
  <si>
    <t xml:space="preserve">#2 - ORP Spreadsheet Summary - Download then "select" and "copy" all the data cells (eg A1 to Q71), </t>
  </si>
  <si>
    <t>Fixed inherited tIRA RMD calculation to the correct method of using the Single life expectancy table and subtracting one for each subsequent year.</t>
  </si>
  <si>
    <t xml:space="preserve">Purchase price </t>
  </si>
  <si>
    <t xml:space="preserve">IRA 1 </t>
  </si>
  <si>
    <t xml:space="preserve">     Beginning Allocation Balances</t>
  </si>
  <si>
    <t>Income deductions</t>
  </si>
  <si>
    <t>23-35</t>
  </si>
  <si>
    <t>Various supporting calculations below</t>
  </si>
  <si>
    <t>Fed Adjusted Gross Income excl taxable SS benefits &amp; pension 1</t>
  </si>
  <si>
    <t xml:space="preserve">Escalate deduction and exemptions </t>
  </si>
  <si>
    <t>Up to</t>
  </si>
  <si>
    <t>State Income Taxes</t>
  </si>
  <si>
    <t>Federal Adjusted Gross Income</t>
  </si>
  <si>
    <t>same</t>
  </si>
  <si>
    <t xml:space="preserve"> MinRoth  0        Minimum Roth Balance</t>
  </si>
  <si>
    <t>Added a retired couple's story to illustrate how the Example case data was arrived at.  See right side on Setup page.</t>
  </si>
  <si>
    <t>Corrected error in the 36% tax bracket when alternative rates were selected to be used.</t>
  </si>
  <si>
    <t>Added a year range to IRA Withdrawals, rather than a forced "Pre RMD" and "Post RMD" periods.  Results in much more flexibility.</t>
  </si>
  <si>
    <t>Moved "Special Base Case IRA Withdrawal" item up to IRA Withdrawal area and gave it a year range just like the others.  Still only applies to Base Case.</t>
  </si>
  <si>
    <t xml:space="preserve">Current state brackets </t>
  </si>
  <si>
    <t>Future state brackets</t>
  </si>
  <si>
    <t>Single Tax Brackets</t>
  </si>
  <si>
    <t>Married Tax Brackets</t>
  </si>
  <si>
    <t>Fixed error in middle State tax bracket that over-stated Example ending portfolio by 0.1% - Nov 26</t>
  </si>
  <si>
    <t>Detail of how selected earnings are calculated</t>
  </si>
  <si>
    <t>Fixed Clear Entries function to skip locked calculated cells that were creating a halt to the macro process and an error message.</t>
  </si>
  <si>
    <t>Tax Factors Escalation Rate Analysis</t>
  </si>
  <si>
    <t>Std dedtn</t>
  </si>
  <si>
    <t>Age 65 s</t>
  </si>
  <si>
    <t>Age 65 m</t>
  </si>
  <si>
    <t>Esc rate</t>
  </si>
  <si>
    <t>Additional  exemptions</t>
  </si>
  <si>
    <t>Brackets</t>
  </si>
  <si>
    <t>Improved state income tax calculation.  Added option to use tax brackets, std deductions, exemptions and ability to exclude pension income from state tax.</t>
  </si>
  <si>
    <t>Added switch to set Roth conversions and withdrawals to zero in Roth Case for ease in running alternative SS benefits calculation.</t>
  </si>
  <si>
    <t>supporting data and calculations hidden above</t>
  </si>
  <si>
    <t xml:space="preserve">Income adjustments </t>
  </si>
  <si>
    <t xml:space="preserve">Bracket method factors </t>
  </si>
  <si>
    <t>Improved Setup and Input page by reducing clutter and consolidating items, and highlighting input cells with blue border.</t>
  </si>
  <si>
    <t>Future Value Calculator</t>
  </si>
  <si>
    <t>Add and modified error messages to better monitor ages used.  Out of range entries may make the model fail to calculate. Aug 21</t>
  </si>
  <si>
    <t xml:space="preserve">Altered tax single rate start year to default to value based on year following the age entered for the death of a spouse.  Provided an override option. </t>
  </si>
  <si>
    <t xml:space="preserve"> PensionS 0        Pension Survivors Benefit %.</t>
  </si>
  <si>
    <t>Developer Notes:</t>
  </si>
  <si>
    <t xml:space="preserve">   spousal benefit amount is zero and the automatic calculation of benefits used, age 62 benefits were </t>
  </si>
  <si>
    <t xml:space="preserve">  $12,200 (using "Your" FRA x 50% x 75% + 2.5% COLA) but the correct amount is $11,400 (using "Your" FRA x 35% + 2.5% COLA).</t>
  </si>
  <si>
    <t>Roth conversions</t>
  </si>
  <si>
    <t>Roth withdrawals</t>
  </si>
  <si>
    <t>Roth withdrawals automatic</t>
  </si>
  <si>
    <t>Taxable SPIA Income</t>
  </si>
  <si>
    <t>Ages</t>
  </si>
  <si>
    <t>IRAnnuity Income</t>
  </si>
  <si>
    <t>Income from pensions, annuities, wages, etc.</t>
  </si>
  <si>
    <t xml:space="preserve">Taxable </t>
  </si>
  <si>
    <t xml:space="preserve"> RMD</t>
  </si>
  <si>
    <t>Calc ending</t>
  </si>
  <si>
    <r>
      <t xml:space="preserve">Taxable account earnings </t>
    </r>
    <r>
      <rPr>
        <sz val="12"/>
        <color indexed="10"/>
        <rFont val="Arial"/>
        <family val="2"/>
      </rPr>
      <t>excl auto</t>
    </r>
  </si>
  <si>
    <t>IRAs</t>
  </si>
  <si>
    <t>Roths</t>
  </si>
  <si>
    <t xml:space="preserve">Changed "include taxes" option to be "exclude taxes" to be selection y/n consistent with other option choices. </t>
  </si>
  <si>
    <t xml:space="preserve">SS benefits </t>
  </si>
  <si>
    <t>Added a minimum Taxable account limit when using the Automated Withdrawals feature. Set to $5,000 in example data.</t>
  </si>
  <si>
    <t xml:space="preserve"> DisableR 0        Retiree receiving disability benefits</t>
  </si>
  <si>
    <t xml:space="preserve"> DisableS 0        Spouse receiving disability benefits</t>
  </si>
  <si>
    <t>Social Security Strategies for Married Couples - Oblivious Investor</t>
  </si>
  <si>
    <t>Social Security Strategies for Couples - AAII</t>
  </si>
  <si>
    <t>16: Total of Lines 14 &amp; 15</t>
  </si>
  <si>
    <t>15: Line 11 x 85%</t>
  </si>
  <si>
    <t>Form line numbers shown.</t>
  </si>
  <si>
    <t>12: Smaller of Line 9 or 10</t>
  </si>
  <si>
    <t>not included in this model,</t>
  </si>
  <si>
    <t>Fixed taxable Social Security calculation for error from a married couple having a "become single" year entered which forced the use of the single SS factor early.</t>
  </si>
  <si>
    <t>e.g. foreign earned income</t>
  </si>
  <si>
    <t>Useful Information and Internet Links</t>
  </si>
  <si>
    <r>
      <t xml:space="preserve">Federal income tax </t>
    </r>
    <r>
      <rPr>
        <sz val="14"/>
        <rFont val="Arial"/>
        <family val="2"/>
      </rPr>
      <t>^</t>
    </r>
  </si>
  <si>
    <t>State taxes by bracket ^</t>
  </si>
  <si>
    <t>Provided a summary of key results.</t>
  </si>
  <si>
    <t>A much improved casual user interface, including descriptions and explanations of how the model works and what each input item does.</t>
  </si>
  <si>
    <t>Major sections now on separate pages for easy access.</t>
  </si>
  <si>
    <t>A fix to a tax lookup table.</t>
  </si>
  <si>
    <t>Taxes By Tax Bracket</t>
  </si>
  <si>
    <t xml:space="preserve">  Setup, Input Factors And Data</t>
  </si>
  <si>
    <t>s</t>
  </si>
  <si>
    <t>Adjusted Gross Income calculation</t>
  </si>
  <si>
    <t>2: Half of Line 1 - SS benefits</t>
  </si>
  <si>
    <t>SSA: Effect of Early or Delayed Retirement on Retirement Benefits</t>
  </si>
  <si>
    <t>1960 on</t>
  </si>
  <si>
    <t>Phase-out of exempts and itemized dedts</t>
  </si>
  <si>
    <t>Starting Age</t>
  </si>
  <si>
    <t>Fixed SS Restricted Application logic to allow spousal benefits at 70. NOTE: This function still under re-development to allow total flexibility.</t>
  </si>
  <si>
    <t>Inherited IRA 1</t>
  </si>
  <si>
    <t>Inherited IRA 2</t>
  </si>
  <si>
    <t xml:space="preserve">Yearly change </t>
  </si>
  <si>
    <t xml:space="preserve">2. Portfolio Balances  </t>
  </si>
  <si>
    <t xml:space="preserve"> IRA balance</t>
  </si>
  <si>
    <t>Added Federal tax-exempt investment allocation choice and related earnings calculation. Amount taxable in your state can be entered.</t>
  </si>
  <si>
    <t xml:space="preserve">Added a bonus option to compare two different SS benefit alternatives, such as "take at 62" and "take at 70". </t>
  </si>
  <si>
    <t>Started new version numbering scheme based on the tax year.</t>
  </si>
  <si>
    <t>16. Smaller of line 1 or 15</t>
  </si>
  <si>
    <t>Fixed spousal benefits ending date which was not consistent nor based on other person's end date.</t>
  </si>
  <si>
    <t>SPIA purchase</t>
  </si>
  <si>
    <t>To</t>
  </si>
  <si>
    <t>Added to the Setup page a beta test of a Cash Flow diagram (suggested by BH keith simpson).</t>
  </si>
  <si>
    <t>Expenditures and Additions</t>
  </si>
  <si>
    <t>Living Expenses</t>
  </si>
  <si>
    <t>n</t>
  </si>
  <si>
    <t>Roth</t>
  </si>
  <si>
    <t>Account Balances</t>
  </si>
  <si>
    <t>bracket</t>
  </si>
  <si>
    <r>
      <t>Asset Sale 2 Home</t>
    </r>
    <r>
      <rPr>
        <sz val="12"/>
        <rFont val="Arial"/>
        <family val="2"/>
      </rPr>
      <t xml:space="preserve"> - Include?</t>
    </r>
  </si>
  <si>
    <t>5. Line 4g, form 4952, or 0</t>
  </si>
  <si>
    <t>10. Smaller of line 7 or 9</t>
  </si>
  <si>
    <t>Added negative balance monitoring to automatically prevent negative IRA account balances.</t>
  </si>
  <si>
    <t>Your Social Security Benefits</t>
  </si>
  <si>
    <t>Fixed itemized deductions to automatically continue to the last year if an end age is not supplied and start year std deduction over 65 calculation.</t>
  </si>
  <si>
    <t xml:space="preserve"> Use auto withdrawals? </t>
  </si>
  <si>
    <t>Excluding</t>
  </si>
  <si>
    <t>Conv better</t>
  </si>
  <si>
    <t>Black font - calculated results and text</t>
  </si>
  <si>
    <t>Asset Sales &amp; Other 1</t>
  </si>
  <si>
    <t>SS COLA</t>
  </si>
  <si>
    <t>Factors used to determine the Minimum Required Distributions from IRAs.</t>
  </si>
  <si>
    <t>Spousal</t>
  </si>
  <si>
    <t>Improved error messages, formatting and instructions.</t>
  </si>
  <si>
    <t xml:space="preserve">  ORP applies the rate to the end of year balance.to get the following year's earnings. Year 1 has no earnings.</t>
  </si>
  <si>
    <t>Income taxes: RPM calculates AGI and uses current Federal brackets, using a factor to reduce taxable account earnings for the impact of undistrubted earnings and</t>
  </si>
  <si>
    <t xml:space="preserve">  ORP uses Federal tax rates and a input state rate for income tax and an input capital gains rate, e.g. 15%, for taxable account earnings taxes.that is</t>
  </si>
  <si>
    <t xml:space="preserve">  incurred even if there are no other income taxes.</t>
  </si>
  <si>
    <t>Funds check</t>
  </si>
  <si>
    <t>Qualified dividends</t>
  </si>
  <si>
    <t>Reversed sign on Inherit/Expend column entries on Summary page so that expenses show as a positive number, inflows negative..</t>
  </si>
  <si>
    <t>Fixed calculation of taxable account earnings to include in current year special event cash flow (home sale, etc). This increased taxable income in the Example data by about 1%.</t>
  </si>
  <si>
    <t>Taxable account earnings excl auto</t>
  </si>
  <si>
    <t>IRA 1 auto</t>
  </si>
  <si>
    <t>IRA 2 auto</t>
  </si>
  <si>
    <t>Inherited IRA auto</t>
  </si>
  <si>
    <t>Corrected marginal tax rate tracking when rate changes from married to single.</t>
  </si>
  <si>
    <t>Convr</t>
  </si>
  <si>
    <t>spousal:</t>
  </si>
  <si>
    <t>Revised some input items, such as IRA withdrawals, to operate in a common manner, such as with start and end years.  This adds flexibility and ease of use.</t>
  </si>
  <si>
    <t>Taxable acct earnings</t>
  </si>
  <si>
    <t>Other taxable income</t>
  </si>
  <si>
    <t>AGI bef txbl SS benefits</t>
  </si>
  <si>
    <t>Taxable SS benefits</t>
  </si>
  <si>
    <t>Adjusted gross income</t>
  </si>
  <si>
    <t>Total earnings/income</t>
  </si>
  <si>
    <t>Your RMD Change Age</t>
  </si>
  <si>
    <t>Removed Taxable Account Withdrawals input item as it had limited usefulness. This impacted returns calculations and increased taxable income slightly ($1k).</t>
  </si>
  <si>
    <t>m</t>
  </si>
  <si>
    <t xml:space="preserve">Changes to and new internet links have been generating a false Windows warning. (This warning is a common Excel problem in recent years.) Solution: revised URL addresses will be shown, but will not be active links. </t>
  </si>
  <si>
    <t>Current State</t>
  </si>
  <si>
    <t>Future State</t>
  </si>
  <si>
    <t>Summary</t>
  </si>
  <si>
    <t>Inherited IRA RMD</t>
  </si>
  <si>
    <t>IRA RMD</t>
  </si>
  <si>
    <t>Taxable SS Benefits (detail hidden above)</t>
  </si>
  <si>
    <t>End Balance Per Above</t>
  </si>
  <si>
    <t>End Balance per Models</t>
  </si>
  <si>
    <t>Reconciliation Error Check</t>
  </si>
  <si>
    <t>Added Input option to allow IRA deductions during Roth conversion years to be higher than in the Base Case in order to pay income taxes.</t>
  </si>
  <si>
    <t xml:space="preserve"> RetAge   62       Age to Begin Retirement Plan.</t>
  </si>
  <si>
    <t xml:space="preserve"> IRA2Roth 0        Maximum IRA to Roth IRA Conversions.</t>
  </si>
  <si>
    <t xml:space="preserve"> Extra1A  0        Age of 1st Extraordinary Event</t>
  </si>
  <si>
    <t xml:space="preserve"> Extra1D  0        Amount of 1st Extraordinary Expense</t>
  </si>
  <si>
    <t xml:space="preserve"> Extra2A  0        Age of 2nd Extraordinary Event</t>
  </si>
  <si>
    <t xml:space="preserve"> Extra2D  0        Amount of 2nd Extraordinary Expense</t>
  </si>
  <si>
    <t xml:space="preserve"> Extra3A  0        Age of 3rn Extraordinary Event</t>
  </si>
  <si>
    <t xml:space="preserve"> StateMin 0        State Income Tax Std. Deduct. &amp; Exemptn.</t>
  </si>
  <si>
    <t xml:space="preserve"> StateRte 0        State Personal Income Tax Rate.</t>
  </si>
  <si>
    <t>Inheritance 1</t>
  </si>
  <si>
    <t xml:space="preserve">MAGI </t>
  </si>
  <si>
    <t xml:space="preserve">AGI </t>
  </si>
  <si>
    <t>Asset Earnings and Allocation</t>
  </si>
  <si>
    <t>Use asset classes for earnings forecast</t>
  </si>
  <si>
    <t>Asset Allocation Change - Age</t>
  </si>
  <si>
    <t xml:space="preserve">101 1⁄3 </t>
  </si>
  <si>
    <t>125 1⁄3</t>
  </si>
  <si>
    <t xml:space="preserve">Qualified Charitable Distribution </t>
  </si>
  <si>
    <t>Special expenditures and donations</t>
  </si>
  <si>
    <t>hidden columns</t>
  </si>
  <si>
    <t xml:space="preserve">Inherited IRAs </t>
  </si>
  <si>
    <t xml:space="preserve">     Lookup Row</t>
  </si>
  <si>
    <t>Federal Taxable Income</t>
  </si>
  <si>
    <t>These are schedules and tables designed to help in comparing the input values and results of the Retiree Portfolio Model to the Optimal Retirement Planner.</t>
  </si>
  <si>
    <t xml:space="preserve">Use Fed itemized or standard deduction? </t>
  </si>
  <si>
    <t>Itemized deductions - Federal</t>
  </si>
  <si>
    <t>01_Tax Deferred</t>
  </si>
  <si>
    <t>RPM</t>
  </si>
  <si>
    <t>Diff</t>
  </si>
  <si>
    <t>02_Roth</t>
  </si>
  <si>
    <t>Earnings - if IRA ends with zero balance it is assumed all distributions/RMD/etc were made Jan 1.</t>
  </si>
  <si>
    <t>Personal exemptions deduction</t>
  </si>
  <si>
    <t>SS Benefits Taxable in State?</t>
  </si>
  <si>
    <t>Changed Roth Case label to Compare Case to better represent the many uses for this modeling technique.</t>
  </si>
  <si>
    <t>Copy Below</t>
  </si>
  <si>
    <t>Copy Above</t>
  </si>
  <si>
    <t xml:space="preserve"> MortYear 0        Age to Begin Reverse Mortgage</t>
  </si>
  <si>
    <t>Complete review and update of Setup page cell help comments. Improved error messages.</t>
  </si>
  <si>
    <t>Total - Spouse</t>
  </si>
  <si>
    <t>Total - You</t>
  </si>
  <si>
    <t>Portfolio Ending Balances</t>
  </si>
  <si>
    <t>Added warning if Spouse Age is greater than 10 years younger than Your Age that the RMD calculation may be wrong due to Life Expectancy table used.</t>
  </si>
  <si>
    <t xml:space="preserve">adjust 1 </t>
  </si>
  <si>
    <t xml:space="preserve">adjust 2 </t>
  </si>
  <si>
    <t xml:space="preserve">withdrawal 1 </t>
  </si>
  <si>
    <t xml:space="preserve">withdrawal 2 </t>
  </si>
  <si>
    <t xml:space="preserve">withdrawal </t>
  </si>
  <si>
    <t xml:space="preserve">adjust </t>
  </si>
  <si>
    <t>optional base case withdrawals</t>
  </si>
  <si>
    <t>Yearly</t>
  </si>
  <si>
    <t>clear entries</t>
  </si>
  <si>
    <t>Fixed an error in the withdrawal calculation for existing Roth IRA account, possibly resulting in a balance remaining at the end of the forecast period.</t>
  </si>
  <si>
    <t xml:space="preserve">Fixed "larger year" indicator and added ending balance amounts on Results page.  Numerous other minor changes were made. </t>
  </si>
  <si>
    <t>Fixed use of the new asset class earnings rates which had been reversed in the model.</t>
  </si>
  <si>
    <t>Fixed data checks that prevented SS starting ages from being greater than 70.</t>
  </si>
  <si>
    <t>Fixed false first year RMD for traditional IRA 2 that appeared if IRA2 amount was $0 and RMD amount if that was start year, i.e. age = 71.</t>
  </si>
  <si>
    <t>Vanguard Retirement Nest Egg Calculator</t>
  </si>
  <si>
    <t>Improved alternative Social Security benefit reports at bottom of Results page, and row labeling.</t>
  </si>
  <si>
    <t>Exemptions</t>
  </si>
  <si>
    <t>Standard Deduction Age 65 Bonus - Spouse</t>
  </si>
  <si>
    <t>=((End Value/Start Value)^(1/(Periods - 1)) -1</t>
  </si>
  <si>
    <t>CAGR:</t>
  </si>
  <si>
    <t>IF(Taxable income&gt;=$85650 AND Taxable income&lt;=$178650,Taxable income-$85650*28%,</t>
  </si>
  <si>
    <t>Modified introductory text on Readme page.</t>
  </si>
  <si>
    <t xml:space="preserve">  Roth conversion amounts from its separate page to be part of the Setup page.</t>
  </si>
  <si>
    <t xml:space="preserve">  such as Social Security start date comparisons, and tax rate changes.</t>
  </si>
  <si>
    <t>Change Age and Percent</t>
  </si>
  <si>
    <t>Not in Base Case</t>
  </si>
  <si>
    <t>Increase/-Decrease Amount</t>
  </si>
  <si>
    <t xml:space="preserve">     Rates Being Used</t>
  </si>
  <si>
    <t>IRA 1 Withdrawals #2</t>
  </si>
  <si>
    <t>IRA 1 RMD original owner</t>
  </si>
  <si>
    <t>IRA 1 RMD beneficiary</t>
  </si>
  <si>
    <t>Schedule hidden above for future use</t>
  </si>
  <si>
    <t>Added option to exclude the Base case from being calculated to simplify the amount of data displayed for those just using the Full case. Also option to hide Base and Comparison pages and data.</t>
  </si>
  <si>
    <t>Short-term cap gains/(losses)</t>
  </si>
  <si>
    <t>Case check total</t>
  </si>
  <si>
    <t xml:space="preserve"> PensinS2 0        Spouses Survivor Benefit %.</t>
  </si>
  <si>
    <t>Modified cell and range names and macros to not conflict with Excel 2007+ column labels.</t>
  </si>
  <si>
    <t xml:space="preserve">  Macros can be enabled or disabled in Tools &gt; Options &gt; Security &gt; Macro Security.</t>
  </si>
  <si>
    <t xml:space="preserve">  These macros are only used in this model, and don't access drives, folders, programs or the Internet.</t>
  </si>
  <si>
    <t>Final Balance</t>
  </si>
  <si>
    <t>Added Excel Data Validation to selected input items.  Some now have drop-down lists. Removed many related self-made error/info messages.</t>
  </si>
  <si>
    <t>End of year balance</t>
  </si>
  <si>
    <t>Inherited IRA Withdrawals</t>
  </si>
  <si>
    <t>ATM exemption</t>
  </si>
  <si>
    <t>Corrected taxable income and taxable SS benefits calculation to include inherited IRA withdrawals.</t>
  </si>
  <si>
    <t>IRA 1 withdrawals - automatic</t>
  </si>
  <si>
    <t>IRA 1 SPIA purchase</t>
  </si>
  <si>
    <t>IRA 2 withdrawals - automatic</t>
  </si>
  <si>
    <t>Inherited IRA - special events ^</t>
  </si>
  <si>
    <t>Inherited IRA withdrawals ^</t>
  </si>
  <si>
    <t>Inherited IRA automatic withdrawals ^</t>
  </si>
  <si>
    <t>3. Provides a detailed Federal tax calculation using simplified input factors that include actual current year rates, exemptions and deductions.  The model also calculates yearly taxable SS benefits, a key element in many "what if" calculations.  Future tax factors are based on historic escalation factors, and all factors are user adjustable.  A simple percentage or tax brackets are used for state income taxes.  Some tax provisions applicable to higher income taxpayers are not included.</t>
  </si>
  <si>
    <r>
      <t>Limitations</t>
    </r>
    <r>
      <rPr>
        <sz val="12"/>
        <rFont val="Arial"/>
        <family val="2"/>
      </rPr>
      <t xml:space="preserve">
</t>
    </r>
    <r>
      <rPr>
        <sz val="12"/>
        <rFont val="Arial"/>
        <family val="2"/>
      </rPr>
      <t xml:space="preserve">
1. Non-deductible (after-tax) contributions to your traditional IRAs are not considered in calculating taxes on withdrawals.  All traditional IRAs are assumed to have been "tax-deductible" when funded.
2. The model does not calculate pre-59 1/2 traditional IRA or Roth withdrawal penalties, or the penalty on withdrawing Roth earnings within five years of opening the Roth if over age 59 1/2.</t>
    </r>
  </si>
  <si>
    <t>Roth conversions withdrawals ^</t>
  </si>
  <si>
    <t>Roth conversions withdrawals - automatic</t>
  </si>
  <si>
    <r>
      <t>Roth conversions</t>
    </r>
    <r>
      <rPr>
        <sz val="12"/>
        <color indexed="22"/>
        <rFont val="Arial"/>
        <family val="2"/>
      </rPr>
      <t xml:space="preserve"> ^</t>
    </r>
  </si>
  <si>
    <r>
      <t>Taxable account - special events &amp; annuity</t>
    </r>
    <r>
      <rPr>
        <sz val="12"/>
        <color indexed="22"/>
        <rFont val="Arial"/>
        <family val="2"/>
      </rPr>
      <t xml:space="preserve"> ^</t>
    </r>
  </si>
  <si>
    <t>SS benefits taxation calculation</t>
  </si>
  <si>
    <t>Percent of SS benefits taxed</t>
  </si>
  <si>
    <t xml:space="preserve"> Age at year end</t>
  </si>
  <si>
    <t>Age now</t>
  </si>
  <si>
    <t>Type &amp; Year</t>
  </si>
  <si>
    <t xml:space="preserve">Starting year </t>
  </si>
  <si>
    <t>FRA Age</t>
  </si>
  <si>
    <t>PIA</t>
  </si>
  <si>
    <t xml:space="preserve">DRC &amp; spousal </t>
  </si>
  <si>
    <t xml:space="preserve">PIA </t>
  </si>
  <si>
    <t xml:space="preserve">FRA age </t>
  </si>
  <si>
    <t xml:space="preserve">            Spousal</t>
  </si>
  <si>
    <t xml:space="preserve">Additional benefits: You </t>
  </si>
  <si>
    <t>additional years hidden &gt;&gt;</t>
  </si>
  <si>
    <t>SS calculations hidden &gt;&gt;</t>
  </si>
  <si>
    <t>Added print areas to each page that allows printing of the primary data on the page.  Adjust sizing etc. for your own printer.</t>
  </si>
  <si>
    <t>Added a "Percent of Tax Bracket Used" to Roth Conversions Input page to help determine optimum conversions each year.</t>
  </si>
  <si>
    <t>Social Security benefit start years for a married couple can now be different (amounts always were) and either benefit can have an end date to</t>
  </si>
  <si>
    <t>Numerous title and description refinements to be more descriptive, and other changes to make the model more warm and fuzzy!</t>
  </si>
  <si>
    <t>SS Benefits</t>
  </si>
  <si>
    <t>Other Income - pensions, annuity, etc.</t>
  </si>
  <si>
    <t>line 45&amp;50</t>
  </si>
  <si>
    <t>user input:</t>
  </si>
  <si>
    <t>Removed text boxes to allow viewing of text in Excel Online program.</t>
  </si>
  <si>
    <t>Details of automated IRA withdrawal and other calculations hidden above ^</t>
  </si>
  <si>
    <t>Roth Conversions - calculated</t>
  </si>
  <si>
    <t>Roth Withdrawals - calculated</t>
  </si>
  <si>
    <t>Adjusted Gross Income before taxable SS benefits ^</t>
  </si>
  <si>
    <t>Average rate</t>
  </si>
  <si>
    <t>Marginal rate</t>
  </si>
  <si>
    <t>State income taxes</t>
  </si>
  <si>
    <t>Social Security income</t>
  </si>
  <si>
    <t>Living expenses</t>
  </si>
  <si>
    <t>Bal</t>
  </si>
  <si>
    <t>Spec</t>
  </si>
  <si>
    <t>Asset sales</t>
  </si>
  <si>
    <t>Inheritance 2 age</t>
  </si>
  <si>
    <t>Added second Roth IRA account for beginning portfolio.</t>
  </si>
  <si>
    <t>averages</t>
  </si>
  <si>
    <t>over three</t>
  </si>
  <si>
    <t>periods</t>
  </si>
  <si>
    <t>Infl Rate</t>
  </si>
  <si>
    <t>Calc via</t>
  </si>
  <si>
    <t>CPI-U</t>
  </si>
  <si>
    <t>Data Link</t>
  </si>
  <si>
    <t>Average</t>
  </si>
  <si>
    <t>Ending</t>
  </si>
  <si>
    <t>Earnings Rates and Allocation</t>
  </si>
  <si>
    <t xml:space="preserve">               Recommended Planning Models and Spreadsheet Programs</t>
  </si>
  <si>
    <t>Apache Open Office</t>
  </si>
  <si>
    <t>Key Items Comparison</t>
  </si>
  <si>
    <t>Existing Roth account separated from previous single row for all Roths. Withdrawal calculation set up for existing Roths.</t>
  </si>
  <si>
    <t>Your Age</t>
  </si>
  <si>
    <t>Starting</t>
  </si>
  <si>
    <t>SS Benefits - Spouse - additional</t>
  </si>
  <si>
    <t xml:space="preserve">Spousal </t>
  </si>
  <si>
    <t>escaltn rate</t>
  </si>
  <si>
    <t>ending age</t>
  </si>
  <si>
    <t>Standard deduction - state</t>
  </si>
  <si>
    <t>03_After Tax</t>
  </si>
  <si>
    <t>04_Illiquid</t>
  </si>
  <si>
    <t>12_Pension</t>
  </si>
  <si>
    <t>11_SocSec</t>
  </si>
  <si>
    <t>Asset</t>
  </si>
  <si>
    <t>ORP - Optimal Retirement Planner</t>
  </si>
  <si>
    <t xml:space="preserve"> tontindr 0        Retiree, Initial Tontine Dividend</t>
  </si>
  <si>
    <t xml:space="preserve"> tontinds 0        Spouse, Initial Tontine Dividend</t>
  </si>
  <si>
    <t xml:space="preserve"> tontinfr 0        Retiree: Premium transfered from IRA</t>
  </si>
  <si>
    <t xml:space="preserve"> tontinfs 0        Premium transfered from IRA</t>
  </si>
  <si>
    <t xml:space="preserve"> annudr   0        Retiree Initial Annuity Dividend.</t>
  </si>
  <si>
    <t xml:space="preserve"> annuds   0        Spouse Initial Annuity Dividend.</t>
  </si>
  <si>
    <t>Fixed ending balances on case pages to show end of year amounts and not start of year.  Added end of year by account at bottom of pages.</t>
  </si>
  <si>
    <t>Fixed error in Standard Deduction Age 65 Bonus which had not considered that spouse might have a different age.</t>
  </si>
  <si>
    <t>Total Deductions</t>
  </si>
  <si>
    <t>Added tax exemptions and deductions detail to the Case pages, rather than just a total.</t>
  </si>
  <si>
    <t>Added SS percentage change to Results.</t>
  </si>
  <si>
    <t>Instructions</t>
  </si>
  <si>
    <t>An automated method of maintaining a positive Taxable account balance has been added.  Can be turned on or off on Setup page.</t>
  </si>
  <si>
    <t>Add a withdrawal option for the Inherited IRA account.</t>
  </si>
  <si>
    <t xml:space="preserve">Starting benefit </t>
  </si>
  <si>
    <t xml:space="preserve"> Uprinbal 0        Unpaid Principle Balance</t>
  </si>
  <si>
    <t xml:space="preserve"> Uprinblh 0        Unpaid Principle Balance (home).</t>
  </si>
  <si>
    <t xml:space="preserve"> LifeTime 0        Reverse Mortgage: Life time income plan</t>
  </si>
  <si>
    <t xml:space="preserve"> TDNoTaxs 0        Spouse tax-deferred, after tax balance.</t>
  </si>
  <si>
    <t xml:space="preserve"> SocSecA  70       Age to Begin Social Security.</t>
  </si>
  <si>
    <t xml:space="preserve"> SocSecA2 70       Spouses Age to begin Social Security.</t>
  </si>
  <si>
    <t xml:space="preserve"> annuar   0        Retiree age to begin dividends.</t>
  </si>
  <si>
    <t xml:space="preserve"> annuas   0        Spouse age to begin dividends.</t>
  </si>
  <si>
    <t xml:space="preserve"> HSAcont  0        Health Savings Acc Contribution,</t>
  </si>
  <si>
    <t>Fixed cell name QCD1 in the Qualified Charitable Distributions section that was causing a conflict with a coumn label in versions of Excel after 2003..</t>
  </si>
  <si>
    <t>Fixed Adjusted Gross Income difference in Results that used the wrong cell references.</t>
  </si>
  <si>
    <t xml:space="preserve">sections </t>
  </si>
  <si>
    <t>Inherited IRA RMD ^</t>
  </si>
  <si>
    <t>Roth Conversions - input</t>
  </si>
  <si>
    <t>Roth Withdrawals - input</t>
  </si>
  <si>
    <t>Capital gains - LT/ST 50%</t>
  </si>
  <si>
    <t>Exclusion</t>
  </si>
  <si>
    <t>Qualified dividends (0%/15%/20%)</t>
  </si>
  <si>
    <t>VTSMX</t>
  </si>
  <si>
    <t>shares</t>
  </si>
  <si>
    <t>dividend</t>
  </si>
  <si>
    <t>start nav</t>
  </si>
  <si>
    <t>dividends</t>
  </si>
  <si>
    <t>buy</t>
  </si>
  <si>
    <t>end nav</t>
  </si>
  <si>
    <t>growth of 10000</t>
  </si>
  <si>
    <t>5 yr $10k</t>
  </si>
  <si>
    <t>I yr growth</t>
  </si>
  <si>
    <t>1 yr div</t>
  </si>
  <si>
    <t>total</t>
  </si>
  <si>
    <t>nav 12/31/08</t>
  </si>
  <si>
    <t>avr 1 yr</t>
  </si>
  <si>
    <t>5 yr nav growth</t>
  </si>
  <si>
    <t xml:space="preserve">     Results and Input Data Storage</t>
  </si>
  <si>
    <t>3. Go to the Summary page for a quick view of key amounts.  The Results page has detailed results, with comparisons of the cash flows, portfolio balances, tax expenses and other key indicators.  Each special Item, like Roth conversions and comparison of alternative SS benefits, has its own section with detailed, special analysis.
4. Go to the Details and Base pages to see detailed yearly amounts and calculations over the time period selected.  If not using the automatic balancing feature, look for negative balances error messages and adjust input factors as necessary to eliminate them.  The most common cause of negative balances are high expenses and inadequate IRA withdrawals.</t>
  </si>
  <si>
    <t>Federal taxes on IRA 1 RMD based on yearly marginal rate</t>
  </si>
  <si>
    <t>or (worse)</t>
  </si>
  <si>
    <t>SS Benefits - You - additional</t>
  </si>
  <si>
    <t>SS Benefits - You - using</t>
  </si>
  <si>
    <t>Additional  Benefits</t>
  </si>
  <si>
    <t>IF(E$68&gt;='Tax Tables'!E$45,('Tax Tables'!E$45-'Tax Tables'!E$44)*'Tax Tables'!E$46,0)),</t>
  </si>
  <si>
    <t xml:space="preserve"> TaxDef   700      Beginning Tax-Deferred Account Balance</t>
  </si>
  <si>
    <t xml:space="preserve"> ContDef  0        Contribution to Tax-Deferred Account</t>
  </si>
  <si>
    <t xml:space="preserve"> ContDef2 0        Spouses Contribution to Tax-Deferred Acc</t>
  </si>
  <si>
    <t xml:space="preserve"> RothIRA  100      Roth IRA account Balance</t>
  </si>
  <si>
    <t xml:space="preserve"> RothIRA2 0        Spouses Roth IRA account Balance</t>
  </si>
  <si>
    <t>Added automated IRA withdrawals to SS benefits taxation calculation and Federal tax calculations. (Versions 14.6 &amp; 14.65 may have understated tax expense!)</t>
  </si>
  <si>
    <t>Margin Amount</t>
  </si>
  <si>
    <t>Ending balance</t>
  </si>
  <si>
    <t>Modified the model to allow additional IRA withdrawals post-RMD start.</t>
  </si>
  <si>
    <t>Ending Age</t>
  </si>
  <si>
    <t>COLA Rate</t>
  </si>
  <si>
    <t>Your Age Expenses Change</t>
  </si>
  <si>
    <t>Taxable Account Amount</t>
  </si>
  <si>
    <t>Filing Status: Married Jointly or Single?</t>
  </si>
  <si>
    <t>Moving Age - Your Age</t>
  </si>
  <si>
    <t>State Effective Tax Rate</t>
  </si>
  <si>
    <t>Ages and Years - First Year</t>
  </si>
  <si>
    <t>Setup, Input Factors and Data</t>
  </si>
  <si>
    <t>Current</t>
  </si>
  <si>
    <t>Married Rates (first 4)</t>
  </si>
  <si>
    <t>Change Year (first)</t>
  </si>
  <si>
    <t>Single Rates (first 4)</t>
  </si>
  <si>
    <t xml:space="preserve"> </t>
  </si>
  <si>
    <t>no Roth</t>
  </si>
  <si>
    <t>Discount Rate for PV Calculation</t>
  </si>
  <si>
    <t>15,20,30,33</t>
  </si>
  <si>
    <t>Final Year</t>
  </si>
  <si>
    <t>Your Ending Age</t>
  </si>
  <si>
    <t>Spouse's Ending Age</t>
  </si>
  <si>
    <t>Taxable Account Changes excl Automatic</t>
  </si>
  <si>
    <t>Formatting change to focus on the main default (full) case that includes all options. Comparison base case assigned to more minor and comparison position.</t>
  </si>
  <si>
    <t>esc rates</t>
  </si>
  <si>
    <t>withdr esc rate:</t>
  </si>
  <si>
    <t>Roths 1 &amp; 2 withdrawals</t>
  </si>
  <si>
    <t>Roth 1 automatic</t>
  </si>
  <si>
    <t>Roth 1 SPIA purchase</t>
  </si>
  <si>
    <t xml:space="preserve">Test future tax rate changes? </t>
  </si>
  <si>
    <t xml:space="preserve">Modeling Options  </t>
  </si>
  <si>
    <t>Compared to v13.1. Taxable account about $800 higher due to elimination of Taxable Withdraw option its impact on earnings and taxes, but otherwise identical.</t>
  </si>
  <si>
    <t>Itemized Deductions calculated</t>
  </si>
  <si>
    <t>Improved monitoring and automatic fixing of conditions that lead to negative balances due to IRA withdrawals exceeding the IRA balance.</t>
  </si>
  <si>
    <t>Move Age</t>
  </si>
  <si>
    <t xml:space="preserve">  the number of years in which ACA subsidies may not be available prior to age 65 due to MAGI exceeding 400% of the Federal poverty level.</t>
  </si>
  <si>
    <t>Corrected the formula for total SPIA income that didn't include income from IRA sources.</t>
  </si>
  <si>
    <t xml:space="preserve"> Estate   0        Minimum Estate Size</t>
  </si>
  <si>
    <t>9. Smaller of line 1 or 8</t>
  </si>
  <si>
    <t xml:space="preserve"> -terms-  Values   -text-                                   </t>
  </si>
  <si>
    <t xml:space="preserve"> Spouse   61       Current Age of Spouse</t>
  </si>
  <si>
    <t>LibreOffice Calc</t>
  </si>
  <si>
    <t>Kingsoft Spreadsheets</t>
  </si>
  <si>
    <t>Ending balance or total</t>
  </si>
  <si>
    <t xml:space="preserve">Automatic spousal benefits </t>
  </si>
  <si>
    <t xml:space="preserve">Benefits have started </t>
  </si>
  <si>
    <t>Social Security benefits calculation tables</t>
  </si>
  <si>
    <t>Display Units</t>
  </si>
  <si>
    <t>Corrected or removed bad links on Readme page. Combined links with titles previously not working. Minor editing. Sept 16-17</t>
  </si>
  <si>
    <t>13_Earnings, SPIA, Dntn</t>
  </si>
  <si>
    <t>developer notes on tax brackets hidden below</t>
  </si>
  <si>
    <t>Reverse Mortgage test</t>
  </si>
  <si>
    <t>Moved instructions, notes and comments to title and factor comment fields to allow more space, ease of editing and readability.</t>
  </si>
  <si>
    <t>Excel Online</t>
  </si>
  <si>
    <t>Disclaimer</t>
  </si>
  <si>
    <t>Higher/</t>
  </si>
  <si>
    <t>(Lower)</t>
  </si>
  <si>
    <t>Married Filing Jointly</t>
  </si>
  <si>
    <t>Other Data Tables</t>
  </si>
  <si>
    <t>Over</t>
  </si>
  <si>
    <t>But Not Over</t>
  </si>
  <si>
    <t>Rate</t>
  </si>
  <si>
    <t>Standard Deduction</t>
  </si>
  <si>
    <t>Standard Deduction Age 65 Bonus</t>
  </si>
  <si>
    <t>Factors</t>
  </si>
  <si>
    <t>Federal Income Taxes</t>
  </si>
  <si>
    <t>Federal income taxes</t>
  </si>
  <si>
    <t>Plus tax-exempt income</t>
  </si>
  <si>
    <t xml:space="preserve">  reduced both case's final portfolio balances by about $58,000.  Users may see similar changes depending upon the ages of "you" and "spouse".</t>
  </si>
  <si>
    <t xml:space="preserve">Tax-exempt investments </t>
  </si>
  <si>
    <t>Improved labels and notes.</t>
  </si>
  <si>
    <t>Use Calculated or Entered Amounts?</t>
  </si>
  <si>
    <t xml:space="preserve">Bonds </t>
  </si>
  <si>
    <t>Pensn</t>
  </si>
  <si>
    <t xml:space="preserve">Portfolio asset allocation </t>
  </si>
  <si>
    <t>Changed signs on Summary page additions and deductions to be consistent with case signs.</t>
  </si>
  <si>
    <t>Count</t>
  </si>
  <si>
    <t xml:space="preserve">Include in portfolio? </t>
  </si>
  <si>
    <t>Years</t>
  </si>
  <si>
    <t>t</t>
  </si>
  <si>
    <t>Added summaries showing cash flows to bottom of Base and Roth pages.</t>
  </si>
  <si>
    <t>Years To Forecast</t>
  </si>
  <si>
    <t>Total number of years in model has been increased to 40.</t>
  </si>
  <si>
    <t>A user can chose the number of years to forecast, ranging between 1 and 40.</t>
  </si>
  <si>
    <t>Roth Withdrawals auto</t>
  </si>
  <si>
    <t>Taxable beginning</t>
  </si>
  <si>
    <t>Corrected end age for existing Roth and inherited IRA input withdrawals - it was missing.</t>
  </si>
  <si>
    <t>Publication 915 - Social Security Benefits</t>
  </si>
  <si>
    <t xml:space="preserve"> obamaC   0        Affordable Care Act, PTC</t>
  </si>
  <si>
    <t>Roth Conversion</t>
  </si>
  <si>
    <t>Taxes</t>
  </si>
  <si>
    <t>Available for SPIA purchase</t>
  </si>
  <si>
    <t>Your age</t>
  </si>
  <si>
    <t>Spouse age</t>
  </si>
  <si>
    <t>Other income (wages, pensions, etc.)</t>
  </si>
  <si>
    <t>Use percent of state AGI or brackets?</t>
  </si>
  <si>
    <t>% Pension 1 taxable in state 1</t>
  </si>
  <si>
    <t>SS benefits taxable in state 1?</t>
  </si>
  <si>
    <t xml:space="preserve">State 1 effective tax rate </t>
  </si>
  <si>
    <t>User input adjustments</t>
  </si>
  <si>
    <t xml:space="preserve"> User adjustments</t>
  </si>
  <si>
    <t>Capital gains/losses</t>
  </si>
  <si>
    <t>Wages, etc.</t>
  </si>
  <si>
    <t>An error was discovered in the include/exclude (y/n) switches for non-inheritance Lump Sum Events. The Inheritance selection was being used for all 3 items.</t>
  </si>
  <si>
    <t xml:space="preserve"> Extra3D  0        Amount of 3rd Extraordinary Expense</t>
  </si>
  <si>
    <t xml:space="preserve"> Extra4D  0        Amount of 4th Extraordinary Expense</t>
  </si>
  <si>
    <t xml:space="preserve"> Extra5D  0        Amount of 5th Extraordinary Expense</t>
  </si>
  <si>
    <t xml:space="preserve"> Extra6D  0        Amount of 6th Extraordinary Expense</t>
  </si>
  <si>
    <t>ORP final</t>
  </si>
  <si>
    <t>End age 1</t>
  </si>
  <si>
    <t>End age 2</t>
  </si>
  <si>
    <t>Publication 590-A - IRA Contributions</t>
  </si>
  <si>
    <t>Numerous formatting changes to enhance readability.  Removed "traditional" and the "t" from IRA labels and references.</t>
  </si>
  <si>
    <t>final &gt;</t>
  </si>
  <si>
    <t>Earnings from growth, dividends, interest</t>
  </si>
  <si>
    <t>Single Premium Immediate Annuity</t>
  </si>
  <si>
    <t>SPIA Purchase</t>
  </si>
  <si>
    <t>SPI Annuity Income</t>
  </si>
  <si>
    <t>Storage</t>
  </si>
  <si>
    <t>Re: formula &gt;&gt;</t>
  </si>
  <si>
    <t>IRA 1</t>
  </si>
  <si>
    <t>IRA 2</t>
  </si>
  <si>
    <t>&lt; Negative account error check</t>
  </si>
  <si>
    <t>End of Year</t>
  </si>
  <si>
    <t>Fixed taxable Social Security calculation error caused by selecting "married" but not having a "becoming single" factor.</t>
  </si>
  <si>
    <t>IF(E$68&gt;='Tax Tables'!E$75,('Tax Tables'!E$75-'Tax Tables'!E$74)*'Tax Tables'!E$76,0)))</t>
  </si>
  <si>
    <t>Adjusted Gross Income</t>
  </si>
  <si>
    <t>Added a calculation method as an alternative, and automated, way of generating Roth conversions and withdrawals amounts.</t>
  </si>
  <si>
    <t>Available for Automatic Withdrawals</t>
  </si>
  <si>
    <t>Less Auto Withdrawals</t>
  </si>
  <si>
    <t>Other Income 1</t>
  </si>
  <si>
    <t>Roth conv</t>
  </si>
  <si>
    <t>Set ORP at Your starting age</t>
  </si>
  <si>
    <t>Set ORP at Spouse starting age</t>
  </si>
  <si>
    <t>&amp; borders</t>
  </si>
  <si>
    <t>Fixed age selection error in determining IRA RMD in Roth model.  Spouse age was used rather than "self" age as used in the Base Case.</t>
  </si>
  <si>
    <t xml:space="preserve">   Roth IRA 1</t>
  </si>
  <si>
    <t xml:space="preserve">   Inhrtd IRA 2</t>
  </si>
  <si>
    <t xml:space="preserve">   Inhrtd IRA 1</t>
  </si>
  <si>
    <t xml:space="preserve">        IRA 2</t>
  </si>
  <si>
    <t xml:space="preserve">                       IRA 1</t>
  </si>
  <si>
    <t xml:space="preserve"> Roth 2</t>
  </si>
  <si>
    <t>Expenditures and Receipts</t>
  </si>
  <si>
    <t>IF('Setup and Input'!$B$53="m",IF(OR(E$5&lt;'Setup and Input'!$B$54,'Setup and Input'!$B$54=""),IF(AND(E$68&gt;='Tax Tables'!E$44,E$68&lt;='Tax Tables'!E$45),(E$68-'Tax Tables'!E$44)*'Tax Tables'!E$46,IF(E$68&gt;='Tax Tables'!E$45,('Tax Tables'!E$45-'Tax Tables'!E$44)*'Tax Tables'!E$46,0)),IF(AND(E$68&gt;='Tax Tables'!E$79,E$68&lt;='Tax Tables'!E$80),(E$68-'Tax Tables'!E$79)*'Tax Tables'!E$81,IF(E$68&gt;='Tax Tables'!E$80,('Tax Tables'!E$80-'Tax Tables'!E$79)*'Tax Tables'!E$81,0))),IF(AND(E$68&gt;='Tax Tables'!E$79,E$68&lt;='Tax Tables'!E$80),(E$68-'Tax Tables'!E$79)*'Tax Tables'!E$81,IF(E$68&gt;='Tax Tables'!E$80,('Tax Tables'!E$80-'Tax Tables'!E$79)*'Tax Tables'!E$81,0)))</t>
  </si>
  <si>
    <t>35% bracket formula</t>
  </si>
  <si>
    <t>IF('Setup and Input'!$B$53="m",</t>
  </si>
  <si>
    <t xml:space="preserve">1. Ages and Year Factors  </t>
  </si>
  <si>
    <t xml:space="preserve">Spouse </t>
  </si>
  <si>
    <t xml:space="preserve">Include Roth conversions? </t>
  </si>
  <si>
    <t xml:space="preserve">Use alternative SS benefits? </t>
  </si>
  <si>
    <t xml:space="preserve">Exclude income taxes? </t>
  </si>
  <si>
    <t xml:space="preserve">Starting amounts </t>
  </si>
  <si>
    <t xml:space="preserve">Annual escalation/-reduction </t>
  </si>
  <si>
    <t xml:space="preserve">Start age </t>
  </si>
  <si>
    <t>Inflation</t>
  </si>
  <si>
    <t>1. Ages and Year Factors</t>
  </si>
  <si>
    <t>Updated, improved and added descriptions and instructions.</t>
  </si>
  <si>
    <t>Percent</t>
  </si>
  <si>
    <t>IF(AND(E$68&gt;='Tax Tables'!E$39,E$68&lt;='Tax Tables'!E$40),(E$68-'Tax Tables'!E$39)*'Tax Tables'!E$41,</t>
  </si>
  <si>
    <t>Added a second traditional IRA to Portfolio Balances.  Owner is selectable for RMD calculations.  Note: Not available for Roth conversions.</t>
  </si>
  <si>
    <t>New example data to make use of some of the new features.</t>
  </si>
  <si>
    <t xml:space="preserve">    not Fed taxable income multiplied by state rate.</t>
  </si>
  <si>
    <t>Adj</t>
  </si>
  <si>
    <t>c</t>
  </si>
  <si>
    <t>Added Withdrawal Rate calculation to tIRA Withdrawal #1 entry data.  This withdrawal is designed to be used for living expenses.</t>
  </si>
  <si>
    <t>Details of automated IRA withdrawal and other calculations hidden below</t>
  </si>
  <si>
    <t>Thanks for the help</t>
  </si>
  <si>
    <t>Who are the Bogleheads</t>
  </si>
  <si>
    <t>Other Income (wages, pensions, etc)</t>
  </si>
  <si>
    <t>Improvement of the labels, format, and cell comments on the Setup page, hopefully making things a bit easier to understand.</t>
  </si>
  <si>
    <t>IF(AND(E$68&gt;='Tax Tables'!E$44,E$68&lt;='Tax Tables'!E$45),(E$68-'Tax Tables'!E$44)*'Tax Tables'!E$46,</t>
  </si>
  <si>
    <t>IF(Filing Status="m",IF(Current Year&lt;single start year OR single start year=none),</t>
  </si>
  <si>
    <t>Base Case</t>
  </si>
  <si>
    <t>17_Yield</t>
  </si>
  <si>
    <t>18_Taxes</t>
  </si>
  <si>
    <t>19_CapGn</t>
  </si>
  <si>
    <t>20_Spend</t>
  </si>
  <si>
    <t>Setup Income and Tax Summary - Other taxable income, net</t>
  </si>
  <si>
    <t>Non-taxable Social Security benefits</t>
  </si>
  <si>
    <t>Added second state option for those who plan to move to another state which may have different tax rates and SS benefits taxation.</t>
  </si>
  <si>
    <t>Spouse's Age</t>
  </si>
  <si>
    <t>Spouse's SS Benefits</t>
  </si>
  <si>
    <t>Fixed beginning of year balances for IRAs inherited in first model year to zero. Was doubling up the amounts. Thanks to BH jeffaron for discovering this malfunction..</t>
  </si>
  <si>
    <t>Provided at the bottom of Base and Roth cases a detailed example of how earnings are calculated each year using account averages.</t>
  </si>
  <si>
    <t>The Base Case now has a feature to make a TIRA deduction, at any age and for any number of years, to mimic a Roth deduction in the same period.</t>
  </si>
  <si>
    <t>Money Market and other</t>
  </si>
  <si>
    <t>Net changes before earnings prorated to each asset class</t>
  </si>
  <si>
    <t>Difference from primary</t>
  </si>
  <si>
    <t>Taxable earnings - rounded</t>
  </si>
  <si>
    <t>Note this calculation</t>
  </si>
  <si>
    <t>does not include current</t>
  </si>
  <si>
    <t>year tax payments as that</t>
  </si>
  <si>
    <t>would create a circular</t>
  </si>
  <si>
    <t>calculation error.</t>
  </si>
  <si>
    <t>So current year earnings</t>
  </si>
  <si>
    <t>are slightly overstated.</t>
  </si>
  <si>
    <t>12. Smaller of line 1 or 6</t>
  </si>
  <si>
    <t>13. Line 11 amount</t>
  </si>
  <si>
    <t>Annual</t>
  </si>
  <si>
    <t>Alternative Benefits</t>
  </si>
  <si>
    <t>Added the option to transfer the ownership of existing tIRAs as a result of the death of the owner to the surviving spouse with new RMD calculations.</t>
  </si>
  <si>
    <t>Retiree Portfolio Model</t>
  </si>
  <si>
    <t>&lt;&lt; columns hidden</t>
  </si>
  <si>
    <t>*  Cases = BASECASE</t>
  </si>
  <si>
    <t>SPREAD</t>
  </si>
  <si>
    <t>$$TEMP$$</t>
  </si>
  <si>
    <t>Values</t>
  </si>
  <si>
    <t>01_TaxDe</t>
  </si>
  <si>
    <t>02_RothI</t>
  </si>
  <si>
    <t>03_After</t>
  </si>
  <si>
    <t>04_Illiq</t>
  </si>
  <si>
    <t>05_RMD</t>
  </si>
  <si>
    <t>06_TaxDf</t>
  </si>
  <si>
    <t>08_Roth</t>
  </si>
  <si>
    <t>10_2Aftx</t>
  </si>
  <si>
    <t>11_SocSc</t>
  </si>
  <si>
    <t>12_Penso</t>
  </si>
  <si>
    <t xml:space="preserve">Added $50 tax standard deduction and personal exemptions rounding factor for better escalation calculations. </t>
  </si>
  <si>
    <t xml:space="preserve">8. Income Taxes  </t>
  </si>
  <si>
    <t>Added section in Results page for storing details of alternative cases, including all input factors and key results.</t>
  </si>
  <si>
    <t xml:space="preserve">97 7⁄9 </t>
  </si>
  <si>
    <t xml:space="preserve">105 1⁄3 </t>
  </si>
  <si>
    <t>129 1⁄3</t>
  </si>
  <si>
    <t xml:space="preserve">66, 6 mo. </t>
  </si>
  <si>
    <t xml:space="preserve">72 1⁄2 </t>
  </si>
  <si>
    <t xml:space="preserve">77 1⁄2 </t>
  </si>
  <si>
    <t>IRA 1 RMD</t>
  </si>
  <si>
    <t>IRA 2 Withdrawals</t>
  </si>
  <si>
    <t xml:space="preserve">      IF(E$68&gt;='Tax Tables'!E$45,('Tax Tables'!E$45-'Tax Tables'!E$44)*'Tax Tables'!E$46,0))</t>
  </si>
  <si>
    <t>Fixed "Year Single Rate Starts" 0 error that forced use of the single rate if no "End Age" was entered for either person. Thanks to sandramjet for finding this.</t>
  </si>
  <si>
    <t>Fixed error in state AGI calculation that added back the wrong Federal not-taxable earnings amount. This may have slightly understated state taxes.</t>
  </si>
  <si>
    <t>RPM cannot replicate some of ORP's input features or calculating methods so comparing simple models will achieve the best results but an exact duplication is impossible. See cell note.</t>
  </si>
  <si>
    <t>Added the COLA adjustment to SS benefit so that its starting value in a future year is more accurately included in the model's calculations.</t>
  </si>
  <si>
    <t>Fixed the state standard deduction and exemption to use current state data if no future state move date is entered.</t>
  </si>
  <si>
    <t>Exemptions &amp; deductions</t>
  </si>
  <si>
    <t>State</t>
  </si>
  <si>
    <t>SS income taxable in state</t>
  </si>
  <si>
    <t>Pension 1 taxable in state</t>
  </si>
  <si>
    <t>Changed withdrawal rate to net expenditure rate on Results page lines 24 and 37.</t>
  </si>
  <si>
    <t>Created ORP comparison page. Moved existing worksheet, improved analysis and comparison, and provided instructions.</t>
  </si>
  <si>
    <t>Found that adding internet references, like to state tax information, generated a warning when opening the spreadsheet. Perhaps a function of Windows 10?</t>
  </si>
  <si>
    <t>The yearly differences in the Results schedules did not follow the same sign convention as the summary.  Fixed to agree.</t>
  </si>
  <si>
    <t>e</t>
  </si>
  <si>
    <t>IF(Taxable income&gt;=$178650,$178650-$85650*28%,0)))</t>
  </si>
  <si>
    <t>If rows are added above the Roth conv amts - check lookup refs in Income, Tax and Cash Flow table</t>
  </si>
  <si>
    <t>Entered Amounts - Withdrawals</t>
  </si>
  <si>
    <t>DCF</t>
  </si>
  <si>
    <t>Publication 590-B - Tables I and III</t>
  </si>
  <si>
    <t>Additional amount - 50% taxable</t>
  </si>
  <si>
    <t>Base amount - 0% taxable</t>
  </si>
  <si>
    <t>Stock - average</t>
  </si>
  <si>
    <t>Average Rate</t>
  </si>
  <si>
    <t>Marginal Rate</t>
  </si>
  <si>
    <t>This calculation is from</t>
  </si>
  <si>
    <t xml:space="preserve">Documented that annual percent changes in retirement income and IRA withdrawals can either increase or decrease the result. </t>
  </si>
  <si>
    <t>and paste to the area below the line. Copy and paste data columns to match bold headings!</t>
  </si>
  <si>
    <t>titles</t>
  </si>
  <si>
    <t>hidden&gt;</t>
  </si>
  <si>
    <t>Dif</t>
  </si>
  <si>
    <t>Opening balance</t>
  </si>
  <si>
    <t>Spending</t>
  </si>
  <si>
    <t>Beginning Balances</t>
  </si>
  <si>
    <t>Comparison Summary</t>
  </si>
  <si>
    <t xml:space="preserve"> AfterTax 200      After-Tax Investment Balance</t>
  </si>
  <si>
    <t>Target</t>
  </si>
  <si>
    <t>Reasons for differences:</t>
  </si>
  <si>
    <t>Account earnings calculation: RPM applies the rate to the average of the current year balance before earnings but after other income and withdrawals.</t>
  </si>
  <si>
    <t xml:space="preserve">  lower capital gains and dividend rates.</t>
  </si>
  <si>
    <t>RPM cannot always model all the automated changes ORP makes to yearly results as it optimizes portfolio calculations.</t>
  </si>
  <si>
    <t>Completely re-structured the Setup page to place similar factors next to each other, provide switches for comparison items at the top, and moved</t>
  </si>
  <si>
    <t>4. Click the Copy button to save the current RPM entries and results and go to the "Comparision Details"  section to see how the results compare.</t>
  </si>
  <si>
    <t>copy results</t>
  </si>
  <si>
    <t>Roth conversions withdrawals</t>
  </si>
  <si>
    <t>Federal and state income taxes</t>
  </si>
  <si>
    <t>Taxable account changes excl automatic</t>
  </si>
  <si>
    <t>SS Benefits - You - self</t>
  </si>
  <si>
    <t>SS Benefits - You - self alt</t>
  </si>
  <si>
    <t>SS Benefits - Spouse - self</t>
  </si>
  <si>
    <t>SS Benefits - Spouse - self alt</t>
  </si>
  <si>
    <t xml:space="preserve">Portfolio account to use </t>
  </si>
  <si>
    <t>Source</t>
  </si>
  <si>
    <t>Percent of SS Taxable</t>
  </si>
  <si>
    <t>State Income Tax</t>
  </si>
  <si>
    <t>Difference</t>
  </si>
  <si>
    <t>Roth Convr</t>
  </si>
  <si>
    <t>Base</t>
  </si>
  <si>
    <t>Start Balance</t>
  </si>
  <si>
    <t>Income</t>
  </si>
  <si>
    <t>SS Income</t>
  </si>
  <si>
    <t>Age</t>
  </si>
  <si>
    <t>New</t>
  </si>
  <si>
    <t>Married, Filing Jointly</t>
  </si>
  <si>
    <t>Single</t>
  </si>
  <si>
    <t>Earnings</t>
  </si>
  <si>
    <t>9: Amount over $32,000 or $25,000</t>
  </si>
  <si>
    <t>More formatting enhancements and cell note editing.</t>
  </si>
  <si>
    <t>Less SPIA exclusion</t>
  </si>
  <si>
    <t>Account Balance Monitor</t>
  </si>
  <si>
    <t>"Form 1040 - Line 20".</t>
  </si>
  <si>
    <t>SS Benefits Worksheet</t>
  </si>
  <si>
    <t>Some special tax items are</t>
  </si>
  <si>
    <t>Spouse SS benefits</t>
  </si>
  <si>
    <t>Your start age</t>
  </si>
  <si>
    <t>Spouse start age</t>
  </si>
  <si>
    <t>Pensions, etc 1</t>
  </si>
  <si>
    <t>Pensions, etc 2</t>
  </si>
  <si>
    <t>Start age 1</t>
  </si>
  <si>
    <t>Start age 2</t>
  </si>
  <si>
    <t>Other income 1</t>
  </si>
  <si>
    <t>Other income 2</t>
  </si>
  <si>
    <t>Bond earnings rate</t>
  </si>
  <si>
    <t>Stock earnings rate</t>
  </si>
  <si>
    <t>Living expenses inflation rate</t>
  </si>
  <si>
    <t>Other income</t>
  </si>
  <si>
    <t>Total Income</t>
  </si>
  <si>
    <t>IRA distributions</t>
  </si>
  <si>
    <t>3. Smaller of line 15 or 16, Sch D</t>
  </si>
  <si>
    <t>13_Earn</t>
  </si>
  <si>
    <t>LastYear</t>
  </si>
  <si>
    <t>`Yield</t>
  </si>
  <si>
    <t>SocSec</t>
  </si>
  <si>
    <t>Retiree</t>
  </si>
  <si>
    <t>Withdrawals incl SPIA purchase</t>
  </si>
  <si>
    <t>Total QCD 2</t>
  </si>
  <si>
    <t>QCD 1 donations</t>
  </si>
  <si>
    <t>Total available</t>
  </si>
  <si>
    <t>Qualified Charitable Distributions</t>
  </si>
  <si>
    <t>QCD 2 donations</t>
  </si>
  <si>
    <t>Negative balance count</t>
  </si>
  <si>
    <t>Qualified Charitable Distribution yearly funding check</t>
  </si>
  <si>
    <t xml:space="preserve">Yearly QCD </t>
  </si>
  <si>
    <t xml:space="preserve">Added Qualified Charitable Distributions from IRA donation option.   </t>
  </si>
  <si>
    <t>Withdrawal #2</t>
  </si>
  <si>
    <t>Base case difference #2</t>
  </si>
  <si>
    <t>Base case difference #1</t>
  </si>
  <si>
    <t>Withdrawal</t>
  </si>
  <si>
    <t>Base case difference</t>
  </si>
  <si>
    <t>Use future tax rate changes?</t>
  </si>
  <si>
    <t>Exclude income taxes?</t>
  </si>
  <si>
    <t>Base Portfolio Calculations</t>
  </si>
  <si>
    <t>Summary of Results</t>
  </si>
  <si>
    <t>Results and Analysis</t>
  </si>
  <si>
    <t>Federal &amp; State Tax and Other</t>
  </si>
  <si>
    <t>2018 rates and brackets prior to change:</t>
  </si>
  <si>
    <t>2018 rev</t>
  </si>
  <si>
    <t>"320000</t>
  </si>
  <si>
    <t>"266700</t>
  </si>
  <si>
    <t>X</t>
  </si>
  <si>
    <t>Annual Avr</t>
  </si>
  <si>
    <t>Age 65 additional standard deduction - married</t>
  </si>
  <si>
    <t>Age 65 additional standard deduction - single</t>
  </si>
  <si>
    <t>new rates</t>
  </si>
  <si>
    <t>Std deductions and exemptions rounding factor</t>
  </si>
  <si>
    <t xml:space="preserve"> Deductions &amp; exemptions</t>
  </si>
  <si>
    <t>Summary page</t>
  </si>
  <si>
    <t>Results page</t>
  </si>
  <si>
    <t>Deductions &amp; exemptions</t>
  </si>
  <si>
    <t>State income tax</t>
  </si>
  <si>
    <t>Federal marginal rate</t>
  </si>
  <si>
    <t>Available for SPIA purchase - default portfolio</t>
  </si>
  <si>
    <t>The Tax Cuts and Jobs Act of 2017 tax rates, brackets, exemptions and std deductions changes included.</t>
  </si>
  <si>
    <t>Fixed QCD expenditures to correctly show impact on taxable account balance. If using, this fix impacted taxable acct earnings and increased taxes.</t>
  </si>
  <si>
    <t>Taxes incurred by bracket</t>
  </si>
  <si>
    <t>Memo:</t>
  </si>
  <si>
    <t>original</t>
  </si>
  <si>
    <t>Personal Exemp</t>
  </si>
  <si>
    <t>Error</t>
  </si>
  <si>
    <t>Checks</t>
  </si>
  <si>
    <t>End 10</t>
  </si>
  <si>
    <t>-1-</t>
  </si>
  <si>
    <t>-2-</t>
  </si>
  <si>
    <t>-3-</t>
  </si>
  <si>
    <t>-4-</t>
  </si>
  <si>
    <t>-5-</t>
  </si>
  <si>
    <t>-6-</t>
  </si>
  <si>
    <t>-7-</t>
  </si>
  <si>
    <t>-8-</t>
  </si>
  <si>
    <t>-9-</t>
  </si>
  <si>
    <t>-10-</t>
  </si>
  <si>
    <t>Year RMD</t>
  </si>
  <si>
    <t>First</t>
  </si>
  <si>
    <t>by class</t>
  </si>
  <si>
    <t>Spouse Age</t>
  </si>
  <si>
    <t>Test against prior yr with taxes off</t>
  </si>
  <si>
    <t>Hide rows and columns. Protect pages. Set cursor to A1</t>
  </si>
  <si>
    <t>Review file properties</t>
  </si>
  <si>
    <t xml:space="preserve">Changed from Excel 2003 file type xls to 2007+ type xlms.
</t>
  </si>
  <si>
    <t>Discount rate used to determine present value of future cash flows, reduced to a real rate (after inflation) of 3%.to provide a better result.</t>
  </si>
  <si>
    <t>Penson</t>
  </si>
  <si>
    <t>updates</t>
  </si>
  <si>
    <t>Jan 2: fixed Base porfolio marginal tax rate display; SS calculation default value to 0 (was 1); added Base portfolio to Setup graph</t>
  </si>
  <si>
    <t>Jan 8 - fixed IRA2 withdrawal years error that was using the Base case years</t>
  </si>
  <si>
    <t>Jan 11 - fixed cash flow chart that was missing Special Events</t>
  </si>
  <si>
    <t>Jan 13 - fixed Clear Setup to work in LibreOffice</t>
  </si>
  <si>
    <t>Jan 18 - corrected comment on SS tax calcultion to clarify that gross and net benefits are the same in this model and Medicare not a factor</t>
  </si>
  <si>
    <t>1: Total net Social Security benefits</t>
  </si>
  <si>
    <t>Jan 21 - minor formatting changes from BH post</t>
  </si>
  <si>
    <t xml:space="preserve">5. Expenses </t>
  </si>
  <si>
    <t>IRA 1 Contributions</t>
  </si>
  <si>
    <t xml:space="preserve">IRA contributions </t>
  </si>
  <si>
    <t xml:space="preserve">6. IRA Contributions &amp; Withdrawals </t>
  </si>
  <si>
    <t>IRA 2 Contributions</t>
  </si>
  <si>
    <t>Account</t>
  </si>
  <si>
    <t xml:space="preserve">Base portfolio: default SS benefits and no Roth conversions </t>
  </si>
  <si>
    <t>Base case (SS default, no Roth conv)</t>
  </si>
  <si>
    <t>year is in forecast = 1</t>
  </si>
  <si>
    <t>Read Instructions Here</t>
  </si>
  <si>
    <t>Alert! If you have a spouse more than</t>
  </si>
  <si>
    <t>10 years younger than you then the</t>
  </si>
  <si>
    <t>example data in Override Table II must be</t>
  </si>
  <si>
    <t>Contributions</t>
  </si>
  <si>
    <t>Taxable account net change (income, deposits, withdrls, etc)</t>
  </si>
  <si>
    <t>Contrb</t>
  </si>
  <si>
    <t>Withdrawals and Contributions</t>
  </si>
  <si>
    <t>IRA 1 contributions</t>
  </si>
  <si>
    <t>IRA 2 contributions</t>
  </si>
  <si>
    <t>IRA Contributions</t>
  </si>
  <si>
    <t>Other informational labels, instructions and comments as suggested by users.</t>
  </si>
  <si>
    <t>Contribution</t>
  </si>
  <si>
    <t>6. IRA Contributions &amp; Withdrawals</t>
  </si>
  <si>
    <t xml:space="preserve">     Post Other Results Below</t>
  </si>
  <si>
    <t>Choice</t>
  </si>
  <si>
    <t>SPIA Purchase Price</t>
  </si>
  <si>
    <t>Entered totals:</t>
  </si>
  <si>
    <t>Adjusted totals:</t>
  </si>
  <si>
    <t>macros no longer used v18.0</t>
  </si>
  <si>
    <t>Feb 20 - fixed beta tax calculator exemptions and std deductions calculations</t>
  </si>
  <si>
    <t>Excluded foreign income or other</t>
  </si>
  <si>
    <t>Property taxes</t>
  </si>
  <si>
    <t>Home insurance</t>
  </si>
  <si>
    <t>Home maintenance</t>
  </si>
  <si>
    <t>Utilities</t>
  </si>
  <si>
    <t>Clothing</t>
  </si>
  <si>
    <t>Vacation</t>
  </si>
  <si>
    <t>Groceries</t>
  </si>
  <si>
    <t>Base portfolio - taxes incurred by bracket</t>
  </si>
  <si>
    <t>Base Portfolio</t>
  </si>
  <si>
    <t>Tax return filing status (2-joint, 1=single)</t>
  </si>
  <si>
    <t>Personal exemptions and Filing method</t>
  </si>
  <si>
    <t>Personal exemptions and filing status</t>
  </si>
  <si>
    <t>Tier 1</t>
  </si>
  <si>
    <t>Tier 2</t>
  </si>
  <si>
    <t>Tier 3</t>
  </si>
  <si>
    <t>Base level</t>
  </si>
  <si>
    <t>Tier 2 surcharge</t>
  </si>
  <si>
    <t>Tier 3 surcharge</t>
  </si>
  <si>
    <t>Tier 4 surcharge</t>
  </si>
  <si>
    <t>Medicare Part B and Part D premiums</t>
  </si>
  <si>
    <t xml:space="preserve">Medicare Part B monthly premium </t>
  </si>
  <si>
    <t xml:space="preserve">Part D monthly premium </t>
  </si>
  <si>
    <t>Medicare Income-Related Monthly Adjustment Amount</t>
  </si>
  <si>
    <t>Base level - joint</t>
  </si>
  <si>
    <t>Tier 1 - joint</t>
  </si>
  <si>
    <t>Tier 2 - joint</t>
  </si>
  <si>
    <t>Tier 3 - joint</t>
  </si>
  <si>
    <t>MAGI two years prior to current year</t>
  </si>
  <si>
    <t>Medicare IRMAA forecast hidden below</t>
  </si>
  <si>
    <t>Medicare IRMAA forecast hidden above</t>
  </si>
  <si>
    <t>Fuel</t>
  </si>
  <si>
    <t>Vehicles</t>
  </si>
  <si>
    <t>Medical</t>
  </si>
  <si>
    <t>Health insurance</t>
  </si>
  <si>
    <t>Gifts &amp; donations</t>
  </si>
  <si>
    <t>User input expenses</t>
  </si>
  <si>
    <t>Total living expenses</t>
  </si>
  <si>
    <t>Base results (excludes Roth conv and/or SS alternative)</t>
  </si>
  <si>
    <t xml:space="preserve"> Years</t>
  </si>
  <si>
    <t>3-5: AGI before taxable SS benefits but incl tax-exempt interest</t>
  </si>
  <si>
    <t xml:space="preserve">user adjustments </t>
  </si>
  <si>
    <t>user adjustments</t>
  </si>
  <si>
    <r>
      <t xml:space="preserve">   Taxable - </t>
    </r>
    <r>
      <rPr>
        <b/>
        <sz val="11"/>
        <rFont val="Arial"/>
        <family val="2"/>
      </rPr>
      <t xml:space="preserve">t  </t>
    </r>
  </si>
  <si>
    <r>
      <t xml:space="preserve">    IRA 1 - </t>
    </r>
    <r>
      <rPr>
        <b/>
        <sz val="11"/>
        <rFont val="Arial"/>
        <family val="2"/>
      </rPr>
      <t>i</t>
    </r>
  </si>
  <si>
    <r>
      <t xml:space="preserve">    Roth 1 - </t>
    </r>
    <r>
      <rPr>
        <b/>
        <sz val="11"/>
        <rFont val="Arial"/>
        <family val="2"/>
      </rPr>
      <t>r</t>
    </r>
  </si>
  <si>
    <t>Medicare Part B Premium</t>
  </si>
  <si>
    <t>Medicare Part D Premium</t>
  </si>
  <si>
    <t>Qualified Dividends and Capital Gain Tax Worksheet - Line 44</t>
  </si>
  <si>
    <t>6. Line 4 minus line 5, zero or less: 0</t>
  </si>
  <si>
    <t>7. Line 1 minus line 6, zero or less: 0</t>
  </si>
  <si>
    <t>11. Line 9 minus line 10. Taxed at 0%</t>
  </si>
  <si>
    <t>14. Line 12 minus line 13</t>
  </si>
  <si>
    <t>18. Line 16 minus line 17, if less than zero enter 0</t>
  </si>
  <si>
    <t>22. Line 12 less line 21</t>
  </si>
  <si>
    <t>Tier 1 surcharge - Part B and Part D - curr yr monthly</t>
  </si>
  <si>
    <t>Tier 2 " "</t>
  </si>
  <si>
    <t>Tier 3 " "</t>
  </si>
  <si>
    <t>Tier 4 " "</t>
  </si>
  <si>
    <t>Tier 1 surcharge applied due to 2 yr prev. income level</t>
  </si>
  <si>
    <t>Total Medicare base premiums - indivdual or couple</t>
  </si>
  <si>
    <t>Medicare IRMAA yearly estimate</t>
  </si>
  <si>
    <r>
      <t xml:space="preserve">Total surcharges </t>
    </r>
    <r>
      <rPr>
        <b/>
        <sz val="12"/>
        <rFont val="Arial"/>
        <family val="2"/>
      </rPr>
      <t>per month</t>
    </r>
  </si>
  <si>
    <r>
      <t xml:space="preserve">Total Medicare premium - base + surcharge </t>
    </r>
    <r>
      <rPr>
        <b/>
        <sz val="12"/>
        <rFont val="Arial"/>
        <family val="2"/>
      </rPr>
      <t>annual</t>
    </r>
  </si>
  <si>
    <t>Adjusted Gross Income - Base case</t>
  </si>
  <si>
    <t>Total personal exemption deduction</t>
  </si>
  <si>
    <t>Bracket 1</t>
  </si>
  <si>
    <t>Bracket 3</t>
  </si>
  <si>
    <t>Bracket 4</t>
  </si>
  <si>
    <t>Bracket 5</t>
  </si>
  <si>
    <t>Bracket 6</t>
  </si>
  <si>
    <t>Bracket 7</t>
  </si>
  <si>
    <t>Bracket 2</t>
  </si>
  <si>
    <t>Prior Year</t>
  </si>
  <si>
    <t>Details</t>
  </si>
  <si>
    <t>Filing status</t>
  </si>
  <si>
    <t>Added option to manually enter yearly living expenses on the Details page. Use if adjustments are needed to programmed entries.</t>
  </si>
  <si>
    <t>2. Qualified dividends - line 9b</t>
  </si>
  <si>
    <t>Schedule D - key lines</t>
  </si>
  <si>
    <t>15. Net long term capital gain/(loss)</t>
  </si>
  <si>
    <t>7. Net short term capital gain/(loss)</t>
  </si>
  <si>
    <t>16. Add line 7 and 15</t>
  </si>
  <si>
    <t xml:space="preserve">       or capital gain or (loss) line 13</t>
  </si>
  <si>
    <t>Pensions and annuities, taxable</t>
  </si>
  <si>
    <t>IRA distributions, taxable</t>
  </si>
  <si>
    <t>SS benefits, taxable</t>
  </si>
  <si>
    <t>10-12</t>
  </si>
  <si>
    <t>8. To print out a section that includes graphs etc. just click in the upper left corner of the area and holding down the mouse button move down to the lower right corner. Once that area is selected (shaded) find the program's menu for setting the Print Area and select it. In Excel 2013 that's in Page Layout - Print Area - Set Print Area. Then select the Print button to print it. You may see a view of what will be printed which will be helpful.</t>
  </si>
  <si>
    <t>Restaurants</t>
  </si>
  <si>
    <t>Travel</t>
  </si>
  <si>
    <t xml:space="preserve">Year </t>
  </si>
  <si>
    <t xml:space="preserve">Reduction of future benefits - percent </t>
  </si>
  <si>
    <t xml:space="preserve">plus tax </t>
  </si>
  <si>
    <t>Update Copy_Results 1-4 macros if setup factors added/removed changing above start/end line numbers</t>
  </si>
  <si>
    <t>Pensions, taxable</t>
  </si>
  <si>
    <t>SS Benefits, taxable</t>
  </si>
  <si>
    <t>Adjustments to Income</t>
  </si>
  <si>
    <t>Itemized or Standard Deduction</t>
  </si>
  <si>
    <t>8. Enter single or married 0% dividend bracket</t>
  </si>
  <si>
    <t>15. Enter single or married 15% dividend bracket</t>
  </si>
  <si>
    <t>AMT and other</t>
  </si>
  <si>
    <t>45-46</t>
  </si>
  <si>
    <t xml:space="preserve">IRMAA surcharges </t>
  </si>
  <si>
    <t xml:space="preserve">Total surcharges </t>
  </si>
  <si>
    <t xml:space="preserve">Previous 2 years MAGI </t>
  </si>
  <si>
    <t>Mortgage, rent</t>
  </si>
  <si>
    <t>calculator: yearly expenses</t>
  </si>
  <si>
    <t>Tier inflation adjustments begin in 2020:</t>
  </si>
  <si>
    <t>Number enrolled in MediCare, i.e. 65 and older</t>
  </si>
  <si>
    <t>Standard or itemized deductions</t>
  </si>
  <si>
    <t>Tax refunds, alimony, bus. inc</t>
  </si>
  <si>
    <t>Tax refunds, alimony, business income, etc.</t>
  </si>
  <si>
    <t>0% tax rate if they fall below $77,200 of taxable income if married filing jointly, $51,700 if head of household, or $38,600 if filing as single or married filing separately.</t>
  </si>
  <si>
    <t>15% tax rate if they fall above the 0% threshold but below $479,000 if married filing jointly, $452,400 if head of household, $425,800 if single, or $239,500 if married filing separately.</t>
  </si>
  <si>
    <t>20% tax rate if they fall above the 15% threshold.</t>
  </si>
  <si>
    <t>2018, long-term capital gains and qualified dividends</t>
  </si>
  <si>
    <t>Bracket hidden below for future use</t>
  </si>
  <si>
    <t>Bracket hidden above for future use</t>
  </si>
  <si>
    <t>Simple Tax Calculator</t>
  </si>
  <si>
    <t>AGI user adjustment</t>
  </si>
  <si>
    <t>3. It does not include tax provisions applicable to high income taxpayers, such as the Medicare surtax and higher premium (an estimate of this is provided but not included in the calculations), the phase-out of deductions and personal exemptions, the lower qualified dividend and capital gain rates, tax gain harvesting, AMT, or various tax credits.</t>
  </si>
  <si>
    <t>Memo: recent tax factors</t>
  </si>
  <si>
    <t xml:space="preserve">State AGI </t>
  </si>
  <si>
    <t>27. Smaller of 25 or 26: Tax on all taxbl inc - to line 44</t>
  </si>
  <si>
    <t>Federal tax on all taxable income</t>
  </si>
  <si>
    <t>Total credits</t>
  </si>
  <si>
    <t>AMT and other taxes</t>
  </si>
  <si>
    <t>Other taxes</t>
  </si>
  <si>
    <t>57-62</t>
  </si>
  <si>
    <t>Subtotal</t>
  </si>
  <si>
    <t>Tax Calc</t>
  </si>
  <si>
    <t>Year List</t>
  </si>
  <si>
    <t>Bracket 1                                             Over</t>
  </si>
  <si>
    <t>Bracket 2                                             Over</t>
  </si>
  <si>
    <t>Bracket 3                                             Over</t>
  </si>
  <si>
    <t>Bracket 4                                             Over</t>
  </si>
  <si>
    <t>Bracket 5                                             Over</t>
  </si>
  <si>
    <t>Bracket 6                                             Over</t>
  </si>
  <si>
    <t>Bracket 7                                             Over</t>
  </si>
  <si>
    <t>LT Cap Gains &amp; Qual'd Div</t>
  </si>
  <si>
    <t>Federal Tax if Qual Div or Sch D</t>
  </si>
  <si>
    <t>Tax Calc Form 1040</t>
  </si>
  <si>
    <t>Tax Calc Qual Div Worksheet</t>
  </si>
  <si>
    <t>Taxble Inc</t>
  </si>
  <si>
    <t>Tax year</t>
  </si>
  <si>
    <t>Federal Tax using 1040</t>
  </si>
  <si>
    <t xml:space="preserve"> if no qual div/cap gains</t>
  </si>
  <si>
    <t>1040A</t>
  </si>
  <si>
    <t>11b</t>
  </si>
  <si>
    <t>12b</t>
  </si>
  <si>
    <t>14a</t>
  </si>
  <si>
    <t>14b</t>
  </si>
  <si>
    <t>Long-term capital gains/(losses)</t>
  </si>
  <si>
    <t>Enter notes here</t>
  </si>
  <si>
    <t>Added option to reduce Social Security benefits in a future year as being forecast by the SS Admin (e.g., 23% reduction in 2035).</t>
  </si>
  <si>
    <t>Added option to manually enter yearly amounts in the state AGI calculation.  Use if adjustments are needed to programmed entries.</t>
  </si>
  <si>
    <t>Capital Gains Rate</t>
  </si>
  <si>
    <t>Taxable account tax factor</t>
  </si>
  <si>
    <t xml:space="preserve">More accurate factor using Tax Calculator </t>
  </si>
  <si>
    <t>Federal Poverty Level</t>
  </si>
  <si>
    <t>100% minimum</t>
  </si>
  <si>
    <t>400% maximum</t>
  </si>
  <si>
    <t>ACA Premium Tax Credit</t>
  </si>
  <si>
    <t>Years eligible</t>
  </si>
  <si>
    <t>not calculated</t>
  </si>
  <si>
    <t xml:space="preserve">ACA premium subsidies </t>
  </si>
  <si>
    <t>Added editable areas to document yearly living expenses and tax calculator results.</t>
  </si>
  <si>
    <t>Improved estimates of Income Related Medicare Adjustments and ACA Premium Tax Credits.</t>
  </si>
  <si>
    <t xml:space="preserve">   Many thanks to Boglehead rennale for his valuable suggestions and help in this effort.</t>
  </si>
  <si>
    <t>Updated and improved bonus Federal income tax estimator, including calculating either 2017 or 2018 taxes.</t>
  </si>
  <si>
    <t xml:space="preserve">       Other Withdrawals</t>
  </si>
  <si>
    <t>Required Min Distribution</t>
  </si>
  <si>
    <t xml:space="preserve">   Total Funds Available</t>
  </si>
  <si>
    <t>Added option to make yearly IRA contributions in IRAs 1 and 2.</t>
  </si>
  <si>
    <t>Formatting change on Summary page to show expenses, etc. as positive numbers (without brackets).</t>
  </si>
  <si>
    <t xml:space="preserve">Reduction of future benefits </t>
  </si>
  <si>
    <t xml:space="preserve">current year Federal tax factors </t>
  </si>
  <si>
    <t>Added and adjusted page breaks for better printing results</t>
  </si>
  <si>
    <t xml:space="preserve">Non-taxable </t>
  </si>
  <si>
    <t xml:space="preserve">Escalate deductions, exemptions and brackets </t>
  </si>
  <si>
    <t>Fixed error in calculation of state income taxes using the bracket method. At certain state taxable income and bracket settings</t>
  </si>
  <si>
    <t xml:space="preserve">   the second bracket was overstating state taxes (in example case by 22%), thus understating portfolio balances (in example case, by 1.2%).</t>
  </si>
  <si>
    <t>With Convr</t>
  </si>
  <si>
    <t xml:space="preserve">Roth Convr </t>
  </si>
  <si>
    <t xml:space="preserve">allocation in a future age </t>
  </si>
  <si>
    <t>new in 19.0</t>
  </si>
  <si>
    <t>revised in 19.0</t>
  </si>
  <si>
    <t>Added ability to set return rates for Roth 2 and Roth Conversion accounts, allowing fine-tuning of returns for those accounts.</t>
  </si>
  <si>
    <t>Roth Convr IRA</t>
  </si>
  <si>
    <t>Reversed this chg Oct 23: Fixed error in calculating Fed AGI for determining taxable SS income and state taxable income. Adj to Taxable Account for LTCG/QD had been included, now added back.</t>
  </si>
  <si>
    <t>Adjustment for LTCG/QD</t>
  </si>
  <si>
    <t xml:space="preserve">Taxable account yearly growth </t>
  </si>
  <si>
    <t xml:space="preserve">Net yearly growth </t>
  </si>
  <si>
    <t xml:space="preserve"> Less earnings adjustment</t>
  </si>
  <si>
    <t xml:space="preserve"> QD/LTCP Adjustment</t>
  </si>
  <si>
    <t>QD/LTCG Adjustment</t>
  </si>
  <si>
    <t>Taxable Income Adjusted</t>
  </si>
  <si>
    <t>Added QD/LTCG adjustment to Fed taxable income to approximate the impact of the lower tax rates of these income items.  Thanks to BH mkedst for this suggestion and help.</t>
  </si>
  <si>
    <t>blue/red</t>
  </si>
  <si>
    <t>Net growth distributed as dividends, CG, etc.</t>
  </si>
  <si>
    <t>Comment Colors</t>
  </si>
  <si>
    <t>2018 law change</t>
  </si>
  <si>
    <t xml:space="preserve">Distributed qualified dividends and LTCG </t>
  </si>
  <si>
    <t>lookup-tax</t>
  </si>
  <si>
    <t>lookup-det</t>
  </si>
  <si>
    <t>Default - Full</t>
  </si>
  <si>
    <t>lookup-set</t>
  </si>
  <si>
    <t>detail line # minus 3</t>
  </si>
  <si>
    <t>Update change list; if rows added to Setup/Details fix Setup/Summary/Storage macros, and clear no-name Roth Convr yearly entries and copy macros in storage section</t>
  </si>
  <si>
    <t>incl above</t>
  </si>
  <si>
    <t>68-69</t>
  </si>
  <si>
    <t xml:space="preserve"> CurrAge  62       Current Age of Retiree</t>
  </si>
  <si>
    <t xml:space="preserve"> aftxCost -0.999   Cost Basis of Initial After-tax Balance</t>
  </si>
  <si>
    <t xml:space="preserve"> Illiqudh 400      Illiquid Asset Value (home).</t>
  </si>
  <si>
    <t xml:space="preserve"> TaxBassh 300      Illiquid Asset (Home) Tax Basis.</t>
  </si>
  <si>
    <t xml:space="preserve"> SellYear 80       Year to sell illiquid asset.</t>
  </si>
  <si>
    <t xml:space="preserve"> SellYerh 80       Year to sell illiquid asset (home).</t>
  </si>
  <si>
    <t xml:space="preserve"> SocSec   30       Social Security. 0 for Null.</t>
  </si>
  <si>
    <t xml:space="preserve"> SocSec2  20       Spouses Soc Sec. 0 for Null, -1 for GPO.</t>
  </si>
  <si>
    <t xml:space="preserve"> ssFullFn 0        1 if Soc Sec fully funded after 2035</t>
  </si>
  <si>
    <t xml:space="preserve"> PensionI 10       Pension, Adjusted For Inflation.</t>
  </si>
  <si>
    <t xml:space="preserve"> LumpSumR 0        Retirees lump sum distribution</t>
  </si>
  <si>
    <t xml:space="preserve"> LumpSumS 0        Spouse lump sum distribution</t>
  </si>
  <si>
    <t xml:space="preserve"> PensionA 62       Age to start Pension.</t>
  </si>
  <si>
    <t xml:space="preserve"> PensinA2 61       Spouses Age to start Pension.</t>
  </si>
  <si>
    <t xml:space="preserve"> annufr   0        Annuity Premium Transfered from IRA.</t>
  </si>
  <si>
    <t xml:space="preserve"> annufs   0        Spouse Premium Transfered from IRA.</t>
  </si>
  <si>
    <t xml:space="preserve"> ACAlid   0        MACGI upper limit for ACA, 0-Null, -1-AC</t>
  </si>
  <si>
    <t xml:space="preserve"> StktxDfR 60       %  in Tax-deferred stocks at retirement</t>
  </si>
  <si>
    <t xml:space="preserve"> StkTxblR 60       %  in Taxable stocks at retirement</t>
  </si>
  <si>
    <t xml:space="preserve"> StktxDfE 0        %  in Tax-deferred stocks at plan end</t>
  </si>
  <si>
    <t xml:space="preserve"> StkRothE 0        %  in Roth stocks at plan end</t>
  </si>
  <si>
    <t xml:space="preserve"> StkTxblE 0        %  in Taxable stocks at plan end</t>
  </si>
  <si>
    <t xml:space="preserve"> gainsira 7        %  IRA return on stocks</t>
  </si>
  <si>
    <t xml:space="preserve"> gainsrth 7        %  Roth IRA return on stocks</t>
  </si>
  <si>
    <t xml:space="preserve"> gainsaft 7        %  Rate of return on taxable stocks</t>
  </si>
  <si>
    <t xml:space="preserve"> eqdivira 3.26     %  dividend yield From tax-deferred stoc</t>
  </si>
  <si>
    <t xml:space="preserve"> eqdivrth 3.26     %  dividend yield From Roth IRA stocks</t>
  </si>
  <si>
    <t xml:space="preserve"> eqdivaft 3.26     %  dividend yield From taxable stocks</t>
  </si>
  <si>
    <t xml:space="preserve"> yieldira 3.5      %  IRA return on fixed income investment</t>
  </si>
  <si>
    <t xml:space="preserve"> yieldrth 3.5      %  Roth IRA return on fixed income inv</t>
  </si>
  <si>
    <t xml:space="preserve"> yieldaft 3.5      %  taxable return on fixed income inv.</t>
  </si>
  <si>
    <t xml:space="preserve"> InflatnS 4        Spending inflation rate</t>
  </si>
  <si>
    <t xml:space="preserve"> FedTxLvl 24       Current Marginal Income Tax Rate</t>
  </si>
  <si>
    <t xml:space="preserve"> VWSfee   0        Management fee as a % under management.</t>
  </si>
  <si>
    <t>*"c:\InetPub\wwwroot\i-orp\Models\M1811120dFMnd0q74lY\retire" "BASECASE ÿÿÿ_x0007_" "DISTRIBA" "Values"</t>
  </si>
  <si>
    <t>*"c:\InetPub\wwwroot\i-orp\Models\M1811120dFMnd0q74lY\retire" "BASECASE ÿÿÿ_x0007_" "INCOMET" "Person" "Values"</t>
  </si>
  <si>
    <t>Person</t>
  </si>
  <si>
    <t>Pension</t>
  </si>
  <si>
    <r>
      <rPr>
        <b/>
        <sz val="12"/>
        <rFont val="Arial"/>
        <family val="2"/>
      </rPr>
      <t>Note: Your ORP model may not produce all of the columns shown below.  If any are missing you</t>
    </r>
    <r>
      <rPr>
        <b/>
        <sz val="12"/>
        <color indexed="10"/>
        <rFont val="Arial"/>
        <family val="2"/>
      </rPr>
      <t xml:space="preserve"> MUST COPY (not move) </t>
    </r>
    <r>
      <rPr>
        <b/>
        <sz val="12"/>
        <rFont val="Arial"/>
        <family val="2"/>
      </rPr>
      <t>the data to the match the column headings shown below.</t>
    </r>
  </si>
  <si>
    <t>lookup-det 5</t>
  </si>
  <si>
    <t>lookup-det 13</t>
  </si>
  <si>
    <t>Roth 1 withdrawals 1</t>
  </si>
  <si>
    <t>Roth 1 withdrawals 2</t>
  </si>
  <si>
    <t>Roth 1 withdrawals</t>
  </si>
  <si>
    <t>Roth 1 &amp; 2 withdrawals</t>
  </si>
  <si>
    <t>Less tax-exempt earnings</t>
  </si>
  <si>
    <t>Taxable account yearly growth</t>
  </si>
  <si>
    <t>Net growth distributed as dividends, etc</t>
  </si>
  <si>
    <t>Distributed qualified dividends and LTCG</t>
  </si>
  <si>
    <t>Withdrawal 1</t>
  </si>
  <si>
    <t>Withdrawal 2</t>
  </si>
  <si>
    <t>blue-green</t>
  </si>
  <si>
    <t xml:space="preserve">   user adjustments </t>
  </si>
  <si>
    <t>Bogleheads Wiki: Single Premium Immediate Fixed Annuity</t>
  </si>
  <si>
    <t>Immediate Annuities Online Quote</t>
  </si>
  <si>
    <t>Inflation Rates - InflationData</t>
  </si>
  <si>
    <t>Medicare Income-Related Monthly Adjustment Amount (IRMAA) - Nerd's Eye View</t>
  </si>
  <si>
    <t>Historic CPI-U Rates - InflationData</t>
  </si>
  <si>
    <t>Required Minimum Distributions FAQ - IRS</t>
  </si>
  <si>
    <t>Individual Tax Planning Under The Tax Cuts And Jobs Act Of 2017 - Nerd's Eye View</t>
  </si>
  <si>
    <t>State Income Taxes on SS benefits - Tax Foundation</t>
  </si>
  <si>
    <t>State Income Tax Rates and Brackets for 2018 - Tax Foundation</t>
  </si>
  <si>
    <t>Federal Individual Taxes - Tax Foundation</t>
  </si>
  <si>
    <t xml:space="preserve">Publication 590-B - Distributions from Individual Retirement Arrangements </t>
  </si>
  <si>
    <t>Publication 590-B - Tables I and III - Life Expectancies</t>
  </si>
  <si>
    <t>Actuarial Life Table - SS Administration</t>
  </si>
  <si>
    <t>Social Security</t>
  </si>
  <si>
    <t>Tax Treatment Of Roth IRA Distributions - Investopedia</t>
  </si>
  <si>
    <t>Roth IRA and Roth Conversion Articles - Fairmark</t>
  </si>
  <si>
    <t>Understanding The Two 5-Year Rules For Roth IRA Conversions - Nerd's Eye View</t>
  </si>
  <si>
    <t>Rules For Doing A Qualified Charitable Distribution (QCD) - Nerd's Eye View</t>
  </si>
  <si>
    <t>Lazy Portfolios - Bogleheads' Wiki</t>
  </si>
  <si>
    <t>Historical and Expected Returns - Bogleheads Wiki</t>
  </si>
  <si>
    <t>Simba's Backtesting Spreadsheet - Bogleheads</t>
  </si>
  <si>
    <t>CAGR vs Average Calculator - MoneyChimp</t>
  </si>
  <si>
    <t>Roth IRA Conversion - Bogleheads Wiki</t>
  </si>
  <si>
    <t>Qualified Charitable Distributions - Bogleheads Wiki</t>
  </si>
  <si>
    <t>Safe Withdrawal Rates - Bogleheads Wiki</t>
  </si>
  <si>
    <t>Retirement spending - Bogleheads Wiki</t>
  </si>
  <si>
    <t>Social Security - Bogleheads Wiki</t>
  </si>
  <si>
    <t>Comparison to default (full) case is on the far right</t>
  </si>
  <si>
    <t>Portfolio Differences - default/full is more or (less) than base</t>
  </si>
  <si>
    <t>Roth 2 withdrawals</t>
  </si>
  <si>
    <t>SS Actuarial Life Table - 2015</t>
  </si>
  <si>
    <t>Federal Tax Factors</t>
  </si>
  <si>
    <t>Default-Full</t>
  </si>
  <si>
    <t>Age note &gt;</t>
  </si>
  <si>
    <t>Year Selected</t>
  </si>
  <si>
    <t>Married 10/12% Bracket</t>
  </si>
  <si>
    <t xml:space="preserve">                       Inflation</t>
  </si>
  <si>
    <t xml:space="preserve">method 1: calculated </t>
  </si>
  <si>
    <t xml:space="preserve">method 2: entered </t>
  </si>
  <si>
    <t>SS at 70/66</t>
  </si>
  <si>
    <t>SS at 62/62</t>
  </si>
  <si>
    <t>Taxable income adjusted</t>
  </si>
  <si>
    <t>Tier 5 surcharge</t>
  </si>
  <si>
    <t>Medicare Part B</t>
  </si>
  <si>
    <t>Tier 4 - Tier 5 (greater than)</t>
  </si>
  <si>
    <t>Tier 4 - joint - Tier 5 (greater than)</t>
  </si>
  <si>
    <t>Tier 5 " "</t>
  </si>
  <si>
    <t>Medicare Part D</t>
  </si>
  <si>
    <t>Tier 2    " "</t>
  </si>
  <si>
    <t>Tier 3    " "</t>
  </si>
  <si>
    <t>Tier 4    " "</t>
  </si>
  <si>
    <t>Tier 5    " "</t>
  </si>
  <si>
    <t>Tax factors year                               prior</t>
  </si>
  <si>
    <t>0=no errors, 1=one or more errors</t>
  </si>
  <si>
    <t xml:space="preserve">Fixed state tax deduction selection that chooses either standard deduction or Fed itemized.  Was not working if no future state was selected. </t>
  </si>
  <si>
    <t>Brackets - state 1</t>
  </si>
  <si>
    <t xml:space="preserve">allocation for each account </t>
  </si>
  <si>
    <t xml:space="preserve">class method: asset </t>
  </si>
  <si>
    <t>Your ages when there are surcharges</t>
  </si>
  <si>
    <t xml:space="preserve">return rates: by account </t>
  </si>
  <si>
    <t xml:space="preserve">Memo: allocation targets </t>
  </si>
  <si>
    <t>Wdr1&amp;2</t>
  </si>
  <si>
    <t xml:space="preserve">hidden&gt; </t>
  </si>
  <si>
    <t>^^^must be showing</t>
  </si>
  <si>
    <t xml:space="preserve">    Ages</t>
  </si>
  <si>
    <t>167-169</t>
  </si>
  <si>
    <t>173-176,178</t>
  </si>
  <si>
    <t>Old graphs storage:</t>
  </si>
  <si>
    <t>Last time comparison updated to current ORP model: Nov 2018</t>
  </si>
  <si>
    <t>RPM Factors Used</t>
  </si>
  <si>
    <t>Calculated: Roth conv amt</t>
  </si>
  <si>
    <t>Future change: IRA 1</t>
  </si>
  <si>
    <t>Beginning allocation: IRA 1</t>
  </si>
  <si>
    <t>Asset sale 1 age</t>
  </si>
  <si>
    <t>Asset sale 2 age</t>
  </si>
  <si>
    <t>Inheritance 1 amount</t>
  </si>
  <si>
    <t>Inheritance 2 amount</t>
  </si>
  <si>
    <t>Expenditures/Receipts 1 amount</t>
  </si>
  <si>
    <t>Expenditures/Receipts 2 amount</t>
  </si>
  <si>
    <t>Roth conversion by year</t>
  </si>
  <si>
    <t xml:space="preserve">SPIA Annuity Income </t>
  </si>
  <si>
    <t>SPIA start age</t>
  </si>
  <si>
    <t>SPIA purchase amount</t>
  </si>
  <si>
    <t>n/a - under illiquid asset</t>
  </si>
  <si>
    <t>by copying</t>
  </si>
  <si>
    <t>the data</t>
  </si>
  <si>
    <t xml:space="preserve">Est earnings rate: </t>
  </si>
  <si>
    <r>
      <t xml:space="preserve">Copy of results from Summary page for ORP comparison.  </t>
    </r>
    <r>
      <rPr>
        <b/>
        <sz val="12"/>
        <color rgb="FFFF0000"/>
        <rFont val="Arial"/>
        <family val="2"/>
      </rPr>
      <t>Copy here via Copy macro above or manually copy VALUES from different RPM model.</t>
    </r>
  </si>
  <si>
    <t>note area</t>
  </si>
  <si>
    <t>enter notes here</t>
  </si>
  <si>
    <t xml:space="preserve">  note area</t>
  </si>
  <si>
    <t xml:space="preserve"> note area</t>
  </si>
  <si>
    <t>Red or black triangle in cell corner indicates help comments available</t>
  </si>
  <si>
    <t xml:space="preserve">  Also indicates spouse entries</t>
  </si>
  <si>
    <t>Spouse-related entries on Setup page labeled in purple to make easier to find.</t>
  </si>
  <si>
    <t xml:space="preserve">Most of the issues that retirees will face are included, such doing Roth conversions, determining the impact of alternative Social Security benefits starting ages, starting Required Minimum Distributions, estimating Federal and State taxes based on actual current and forecast rates and brackets and seeing the impact of inheritances and future living expense changes.
The model also allows the user to set their current portfolio stock/bond allocation and plan for a future "glidepath" change, with the ability to set the expected return rates for different types of assets.
</t>
  </si>
  <si>
    <t>2. Enter the optional Special items, such as alternative SS Benefits, tax rate changes, and Roth conversions and withdrawals data.  To have these used in the Full default portfolio, set the "Model and Case Options" setting for the feature you want to include.  Multiple options can be chosen, such as combining Roth conversions and tax rate changes. A portfolio without these items is also created and compared to the default results.</t>
  </si>
  <si>
    <t xml:space="preserve">5. The Base page also contains a comparison of the default and base portfolio calculations.. 
6. Refer to the Tax Tables page to see tax rates, brackets, deductions and exemptions for the current year, and escalations for future years. No input is required on this page, but all current year rates and brackets can be changed..
7. A page is also provided for comparing results to the i-ORP internet model. </t>
  </si>
  <si>
    <t>Misc</t>
  </si>
  <si>
    <t xml:space="preserve">Ages that Medicare premiums will be higher due to income-related monthly adjustment amounts (IRMAA) are now shown on the Setup page.
</t>
  </si>
  <si>
    <t>Modified some graphs to show the chosen number of years to model and not just the full 40 years.  X axis labels don't show in LibeOffice Calc.</t>
  </si>
  <si>
    <t>Added second withdrawal option for existing Roth IRA 1.</t>
  </si>
  <si>
    <t>Corrected middle state income tax bracket for future/second state calculation error</t>
  </si>
  <si>
    <t>to</t>
  </si>
  <si>
    <t>these &gt;&gt;</t>
  </si>
  <si>
    <t>those</t>
  </si>
  <si>
    <t>columns</t>
  </si>
  <si>
    <t>DO NOT</t>
  </si>
  <si>
    <t>move</t>
  </si>
  <si>
    <t>(cut/paste)</t>
  </si>
  <si>
    <r>
      <t xml:space="preserve"> Warning: </t>
    </r>
    <r>
      <rPr>
        <b/>
        <sz val="12"/>
        <color rgb="FF0000FF"/>
        <rFont val="Arial"/>
        <family val="2"/>
      </rPr>
      <t xml:space="preserve">Portfolio "Copied" data shown below is from an ORP-optimized RPM model, </t>
    </r>
    <r>
      <rPr>
        <b/>
        <sz val="12"/>
        <color rgb="FFFF0000"/>
        <rFont val="Arial"/>
        <family val="2"/>
      </rPr>
      <t>NOT</t>
    </r>
    <r>
      <rPr>
        <b/>
        <sz val="12"/>
        <color rgb="FF0000FF"/>
        <rFont val="Arial"/>
        <family val="2"/>
      </rPr>
      <t xml:space="preserve"> this RPM example case.  Using "Copy" macro will load "Current" RPM results to "Copied" column.</t>
    </r>
  </si>
  <si>
    <t>Expanded Life Expectancy calculator to 110.</t>
  </si>
  <si>
    <t>FRA</t>
  </si>
  <si>
    <t>Birth Year</t>
  </si>
  <si>
    <t>Percent Change</t>
  </si>
  <si>
    <t>using future benefit reduction</t>
  </si>
  <si>
    <t xml:space="preserve">Total Income </t>
  </si>
  <si>
    <t>Model Amts</t>
  </si>
  <si>
    <t>Alternative</t>
  </si>
  <si>
    <t>Primary Portfolio vs Base: higher/(lower)</t>
  </si>
  <si>
    <t xml:space="preserve">   hidden</t>
  </si>
  <si>
    <t>Example Data: $70k expenses bef tax. SS at 70 &amp; 66. 23% SS reduction in 2035.  $200k inherited. Sell house at 84. Wife widowed at 85. Roth conversions will leave $1.2M to heirs tax free.</t>
  </si>
  <si>
    <t>art works</t>
  </si>
  <si>
    <t>net</t>
  </si>
  <si>
    <t>Tesla</t>
  </si>
  <si>
    <t>world trip</t>
  </si>
  <si>
    <t>i</t>
  </si>
  <si>
    <t>Expenditures and (Receipts)</t>
  </si>
  <si>
    <t>Portfolio Cash Flow Diagram</t>
  </si>
  <si>
    <t>Base Higher</t>
  </si>
  <si>
    <t>or (Lower)</t>
  </si>
  <si>
    <t>Coding Method</t>
  </si>
  <si>
    <t>esc rate:</t>
  </si>
  <si>
    <t>SS benefits - Spouse ^</t>
  </si>
  <si>
    <t>SS benefits - You ^</t>
  </si>
  <si>
    <t>IRA 1 Withdrawals ^</t>
  </si>
  <si>
    <t>IRA 2 Withdrawals ^</t>
  </si>
  <si>
    <t xml:space="preserve">Cash </t>
  </si>
  <si>
    <t>Jnt Life Exp</t>
  </si>
  <si>
    <t>See the Override Table II cell note.</t>
  </si>
  <si>
    <t>be changed to match your two ages.</t>
  </si>
  <si>
    <t>Spreadsheet programs tested that run this Excel model, more or less, listed in order of functionability</t>
  </si>
  <si>
    <t>Non-Excel products tested and now listed in order of functionality, with those not showing cell comments noted.  Comments are essential to using the model.</t>
  </si>
  <si>
    <t>Life expectancy tables used to calculate RMD expanded to start at age 50.</t>
  </si>
  <si>
    <t>Google Docs Spreadsheets - comments viewable, graphs show with no labels, macros not supported</t>
  </si>
  <si>
    <t>Excel Web Application - cell comments viewable in side window, macros don't work, graphs work, model must be set to be "editable"</t>
  </si>
  <si>
    <r>
      <t xml:space="preserve">LibreOffice Calc - </t>
    </r>
    <r>
      <rPr>
        <sz val="12"/>
        <color rgb="FFFF0000"/>
        <rFont val="Arial"/>
        <family val="2"/>
      </rPr>
      <t>cell comments/instructions not visible</t>
    </r>
    <r>
      <rPr>
        <sz val="12"/>
        <rFont val="Arial"/>
        <family val="2"/>
      </rPr>
      <t>, graphs show (axis labels may not), most macros work</t>
    </r>
  </si>
  <si>
    <r>
      <t xml:space="preserve">Apache OpenOffice Calc - </t>
    </r>
    <r>
      <rPr>
        <sz val="12"/>
        <color rgb="FFFF0000"/>
        <rFont val="Arial"/>
        <family val="2"/>
      </rPr>
      <t>cell comments/instructions not visible</t>
    </r>
    <r>
      <rPr>
        <sz val="12"/>
        <rFont val="Arial"/>
        <family val="2"/>
      </rPr>
      <t>, some graphs fail, macros work but titles not formatted</t>
    </r>
  </si>
  <si>
    <t>WPS Kingsoft Spreadsheet v2013 - comments viewable, graphs show/chgd, macros not supported in free version.</t>
  </si>
  <si>
    <t xml:space="preserve">Excel 2003-2016 - best program.  If using v2003 the 2007 format xlsm will open and work with a warning. Must be saved in xls format. </t>
  </si>
  <si>
    <t>calculator: Social Security benefits calculator</t>
  </si>
  <si>
    <t>Federal Taxes By Bracket</t>
  </si>
  <si>
    <t>Federal taxes by bracket with Roth conversion</t>
  </si>
  <si>
    <t>Federal taxes by bracket without Roth conversion</t>
  </si>
  <si>
    <t>&amp; Federal</t>
  </si>
  <si>
    <t>Total State</t>
  </si>
  <si>
    <t xml:space="preserve">   Estimated Benefits</t>
  </si>
  <si>
    <t xml:space="preserve">                  COLA Adjustment</t>
  </si>
  <si>
    <t xml:space="preserve">  Benefits</t>
  </si>
  <si>
    <t>Kiplinger article on calculating SS benefits</t>
  </si>
  <si>
    <t>Various headings and cell comments improved or corrected based on user suggestions</t>
  </si>
  <si>
    <t>Benefits Before COLA</t>
  </si>
  <si>
    <t>new in 19.1</t>
  </si>
  <si>
    <t>4. It can not calculate the taxes on withdrawal of funds containing unrealized capital gains in the taxable account.  As a result, taxes will be understated on such gains included in the starting taxable account balance or earned over the years. 
5. Unlike some on-line models, RPM does not provide automatic optimized results, like the optimum amount of Roth conversions or living expenses..  All results are based on the user's provided entries.</t>
  </si>
  <si>
    <t>Red font - error messages, alerts and new features</t>
  </si>
  <si>
    <t>Tip: Use the Load Entries macro or Excel menu item "Window: Compare Side by Side with" feature to easily transfer old Setup entries to a new version.</t>
  </si>
  <si>
    <t>IRA 1 Required Minimum Distribution</t>
  </si>
  <si>
    <t>Simple 2018-19 tax calculator &gt;&gt;</t>
  </si>
  <si>
    <t>Federal Taxes</t>
  </si>
  <si>
    <r>
      <t>What is the Retiree Portfolio Model (RPM)?</t>
    </r>
    <r>
      <rPr>
        <sz val="12"/>
        <rFont val="Arial"/>
        <family val="2"/>
      </rPr>
      <t xml:space="preserve">
This is a portfolio and financial forecasting model designed for retirees and pre-retirees.  It takes your current portfolio details, forecast or actual Social Security benefits, other income, and expenses, and your expected asset return rates and expected inflation rate, calculates the Federal and state tax using actual rates and brackets, and from all of this calculates the yearly balances of each investment, and the income and expense amounts over a 1 to 40 year period. 
</t>
    </r>
  </si>
  <si>
    <r>
      <t>Key Features</t>
    </r>
    <r>
      <rPr>
        <sz val="12"/>
        <rFont val="Arial"/>
        <family val="2"/>
      </rPr>
      <t xml:space="preserve">
1. Calculates yearly and cumulative results for taxable, traditional IRA, and Roth IRA accounts, including the impact of earnings, SS benefits, living expenses, and Federal and state taxes.  The model includes common retiree events, such as inheritances, asset sales, tax increases, expense changes late in life, and the death of a spouse.  The modeling period is user selectable over period of 1 to 40 years.
2. Compares instantly the impact of Roth conversions and withdrawals and/or alternative Social Security starting choices on portfolio balances, income, taxes, and the impact on Required Minimum Distributions (RMD) of these options. The comparison is done by the use of two nearly identical spreadsheet calculations: The default shown on the Details page, also known as the "Full" portfolio, includes Roth conversions and the alternative Social Security benefits (either can be included or excluded).  The Base excludes these two options.</t>
    </r>
  </si>
  <si>
    <r>
      <t>Quick Start Instructions and Model Overview</t>
    </r>
    <r>
      <rPr>
        <b/>
        <sz val="12"/>
        <rFont val="Arial"/>
        <family val="2"/>
      </rPr>
      <t xml:space="preserve">
</t>
    </r>
    <r>
      <rPr>
        <sz val="12"/>
        <rFont val="Arial"/>
        <family val="2"/>
      </rPr>
      <t xml:space="preserve">
1. Go to the Setup page.  Here you will enter the values for your personal data, portfolio balances, allocation to stocks and bonds, expected earnings rates, COLA inflation estimate, expenses  and special events, such as inheritances and home sales.  Be sure to replace all the Example data with your own, or use the macro button to automatically clear the example data. Hover over cells with red or black triangles to see comments, instructions and help. </t>
    </r>
  </si>
  <si>
    <t xml:space="preserve">            Distribution</t>
  </si>
  <si>
    <t xml:space="preserve">      Required Minimum</t>
  </si>
  <si>
    <t>Full Case</t>
  </si>
  <si>
    <t>Than Full</t>
  </si>
  <si>
    <t>Comparison: Full Portfolio vs Base</t>
  </si>
  <si>
    <t>Full Portfolio Calculations</t>
  </si>
  <si>
    <t>Full default portfolio</t>
  </si>
  <si>
    <t>Full vs Base - higher/(lower)</t>
  </si>
  <si>
    <t>Other Calulations</t>
  </si>
  <si>
    <t>Impact of Roth conversions on heirs</t>
  </si>
  <si>
    <t>RMD deposited into Taxable account</t>
  </si>
  <si>
    <t>1 = within forecast period</t>
  </si>
  <si>
    <t>Taxable account earnings rate</t>
  </si>
  <si>
    <t>RMD earnings</t>
  </si>
  <si>
    <t>JohnFiscal, mjf55 (created transfer entries macro!), Boggedown, rennale, ohyeah, mkedst, Zephavest, Puke and many others.</t>
  </si>
  <si>
    <t>Without</t>
  </si>
  <si>
    <t xml:space="preserve">  Portfolio</t>
  </si>
  <si>
    <t>Inherited Portfolio Impact</t>
  </si>
  <si>
    <t>Return Rates</t>
  </si>
  <si>
    <t>Roth conversion IRA</t>
  </si>
  <si>
    <t>Convr Higher</t>
  </si>
  <si>
    <t xml:space="preserve"> Federal and State Taxes</t>
  </si>
  <si>
    <t>Taxes rate</t>
  </si>
  <si>
    <t xml:space="preserve">Roth 1 </t>
  </si>
  <si>
    <t>Roth 1 contributions</t>
  </si>
  <si>
    <t>revised in 19.1</t>
  </si>
  <si>
    <t>Roth contributions</t>
  </si>
  <si>
    <t>Roth automatic</t>
  </si>
  <si>
    <t>Roth SPIA purchase</t>
  </si>
  <si>
    <t>IRA contributions</t>
  </si>
  <si>
    <t>Comparison of Full and Base</t>
  </si>
  <si>
    <t xml:space="preserve"> Roth 1</t>
  </si>
  <si>
    <t>Ability to make contributions to Roth 1 IRA added.</t>
  </si>
  <si>
    <t xml:space="preserve"> Using 2017 1040 line numbers</t>
  </si>
  <si>
    <t xml:space="preserve">Update Copy_Results 1-4 macros if setup factors added/removed </t>
  </si>
  <si>
    <t>changing these start/end line numbers. As of v19.1: lines 411-739</t>
  </si>
  <si>
    <t>Federal effective and marginal tax rates</t>
  </si>
  <si>
    <t>Estimate of impact of Roth conversion on heirs taxes added. See Results page.  Idea from BHs jchris and Boggedown.</t>
  </si>
  <si>
    <t xml:space="preserve">Difference </t>
  </si>
  <si>
    <t xml:space="preserve">Percent </t>
  </si>
  <si>
    <t>With conversion</t>
  </si>
  <si>
    <t>No conversion</t>
  </si>
  <si>
    <t>Roth conversion ending balance</t>
  </si>
  <si>
    <t>Jan 2: Fixed the Social Security "Test Alternative PIA Amounts" calculator to properly calculate the yearly amounts.</t>
  </si>
  <si>
    <t>Jan 6: Fixed calculation of Roth IRA 1 withdrawals to insure automated withdrawals don't exceed the account balance.</t>
  </si>
  <si>
    <t xml:space="preserve">Jan 1: Modified the SPIA Purchase settings to allow the inclusion of income from a purchase made in a year prior to the model starting year. </t>
  </si>
  <si>
    <t>Graphs returned to v18 format as new formatting in 19.0 caused error messages for Apple Mac users.</t>
  </si>
  <si>
    <t>Taxable account - IRA contributions</t>
  </si>
  <si>
    <t>RMD factor</t>
  </si>
  <si>
    <t>Annual estimate tax savings</t>
  </si>
  <si>
    <t xml:space="preserve">Heir tax benefit </t>
  </si>
  <si>
    <t>hidden</t>
  </si>
  <si>
    <t>Added state taxes to Tax Brackets schedule on Setup page.  Suggestion of BH Boggedown</t>
  </si>
  <si>
    <t>revised in 19.0-1</t>
  </si>
  <si>
    <t>Social Security benefits calculator showing yearly benefits for ages 62-70 improved.   Suggestion of BH Zephavest.</t>
  </si>
  <si>
    <t>Spouse check factor: 1=use surcharge, 0=don't</t>
  </si>
  <si>
    <t>new in 19.1a</t>
  </si>
  <si>
    <t>Updated for v19.0 and 19.1</t>
  </si>
  <si>
    <t>Removed non-taxed SS benefits from MAGI calculation for Medicare premiums surcharges and added two year pause if a spouse dies.  Thanks to BH sawdust60 for reporting this problem.</t>
  </si>
  <si>
    <t>Modified Adjusted Gross Income (MAGI) - Medicare</t>
  </si>
  <si>
    <t>Modified Adjusted Gross Income (MAGI) - ACA</t>
  </si>
  <si>
    <t>changed in 19.1a</t>
  </si>
  <si>
    <t>new 19.1a</t>
  </si>
  <si>
    <t>Modified Adjusted Gross Income (MAGI) Medicare</t>
  </si>
  <si>
    <t>Modified Adjusted Gross Income (MAGI) - ACA not used in Base</t>
  </si>
  <si>
    <t>Mar 7-10</t>
  </si>
  <si>
    <t xml:space="preserve">Fixed minor formula reference that caused a taxable SS calculation error if there were no asset balances.  </t>
  </si>
  <si>
    <t xml:space="preserve">income sources </t>
  </si>
  <si>
    <t>The Portfolio Balance at Year End on the Summary page was not being calculated correctly (expenses were added rather than substracted.)  Fixed.  Thanks to Anon user.</t>
  </si>
  <si>
    <t>Fixed Alt-SS FRA_You factor which was hardcoded as 66 for some unknown reason.</t>
  </si>
  <si>
    <t>Apple Macintosh users: best is MS Excel and LibreOffice (without macros)</t>
  </si>
  <si>
    <t>19.1a</t>
  </si>
  <si>
    <t>Fixed formula error in Base case Roth IRA 1 automatic withdrawals calculations.  Adopted version letters for minor changes</t>
  </si>
  <si>
    <t>Fixed several SS error checking formulas</t>
  </si>
  <si>
    <t>Version 19.1a - June 7, 2019</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</si>
</sst>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5" formatCode="&quot;$&quot;#,##0_);\(&quot;$&quot;#,##0\)"/>
    <numFmt numFmtId="41" formatCode="_(* #,##0_);_(* \(#,##0\);_(* &quot;-&quot;_);_(@_)"/>
    <numFmt numFmtId="43" formatCode="_(* #,##0.00_);_(* \(#,##0.00\);_(* &quot;-&quot;??_);_(@_)"/>
    <numFmt numFmtId="164" formatCode="0.0%"/>
    <numFmt numFmtId="165" formatCode="0_);\(0\)"/>
    <numFmt numFmtId="166" formatCode="#,##0.0_);\(#,##0.0\)"/>
    <numFmt numFmtId="167" formatCode="&quot;$&quot;#,##0"/>
    <numFmt numFmtId="168" formatCode="&quot;&quot;"/>
    <numFmt numFmtId="169" formatCode="_(* #,##0.0_);_(* \(#,##0.0\);_(* &quot;-&quot;??_);_(@_)"/>
    <numFmt numFmtId="170" formatCode="_(* #,##0_);_(* \(#,##0\);_(* &quot;-&quot;??_);_(@_)"/>
    <numFmt numFmtId="171" formatCode="0.0"/>
    <numFmt numFmtId="172" formatCode="m/d/yy\ h:mm"/>
    <numFmt numFmtId="173" formatCode="_(* #,##0.00_);_(* \(#,##0.00\);_(* &quot;-&quot;_);_(@_)"/>
    <numFmt numFmtId="174" formatCode="mm/dd/yy;@"/>
    <numFmt numFmtId="175" formatCode="0;\-0;&quot;-&quot;;@"/>
    <numFmt numFmtId="176" formatCode="0.000"/>
    <numFmt numFmtId="177" formatCode="0.0_);\(0.0\)"/>
  </numFmts>
  <fonts count="168">
    <font>
      <sz val="12"/>
      <name val="Arial"/>
    </font>
    <font>
      <sz val="12"/>
      <color theme="1"/>
      <name val="Arial"/>
      <family val="2"/>
    </font>
    <font>
      <sz val="12"/>
      <name val="Arial"/>
      <family val="2"/>
    </font>
    <font>
      <b/>
      <sz val="14"/>
      <color indexed="10"/>
      <name val="Arial"/>
      <family val="2"/>
    </font>
    <font>
      <sz val="12"/>
      <name val="Arial"/>
      <family val="2"/>
    </font>
    <font>
      <sz val="12"/>
      <color indexed="12"/>
      <name val="Arial"/>
      <family val="2"/>
    </font>
    <font>
      <b/>
      <sz val="12"/>
      <name val="Arial"/>
      <family val="2"/>
    </font>
    <font>
      <sz val="12"/>
      <color indexed="10"/>
      <name val="Arial"/>
      <family val="2"/>
    </font>
    <font>
      <b/>
      <sz val="12"/>
      <color indexed="10"/>
      <name val="Arial"/>
      <family val="2"/>
    </font>
    <font>
      <sz val="12"/>
      <color indexed="17"/>
      <name val="Arial"/>
      <family val="2"/>
    </font>
    <font>
      <sz val="12"/>
      <color indexed="57"/>
      <name val="Arial"/>
      <family val="2"/>
    </font>
    <font>
      <b/>
      <sz val="14"/>
      <name val="Arial"/>
      <family val="2"/>
    </font>
    <font>
      <b/>
      <sz val="12"/>
      <color indexed="12"/>
      <name val="Arial"/>
      <family val="2"/>
    </font>
    <font>
      <sz val="8"/>
      <name val="Arial"/>
      <family val="2"/>
    </font>
    <font>
      <sz val="12"/>
      <color indexed="10"/>
      <name val="Arial"/>
      <family val="2"/>
    </font>
    <font>
      <b/>
      <sz val="12"/>
      <color indexed="17"/>
      <name val="Arial"/>
      <family val="2"/>
    </font>
    <font>
      <b/>
      <sz val="12"/>
      <color indexed="53"/>
      <name val="Arial"/>
      <family val="2"/>
    </font>
    <font>
      <sz val="12"/>
      <color indexed="53"/>
      <name val="Arial"/>
      <family val="2"/>
    </font>
    <font>
      <u/>
      <sz val="12"/>
      <color indexed="12"/>
      <name val="Arial"/>
      <family val="2"/>
    </font>
    <font>
      <sz val="12"/>
      <color indexed="17"/>
      <name val="Arial"/>
      <family val="2"/>
    </font>
    <font>
      <sz val="12"/>
      <color indexed="53"/>
      <name val="Arial"/>
      <family val="2"/>
    </font>
    <font>
      <sz val="9"/>
      <color indexed="81"/>
      <name val="Tahoma"/>
      <family val="2"/>
    </font>
    <font>
      <b/>
      <sz val="9"/>
      <color indexed="81"/>
      <name val="Tahoma"/>
      <family val="2"/>
    </font>
    <font>
      <b/>
      <sz val="10"/>
      <color indexed="10"/>
      <name val="Arial"/>
      <family val="2"/>
    </font>
    <font>
      <b/>
      <sz val="11"/>
      <name val="Arial"/>
      <family val="2"/>
    </font>
    <font>
      <sz val="10"/>
      <color indexed="10"/>
      <name val="Arial"/>
      <family val="2"/>
    </font>
    <font>
      <b/>
      <sz val="12"/>
      <color indexed="9"/>
      <name val="Arial"/>
      <family val="2"/>
    </font>
    <font>
      <sz val="12"/>
      <color indexed="8"/>
      <name val="Arial"/>
      <family val="2"/>
    </font>
    <font>
      <b/>
      <sz val="10"/>
      <color indexed="81"/>
      <name val="Tahoma"/>
      <family val="2"/>
    </font>
    <font>
      <b/>
      <u/>
      <sz val="12"/>
      <color indexed="12"/>
      <name val="Arial"/>
      <family val="2"/>
    </font>
    <font>
      <sz val="8"/>
      <name val="Arial"/>
      <family val="2"/>
    </font>
    <font>
      <b/>
      <sz val="12"/>
      <color indexed="20"/>
      <name val="Arial"/>
      <family val="2"/>
    </font>
    <font>
      <sz val="10"/>
      <color indexed="81"/>
      <name val="Tahoma"/>
      <family val="2"/>
    </font>
    <font>
      <sz val="14"/>
      <name val="Arial"/>
      <family val="2"/>
    </font>
    <font>
      <u/>
      <sz val="14"/>
      <color indexed="12"/>
      <name val="Arial"/>
      <family val="2"/>
    </font>
    <font>
      <b/>
      <sz val="10"/>
      <name val="Arial"/>
      <family val="2"/>
    </font>
    <font>
      <b/>
      <u/>
      <sz val="12"/>
      <color indexed="17"/>
      <name val="Arial"/>
      <family val="2"/>
    </font>
    <font>
      <b/>
      <u/>
      <sz val="14"/>
      <color indexed="17"/>
      <name val="Arial"/>
      <family val="2"/>
    </font>
    <font>
      <u/>
      <sz val="12"/>
      <color indexed="17"/>
      <name val="Arial"/>
      <family val="2"/>
    </font>
    <font>
      <sz val="10"/>
      <name val="Arial"/>
      <family val="2"/>
    </font>
    <font>
      <sz val="12"/>
      <color indexed="12"/>
      <name val="Arial"/>
      <family val="2"/>
    </font>
    <font>
      <b/>
      <sz val="11"/>
      <color indexed="10"/>
      <name val="Arial"/>
      <family val="2"/>
    </font>
    <font>
      <b/>
      <u/>
      <sz val="10"/>
      <color indexed="17"/>
      <name val="Arial"/>
      <family val="2"/>
    </font>
    <font>
      <b/>
      <sz val="14"/>
      <color indexed="9"/>
      <name val="Arial"/>
      <family val="2"/>
    </font>
    <font>
      <b/>
      <sz val="16"/>
      <color indexed="9"/>
      <name val="Arial"/>
      <family val="2"/>
    </font>
    <font>
      <b/>
      <sz val="10"/>
      <color indexed="17"/>
      <name val="Arial"/>
      <family val="2"/>
    </font>
    <font>
      <sz val="10"/>
      <name val="Arial"/>
      <family val="2"/>
    </font>
    <font>
      <i/>
      <sz val="12"/>
      <name val="Arial"/>
      <family val="2"/>
    </font>
    <font>
      <sz val="11"/>
      <name val="Arial"/>
      <family val="2"/>
    </font>
    <font>
      <sz val="11"/>
      <name val="Arial"/>
      <family val="2"/>
    </font>
    <font>
      <b/>
      <sz val="11"/>
      <name val="Arial"/>
      <family val="2"/>
    </font>
    <font>
      <b/>
      <sz val="12"/>
      <color indexed="81"/>
      <name val="Tahoma"/>
      <family val="2"/>
    </font>
    <font>
      <b/>
      <sz val="11"/>
      <color indexed="9"/>
      <name val="Arial"/>
      <family val="2"/>
    </font>
    <font>
      <b/>
      <sz val="10"/>
      <color indexed="53"/>
      <name val="Arial"/>
      <family val="2"/>
    </font>
    <font>
      <sz val="12"/>
      <name val="Arial"/>
      <family val="2"/>
    </font>
    <font>
      <b/>
      <sz val="12"/>
      <color indexed="8"/>
      <name val="Arial"/>
      <family val="2"/>
    </font>
    <font>
      <sz val="12"/>
      <color indexed="9"/>
      <name val="Arial"/>
      <family val="2"/>
    </font>
    <font>
      <sz val="11"/>
      <color indexed="17"/>
      <name val="Arial"/>
      <family val="2"/>
    </font>
    <font>
      <sz val="12"/>
      <color indexed="61"/>
      <name val="Arial"/>
      <family val="2"/>
    </font>
    <font>
      <sz val="12"/>
      <color indexed="55"/>
      <name val="Arial"/>
      <family val="2"/>
    </font>
    <font>
      <sz val="12"/>
      <color indexed="20"/>
      <name val="Arial"/>
      <family val="2"/>
    </font>
    <font>
      <sz val="12"/>
      <color indexed="23"/>
      <name val="Arial"/>
      <family val="2"/>
    </font>
    <font>
      <sz val="10"/>
      <color indexed="17"/>
      <name val="Arial"/>
      <family val="2"/>
    </font>
    <font>
      <b/>
      <sz val="12"/>
      <name val="Arial"/>
      <family val="2"/>
    </font>
    <font>
      <sz val="12"/>
      <name val="Arial"/>
      <family val="2"/>
    </font>
    <font>
      <sz val="12"/>
      <color indexed="22"/>
      <name val="Arial"/>
      <family val="2"/>
    </font>
    <font>
      <b/>
      <sz val="12"/>
      <color indexed="22"/>
      <name val="Arial"/>
      <family val="2"/>
    </font>
    <font>
      <sz val="12"/>
      <color indexed="8"/>
      <name val="Arial"/>
      <family val="2"/>
    </font>
    <font>
      <sz val="12"/>
      <color indexed="13"/>
      <name val="Arial"/>
      <family val="2"/>
    </font>
    <font>
      <sz val="12"/>
      <color indexed="9"/>
      <name val="Arial"/>
      <family val="2"/>
    </font>
    <font>
      <sz val="14"/>
      <color indexed="9"/>
      <name val="Arial"/>
      <family val="2"/>
    </font>
    <font>
      <b/>
      <sz val="10"/>
      <color indexed="61"/>
      <name val="Arial"/>
      <family val="2"/>
    </font>
    <font>
      <b/>
      <sz val="12"/>
      <color indexed="61"/>
      <name val="Arial"/>
      <family val="2"/>
    </font>
    <font>
      <b/>
      <sz val="16"/>
      <color indexed="10"/>
      <name val="Arial"/>
      <family val="2"/>
    </font>
    <font>
      <b/>
      <sz val="11"/>
      <color indexed="20"/>
      <name val="Arial"/>
      <family val="2"/>
    </font>
    <font>
      <b/>
      <sz val="10"/>
      <color indexed="8"/>
      <name val="Arial"/>
      <family val="2"/>
    </font>
    <font>
      <b/>
      <sz val="14"/>
      <color indexed="12"/>
      <name val="Arial Rounded MT Bold"/>
      <family val="2"/>
    </font>
    <font>
      <b/>
      <sz val="11"/>
      <color indexed="81"/>
      <name val="Tahoma"/>
      <family val="2"/>
    </font>
    <font>
      <b/>
      <sz val="11"/>
      <color indexed="10"/>
      <name val="Tahoma"/>
      <family val="2"/>
    </font>
    <font>
      <b/>
      <sz val="12"/>
      <color indexed="12"/>
      <name val="Arial Rounded MT Bold"/>
      <family val="2"/>
    </font>
    <font>
      <b/>
      <sz val="12"/>
      <color indexed="23"/>
      <name val="Arial"/>
      <family val="2"/>
    </font>
    <font>
      <b/>
      <sz val="11"/>
      <color indexed="17"/>
      <name val="Tahoma"/>
      <family val="2"/>
    </font>
    <font>
      <b/>
      <sz val="11"/>
      <color indexed="17"/>
      <name val="Arial"/>
      <family val="2"/>
    </font>
    <font>
      <b/>
      <sz val="12"/>
      <color indexed="12"/>
      <name val="Tahoma"/>
      <family val="2"/>
    </font>
    <font>
      <b/>
      <sz val="11"/>
      <color indexed="12"/>
      <name val="Tahoma"/>
      <family val="2"/>
    </font>
    <font>
      <sz val="11"/>
      <color indexed="12"/>
      <name val="Tahoma"/>
      <family val="2"/>
    </font>
    <font>
      <b/>
      <i/>
      <sz val="11"/>
      <color indexed="12"/>
      <name val="Tahoma"/>
      <family val="2"/>
    </font>
    <font>
      <b/>
      <sz val="10"/>
      <color indexed="12"/>
      <name val="Tahoma"/>
      <family val="2"/>
    </font>
    <font>
      <b/>
      <sz val="8"/>
      <color indexed="10"/>
      <name val="Arial"/>
      <family val="2"/>
    </font>
    <font>
      <b/>
      <sz val="14"/>
      <color indexed="17"/>
      <name val="Arial"/>
      <family val="2"/>
    </font>
    <font>
      <b/>
      <sz val="14"/>
      <color indexed="12"/>
      <name val="Arial"/>
      <family val="2"/>
    </font>
    <font>
      <b/>
      <sz val="11"/>
      <color indexed="12"/>
      <name val="Arial"/>
      <family val="2"/>
    </font>
    <font>
      <b/>
      <sz val="12"/>
      <color indexed="17"/>
      <name val="Tahoma"/>
      <family val="2"/>
    </font>
    <font>
      <u/>
      <sz val="11"/>
      <color indexed="17"/>
      <name val="Arial"/>
      <family val="2"/>
    </font>
    <font>
      <u/>
      <sz val="12"/>
      <color indexed="17"/>
      <name val="Arial"/>
      <family val="2"/>
    </font>
    <font>
      <b/>
      <sz val="16"/>
      <color indexed="12"/>
      <name val="Arial"/>
      <family val="2"/>
    </font>
    <font>
      <b/>
      <sz val="12"/>
      <color indexed="57"/>
      <name val="Arial"/>
      <family val="2"/>
    </font>
    <font>
      <sz val="12"/>
      <name val="Arial"/>
      <family val="2"/>
    </font>
    <font>
      <b/>
      <sz val="11"/>
      <color indexed="53"/>
      <name val="Arial"/>
      <family val="2"/>
    </font>
    <font>
      <b/>
      <sz val="12"/>
      <color indexed="55"/>
      <name val="Arial"/>
      <family val="2"/>
    </font>
    <font>
      <b/>
      <sz val="10"/>
      <color indexed="22"/>
      <name val="Arial"/>
      <family val="2"/>
    </font>
    <font>
      <b/>
      <sz val="14"/>
      <color indexed="48"/>
      <name val="Arial Rounded MT Bold"/>
      <family val="2"/>
    </font>
    <font>
      <b/>
      <sz val="12"/>
      <color indexed="10"/>
      <name val="Tahoma"/>
      <family val="2"/>
    </font>
    <font>
      <b/>
      <u/>
      <sz val="12"/>
      <color indexed="21"/>
      <name val="Arial"/>
      <family val="2"/>
    </font>
    <font>
      <b/>
      <sz val="18"/>
      <color indexed="9"/>
      <name val="Arial"/>
      <family val="2"/>
    </font>
    <font>
      <sz val="12"/>
      <name val="Arial Unicode MS"/>
      <family val="2"/>
    </font>
    <font>
      <b/>
      <sz val="8"/>
      <color indexed="17"/>
      <name val="Arial"/>
      <family val="2"/>
    </font>
    <font>
      <sz val="12"/>
      <color indexed="44"/>
      <name val="Arial"/>
      <family val="2"/>
    </font>
    <font>
      <b/>
      <sz val="12"/>
      <color indexed="48"/>
      <name val="Arial"/>
      <family val="2"/>
    </font>
    <font>
      <sz val="12"/>
      <color indexed="44"/>
      <name val="Arial"/>
      <family val="2"/>
    </font>
    <font>
      <b/>
      <sz val="12"/>
      <color indexed="44"/>
      <name val="Arial"/>
      <family val="2"/>
    </font>
    <font>
      <sz val="10"/>
      <color indexed="17"/>
      <name val="Tahoma"/>
      <family val="2"/>
    </font>
    <font>
      <b/>
      <i/>
      <sz val="11"/>
      <name val="Arial"/>
      <family val="2"/>
    </font>
    <font>
      <b/>
      <sz val="16"/>
      <color indexed="8"/>
      <name val="Arial"/>
      <family val="2"/>
    </font>
    <font>
      <b/>
      <sz val="18"/>
      <color indexed="8"/>
      <name val="Arial"/>
      <family val="2"/>
    </font>
    <font>
      <b/>
      <sz val="14"/>
      <color indexed="8"/>
      <name val="Arial"/>
      <family val="2"/>
    </font>
    <font>
      <b/>
      <sz val="10"/>
      <color indexed="12"/>
      <name val="Arial"/>
      <family val="2"/>
    </font>
    <font>
      <sz val="11"/>
      <color indexed="9"/>
      <name val="Arial"/>
      <family val="2"/>
    </font>
    <font>
      <b/>
      <sz val="14"/>
      <color indexed="12"/>
      <name val="Arial Unicode MS"/>
      <family val="2"/>
    </font>
    <font>
      <sz val="12"/>
      <color indexed="41"/>
      <name val="Arial"/>
      <family val="2"/>
    </font>
    <font>
      <sz val="9"/>
      <color indexed="17"/>
      <name val="Tahoma"/>
      <family val="2"/>
    </font>
    <font>
      <b/>
      <sz val="16"/>
      <color indexed="57"/>
      <name val="Arial"/>
      <family val="2"/>
    </font>
    <font>
      <b/>
      <sz val="18"/>
      <color indexed="10"/>
      <name val="Arial"/>
      <family val="2"/>
    </font>
    <font>
      <sz val="11"/>
      <color indexed="12"/>
      <name val="Arial"/>
      <family val="2"/>
    </font>
    <font>
      <b/>
      <sz val="12"/>
      <color rgb="FF000000"/>
      <name val="Arial"/>
      <family val="2"/>
    </font>
    <font>
      <sz val="8"/>
      <color rgb="FF000000"/>
      <name val="Tahoma"/>
      <family val="2"/>
    </font>
    <font>
      <sz val="9"/>
      <color indexed="12"/>
      <name val="Tahoma"/>
      <family val="2"/>
    </font>
    <font>
      <b/>
      <sz val="12"/>
      <color indexed="81"/>
      <name val="Arial"/>
      <family val="2"/>
    </font>
    <font>
      <sz val="12"/>
      <color rgb="FFFF0000"/>
      <name val="Arial"/>
      <family val="2"/>
    </font>
    <font>
      <b/>
      <sz val="12"/>
      <color rgb="FFFF0000"/>
      <name val="Arial"/>
      <family val="2"/>
    </font>
    <font>
      <b/>
      <sz val="12"/>
      <color theme="9" tint="-0.249977111117893"/>
      <name val="Arial"/>
      <family val="2"/>
    </font>
    <font>
      <b/>
      <sz val="14"/>
      <color rgb="FFFF0000"/>
      <name val="Arial"/>
      <family val="2"/>
    </font>
    <font>
      <b/>
      <sz val="14"/>
      <color theme="9" tint="0.59999389629810485"/>
      <name val="Arial"/>
      <family val="2"/>
    </font>
    <font>
      <sz val="12"/>
      <color theme="9" tint="0.59999389629810485"/>
      <name val="Arial"/>
      <family val="2"/>
    </font>
    <font>
      <b/>
      <sz val="12"/>
      <color theme="9" tint="0.59999389629810485"/>
      <name val="Arial"/>
      <family val="2"/>
    </font>
    <font>
      <sz val="10"/>
      <color theme="9" tint="0.59999389629810485"/>
      <name val="Arial"/>
      <family val="2"/>
    </font>
    <font>
      <b/>
      <sz val="11"/>
      <color theme="9"/>
      <name val="Arial"/>
      <family val="2"/>
    </font>
    <font>
      <b/>
      <sz val="10"/>
      <color rgb="FFFF0000"/>
      <name val="Arial"/>
      <family val="2"/>
    </font>
    <font>
      <sz val="12"/>
      <color rgb="FF0070C0"/>
      <name val="Arial"/>
      <family val="2"/>
    </font>
    <font>
      <sz val="12"/>
      <color rgb="FF0000FF"/>
      <name val="Arial"/>
      <family val="2"/>
    </font>
    <font>
      <b/>
      <sz val="11"/>
      <color rgb="FFFF0000"/>
      <name val="Arial"/>
      <family val="2"/>
    </font>
    <font>
      <b/>
      <sz val="14"/>
      <color rgb="FF0000FF"/>
      <name val="Arial Rounded MT Bold"/>
      <family val="2"/>
    </font>
    <font>
      <b/>
      <sz val="9"/>
      <color indexed="61"/>
      <name val="Arial"/>
      <family val="2"/>
    </font>
    <font>
      <b/>
      <sz val="12"/>
      <color rgb="FF0000FF"/>
      <name val="Arial"/>
      <family val="2"/>
    </font>
    <font>
      <b/>
      <sz val="11"/>
      <color rgb="FF008000"/>
      <name val="Arial"/>
      <family val="2"/>
    </font>
    <font>
      <sz val="12"/>
      <color rgb="FF008000"/>
      <name val="Arial"/>
      <family val="2"/>
    </font>
    <font>
      <sz val="12"/>
      <color theme="0"/>
      <name val="Arial"/>
      <family val="2"/>
    </font>
    <font>
      <b/>
      <sz val="12"/>
      <color theme="1"/>
      <name val="Arial"/>
      <family val="2"/>
    </font>
    <font>
      <sz val="12"/>
      <color rgb="FF00B050"/>
      <name val="Arial"/>
      <family val="2"/>
    </font>
    <font>
      <b/>
      <sz val="11"/>
      <color theme="9" tint="-0.249977111117893"/>
      <name val="Arial"/>
      <family val="2"/>
    </font>
    <font>
      <sz val="12"/>
      <color indexed="81"/>
      <name val="Arial"/>
      <family val="2"/>
    </font>
    <font>
      <sz val="11"/>
      <color theme="0"/>
      <name val="Arial"/>
      <family val="2"/>
    </font>
    <font>
      <sz val="11"/>
      <color rgb="FFFF0000"/>
      <name val="Arial"/>
      <family val="2"/>
    </font>
    <font>
      <b/>
      <sz val="12"/>
      <color rgb="FF008000"/>
      <name val="Arial"/>
      <family val="2"/>
    </font>
    <font>
      <u/>
      <sz val="12"/>
      <color rgb="FF008000"/>
      <name val="Arial"/>
      <family val="2"/>
    </font>
    <font>
      <b/>
      <sz val="11"/>
      <color theme="9" tint="0.59999389629810485"/>
      <name val="Arial"/>
      <family val="2"/>
    </font>
    <font>
      <sz val="12"/>
      <color rgb="FF7030A0"/>
      <name val="Arial"/>
      <family val="2"/>
    </font>
    <font>
      <b/>
      <sz val="11"/>
      <color rgb="FF7030A0"/>
      <name val="Arial"/>
      <family val="2"/>
    </font>
    <font>
      <b/>
      <sz val="11"/>
      <color theme="6" tint="0.59999389629810485"/>
      <name val="Arial"/>
      <family val="2"/>
    </font>
    <font>
      <b/>
      <sz val="12"/>
      <color theme="6" tint="0.59999389629810485"/>
      <name val="Arial"/>
      <family val="2"/>
    </font>
    <font>
      <sz val="12"/>
      <color theme="6" tint="0.59999389629810485"/>
      <name val="Arial"/>
      <family val="2"/>
    </font>
    <font>
      <sz val="11"/>
      <color theme="6" tint="0.59999389629810485"/>
      <name val="Arial"/>
      <family val="2"/>
    </font>
    <font>
      <b/>
      <sz val="12"/>
      <color rgb="FF008000"/>
      <name val="Arial Rounded MT Bold"/>
      <family val="2"/>
    </font>
    <font>
      <b/>
      <sz val="10"/>
      <color rgb="FF008000"/>
      <name val="Arial"/>
      <family val="2"/>
    </font>
    <font>
      <sz val="12"/>
      <color theme="5" tint="-0.249977111117893"/>
      <name val="Arial"/>
      <family val="2"/>
    </font>
    <font>
      <b/>
      <sz val="12"/>
      <color theme="5" tint="-0.249977111117893"/>
      <name val="Arial"/>
      <family val="2"/>
    </font>
    <font>
      <i/>
      <sz val="12"/>
      <color theme="5" tint="-0.249977111117893"/>
      <name val="Arial"/>
      <family val="2"/>
    </font>
    <font>
      <b/>
      <sz val="11"/>
      <color theme="1"/>
      <name val="Calibri"/>
      <family val="2"/>
      <scheme val="minor"/>
    </font>
  </fonts>
  <fills count="19">
    <fill>
      <patternFill patternType="none"/>
    </fill>
    <fill>
      <patternFill patternType="gray125"/>
    </fill>
    <fill>
      <patternFill patternType="solid">
        <fgColor indexed="57"/>
        <bgColor indexed="64"/>
      </patternFill>
    </fill>
    <fill>
      <patternFill patternType="solid">
        <fgColor indexed="12"/>
        <bgColor indexed="64"/>
      </patternFill>
    </fill>
    <fill>
      <patternFill patternType="solid">
        <fgColor indexed="41"/>
        <bgColor indexed="64"/>
      </patternFill>
    </fill>
    <fill>
      <patternFill patternType="solid">
        <fgColor indexed="44"/>
        <bgColor indexed="64"/>
      </patternFill>
    </fill>
    <fill>
      <patternFill patternType="solid">
        <fgColor indexed="44"/>
        <bgColor indexed="44"/>
      </patternFill>
    </fill>
    <fill>
      <patternFill patternType="gray125">
        <fgColor indexed="55"/>
      </patternFill>
    </fill>
    <fill>
      <patternFill patternType="gray0625">
        <fgColor indexed="8"/>
      </patternFill>
    </fill>
    <fill>
      <patternFill patternType="gray125">
        <fgColor indexed="8"/>
      </patternFill>
    </fill>
    <fill>
      <patternFill patternType="gray125">
        <fgColor indexed="8"/>
        <bgColor indexed="13"/>
      </patternFill>
    </fill>
    <fill>
      <patternFill patternType="solid">
        <fgColor indexed="13"/>
        <bgColor indexed="64"/>
      </patternFill>
    </fill>
    <fill>
      <patternFill patternType="solid">
        <fgColor indexed="48"/>
        <bgColor indexed="64"/>
      </patternFill>
    </fill>
    <fill>
      <patternFill patternType="solid">
        <fgColor indexed="49"/>
        <bgColor indexed="64"/>
      </patternFill>
    </fill>
    <fill>
      <patternFill patternType="solid">
        <fgColor indexed="9"/>
        <bgColor indexed="64"/>
      </patternFill>
    </fill>
    <fill>
      <patternFill patternType="solid">
        <fgColor theme="9" tint="0.79998168889431442"/>
        <bgColor indexed="64"/>
      </patternFill>
    </fill>
    <fill>
      <patternFill patternType="solid">
        <fgColor rgb="FF008000"/>
        <bgColor indexed="64"/>
      </patternFill>
    </fill>
    <fill>
      <patternFill patternType="solid">
        <fgColor theme="0"/>
        <bgColor indexed="64"/>
      </patternFill>
    </fill>
    <fill>
      <patternFill patternType="solid">
        <fgColor rgb="FF0000FF"/>
        <bgColor indexed="64"/>
      </patternFill>
    </fill>
  </fills>
  <borders count="81">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12"/>
      </left>
      <right style="thin">
        <color indexed="12"/>
      </right>
      <top style="thin">
        <color indexed="12"/>
      </top>
      <bottom style="thin">
        <color indexed="12"/>
      </bottom>
      <diagonal/>
    </border>
    <border>
      <left/>
      <right/>
      <top/>
      <bottom style="medium">
        <color indexed="64"/>
      </bottom>
      <diagonal/>
    </border>
    <border>
      <left style="thin">
        <color indexed="12"/>
      </left>
      <right style="thin">
        <color indexed="12"/>
      </right>
      <top style="thin">
        <color indexed="12"/>
      </top>
      <bottom style="thin">
        <color indexed="64"/>
      </bottom>
      <diagonal/>
    </border>
    <border>
      <left style="medium">
        <color indexed="64"/>
      </left>
      <right/>
      <top/>
      <bottom/>
      <diagonal/>
    </border>
    <border>
      <left style="thin">
        <color indexed="12"/>
      </left>
      <right/>
      <top/>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top style="thin">
        <color indexed="64"/>
      </top>
      <bottom/>
      <diagonal/>
    </border>
    <border>
      <left/>
      <right style="thin">
        <color indexed="64"/>
      </right>
      <top/>
      <bottom style="thin">
        <color indexed="64"/>
      </bottom>
      <diagonal/>
    </border>
    <border>
      <left/>
      <right/>
      <top style="medium">
        <color indexed="64"/>
      </top>
      <bottom/>
      <diagonal/>
    </border>
    <border>
      <left/>
      <right style="thin">
        <color indexed="64"/>
      </right>
      <top style="medium">
        <color indexed="64"/>
      </top>
      <bottom/>
      <diagonal/>
    </border>
    <border>
      <left/>
      <right style="thin">
        <color indexed="12"/>
      </right>
      <top style="thin">
        <color indexed="12"/>
      </top>
      <bottom style="thin">
        <color indexed="12"/>
      </bottom>
      <diagonal/>
    </border>
    <border>
      <left/>
      <right style="thin">
        <color indexed="64"/>
      </right>
      <top/>
      <bottom/>
      <diagonal/>
    </border>
    <border>
      <left/>
      <right/>
      <top style="medium">
        <color indexed="64"/>
      </top>
      <bottom style="thin">
        <color indexed="64"/>
      </bottom>
      <diagonal/>
    </border>
    <border>
      <left style="thin">
        <color indexed="12"/>
      </left>
      <right style="thin">
        <color indexed="12"/>
      </right>
      <top/>
      <bottom style="thin">
        <color indexed="12"/>
      </bottom>
      <diagonal/>
    </border>
    <border>
      <left style="thin">
        <color indexed="12"/>
      </left>
      <right/>
      <top style="thin">
        <color indexed="12"/>
      </top>
      <bottom style="thin">
        <color indexed="12"/>
      </bottom>
      <diagonal/>
    </border>
    <border>
      <left/>
      <right/>
      <top/>
      <bottom style="thin">
        <color indexed="12"/>
      </bottom>
      <diagonal/>
    </border>
    <border>
      <left/>
      <right/>
      <top style="thin">
        <color indexed="12"/>
      </top>
      <bottom/>
      <diagonal/>
    </border>
    <border>
      <left style="thin">
        <color indexed="12"/>
      </left>
      <right style="thin">
        <color indexed="12"/>
      </right>
      <top style="thin">
        <color indexed="12"/>
      </top>
      <bottom/>
      <diagonal/>
    </border>
    <border>
      <left style="thin">
        <color indexed="12"/>
      </left>
      <right/>
      <top/>
      <bottom style="thin">
        <color indexed="12"/>
      </bottom>
      <diagonal/>
    </border>
    <border>
      <left style="thin">
        <color indexed="64"/>
      </left>
      <right/>
      <top/>
      <bottom style="thin">
        <color indexed="12"/>
      </bottom>
      <diagonal/>
    </border>
    <border>
      <left/>
      <right style="thin">
        <color indexed="12"/>
      </right>
      <top/>
      <bottom/>
      <diagonal/>
    </border>
    <border>
      <left style="thin">
        <color indexed="12"/>
      </left>
      <right/>
      <top style="medium">
        <color indexed="64"/>
      </top>
      <bottom style="thin">
        <color indexed="12"/>
      </bottom>
      <diagonal/>
    </border>
    <border>
      <left style="thin">
        <color indexed="12"/>
      </left>
      <right style="thin">
        <color indexed="12"/>
      </right>
      <top style="medium">
        <color indexed="64"/>
      </top>
      <bottom style="thin">
        <color indexed="12"/>
      </bottom>
      <diagonal/>
    </border>
    <border>
      <left style="thin">
        <color indexed="12"/>
      </left>
      <right style="thin">
        <color indexed="64"/>
      </right>
      <top style="medium">
        <color indexed="64"/>
      </top>
      <bottom style="thin">
        <color indexed="12"/>
      </bottom>
      <diagonal/>
    </border>
    <border>
      <left style="thin">
        <color indexed="12"/>
      </left>
      <right style="thin">
        <color indexed="64"/>
      </right>
      <top style="thin">
        <color indexed="12"/>
      </top>
      <bottom/>
      <diagonal/>
    </border>
    <border>
      <left style="thin">
        <color indexed="12"/>
      </left>
      <right style="thin">
        <color indexed="64"/>
      </right>
      <top/>
      <bottom/>
      <diagonal/>
    </border>
    <border>
      <left style="thin">
        <color indexed="12"/>
      </left>
      <right style="thin">
        <color indexed="12"/>
      </right>
      <top/>
      <bottom/>
      <diagonal/>
    </border>
    <border>
      <left style="thin">
        <color indexed="12"/>
      </left>
      <right/>
      <top/>
      <bottom style="thin">
        <color indexed="64"/>
      </bottom>
      <diagonal/>
    </border>
    <border>
      <left style="thin">
        <color indexed="12"/>
      </left>
      <right/>
      <top style="thin">
        <color indexed="12"/>
      </top>
      <bottom/>
      <diagonal/>
    </border>
    <border>
      <left style="thin">
        <color indexed="12"/>
      </left>
      <right style="thin">
        <color indexed="64"/>
      </right>
      <top/>
      <bottom style="thin">
        <color indexed="12"/>
      </bottom>
      <diagonal/>
    </border>
    <border>
      <left style="thin">
        <color indexed="64"/>
      </left>
      <right style="thin">
        <color indexed="12"/>
      </right>
      <top style="medium">
        <color indexed="64"/>
      </top>
      <bottom style="thin">
        <color indexed="12"/>
      </bottom>
      <diagonal/>
    </border>
    <border>
      <left style="thin">
        <color indexed="12"/>
      </left>
      <right style="thin">
        <color indexed="12"/>
      </right>
      <top style="thin">
        <color indexed="64"/>
      </top>
      <bottom style="thin">
        <color indexed="1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style="thin">
        <color indexed="64"/>
      </top>
      <bottom style="thin">
        <color indexed="64"/>
      </bottom>
      <diagonal/>
    </border>
    <border>
      <left style="thin">
        <color indexed="12"/>
      </left>
      <right/>
      <top style="medium">
        <color indexed="64"/>
      </top>
      <bottom/>
      <diagonal/>
    </border>
    <border>
      <left/>
      <right/>
      <top style="thin">
        <color indexed="12"/>
      </top>
      <bottom style="medium">
        <color indexed="64"/>
      </bottom>
      <diagonal/>
    </border>
    <border>
      <left/>
      <right style="thin">
        <color indexed="12"/>
      </right>
      <top/>
      <bottom style="thin">
        <color indexed="12"/>
      </bottom>
      <diagonal/>
    </border>
    <border>
      <left/>
      <right/>
      <top style="thin">
        <color indexed="12"/>
      </top>
      <bottom style="thin">
        <color indexed="12"/>
      </bottom>
      <diagonal/>
    </border>
    <border>
      <left style="thin">
        <color indexed="12"/>
      </left>
      <right style="thin">
        <color indexed="64"/>
      </right>
      <top style="thin">
        <color indexed="12"/>
      </top>
      <bottom style="thin">
        <color indexed="12"/>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12"/>
      </right>
      <top/>
      <bottom/>
      <diagonal/>
    </border>
    <border>
      <left/>
      <right/>
      <top style="thin">
        <color indexed="64"/>
      </top>
      <bottom style="thin">
        <color indexed="12"/>
      </bottom>
      <diagonal/>
    </border>
    <border>
      <left style="thin">
        <color indexed="12"/>
      </left>
      <right/>
      <top style="medium">
        <color indexed="64"/>
      </top>
      <bottom style="medium">
        <color indexed="64"/>
      </bottom>
      <diagonal/>
    </border>
    <border>
      <left/>
      <right style="thin">
        <color indexed="12"/>
      </right>
      <top style="thin">
        <color indexed="12"/>
      </top>
      <bottom/>
      <diagonal/>
    </border>
    <border>
      <left style="thin">
        <color indexed="64"/>
      </left>
      <right/>
      <top style="medium">
        <color indexed="64"/>
      </top>
      <bottom style="thin">
        <color indexed="64"/>
      </bottom>
      <diagonal/>
    </border>
    <border>
      <left/>
      <right style="medium">
        <color indexed="64"/>
      </right>
      <top style="thin">
        <color indexed="64"/>
      </top>
      <bottom/>
      <diagonal/>
    </border>
    <border>
      <left style="thin">
        <color indexed="64"/>
      </left>
      <right/>
      <top style="thin">
        <color indexed="64"/>
      </top>
      <bottom/>
      <diagonal/>
    </border>
    <border>
      <left/>
      <right style="thin">
        <color indexed="64"/>
      </right>
      <top/>
      <bottom style="medium">
        <color indexed="64"/>
      </bottom>
      <diagonal/>
    </border>
    <border>
      <left/>
      <right/>
      <top/>
      <bottom style="thin">
        <color indexed="8"/>
      </bottom>
      <diagonal/>
    </border>
    <border>
      <left/>
      <right/>
      <top style="medium">
        <color indexed="8"/>
      </top>
      <bottom/>
      <diagonal/>
    </border>
    <border>
      <left/>
      <right/>
      <top/>
      <bottom style="medium">
        <color indexed="8"/>
      </bottom>
      <diagonal/>
    </border>
    <border>
      <left style="medium">
        <color indexed="64"/>
      </left>
      <right/>
      <top style="medium">
        <color indexed="8"/>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right style="thin">
        <color indexed="12"/>
      </right>
      <top/>
      <bottom style="thin">
        <color indexed="64"/>
      </bottom>
      <diagonal/>
    </border>
    <border>
      <left/>
      <right style="thin">
        <color indexed="12"/>
      </right>
      <top/>
      <bottom style="medium">
        <color indexed="64"/>
      </bottom>
      <diagonal/>
    </border>
    <border>
      <left style="thin">
        <color indexed="12"/>
      </left>
      <right/>
      <top style="thin">
        <color indexed="12"/>
      </top>
      <bottom style="thin">
        <color indexed="64"/>
      </bottom>
      <diagonal/>
    </border>
    <border>
      <left/>
      <right/>
      <top style="thin">
        <color indexed="12"/>
      </top>
      <bottom style="thin">
        <color indexed="64"/>
      </bottom>
      <diagonal/>
    </border>
    <border>
      <left style="thin">
        <color indexed="12"/>
      </left>
      <right/>
      <top style="thin">
        <color rgb="FF0070C0"/>
      </top>
      <bottom style="thin">
        <color indexed="12"/>
      </bottom>
      <diagonal/>
    </border>
    <border>
      <left style="thin">
        <color rgb="FF0070C0"/>
      </left>
      <right/>
      <top style="thin">
        <color indexed="12"/>
      </top>
      <bottom/>
      <diagonal/>
    </border>
    <border>
      <left style="thin">
        <color indexed="12"/>
      </left>
      <right style="thin">
        <color rgb="FF0070C0"/>
      </right>
      <top style="thin">
        <color rgb="FF0070C0"/>
      </top>
      <bottom style="thin">
        <color indexed="12"/>
      </bottom>
      <diagonal/>
    </border>
    <border>
      <left style="thin">
        <color indexed="12"/>
      </left>
      <right/>
      <top style="thin">
        <color indexed="12"/>
      </top>
      <bottom style="thin">
        <color rgb="FF0000FF"/>
      </bottom>
      <diagonal/>
    </border>
    <border>
      <left style="thin">
        <color indexed="12"/>
      </left>
      <right style="thin">
        <color indexed="12"/>
      </right>
      <top style="thin">
        <color rgb="FF0000FF"/>
      </top>
      <bottom style="thin">
        <color indexed="12"/>
      </bottom>
      <diagonal/>
    </border>
    <border>
      <left/>
      <right/>
      <top style="thin">
        <color rgb="FF0000FF"/>
      </top>
      <bottom/>
      <diagonal/>
    </border>
    <border>
      <left style="thin">
        <color rgb="FF0000FF"/>
      </left>
      <right/>
      <top/>
      <bottom/>
      <diagonal/>
    </border>
    <border>
      <left style="thin">
        <color indexed="12"/>
      </left>
      <right style="thin">
        <color rgb="FF0000FF"/>
      </right>
      <top style="thin">
        <color indexed="12"/>
      </top>
      <bottom style="thin">
        <color rgb="FF0000FF"/>
      </bottom>
      <diagonal/>
    </border>
    <border>
      <left/>
      <right/>
      <top/>
      <bottom style="thin">
        <color rgb="FF0070C0"/>
      </bottom>
      <diagonal/>
    </border>
    <border>
      <left/>
      <right/>
      <top style="thin">
        <color indexed="64"/>
      </top>
      <bottom style="medium">
        <color indexed="64"/>
      </bottom>
      <diagonal/>
    </border>
    <border>
      <left/>
      <right style="thin">
        <color indexed="64"/>
      </right>
      <top style="medium">
        <color indexed="64"/>
      </top>
      <bottom style="thin">
        <color indexed="64"/>
      </bottom>
      <diagonal/>
    </border>
  </borders>
  <cellStyleXfs count="6">
    <xf numFmtId="0" fontId="0" fillId="0" borderId="0"/>
    <xf numFmtId="43" fontId="2" fillId="0" borderId="0" applyFont="0" applyFill="0" applyBorder="0" applyAlignment="0" applyProtection="0"/>
    <xf numFmtId="0" fontId="18" fillId="0" borderId="0" applyNumberFormat="0" applyFill="0" applyBorder="0" applyAlignment="0" applyProtection="0">
      <alignment vertical="top"/>
      <protection locked="0"/>
    </xf>
    <xf numFmtId="9" fontId="2" fillId="0" borderId="0" applyFont="0" applyFill="0" applyBorder="0" applyAlignment="0" applyProtection="0"/>
    <xf numFmtId="0" fontId="39" fillId="0" borderId="0"/>
    <xf numFmtId="0" fontId="39" fillId="0" borderId="0"/>
  </cellStyleXfs>
  <cellXfs count="1832">
    <xf numFmtId="0" fontId="0" fillId="0" borderId="0" xfId="0"/>
    <xf numFmtId="0" fontId="0" fillId="0" borderId="0" xfId="0" applyBorder="1"/>
    <xf numFmtId="164" fontId="5" fillId="0" borderId="0" xfId="3" applyNumberFormat="1" applyFont="1" applyBorder="1"/>
    <xf numFmtId="0" fontId="0" fillId="0" borderId="0" xfId="0" applyFill="1"/>
    <xf numFmtId="37" fontId="5" fillId="0" borderId="0" xfId="0" applyNumberFormat="1" applyFont="1" applyBorder="1"/>
    <xf numFmtId="0" fontId="6" fillId="0" borderId="0" xfId="0" applyFont="1" applyBorder="1" applyAlignment="1">
      <alignment horizontal="center"/>
    </xf>
    <xf numFmtId="0" fontId="6" fillId="0" borderId="1" xfId="0" applyFont="1" applyBorder="1" applyAlignment="1">
      <alignment horizontal="center"/>
    </xf>
    <xf numFmtId="0" fontId="6" fillId="0" borderId="1" xfId="0" applyFont="1" applyBorder="1"/>
    <xf numFmtId="0" fontId="0" fillId="0" borderId="0" xfId="0" applyAlignment="1">
      <alignment horizontal="right"/>
    </xf>
    <xf numFmtId="37" fontId="5" fillId="0" borderId="0" xfId="0" applyNumberFormat="1" applyFont="1" applyFill="1" applyBorder="1"/>
    <xf numFmtId="164" fontId="5" fillId="0" borderId="0" xfId="3" applyNumberFormat="1" applyFont="1"/>
    <xf numFmtId="49" fontId="0" fillId="0" borderId="0" xfId="1" applyNumberFormat="1" applyFont="1" applyAlignment="1">
      <alignment horizontal="right"/>
    </xf>
    <xf numFmtId="0" fontId="4" fillId="0" borderId="0" xfId="0" applyFont="1" applyAlignment="1">
      <alignment horizontal="right"/>
    </xf>
    <xf numFmtId="0" fontId="6" fillId="0" borderId="0" xfId="0" applyFont="1" applyAlignment="1">
      <alignment horizontal="center"/>
    </xf>
    <xf numFmtId="37" fontId="5" fillId="0" borderId="0" xfId="0" applyNumberFormat="1" applyFont="1" applyBorder="1" applyAlignment="1">
      <alignment horizontal="right"/>
    </xf>
    <xf numFmtId="37" fontId="4" fillId="0" borderId="0" xfId="0" applyNumberFormat="1" applyFont="1" applyBorder="1" applyAlignment="1">
      <alignment horizontal="right"/>
    </xf>
    <xf numFmtId="37" fontId="5" fillId="0" borderId="0" xfId="0" applyNumberFormat="1" applyFont="1"/>
    <xf numFmtId="0" fontId="6" fillId="0" borderId="0" xfId="0" applyFont="1" applyAlignment="1">
      <alignment horizontal="right"/>
    </xf>
    <xf numFmtId="164" fontId="4" fillId="0" borderId="0" xfId="3" applyNumberFormat="1" applyFont="1" applyBorder="1" applyAlignment="1">
      <alignment horizontal="right"/>
    </xf>
    <xf numFmtId="164" fontId="4" fillId="0" borderId="0" xfId="3" applyNumberFormat="1" applyFont="1" applyFill="1" applyBorder="1" applyAlignment="1">
      <alignment horizontal="right"/>
    </xf>
    <xf numFmtId="0" fontId="3" fillId="0" borderId="0" xfId="0" applyFont="1"/>
    <xf numFmtId="0" fontId="4" fillId="0" borderId="0" xfId="0" applyFont="1"/>
    <xf numFmtId="0" fontId="6" fillId="0" borderId="0" xfId="0" applyFont="1"/>
    <xf numFmtId="166" fontId="5" fillId="0" borderId="0" xfId="0" applyNumberFormat="1" applyFont="1" applyAlignment="1">
      <alignment horizontal="center"/>
    </xf>
    <xf numFmtId="3" fontId="6" fillId="0" borderId="0" xfId="0" applyNumberFormat="1" applyFont="1" applyAlignment="1">
      <alignment horizontal="center"/>
    </xf>
    <xf numFmtId="49" fontId="6" fillId="0" borderId="1" xfId="1" applyNumberFormat="1" applyFont="1" applyBorder="1" applyAlignment="1">
      <alignment horizontal="left"/>
    </xf>
    <xf numFmtId="3" fontId="6" fillId="0" borderId="1" xfId="0" applyNumberFormat="1" applyFont="1" applyBorder="1" applyAlignment="1">
      <alignment horizontal="center"/>
    </xf>
    <xf numFmtId="1" fontId="6" fillId="0" borderId="1" xfId="0" quotePrefix="1" applyNumberFormat="1" applyFont="1" applyBorder="1" applyAlignment="1">
      <alignment horizontal="center"/>
    </xf>
    <xf numFmtId="49" fontId="6" fillId="0" borderId="0" xfId="1" applyNumberFormat="1" applyFont="1" applyAlignment="1">
      <alignment horizontal="left"/>
    </xf>
    <xf numFmtId="37" fontId="4" fillId="0" borderId="0" xfId="0" applyNumberFormat="1" applyFont="1"/>
    <xf numFmtId="37" fontId="10" fillId="0" borderId="0" xfId="0" applyNumberFormat="1" applyFont="1"/>
    <xf numFmtId="37" fontId="0" fillId="0" borderId="0" xfId="0" applyNumberFormat="1"/>
    <xf numFmtId="3" fontId="5" fillId="0" borderId="0" xfId="0" applyNumberFormat="1" applyFont="1"/>
    <xf numFmtId="37" fontId="9" fillId="0" borderId="0" xfId="0" applyNumberFormat="1" applyFont="1"/>
    <xf numFmtId="37" fontId="4" fillId="0" borderId="1" xfId="0" applyNumberFormat="1" applyFont="1" applyBorder="1"/>
    <xf numFmtId="37" fontId="9" fillId="0" borderId="1" xfId="0" applyNumberFormat="1" applyFont="1" applyBorder="1"/>
    <xf numFmtId="3" fontId="8" fillId="0" borderId="0" xfId="0" applyNumberFormat="1" applyFont="1"/>
    <xf numFmtId="164" fontId="9" fillId="0" borderId="0" xfId="3" applyNumberFormat="1" applyFont="1"/>
    <xf numFmtId="37" fontId="0" fillId="0" borderId="1" xfId="0" applyNumberFormat="1" applyBorder="1"/>
    <xf numFmtId="3" fontId="4" fillId="0" borderId="0" xfId="0" applyNumberFormat="1" applyFont="1"/>
    <xf numFmtId="164" fontId="4" fillId="0" borderId="0" xfId="3" applyNumberFormat="1" applyFont="1"/>
    <xf numFmtId="3" fontId="8" fillId="0" borderId="0" xfId="0" quotePrefix="1" applyNumberFormat="1" applyFont="1"/>
    <xf numFmtId="3" fontId="0" fillId="0" borderId="0" xfId="0" applyNumberFormat="1" applyFill="1"/>
    <xf numFmtId="9" fontId="0" fillId="0" borderId="0" xfId="3" applyFont="1"/>
    <xf numFmtId="164" fontId="0" fillId="0" borderId="0" xfId="3" applyNumberFormat="1" applyFont="1"/>
    <xf numFmtId="166" fontId="0" fillId="0" borderId="0" xfId="0" applyNumberFormat="1" applyFill="1" applyAlignment="1">
      <alignment horizontal="center"/>
    </xf>
    <xf numFmtId="166" fontId="0" fillId="0" borderId="0" xfId="0" applyNumberFormat="1" applyAlignment="1">
      <alignment horizontal="center"/>
    </xf>
    <xf numFmtId="37" fontId="5" fillId="0" borderId="0" xfId="0" applyNumberFormat="1" applyFont="1" applyAlignment="1">
      <alignment horizontal="left"/>
    </xf>
    <xf numFmtId="37" fontId="0" fillId="0" borderId="0" xfId="0" applyNumberFormat="1" applyAlignment="1">
      <alignment horizontal="left"/>
    </xf>
    <xf numFmtId="3" fontId="0" fillId="0" borderId="0" xfId="0" applyNumberFormat="1"/>
    <xf numFmtId="1" fontId="6" fillId="0" borderId="0" xfId="0" applyNumberFormat="1" applyFont="1" applyAlignment="1">
      <alignment horizontal="center"/>
    </xf>
    <xf numFmtId="1" fontId="6" fillId="0" borderId="1" xfId="0" applyNumberFormat="1" applyFont="1" applyBorder="1" applyAlignment="1">
      <alignment horizontal="center"/>
    </xf>
    <xf numFmtId="164" fontId="6" fillId="0" borderId="0" xfId="3" applyNumberFormat="1" applyFont="1" applyAlignment="1">
      <alignment horizontal="right"/>
    </xf>
    <xf numFmtId="167" fontId="4" fillId="0" borderId="0" xfId="0" applyNumberFormat="1" applyFont="1" applyFill="1" applyBorder="1" applyProtection="1"/>
    <xf numFmtId="5" fontId="4" fillId="0" borderId="0" xfId="0" applyNumberFormat="1" applyFont="1" applyFill="1" applyBorder="1"/>
    <xf numFmtId="168" fontId="4" fillId="0" borderId="0" xfId="0" applyNumberFormat="1" applyFont="1" applyFill="1" applyBorder="1"/>
    <xf numFmtId="164" fontId="4" fillId="0" borderId="0" xfId="0" applyNumberFormat="1" applyFont="1" applyFill="1" applyBorder="1" applyProtection="1"/>
    <xf numFmtId="167" fontId="4" fillId="0" borderId="0" xfId="0" applyNumberFormat="1" applyFont="1" applyFill="1" applyBorder="1" applyAlignment="1">
      <alignment horizontal="center"/>
    </xf>
    <xf numFmtId="168" fontId="4" fillId="0" borderId="0" xfId="0" applyNumberFormat="1" applyFont="1" applyFill="1" applyBorder="1" applyAlignment="1">
      <alignment horizontal="center"/>
    </xf>
    <xf numFmtId="0" fontId="4" fillId="0" borderId="0" xfId="0" applyFont="1" applyFill="1" applyBorder="1"/>
    <xf numFmtId="9" fontId="5" fillId="0" borderId="0" xfId="3" applyFont="1" applyBorder="1" applyAlignment="1">
      <alignment horizontal="right"/>
    </xf>
    <xf numFmtId="9" fontId="4" fillId="0" borderId="0" xfId="3" applyFont="1" applyBorder="1" applyAlignment="1">
      <alignment horizontal="right"/>
    </xf>
    <xf numFmtId="37" fontId="0" fillId="0" borderId="0" xfId="0" applyNumberFormat="1" applyAlignment="1">
      <alignment horizontal="center"/>
    </xf>
    <xf numFmtId="9" fontId="10" fillId="0" borderId="0" xfId="3" applyFont="1" applyBorder="1" applyAlignment="1">
      <alignment horizontal="right"/>
    </xf>
    <xf numFmtId="37" fontId="6" fillId="0" borderId="1" xfId="0" applyNumberFormat="1" applyFont="1" applyBorder="1" applyAlignment="1">
      <alignment horizontal="center"/>
    </xf>
    <xf numFmtId="37" fontId="4" fillId="0" borderId="0" xfId="0" applyNumberFormat="1" applyFont="1" applyFill="1"/>
    <xf numFmtId="0" fontId="6" fillId="0" borderId="0" xfId="0" applyFont="1" applyAlignment="1">
      <alignment horizontal="left"/>
    </xf>
    <xf numFmtId="9" fontId="9" fillId="0" borderId="0" xfId="3" applyFont="1"/>
    <xf numFmtId="0" fontId="14" fillId="0" borderId="0" xfId="0" applyFont="1"/>
    <xf numFmtId="0" fontId="0" fillId="2" borderId="0" xfId="0" applyFill="1"/>
    <xf numFmtId="0" fontId="6" fillId="0" borderId="0" xfId="0" applyFont="1" applyBorder="1"/>
    <xf numFmtId="3" fontId="6" fillId="0" borderId="0" xfId="0" applyNumberFormat="1" applyFont="1" applyBorder="1" applyAlignment="1">
      <alignment horizontal="center"/>
    </xf>
    <xf numFmtId="49" fontId="4" fillId="0" borderId="0" xfId="1" applyNumberFormat="1" applyFont="1" applyAlignment="1">
      <alignment horizontal="left"/>
    </xf>
    <xf numFmtId="37" fontId="4" fillId="0" borderId="0" xfId="0" quotePrefix="1" applyNumberFormat="1" applyFont="1"/>
    <xf numFmtId="1" fontId="6" fillId="0" borderId="0" xfId="0" quotePrefix="1" applyNumberFormat="1" applyFont="1" applyBorder="1" applyAlignment="1">
      <alignment horizontal="center"/>
    </xf>
    <xf numFmtId="1" fontId="6" fillId="0" borderId="0" xfId="0" applyNumberFormat="1" applyFont="1" applyBorder="1" applyAlignment="1">
      <alignment horizontal="center"/>
    </xf>
    <xf numFmtId="0" fontId="16" fillId="0" borderId="0" xfId="0" applyFont="1" applyAlignment="1">
      <alignment horizontal="center"/>
    </xf>
    <xf numFmtId="37" fontId="17" fillId="0" borderId="0" xfId="0" applyNumberFormat="1" applyFont="1"/>
    <xf numFmtId="37" fontId="4" fillId="0" borderId="0" xfId="0" applyNumberFormat="1" applyFont="1" applyAlignment="1">
      <alignment horizontal="right"/>
    </xf>
    <xf numFmtId="0" fontId="6" fillId="0" borderId="0" xfId="0" quotePrefix="1" applyFont="1" applyAlignment="1">
      <alignment horizontal="center"/>
    </xf>
    <xf numFmtId="37" fontId="6" fillId="0" borderId="0" xfId="0" applyNumberFormat="1" applyFont="1" applyAlignment="1">
      <alignment horizontal="center"/>
    </xf>
    <xf numFmtId="37" fontId="0" fillId="0" borderId="0" xfId="0" applyNumberFormat="1" applyAlignment="1">
      <alignment horizontal="right"/>
    </xf>
    <xf numFmtId="37" fontId="4" fillId="0" borderId="1" xfId="0" applyNumberFormat="1" applyFont="1" applyBorder="1" applyAlignment="1">
      <alignment horizontal="right"/>
    </xf>
    <xf numFmtId="37" fontId="0" fillId="0" borderId="1" xfId="0" applyNumberFormat="1" applyBorder="1" applyAlignment="1">
      <alignment horizontal="right"/>
    </xf>
    <xf numFmtId="0" fontId="2" fillId="0" borderId="0" xfId="0" applyFont="1" applyAlignment="1">
      <alignment horizontal="left"/>
    </xf>
    <xf numFmtId="37" fontId="9" fillId="0" borderId="0" xfId="0" applyNumberFormat="1" applyFont="1" applyBorder="1" applyAlignment="1">
      <alignment horizontal="right"/>
    </xf>
    <xf numFmtId="0" fontId="0" fillId="0" borderId="0" xfId="0" applyAlignment="1">
      <alignment horizontal="center"/>
    </xf>
    <xf numFmtId="170" fontId="0" fillId="0" borderId="0" xfId="1" applyNumberFormat="1" applyFont="1" applyAlignment="1">
      <alignment horizontal="center"/>
    </xf>
    <xf numFmtId="37" fontId="0" fillId="0" borderId="0" xfId="0" applyNumberFormat="1" applyBorder="1"/>
    <xf numFmtId="0" fontId="0" fillId="0" borderId="0" xfId="0" applyFill="1" applyBorder="1"/>
    <xf numFmtId="164" fontId="0" fillId="0" borderId="0" xfId="3" applyNumberFormat="1" applyFont="1" applyAlignment="1">
      <alignment horizontal="center"/>
    </xf>
    <xf numFmtId="0" fontId="4" fillId="0" borderId="0" xfId="0" applyFont="1" applyBorder="1"/>
    <xf numFmtId="170" fontId="0" fillId="0" borderId="0" xfId="1" applyNumberFormat="1" applyFont="1"/>
    <xf numFmtId="37" fontId="19" fillId="0" borderId="0" xfId="0" applyNumberFormat="1" applyFont="1"/>
    <xf numFmtId="0" fontId="9" fillId="0" borderId="0" xfId="3" applyNumberFormat="1" applyFont="1"/>
    <xf numFmtId="0" fontId="9" fillId="0" borderId="0" xfId="3" applyNumberFormat="1" applyFont="1" applyAlignment="1">
      <alignment horizontal="right"/>
    </xf>
    <xf numFmtId="3" fontId="8" fillId="0" borderId="0" xfId="0" applyNumberFormat="1" applyFont="1" applyBorder="1" applyAlignment="1">
      <alignment horizontal="right"/>
    </xf>
    <xf numFmtId="37" fontId="20" fillId="0" borderId="0" xfId="0" applyNumberFormat="1" applyFont="1"/>
    <xf numFmtId="37" fontId="20" fillId="0" borderId="1" xfId="0" applyNumberFormat="1" applyFont="1" applyBorder="1"/>
    <xf numFmtId="0" fontId="16" fillId="0" borderId="0" xfId="0" applyFont="1"/>
    <xf numFmtId="0" fontId="7" fillId="0" borderId="0" xfId="0" applyFont="1"/>
    <xf numFmtId="0" fontId="0" fillId="0" borderId="0" xfId="0" applyNumberFormat="1"/>
    <xf numFmtId="37" fontId="4" fillId="0" borderId="0" xfId="0" applyNumberFormat="1" applyFont="1" applyBorder="1"/>
    <xf numFmtId="37" fontId="0" fillId="0" borderId="0" xfId="0" applyNumberFormat="1" applyBorder="1" applyAlignment="1">
      <alignment horizontal="right"/>
    </xf>
    <xf numFmtId="171" fontId="6" fillId="0" borderId="0" xfId="0" applyNumberFormat="1" applyFont="1" applyAlignment="1">
      <alignment horizontal="center"/>
    </xf>
    <xf numFmtId="9" fontId="6" fillId="0" borderId="0" xfId="0" applyNumberFormat="1" applyFont="1" applyAlignment="1">
      <alignment horizontal="center"/>
    </xf>
    <xf numFmtId="0" fontId="4" fillId="0" borderId="0" xfId="0" applyFont="1" applyBorder="1" applyAlignment="1">
      <alignment horizontal="center"/>
    </xf>
    <xf numFmtId="3" fontId="9" fillId="0" borderId="0" xfId="0" applyNumberFormat="1" applyFont="1" applyAlignment="1">
      <alignment horizontal="center"/>
    </xf>
    <xf numFmtId="3" fontId="4" fillId="0" borderId="0" xfId="0" applyNumberFormat="1" applyFont="1" applyAlignment="1">
      <alignment horizontal="center"/>
    </xf>
    <xf numFmtId="0" fontId="6" fillId="0" borderId="0" xfId="0" applyFont="1" applyFill="1" applyBorder="1" applyAlignment="1">
      <alignment horizontal="center"/>
    </xf>
    <xf numFmtId="37" fontId="9" fillId="0" borderId="0" xfId="0" applyNumberFormat="1" applyFont="1" applyBorder="1"/>
    <xf numFmtId="3" fontId="0" fillId="0" borderId="0" xfId="0" applyNumberFormat="1" applyFill="1" applyBorder="1"/>
    <xf numFmtId="0" fontId="6" fillId="0" borderId="0" xfId="0" applyFont="1" applyAlignment="1"/>
    <xf numFmtId="9" fontId="4" fillId="0" borderId="0" xfId="3" applyFont="1"/>
    <xf numFmtId="9" fontId="6" fillId="0" borderId="0" xfId="3" applyFont="1" applyAlignment="1">
      <alignment horizontal="center"/>
    </xf>
    <xf numFmtId="0" fontId="14" fillId="0" borderId="0" xfId="0" applyFont="1" applyAlignment="1">
      <alignment horizontal="center"/>
    </xf>
    <xf numFmtId="37" fontId="20" fillId="0" borderId="0" xfId="0" applyNumberFormat="1" applyFont="1" applyAlignment="1">
      <alignment horizontal="right"/>
    </xf>
    <xf numFmtId="164" fontId="4" fillId="0" borderId="0" xfId="3" applyNumberFormat="1" applyFont="1" applyAlignment="1">
      <alignment horizontal="right"/>
    </xf>
    <xf numFmtId="164" fontId="0" fillId="0" borderId="0" xfId="3" applyNumberFormat="1" applyFont="1" applyAlignment="1">
      <alignment horizontal="right"/>
    </xf>
    <xf numFmtId="37" fontId="8" fillId="0" borderId="0" xfId="0" applyNumberFormat="1" applyFont="1" applyAlignment="1">
      <alignment horizontal="center"/>
    </xf>
    <xf numFmtId="3" fontId="0" fillId="0" borderId="0" xfId="0" applyNumberFormat="1" applyBorder="1"/>
    <xf numFmtId="3" fontId="4" fillId="0" borderId="0" xfId="0" applyNumberFormat="1" applyFont="1" applyBorder="1"/>
    <xf numFmtId="164" fontId="0" fillId="0" borderId="0" xfId="3" applyNumberFormat="1" applyFont="1" applyBorder="1"/>
    <xf numFmtId="37" fontId="6" fillId="0" borderId="0" xfId="0" applyNumberFormat="1" applyFont="1" applyFill="1" applyBorder="1"/>
    <xf numFmtId="37" fontId="8" fillId="0" borderId="0" xfId="0" applyNumberFormat="1" applyFont="1" applyFill="1" applyBorder="1"/>
    <xf numFmtId="0" fontId="14" fillId="0" borderId="0" xfId="0" quotePrefix="1" applyFont="1"/>
    <xf numFmtId="37" fontId="0" fillId="0" borderId="0" xfId="0" quotePrefix="1" applyNumberFormat="1" applyBorder="1"/>
    <xf numFmtId="37" fontId="0" fillId="0" borderId="1" xfId="0" quotePrefix="1" applyNumberFormat="1" applyBorder="1"/>
    <xf numFmtId="9" fontId="4" fillId="0" borderId="0" xfId="3" applyFont="1" applyAlignment="1">
      <alignment horizontal="right"/>
    </xf>
    <xf numFmtId="170" fontId="2" fillId="0" borderId="0" xfId="1" applyNumberFormat="1" applyFont="1"/>
    <xf numFmtId="170" fontId="0" fillId="0" borderId="0" xfId="0" applyNumberFormat="1"/>
    <xf numFmtId="9" fontId="9" fillId="0" borderId="0" xfId="3" applyFont="1" applyBorder="1" applyAlignment="1">
      <alignment horizontal="center"/>
    </xf>
    <xf numFmtId="164" fontId="6" fillId="0" borderId="0" xfId="3" applyNumberFormat="1" applyFont="1"/>
    <xf numFmtId="0" fontId="11" fillId="0" borderId="1" xfId="0" applyFont="1" applyBorder="1"/>
    <xf numFmtId="14" fontId="6" fillId="0" borderId="0" xfId="0" quotePrefix="1" applyNumberFormat="1" applyFont="1" applyBorder="1" applyAlignment="1">
      <alignment horizontal="center"/>
    </xf>
    <xf numFmtId="170" fontId="0" fillId="0" borderId="0" xfId="1" applyNumberFormat="1" applyFont="1" applyBorder="1"/>
    <xf numFmtId="0" fontId="0" fillId="0" borderId="0" xfId="0" applyAlignment="1">
      <alignment horizontal="left"/>
    </xf>
    <xf numFmtId="0" fontId="2" fillId="2" borderId="0" xfId="0" applyFont="1" applyFill="1"/>
    <xf numFmtId="0" fontId="4" fillId="0" borderId="0" xfId="0" applyFont="1" applyFill="1" applyBorder="1" applyAlignment="1"/>
    <xf numFmtId="0" fontId="0" fillId="0" borderId="1" xfId="0" applyBorder="1"/>
    <xf numFmtId="0" fontId="8" fillId="0" borderId="0" xfId="0" applyFont="1" applyAlignment="1"/>
    <xf numFmtId="0" fontId="11" fillId="0" borderId="0" xfId="0" applyFont="1" applyBorder="1" applyAlignment="1">
      <alignment horizontal="left"/>
    </xf>
    <xf numFmtId="14" fontId="6" fillId="0" borderId="0" xfId="0" applyNumberFormat="1" applyFont="1" applyBorder="1" applyAlignment="1">
      <alignment horizontal="center"/>
    </xf>
    <xf numFmtId="0" fontId="4" fillId="0" borderId="0" xfId="0" applyFont="1" applyBorder="1" applyAlignment="1">
      <alignment horizontal="left"/>
    </xf>
    <xf numFmtId="0" fontId="8" fillId="0" borderId="0" xfId="0" applyFont="1" applyAlignment="1">
      <alignment horizontal="left"/>
    </xf>
    <xf numFmtId="164" fontId="9" fillId="0" borderId="0" xfId="3" applyNumberFormat="1" applyFont="1" applyBorder="1" applyAlignment="1">
      <alignment horizontal="center"/>
    </xf>
    <xf numFmtId="0" fontId="31" fillId="0" borderId="0" xfId="2" applyFont="1" applyAlignment="1" applyProtection="1"/>
    <xf numFmtId="0" fontId="6" fillId="0" borderId="0" xfId="0" applyFont="1" applyBorder="1" applyAlignment="1">
      <alignment horizontal="left"/>
    </xf>
    <xf numFmtId="0" fontId="6" fillId="0" borderId="0" xfId="0" applyFont="1" applyFill="1" applyBorder="1" applyAlignment="1">
      <alignment horizontal="left"/>
    </xf>
    <xf numFmtId="164" fontId="0" fillId="0" borderId="0" xfId="3" applyNumberFormat="1" applyFont="1" applyBorder="1" applyAlignment="1">
      <alignment horizontal="center"/>
    </xf>
    <xf numFmtId="0" fontId="4" fillId="0" borderId="0" xfId="0" applyFont="1" applyBorder="1" applyAlignment="1"/>
    <xf numFmtId="0" fontId="14" fillId="0" borderId="0" xfId="0" applyFont="1" applyAlignment="1">
      <alignment horizontal="left"/>
    </xf>
    <xf numFmtId="37" fontId="7" fillId="0" borderId="0" xfId="0" applyNumberFormat="1" applyFont="1"/>
    <xf numFmtId="0" fontId="4" fillId="0" borderId="0" xfId="0" quotePrefix="1" applyFont="1" applyBorder="1" applyAlignment="1">
      <alignment horizontal="center"/>
    </xf>
    <xf numFmtId="165" fontId="6" fillId="0" borderId="0" xfId="0" applyNumberFormat="1" applyFont="1" applyBorder="1" applyAlignment="1"/>
    <xf numFmtId="0" fontId="2" fillId="0" borderId="0" xfId="0" applyFont="1" applyAlignment="1"/>
    <xf numFmtId="165" fontId="4" fillId="0" borderId="0" xfId="0" applyNumberFormat="1" applyFont="1" applyFill="1" applyBorder="1" applyAlignment="1"/>
    <xf numFmtId="0" fontId="14" fillId="0" borderId="0" xfId="0" applyFont="1" applyAlignment="1"/>
    <xf numFmtId="0" fontId="0" fillId="0" borderId="0" xfId="0" applyAlignment="1"/>
    <xf numFmtId="0" fontId="4" fillId="0" borderId="0" xfId="0" applyFont="1" applyAlignment="1"/>
    <xf numFmtId="0" fontId="18" fillId="0" borderId="0" xfId="2" applyAlignment="1" applyProtection="1"/>
    <xf numFmtId="0" fontId="16" fillId="0" borderId="0" xfId="0" applyFont="1" applyAlignment="1"/>
    <xf numFmtId="3" fontId="8" fillId="0" borderId="0" xfId="0" applyNumberFormat="1" applyFont="1" applyBorder="1" applyAlignment="1"/>
    <xf numFmtId="0" fontId="2" fillId="0" borderId="0" xfId="0" applyFont="1" applyBorder="1" applyAlignment="1"/>
    <xf numFmtId="0" fontId="2" fillId="0" borderId="0" xfId="0" applyFont="1" applyBorder="1" applyAlignment="1">
      <alignment horizontal="left"/>
    </xf>
    <xf numFmtId="171" fontId="0" fillId="0" borderId="0" xfId="0" applyNumberFormat="1" applyFill="1"/>
    <xf numFmtId="170" fontId="0" fillId="0" borderId="0" xfId="1" applyNumberFormat="1" applyFont="1" applyFill="1"/>
    <xf numFmtId="0" fontId="6" fillId="0" borderId="1" xfId="0" applyFont="1" applyFill="1" applyBorder="1" applyAlignment="1">
      <alignment horizontal="left"/>
    </xf>
    <xf numFmtId="0" fontId="6" fillId="0" borderId="1" xfId="0" applyFont="1" applyFill="1" applyBorder="1" applyAlignment="1">
      <alignment horizontal="center"/>
    </xf>
    <xf numFmtId="0" fontId="6" fillId="0" borderId="1" xfId="0" applyFont="1" applyBorder="1" applyAlignment="1"/>
    <xf numFmtId="0" fontId="8" fillId="0" borderId="0" xfId="0" applyFont="1" applyBorder="1" applyAlignment="1">
      <alignment horizontal="left"/>
    </xf>
    <xf numFmtId="0" fontId="16" fillId="0" borderId="0" xfId="0" applyFont="1" applyAlignment="1">
      <alignment horizontal="left"/>
    </xf>
    <xf numFmtId="0" fontId="29" fillId="0" borderId="0" xfId="2" applyFont="1" applyAlignment="1" applyProtection="1">
      <alignment horizontal="left"/>
    </xf>
    <xf numFmtId="0" fontId="8" fillId="0" borderId="0" xfId="0" applyFont="1" applyBorder="1" applyAlignment="1"/>
    <xf numFmtId="165" fontId="0" fillId="0" borderId="0" xfId="0" applyNumberFormat="1" applyAlignment="1"/>
    <xf numFmtId="49" fontId="4" fillId="0" borderId="0" xfId="1" applyNumberFormat="1" applyFont="1" applyAlignment="1"/>
    <xf numFmtId="170" fontId="4" fillId="0" borderId="0" xfId="1" quotePrefix="1" applyNumberFormat="1" applyFont="1" applyBorder="1" applyAlignment="1">
      <alignment horizontal="center"/>
    </xf>
    <xf numFmtId="0" fontId="0" fillId="2" borderId="0" xfId="0" applyFill="1" applyAlignment="1"/>
    <xf numFmtId="0" fontId="33" fillId="0" borderId="0" xfId="0" applyFont="1" applyAlignment="1">
      <alignment horizontal="left"/>
    </xf>
    <xf numFmtId="0" fontId="6" fillId="0" borderId="0" xfId="0" applyFont="1" applyFill="1" applyBorder="1"/>
    <xf numFmtId="0" fontId="6" fillId="0" borderId="1" xfId="0" applyFont="1" applyFill="1" applyBorder="1"/>
    <xf numFmtId="9" fontId="4" fillId="0" borderId="0" xfId="0" applyNumberFormat="1" applyFont="1" applyAlignment="1">
      <alignment horizontal="right"/>
    </xf>
    <xf numFmtId="37" fontId="6" fillId="0" borderId="0" xfId="0" applyNumberFormat="1" applyFont="1" applyFill="1" applyBorder="1" applyAlignment="1">
      <alignment horizontal="center"/>
    </xf>
    <xf numFmtId="0" fontId="0" fillId="0" borderId="0" xfId="0" applyBorder="1" applyAlignment="1">
      <alignment horizontal="center"/>
    </xf>
    <xf numFmtId="164" fontId="7" fillId="0" borderId="0" xfId="3" applyNumberFormat="1" applyFont="1"/>
    <xf numFmtId="164" fontId="4" fillId="0" borderId="0" xfId="0" applyNumberFormat="1" applyFont="1" applyAlignment="1">
      <alignment horizontal="right"/>
    </xf>
    <xf numFmtId="0" fontId="23" fillId="0" borderId="0" xfId="0" applyFont="1" applyBorder="1" applyAlignment="1"/>
    <xf numFmtId="169" fontId="0" fillId="0" borderId="2" xfId="1" applyNumberFormat="1" applyFont="1" applyBorder="1"/>
    <xf numFmtId="169" fontId="0" fillId="0" borderId="2" xfId="1" applyNumberFormat="1" applyFont="1" applyBorder="1" applyAlignment="1"/>
    <xf numFmtId="0" fontId="36" fillId="0" borderId="0" xfId="2" applyFont="1" applyBorder="1" applyAlignment="1" applyProtection="1"/>
    <xf numFmtId="37" fontId="0" fillId="0" borderId="0" xfId="0" applyNumberFormat="1" applyFill="1"/>
    <xf numFmtId="37" fontId="4" fillId="0" borderId="0" xfId="0" applyNumberFormat="1" applyFont="1" applyFill="1" applyBorder="1"/>
    <xf numFmtId="37" fontId="0" fillId="0" borderId="0" xfId="0" applyNumberFormat="1" applyFill="1" applyBorder="1"/>
    <xf numFmtId="37" fontId="0" fillId="0" borderId="1" xfId="0" applyNumberFormat="1" applyFill="1" applyBorder="1"/>
    <xf numFmtId="0" fontId="0" fillId="0" borderId="0" xfId="0" applyFill="1" applyBorder="1" applyAlignment="1"/>
    <xf numFmtId="165" fontId="35" fillId="0" borderId="0" xfId="0" applyNumberFormat="1" applyFont="1" applyAlignment="1"/>
    <xf numFmtId="3" fontId="5" fillId="0" borderId="0" xfId="0" applyNumberFormat="1" applyFont="1" applyAlignment="1">
      <alignment horizontal="left"/>
    </xf>
    <xf numFmtId="37" fontId="23" fillId="0" borderId="0" xfId="0" quotePrefix="1" applyNumberFormat="1" applyFont="1"/>
    <xf numFmtId="0" fontId="6" fillId="0" borderId="0" xfId="0" applyFont="1" applyFill="1" applyBorder="1" applyAlignment="1"/>
    <xf numFmtId="37" fontId="23" fillId="0" borderId="0" xfId="0" applyNumberFormat="1" applyFont="1" applyAlignment="1">
      <alignment horizontal="center"/>
    </xf>
    <xf numFmtId="169" fontId="0" fillId="0" borderId="2" xfId="1" applyNumberFormat="1" applyFont="1" applyFill="1" applyBorder="1"/>
    <xf numFmtId="169" fontId="0" fillId="0" borderId="3" xfId="1" applyNumberFormat="1" applyFont="1" applyFill="1" applyBorder="1"/>
    <xf numFmtId="170" fontId="0" fillId="0" borderId="1" xfId="1" applyNumberFormat="1" applyFont="1" applyFill="1" applyBorder="1"/>
    <xf numFmtId="37" fontId="6" fillId="0" borderId="0" xfId="0" applyNumberFormat="1" applyFont="1" applyBorder="1" applyAlignment="1"/>
    <xf numFmtId="37" fontId="6" fillId="0" borderId="0" xfId="0" applyNumberFormat="1" applyFont="1" applyBorder="1"/>
    <xf numFmtId="49" fontId="6" fillId="0" borderId="0" xfId="1" applyNumberFormat="1" applyFont="1" applyAlignment="1">
      <alignment horizontal="right"/>
    </xf>
    <xf numFmtId="0" fontId="3" fillId="0" borderId="0" xfId="0" applyFont="1" applyBorder="1" applyAlignment="1">
      <alignment horizontal="left"/>
    </xf>
    <xf numFmtId="3" fontId="5" fillId="0" borderId="0" xfId="0" applyNumberFormat="1" applyFont="1" applyAlignment="1"/>
    <xf numFmtId="0" fontId="4" fillId="0" borderId="1" xfId="0" applyFont="1" applyBorder="1" applyAlignment="1">
      <alignment horizontal="left"/>
    </xf>
    <xf numFmtId="164" fontId="9" fillId="0" borderId="0" xfId="3" applyNumberFormat="1" applyFont="1" applyBorder="1"/>
    <xf numFmtId="170" fontId="0" fillId="0" borderId="0" xfId="1" applyNumberFormat="1" applyFont="1" applyProtection="1">
      <protection locked="0"/>
    </xf>
    <xf numFmtId="10" fontId="0" fillId="0" borderId="0" xfId="3" applyNumberFormat="1" applyFont="1" applyProtection="1">
      <protection locked="0"/>
    </xf>
    <xf numFmtId="0" fontId="0" fillId="0" borderId="0" xfId="0" applyProtection="1">
      <protection locked="0"/>
    </xf>
    <xf numFmtId="37" fontId="12" fillId="0" borderId="4" xfId="0" applyNumberFormat="1" applyFont="1" applyBorder="1" applyProtection="1">
      <protection locked="0"/>
    </xf>
    <xf numFmtId="37" fontId="5" fillId="0" borderId="4" xfId="0" applyNumberFormat="1" applyFont="1" applyBorder="1" applyProtection="1">
      <protection locked="0"/>
    </xf>
    <xf numFmtId="0" fontId="0" fillId="0" borderId="0" xfId="0" applyBorder="1" applyProtection="1">
      <protection locked="0"/>
    </xf>
    <xf numFmtId="0" fontId="4" fillId="0" borderId="0" xfId="0" quotePrefix="1" applyFont="1" applyBorder="1" applyAlignment="1" applyProtection="1">
      <alignment horizontal="center"/>
      <protection locked="0"/>
    </xf>
    <xf numFmtId="37" fontId="4" fillId="0" borderId="0" xfId="0" applyNumberFormat="1" applyFont="1" applyBorder="1" applyAlignment="1" applyProtection="1">
      <alignment horizontal="right"/>
      <protection locked="0"/>
    </xf>
    <xf numFmtId="0" fontId="6" fillId="0" borderId="0" xfId="0" applyFont="1" applyBorder="1" applyAlignment="1" applyProtection="1">
      <alignment horizontal="center"/>
      <protection locked="0"/>
    </xf>
    <xf numFmtId="37" fontId="0" fillId="0" borderId="0" xfId="0" applyNumberFormat="1" applyProtection="1">
      <protection locked="0"/>
    </xf>
    <xf numFmtId="164" fontId="0" fillId="0" borderId="0" xfId="3" applyNumberFormat="1" applyFont="1" applyBorder="1" applyAlignment="1" applyProtection="1">
      <alignment horizontal="center"/>
      <protection locked="0"/>
    </xf>
    <xf numFmtId="0" fontId="0" fillId="0" borderId="0" xfId="0" applyBorder="1" applyAlignment="1" applyProtection="1">
      <alignment horizontal="center"/>
      <protection locked="0"/>
    </xf>
    <xf numFmtId="0" fontId="0" fillId="0" borderId="0" xfId="0" applyAlignment="1" applyProtection="1">
      <alignment horizontal="center"/>
      <protection locked="0"/>
    </xf>
    <xf numFmtId="164" fontId="0" fillId="0" borderId="0" xfId="3" applyNumberFormat="1" applyFont="1" applyProtection="1">
      <protection locked="0"/>
    </xf>
    <xf numFmtId="37" fontId="5" fillId="0" borderId="0" xfId="0" applyNumberFormat="1" applyFont="1" applyFill="1" applyBorder="1" applyProtection="1">
      <protection locked="0"/>
    </xf>
    <xf numFmtId="37" fontId="5" fillId="0" borderId="0" xfId="0" applyNumberFormat="1" applyFont="1" applyBorder="1" applyAlignment="1" applyProtection="1">
      <alignment horizontal="right"/>
      <protection locked="0"/>
    </xf>
    <xf numFmtId="9" fontId="5" fillId="0" borderId="0" xfId="3" applyFont="1" applyBorder="1" applyAlignment="1" applyProtection="1">
      <alignment horizontal="right"/>
      <protection locked="0"/>
    </xf>
    <xf numFmtId="164" fontId="5" fillId="0" borderId="0" xfId="3" applyNumberFormat="1" applyFont="1" applyBorder="1" applyAlignment="1" applyProtection="1">
      <alignment horizontal="right"/>
      <protection locked="0"/>
    </xf>
    <xf numFmtId="166" fontId="5" fillId="0" borderId="0" xfId="0" applyNumberFormat="1" applyFont="1" applyAlignment="1" applyProtection="1">
      <alignment horizontal="center"/>
      <protection locked="0"/>
    </xf>
    <xf numFmtId="170" fontId="40" fillId="0" borderId="0" xfId="1" applyNumberFormat="1" applyFont="1" applyProtection="1">
      <protection locked="0"/>
    </xf>
    <xf numFmtId="170" fontId="40" fillId="0" borderId="0" xfId="1" applyNumberFormat="1" applyFont="1" applyFill="1" applyProtection="1">
      <protection locked="0"/>
    </xf>
    <xf numFmtId="0" fontId="8" fillId="0" borderId="0" xfId="0" applyFont="1"/>
    <xf numFmtId="0" fontId="35" fillId="0" borderId="0" xfId="0" applyFont="1" applyAlignment="1">
      <alignment horizontal="center"/>
    </xf>
    <xf numFmtId="0" fontId="35" fillId="0" borderId="0" xfId="0" applyFont="1" applyAlignment="1">
      <alignment horizontal="left"/>
    </xf>
    <xf numFmtId="49" fontId="4" fillId="0" borderId="0" xfId="1" applyNumberFormat="1" applyFont="1" applyFill="1" applyAlignment="1">
      <alignment horizontal="left"/>
    </xf>
    <xf numFmtId="0" fontId="4" fillId="0" borderId="0" xfId="1" applyNumberFormat="1" applyFont="1" applyAlignment="1">
      <alignment horizontal="left"/>
    </xf>
    <xf numFmtId="0" fontId="11" fillId="0" borderId="0" xfId="0" applyFont="1" applyFill="1" applyBorder="1" applyAlignment="1">
      <alignment horizontal="left"/>
    </xf>
    <xf numFmtId="37" fontId="19" fillId="0" borderId="0" xfId="0" applyNumberFormat="1" applyFont="1" applyBorder="1"/>
    <xf numFmtId="37" fontId="19" fillId="0" borderId="1" xfId="0" applyNumberFormat="1" applyFont="1" applyBorder="1"/>
    <xf numFmtId="3" fontId="5" fillId="0" borderId="0" xfId="0" applyNumberFormat="1" applyFont="1" applyBorder="1"/>
    <xf numFmtId="0" fontId="6" fillId="0" borderId="0" xfId="1" applyNumberFormat="1" applyFont="1" applyAlignment="1">
      <alignment horizontal="left"/>
    </xf>
    <xf numFmtId="0" fontId="4" fillId="0" borderId="0" xfId="1" applyNumberFormat="1" applyFont="1" applyBorder="1" applyAlignment="1">
      <alignment horizontal="left"/>
    </xf>
    <xf numFmtId="164" fontId="0" fillId="0" borderId="0" xfId="0" applyNumberFormat="1"/>
    <xf numFmtId="166" fontId="4" fillId="0" borderId="0" xfId="0" quotePrefix="1" applyNumberFormat="1" applyFont="1"/>
    <xf numFmtId="0" fontId="24" fillId="0" borderId="0" xfId="0" applyFont="1" applyAlignment="1">
      <alignment horizontal="center"/>
    </xf>
    <xf numFmtId="0" fontId="8" fillId="0" borderId="0" xfId="0" applyFont="1" applyAlignment="1">
      <alignment horizontal="center"/>
    </xf>
    <xf numFmtId="0" fontId="15" fillId="0" borderId="0" xfId="0" applyFont="1" applyBorder="1" applyAlignment="1"/>
    <xf numFmtId="0" fontId="11" fillId="0" borderId="0" xfId="0" applyFont="1" applyBorder="1" applyAlignment="1"/>
    <xf numFmtId="0" fontId="16" fillId="0" borderId="0" xfId="0" applyFont="1" applyBorder="1" applyAlignment="1"/>
    <xf numFmtId="0" fontId="41" fillId="0" borderId="0" xfId="0" applyFont="1" applyAlignment="1"/>
    <xf numFmtId="0" fontId="24" fillId="0" borderId="0" xfId="0" applyFont="1" applyBorder="1" applyAlignment="1">
      <alignment horizontal="center"/>
    </xf>
    <xf numFmtId="0" fontId="41" fillId="0" borderId="0" xfId="0" applyFont="1" applyBorder="1" applyAlignment="1"/>
    <xf numFmtId="37" fontId="12" fillId="0" borderId="4" xfId="0" applyNumberFormat="1" applyFont="1" applyBorder="1" applyAlignment="1" applyProtection="1">
      <alignment horizontal="right"/>
      <protection locked="0"/>
    </xf>
    <xf numFmtId="9" fontId="12" fillId="0" borderId="4" xfId="3" applyFont="1" applyBorder="1" applyAlignment="1" applyProtection="1">
      <alignment horizontal="right"/>
      <protection locked="0"/>
    </xf>
    <xf numFmtId="164" fontId="12" fillId="0" borderId="4" xfId="3" applyNumberFormat="1" applyFont="1" applyBorder="1" applyAlignment="1" applyProtection="1">
      <alignment horizontal="right"/>
      <protection locked="0"/>
    </xf>
    <xf numFmtId="9" fontId="12" fillId="0" borderId="6" xfId="3" applyFont="1" applyBorder="1" applyAlignment="1" applyProtection="1">
      <alignment horizontal="right"/>
      <protection locked="0"/>
    </xf>
    <xf numFmtId="0" fontId="45" fillId="0" borderId="0" xfId="3" applyNumberFormat="1" applyFont="1" applyAlignment="1">
      <alignment horizontal="right"/>
    </xf>
    <xf numFmtId="0" fontId="36" fillId="0" borderId="0" xfId="2" applyFont="1" applyAlignment="1" applyProtection="1">
      <alignment horizontal="left"/>
    </xf>
    <xf numFmtId="0" fontId="39" fillId="0" borderId="0" xfId="0" applyFont="1" applyAlignment="1"/>
    <xf numFmtId="0" fontId="23" fillId="0" borderId="7" xfId="0" applyFont="1" applyBorder="1" applyAlignment="1"/>
    <xf numFmtId="0" fontId="0" fillId="0" borderId="0" xfId="0" applyBorder="1" applyAlignment="1"/>
    <xf numFmtId="0" fontId="0" fillId="0" borderId="8" xfId="0" applyBorder="1" applyAlignment="1"/>
    <xf numFmtId="164" fontId="6" fillId="0" borderId="0" xfId="3" applyNumberFormat="1" applyFont="1" applyBorder="1" applyAlignment="1">
      <alignment horizontal="center"/>
    </xf>
    <xf numFmtId="164" fontId="6" fillId="0" borderId="1" xfId="3" applyNumberFormat="1" applyFont="1" applyBorder="1" applyAlignment="1">
      <alignment horizontal="center"/>
    </xf>
    <xf numFmtId="0" fontId="7" fillId="0" borderId="0" xfId="0" applyFont="1" applyFill="1" applyBorder="1" applyAlignment="1">
      <alignment horizontal="left"/>
    </xf>
    <xf numFmtId="164" fontId="6" fillId="0" borderId="0" xfId="3" applyNumberFormat="1" applyFont="1" applyBorder="1" applyAlignment="1">
      <alignment horizontal="right"/>
    </xf>
    <xf numFmtId="0" fontId="6" fillId="0" borderId="0" xfId="0" applyFont="1" applyFill="1" applyBorder="1" applyAlignment="1">
      <alignment horizontal="right"/>
    </xf>
    <xf numFmtId="1" fontId="0" fillId="0" borderId="0" xfId="1" applyNumberFormat="1" applyFont="1" applyAlignment="1">
      <alignment horizontal="right"/>
    </xf>
    <xf numFmtId="0" fontId="0" fillId="0" borderId="5" xfId="0" applyBorder="1"/>
    <xf numFmtId="0" fontId="6" fillId="0" borderId="5" xfId="0" applyFont="1" applyBorder="1" applyAlignment="1">
      <alignment horizontal="right"/>
    </xf>
    <xf numFmtId="3" fontId="6" fillId="0" borderId="1" xfId="0" applyNumberFormat="1" applyFont="1" applyBorder="1"/>
    <xf numFmtId="0" fontId="2" fillId="0" borderId="0" xfId="0" applyFont="1" applyAlignment="1">
      <alignment horizontal="center"/>
    </xf>
    <xf numFmtId="0" fontId="6" fillId="0" borderId="0" xfId="0" applyFont="1" applyBorder="1" applyAlignment="1">
      <alignment horizontal="right"/>
    </xf>
    <xf numFmtId="0" fontId="35" fillId="0" borderId="0" xfId="0" applyFont="1" applyBorder="1" applyAlignment="1">
      <alignment horizontal="center"/>
    </xf>
    <xf numFmtId="0" fontId="8" fillId="0" borderId="0" xfId="0" applyFont="1" applyBorder="1" applyProtection="1">
      <protection locked="0"/>
    </xf>
    <xf numFmtId="49" fontId="0" fillId="0" borderId="0" xfId="1" applyNumberFormat="1" applyFont="1" applyFill="1" applyAlignment="1">
      <alignment horizontal="left"/>
    </xf>
    <xf numFmtId="0" fontId="4" fillId="0" borderId="0" xfId="0" applyFont="1" applyFill="1" applyBorder="1" applyAlignment="1">
      <alignment horizontal="left"/>
    </xf>
    <xf numFmtId="164" fontId="46" fillId="0" borderId="0" xfId="3" applyNumberFormat="1" applyFont="1"/>
    <xf numFmtId="0" fontId="41" fillId="0" borderId="0" xfId="0" applyFont="1" applyAlignment="1">
      <alignment horizontal="left"/>
    </xf>
    <xf numFmtId="37" fontId="4" fillId="0" borderId="0" xfId="0" applyNumberFormat="1" applyFont="1" applyBorder="1" applyAlignment="1"/>
    <xf numFmtId="10" fontId="4" fillId="0" borderId="0" xfId="3" applyNumberFormat="1" applyFont="1" applyBorder="1"/>
    <xf numFmtId="22" fontId="35" fillId="0" borderId="0" xfId="0" applyNumberFormat="1" applyFont="1"/>
    <xf numFmtId="0" fontId="36" fillId="0" borderId="0" xfId="2" applyFont="1" applyAlignment="1" applyProtection="1"/>
    <xf numFmtId="0" fontId="11" fillId="0" borderId="5" xfId="0" applyFont="1" applyBorder="1" applyAlignment="1"/>
    <xf numFmtId="37" fontId="36" fillId="0" borderId="0" xfId="2" applyNumberFormat="1" applyFont="1" applyFill="1" applyAlignment="1" applyProtection="1"/>
    <xf numFmtId="0" fontId="4" fillId="0" borderId="0" xfId="0" applyFont="1" applyAlignment="1">
      <alignment horizontal="left"/>
    </xf>
    <xf numFmtId="0" fontId="6" fillId="0" borderId="5" xfId="0" applyFont="1" applyFill="1" applyBorder="1" applyAlignment="1"/>
    <xf numFmtId="0" fontId="6" fillId="0" borderId="0" xfId="0" applyFont="1" applyFill="1" applyBorder="1" applyAlignment="1" applyProtection="1">
      <protection locked="0"/>
    </xf>
    <xf numFmtId="0" fontId="24" fillId="0" borderId="9" xfId="0" applyFont="1" applyBorder="1" applyAlignment="1">
      <alignment horizontal="center"/>
    </xf>
    <xf numFmtId="164" fontId="12" fillId="0" borderId="0" xfId="3" applyNumberFormat="1" applyFont="1" applyBorder="1" applyAlignment="1" applyProtection="1">
      <alignment horizontal="right"/>
      <protection locked="0"/>
    </xf>
    <xf numFmtId="0" fontId="49" fillId="0" borderId="0" xfId="0" applyFont="1"/>
    <xf numFmtId="0" fontId="50" fillId="0" borderId="0" xfId="0" applyFont="1" applyAlignment="1">
      <alignment horizontal="center"/>
    </xf>
    <xf numFmtId="0" fontId="0" fillId="0" borderId="0" xfId="0" quotePrefix="1"/>
    <xf numFmtId="0" fontId="24" fillId="0" borderId="0" xfId="0" applyFont="1" applyAlignment="1">
      <alignment horizontal="right"/>
    </xf>
    <xf numFmtId="9" fontId="6" fillId="0" borderId="0" xfId="3" applyFont="1" applyFill="1" applyAlignment="1">
      <alignment horizontal="center"/>
    </xf>
    <xf numFmtId="9" fontId="6" fillId="0" borderId="5" xfId="0" applyNumberFormat="1" applyFont="1" applyBorder="1" applyAlignment="1">
      <alignment horizontal="center"/>
    </xf>
    <xf numFmtId="9" fontId="6" fillId="0" borderId="5" xfId="3" applyFont="1" applyBorder="1" applyAlignment="1">
      <alignment horizontal="center"/>
    </xf>
    <xf numFmtId="164" fontId="24" fillId="0" borderId="2" xfId="3" applyNumberFormat="1" applyFont="1" applyBorder="1" applyAlignment="1">
      <alignment horizontal="center"/>
    </xf>
    <xf numFmtId="164" fontId="24" fillId="0" borderId="11" xfId="3" applyNumberFormat="1" applyFont="1" applyBorder="1" applyAlignment="1">
      <alignment horizontal="center"/>
    </xf>
    <xf numFmtId="0" fontId="35" fillId="0" borderId="1" xfId="0" applyFont="1" applyBorder="1" applyAlignment="1">
      <alignment horizontal="center"/>
    </xf>
    <xf numFmtId="170" fontId="2" fillId="0" borderId="0" xfId="1" applyNumberFormat="1" applyFont="1" applyBorder="1"/>
    <xf numFmtId="37" fontId="0" fillId="0" borderId="0" xfId="0" applyNumberFormat="1" applyBorder="1" applyAlignment="1">
      <alignment horizontal="center"/>
    </xf>
    <xf numFmtId="3" fontId="25" fillId="0" borderId="0" xfId="0" applyNumberFormat="1" applyFont="1" applyAlignment="1"/>
    <xf numFmtId="49" fontId="4" fillId="0" borderId="0" xfId="1" applyNumberFormat="1" applyFont="1" applyAlignment="1">
      <alignment horizontal="right"/>
    </xf>
    <xf numFmtId="0" fontId="3" fillId="0" borderId="0" xfId="0" applyFont="1" applyBorder="1" applyAlignment="1">
      <alignment horizontal="center"/>
    </xf>
    <xf numFmtId="1" fontId="0" fillId="0" borderId="0" xfId="0" applyNumberFormat="1"/>
    <xf numFmtId="1" fontId="4" fillId="0" borderId="0" xfId="0" applyNumberFormat="1" applyFont="1" applyFill="1" applyBorder="1" applyAlignment="1">
      <alignment horizontal="center"/>
    </xf>
    <xf numFmtId="0" fontId="4" fillId="0" borderId="0" xfId="0" applyFont="1" applyFill="1" applyBorder="1" applyAlignment="1">
      <alignment horizontal="center"/>
    </xf>
    <xf numFmtId="0" fontId="8" fillId="0" borderId="0" xfId="0" applyFont="1" applyBorder="1"/>
    <xf numFmtId="0" fontId="0" fillId="0" borderId="0" xfId="0" applyFill="1" applyProtection="1">
      <protection locked="0"/>
    </xf>
    <xf numFmtId="0" fontId="0" fillId="0" borderId="0" xfId="0" applyFill="1" applyBorder="1" applyProtection="1">
      <protection locked="0"/>
    </xf>
    <xf numFmtId="0" fontId="9" fillId="0" borderId="0" xfId="2" applyFont="1" applyAlignment="1" applyProtection="1"/>
    <xf numFmtId="3" fontId="8" fillId="0" borderId="0" xfId="0" applyNumberFormat="1" applyFont="1" applyAlignment="1"/>
    <xf numFmtId="0" fontId="6" fillId="0" borderId="0" xfId="0" applyFont="1" applyBorder="1" applyAlignment="1"/>
    <xf numFmtId="3" fontId="8" fillId="0" borderId="12" xfId="0" applyNumberFormat="1" applyFont="1" applyBorder="1" applyAlignment="1"/>
    <xf numFmtId="0" fontId="11" fillId="0" borderId="1" xfId="0" applyFont="1" applyBorder="1" applyAlignment="1"/>
    <xf numFmtId="0" fontId="3" fillId="0" borderId="0" xfId="0" applyFont="1" applyBorder="1" applyAlignment="1"/>
    <xf numFmtId="0" fontId="23" fillId="0" borderId="0" xfId="0" applyFont="1" applyBorder="1" applyAlignment="1">
      <alignment horizontal="center"/>
    </xf>
    <xf numFmtId="164" fontId="6" fillId="0" borderId="0" xfId="3" applyNumberFormat="1" applyFont="1" applyFill="1" applyBorder="1" applyAlignment="1">
      <alignment horizontal="left"/>
    </xf>
    <xf numFmtId="0" fontId="39" fillId="0" borderId="0" xfId="0" applyFont="1" applyAlignment="1">
      <alignment horizontal="left"/>
    </xf>
    <xf numFmtId="0" fontId="7" fillId="0" borderId="0" xfId="0" applyFont="1" applyAlignment="1"/>
    <xf numFmtId="37" fontId="4" fillId="0" borderId="0" xfId="0" applyNumberFormat="1" applyFont="1" applyFill="1" applyBorder="1" applyAlignment="1"/>
    <xf numFmtId="37" fontId="4" fillId="0" borderId="1" xfId="0" applyNumberFormat="1" applyFont="1" applyFill="1" applyBorder="1" applyAlignment="1"/>
    <xf numFmtId="0" fontId="11" fillId="0" borderId="0" xfId="0" applyFont="1" applyFill="1" applyBorder="1" applyAlignment="1"/>
    <xf numFmtId="0" fontId="35" fillId="0" borderId="0" xfId="0" applyFont="1" applyFill="1" applyBorder="1" applyAlignment="1"/>
    <xf numFmtId="164" fontId="39" fillId="0" borderId="0" xfId="3" applyNumberFormat="1" applyFont="1" applyFill="1" applyBorder="1" applyAlignment="1"/>
    <xf numFmtId="0" fontId="23" fillId="0" borderId="0" xfId="0" applyFont="1" applyFill="1" applyBorder="1" applyAlignment="1">
      <alignment horizontal="center"/>
    </xf>
    <xf numFmtId="0" fontId="0" fillId="0" borderId="0" xfId="0" applyFill="1" applyAlignment="1">
      <alignment horizontal="center"/>
    </xf>
    <xf numFmtId="164" fontId="0" fillId="0" borderId="0" xfId="3" applyNumberFormat="1" applyFont="1" applyFill="1"/>
    <xf numFmtId="41" fontId="54" fillId="0" borderId="0" xfId="1" applyNumberFormat="1" applyFont="1"/>
    <xf numFmtId="0" fontId="54" fillId="0" borderId="0" xfId="0" applyFont="1" applyFill="1"/>
    <xf numFmtId="3" fontId="23" fillId="0" borderId="0" xfId="0" applyNumberFormat="1" applyFont="1" applyAlignment="1">
      <alignment horizontal="center"/>
    </xf>
    <xf numFmtId="3" fontId="55" fillId="0" borderId="0" xfId="0" applyNumberFormat="1" applyFont="1" applyBorder="1" applyAlignment="1"/>
    <xf numFmtId="0" fontId="35" fillId="0" borderId="0" xfId="0" applyFont="1" applyFill="1" applyBorder="1" applyAlignment="1">
      <alignment horizontal="center"/>
    </xf>
    <xf numFmtId="164" fontId="30" fillId="0" borderId="0" xfId="3" applyNumberFormat="1" applyFont="1"/>
    <xf numFmtId="164" fontId="46" fillId="0" borderId="0" xfId="3" applyNumberFormat="1" applyFont="1" applyAlignment="1">
      <alignment horizontal="right"/>
    </xf>
    <xf numFmtId="0" fontId="7" fillId="0" borderId="0" xfId="0" applyFont="1" applyBorder="1" applyAlignment="1"/>
    <xf numFmtId="0" fontId="0" fillId="0" borderId="0" xfId="0" applyNumberFormat="1" applyAlignment="1"/>
    <xf numFmtId="0" fontId="0" fillId="0" borderId="0" xfId="0" applyFill="1" applyBorder="1" applyAlignment="1">
      <alignment horizontal="right"/>
    </xf>
    <xf numFmtId="164" fontId="45" fillId="0" borderId="0" xfId="3" applyNumberFormat="1" applyFont="1" applyBorder="1"/>
    <xf numFmtId="170" fontId="0" fillId="0" borderId="0" xfId="1" applyNumberFormat="1" applyFont="1" applyAlignment="1">
      <alignment horizontal="right"/>
    </xf>
    <xf numFmtId="3" fontId="24" fillId="0" borderId="1" xfId="0" applyNumberFormat="1" applyFont="1" applyBorder="1" applyAlignment="1">
      <alignment horizontal="center"/>
    </xf>
    <xf numFmtId="0" fontId="39" fillId="0" borderId="0" xfId="0" applyFont="1" applyBorder="1" applyAlignment="1">
      <alignment horizontal="center"/>
    </xf>
    <xf numFmtId="0" fontId="4" fillId="0" borderId="0" xfId="0" applyFont="1" applyFill="1" applyBorder="1" applyAlignment="1">
      <alignment horizontal="right"/>
    </xf>
    <xf numFmtId="164" fontId="4" fillId="0" borderId="1" xfId="3" applyNumberFormat="1" applyFont="1" applyBorder="1"/>
    <xf numFmtId="0" fontId="24" fillId="0" borderId="1" xfId="0" applyFont="1" applyBorder="1" applyAlignment="1">
      <alignment horizontal="center"/>
    </xf>
    <xf numFmtId="170" fontId="49" fillId="0" borderId="0" xfId="1" applyNumberFormat="1" applyFont="1" applyBorder="1"/>
    <xf numFmtId="37" fontId="5" fillId="0" borderId="0" xfId="0" applyNumberFormat="1" applyFont="1" applyBorder="1" applyProtection="1">
      <protection locked="0"/>
    </xf>
    <xf numFmtId="38" fontId="0" fillId="0" borderId="0" xfId="0" applyNumberFormat="1" applyBorder="1"/>
    <xf numFmtId="38" fontId="0" fillId="0" borderId="0" xfId="0" applyNumberFormat="1" applyFill="1" applyBorder="1"/>
    <xf numFmtId="169" fontId="0" fillId="0" borderId="0" xfId="1" applyNumberFormat="1" applyFont="1" applyFill="1" applyBorder="1"/>
    <xf numFmtId="170" fontId="0" fillId="0" borderId="0" xfId="1" applyNumberFormat="1" applyFont="1" applyFill="1" applyBorder="1"/>
    <xf numFmtId="3" fontId="25" fillId="0" borderId="0" xfId="0" applyNumberFormat="1" applyFont="1" applyAlignment="1">
      <alignment horizontal="right"/>
    </xf>
    <xf numFmtId="0" fontId="56" fillId="0" borderId="0" xfId="0" applyFont="1" applyFill="1" applyBorder="1" applyAlignment="1">
      <alignment horizontal="center"/>
    </xf>
    <xf numFmtId="37" fontId="2" fillId="0" borderId="0" xfId="0" applyNumberFormat="1" applyFont="1"/>
    <xf numFmtId="3" fontId="25" fillId="0" borderId="0" xfId="0" applyNumberFormat="1" applyFont="1" applyAlignment="1">
      <alignment horizontal="center"/>
    </xf>
    <xf numFmtId="0" fontId="26" fillId="0" borderId="0" xfId="0" applyFont="1" applyFill="1" applyBorder="1" applyAlignment="1">
      <alignment horizontal="center"/>
    </xf>
    <xf numFmtId="165" fontId="4" fillId="0" borderId="0" xfId="0" applyNumberFormat="1" applyFont="1" applyFill="1" applyBorder="1" applyAlignment="1" applyProtection="1">
      <alignment horizontal="right"/>
    </xf>
    <xf numFmtId="0" fontId="57" fillId="0" borderId="0" xfId="3" applyNumberFormat="1" applyFont="1" applyAlignment="1">
      <alignment horizontal="right"/>
    </xf>
    <xf numFmtId="0" fontId="38" fillId="0" borderId="0" xfId="2" applyFont="1" applyBorder="1" applyAlignment="1" applyProtection="1"/>
    <xf numFmtId="37" fontId="49" fillId="0" borderId="0" xfId="0" applyNumberFormat="1" applyFont="1" applyBorder="1"/>
    <xf numFmtId="37" fontId="8" fillId="0" borderId="0" xfId="0" applyNumberFormat="1" applyFont="1" applyAlignment="1"/>
    <xf numFmtId="170" fontId="8" fillId="0" borderId="0" xfId="1" applyNumberFormat="1" applyFont="1" applyBorder="1" applyAlignment="1">
      <alignment horizontal="left"/>
    </xf>
    <xf numFmtId="37" fontId="20" fillId="0" borderId="0" xfId="0" applyNumberFormat="1" applyFont="1" applyFill="1"/>
    <xf numFmtId="0" fontId="23" fillId="0" borderId="0" xfId="0" applyFont="1" applyFill="1" applyBorder="1" applyAlignment="1"/>
    <xf numFmtId="0" fontId="23" fillId="0" borderId="0" xfId="0" applyFont="1" applyFill="1" applyBorder="1" applyAlignment="1">
      <alignment horizontal="right"/>
    </xf>
    <xf numFmtId="49" fontId="10" fillId="0" borderId="0" xfId="1" applyNumberFormat="1" applyFont="1" applyAlignment="1"/>
    <xf numFmtId="49" fontId="20" fillId="0" borderId="0" xfId="1" applyNumberFormat="1" applyFont="1" applyAlignment="1">
      <alignment horizontal="left"/>
    </xf>
    <xf numFmtId="49" fontId="20" fillId="0" borderId="0" xfId="1" applyNumberFormat="1" applyFont="1" applyFill="1" applyAlignment="1">
      <alignment horizontal="left"/>
    </xf>
    <xf numFmtId="49" fontId="5" fillId="0" borderId="0" xfId="1" applyNumberFormat="1" applyFont="1" applyAlignment="1">
      <alignment horizontal="left"/>
    </xf>
    <xf numFmtId="0" fontId="58" fillId="0" borderId="0" xfId="0" applyFont="1"/>
    <xf numFmtId="49" fontId="9" fillId="0" borderId="0" xfId="1" applyNumberFormat="1" applyFont="1" applyAlignment="1">
      <alignment horizontal="left"/>
    </xf>
    <xf numFmtId="0" fontId="61" fillId="0" borderId="0" xfId="0" applyFont="1"/>
    <xf numFmtId="0" fontId="9" fillId="0" borderId="0" xfId="0" applyFont="1" applyAlignment="1"/>
    <xf numFmtId="49" fontId="61" fillId="0" borderId="0" xfId="1" applyNumberFormat="1" applyFont="1" applyFill="1" applyAlignment="1">
      <alignment horizontal="left"/>
    </xf>
    <xf numFmtId="0" fontId="61" fillId="0" borderId="0" xfId="0" applyFont="1" applyFill="1"/>
    <xf numFmtId="3" fontId="7" fillId="0" borderId="0" xfId="0" applyNumberFormat="1" applyFont="1"/>
    <xf numFmtId="0" fontId="62" fillId="0" borderId="0" xfId="3" applyNumberFormat="1" applyFont="1" applyAlignment="1">
      <alignment horizontal="right"/>
    </xf>
    <xf numFmtId="37" fontId="25" fillId="0" borderId="0" xfId="0" applyNumberFormat="1" applyFont="1" applyAlignment="1">
      <alignment horizontal="center"/>
    </xf>
    <xf numFmtId="0" fontId="25" fillId="0" borderId="0" xfId="0" applyFont="1" applyBorder="1" applyAlignment="1"/>
    <xf numFmtId="3" fontId="23" fillId="0" borderId="0" xfId="0" applyNumberFormat="1" applyFont="1" applyFill="1"/>
    <xf numFmtId="49" fontId="12" fillId="0" borderId="0" xfId="1" applyNumberFormat="1" applyFont="1" applyAlignment="1">
      <alignment horizontal="left"/>
    </xf>
    <xf numFmtId="0" fontId="59" fillId="0" borderId="0" xfId="0" applyFont="1" applyFill="1"/>
    <xf numFmtId="0" fontId="4" fillId="0" borderId="0" xfId="0" applyFont="1" applyBorder="1" applyAlignment="1">
      <alignment horizontal="right"/>
    </xf>
    <xf numFmtId="0" fontId="4" fillId="0" borderId="0" xfId="0" applyNumberFormat="1" applyFont="1" applyAlignment="1"/>
    <xf numFmtId="0" fontId="4" fillId="0" borderId="12" xfId="0" applyFont="1" applyBorder="1" applyAlignment="1"/>
    <xf numFmtId="0" fontId="0" fillId="0" borderId="0" xfId="0" quotePrefix="1" applyAlignment="1"/>
    <xf numFmtId="0" fontId="0" fillId="0" borderId="0" xfId="0" applyFill="1" applyAlignment="1"/>
    <xf numFmtId="164" fontId="4" fillId="0" borderId="0" xfId="3" applyNumberFormat="1" applyFont="1" applyAlignment="1"/>
    <xf numFmtId="0" fontId="42" fillId="0" borderId="0" xfId="2" applyFont="1" applyAlignment="1" applyProtection="1"/>
    <xf numFmtId="0" fontId="6" fillId="0" borderId="1" xfId="0" applyFont="1" applyBorder="1" applyAlignment="1">
      <alignment horizontal="left"/>
    </xf>
    <xf numFmtId="0" fontId="8" fillId="0" borderId="0" xfId="0" applyFont="1" applyBorder="1" applyAlignment="1">
      <alignment horizontal="center"/>
    </xf>
    <xf numFmtId="0" fontId="37" fillId="0" borderId="0" xfId="2" applyFont="1" applyBorder="1" applyAlignment="1" applyProtection="1"/>
    <xf numFmtId="0" fontId="11" fillId="0" borderId="1" xfId="0" applyFont="1" applyBorder="1" applyAlignment="1">
      <alignment horizontal="left"/>
    </xf>
    <xf numFmtId="14" fontId="6" fillId="0" borderId="1" xfId="0" quotePrefix="1" applyNumberFormat="1" applyFont="1" applyBorder="1" applyAlignment="1">
      <alignment horizontal="center"/>
    </xf>
    <xf numFmtId="0" fontId="4" fillId="0" borderId="0" xfId="0" applyNumberFormat="1" applyFont="1" applyBorder="1" applyAlignment="1"/>
    <xf numFmtId="0" fontId="33" fillId="0" borderId="0" xfId="0" applyFont="1" applyBorder="1" applyAlignment="1">
      <alignment horizontal="left"/>
    </xf>
    <xf numFmtId="0" fontId="34" fillId="0" borderId="0" xfId="2" applyFont="1" applyBorder="1" applyAlignment="1" applyProtection="1">
      <alignment horizontal="left"/>
    </xf>
    <xf numFmtId="171" fontId="6" fillId="0" borderId="0" xfId="0" applyNumberFormat="1" applyFont="1" applyBorder="1" applyAlignment="1">
      <alignment horizontal="center"/>
    </xf>
    <xf numFmtId="0" fontId="0" fillId="0" borderId="0" xfId="0" applyBorder="1" applyAlignment="1">
      <alignment horizontal="left"/>
    </xf>
    <xf numFmtId="171" fontId="0" fillId="0" borderId="0" xfId="0" applyNumberFormat="1" applyBorder="1" applyAlignment="1">
      <alignment horizontal="center"/>
    </xf>
    <xf numFmtId="0" fontId="0" fillId="0" borderId="0" xfId="0" quotePrefix="1" applyBorder="1" applyAlignment="1"/>
    <xf numFmtId="0" fontId="0" fillId="0" borderId="0" xfId="0" applyNumberFormat="1" applyBorder="1" applyAlignment="1"/>
    <xf numFmtId="0" fontId="6" fillId="0" borderId="13" xfId="0" applyFont="1" applyBorder="1" applyAlignment="1"/>
    <xf numFmtId="0" fontId="14" fillId="0" borderId="14" xfId="0" applyFont="1" applyBorder="1" applyAlignment="1"/>
    <xf numFmtId="0" fontId="14" fillId="0" borderId="15" xfId="0" applyFont="1" applyBorder="1" applyAlignment="1"/>
    <xf numFmtId="37" fontId="0" fillId="0" borderId="2" xfId="0" applyNumberFormat="1" applyBorder="1"/>
    <xf numFmtId="0" fontId="43" fillId="2" borderId="0" xfId="0" applyFont="1" applyFill="1" applyBorder="1" applyAlignment="1"/>
    <xf numFmtId="0" fontId="43" fillId="2" borderId="0" xfId="0" applyFont="1" applyFill="1" applyBorder="1" applyAlignment="1">
      <alignment horizontal="right"/>
    </xf>
    <xf numFmtId="0" fontId="43" fillId="2" borderId="0" xfId="0" applyFont="1" applyFill="1" applyBorder="1" applyAlignment="1" applyProtection="1">
      <protection locked="0"/>
    </xf>
    <xf numFmtId="0" fontId="43" fillId="0" borderId="0" xfId="0" applyFont="1" applyFill="1" applyBorder="1" applyAlignment="1"/>
    <xf numFmtId="0" fontId="6" fillId="0" borderId="5" xfId="0" applyFont="1" applyBorder="1" applyAlignment="1"/>
    <xf numFmtId="0" fontId="56" fillId="0" borderId="0" xfId="0" applyFont="1" applyFill="1" applyBorder="1"/>
    <xf numFmtId="0" fontId="26" fillId="3" borderId="0" xfId="0" applyFont="1" applyFill="1" applyBorder="1" applyAlignment="1"/>
    <xf numFmtId="3" fontId="6" fillId="0" borderId="5" xfId="0" applyNumberFormat="1" applyFont="1" applyBorder="1" applyAlignment="1">
      <alignment horizontal="center"/>
    </xf>
    <xf numFmtId="49" fontId="4" fillId="0" borderId="0" xfId="1" applyNumberFormat="1" applyFont="1" applyFill="1" applyBorder="1" applyAlignment="1">
      <alignment horizontal="left"/>
    </xf>
    <xf numFmtId="0" fontId="43" fillId="0" borderId="0" xfId="0" applyFont="1" applyFill="1" applyBorder="1" applyAlignment="1">
      <alignment horizontal="right"/>
    </xf>
    <xf numFmtId="170" fontId="40" fillId="4" borderId="0" xfId="1" applyNumberFormat="1" applyFont="1" applyFill="1" applyProtection="1">
      <protection locked="0"/>
    </xf>
    <xf numFmtId="0" fontId="27" fillId="0" borderId="0" xfId="0" applyFont="1" applyFill="1"/>
    <xf numFmtId="39" fontId="27" fillId="0" borderId="0" xfId="0" applyNumberFormat="1" applyFont="1" applyFill="1" applyProtection="1"/>
    <xf numFmtId="3" fontId="5" fillId="0" borderId="0" xfId="0" applyNumberFormat="1" applyFont="1" applyFill="1" applyAlignment="1"/>
    <xf numFmtId="3" fontId="5" fillId="0" borderId="0" xfId="0" applyNumberFormat="1" applyFont="1" applyFill="1" applyAlignment="1">
      <alignment horizontal="left"/>
    </xf>
    <xf numFmtId="3" fontId="5" fillId="0" borderId="0" xfId="0" applyNumberFormat="1" applyFont="1" applyFill="1"/>
    <xf numFmtId="49" fontId="4" fillId="0" borderId="0" xfId="1" applyNumberFormat="1" applyFont="1" applyFill="1" applyAlignment="1"/>
    <xf numFmtId="49" fontId="6" fillId="0" borderId="0" xfId="1" applyNumberFormat="1" applyFont="1" applyFill="1" applyAlignment="1">
      <alignment horizontal="left"/>
    </xf>
    <xf numFmtId="164" fontId="7" fillId="0" borderId="0" xfId="3" applyNumberFormat="1" applyFont="1" applyFill="1"/>
    <xf numFmtId="49" fontId="6" fillId="0" borderId="0" xfId="1" applyNumberFormat="1" applyFont="1" applyAlignment="1"/>
    <xf numFmtId="3" fontId="35" fillId="0" borderId="0" xfId="0" applyNumberFormat="1" applyFont="1" applyAlignment="1">
      <alignment horizontal="center"/>
    </xf>
    <xf numFmtId="3" fontId="35" fillId="0" borderId="0" xfId="0" applyNumberFormat="1" applyFont="1" applyBorder="1" applyAlignment="1">
      <alignment horizontal="center"/>
    </xf>
    <xf numFmtId="37" fontId="4" fillId="0" borderId="0" xfId="0" applyNumberFormat="1" applyFont="1" applyBorder="1" applyAlignment="1" applyProtection="1">
      <protection locked="0"/>
    </xf>
    <xf numFmtId="37" fontId="4" fillId="0" borderId="0" xfId="0" applyNumberFormat="1" applyFont="1" applyBorder="1" applyProtection="1">
      <protection locked="0"/>
    </xf>
    <xf numFmtId="37" fontId="4" fillId="0" borderId="0" xfId="0" applyNumberFormat="1" applyFont="1" applyBorder="1" applyAlignment="1" applyProtection="1"/>
    <xf numFmtId="164" fontId="9" fillId="0" borderId="0" xfId="3" applyNumberFormat="1" applyFont="1" applyFill="1"/>
    <xf numFmtId="37" fontId="9" fillId="0" borderId="0" xfId="0" applyNumberFormat="1" applyFont="1" applyFill="1"/>
    <xf numFmtId="37" fontId="0" fillId="0" borderId="0" xfId="0" applyNumberFormat="1" applyFill="1" applyAlignment="1">
      <alignment horizontal="right"/>
    </xf>
    <xf numFmtId="37" fontId="5" fillId="0" borderId="16" xfId="0" applyNumberFormat="1" applyFont="1" applyBorder="1" applyProtection="1">
      <protection locked="0"/>
    </xf>
    <xf numFmtId="49" fontId="5" fillId="0" borderId="0" xfId="1" applyNumberFormat="1" applyFont="1" applyFill="1" applyAlignment="1">
      <alignment horizontal="left"/>
    </xf>
    <xf numFmtId="3" fontId="8" fillId="0" borderId="0" xfId="0" applyNumberFormat="1" applyFont="1" applyFill="1"/>
    <xf numFmtId="0" fontId="45" fillId="0" borderId="0" xfId="3" applyNumberFormat="1" applyFont="1" applyFill="1" applyAlignment="1">
      <alignment horizontal="right"/>
    </xf>
    <xf numFmtId="37" fontId="4" fillId="0" borderId="0" xfId="0" applyNumberFormat="1" applyFont="1" applyFill="1" applyAlignment="1">
      <alignment horizontal="right"/>
    </xf>
    <xf numFmtId="3" fontId="4" fillId="0" borderId="0" xfId="0" applyNumberFormat="1" applyFont="1" applyFill="1"/>
    <xf numFmtId="0" fontId="6" fillId="0" borderId="1" xfId="0" applyFont="1" applyFill="1" applyBorder="1" applyAlignment="1"/>
    <xf numFmtId="0" fontId="6" fillId="0" borderId="0" xfId="0" applyFont="1" applyAlignment="1" applyProtection="1">
      <alignment horizontal="center"/>
      <protection locked="0"/>
    </xf>
    <xf numFmtId="22" fontId="35" fillId="0" borderId="0" xfId="0" applyNumberFormat="1" applyFont="1" applyProtection="1">
      <protection locked="0"/>
    </xf>
    <xf numFmtId="0" fontId="0" fillId="0" borderId="0" xfId="0" applyAlignment="1" applyProtection="1">
      <alignment horizontal="right"/>
      <protection locked="0"/>
    </xf>
    <xf numFmtId="170" fontId="0" fillId="0" borderId="0" xfId="1" applyNumberFormat="1" applyFont="1" applyAlignment="1" applyProtection="1">
      <alignment horizontal="right"/>
      <protection locked="0"/>
    </xf>
    <xf numFmtId="1" fontId="0" fillId="0" borderId="0" xfId="1" applyNumberFormat="1" applyFont="1" applyAlignment="1" applyProtection="1">
      <alignment horizontal="right"/>
      <protection locked="0"/>
    </xf>
    <xf numFmtId="37" fontId="0" fillId="0" borderId="0" xfId="0" quotePrefix="1" applyNumberFormat="1"/>
    <xf numFmtId="37" fontId="8" fillId="0" borderId="0" xfId="0" applyNumberFormat="1" applyFont="1" applyFill="1" applyBorder="1" applyAlignment="1">
      <alignment horizontal="right"/>
    </xf>
    <xf numFmtId="37" fontId="4" fillId="0" borderId="0" xfId="0" quotePrefix="1" applyNumberFormat="1" applyFont="1" applyFill="1" applyBorder="1"/>
    <xf numFmtId="3" fontId="25" fillId="0" borderId="0" xfId="0" applyNumberFormat="1" applyFont="1" applyFill="1" applyAlignment="1">
      <alignment horizontal="center"/>
    </xf>
    <xf numFmtId="49" fontId="60" fillId="0" borderId="0" xfId="1" applyNumberFormat="1" applyFont="1" applyFill="1" applyAlignment="1">
      <alignment horizontal="left"/>
    </xf>
    <xf numFmtId="49" fontId="59" fillId="0" borderId="0" xfId="1" applyNumberFormat="1" applyFont="1" applyFill="1" applyAlignment="1">
      <alignment horizontal="left"/>
    </xf>
    <xf numFmtId="0" fontId="62" fillId="0" borderId="0" xfId="3" applyNumberFormat="1" applyFont="1" applyAlignment="1">
      <alignment horizontal="center"/>
    </xf>
    <xf numFmtId="0" fontId="2" fillId="0" borderId="0" xfId="0" applyFont="1" applyAlignment="1">
      <alignment horizontal="right"/>
    </xf>
    <xf numFmtId="0" fontId="2" fillId="0" borderId="0" xfId="0" applyFont="1" applyAlignment="1" applyProtection="1">
      <alignment horizontal="right"/>
      <protection locked="0"/>
    </xf>
    <xf numFmtId="37" fontId="4" fillId="0" borderId="0" xfId="0" applyNumberFormat="1" applyFont="1" applyAlignment="1">
      <alignment horizontal="left"/>
    </xf>
    <xf numFmtId="49" fontId="9" fillId="0" borderId="0" xfId="1" applyNumberFormat="1" applyFont="1" applyAlignment="1"/>
    <xf numFmtId="3" fontId="66" fillId="0" borderId="0" xfId="0" applyNumberFormat="1" applyFont="1"/>
    <xf numFmtId="37" fontId="62" fillId="0" borderId="0" xfId="0" applyNumberFormat="1" applyFont="1" applyAlignment="1">
      <alignment horizontal="center"/>
    </xf>
    <xf numFmtId="0" fontId="0" fillId="0" borderId="17" xfId="0" applyBorder="1"/>
    <xf numFmtId="37" fontId="6" fillId="5" borderId="19" xfId="0" applyNumberFormat="1" applyFont="1" applyFill="1" applyBorder="1" applyAlignment="1" applyProtection="1">
      <alignment horizontal="center"/>
      <protection locked="0"/>
    </xf>
    <xf numFmtId="37" fontId="6" fillId="5" borderId="4" xfId="0" applyNumberFormat="1" applyFont="1" applyFill="1" applyBorder="1" applyAlignment="1" applyProtection="1">
      <alignment horizontal="center"/>
      <protection locked="0"/>
    </xf>
    <xf numFmtId="3" fontId="6" fillId="5" borderId="19" xfId="0" applyNumberFormat="1" applyFont="1" applyFill="1" applyBorder="1" applyAlignment="1" applyProtection="1">
      <alignment horizontal="center"/>
      <protection locked="0"/>
    </xf>
    <xf numFmtId="37" fontId="6" fillId="5" borderId="4" xfId="0" applyNumberFormat="1" applyFont="1" applyFill="1" applyBorder="1" applyProtection="1">
      <protection locked="0"/>
    </xf>
    <xf numFmtId="37" fontId="6" fillId="5" borderId="19" xfId="0" applyNumberFormat="1" applyFont="1" applyFill="1" applyBorder="1" applyProtection="1">
      <protection locked="0"/>
    </xf>
    <xf numFmtId="164" fontId="6" fillId="5" borderId="4" xfId="3" applyNumberFormat="1" applyFont="1" applyFill="1" applyBorder="1" applyProtection="1">
      <protection locked="0"/>
    </xf>
    <xf numFmtId="37" fontId="6" fillId="5" borderId="19" xfId="0" applyNumberFormat="1" applyFont="1" applyFill="1" applyBorder="1" applyAlignment="1" applyProtection="1">
      <alignment horizontal="center" vertical="center"/>
      <protection locked="0"/>
    </xf>
    <xf numFmtId="3" fontId="6" fillId="5" borderId="4" xfId="0" applyNumberFormat="1" applyFont="1" applyFill="1" applyBorder="1" applyAlignment="1" applyProtection="1">
      <alignment horizontal="center"/>
      <protection locked="0"/>
    </xf>
    <xf numFmtId="9" fontId="6" fillId="5" borderId="4" xfId="3" applyFont="1" applyFill="1" applyBorder="1" applyAlignment="1" applyProtection="1">
      <alignment horizontal="right"/>
      <protection locked="0"/>
    </xf>
    <xf numFmtId="37" fontId="6" fillId="5" borderId="20" xfId="0" applyNumberFormat="1" applyFont="1" applyFill="1" applyBorder="1" applyAlignment="1" applyProtection="1">
      <alignment horizontal="center"/>
      <protection locked="0"/>
    </xf>
    <xf numFmtId="9" fontId="6" fillId="5" borderId="19" xfId="3" applyFont="1" applyFill="1" applyBorder="1" applyAlignment="1" applyProtection="1">
      <alignment horizontal="center"/>
      <protection locked="0"/>
    </xf>
    <xf numFmtId="165" fontId="6" fillId="5" borderId="19" xfId="0" applyNumberFormat="1" applyFont="1" applyFill="1" applyBorder="1" applyAlignment="1" applyProtection="1">
      <alignment horizontal="center"/>
      <protection locked="0"/>
    </xf>
    <xf numFmtId="9" fontId="6" fillId="5" borderId="4" xfId="3" applyFont="1" applyFill="1" applyBorder="1" applyAlignment="1" applyProtection="1">
      <alignment horizontal="center"/>
      <protection locked="0"/>
    </xf>
    <xf numFmtId="165" fontId="6" fillId="5" borderId="4" xfId="0" applyNumberFormat="1" applyFont="1" applyFill="1" applyBorder="1" applyAlignment="1" applyProtection="1">
      <alignment horizontal="center"/>
      <protection locked="0"/>
    </xf>
    <xf numFmtId="37" fontId="48" fillId="0" borderId="0" xfId="0" applyNumberFormat="1" applyFont="1" applyFill="1" applyBorder="1" applyAlignment="1">
      <alignment horizontal="center"/>
    </xf>
    <xf numFmtId="0" fontId="24" fillId="0" borderId="0" xfId="0" applyFont="1" applyFill="1" applyAlignment="1">
      <alignment horizontal="center"/>
    </xf>
    <xf numFmtId="0" fontId="24" fillId="0" borderId="0" xfId="0" applyFont="1" applyFill="1" applyBorder="1" applyAlignment="1">
      <alignment horizontal="center"/>
    </xf>
    <xf numFmtId="37" fontId="49" fillId="0" borderId="0" xfId="0" applyNumberFormat="1" applyFont="1" applyFill="1"/>
    <xf numFmtId="37" fontId="49" fillId="0" borderId="1" xfId="0" applyNumberFormat="1" applyFont="1" applyFill="1" applyBorder="1"/>
    <xf numFmtId="0" fontId="35" fillId="0" borderId="0" xfId="0" applyFont="1" applyFill="1" applyAlignment="1">
      <alignment horizontal="center"/>
    </xf>
    <xf numFmtId="37" fontId="48" fillId="0" borderId="0" xfId="0" applyNumberFormat="1" applyFont="1" applyFill="1"/>
    <xf numFmtId="38" fontId="48" fillId="0" borderId="0" xfId="0" applyNumberFormat="1" applyFont="1" applyFill="1"/>
    <xf numFmtId="37" fontId="48" fillId="0" borderId="1" xfId="0" applyNumberFormat="1" applyFont="1" applyFill="1" applyBorder="1"/>
    <xf numFmtId="38" fontId="48" fillId="0" borderId="1" xfId="0" applyNumberFormat="1" applyFont="1" applyFill="1" applyBorder="1"/>
    <xf numFmtId="38" fontId="48" fillId="0" borderId="13" xfId="0" applyNumberFormat="1" applyFont="1" applyFill="1" applyBorder="1"/>
    <xf numFmtId="3" fontId="6" fillId="5" borderId="4" xfId="0" applyNumberFormat="1" applyFont="1" applyFill="1" applyBorder="1" applyProtection="1">
      <protection locked="0"/>
    </xf>
    <xf numFmtId="37" fontId="6" fillId="5" borderId="4" xfId="0" applyNumberFormat="1" applyFont="1" applyFill="1" applyBorder="1" applyAlignment="1" applyProtection="1">
      <alignment horizontal="right"/>
      <protection locked="0"/>
    </xf>
    <xf numFmtId="9" fontId="6" fillId="5" borderId="6" xfId="3" applyFont="1" applyFill="1" applyBorder="1" applyAlignment="1" applyProtection="1">
      <alignment horizontal="right"/>
      <protection locked="0"/>
    </xf>
    <xf numFmtId="164" fontId="6" fillId="5" borderId="4" xfId="3" applyNumberFormat="1" applyFont="1" applyFill="1" applyBorder="1" applyAlignment="1" applyProtection="1">
      <alignment horizontal="right"/>
      <protection locked="0"/>
    </xf>
    <xf numFmtId="49" fontId="6" fillId="0" borderId="0" xfId="1" applyNumberFormat="1" applyFont="1" applyBorder="1" applyAlignment="1">
      <alignment horizontal="right"/>
    </xf>
    <xf numFmtId="49" fontId="0" fillId="0" borderId="0" xfId="1" applyNumberFormat="1" applyFont="1" applyFill="1" applyBorder="1" applyAlignment="1">
      <alignment horizontal="right"/>
    </xf>
    <xf numFmtId="37" fontId="6" fillId="0" borderId="0" xfId="0" applyNumberFormat="1" applyFont="1" applyFill="1" applyBorder="1" applyAlignment="1" applyProtection="1">
      <alignment horizontal="center"/>
      <protection locked="0"/>
    </xf>
    <xf numFmtId="0" fontId="4" fillId="0" borderId="14" xfId="0" applyFont="1" applyBorder="1" applyAlignment="1"/>
    <xf numFmtId="0" fontId="67" fillId="0" borderId="0" xfId="0" applyFont="1" applyFill="1"/>
    <xf numFmtId="0" fontId="67" fillId="0" borderId="0" xfId="0" applyFont="1" applyFill="1" applyBorder="1" applyAlignment="1">
      <alignment horizontal="left"/>
    </xf>
    <xf numFmtId="165" fontId="4" fillId="0" borderId="0" xfId="0" applyNumberFormat="1" applyFont="1" applyFill="1" applyBorder="1" applyAlignment="1" applyProtection="1">
      <alignment horizontal="right"/>
      <protection locked="0"/>
    </xf>
    <xf numFmtId="164" fontId="4" fillId="0" borderId="0" xfId="3" applyNumberFormat="1" applyFont="1" applyFill="1" applyBorder="1" applyAlignment="1" applyProtection="1">
      <alignment horizontal="right"/>
      <protection locked="0"/>
    </xf>
    <xf numFmtId="172" fontId="35" fillId="0" borderId="0" xfId="0" applyNumberFormat="1" applyFont="1" applyAlignment="1">
      <alignment horizontal="center"/>
    </xf>
    <xf numFmtId="172" fontId="35" fillId="0" borderId="0" xfId="0" applyNumberFormat="1" applyFont="1" applyAlignment="1" applyProtection="1">
      <alignment horizontal="center"/>
      <protection locked="0"/>
    </xf>
    <xf numFmtId="164" fontId="12" fillId="0" borderId="21" xfId="3" applyNumberFormat="1" applyFont="1" applyBorder="1" applyProtection="1">
      <protection locked="0"/>
    </xf>
    <xf numFmtId="165" fontId="12" fillId="0" borderId="21" xfId="0" applyNumberFormat="1" applyFont="1" applyFill="1" applyBorder="1" applyAlignment="1" applyProtection="1">
      <alignment horizontal="right"/>
      <protection locked="0"/>
    </xf>
    <xf numFmtId="37" fontId="8" fillId="0" borderId="22" xfId="0" applyNumberFormat="1" applyFont="1" applyFill="1" applyBorder="1" applyAlignment="1">
      <alignment horizontal="left"/>
    </xf>
    <xf numFmtId="43" fontId="23" fillId="0" borderId="0" xfId="1" applyFont="1" applyAlignment="1">
      <alignment horizontal="center"/>
    </xf>
    <xf numFmtId="0" fontId="23" fillId="0" borderId="0" xfId="3" applyNumberFormat="1" applyFont="1" applyAlignment="1">
      <alignment horizontal="right"/>
    </xf>
    <xf numFmtId="3" fontId="5" fillId="0" borderId="5" xfId="0" applyNumberFormat="1" applyFont="1" applyBorder="1"/>
    <xf numFmtId="165" fontId="7" fillId="0" borderId="0" xfId="0" applyNumberFormat="1" applyFont="1" applyFill="1" applyBorder="1" applyAlignment="1" applyProtection="1">
      <alignment horizontal="right"/>
    </xf>
    <xf numFmtId="3" fontId="55" fillId="0" borderId="0" xfId="0" applyNumberFormat="1" applyFont="1" applyBorder="1" applyAlignment="1">
      <alignment horizontal="right"/>
    </xf>
    <xf numFmtId="37" fontId="10" fillId="0" borderId="1" xfId="0" applyNumberFormat="1" applyFont="1" applyBorder="1"/>
    <xf numFmtId="0" fontId="6" fillId="0" borderId="5" xfId="0" applyFont="1" applyBorder="1"/>
    <xf numFmtId="49" fontId="9" fillId="0" borderId="0" xfId="1" applyNumberFormat="1" applyFont="1" applyFill="1" applyAlignment="1">
      <alignment horizontal="left"/>
    </xf>
    <xf numFmtId="49" fontId="0" fillId="0" borderId="0" xfId="1" applyNumberFormat="1" applyFont="1" applyFill="1" applyBorder="1" applyAlignment="1">
      <alignment horizontal="left"/>
    </xf>
    <xf numFmtId="164" fontId="6" fillId="5" borderId="19" xfId="3" applyNumberFormat="1" applyFont="1" applyFill="1" applyBorder="1" applyAlignment="1" applyProtection="1">
      <alignment horizontal="center"/>
      <protection locked="0"/>
    </xf>
    <xf numFmtId="164" fontId="6" fillId="5" borderId="4" xfId="3" applyNumberFormat="1" applyFont="1" applyFill="1" applyBorder="1" applyAlignment="1" applyProtection="1">
      <alignment horizontal="center"/>
      <protection locked="0"/>
    </xf>
    <xf numFmtId="165" fontId="6" fillId="5" borderId="16" xfId="0" applyNumberFormat="1" applyFont="1" applyFill="1" applyBorder="1" applyAlignment="1" applyProtection="1">
      <alignment horizontal="center"/>
      <protection locked="0"/>
    </xf>
    <xf numFmtId="165" fontId="6" fillId="5" borderId="20" xfId="0" applyNumberFormat="1" applyFont="1" applyFill="1" applyBorder="1" applyAlignment="1" applyProtection="1">
      <alignment horizontal="center"/>
      <protection locked="0"/>
    </xf>
    <xf numFmtId="164" fontId="6" fillId="5" borderId="23" xfId="3" applyNumberFormat="1" applyFont="1" applyFill="1" applyBorder="1" applyAlignment="1" applyProtection="1">
      <alignment horizontal="center"/>
      <protection locked="0"/>
    </xf>
    <xf numFmtId="165" fontId="6" fillId="6" borderId="24" xfId="0" applyNumberFormat="1" applyFont="1" applyFill="1" applyBorder="1" applyAlignment="1" applyProtection="1">
      <alignment horizontal="center"/>
      <protection locked="0"/>
    </xf>
    <xf numFmtId="37" fontId="6" fillId="6" borderId="4" xfId="0" applyNumberFormat="1" applyFont="1" applyFill="1" applyBorder="1" applyAlignment="1" applyProtection="1">
      <alignment horizontal="center"/>
      <protection locked="0"/>
    </xf>
    <xf numFmtId="37" fontId="6" fillId="6" borderId="20" xfId="0" applyNumberFormat="1" applyFont="1" applyFill="1" applyBorder="1" applyAlignment="1" applyProtection="1">
      <alignment horizontal="center"/>
      <protection locked="0"/>
    </xf>
    <xf numFmtId="165" fontId="6" fillId="5" borderId="23" xfId="0" applyNumberFormat="1" applyFont="1" applyFill="1" applyBorder="1" applyAlignment="1" applyProtection="1">
      <alignment horizontal="center"/>
      <protection locked="0"/>
    </xf>
    <xf numFmtId="0" fontId="64" fillId="0" borderId="0" xfId="0" applyFont="1" applyBorder="1"/>
    <xf numFmtId="3" fontId="8" fillId="0" borderId="0" xfId="0" applyNumberFormat="1" applyFont="1" applyBorder="1" applyAlignment="1">
      <alignment horizontal="left"/>
    </xf>
    <xf numFmtId="37" fontId="0" fillId="0" borderId="0" xfId="0" quotePrefix="1" applyNumberFormat="1" applyFill="1"/>
    <xf numFmtId="0" fontId="2" fillId="0" borderId="0" xfId="0" applyFont="1" applyFill="1"/>
    <xf numFmtId="0" fontId="0" fillId="0" borderId="5" xfId="0" applyBorder="1" applyAlignment="1">
      <alignment horizontal="left"/>
    </xf>
    <xf numFmtId="0" fontId="11" fillId="0" borderId="0" xfId="0" applyFont="1" applyBorder="1"/>
    <xf numFmtId="165" fontId="6" fillId="5" borderId="25" xfId="0" applyNumberFormat="1" applyFont="1" applyFill="1" applyBorder="1" applyAlignment="1" applyProtection="1">
      <alignment horizontal="center"/>
      <protection locked="0"/>
    </xf>
    <xf numFmtId="0" fontId="41" fillId="0" borderId="0" xfId="0" applyFont="1" applyBorder="1" applyAlignment="1">
      <alignment horizontal="left"/>
    </xf>
    <xf numFmtId="0" fontId="35" fillId="0" borderId="5" xfId="0" applyFont="1" applyBorder="1" applyAlignment="1">
      <alignment horizontal="center"/>
    </xf>
    <xf numFmtId="0" fontId="4" fillId="0" borderId="0" xfId="0" applyFont="1" applyAlignment="1" applyProtection="1">
      <alignment horizontal="right"/>
    </xf>
    <xf numFmtId="49" fontId="49" fillId="0" borderId="0" xfId="1" applyNumberFormat="1" applyFont="1" applyFill="1" applyBorder="1" applyAlignment="1">
      <alignment horizontal="right"/>
    </xf>
    <xf numFmtId="49" fontId="4" fillId="0" borderId="0" xfId="1" applyNumberFormat="1" applyFont="1" applyFill="1" applyBorder="1" applyAlignment="1">
      <alignment horizontal="right"/>
    </xf>
    <xf numFmtId="37" fontId="7" fillId="0" borderId="0" xfId="0" quotePrefix="1" applyNumberFormat="1" applyFont="1"/>
    <xf numFmtId="0" fontId="41" fillId="0" borderId="0" xfId="0" applyFont="1" applyFill="1" applyBorder="1" applyAlignment="1">
      <alignment horizontal="left"/>
    </xf>
    <xf numFmtId="37" fontId="6" fillId="0" borderId="0" xfId="0" applyNumberFormat="1" applyFont="1"/>
    <xf numFmtId="3" fontId="41" fillId="0" borderId="0" xfId="0" applyNumberFormat="1" applyFont="1" applyFill="1"/>
    <xf numFmtId="37" fontId="48" fillId="0" borderId="0" xfId="0" applyNumberFormat="1" applyFont="1" applyBorder="1"/>
    <xf numFmtId="37" fontId="48" fillId="0" borderId="0" xfId="0" applyNumberFormat="1" applyFont="1" applyBorder="1" applyAlignment="1"/>
    <xf numFmtId="0" fontId="2" fillId="0" borderId="0" xfId="0" applyFont="1"/>
    <xf numFmtId="49" fontId="2" fillId="0" borderId="0" xfId="0" applyNumberFormat="1" applyFont="1" applyAlignment="1">
      <alignment horizontal="center"/>
    </xf>
    <xf numFmtId="3" fontId="2" fillId="0" borderId="0" xfId="0" applyNumberFormat="1" applyFont="1" applyAlignment="1">
      <alignment horizontal="center"/>
    </xf>
    <xf numFmtId="37" fontId="39" fillId="0" borderId="0" xfId="0" applyNumberFormat="1" applyFont="1" applyBorder="1"/>
    <xf numFmtId="37" fontId="39" fillId="0" borderId="0" xfId="0" applyNumberFormat="1" applyFont="1" applyBorder="1" applyAlignment="1"/>
    <xf numFmtId="0" fontId="43" fillId="0" borderId="0" xfId="0" applyFont="1" applyFill="1" applyBorder="1" applyAlignment="1">
      <alignment horizontal="center"/>
    </xf>
    <xf numFmtId="37" fontId="6" fillId="0" borderId="0" xfId="0" applyNumberFormat="1" applyFont="1" applyBorder="1" applyAlignment="1">
      <alignment horizontal="center"/>
    </xf>
    <xf numFmtId="37" fontId="0" fillId="0" borderId="0" xfId="0" applyNumberFormat="1" applyBorder="1" applyProtection="1">
      <protection locked="0"/>
    </xf>
    <xf numFmtId="0" fontId="24" fillId="0" borderId="0" xfId="0" applyFont="1" applyBorder="1" applyAlignment="1" applyProtection="1">
      <protection locked="0"/>
    </xf>
    <xf numFmtId="164" fontId="46" fillId="0" borderId="0" xfId="3" applyNumberFormat="1" applyFont="1" applyBorder="1"/>
    <xf numFmtId="164" fontId="46" fillId="0" borderId="0" xfId="3" applyNumberFormat="1" applyFont="1" applyBorder="1" applyProtection="1">
      <protection locked="0"/>
    </xf>
    <xf numFmtId="49" fontId="2" fillId="0" borderId="0" xfId="0" quotePrefix="1" applyNumberFormat="1" applyFont="1" applyAlignment="1">
      <alignment horizontal="left"/>
    </xf>
    <xf numFmtId="37" fontId="2" fillId="0" borderId="0" xfId="0" quotePrefix="1" applyNumberFormat="1" applyFont="1"/>
    <xf numFmtId="49" fontId="4" fillId="0" borderId="0" xfId="1" applyNumberFormat="1" applyFont="1" applyBorder="1" applyAlignment="1">
      <alignment horizontal="left"/>
    </xf>
    <xf numFmtId="37" fontId="9" fillId="0" borderId="0" xfId="0" quotePrefix="1" applyNumberFormat="1" applyFont="1" applyBorder="1"/>
    <xf numFmtId="37" fontId="4" fillId="0" borderId="0" xfId="0" quotePrefix="1" applyNumberFormat="1" applyFont="1" applyBorder="1"/>
    <xf numFmtId="0" fontId="41" fillId="0" borderId="0" xfId="0" applyFont="1" applyAlignment="1">
      <alignment horizontal="right"/>
    </xf>
    <xf numFmtId="2" fontId="0" fillId="0" borderId="0" xfId="0" applyNumberFormat="1"/>
    <xf numFmtId="37" fontId="48" fillId="0" borderId="0" xfId="0" applyNumberFormat="1" applyFont="1" applyFill="1" applyBorder="1"/>
    <xf numFmtId="3" fontId="41" fillId="0" borderId="0" xfId="0" applyNumberFormat="1" applyFont="1" applyFill="1" applyAlignment="1">
      <alignment horizontal="center"/>
    </xf>
    <xf numFmtId="164" fontId="4" fillId="0" borderId="0" xfId="3" applyNumberFormat="1" applyFont="1" applyBorder="1"/>
    <xf numFmtId="164" fontId="30" fillId="0" borderId="0" xfId="3" applyNumberFormat="1" applyFont="1" applyBorder="1"/>
    <xf numFmtId="49" fontId="6" fillId="0" borderId="0" xfId="1" applyNumberFormat="1" applyFont="1" applyBorder="1" applyAlignment="1">
      <alignment horizontal="left"/>
    </xf>
    <xf numFmtId="37" fontId="20" fillId="0" borderId="0" xfId="0" applyNumberFormat="1" applyFont="1" applyBorder="1"/>
    <xf numFmtId="49" fontId="47" fillId="0" borderId="0" xfId="1" applyNumberFormat="1" applyFont="1" applyFill="1" applyAlignment="1">
      <alignment horizontal="left"/>
    </xf>
    <xf numFmtId="0" fontId="50" fillId="0" borderId="1" xfId="0" applyFont="1" applyBorder="1" applyAlignment="1">
      <alignment horizontal="center"/>
    </xf>
    <xf numFmtId="37" fontId="50" fillId="0" borderId="1" xfId="0" applyNumberFormat="1" applyFont="1" applyBorder="1" applyAlignment="1">
      <alignment horizontal="center"/>
    </xf>
    <xf numFmtId="170" fontId="0" fillId="0" borderId="1" xfId="1" applyNumberFormat="1" applyFont="1" applyBorder="1"/>
    <xf numFmtId="37" fontId="56" fillId="0" borderId="0" xfId="0" applyNumberFormat="1" applyFont="1" applyFill="1" applyBorder="1" applyProtection="1"/>
    <xf numFmtId="164" fontId="6" fillId="0" borderId="0" xfId="3" applyNumberFormat="1" applyFont="1" applyFill="1" applyBorder="1" applyAlignment="1" applyProtection="1">
      <alignment horizontal="center"/>
      <protection locked="0"/>
    </xf>
    <xf numFmtId="0" fontId="19" fillId="0" borderId="0" xfId="0" applyFont="1"/>
    <xf numFmtId="0" fontId="48" fillId="0" borderId="0" xfId="0" applyFont="1" applyAlignment="1">
      <alignment horizontal="right"/>
    </xf>
    <xf numFmtId="0" fontId="49" fillId="0" borderId="0" xfId="0" applyFont="1" applyAlignment="1">
      <alignment horizontal="center"/>
    </xf>
    <xf numFmtId="49" fontId="49" fillId="0" borderId="0" xfId="0" applyNumberFormat="1" applyFont="1" applyAlignment="1">
      <alignment horizontal="center"/>
    </xf>
    <xf numFmtId="37" fontId="49" fillId="0" borderId="0" xfId="0" applyNumberFormat="1" applyFont="1"/>
    <xf numFmtId="0" fontId="49" fillId="0" borderId="0" xfId="0" quotePrefix="1" applyFont="1"/>
    <xf numFmtId="37" fontId="50" fillId="0" borderId="0" xfId="0" applyNumberFormat="1" applyFont="1" applyAlignment="1">
      <alignment horizontal="center"/>
    </xf>
    <xf numFmtId="49" fontId="50" fillId="0" borderId="1" xfId="0" applyNumberFormat="1" applyFont="1" applyBorder="1" applyAlignment="1">
      <alignment horizontal="center"/>
    </xf>
    <xf numFmtId="49" fontId="49" fillId="0" borderId="0" xfId="0" quotePrefix="1" applyNumberFormat="1" applyFont="1" applyAlignment="1">
      <alignment horizontal="left"/>
    </xf>
    <xf numFmtId="37" fontId="2" fillId="0" borderId="1" xfId="0" applyNumberFormat="1" applyFont="1" applyBorder="1"/>
    <xf numFmtId="164" fontId="68" fillId="0" borderId="0" xfId="0" applyNumberFormat="1" applyFont="1" applyFill="1" applyBorder="1" applyProtection="1"/>
    <xf numFmtId="0" fontId="6" fillId="8" borderId="0" xfId="0" applyFont="1" applyFill="1" applyAlignment="1">
      <alignment horizontal="center"/>
    </xf>
    <xf numFmtId="164" fontId="49" fillId="0" borderId="0" xfId="3" applyNumberFormat="1" applyFont="1" applyBorder="1" applyProtection="1"/>
    <xf numFmtId="0" fontId="24" fillId="0" borderId="0" xfId="0" applyFont="1" applyFill="1" applyBorder="1" applyAlignment="1">
      <alignment horizontal="right"/>
    </xf>
    <xf numFmtId="37" fontId="24" fillId="0" borderId="0" xfId="0" applyNumberFormat="1" applyFont="1" applyFill="1" applyBorder="1" applyProtection="1"/>
    <xf numFmtId="0" fontId="24" fillId="0" borderId="0" xfId="0" applyFont="1" applyBorder="1" applyAlignment="1">
      <alignment horizontal="right"/>
    </xf>
    <xf numFmtId="37" fontId="2" fillId="0" borderId="0" xfId="0" applyNumberFormat="1" applyFont="1" applyBorder="1"/>
    <xf numFmtId="0" fontId="2" fillId="0" borderId="0" xfId="0" applyFont="1" applyBorder="1"/>
    <xf numFmtId="37" fontId="24" fillId="0" borderId="0" xfId="0" applyNumberFormat="1" applyFont="1" applyAlignment="1">
      <alignment horizontal="center"/>
    </xf>
    <xf numFmtId="9" fontId="9" fillId="0" borderId="26" xfId="3" applyFont="1" applyBorder="1" applyAlignment="1">
      <alignment horizontal="center"/>
    </xf>
    <xf numFmtId="0" fontId="8" fillId="0" borderId="0" xfId="0" applyFont="1" applyAlignment="1">
      <alignment horizontal="right"/>
    </xf>
    <xf numFmtId="3" fontId="11" fillId="0" borderId="0" xfId="0" applyNumberFormat="1" applyFont="1" applyAlignment="1"/>
    <xf numFmtId="164" fontId="6" fillId="0" borderId="0" xfId="3" applyNumberFormat="1" applyFont="1" applyFill="1" applyBorder="1" applyAlignment="1" applyProtection="1">
      <alignment horizontal="center"/>
    </xf>
    <xf numFmtId="3" fontId="3" fillId="0" borderId="0" xfId="0" applyNumberFormat="1" applyFont="1" applyAlignment="1"/>
    <xf numFmtId="0" fontId="19" fillId="0" borderId="0" xfId="0" applyFont="1" applyAlignment="1">
      <alignment horizontal="center"/>
    </xf>
    <xf numFmtId="164" fontId="19" fillId="0" borderId="0" xfId="3" applyNumberFormat="1" applyFont="1" applyAlignment="1">
      <alignment horizontal="center"/>
    </xf>
    <xf numFmtId="0" fontId="69" fillId="2" borderId="0" xfId="0" applyFont="1" applyFill="1"/>
    <xf numFmtId="0" fontId="70" fillId="2" borderId="0" xfId="0" applyFont="1" applyFill="1"/>
    <xf numFmtId="164" fontId="4" fillId="0" borderId="0" xfId="3" applyNumberFormat="1" applyFont="1" applyBorder="1" applyAlignment="1"/>
    <xf numFmtId="164" fontId="6" fillId="5" borderId="20" xfId="3" applyNumberFormat="1" applyFont="1" applyFill="1" applyBorder="1" applyAlignment="1" applyProtection="1">
      <alignment horizontal="center"/>
      <protection locked="0"/>
    </xf>
    <xf numFmtId="164" fontId="8" fillId="0" borderId="0" xfId="0" applyNumberFormat="1" applyFont="1" applyFill="1" applyBorder="1"/>
    <xf numFmtId="164" fontId="6" fillId="5" borderId="27" xfId="3" applyNumberFormat="1" applyFont="1" applyFill="1" applyBorder="1" applyAlignment="1" applyProtection="1">
      <alignment horizontal="center"/>
      <protection locked="0"/>
    </xf>
    <xf numFmtId="164" fontId="8" fillId="0" borderId="0" xfId="3" applyNumberFormat="1" applyFont="1" applyFill="1" applyBorder="1" applyAlignment="1" applyProtection="1">
      <alignment horizontal="center"/>
    </xf>
    <xf numFmtId="0" fontId="0" fillId="0" borderId="0" xfId="0" applyFill="1" applyBorder="1" applyAlignment="1">
      <alignment horizontal="left"/>
    </xf>
    <xf numFmtId="0" fontId="50" fillId="0" borderId="0" xfId="0" applyFont="1" applyBorder="1" applyAlignment="1">
      <alignment horizontal="right"/>
    </xf>
    <xf numFmtId="0" fontId="41" fillId="0" borderId="0" xfId="0" applyFont="1" applyBorder="1"/>
    <xf numFmtId="37" fontId="48" fillId="0" borderId="0" xfId="0" applyNumberFormat="1" applyFont="1" applyBorder="1" applyAlignment="1">
      <alignment horizontal="right"/>
    </xf>
    <xf numFmtId="46" fontId="0" fillId="0" borderId="0" xfId="0" applyNumberFormat="1"/>
    <xf numFmtId="0" fontId="6" fillId="0" borderId="5" xfId="0" applyFont="1" applyBorder="1" applyAlignment="1">
      <alignment horizontal="center"/>
    </xf>
    <xf numFmtId="37" fontId="0" fillId="0" borderId="8" xfId="0" applyNumberFormat="1" applyBorder="1" applyAlignment="1"/>
    <xf numFmtId="0" fontId="4" fillId="0" borderId="0" xfId="0" applyFont="1" applyAlignment="1" applyProtection="1">
      <alignment horizontal="right"/>
      <protection locked="0"/>
    </xf>
    <xf numFmtId="22" fontId="39" fillId="0" borderId="0" xfId="0" applyNumberFormat="1" applyFont="1" applyAlignment="1" applyProtection="1">
      <alignment horizontal="right"/>
      <protection locked="0"/>
    </xf>
    <xf numFmtId="1" fontId="4" fillId="0" borderId="0" xfId="0" quotePrefix="1" applyNumberFormat="1" applyFont="1" applyBorder="1" applyAlignment="1">
      <alignment horizontal="center"/>
    </xf>
    <xf numFmtId="164" fontId="6" fillId="5" borderId="28" xfId="3" applyNumberFormat="1" applyFont="1" applyFill="1" applyBorder="1" applyAlignment="1" applyProtection="1">
      <alignment horizontal="center"/>
      <protection locked="0"/>
    </xf>
    <xf numFmtId="0" fontId="41" fillId="0" borderId="0" xfId="0" applyFont="1" applyBorder="1" applyAlignment="1">
      <alignment horizontal="right"/>
    </xf>
    <xf numFmtId="164" fontId="35" fillId="0" borderId="0" xfId="3" applyNumberFormat="1" applyFont="1" applyFill="1" applyBorder="1" applyAlignment="1"/>
    <xf numFmtId="0" fontId="35" fillId="0" borderId="0" xfId="0" applyFont="1" applyFill="1"/>
    <xf numFmtId="0" fontId="67" fillId="0" borderId="0" xfId="0" applyFont="1"/>
    <xf numFmtId="165" fontId="6" fillId="5" borderId="29" xfId="0" applyNumberFormat="1" applyFont="1" applyFill="1" applyBorder="1" applyAlignment="1" applyProtection="1">
      <alignment horizontal="center"/>
      <protection locked="0"/>
    </xf>
    <xf numFmtId="165" fontId="4" fillId="0" borderId="30" xfId="0" applyNumberFormat="1" applyFont="1" applyFill="1" applyBorder="1" applyAlignment="1" applyProtection="1">
      <alignment horizontal="center"/>
    </xf>
    <xf numFmtId="165" fontId="4" fillId="0" borderId="31" xfId="0" applyNumberFormat="1" applyFont="1" applyFill="1" applyBorder="1" applyAlignment="1" applyProtection="1">
      <alignment horizontal="center"/>
    </xf>
    <xf numFmtId="37" fontId="48" fillId="0" borderId="0" xfId="0" applyNumberFormat="1" applyFont="1" applyBorder="1" applyAlignment="1" applyProtection="1">
      <alignment horizontal="right"/>
      <protection locked="0"/>
    </xf>
    <xf numFmtId="37" fontId="0" fillId="5" borderId="32" xfId="0" applyNumberFormat="1" applyFill="1" applyBorder="1" applyProtection="1">
      <protection locked="0"/>
    </xf>
    <xf numFmtId="37" fontId="0" fillId="5" borderId="4" xfId="0" applyNumberFormat="1" applyFill="1" applyBorder="1" applyProtection="1">
      <protection locked="0"/>
    </xf>
    <xf numFmtId="37" fontId="0" fillId="5" borderId="19" xfId="0" applyNumberFormat="1" applyFill="1" applyBorder="1" applyProtection="1">
      <protection locked="0"/>
    </xf>
    <xf numFmtId="0" fontId="41" fillId="0" borderId="0" xfId="0" applyFont="1"/>
    <xf numFmtId="0" fontId="23" fillId="0" borderId="0" xfId="0" applyFont="1" applyFill="1" applyBorder="1" applyAlignment="1">
      <alignment horizontal="left"/>
    </xf>
    <xf numFmtId="37" fontId="49" fillId="0" borderId="0" xfId="0" applyNumberFormat="1" applyFont="1" applyBorder="1" applyAlignment="1">
      <alignment horizontal="center"/>
    </xf>
    <xf numFmtId="37" fontId="24" fillId="0" borderId="0" xfId="0" applyNumberFormat="1" applyFont="1" applyBorder="1" applyAlignment="1">
      <alignment horizontal="center"/>
    </xf>
    <xf numFmtId="37" fontId="49" fillId="0" borderId="14" xfId="0" applyNumberFormat="1" applyFont="1" applyBorder="1" applyAlignment="1">
      <alignment horizontal="center"/>
    </xf>
    <xf numFmtId="0" fontId="0" fillId="0" borderId="0" xfId="0" applyBorder="1" applyAlignment="1">
      <alignment horizontal="right"/>
    </xf>
    <xf numFmtId="0" fontId="24" fillId="0" borderId="0" xfId="0" applyFont="1" applyBorder="1" applyAlignment="1"/>
    <xf numFmtId="37" fontId="6" fillId="5" borderId="23" xfId="0" applyNumberFormat="1" applyFont="1" applyFill="1" applyBorder="1" applyAlignment="1" applyProtection="1">
      <alignment horizontal="center"/>
      <protection locked="0"/>
    </xf>
    <xf numFmtId="0" fontId="0" fillId="0" borderId="1" xfId="0" applyFill="1" applyBorder="1"/>
    <xf numFmtId="49" fontId="2" fillId="0" borderId="0" xfId="1" applyNumberFormat="1" applyFont="1" applyAlignment="1">
      <alignment horizontal="left"/>
    </xf>
    <xf numFmtId="49" fontId="2" fillId="0" borderId="0" xfId="1" applyNumberFormat="1" applyFont="1" applyFill="1" applyAlignment="1">
      <alignment horizontal="left"/>
    </xf>
    <xf numFmtId="37" fontId="4" fillId="0" borderId="1" xfId="0" applyNumberFormat="1" applyFont="1" applyFill="1" applyBorder="1"/>
    <xf numFmtId="0" fontId="71" fillId="0" borderId="0" xfId="0" applyFont="1" applyBorder="1" applyAlignment="1">
      <alignment horizontal="left"/>
    </xf>
    <xf numFmtId="0" fontId="71" fillId="0" borderId="0" xfId="0" applyFont="1" applyBorder="1" applyAlignment="1">
      <alignment horizontal="center"/>
    </xf>
    <xf numFmtId="0" fontId="72" fillId="0" borderId="0" xfId="0" applyFont="1"/>
    <xf numFmtId="0" fontId="73" fillId="0" borderId="0" xfId="0" applyFont="1" applyBorder="1" applyAlignment="1">
      <alignment horizontal="center" vertical="center"/>
    </xf>
    <xf numFmtId="170" fontId="41" fillId="0" borderId="0" xfId="1" applyNumberFormat="1" applyFont="1" applyAlignment="1">
      <alignment horizontal="left"/>
    </xf>
    <xf numFmtId="165" fontId="8" fillId="0" borderId="0" xfId="0" applyNumberFormat="1" applyFont="1" applyFill="1" applyBorder="1" applyAlignment="1" applyProtection="1">
      <alignment horizontal="right"/>
    </xf>
    <xf numFmtId="37" fontId="0" fillId="0" borderId="33" xfId="0" applyNumberFormat="1" applyBorder="1"/>
    <xf numFmtId="170" fontId="41" fillId="0" borderId="0" xfId="1" applyNumberFormat="1" applyFont="1" applyAlignment="1">
      <alignment horizontal="right"/>
    </xf>
    <xf numFmtId="37" fontId="6" fillId="5" borderId="6" xfId="0" applyNumberFormat="1" applyFont="1" applyFill="1" applyBorder="1" applyProtection="1">
      <protection locked="0"/>
    </xf>
    <xf numFmtId="0" fontId="74" fillId="0" borderId="0" xfId="0" applyFont="1" applyBorder="1" applyAlignment="1">
      <alignment horizontal="center"/>
    </xf>
    <xf numFmtId="0" fontId="8" fillId="0" borderId="0" xfId="0" applyFont="1" applyFill="1" applyAlignment="1">
      <alignment horizontal="center"/>
    </xf>
    <xf numFmtId="37" fontId="8" fillId="0" borderId="21" xfId="0" applyNumberFormat="1" applyFont="1" applyFill="1" applyBorder="1" applyAlignment="1">
      <alignment horizontal="right"/>
    </xf>
    <xf numFmtId="49" fontId="9" fillId="0" borderId="0" xfId="1" applyNumberFormat="1" applyFont="1" applyFill="1" applyAlignment="1"/>
    <xf numFmtId="165" fontId="4" fillId="0" borderId="34" xfId="0" applyNumberFormat="1" applyFont="1" applyFill="1" applyBorder="1" applyAlignment="1" applyProtection="1">
      <alignment horizontal="center"/>
    </xf>
    <xf numFmtId="165" fontId="4" fillId="0" borderId="8" xfId="0" applyNumberFormat="1" applyFont="1" applyFill="1" applyBorder="1" applyAlignment="1" applyProtection="1">
      <alignment horizontal="center"/>
    </xf>
    <xf numFmtId="0" fontId="75" fillId="0" borderId="0" xfId="0" applyFont="1" applyBorder="1" applyAlignment="1">
      <alignment horizontal="left"/>
    </xf>
    <xf numFmtId="37" fontId="4" fillId="0" borderId="22" xfId="0" applyNumberFormat="1" applyFont="1" applyFill="1" applyBorder="1" applyAlignment="1" applyProtection="1">
      <alignment horizontal="center"/>
    </xf>
    <xf numFmtId="37" fontId="6" fillId="5" borderId="4" xfId="0" quotePrefix="1" applyNumberFormat="1" applyFont="1" applyFill="1" applyBorder="1" applyAlignment="1" applyProtection="1">
      <alignment horizontal="center"/>
      <protection locked="0"/>
    </xf>
    <xf numFmtId="37" fontId="6" fillId="5" borderId="19" xfId="0" quotePrefix="1" applyNumberFormat="1" applyFont="1" applyFill="1" applyBorder="1" applyAlignment="1" applyProtection="1">
      <alignment horizontal="center"/>
      <protection locked="0"/>
    </xf>
    <xf numFmtId="37" fontId="6" fillId="5" borderId="35" xfId="0" applyNumberFormat="1" applyFont="1" applyFill="1" applyBorder="1" applyAlignment="1" applyProtection="1">
      <alignment horizontal="center"/>
      <protection locked="0"/>
    </xf>
    <xf numFmtId="164" fontId="24" fillId="0" borderId="0" xfId="3" applyNumberFormat="1" applyFont="1" applyFill="1" applyBorder="1" applyAlignment="1" applyProtection="1"/>
    <xf numFmtId="0" fontId="0" fillId="0" borderId="26" xfId="0" applyBorder="1" applyAlignment="1">
      <alignment horizontal="right"/>
    </xf>
    <xf numFmtId="0" fontId="50" fillId="0" borderId="0" xfId="0" applyFont="1" applyBorder="1" applyAlignment="1">
      <alignment horizontal="center"/>
    </xf>
    <xf numFmtId="164" fontId="76" fillId="0" borderId="0" xfId="0" applyNumberFormat="1" applyFont="1" applyFill="1" applyBorder="1" applyAlignment="1">
      <alignment horizontal="right"/>
    </xf>
    <xf numFmtId="164" fontId="6" fillId="0" borderId="14" xfId="3" applyNumberFormat="1" applyFont="1" applyFill="1" applyBorder="1" applyAlignment="1" applyProtection="1">
      <alignment horizontal="center"/>
    </xf>
    <xf numFmtId="164" fontId="76" fillId="0" borderId="0" xfId="0" applyNumberFormat="1" applyFont="1" applyFill="1" applyBorder="1" applyAlignment="1">
      <alignment horizontal="left"/>
    </xf>
    <xf numFmtId="0" fontId="16" fillId="0" borderId="0" xfId="0" applyFont="1" applyAlignment="1">
      <alignment horizontal="right"/>
    </xf>
    <xf numFmtId="0" fontId="12" fillId="0" borderId="0" xfId="0" applyFont="1"/>
    <xf numFmtId="37" fontId="16" fillId="0" borderId="0" xfId="0" applyNumberFormat="1" applyFont="1"/>
    <xf numFmtId="37" fontId="6" fillId="0" borderId="0" xfId="0" quotePrefix="1" applyNumberFormat="1" applyFont="1" applyBorder="1"/>
    <xf numFmtId="3" fontId="23" fillId="0" borderId="0" xfId="0" applyNumberFormat="1" applyFont="1" applyFill="1" applyAlignment="1">
      <alignment horizontal="right"/>
    </xf>
    <xf numFmtId="3" fontId="6" fillId="0" borderId="0" xfId="0" applyNumberFormat="1" applyFont="1"/>
    <xf numFmtId="37" fontId="8" fillId="0" borderId="0" xfId="0" applyNumberFormat="1" applyFont="1"/>
    <xf numFmtId="3" fontId="6" fillId="0" borderId="0" xfId="0" applyNumberFormat="1" applyFont="1" applyFill="1"/>
    <xf numFmtId="3" fontId="23" fillId="0" borderId="0" xfId="0" applyNumberFormat="1" applyFont="1" applyFill="1" applyBorder="1"/>
    <xf numFmtId="0" fontId="35" fillId="0" borderId="0" xfId="0" applyFont="1" applyBorder="1" applyAlignment="1">
      <alignment horizontal="right"/>
    </xf>
    <xf numFmtId="0" fontId="48" fillId="0" borderId="0" xfId="0" applyFont="1" applyAlignment="1">
      <alignment horizontal="center"/>
    </xf>
    <xf numFmtId="0" fontId="8" fillId="0" borderId="0" xfId="0" applyFont="1" applyBorder="1" applyAlignment="1">
      <alignment horizontal="left" vertical="center"/>
    </xf>
    <xf numFmtId="0" fontId="14" fillId="0" borderId="0" xfId="0" applyFont="1" applyBorder="1" applyAlignment="1">
      <alignment horizontal="left"/>
    </xf>
    <xf numFmtId="37" fontId="4" fillId="0" borderId="0" xfId="0" applyNumberFormat="1" applyFont="1" applyBorder="1" applyAlignment="1">
      <alignment horizontal="center"/>
    </xf>
    <xf numFmtId="37" fontId="16" fillId="0" borderId="0" xfId="0" applyNumberFormat="1" applyFont="1" applyAlignment="1">
      <alignment horizontal="right"/>
    </xf>
    <xf numFmtId="37" fontId="41" fillId="0" borderId="0" xfId="0" applyNumberFormat="1" applyFont="1" applyAlignment="1">
      <alignment horizontal="right"/>
    </xf>
    <xf numFmtId="37" fontId="41" fillId="0" borderId="0" xfId="0" applyNumberFormat="1" applyFont="1" applyAlignment="1">
      <alignment horizontal="center"/>
    </xf>
    <xf numFmtId="0" fontId="26" fillId="0" borderId="0" xfId="0" applyFont="1" applyFill="1" applyBorder="1" applyAlignment="1"/>
    <xf numFmtId="0" fontId="6" fillId="0" borderId="0" xfId="0" applyFont="1" applyFill="1" applyBorder="1" applyAlignment="1" applyProtection="1">
      <alignment horizontal="left"/>
      <protection locked="0"/>
    </xf>
    <xf numFmtId="37" fontId="14" fillId="0" borderId="0" xfId="0" applyNumberFormat="1" applyFont="1"/>
    <xf numFmtId="164" fontId="40" fillId="0" borderId="0" xfId="3" applyNumberFormat="1" applyFont="1" applyFill="1" applyAlignment="1"/>
    <xf numFmtId="0" fontId="6" fillId="0" borderId="0" xfId="0" applyFont="1" applyFill="1" applyAlignment="1">
      <alignment horizontal="right"/>
    </xf>
    <xf numFmtId="0" fontId="71" fillId="0" borderId="0" xfId="0" applyFont="1" applyBorder="1" applyAlignment="1">
      <alignment horizontal="right"/>
    </xf>
    <xf numFmtId="37" fontId="6" fillId="5" borderId="36" xfId="0" applyNumberFormat="1" applyFont="1" applyFill="1" applyBorder="1" applyAlignment="1" applyProtection="1">
      <alignment horizontal="center"/>
      <protection locked="0"/>
    </xf>
    <xf numFmtId="3" fontId="8" fillId="0" borderId="0" xfId="0" applyNumberFormat="1" applyFont="1" applyFill="1" applyBorder="1" applyAlignment="1">
      <alignment horizontal="right"/>
    </xf>
    <xf numFmtId="49" fontId="24" fillId="0" borderId="0" xfId="1" applyNumberFormat="1" applyFont="1" applyAlignment="1">
      <alignment horizontal="left"/>
    </xf>
    <xf numFmtId="0" fontId="23" fillId="0" borderId="0" xfId="0" applyFont="1" applyBorder="1" applyAlignment="1" applyProtection="1"/>
    <xf numFmtId="49" fontId="48" fillId="0" borderId="0" xfId="1" applyNumberFormat="1" applyFont="1" applyFill="1" applyBorder="1" applyAlignment="1">
      <alignment horizontal="left"/>
    </xf>
    <xf numFmtId="0" fontId="48" fillId="0" borderId="0" xfId="0" applyFont="1" applyBorder="1"/>
    <xf numFmtId="0" fontId="48" fillId="0" borderId="0" xfId="0" applyFont="1" applyBorder="1" applyAlignment="1"/>
    <xf numFmtId="0" fontId="26" fillId="0" borderId="0" xfId="0" applyFont="1" applyFill="1" applyBorder="1" applyAlignment="1">
      <alignment horizontal="right"/>
    </xf>
    <xf numFmtId="0" fontId="52" fillId="0" borderId="0" xfId="0" applyFont="1" applyFill="1" applyBorder="1" applyAlignment="1">
      <alignment horizontal="center"/>
    </xf>
    <xf numFmtId="164" fontId="79" fillId="0" borderId="0" xfId="0" applyNumberFormat="1" applyFont="1" applyFill="1" applyBorder="1" applyAlignment="1">
      <alignment horizontal="right"/>
    </xf>
    <xf numFmtId="0" fontId="6" fillId="5" borderId="38" xfId="0" applyFont="1" applyFill="1" applyBorder="1" applyAlignment="1">
      <alignment vertical="center"/>
    </xf>
    <xf numFmtId="0" fontId="6" fillId="5" borderId="9" xfId="0" applyFont="1" applyFill="1" applyBorder="1" applyAlignment="1">
      <alignment vertical="center"/>
    </xf>
    <xf numFmtId="0" fontId="6" fillId="5" borderId="39" xfId="0" applyFont="1" applyFill="1" applyBorder="1" applyAlignment="1">
      <alignment vertical="center"/>
    </xf>
    <xf numFmtId="0" fontId="6" fillId="5" borderId="9" xfId="0" applyFont="1" applyFill="1" applyBorder="1" applyAlignment="1" applyProtection="1">
      <alignment vertical="center"/>
      <protection locked="0"/>
    </xf>
    <xf numFmtId="0" fontId="6" fillId="5" borderId="39" xfId="0" applyFont="1" applyFill="1" applyBorder="1" applyAlignment="1" applyProtection="1">
      <alignment vertical="center"/>
      <protection locked="0"/>
    </xf>
    <xf numFmtId="0" fontId="43" fillId="3" borderId="7" xfId="0" applyFont="1" applyFill="1" applyBorder="1" applyAlignment="1"/>
    <xf numFmtId="0" fontId="43" fillId="3" borderId="0" xfId="0" applyFont="1" applyFill="1" applyBorder="1" applyAlignment="1"/>
    <xf numFmtId="0" fontId="43" fillId="3" borderId="40" xfId="0" applyFont="1" applyFill="1" applyBorder="1" applyAlignment="1"/>
    <xf numFmtId="0" fontId="0" fillId="0" borderId="0" xfId="0" applyFill="1" applyBorder="1" applyAlignment="1">
      <alignment horizontal="center"/>
    </xf>
    <xf numFmtId="0" fontId="43" fillId="0" borderId="40" xfId="0" applyFont="1" applyFill="1" applyBorder="1" applyAlignment="1"/>
    <xf numFmtId="0" fontId="15" fillId="0" borderId="0" xfId="0" applyFont="1" applyBorder="1" applyAlignment="1">
      <alignment horizontal="center"/>
    </xf>
    <xf numFmtId="1" fontId="15" fillId="0" borderId="1" xfId="0" quotePrefix="1" applyNumberFormat="1" applyFont="1" applyBorder="1" applyAlignment="1">
      <alignment horizontal="center"/>
    </xf>
    <xf numFmtId="0" fontId="26" fillId="3" borderId="0" xfId="0" applyFont="1" applyFill="1" applyBorder="1" applyAlignment="1">
      <alignment vertical="center"/>
    </xf>
    <xf numFmtId="0" fontId="43" fillId="2" borderId="0" xfId="0" applyFont="1" applyFill="1" applyBorder="1" applyAlignment="1">
      <alignment horizontal="right" vertical="center"/>
    </xf>
    <xf numFmtId="0" fontId="26" fillId="3" borderId="41" xfId="0" applyFont="1" applyFill="1" applyBorder="1" applyAlignment="1">
      <alignment horizontal="center" vertical="center"/>
    </xf>
    <xf numFmtId="0" fontId="43" fillId="2" borderId="0" xfId="0" applyFont="1" applyFill="1" applyBorder="1" applyAlignment="1">
      <alignment vertical="center"/>
    </xf>
    <xf numFmtId="0" fontId="43" fillId="3" borderId="0" xfId="0" applyFont="1" applyFill="1" applyBorder="1" applyAlignment="1">
      <alignment vertical="center"/>
    </xf>
    <xf numFmtId="0" fontId="52" fillId="3" borderId="42" xfId="0" applyFont="1" applyFill="1" applyBorder="1" applyAlignment="1">
      <alignment horizontal="center" vertical="center"/>
    </xf>
    <xf numFmtId="0" fontId="43" fillId="3" borderId="7" xfId="0" applyFont="1" applyFill="1" applyBorder="1" applyAlignment="1">
      <alignment vertical="center"/>
    </xf>
    <xf numFmtId="0" fontId="40" fillId="0" borderId="0" xfId="0" applyFont="1"/>
    <xf numFmtId="37" fontId="6" fillId="5" borderId="24" xfId="0" applyNumberFormat="1" applyFont="1" applyFill="1" applyBorder="1" applyAlignment="1" applyProtection="1">
      <alignment horizontal="center"/>
      <protection locked="0"/>
    </xf>
    <xf numFmtId="170" fontId="8" fillId="0" borderId="0" xfId="1" applyNumberFormat="1" applyFont="1" applyAlignment="1">
      <alignment horizontal="right"/>
    </xf>
    <xf numFmtId="49" fontId="15" fillId="0" borderId="0" xfId="1" applyNumberFormat="1" applyFont="1" applyAlignment="1">
      <alignment horizontal="left"/>
    </xf>
    <xf numFmtId="49" fontId="31" fillId="0" borderId="0" xfId="1" applyNumberFormat="1" applyFont="1" applyAlignment="1">
      <alignment horizontal="left"/>
    </xf>
    <xf numFmtId="49" fontId="80" fillId="0" borderId="0" xfId="1" applyNumberFormat="1" applyFont="1" applyAlignment="1">
      <alignment horizontal="left"/>
    </xf>
    <xf numFmtId="49" fontId="6" fillId="0" borderId="0" xfId="1" applyNumberFormat="1" applyFont="1" applyFill="1" applyBorder="1" applyAlignment="1">
      <alignment horizontal="left"/>
    </xf>
    <xf numFmtId="0" fontId="35" fillId="0" borderId="0" xfId="0" applyFont="1" applyFill="1" applyAlignment="1"/>
    <xf numFmtId="0" fontId="4" fillId="0" borderId="0" xfId="0" applyFont="1" applyFill="1"/>
    <xf numFmtId="3" fontId="4" fillId="0" borderId="0" xfId="0" applyNumberFormat="1" applyFont="1" applyFill="1" applyBorder="1"/>
    <xf numFmtId="0" fontId="9" fillId="0" borderId="0" xfId="0" applyFont="1" applyBorder="1"/>
    <xf numFmtId="0" fontId="82" fillId="0" borderId="0" xfId="0" applyFont="1" applyBorder="1" applyAlignment="1"/>
    <xf numFmtId="0" fontId="46" fillId="0" borderId="0" xfId="0" applyFont="1"/>
    <xf numFmtId="170" fontId="0" fillId="0" borderId="0" xfId="1" applyNumberFormat="1" applyFont="1" applyBorder="1" applyProtection="1">
      <protection locked="0"/>
    </xf>
    <xf numFmtId="37" fontId="55" fillId="5" borderId="0" xfId="0" applyNumberFormat="1" applyFont="1" applyFill="1" applyBorder="1" applyAlignment="1"/>
    <xf numFmtId="0" fontId="26" fillId="0" borderId="0" xfId="0" applyFont="1" applyFill="1" applyBorder="1" applyAlignment="1">
      <alignment horizontal="center" vertical="center"/>
    </xf>
    <xf numFmtId="164" fontId="48" fillId="0" borderId="0" xfId="3" applyNumberFormat="1" applyFont="1" applyAlignment="1">
      <alignment horizontal="left"/>
    </xf>
    <xf numFmtId="37" fontId="4" fillId="0" borderId="0" xfId="0" applyNumberFormat="1" applyFont="1" applyFill="1" applyBorder="1" applyProtection="1"/>
    <xf numFmtId="0" fontId="0" fillId="0" borderId="2" xfId="0" applyBorder="1"/>
    <xf numFmtId="0" fontId="88" fillId="0" borderId="0" xfId="0" applyFont="1" applyBorder="1" applyAlignment="1">
      <alignment horizontal="center" vertical="center"/>
    </xf>
    <xf numFmtId="0" fontId="12" fillId="0" borderId="0" xfId="0" applyFont="1" applyBorder="1" applyAlignment="1" applyProtection="1">
      <alignment horizontal="center"/>
      <protection locked="0"/>
    </xf>
    <xf numFmtId="37" fontId="6" fillId="0" borderId="0" xfId="0" applyNumberFormat="1" applyFont="1" applyAlignment="1">
      <alignment horizontal="right"/>
    </xf>
    <xf numFmtId="0" fontId="48" fillId="0" borderId="0" xfId="0" applyFont="1" applyBorder="1" applyAlignment="1">
      <alignment horizontal="right"/>
    </xf>
    <xf numFmtId="170" fontId="0" fillId="0" borderId="0" xfId="1" applyNumberFormat="1" applyFont="1" applyFill="1" applyBorder="1" applyAlignment="1">
      <alignment horizontal="center"/>
    </xf>
    <xf numFmtId="0" fontId="40" fillId="0" borderId="0" xfId="0" applyFont="1" applyAlignment="1">
      <alignment horizontal="center"/>
    </xf>
    <xf numFmtId="0" fontId="90" fillId="0" borderId="0" xfId="0" applyFont="1" applyBorder="1" applyAlignment="1">
      <alignment horizontal="right"/>
    </xf>
    <xf numFmtId="0" fontId="91" fillId="0" borderId="0" xfId="0" applyFont="1" applyAlignment="1"/>
    <xf numFmtId="0" fontId="7" fillId="0" borderId="0" xfId="0" applyFont="1" applyAlignment="1">
      <alignment horizontal="right"/>
    </xf>
    <xf numFmtId="0" fontId="0" fillId="0" borderId="22" xfId="0" applyBorder="1"/>
    <xf numFmtId="37" fontId="4" fillId="0" borderId="0" xfId="0" applyNumberFormat="1" applyFont="1" applyFill="1" applyBorder="1" applyAlignment="1" applyProtection="1">
      <alignment horizontal="center"/>
    </xf>
    <xf numFmtId="173" fontId="54" fillId="0" borderId="0" xfId="1" applyNumberFormat="1" applyFont="1"/>
    <xf numFmtId="173" fontId="17" fillId="0" borderId="0" xfId="1" applyNumberFormat="1" applyFont="1"/>
    <xf numFmtId="0" fontId="6" fillId="0" borderId="0" xfId="0" applyFont="1" applyFill="1" applyAlignment="1">
      <alignment horizontal="left"/>
    </xf>
    <xf numFmtId="164" fontId="8" fillId="0" borderId="0" xfId="0" applyNumberFormat="1" applyFont="1" applyFill="1" applyBorder="1" applyAlignment="1">
      <alignment horizontal="right"/>
    </xf>
    <xf numFmtId="165" fontId="6" fillId="0" borderId="23" xfId="0" applyNumberFormat="1" applyFont="1" applyFill="1" applyBorder="1" applyAlignment="1" applyProtection="1">
      <alignment horizontal="center"/>
    </xf>
    <xf numFmtId="165" fontId="6" fillId="0" borderId="12" xfId="0" applyNumberFormat="1" applyFont="1" applyBorder="1" applyAlignment="1">
      <alignment horizontal="center"/>
    </xf>
    <xf numFmtId="165" fontId="6" fillId="0" borderId="0" xfId="0" applyNumberFormat="1" applyFont="1" applyFill="1" applyBorder="1" applyAlignment="1" applyProtection="1">
      <alignment horizontal="center"/>
      <protection locked="0"/>
    </xf>
    <xf numFmtId="165" fontId="6" fillId="0" borderId="34" xfId="0" applyNumberFormat="1" applyFont="1" applyFill="1" applyBorder="1" applyAlignment="1" applyProtection="1">
      <alignment horizontal="center"/>
    </xf>
    <xf numFmtId="165" fontId="6" fillId="0" borderId="8" xfId="0" applyNumberFormat="1" applyFont="1" applyFill="1" applyBorder="1" applyAlignment="1" applyProtection="1">
      <alignment horizontal="center"/>
    </xf>
    <xf numFmtId="0" fontId="69" fillId="0" borderId="0" xfId="0" applyFont="1" applyFill="1"/>
    <xf numFmtId="0" fontId="43" fillId="0" borderId="0" xfId="0" applyFont="1" applyFill="1" applyBorder="1" applyAlignment="1">
      <alignment horizontal="left" vertical="center"/>
    </xf>
    <xf numFmtId="37" fontId="4" fillId="0" borderId="1" xfId="0" applyNumberFormat="1" applyFont="1" applyBorder="1" applyAlignment="1"/>
    <xf numFmtId="37" fontId="4" fillId="0" borderId="0" xfId="0" applyNumberFormat="1" applyFont="1" applyBorder="1" applyAlignment="1">
      <alignment horizontal="left"/>
    </xf>
    <xf numFmtId="37" fontId="4" fillId="0" borderId="8" xfId="0" applyNumberFormat="1" applyFont="1" applyBorder="1" applyAlignment="1">
      <alignment horizontal="left"/>
    </xf>
    <xf numFmtId="0" fontId="0" fillId="0" borderId="14" xfId="0" applyBorder="1" applyAlignment="1">
      <alignment horizontal="left"/>
    </xf>
    <xf numFmtId="170" fontId="6" fillId="0" borderId="22" xfId="1" applyNumberFormat="1" applyFont="1" applyBorder="1" applyAlignment="1"/>
    <xf numFmtId="165" fontId="6" fillId="5" borderId="4" xfId="0" applyNumberFormat="1" applyFont="1" applyFill="1" applyBorder="1" applyProtection="1">
      <protection locked="0"/>
    </xf>
    <xf numFmtId="37" fontId="6" fillId="0" borderId="5" xfId="0" applyNumberFormat="1" applyFont="1" applyBorder="1" applyAlignment="1">
      <alignment horizontal="center"/>
    </xf>
    <xf numFmtId="164" fontId="49" fillId="0" borderId="0" xfId="3" applyNumberFormat="1" applyFont="1" applyBorder="1"/>
    <xf numFmtId="37" fontId="2" fillId="0" borderId="22" xfId="0" applyNumberFormat="1" applyFont="1" applyBorder="1" applyAlignment="1">
      <alignment horizontal="center"/>
    </xf>
    <xf numFmtId="37" fontId="4" fillId="0" borderId="22" xfId="0" applyNumberFormat="1" applyFont="1" applyBorder="1" applyAlignment="1">
      <alignment horizontal="center"/>
    </xf>
    <xf numFmtId="164" fontId="6" fillId="5" borderId="37" xfId="3" applyNumberFormat="1" applyFont="1" applyFill="1" applyBorder="1" applyAlignment="1" applyProtection="1">
      <alignment horizontal="center"/>
      <protection locked="0"/>
    </xf>
    <xf numFmtId="164" fontId="0" fillId="0" borderId="22" xfId="0" applyNumberFormat="1" applyBorder="1" applyAlignment="1">
      <alignment horizontal="center"/>
    </xf>
    <xf numFmtId="164" fontId="6" fillId="0" borderId="22" xfId="3" applyNumberFormat="1" applyFont="1" applyBorder="1" applyAlignment="1">
      <alignment horizontal="center"/>
    </xf>
    <xf numFmtId="37" fontId="48" fillId="0" borderId="1" xfId="0" applyNumberFormat="1" applyFont="1" applyBorder="1"/>
    <xf numFmtId="0" fontId="94" fillId="0" borderId="0" xfId="2" applyFont="1" applyBorder="1" applyAlignment="1" applyProtection="1"/>
    <xf numFmtId="0" fontId="94" fillId="0" borderId="0" xfId="2" applyFont="1" applyAlignment="1" applyProtection="1"/>
    <xf numFmtId="0" fontId="43" fillId="3" borderId="0" xfId="0" applyFont="1" applyFill="1" applyBorder="1" applyAlignment="1" applyProtection="1">
      <alignment vertical="center"/>
      <protection locked="0"/>
    </xf>
    <xf numFmtId="49" fontId="44" fillId="3" borderId="0" xfId="1" applyNumberFormat="1" applyFont="1" applyFill="1" applyBorder="1" applyAlignment="1" applyProtection="1">
      <protection locked="0"/>
    </xf>
    <xf numFmtId="0" fontId="89" fillId="0" borderId="5" xfId="0" applyFont="1" applyBorder="1" applyAlignment="1"/>
    <xf numFmtId="37" fontId="50" fillId="0" borderId="1" xfId="0" applyNumberFormat="1" applyFont="1" applyBorder="1" applyAlignment="1"/>
    <xf numFmtId="37" fontId="50" fillId="9" borderId="1" xfId="0" applyNumberFormat="1" applyFont="1" applyFill="1" applyBorder="1" applyAlignment="1">
      <alignment horizontal="center"/>
    </xf>
    <xf numFmtId="0" fontId="0" fillId="0" borderId="0" xfId="0" applyProtection="1"/>
    <xf numFmtId="0" fontId="8" fillId="0" borderId="0" xfId="0" applyFont="1" applyFill="1" applyAlignment="1"/>
    <xf numFmtId="0" fontId="16" fillId="0" borderId="0" xfId="0" applyFont="1" applyFill="1" applyAlignment="1"/>
    <xf numFmtId="0" fontId="18" fillId="0" borderId="0" xfId="2" applyFill="1" applyAlignment="1" applyProtection="1"/>
    <xf numFmtId="0" fontId="2" fillId="0" borderId="0" xfId="0" applyFont="1" applyFill="1" applyAlignment="1"/>
    <xf numFmtId="0" fontId="14" fillId="0" borderId="0" xfId="0" applyFont="1" applyFill="1" applyAlignment="1">
      <alignment horizontal="left"/>
    </xf>
    <xf numFmtId="0" fontId="14" fillId="0" borderId="0" xfId="0" applyFont="1" applyFill="1" applyAlignment="1"/>
    <xf numFmtId="0" fontId="2" fillId="0" borderId="0" xfId="0" applyFont="1" applyFill="1" applyAlignment="1">
      <alignment horizontal="left"/>
    </xf>
    <xf numFmtId="37" fontId="48" fillId="0" borderId="0" xfId="0" applyNumberFormat="1" applyFont="1" applyFill="1" applyBorder="1" applyAlignment="1"/>
    <xf numFmtId="0" fontId="6" fillId="0" borderId="0" xfId="0" applyFont="1" applyFill="1" applyAlignment="1">
      <alignment horizontal="center"/>
    </xf>
    <xf numFmtId="3" fontId="4" fillId="0" borderId="0" xfId="0" applyNumberFormat="1" applyFont="1" applyFill="1" applyAlignment="1">
      <alignment horizontal="center"/>
    </xf>
    <xf numFmtId="37" fontId="39" fillId="0" borderId="0" xfId="0" applyNumberFormat="1" applyFont="1" applyFill="1" applyBorder="1"/>
    <xf numFmtId="14" fontId="4" fillId="0" borderId="0" xfId="0" applyNumberFormat="1" applyFont="1" applyBorder="1" applyAlignment="1">
      <alignment horizontal="center"/>
    </xf>
    <xf numFmtId="0" fontId="24" fillId="0" borderId="1" xfId="0" applyFont="1" applyBorder="1" applyAlignment="1"/>
    <xf numFmtId="37" fontId="24" fillId="0" borderId="43" xfId="0" applyNumberFormat="1" applyFont="1" applyBorder="1" applyAlignment="1">
      <alignment horizontal="center"/>
    </xf>
    <xf numFmtId="37" fontId="24" fillId="0" borderId="1" xfId="0" applyNumberFormat="1" applyFont="1" applyBorder="1" applyAlignment="1">
      <alignment horizontal="center"/>
    </xf>
    <xf numFmtId="37" fontId="24" fillId="0" borderId="13" xfId="0" applyNumberFormat="1" applyFont="1" applyBorder="1" applyAlignment="1">
      <alignment horizontal="center"/>
    </xf>
    <xf numFmtId="37" fontId="24" fillId="0" borderId="3" xfId="0" applyNumberFormat="1" applyFont="1" applyBorder="1" applyAlignment="1"/>
    <xf numFmtId="37" fontId="24" fillId="0" borderId="1" xfId="0" applyNumberFormat="1" applyFont="1" applyBorder="1" applyAlignment="1"/>
    <xf numFmtId="37" fontId="24" fillId="9" borderId="43" xfId="0" applyNumberFormat="1" applyFont="1" applyFill="1" applyBorder="1" applyAlignment="1">
      <alignment horizontal="center"/>
    </xf>
    <xf numFmtId="37" fontId="24" fillId="0" borderId="13" xfId="0" applyNumberFormat="1" applyFont="1" applyBorder="1" applyAlignment="1"/>
    <xf numFmtId="37" fontId="6" fillId="0" borderId="0" xfId="0" applyNumberFormat="1" applyFont="1" applyFill="1" applyBorder="1" applyAlignment="1" applyProtection="1">
      <alignment horizontal="center"/>
    </xf>
    <xf numFmtId="0" fontId="8" fillId="0" borderId="0" xfId="0" applyFont="1" applyBorder="1" applyAlignment="1" applyProtection="1"/>
    <xf numFmtId="0" fontId="2" fillId="0" borderId="0" xfId="0" applyFont="1" applyBorder="1" applyAlignment="1" applyProtection="1">
      <alignment horizontal="left"/>
    </xf>
    <xf numFmtId="37" fontId="6" fillId="0" borderId="0" xfId="0" quotePrefix="1" applyNumberFormat="1" applyFont="1" applyFill="1" applyBorder="1" applyProtection="1"/>
    <xf numFmtId="164" fontId="4" fillId="0" borderId="0" xfId="3" applyNumberFormat="1" applyFont="1" applyFill="1" applyBorder="1" applyAlignment="1" applyProtection="1">
      <alignment horizontal="right"/>
    </xf>
    <xf numFmtId="0" fontId="49" fillId="0" borderId="0" xfId="0" applyFont="1" applyAlignment="1" applyProtection="1">
      <alignment horizontal="right"/>
    </xf>
    <xf numFmtId="165" fontId="12" fillId="0" borderId="0" xfId="0" applyNumberFormat="1" applyFont="1" applyFill="1" applyBorder="1" applyAlignment="1" applyProtection="1">
      <alignment horizontal="center"/>
    </xf>
    <xf numFmtId="9" fontId="12" fillId="0" borderId="0" xfId="3" applyFont="1" applyBorder="1" applyAlignment="1" applyProtection="1">
      <alignment horizontal="center"/>
    </xf>
    <xf numFmtId="37" fontId="5" fillId="0" borderId="0" xfId="0" applyNumberFormat="1" applyFont="1" applyBorder="1" applyProtection="1"/>
    <xf numFmtId="37" fontId="0" fillId="0" borderId="0" xfId="0" applyNumberFormat="1" applyFill="1" applyBorder="1" applyProtection="1"/>
    <xf numFmtId="37" fontId="5" fillId="0" borderId="0" xfId="0" applyNumberFormat="1" applyFont="1" applyFill="1" applyBorder="1" applyProtection="1"/>
    <xf numFmtId="38" fontId="0" fillId="0" borderId="0" xfId="0" applyNumberFormat="1" applyBorder="1" applyProtection="1"/>
    <xf numFmtId="38" fontId="0" fillId="0" borderId="0" xfId="0" applyNumberFormat="1" applyFill="1" applyBorder="1" applyProtection="1"/>
    <xf numFmtId="169" fontId="0" fillId="0" borderId="0" xfId="1" applyNumberFormat="1" applyFont="1" applyFill="1" applyBorder="1" applyProtection="1"/>
    <xf numFmtId="170" fontId="0" fillId="0" borderId="0" xfId="1" applyNumberFormat="1" applyFont="1" applyFill="1" applyBorder="1" applyProtection="1"/>
    <xf numFmtId="0" fontId="4" fillId="0" borderId="0" xfId="0" applyNumberFormat="1" applyFont="1" applyAlignment="1">
      <alignment horizontal="left"/>
    </xf>
    <xf numFmtId="0" fontId="4" fillId="0" borderId="0" xfId="0" applyNumberFormat="1" applyFont="1" applyAlignment="1">
      <alignment horizontal="left" vertical="center" wrapText="1"/>
    </xf>
    <xf numFmtId="0" fontId="11" fillId="0" borderId="0" xfId="0" applyFont="1"/>
    <xf numFmtId="0" fontId="11" fillId="0" borderId="0" xfId="0" applyNumberFormat="1" applyFont="1" applyAlignment="1">
      <alignment wrapText="1"/>
    </xf>
    <xf numFmtId="0" fontId="12" fillId="0" borderId="1" xfId="0" applyFont="1" applyBorder="1" applyAlignment="1">
      <alignment horizontal="right"/>
    </xf>
    <xf numFmtId="0" fontId="15" fillId="0" borderId="5" xfId="0" applyFont="1" applyBorder="1" applyAlignment="1"/>
    <xf numFmtId="9" fontId="4" fillId="0" borderId="0" xfId="3" applyFont="1" applyBorder="1" applyAlignment="1" applyProtection="1">
      <alignment horizontal="right"/>
    </xf>
    <xf numFmtId="37" fontId="8" fillId="0" borderId="0" xfId="0" applyNumberFormat="1" applyFont="1" applyBorder="1" applyAlignment="1">
      <alignment horizontal="center"/>
    </xf>
    <xf numFmtId="37" fontId="4" fillId="0" borderId="0" xfId="0" applyNumberFormat="1" applyFont="1" applyAlignment="1">
      <alignment horizontal="center"/>
    </xf>
    <xf numFmtId="0" fontId="0" fillId="10" borderId="0" xfId="0" applyFill="1"/>
    <xf numFmtId="37" fontId="4" fillId="0" borderId="0" xfId="0" applyNumberFormat="1" applyFont="1" applyFill="1" applyBorder="1" applyProtection="1">
      <protection locked="0"/>
    </xf>
    <xf numFmtId="9" fontId="4" fillId="0" borderId="0" xfId="3" applyFont="1" applyFill="1" applyBorder="1" applyAlignment="1" applyProtection="1">
      <alignment horizontal="right"/>
    </xf>
    <xf numFmtId="164" fontId="48" fillId="0" borderId="0" xfId="3" applyNumberFormat="1" applyFont="1" applyAlignment="1">
      <alignment horizontal="center"/>
    </xf>
    <xf numFmtId="164" fontId="4" fillId="0" borderId="0" xfId="3" applyNumberFormat="1" applyFont="1" applyBorder="1" applyAlignment="1">
      <alignment horizontal="left"/>
    </xf>
    <xf numFmtId="37" fontId="6" fillId="0" borderId="34" xfId="0" applyNumberFormat="1" applyFont="1" applyFill="1" applyBorder="1" applyAlignment="1" applyProtection="1">
      <alignment horizontal="center"/>
      <protection locked="0"/>
    </xf>
    <xf numFmtId="164" fontId="6" fillId="0" borderId="0" xfId="3" applyNumberFormat="1" applyFont="1" applyBorder="1" applyAlignment="1">
      <alignment horizontal="left"/>
    </xf>
    <xf numFmtId="49" fontId="6" fillId="5" borderId="4" xfId="0" applyNumberFormat="1" applyFont="1" applyFill="1" applyBorder="1" applyAlignment="1" applyProtection="1">
      <alignment horizontal="center"/>
      <protection locked="0"/>
    </xf>
    <xf numFmtId="164" fontId="9" fillId="0" borderId="0" xfId="3" applyNumberFormat="1" applyFont="1" applyBorder="1" applyAlignment="1">
      <alignment horizontal="right"/>
    </xf>
    <xf numFmtId="164" fontId="0" fillId="0" borderId="0" xfId="3" applyNumberFormat="1" applyFont="1" applyAlignment="1" applyProtection="1">
      <alignment horizontal="right"/>
      <protection locked="0"/>
    </xf>
    <xf numFmtId="167" fontId="4" fillId="0" borderId="5" xfId="0" applyNumberFormat="1" applyFont="1" applyFill="1" applyBorder="1" applyAlignment="1">
      <alignment horizontal="center"/>
    </xf>
    <xf numFmtId="168" fontId="4" fillId="0" borderId="5" xfId="0" applyNumberFormat="1" applyFont="1" applyFill="1" applyBorder="1" applyAlignment="1">
      <alignment horizontal="center"/>
    </xf>
    <xf numFmtId="164" fontId="4" fillId="0" borderId="5" xfId="0" applyNumberFormat="1" applyFont="1" applyFill="1" applyBorder="1" applyProtection="1"/>
    <xf numFmtId="3" fontId="0" fillId="0" borderId="0" xfId="0" applyNumberFormat="1" applyAlignment="1">
      <alignment horizontal="center"/>
    </xf>
    <xf numFmtId="0" fontId="18" fillId="0" borderId="0" xfId="2" applyFont="1" applyAlignment="1" applyProtection="1"/>
    <xf numFmtId="164" fontId="6" fillId="0" borderId="0" xfId="0" applyNumberFormat="1" applyFont="1" applyFill="1" applyBorder="1" applyAlignment="1" applyProtection="1">
      <alignment horizontal="center"/>
    </xf>
    <xf numFmtId="0" fontId="89" fillId="0" borderId="0" xfId="0" applyFont="1"/>
    <xf numFmtId="0" fontId="43" fillId="0" borderId="0" xfId="0" applyFont="1" applyFill="1" applyBorder="1" applyAlignment="1">
      <alignment horizontal="right" vertical="center"/>
    </xf>
    <xf numFmtId="37" fontId="95" fillId="0" borderId="0" xfId="0" applyNumberFormat="1" applyFont="1"/>
    <xf numFmtId="0" fontId="17" fillId="0" borderId="0" xfId="0" applyFont="1"/>
    <xf numFmtId="170" fontId="7" fillId="0" borderId="0" xfId="1" applyNumberFormat="1" applyFont="1"/>
    <xf numFmtId="164" fontId="12" fillId="0" borderId="0" xfId="3" applyNumberFormat="1" applyFont="1" applyFill="1" applyBorder="1" applyAlignment="1" applyProtection="1">
      <alignment horizontal="center"/>
    </xf>
    <xf numFmtId="170" fontId="14" fillId="0" borderId="0" xfId="1" applyNumberFormat="1" applyFont="1"/>
    <xf numFmtId="37" fontId="14" fillId="0" borderId="0" xfId="0" applyNumberFormat="1" applyFont="1" applyBorder="1"/>
    <xf numFmtId="37" fontId="7" fillId="0" borderId="0" xfId="0" applyNumberFormat="1" applyFont="1" applyBorder="1"/>
    <xf numFmtId="0" fontId="16" fillId="0" borderId="0" xfId="0" applyFont="1" applyBorder="1" applyAlignment="1">
      <alignment horizontal="center" vertical="center"/>
    </xf>
    <xf numFmtId="0" fontId="2" fillId="0" borderId="0" xfId="0" applyFont="1" applyAlignment="1" applyProtection="1">
      <alignment horizontal="center"/>
      <protection locked="0"/>
    </xf>
    <xf numFmtId="49" fontId="2" fillId="0" borderId="0" xfId="0" applyNumberFormat="1" applyFont="1" applyAlignment="1" applyProtection="1">
      <alignment horizontal="center"/>
      <protection locked="0"/>
    </xf>
    <xf numFmtId="0" fontId="2" fillId="0" borderId="0" xfId="0" applyFont="1" applyProtection="1">
      <protection locked="0"/>
    </xf>
    <xf numFmtId="37" fontId="4" fillId="0" borderId="0" xfId="0" applyNumberFormat="1" applyFont="1" applyProtection="1">
      <protection locked="0"/>
    </xf>
    <xf numFmtId="170" fontId="0" fillId="0" borderId="0" xfId="1" applyNumberFormat="1" applyFont="1" applyAlignment="1" applyProtection="1">
      <alignment horizontal="center"/>
      <protection locked="0"/>
    </xf>
    <xf numFmtId="0" fontId="0" fillId="0" borderId="0" xfId="0" applyAlignment="1">
      <alignment vertical="center"/>
    </xf>
    <xf numFmtId="0" fontId="12" fillId="0" borderId="0" xfId="0" applyFont="1" applyBorder="1" applyAlignment="1">
      <alignment horizontal="right"/>
    </xf>
    <xf numFmtId="164" fontId="6" fillId="0" borderId="0" xfId="0" applyNumberFormat="1" applyFont="1" applyFill="1" applyBorder="1" applyAlignment="1">
      <alignment horizontal="center"/>
    </xf>
    <xf numFmtId="0" fontId="12" fillId="0" borderId="0" xfId="0" applyFont="1" applyAlignment="1" applyProtection="1">
      <alignment horizontal="center"/>
      <protection locked="0"/>
    </xf>
    <xf numFmtId="164" fontId="6" fillId="0" borderId="0" xfId="3" applyNumberFormat="1" applyFont="1" applyFill="1" applyBorder="1" applyAlignment="1" applyProtection="1">
      <alignment horizontal="right"/>
      <protection locked="0"/>
    </xf>
    <xf numFmtId="164" fontId="6" fillId="0" borderId="34" xfId="3" applyNumberFormat="1" applyFont="1" applyFill="1" applyBorder="1" applyAlignment="1" applyProtection="1">
      <alignment horizontal="center"/>
      <protection locked="0"/>
    </xf>
    <xf numFmtId="164" fontId="6" fillId="0" borderId="8" xfId="3" applyNumberFormat="1" applyFont="1" applyFill="1" applyBorder="1" applyAlignment="1" applyProtection="1">
      <alignment horizontal="center"/>
      <protection locked="0"/>
    </xf>
    <xf numFmtId="164" fontId="6" fillId="0" borderId="44" xfId="3" applyNumberFormat="1" applyFont="1" applyFill="1" applyBorder="1" applyAlignment="1" applyProtection="1">
      <alignment horizontal="center"/>
    </xf>
    <xf numFmtId="165" fontId="24" fillId="0" borderId="1" xfId="0" applyNumberFormat="1" applyFont="1" applyFill="1" applyBorder="1" applyAlignment="1"/>
    <xf numFmtId="9" fontId="6" fillId="0" borderId="0" xfId="3" applyFont="1"/>
    <xf numFmtId="170" fontId="0" fillId="0" borderId="12" xfId="1" applyNumberFormat="1" applyFont="1" applyBorder="1"/>
    <xf numFmtId="170" fontId="19" fillId="0" borderId="0" xfId="1" applyNumberFormat="1" applyFont="1"/>
    <xf numFmtId="9" fontId="89" fillId="0" borderId="0" xfId="3" applyFont="1"/>
    <xf numFmtId="0" fontId="89" fillId="0" borderId="0" xfId="0" applyFont="1" applyBorder="1"/>
    <xf numFmtId="0" fontId="11" fillId="0" borderId="5" xfId="0" applyFont="1" applyBorder="1"/>
    <xf numFmtId="170" fontId="8" fillId="0" borderId="0" xfId="1" applyNumberFormat="1" applyFont="1"/>
    <xf numFmtId="170" fontId="4" fillId="0" borderId="0" xfId="1" applyNumberFormat="1" applyFont="1"/>
    <xf numFmtId="37" fontId="6" fillId="0" borderId="0" xfId="0" applyNumberFormat="1" applyFont="1" applyFill="1"/>
    <xf numFmtId="170" fontId="6" fillId="0" borderId="0" xfId="1" applyNumberFormat="1" applyFont="1"/>
    <xf numFmtId="9" fontId="11" fillId="0" borderId="5" xfId="3" applyFont="1" applyBorder="1"/>
    <xf numFmtId="9" fontId="19" fillId="0" borderId="0" xfId="3" applyFont="1"/>
    <xf numFmtId="37" fontId="19" fillId="0" borderId="0" xfId="0" applyNumberFormat="1" applyFont="1" applyFill="1"/>
    <xf numFmtId="0" fontId="41" fillId="0" borderId="0" xfId="0" applyFont="1" applyBorder="1" applyAlignment="1" applyProtection="1"/>
    <xf numFmtId="0" fontId="35" fillId="0" borderId="8" xfId="0" applyFont="1" applyBorder="1" applyAlignment="1">
      <alignment horizontal="center"/>
    </xf>
    <xf numFmtId="37" fontId="46" fillId="0" borderId="0" xfId="0" applyNumberFormat="1" applyFont="1" applyBorder="1"/>
    <xf numFmtId="37" fontId="9" fillId="0" borderId="0" xfId="2" applyNumberFormat="1" applyFont="1" applyFill="1" applyBorder="1" applyAlignment="1" applyProtection="1"/>
    <xf numFmtId="0" fontId="12" fillId="0" borderId="0" xfId="0" applyFont="1" applyBorder="1"/>
    <xf numFmtId="0" fontId="0" fillId="0" borderId="40" xfId="0" applyBorder="1"/>
    <xf numFmtId="0" fontId="0" fillId="0" borderId="8" xfId="0" applyBorder="1" applyAlignment="1">
      <alignment horizontal="center"/>
    </xf>
    <xf numFmtId="0" fontId="0" fillId="0" borderId="8" xfId="0" applyBorder="1"/>
    <xf numFmtId="165" fontId="6" fillId="5" borderId="28" xfId="0" applyNumberFormat="1" applyFont="1" applyFill="1" applyBorder="1" applyAlignment="1" applyProtection="1">
      <alignment horizontal="center"/>
      <protection locked="0"/>
    </xf>
    <xf numFmtId="1" fontId="6" fillId="0" borderId="5" xfId="0" applyNumberFormat="1" applyFont="1" applyBorder="1" applyAlignment="1">
      <alignment horizontal="center"/>
    </xf>
    <xf numFmtId="37" fontId="0" fillId="0" borderId="1" xfId="0" applyNumberFormat="1" applyBorder="1" applyAlignment="1">
      <alignment horizontal="center"/>
    </xf>
    <xf numFmtId="37" fontId="0" fillId="5" borderId="6" xfId="0" applyNumberFormat="1" applyFill="1" applyBorder="1" applyProtection="1">
      <protection locked="0"/>
    </xf>
    <xf numFmtId="37" fontId="8" fillId="0" borderId="0" xfId="0" applyNumberFormat="1" applyFont="1" applyAlignment="1">
      <alignment horizontal="left"/>
    </xf>
    <xf numFmtId="0" fontId="15" fillId="0" borderId="0" xfId="0" applyFont="1" applyBorder="1" applyAlignment="1">
      <alignment horizontal="left" vertical="center"/>
    </xf>
    <xf numFmtId="37" fontId="6" fillId="5" borderId="47" xfId="0" applyNumberFormat="1" applyFont="1" applyFill="1" applyBorder="1" applyAlignment="1" applyProtection="1">
      <alignment horizontal="center"/>
      <protection locked="0"/>
    </xf>
    <xf numFmtId="37" fontId="6" fillId="5" borderId="16" xfId="0" applyNumberFormat="1" applyFont="1" applyFill="1" applyBorder="1" applyAlignment="1" applyProtection="1">
      <alignment horizontal="center"/>
      <protection locked="0"/>
    </xf>
    <xf numFmtId="0" fontId="0" fillId="0" borderId="31" xfId="0" applyBorder="1"/>
    <xf numFmtId="37" fontId="4" fillId="0" borderId="17" xfId="0" applyNumberFormat="1" applyFont="1" applyFill="1" applyBorder="1" applyAlignment="1" applyProtection="1">
      <alignment horizontal="center"/>
    </xf>
    <xf numFmtId="37" fontId="6" fillId="5" borderId="48" xfId="0" applyNumberFormat="1" applyFont="1" applyFill="1" applyBorder="1" applyAlignment="1" applyProtection="1">
      <alignment horizontal="center"/>
      <protection locked="0"/>
    </xf>
    <xf numFmtId="37" fontId="6" fillId="0" borderId="30" xfId="0" applyNumberFormat="1" applyFont="1" applyFill="1" applyBorder="1" applyAlignment="1" applyProtection="1">
      <alignment horizontal="center"/>
      <protection locked="0"/>
    </xf>
    <xf numFmtId="9" fontId="11" fillId="0" borderId="1" xfId="3" applyFont="1" applyBorder="1"/>
    <xf numFmtId="0" fontId="11" fillId="0" borderId="1" xfId="0" applyFont="1" applyBorder="1" applyAlignment="1">
      <alignment horizontal="center"/>
    </xf>
    <xf numFmtId="3" fontId="6" fillId="0" borderId="0" xfId="0" quotePrefix="1" applyNumberFormat="1" applyFont="1" applyBorder="1" applyAlignment="1">
      <alignment horizontal="center"/>
    </xf>
    <xf numFmtId="3" fontId="4" fillId="0" borderId="0" xfId="0" applyNumberFormat="1" applyFont="1" applyAlignment="1">
      <alignment horizontal="right"/>
    </xf>
    <xf numFmtId="170" fontId="40" fillId="0" borderId="0" xfId="1" applyNumberFormat="1" applyFont="1"/>
    <xf numFmtId="0" fontId="45" fillId="0" borderId="8" xfId="0" applyFont="1" applyBorder="1" applyAlignment="1"/>
    <xf numFmtId="37" fontId="18" fillId="0" borderId="0" xfId="2" applyNumberFormat="1" applyFill="1" applyAlignment="1" applyProtection="1"/>
    <xf numFmtId="9" fontId="12" fillId="0" borderId="0" xfId="3" applyFont="1" applyBorder="1" applyAlignment="1" applyProtection="1">
      <alignment horizontal="right"/>
      <protection locked="0"/>
    </xf>
    <xf numFmtId="0" fontId="0" fillId="7" borderId="0" xfId="0" applyFill="1" applyAlignment="1"/>
    <xf numFmtId="9" fontId="10" fillId="7" borderId="0" xfId="3" applyFont="1" applyFill="1" applyBorder="1" applyAlignment="1">
      <alignment horizontal="right"/>
    </xf>
    <xf numFmtId="37" fontId="5" fillId="0" borderId="0" xfId="0" applyNumberFormat="1" applyFont="1" applyFill="1" applyBorder="1" applyAlignment="1" applyProtection="1">
      <alignment horizontal="right"/>
      <protection locked="0"/>
    </xf>
    <xf numFmtId="0" fontId="8" fillId="0" borderId="0" xfId="0" applyFont="1" applyFill="1" applyBorder="1" applyAlignment="1">
      <alignment horizontal="left"/>
    </xf>
    <xf numFmtId="9" fontId="5" fillId="0" borderId="0" xfId="3" applyFont="1" applyFill="1" applyBorder="1" applyAlignment="1" applyProtection="1">
      <alignment horizontal="right"/>
      <protection locked="0"/>
    </xf>
    <xf numFmtId="9" fontId="4" fillId="0" borderId="0" xfId="3" applyFont="1" applyFill="1" applyBorder="1" applyAlignment="1">
      <alignment horizontal="right"/>
    </xf>
    <xf numFmtId="9" fontId="12" fillId="0" borderId="0" xfId="3" applyFont="1" applyFill="1" applyBorder="1" applyAlignment="1" applyProtection="1">
      <alignment horizontal="right"/>
      <protection locked="0"/>
    </xf>
    <xf numFmtId="0" fontId="4" fillId="7" borderId="0" xfId="0" applyFont="1" applyFill="1" applyBorder="1"/>
    <xf numFmtId="164" fontId="6" fillId="0" borderId="0" xfId="0" applyNumberFormat="1" applyFont="1" applyFill="1" applyBorder="1" applyProtection="1"/>
    <xf numFmtId="0" fontId="0" fillId="0" borderId="34" xfId="0" applyBorder="1"/>
    <xf numFmtId="37" fontId="6" fillId="5" borderId="28" xfId="0" applyNumberFormat="1" applyFont="1" applyFill="1" applyBorder="1" applyProtection="1">
      <protection locked="0"/>
    </xf>
    <xf numFmtId="37" fontId="6" fillId="0" borderId="0" xfId="0" applyNumberFormat="1" applyFont="1" applyBorder="1" applyAlignment="1" applyProtection="1">
      <alignment horizontal="center"/>
      <protection locked="0"/>
    </xf>
    <xf numFmtId="37" fontId="5" fillId="0" borderId="0" xfId="0" quotePrefix="1" applyNumberFormat="1" applyFont="1" applyBorder="1"/>
    <xf numFmtId="37" fontId="0" fillId="0" borderId="0" xfId="0" applyNumberFormat="1" applyBorder="1" applyProtection="1"/>
    <xf numFmtId="172" fontId="35" fillId="0" borderId="0" xfId="0" applyNumberFormat="1" applyFont="1" applyBorder="1" applyAlignment="1" applyProtection="1">
      <alignment horizontal="center"/>
      <protection locked="0"/>
    </xf>
    <xf numFmtId="172" fontId="35" fillId="0" borderId="0" xfId="0" applyNumberFormat="1" applyFont="1" applyBorder="1" applyAlignment="1">
      <alignment horizontal="center"/>
    </xf>
    <xf numFmtId="37" fontId="6" fillId="0" borderId="0" xfId="0" applyNumberFormat="1" applyFont="1" applyFill="1" applyBorder="1" applyAlignment="1" applyProtection="1">
      <alignment horizontal="right"/>
      <protection locked="0"/>
    </xf>
    <xf numFmtId="9" fontId="6" fillId="0" borderId="0" xfId="3" applyFont="1" applyFill="1" applyBorder="1" applyAlignment="1">
      <alignment horizontal="center"/>
    </xf>
    <xf numFmtId="37" fontId="6" fillId="0" borderId="0" xfId="2" applyNumberFormat="1" applyFont="1" applyFill="1" applyBorder="1" applyAlignment="1" applyProtection="1">
      <alignment horizontal="right"/>
    </xf>
    <xf numFmtId="0" fontId="45" fillId="0" borderId="0" xfId="0" applyFont="1" applyBorder="1" applyAlignment="1">
      <alignment horizontal="center"/>
    </xf>
    <xf numFmtId="165" fontId="82" fillId="0" borderId="0" xfId="0" applyNumberFormat="1" applyFont="1" applyAlignment="1"/>
    <xf numFmtId="0" fontId="82" fillId="0" borderId="0" xfId="0" applyFont="1" applyBorder="1" applyAlignment="1">
      <alignment horizontal="left"/>
    </xf>
    <xf numFmtId="37" fontId="82" fillId="0" borderId="17" xfId="0" applyNumberFormat="1" applyFont="1" applyFill="1" applyBorder="1" applyAlignment="1" applyProtection="1">
      <alignment horizontal="left"/>
    </xf>
    <xf numFmtId="37" fontId="82" fillId="0" borderId="0" xfId="0" applyNumberFormat="1" applyFont="1" applyFill="1" applyBorder="1" applyAlignment="1" applyProtection="1">
      <alignment horizontal="left"/>
    </xf>
    <xf numFmtId="0" fontId="82" fillId="0" borderId="0" xfId="0" applyFont="1" applyBorder="1" applyAlignment="1">
      <alignment horizontal="center"/>
    </xf>
    <xf numFmtId="0" fontId="82" fillId="0" borderId="2" xfId="0" applyFont="1" applyBorder="1" applyAlignment="1">
      <alignment horizontal="left"/>
    </xf>
    <xf numFmtId="164" fontId="0" fillId="0" borderId="0" xfId="3" applyNumberFormat="1" applyFont="1" applyFill="1" applyBorder="1" applyAlignment="1">
      <alignment horizontal="center"/>
    </xf>
    <xf numFmtId="3" fontId="4" fillId="0" borderId="0" xfId="0" applyNumberFormat="1" applyFont="1" applyAlignment="1"/>
    <xf numFmtId="0" fontId="24" fillId="0" borderId="0" xfId="0" applyFont="1" applyBorder="1"/>
    <xf numFmtId="37" fontId="96" fillId="0" borderId="0" xfId="0" applyNumberFormat="1" applyFont="1" applyAlignment="1" applyProtection="1">
      <alignment horizontal="right"/>
      <protection locked="0"/>
    </xf>
    <xf numFmtId="168" fontId="6" fillId="0" borderId="1" xfId="0" applyNumberFormat="1" applyFont="1" applyFill="1" applyBorder="1" applyAlignment="1">
      <alignment horizontal="center"/>
    </xf>
    <xf numFmtId="164" fontId="0" fillId="0" borderId="0" xfId="3" applyNumberFormat="1" applyFont="1" applyAlignment="1">
      <alignment horizontal="left"/>
    </xf>
    <xf numFmtId="49" fontId="9" fillId="0" borderId="0" xfId="1" applyNumberFormat="1" applyFont="1" applyFill="1" applyBorder="1" applyAlignment="1">
      <alignment horizontal="left"/>
    </xf>
    <xf numFmtId="0" fontId="46" fillId="0" borderId="0" xfId="0" applyFont="1" applyAlignment="1">
      <alignment horizontal="right"/>
    </xf>
    <xf numFmtId="37" fontId="6" fillId="0" borderId="14" xfId="0" applyNumberFormat="1" applyFont="1" applyFill="1" applyBorder="1"/>
    <xf numFmtId="37" fontId="6" fillId="0" borderId="1" xfId="0" applyNumberFormat="1" applyFont="1" applyFill="1" applyBorder="1"/>
    <xf numFmtId="37" fontId="6" fillId="0" borderId="12" xfId="0" applyNumberFormat="1" applyFont="1" applyBorder="1"/>
    <xf numFmtId="22" fontId="35" fillId="0" borderId="0" xfId="0" applyNumberFormat="1" applyFont="1" applyBorder="1" applyProtection="1">
      <protection locked="0"/>
    </xf>
    <xf numFmtId="22" fontId="35" fillId="0" borderId="0" xfId="0" applyNumberFormat="1" applyFont="1" applyBorder="1"/>
    <xf numFmtId="0" fontId="0" fillId="0" borderId="0" xfId="0" applyBorder="1" applyAlignment="1" applyProtection="1">
      <alignment horizontal="right"/>
      <protection locked="0"/>
    </xf>
    <xf numFmtId="170" fontId="0" fillId="0" borderId="0" xfId="1" applyNumberFormat="1" applyFont="1" applyBorder="1" applyAlignment="1" applyProtection="1">
      <alignment horizontal="right"/>
      <protection locked="0"/>
    </xf>
    <xf numFmtId="170" fontId="0" fillId="0" borderId="0" xfId="1" applyNumberFormat="1" applyFont="1" applyBorder="1" applyAlignment="1">
      <alignment horizontal="right"/>
    </xf>
    <xf numFmtId="164" fontId="0" fillId="0" borderId="0" xfId="3" applyNumberFormat="1" applyFont="1" applyBorder="1" applyProtection="1">
      <protection locked="0"/>
    </xf>
    <xf numFmtId="0" fontId="4" fillId="0" borderId="0" xfId="0" applyFont="1" applyBorder="1" applyAlignment="1" applyProtection="1">
      <alignment horizontal="right"/>
      <protection locked="0"/>
    </xf>
    <xf numFmtId="1" fontId="0" fillId="0" borderId="0" xfId="1" applyNumberFormat="1" applyFont="1" applyBorder="1" applyAlignment="1" applyProtection="1">
      <alignment horizontal="right"/>
      <protection locked="0"/>
    </xf>
    <xf numFmtId="1" fontId="0" fillId="0" borderId="0" xfId="1" applyNumberFormat="1" applyFont="1" applyBorder="1" applyAlignment="1">
      <alignment horizontal="right"/>
    </xf>
    <xf numFmtId="0" fontId="2" fillId="0" borderId="0" xfId="0" applyFont="1" applyBorder="1" applyAlignment="1" applyProtection="1">
      <alignment horizontal="right"/>
      <protection locked="0"/>
    </xf>
    <xf numFmtId="0" fontId="2" fillId="0" borderId="0" xfId="0" applyFont="1" applyBorder="1" applyAlignment="1">
      <alignment horizontal="right"/>
    </xf>
    <xf numFmtId="0" fontId="98" fillId="0" borderId="0" xfId="0" applyFont="1" applyAlignment="1">
      <alignment horizontal="right"/>
    </xf>
    <xf numFmtId="37" fontId="6" fillId="5" borderId="4" xfId="0" applyNumberFormat="1" applyFont="1" applyFill="1" applyBorder="1" applyAlignment="1" applyProtection="1">
      <alignment horizontal="center" vertical="center"/>
      <protection locked="0"/>
    </xf>
    <xf numFmtId="166" fontId="5" fillId="0" borderId="0" xfId="0" applyNumberFormat="1" applyFont="1" applyFill="1" applyBorder="1" applyAlignment="1" applyProtection="1">
      <alignment horizontal="center"/>
    </xf>
    <xf numFmtId="0" fontId="89" fillId="0" borderId="0" xfId="0" applyFont="1" applyAlignment="1">
      <alignment horizontal="right"/>
    </xf>
    <xf numFmtId="0" fontId="99" fillId="0" borderId="0" xfId="0" applyFont="1"/>
    <xf numFmtId="0" fontId="99" fillId="0" borderId="5" xfId="0" applyFont="1" applyBorder="1"/>
    <xf numFmtId="166" fontId="6" fillId="5" borderId="4" xfId="0" applyNumberFormat="1" applyFont="1" applyFill="1" applyBorder="1" applyAlignment="1" applyProtection="1">
      <alignment horizontal="center"/>
      <protection locked="0"/>
    </xf>
    <xf numFmtId="37" fontId="12" fillId="0" borderId="0" xfId="0" applyNumberFormat="1" applyFont="1" applyAlignment="1">
      <alignment horizontal="center"/>
    </xf>
    <xf numFmtId="37" fontId="6" fillId="5" borderId="46" xfId="0" applyNumberFormat="1" applyFont="1" applyFill="1" applyBorder="1" applyAlignment="1" applyProtection="1">
      <alignment horizontal="center"/>
      <protection locked="0"/>
    </xf>
    <xf numFmtId="166" fontId="6" fillId="5" borderId="46" xfId="0" applyNumberFormat="1" applyFont="1" applyFill="1" applyBorder="1" applyAlignment="1" applyProtection="1">
      <alignment horizontal="center"/>
      <protection locked="0"/>
    </xf>
    <xf numFmtId="0" fontId="41" fillId="0" borderId="0" xfId="0" applyFont="1" applyFill="1" applyAlignment="1">
      <alignment horizontal="left"/>
    </xf>
    <xf numFmtId="164" fontId="76" fillId="0" borderId="0" xfId="0" applyNumberFormat="1" applyFont="1" applyFill="1" applyBorder="1" applyAlignment="1">
      <alignment horizontal="center"/>
    </xf>
    <xf numFmtId="3" fontId="6" fillId="5" borderId="8" xfId="0" applyNumberFormat="1" applyFont="1" applyFill="1" applyBorder="1" applyAlignment="1" applyProtection="1">
      <alignment horizontal="center"/>
      <protection locked="0"/>
    </xf>
    <xf numFmtId="3" fontId="6" fillId="5" borderId="32" xfId="0" applyNumberFormat="1" applyFont="1" applyFill="1" applyBorder="1" applyAlignment="1" applyProtection="1">
      <alignment horizontal="center"/>
      <protection locked="0"/>
    </xf>
    <xf numFmtId="0" fontId="14" fillId="0" borderId="0" xfId="0" applyFont="1" applyBorder="1" applyAlignment="1">
      <alignment horizontal="center"/>
    </xf>
    <xf numFmtId="0" fontId="14" fillId="0" borderId="0" xfId="0" applyFont="1" applyBorder="1"/>
    <xf numFmtId="0" fontId="41" fillId="0" borderId="22" xfId="0" applyFont="1" applyBorder="1" applyAlignment="1">
      <alignment horizontal="right"/>
    </xf>
    <xf numFmtId="37" fontId="6" fillId="0" borderId="0" xfId="0" applyNumberFormat="1" applyFont="1" applyFill="1" applyBorder="1" applyAlignment="1" applyProtection="1">
      <alignment horizontal="center" vertical="center"/>
      <protection locked="0"/>
    </xf>
    <xf numFmtId="37" fontId="48" fillId="0" borderId="0" xfId="0" applyNumberFormat="1" applyFont="1"/>
    <xf numFmtId="0" fontId="48" fillId="0" borderId="0" xfId="0" applyFont="1" applyBorder="1" applyAlignment="1">
      <alignment horizontal="right" vertical="center"/>
    </xf>
    <xf numFmtId="37" fontId="48" fillId="0" borderId="0" xfId="0" applyNumberFormat="1" applyFont="1" applyAlignment="1">
      <alignment horizontal="left"/>
    </xf>
    <xf numFmtId="41" fontId="0" fillId="0" borderId="22" xfId="0" applyNumberFormat="1" applyBorder="1" applyAlignment="1">
      <alignment horizontal="center"/>
    </xf>
    <xf numFmtId="41" fontId="0" fillId="0" borderId="1" xfId="0" applyNumberFormat="1" applyBorder="1" applyAlignment="1">
      <alignment horizontal="center"/>
    </xf>
    <xf numFmtId="49" fontId="0" fillId="0" borderId="0" xfId="0" applyNumberFormat="1" applyBorder="1" applyAlignment="1">
      <alignment vertical="center" wrapText="1"/>
    </xf>
    <xf numFmtId="0" fontId="2" fillId="0" borderId="0" xfId="0" applyFont="1" applyBorder="1" applyProtection="1">
      <protection locked="0"/>
    </xf>
    <xf numFmtId="37" fontId="2" fillId="0" borderId="0" xfId="0" applyNumberFormat="1" applyFont="1" applyProtection="1">
      <protection locked="0"/>
    </xf>
    <xf numFmtId="37" fontId="2" fillId="0" borderId="1" xfId="0" applyNumberFormat="1" applyFont="1" applyBorder="1" applyProtection="1">
      <protection locked="0"/>
    </xf>
    <xf numFmtId="37" fontId="4" fillId="0" borderId="1" xfId="0" applyNumberFormat="1" applyFont="1" applyBorder="1" applyProtection="1">
      <protection locked="0"/>
    </xf>
    <xf numFmtId="0" fontId="0" fillId="0" borderId="1" xfId="0" applyBorder="1" applyProtection="1">
      <protection locked="0"/>
    </xf>
    <xf numFmtId="0" fontId="6" fillId="0" borderId="0" xfId="0" applyFont="1" applyAlignment="1" applyProtection="1">
      <alignment horizontal="right"/>
      <protection locked="0"/>
    </xf>
    <xf numFmtId="0" fontId="6" fillId="0" borderId="0" xfId="0" applyFont="1" applyAlignment="1" applyProtection="1">
      <alignment horizontal="right"/>
    </xf>
    <xf numFmtId="0" fontId="8" fillId="0" borderId="0" xfId="0" applyFont="1" applyFill="1" applyAlignment="1">
      <alignment horizontal="right"/>
    </xf>
    <xf numFmtId="0" fontId="88" fillId="0" borderId="0" xfId="0" applyFont="1" applyFill="1" applyBorder="1" applyAlignment="1">
      <alignment horizontal="center" vertical="center"/>
    </xf>
    <xf numFmtId="170" fontId="41" fillId="0" borderId="0" xfId="1" applyNumberFormat="1" applyFont="1" applyAlignment="1">
      <alignment horizontal="center"/>
    </xf>
    <xf numFmtId="0" fontId="24" fillId="0" borderId="0" xfId="0" applyFont="1" applyFill="1" applyAlignment="1">
      <alignment horizontal="left"/>
    </xf>
    <xf numFmtId="37" fontId="94" fillId="0" borderId="0" xfId="2" applyNumberFormat="1" applyFont="1" applyFill="1" applyBorder="1" applyAlignment="1" applyProtection="1"/>
    <xf numFmtId="37" fontId="94" fillId="0" borderId="0" xfId="2" applyNumberFormat="1" applyFont="1" applyFill="1" applyAlignment="1" applyProtection="1"/>
    <xf numFmtId="37" fontId="18" fillId="0" borderId="0" xfId="2" applyNumberFormat="1" applyFill="1" applyBorder="1" applyAlignment="1" applyProtection="1"/>
    <xf numFmtId="0" fontId="12" fillId="0" borderId="0" xfId="0" applyFont="1" applyFill="1" applyBorder="1"/>
    <xf numFmtId="37" fontId="38" fillId="0" borderId="0" xfId="2" applyNumberFormat="1" applyFont="1" applyFill="1" applyBorder="1" applyAlignment="1" applyProtection="1"/>
    <xf numFmtId="0" fontId="26" fillId="3" borderId="7" xfId="0" applyFont="1" applyFill="1" applyBorder="1" applyAlignment="1">
      <alignment vertical="center"/>
    </xf>
    <xf numFmtId="164" fontId="101" fillId="0" borderId="0" xfId="0" applyNumberFormat="1" applyFont="1" applyFill="1" applyBorder="1" applyAlignment="1">
      <alignment horizontal="right"/>
    </xf>
    <xf numFmtId="49" fontId="60" fillId="0" borderId="0" xfId="1" applyNumberFormat="1" applyFont="1" applyAlignment="1">
      <alignment horizontal="left"/>
    </xf>
    <xf numFmtId="37" fontId="4" fillId="0" borderId="1" xfId="0" applyNumberFormat="1" applyFont="1" applyFill="1" applyBorder="1" applyAlignment="1">
      <alignment horizontal="right"/>
    </xf>
    <xf numFmtId="37" fontId="0" fillId="0" borderId="1" xfId="0" applyNumberFormat="1" applyFill="1" applyBorder="1" applyAlignment="1">
      <alignment horizontal="right"/>
    </xf>
    <xf numFmtId="164" fontId="0" fillId="0" borderId="0" xfId="3" applyNumberFormat="1" applyFont="1" applyFill="1" applyProtection="1">
      <protection locked="0"/>
    </xf>
    <xf numFmtId="9" fontId="0" fillId="0" borderId="0" xfId="3" applyFont="1" applyAlignment="1">
      <alignment horizontal="right"/>
    </xf>
    <xf numFmtId="3" fontId="8" fillId="0" borderId="0" xfId="0" applyNumberFormat="1" applyFont="1" applyFill="1" applyBorder="1" applyAlignment="1"/>
    <xf numFmtId="3" fontId="8" fillId="0" borderId="0" xfId="0" applyNumberFormat="1" applyFont="1" applyFill="1" applyAlignment="1"/>
    <xf numFmtId="37" fontId="8" fillId="0" borderId="0" xfId="0" applyNumberFormat="1" applyFont="1" applyFill="1" applyAlignment="1"/>
    <xf numFmtId="3" fontId="48" fillId="0" borderId="0" xfId="0" applyNumberFormat="1" applyFont="1" applyFill="1" applyAlignment="1">
      <alignment horizontal="left"/>
    </xf>
    <xf numFmtId="49" fontId="0" fillId="0" borderId="0" xfId="1" applyNumberFormat="1" applyFont="1" applyFill="1" applyAlignment="1"/>
    <xf numFmtId="3" fontId="9" fillId="0" borderId="0" xfId="0" applyNumberFormat="1" applyFont="1" applyFill="1"/>
    <xf numFmtId="0" fontId="62" fillId="0" borderId="0" xfId="3" applyNumberFormat="1" applyFont="1" applyFill="1" applyAlignment="1">
      <alignment horizontal="center"/>
    </xf>
    <xf numFmtId="3" fontId="25" fillId="0" borderId="0" xfId="0" applyNumberFormat="1" applyFont="1" applyFill="1"/>
    <xf numFmtId="0" fontId="62" fillId="0" borderId="0" xfId="3" applyNumberFormat="1" applyFont="1" applyFill="1" applyAlignment="1">
      <alignment horizontal="right"/>
    </xf>
    <xf numFmtId="3" fontId="7" fillId="0" borderId="0" xfId="0" applyNumberFormat="1" applyFont="1" applyFill="1"/>
    <xf numFmtId="0" fontId="60" fillId="0" borderId="0" xfId="0" applyFont="1" applyFill="1"/>
    <xf numFmtId="0" fontId="14" fillId="0" borderId="0" xfId="0" applyFont="1" applyFill="1"/>
    <xf numFmtId="3" fontId="14" fillId="0" borderId="0" xfId="0" applyNumberFormat="1" applyFont="1" applyFill="1"/>
    <xf numFmtId="3" fontId="5" fillId="0" borderId="5" xfId="0" applyNumberFormat="1" applyFont="1" applyFill="1" applyBorder="1"/>
    <xf numFmtId="0" fontId="0" fillId="0" borderId="0" xfId="0" applyFill="1" applyAlignment="1">
      <alignment horizontal="right"/>
    </xf>
    <xf numFmtId="1" fontId="8" fillId="0" borderId="0" xfId="0" quotePrefix="1" applyNumberFormat="1" applyFont="1" applyBorder="1" applyAlignment="1">
      <alignment horizontal="center"/>
    </xf>
    <xf numFmtId="49" fontId="66" fillId="0" borderId="0" xfId="1" applyNumberFormat="1" applyFont="1" applyAlignment="1">
      <alignment horizontal="left"/>
    </xf>
    <xf numFmtId="37" fontId="24" fillId="0" borderId="43" xfId="0" applyNumberFormat="1" applyFont="1" applyBorder="1" applyAlignment="1"/>
    <xf numFmtId="37" fontId="24" fillId="0" borderId="50" xfId="0" applyNumberFormat="1" applyFont="1" applyBorder="1" applyAlignment="1"/>
    <xf numFmtId="37" fontId="24" fillId="0" borderId="51" xfId="0" applyNumberFormat="1" applyFont="1" applyBorder="1" applyAlignment="1"/>
    <xf numFmtId="37" fontId="15" fillId="0" borderId="0" xfId="0" applyNumberFormat="1" applyFont="1" applyFill="1" applyAlignment="1">
      <alignment horizontal="right"/>
    </xf>
    <xf numFmtId="37" fontId="2" fillId="0" borderId="0" xfId="0" applyNumberFormat="1" applyFont="1" applyFill="1"/>
    <xf numFmtId="1" fontId="4" fillId="0" borderId="0" xfId="3" applyNumberFormat="1" applyFont="1" applyFill="1" applyAlignment="1">
      <alignment horizontal="center"/>
    </xf>
    <xf numFmtId="37" fontId="24" fillId="0" borderId="0" xfId="0" applyNumberFormat="1" applyFont="1" applyAlignment="1">
      <alignment horizontal="right"/>
    </xf>
    <xf numFmtId="3" fontId="6" fillId="0" borderId="0" xfId="0" applyNumberFormat="1" applyFont="1" applyAlignment="1"/>
    <xf numFmtId="0" fontId="6" fillId="0" borderId="12" xfId="0" applyFont="1" applyBorder="1" applyAlignment="1"/>
    <xf numFmtId="164" fontId="6" fillId="0" borderId="0" xfId="3" applyNumberFormat="1" applyFont="1" applyFill="1" applyBorder="1"/>
    <xf numFmtId="164" fontId="2" fillId="0" borderId="0" xfId="3" applyNumberFormat="1" applyFont="1"/>
    <xf numFmtId="49" fontId="11" fillId="0" borderId="1" xfId="1" applyNumberFormat="1" applyFont="1" applyBorder="1" applyAlignment="1">
      <alignment horizontal="left"/>
    </xf>
    <xf numFmtId="49" fontId="11" fillId="0" borderId="0" xfId="1" applyNumberFormat="1" applyFont="1" applyAlignment="1">
      <alignment horizontal="left"/>
    </xf>
    <xf numFmtId="49" fontId="11" fillId="0" borderId="0" xfId="1" applyNumberFormat="1" applyFont="1" applyAlignment="1"/>
    <xf numFmtId="0" fontId="60" fillId="0" borderId="0" xfId="0" applyFont="1"/>
    <xf numFmtId="49" fontId="61" fillId="0" borderId="0" xfId="1" applyNumberFormat="1" applyFont="1" applyAlignment="1">
      <alignment horizontal="left"/>
    </xf>
    <xf numFmtId="165" fontId="0" fillId="0" borderId="0" xfId="0" applyNumberFormat="1" applyBorder="1"/>
    <xf numFmtId="0" fontId="23" fillId="0" borderId="21" xfId="0" applyFont="1" applyBorder="1" applyAlignment="1">
      <alignment horizontal="left"/>
    </xf>
    <xf numFmtId="170" fontId="24" fillId="0" borderId="0" xfId="1" applyNumberFormat="1" applyFont="1" applyBorder="1"/>
    <xf numFmtId="0" fontId="35" fillId="0" borderId="0" xfId="0" applyFont="1" applyBorder="1" applyAlignment="1"/>
    <xf numFmtId="0" fontId="82" fillId="0" borderId="0" xfId="0" applyFont="1" applyBorder="1" applyAlignment="1">
      <alignment horizontal="right"/>
    </xf>
    <xf numFmtId="165" fontId="6" fillId="0" borderId="19" xfId="0" applyNumberFormat="1" applyFont="1" applyFill="1" applyBorder="1" applyAlignment="1" applyProtection="1">
      <alignment horizontal="center"/>
    </xf>
    <xf numFmtId="165" fontId="6" fillId="0" borderId="4" xfId="0" applyNumberFormat="1" applyFont="1" applyFill="1" applyBorder="1" applyAlignment="1" applyProtection="1">
      <alignment horizontal="center"/>
    </xf>
    <xf numFmtId="0" fontId="0" fillId="0" borderId="0" xfId="0" applyBorder="1" applyProtection="1"/>
    <xf numFmtId="0" fontId="15" fillId="0" borderId="0" xfId="0" applyFont="1" applyAlignment="1">
      <alignment horizontal="right"/>
    </xf>
    <xf numFmtId="0" fontId="0" fillId="0" borderId="14" xfId="0" applyBorder="1"/>
    <xf numFmtId="0" fontId="35" fillId="0" borderId="52" xfId="0" applyFont="1" applyBorder="1" applyAlignment="1">
      <alignment horizontal="left"/>
    </xf>
    <xf numFmtId="10" fontId="0" fillId="0" borderId="0" xfId="3" applyNumberFormat="1" applyFont="1"/>
    <xf numFmtId="10" fontId="40" fillId="0" borderId="0" xfId="3" applyNumberFormat="1" applyFont="1"/>
    <xf numFmtId="10" fontId="0" fillId="0" borderId="0" xfId="3" applyNumberFormat="1" applyFont="1" applyFill="1"/>
    <xf numFmtId="0" fontId="103" fillId="0" borderId="0" xfId="2" applyFont="1" applyAlignment="1" applyProtection="1">
      <alignment horizontal="center"/>
    </xf>
    <xf numFmtId="0" fontId="0" fillId="0" borderId="0" xfId="0" applyFont="1" applyFill="1" applyBorder="1" applyAlignment="1">
      <alignment horizontal="right"/>
    </xf>
    <xf numFmtId="164" fontId="4" fillId="0" borderId="26" xfId="3" applyNumberFormat="1" applyFont="1" applyBorder="1" applyAlignment="1">
      <alignment horizontal="right"/>
    </xf>
    <xf numFmtId="170" fontId="49" fillId="0" borderId="0" xfId="1" applyNumberFormat="1" applyFont="1" applyBorder="1" applyAlignment="1">
      <alignment horizontal="center"/>
    </xf>
    <xf numFmtId="49" fontId="4" fillId="0" borderId="0" xfId="1" applyNumberFormat="1" applyFont="1" applyBorder="1" applyAlignment="1"/>
    <xf numFmtId="37" fontId="48" fillId="0" borderId="0" xfId="0" applyNumberFormat="1" applyFont="1" applyBorder="1" applyAlignment="1">
      <alignment horizontal="center"/>
    </xf>
    <xf numFmtId="0" fontId="24" fillId="0" borderId="5" xfId="0" applyFont="1" applyBorder="1" applyAlignment="1"/>
    <xf numFmtId="37" fontId="6" fillId="0" borderId="53" xfId="0" applyNumberFormat="1" applyFont="1" applyFill="1" applyBorder="1" applyAlignment="1" applyProtection="1">
      <alignment horizontal="center"/>
    </xf>
    <xf numFmtId="49" fontId="24" fillId="0" borderId="0" xfId="1" applyNumberFormat="1" applyFont="1" applyBorder="1" applyAlignment="1">
      <alignment horizontal="left"/>
    </xf>
    <xf numFmtId="3" fontId="8" fillId="0" borderId="0" xfId="0" applyNumberFormat="1" applyFont="1" applyFill="1" applyAlignment="1">
      <alignment horizontal="right"/>
    </xf>
    <xf numFmtId="49" fontId="6" fillId="0" borderId="0" xfId="1" applyNumberFormat="1" applyFont="1" applyFill="1" applyAlignment="1"/>
    <xf numFmtId="37" fontId="4" fillId="0" borderId="14" xfId="0" applyNumberFormat="1" applyFont="1" applyFill="1" applyBorder="1" applyAlignment="1" applyProtection="1">
      <alignment horizontal="center"/>
    </xf>
    <xf numFmtId="0" fontId="24" fillId="0" borderId="54" xfId="0" applyFont="1" applyBorder="1" applyAlignment="1">
      <alignment horizontal="center"/>
    </xf>
    <xf numFmtId="0" fontId="0" fillId="0" borderId="55" xfId="0" applyBorder="1" applyAlignment="1">
      <alignment horizontal="right"/>
    </xf>
    <xf numFmtId="37" fontId="8" fillId="0" borderId="0" xfId="0" applyNumberFormat="1" applyFont="1" applyFill="1" applyBorder="1" applyAlignment="1" applyProtection="1">
      <alignment horizontal="left"/>
    </xf>
    <xf numFmtId="37" fontId="8" fillId="0" borderId="0" xfId="0" applyNumberFormat="1" applyFont="1" applyFill="1"/>
    <xf numFmtId="49" fontId="11" fillId="0" borderId="5" xfId="1" applyNumberFormat="1" applyFont="1" applyBorder="1" applyAlignment="1">
      <alignment horizontal="left"/>
    </xf>
    <xf numFmtId="0" fontId="48" fillId="0" borderId="0" xfId="0" applyFont="1" applyFill="1" applyBorder="1"/>
    <xf numFmtId="9" fontId="11" fillId="0" borderId="0" xfId="3" applyFont="1"/>
    <xf numFmtId="10" fontId="6" fillId="5" borderId="4" xfId="3" applyNumberFormat="1" applyFont="1" applyFill="1" applyBorder="1" applyAlignment="1" applyProtection="1">
      <alignment horizontal="center"/>
      <protection locked="0"/>
    </xf>
    <xf numFmtId="10" fontId="6" fillId="5" borderId="16" xfId="3" applyNumberFormat="1" applyFont="1" applyFill="1" applyBorder="1" applyAlignment="1" applyProtection="1">
      <alignment horizontal="center"/>
      <protection locked="0"/>
    </xf>
    <xf numFmtId="0" fontId="8" fillId="0" borderId="0" xfId="0" applyFont="1" applyAlignment="1" applyProtection="1">
      <alignment horizontal="center"/>
      <protection locked="0"/>
    </xf>
    <xf numFmtId="0" fontId="0" fillId="0" borderId="47" xfId="0" applyBorder="1"/>
    <xf numFmtId="164" fontId="6" fillId="0" borderId="47" xfId="3" applyNumberFormat="1" applyFont="1" applyFill="1" applyBorder="1" applyAlignment="1" applyProtection="1">
      <alignment horizontal="center"/>
      <protection locked="0"/>
    </xf>
    <xf numFmtId="49" fontId="44" fillId="3" borderId="0" xfId="1" applyNumberFormat="1" applyFont="1" applyFill="1" applyBorder="1" applyAlignment="1" applyProtection="1"/>
    <xf numFmtId="37" fontId="23" fillId="0" borderId="0" xfId="0" applyNumberFormat="1" applyFont="1" applyAlignment="1">
      <alignment horizontal="right"/>
    </xf>
    <xf numFmtId="0" fontId="35" fillId="11" borderId="21" xfId="0" applyFont="1" applyFill="1" applyBorder="1" applyAlignment="1">
      <alignment horizontal="center"/>
    </xf>
    <xf numFmtId="0" fontId="35" fillId="11" borderId="0" xfId="0" applyFont="1" applyFill="1" applyAlignment="1">
      <alignment horizontal="center"/>
    </xf>
    <xf numFmtId="0" fontId="43" fillId="0" borderId="0" xfId="0" applyFont="1" applyFill="1" applyBorder="1" applyAlignment="1">
      <alignment vertical="center"/>
    </xf>
    <xf numFmtId="0" fontId="44" fillId="2" borderId="0" xfId="0" applyFont="1" applyFill="1" applyBorder="1" applyAlignment="1">
      <alignment horizontal="right" vertical="center"/>
    </xf>
    <xf numFmtId="0" fontId="44" fillId="2" borderId="0" xfId="0" applyFont="1" applyFill="1" applyBorder="1" applyAlignment="1" applyProtection="1">
      <alignment horizontal="right" vertical="center"/>
      <protection locked="0"/>
    </xf>
    <xf numFmtId="0" fontId="69" fillId="0" borderId="0" xfId="0" applyFont="1" applyFill="1" applyAlignment="1">
      <alignment horizontal="center"/>
    </xf>
    <xf numFmtId="0" fontId="56" fillId="7" borderId="0" xfId="3" applyNumberFormat="1" applyFont="1" applyFill="1" applyAlignment="1">
      <alignment horizontal="center"/>
    </xf>
    <xf numFmtId="0" fontId="44" fillId="3" borderId="7" xfId="0" applyFont="1" applyFill="1" applyBorder="1" applyAlignment="1"/>
    <xf numFmtId="0" fontId="2" fillId="0" borderId="0" xfId="0" applyFont="1" applyAlignment="1">
      <alignment vertical="center"/>
    </xf>
    <xf numFmtId="0" fontId="2" fillId="0" borderId="0" xfId="0" applyFont="1" applyAlignment="1">
      <alignment horizontal="center" vertical="center"/>
    </xf>
    <xf numFmtId="0" fontId="2" fillId="0" borderId="0" xfId="0" applyFont="1" applyFill="1" applyAlignment="1">
      <alignment vertical="center"/>
    </xf>
    <xf numFmtId="0" fontId="6" fillId="0" borderId="0" xfId="0" applyFont="1" applyAlignment="1">
      <alignment horizontal="right" vertical="center"/>
    </xf>
    <xf numFmtId="0" fontId="26" fillId="3" borderId="0" xfId="0" applyFont="1" applyFill="1" applyBorder="1" applyAlignment="1">
      <alignment horizontal="center" vertical="center"/>
    </xf>
    <xf numFmtId="0" fontId="26" fillId="0" borderId="0" xfId="0" applyFont="1" applyFill="1" applyBorder="1" applyAlignment="1">
      <alignment vertical="center"/>
    </xf>
    <xf numFmtId="0" fontId="26" fillId="12" borderId="5" xfId="0" applyFont="1" applyFill="1" applyBorder="1" applyAlignment="1"/>
    <xf numFmtId="0" fontId="0" fillId="12" borderId="5" xfId="0" applyFill="1" applyBorder="1"/>
    <xf numFmtId="0" fontId="43" fillId="12" borderId="11" xfId="0" applyFont="1" applyFill="1" applyBorder="1" applyAlignment="1"/>
    <xf numFmtId="0" fontId="70" fillId="12" borderId="5" xfId="0" applyFont="1" applyFill="1" applyBorder="1" applyAlignment="1">
      <alignment horizontal="right"/>
    </xf>
    <xf numFmtId="0" fontId="26" fillId="12" borderId="0" xfId="0" applyFont="1" applyFill="1"/>
    <xf numFmtId="0" fontId="44" fillId="3" borderId="0" xfId="0" applyFont="1" applyFill="1" applyBorder="1" applyAlignment="1" applyProtection="1">
      <alignment vertical="center"/>
    </xf>
    <xf numFmtId="0" fontId="8" fillId="0" borderId="17" xfId="0" applyFont="1" applyBorder="1" applyAlignment="1">
      <alignment horizontal="right"/>
    </xf>
    <xf numFmtId="0" fontId="0" fillId="0" borderId="7" xfId="0" applyBorder="1"/>
    <xf numFmtId="164" fontId="6" fillId="0" borderId="0" xfId="3" applyNumberFormat="1" applyFont="1" applyBorder="1" applyAlignment="1" applyProtection="1">
      <alignment horizontal="center"/>
    </xf>
    <xf numFmtId="0" fontId="40" fillId="0" borderId="0" xfId="0" applyFont="1" applyBorder="1" applyProtection="1">
      <protection locked="0"/>
    </xf>
    <xf numFmtId="0" fontId="24" fillId="0" borderId="0" xfId="0" applyFont="1" applyFill="1" applyBorder="1" applyAlignment="1"/>
    <xf numFmtId="37" fontId="24" fillId="0" borderId="0" xfId="0" applyNumberFormat="1" applyFont="1" applyFill="1" applyBorder="1" applyAlignment="1"/>
    <xf numFmtId="37" fontId="24" fillId="0" borderId="0" xfId="0" applyNumberFormat="1" applyFont="1" applyFill="1" applyBorder="1" applyAlignment="1">
      <alignment horizontal="center"/>
    </xf>
    <xf numFmtId="37" fontId="50" fillId="0" borderId="0" xfId="0" applyNumberFormat="1" applyFont="1" applyFill="1" applyBorder="1" applyAlignment="1">
      <alignment horizontal="center"/>
    </xf>
    <xf numFmtId="3" fontId="2" fillId="0" borderId="0" xfId="0" applyNumberFormat="1" applyFont="1" applyFill="1"/>
    <xf numFmtId="37" fontId="24" fillId="0" borderId="43" xfId="0" applyNumberFormat="1" applyFont="1" applyFill="1" applyBorder="1" applyAlignment="1">
      <alignment horizontal="center"/>
    </xf>
    <xf numFmtId="37" fontId="24" fillId="0" borderId="1" xfId="0" applyNumberFormat="1" applyFont="1" applyFill="1" applyBorder="1" applyAlignment="1">
      <alignment horizontal="center"/>
    </xf>
    <xf numFmtId="37" fontId="24" fillId="0" borderId="56" xfId="0" applyNumberFormat="1" applyFont="1" applyBorder="1" applyAlignment="1"/>
    <xf numFmtId="0" fontId="0" fillId="0" borderId="0" xfId="0" quotePrefix="1" applyBorder="1" applyAlignment="1">
      <alignment horizontal="right"/>
    </xf>
    <xf numFmtId="37" fontId="19" fillId="0" borderId="0" xfId="0" quotePrefix="1" applyNumberFormat="1" applyFont="1"/>
    <xf numFmtId="37" fontId="19" fillId="0" borderId="1" xfId="0" quotePrefix="1" applyNumberFormat="1" applyFont="1" applyBorder="1"/>
    <xf numFmtId="0" fontId="82" fillId="0" borderId="0" xfId="0" applyFont="1" applyAlignment="1">
      <alignment vertical="top"/>
    </xf>
    <xf numFmtId="37" fontId="2" fillId="0" borderId="0" xfId="0" applyNumberFormat="1" applyFont="1" applyBorder="1" applyAlignment="1">
      <alignment horizontal="right"/>
    </xf>
    <xf numFmtId="37" fontId="62" fillId="0" borderId="0" xfId="0" applyNumberFormat="1" applyFont="1" applyFill="1" applyAlignment="1">
      <alignment horizontal="right"/>
    </xf>
    <xf numFmtId="37" fontId="41" fillId="0" borderId="0" xfId="0" applyNumberFormat="1" applyFont="1" applyBorder="1" applyAlignment="1">
      <alignment horizontal="center"/>
    </xf>
    <xf numFmtId="0" fontId="48" fillId="0" borderId="0" xfId="0" applyFont="1"/>
    <xf numFmtId="164" fontId="0" fillId="0" borderId="0" xfId="0" applyNumberFormat="1" applyFill="1" applyAlignment="1">
      <alignment horizontal="center"/>
    </xf>
    <xf numFmtId="37" fontId="6" fillId="0" borderId="0" xfId="0" applyNumberFormat="1" applyFont="1" applyFill="1" applyBorder="1" applyAlignment="1">
      <alignment horizontal="right"/>
    </xf>
    <xf numFmtId="164" fontId="6" fillId="0" borderId="0" xfId="3" applyNumberFormat="1" applyFont="1" applyBorder="1"/>
    <xf numFmtId="0" fontId="0" fillId="0" borderId="3" xfId="0" applyBorder="1"/>
    <xf numFmtId="0" fontId="0" fillId="0" borderId="13" xfId="0" applyBorder="1"/>
    <xf numFmtId="170" fontId="4" fillId="0" borderId="1" xfId="1" applyNumberFormat="1" applyFont="1" applyBorder="1"/>
    <xf numFmtId="0" fontId="2" fillId="0" borderId="0" xfId="0" applyFont="1" applyFill="1" applyBorder="1"/>
    <xf numFmtId="3" fontId="2" fillId="0" borderId="0" xfId="0" applyNumberFormat="1" applyFont="1" applyFill="1" applyBorder="1"/>
    <xf numFmtId="37" fontId="2" fillId="0" borderId="0" xfId="0" applyNumberFormat="1" applyFont="1" applyFill="1" applyBorder="1"/>
    <xf numFmtId="49" fontId="52" fillId="3" borderId="38" xfId="0" applyNumberFormat="1" applyFont="1" applyFill="1" applyBorder="1" applyAlignment="1">
      <alignment horizontal="left" vertical="center"/>
    </xf>
    <xf numFmtId="0" fontId="82" fillId="0" borderId="0" xfId="0" applyFont="1" applyAlignment="1" applyProtection="1">
      <alignment horizontal="right" vertical="top"/>
      <protection locked="0"/>
    </xf>
    <xf numFmtId="0" fontId="12" fillId="0" borderId="1" xfId="0" applyFont="1" applyFill="1" applyBorder="1"/>
    <xf numFmtId="37" fontId="6" fillId="0" borderId="4" xfId="0" applyNumberFormat="1" applyFont="1" applyFill="1" applyBorder="1" applyAlignment="1" applyProtection="1">
      <alignment horizontal="right"/>
    </xf>
    <xf numFmtId="0" fontId="6" fillId="0" borderId="26" xfId="0" applyFont="1" applyBorder="1" applyAlignment="1"/>
    <xf numFmtId="170" fontId="4" fillId="0" borderId="0" xfId="1" applyNumberFormat="1" applyFont="1" applyProtection="1"/>
    <xf numFmtId="170" fontId="4" fillId="0" borderId="1" xfId="1" applyNumberFormat="1" applyFont="1" applyBorder="1" applyProtection="1"/>
    <xf numFmtId="37" fontId="19" fillId="0" borderId="1" xfId="0" applyNumberFormat="1" applyFont="1" applyFill="1" applyBorder="1"/>
    <xf numFmtId="170" fontId="6" fillId="0" borderId="0" xfId="1" applyNumberFormat="1" applyFont="1" applyProtection="1"/>
    <xf numFmtId="170" fontId="7" fillId="0" borderId="0" xfId="1" applyNumberFormat="1" applyFont="1" applyProtection="1"/>
    <xf numFmtId="164" fontId="4" fillId="0" borderId="0" xfId="3" applyNumberFormat="1" applyFont="1" applyProtection="1"/>
    <xf numFmtId="0" fontId="82" fillId="0" borderId="2" xfId="0" applyFont="1" applyBorder="1" applyAlignment="1">
      <alignment horizontal="left" vertical="center"/>
    </xf>
    <xf numFmtId="0" fontId="15" fillId="0" borderId="0" xfId="0" applyFont="1" applyAlignment="1">
      <alignment horizontal="center"/>
    </xf>
    <xf numFmtId="0" fontId="24" fillId="0" borderId="0" xfId="0" applyFont="1" applyBorder="1" applyAlignment="1">
      <alignment horizontal="left"/>
    </xf>
    <xf numFmtId="164" fontId="57" fillId="0" borderId="0" xfId="3" applyNumberFormat="1" applyFont="1" applyFill="1" applyAlignment="1">
      <alignment horizontal="right"/>
    </xf>
    <xf numFmtId="0" fontId="11" fillId="0" borderId="0" xfId="0" applyNumberFormat="1" applyFont="1" applyAlignment="1">
      <alignment horizontal="left" vertical="center" wrapText="1"/>
    </xf>
    <xf numFmtId="0" fontId="43" fillId="12" borderId="5" xfId="0" applyFont="1" applyFill="1" applyBorder="1" applyAlignment="1"/>
    <xf numFmtId="37" fontId="6" fillId="0" borderId="1" xfId="0" applyNumberFormat="1" applyFont="1" applyBorder="1" applyAlignment="1">
      <alignment vertical="center"/>
    </xf>
    <xf numFmtId="0" fontId="6" fillId="0" borderId="0" xfId="0" applyFont="1" applyProtection="1"/>
    <xf numFmtId="0" fontId="26" fillId="3" borderId="41" xfId="0" applyFont="1" applyFill="1" applyBorder="1" applyAlignment="1" applyProtection="1">
      <alignment horizontal="center" vertical="center"/>
    </xf>
    <xf numFmtId="0" fontId="106" fillId="0" borderId="0" xfId="0" applyFont="1" applyBorder="1" applyProtection="1">
      <protection locked="0"/>
    </xf>
    <xf numFmtId="0" fontId="18" fillId="0" borderId="0" xfId="2" applyBorder="1" applyAlignment="1" applyProtection="1">
      <alignment horizontal="right"/>
    </xf>
    <xf numFmtId="164" fontId="12" fillId="0" borderId="0" xfId="3" applyNumberFormat="1" applyFont="1" applyFill="1" applyBorder="1" applyAlignment="1" applyProtection="1">
      <alignment horizontal="center"/>
      <protection locked="0"/>
    </xf>
    <xf numFmtId="0" fontId="43" fillId="2" borderId="1" xfId="0" applyFont="1" applyFill="1" applyBorder="1" applyAlignment="1">
      <alignment vertical="center"/>
    </xf>
    <xf numFmtId="0" fontId="6" fillId="0" borderId="58" xfId="0" applyFont="1" applyBorder="1" applyAlignment="1">
      <alignment horizontal="center"/>
    </xf>
    <xf numFmtId="49" fontId="6" fillId="0" borderId="0" xfId="0" applyNumberFormat="1" applyFont="1" applyAlignment="1">
      <alignment horizontal="right"/>
    </xf>
    <xf numFmtId="0" fontId="104" fillId="3" borderId="0" xfId="0" applyFont="1" applyFill="1" applyBorder="1" applyAlignment="1">
      <alignment vertical="center"/>
    </xf>
    <xf numFmtId="174" fontId="6" fillId="0" borderId="0" xfId="0" applyNumberFormat="1" applyFont="1" applyBorder="1" applyAlignment="1">
      <alignment horizontal="center"/>
    </xf>
    <xf numFmtId="170" fontId="4" fillId="0" borderId="0" xfId="1" applyNumberFormat="1" applyFont="1" applyBorder="1" applyProtection="1"/>
    <xf numFmtId="37" fontId="63" fillId="0" borderId="5" xfId="0" applyNumberFormat="1" applyFont="1" applyBorder="1" applyAlignment="1"/>
    <xf numFmtId="37" fontId="50" fillId="0" borderId="5" xfId="0" applyNumberFormat="1" applyFont="1" applyBorder="1" applyAlignment="1"/>
    <xf numFmtId="0" fontId="63" fillId="0" borderId="5" xfId="0" applyFont="1" applyBorder="1" applyAlignment="1"/>
    <xf numFmtId="0" fontId="43" fillId="2" borderId="11" xfId="0" applyFont="1" applyFill="1" applyBorder="1" applyAlignment="1">
      <alignment vertical="center"/>
    </xf>
    <xf numFmtId="0" fontId="43" fillId="2" borderId="5" xfId="0" applyFont="1" applyFill="1" applyBorder="1" applyAlignment="1">
      <alignment vertical="center"/>
    </xf>
    <xf numFmtId="0" fontId="43" fillId="2" borderId="59" xfId="0" applyFont="1" applyFill="1" applyBorder="1" applyAlignment="1">
      <alignment vertical="center"/>
    </xf>
    <xf numFmtId="49" fontId="11" fillId="0" borderId="0" xfId="1" applyNumberFormat="1" applyFont="1" applyBorder="1" applyAlignment="1">
      <alignment horizontal="left"/>
    </xf>
    <xf numFmtId="0" fontId="90" fillId="0" borderId="0" xfId="0" applyFont="1"/>
    <xf numFmtId="0" fontId="41" fillId="0" borderId="0" xfId="0" applyFont="1" applyAlignment="1">
      <alignment horizontal="left" vertical="center"/>
    </xf>
    <xf numFmtId="170" fontId="4" fillId="0" borderId="0" xfId="1" applyNumberFormat="1" applyFont="1" applyBorder="1"/>
    <xf numFmtId="3" fontId="23" fillId="0" borderId="0" xfId="0" applyNumberFormat="1" applyFont="1" applyBorder="1" applyAlignment="1">
      <alignment horizontal="center"/>
    </xf>
    <xf numFmtId="3" fontId="12" fillId="0" borderId="0" xfId="0" applyNumberFormat="1" applyFont="1" applyBorder="1" applyAlignment="1"/>
    <xf numFmtId="0" fontId="12" fillId="0" borderId="0" xfId="0" applyFont="1" applyFill="1" applyBorder="1" applyAlignment="1">
      <alignment horizontal="right"/>
    </xf>
    <xf numFmtId="164" fontId="12" fillId="0" borderId="0" xfId="3" applyNumberFormat="1" applyFont="1" applyFill="1" applyBorder="1" applyAlignment="1"/>
    <xf numFmtId="0" fontId="12" fillId="0" borderId="0" xfId="0" applyFont="1" applyFill="1"/>
    <xf numFmtId="0" fontId="44" fillId="2" borderId="0" xfId="0" applyFont="1" applyFill="1" applyBorder="1" applyAlignment="1">
      <alignment vertical="center"/>
    </xf>
    <xf numFmtId="0" fontId="44" fillId="0" borderId="0" xfId="0" applyFont="1" applyFill="1" applyBorder="1" applyAlignment="1">
      <alignment vertical="center"/>
    </xf>
    <xf numFmtId="0" fontId="44" fillId="2" borderId="0" xfId="0" applyFont="1" applyFill="1" applyBorder="1" applyAlignment="1">
      <alignment horizontal="left" vertical="center"/>
    </xf>
    <xf numFmtId="0" fontId="44" fillId="0" borderId="0" xfId="0" applyFont="1" applyFill="1" applyBorder="1" applyAlignment="1">
      <alignment horizontal="left" vertical="center"/>
    </xf>
    <xf numFmtId="0" fontId="44" fillId="0" borderId="0" xfId="0" applyFont="1" applyFill="1" applyBorder="1" applyAlignment="1">
      <alignment horizontal="center" vertical="center"/>
    </xf>
    <xf numFmtId="0" fontId="104" fillId="2" borderId="0" xfId="0" applyFont="1" applyFill="1" applyBorder="1" applyAlignment="1">
      <alignment vertical="center"/>
    </xf>
    <xf numFmtId="0" fontId="104" fillId="0" borderId="0" xfId="0" applyFont="1" applyFill="1" applyBorder="1" applyAlignment="1">
      <alignment vertical="center"/>
    </xf>
    <xf numFmtId="37" fontId="107" fillId="0" borderId="0" xfId="0" applyNumberFormat="1" applyFont="1" applyFill="1" applyBorder="1" applyAlignment="1"/>
    <xf numFmtId="0" fontId="35" fillId="0" borderId="0" xfId="0" applyFont="1" applyAlignment="1">
      <alignment horizontal="right"/>
    </xf>
    <xf numFmtId="0" fontId="35" fillId="0" borderId="0" xfId="0" applyFont="1" applyAlignment="1">
      <alignment horizontal="right" vertical="center"/>
    </xf>
    <xf numFmtId="37" fontId="6" fillId="0" borderId="21" xfId="0" applyNumberFormat="1" applyFont="1" applyFill="1" applyBorder="1" applyAlignment="1" applyProtection="1">
      <alignment horizontal="center"/>
      <protection locked="0"/>
    </xf>
    <xf numFmtId="0" fontId="45" fillId="0" borderId="0" xfId="0" applyFont="1" applyFill="1" applyBorder="1" applyAlignment="1"/>
    <xf numFmtId="3" fontId="23" fillId="0" borderId="0" xfId="0" applyNumberFormat="1" applyFont="1" applyFill="1" applyAlignment="1">
      <alignment horizontal="center"/>
    </xf>
    <xf numFmtId="3" fontId="8" fillId="0" borderId="0" xfId="0" applyNumberFormat="1" applyFont="1" applyFill="1" applyAlignment="1">
      <alignment horizontal="center"/>
    </xf>
    <xf numFmtId="0" fontId="0" fillId="10" borderId="0" xfId="0" applyFill="1" applyAlignment="1">
      <alignment horizontal="center"/>
    </xf>
    <xf numFmtId="0" fontId="18" fillId="0" borderId="0" xfId="2" applyAlignment="1" applyProtection="1">
      <alignment horizontal="center"/>
    </xf>
    <xf numFmtId="164" fontId="4" fillId="0" borderId="0" xfId="3" applyNumberFormat="1" applyFont="1" applyBorder="1" applyAlignment="1">
      <alignment horizontal="center"/>
    </xf>
    <xf numFmtId="170" fontId="4" fillId="0" borderId="0" xfId="1" applyNumberFormat="1" applyFont="1" applyAlignment="1" applyProtection="1">
      <alignment horizontal="center"/>
    </xf>
    <xf numFmtId="170" fontId="4" fillId="0" borderId="1" xfId="1" applyNumberFormat="1" applyFont="1" applyBorder="1" applyAlignment="1" applyProtection="1">
      <alignment horizontal="center"/>
    </xf>
    <xf numFmtId="0" fontId="4" fillId="0" borderId="0" xfId="0" applyFont="1" applyAlignment="1">
      <alignment horizontal="center"/>
    </xf>
    <xf numFmtId="0" fontId="11" fillId="0" borderId="0" xfId="0" applyFont="1" applyFill="1" applyBorder="1"/>
    <xf numFmtId="164" fontId="76" fillId="0" borderId="0" xfId="0" applyNumberFormat="1" applyFont="1" applyFill="1" applyBorder="1" applyAlignment="1">
      <alignment horizontal="right" vertical="center"/>
    </xf>
    <xf numFmtId="0" fontId="15" fillId="0" borderId="0" xfId="0" applyFont="1" applyFill="1" applyAlignment="1">
      <alignment horizontal="center"/>
    </xf>
    <xf numFmtId="3" fontId="9" fillId="0" borderId="0" xfId="0" applyNumberFormat="1" applyFont="1" applyFill="1" applyAlignment="1">
      <alignment horizontal="center"/>
    </xf>
    <xf numFmtId="0" fontId="15" fillId="0" borderId="0" xfId="0" applyFont="1" applyFill="1" applyAlignment="1">
      <alignment horizontal="left"/>
    </xf>
    <xf numFmtId="0" fontId="0" fillId="2" borderId="0" xfId="0" applyFill="1" applyAlignment="1">
      <alignment horizontal="center"/>
    </xf>
    <xf numFmtId="49" fontId="108" fillId="0" borderId="0" xfId="1" applyNumberFormat="1" applyFont="1" applyBorder="1" applyAlignment="1">
      <alignment horizontal="right"/>
    </xf>
    <xf numFmtId="164" fontId="4" fillId="0" borderId="8" xfId="3" applyNumberFormat="1" applyFont="1" applyFill="1" applyBorder="1" applyAlignment="1" applyProtection="1">
      <alignment horizontal="center"/>
    </xf>
    <xf numFmtId="165" fontId="4" fillId="0" borderId="0" xfId="0" applyNumberFormat="1" applyFont="1" applyFill="1" applyBorder="1" applyAlignment="1" applyProtection="1">
      <alignment horizontal="center"/>
    </xf>
    <xf numFmtId="0" fontId="4" fillId="0" borderId="0" xfId="0" applyFont="1" applyFill="1" applyProtection="1"/>
    <xf numFmtId="0" fontId="4" fillId="0" borderId="0" xfId="0" applyFont="1" applyFill="1" applyBorder="1" applyProtection="1"/>
    <xf numFmtId="0" fontId="69" fillId="0" borderId="0" xfId="0" applyFont="1" applyFill="1" applyAlignment="1">
      <alignment horizontal="center" vertical="center"/>
    </xf>
    <xf numFmtId="49" fontId="6" fillId="0" borderId="0" xfId="1" applyNumberFormat="1" applyFont="1" applyAlignment="1">
      <alignment horizontal="left" vertical="center"/>
    </xf>
    <xf numFmtId="0" fontId="6" fillId="0" borderId="0" xfId="0" applyFont="1" applyFill="1" applyBorder="1" applyAlignment="1">
      <alignment vertical="center"/>
    </xf>
    <xf numFmtId="0" fontId="4" fillId="0" borderId="0" xfId="0" applyFont="1" applyFill="1" applyBorder="1" applyAlignment="1">
      <alignment vertical="center"/>
    </xf>
    <xf numFmtId="170" fontId="4" fillId="0" borderId="0" xfId="1" applyNumberFormat="1" applyFont="1" applyAlignment="1">
      <alignment vertical="center"/>
    </xf>
    <xf numFmtId="0" fontId="0" fillId="0" borderId="0" xfId="0" applyFill="1" applyAlignment="1">
      <alignment vertical="center"/>
    </xf>
    <xf numFmtId="37" fontId="24" fillId="0" borderId="0" xfId="0" applyNumberFormat="1" applyFont="1" applyAlignment="1">
      <alignment horizontal="right" vertical="center"/>
    </xf>
    <xf numFmtId="0" fontId="39" fillId="0" borderId="0" xfId="0" applyFont="1" applyBorder="1" applyAlignment="1">
      <alignment horizontal="center" vertical="center"/>
    </xf>
    <xf numFmtId="37" fontId="0" fillId="0" borderId="0" xfId="0" applyNumberFormat="1" applyAlignment="1">
      <alignment vertical="center"/>
    </xf>
    <xf numFmtId="37" fontId="17" fillId="0" borderId="0" xfId="0" applyNumberFormat="1" applyFont="1" applyAlignment="1">
      <alignment vertical="center"/>
    </xf>
    <xf numFmtId="0" fontId="52" fillId="0" borderId="0" xfId="0" applyFont="1" applyFill="1" applyBorder="1" applyAlignment="1">
      <alignment horizontal="center" vertical="center"/>
    </xf>
    <xf numFmtId="0" fontId="4" fillId="0" borderId="0" xfId="0" applyFont="1" applyBorder="1" applyAlignment="1">
      <alignment vertical="center"/>
    </xf>
    <xf numFmtId="164" fontId="4" fillId="0" borderId="0" xfId="3" applyNumberFormat="1" applyFont="1" applyBorder="1" applyAlignment="1">
      <alignment vertical="center"/>
    </xf>
    <xf numFmtId="37" fontId="4" fillId="0" borderId="0" xfId="0" applyNumberFormat="1" applyFont="1" applyBorder="1" applyAlignment="1">
      <alignment vertical="center"/>
    </xf>
    <xf numFmtId="170" fontId="4" fillId="0" borderId="0" xfId="1" applyNumberFormat="1" applyFont="1" applyBorder="1" applyAlignment="1">
      <alignment vertical="center"/>
    </xf>
    <xf numFmtId="0" fontId="0" fillId="0" borderId="0" xfId="0" applyBorder="1" applyAlignment="1">
      <alignment vertical="center"/>
    </xf>
    <xf numFmtId="164" fontId="4" fillId="0" borderId="0" xfId="3" applyNumberFormat="1" applyFont="1" applyAlignment="1">
      <alignment vertical="center"/>
    </xf>
    <xf numFmtId="37" fontId="4" fillId="0" borderId="0" xfId="0" applyNumberFormat="1" applyFont="1" applyAlignment="1">
      <alignment vertical="center"/>
    </xf>
    <xf numFmtId="37" fontId="0" fillId="0" borderId="5" xfId="0" applyNumberFormat="1" applyBorder="1"/>
    <xf numFmtId="37" fontId="0" fillId="0" borderId="0" xfId="1" applyNumberFormat="1" applyFont="1"/>
    <xf numFmtId="49" fontId="24" fillId="0" borderId="0" xfId="0" applyNumberFormat="1" applyFont="1" applyAlignment="1">
      <alignment horizontal="right"/>
    </xf>
    <xf numFmtId="0" fontId="109" fillId="0" borderId="0" xfId="0" applyFont="1"/>
    <xf numFmtId="0" fontId="109" fillId="0" borderId="0" xfId="0" applyFont="1" applyFill="1" applyBorder="1" applyAlignment="1">
      <alignment horizontal="center"/>
    </xf>
    <xf numFmtId="0" fontId="6" fillId="0" borderId="0" xfId="0" applyFont="1" applyBorder="1" applyAlignment="1" applyProtection="1">
      <alignment horizontal="right"/>
      <protection locked="0"/>
    </xf>
    <xf numFmtId="0" fontId="8" fillId="0" borderId="8" xfId="0" applyFont="1" applyBorder="1" applyAlignment="1"/>
    <xf numFmtId="37" fontId="109" fillId="0" borderId="0" xfId="0" applyNumberFormat="1" applyFont="1" applyAlignment="1">
      <alignment vertical="center"/>
    </xf>
    <xf numFmtId="0" fontId="109" fillId="0" borderId="0" xfId="0" applyFont="1" applyAlignment="1">
      <alignment vertical="center"/>
    </xf>
    <xf numFmtId="37" fontId="110" fillId="0" borderId="0" xfId="0" applyNumberFormat="1" applyFont="1" applyFill="1" applyAlignment="1">
      <alignment horizontal="right" vertical="center"/>
    </xf>
    <xf numFmtId="37" fontId="110" fillId="0" borderId="0" xfId="0" applyNumberFormat="1" applyFont="1" applyFill="1" applyAlignment="1">
      <alignment vertical="center"/>
    </xf>
    <xf numFmtId="0" fontId="109" fillId="0" borderId="0" xfId="0" applyFont="1" applyFill="1" applyAlignment="1">
      <alignment vertical="center"/>
    </xf>
    <xf numFmtId="37" fontId="109" fillId="0" borderId="0" xfId="0" applyNumberFormat="1" applyFont="1" applyFill="1" applyAlignment="1">
      <alignment vertical="center"/>
    </xf>
    <xf numFmtId="0" fontId="109" fillId="0" borderId="0" xfId="0" applyFont="1" applyFill="1" applyBorder="1" applyAlignment="1">
      <alignment horizontal="center" vertical="center"/>
    </xf>
    <xf numFmtId="37" fontId="24" fillId="0" borderId="0" xfId="0" applyNumberFormat="1" applyFont="1" applyBorder="1" applyAlignment="1"/>
    <xf numFmtId="37" fontId="112" fillId="0" borderId="43" xfId="0" applyNumberFormat="1" applyFont="1" applyFill="1" applyBorder="1" applyAlignment="1">
      <alignment horizontal="center"/>
    </xf>
    <xf numFmtId="37" fontId="112" fillId="0" borderId="0" xfId="0" applyNumberFormat="1" applyFont="1" applyAlignment="1">
      <alignment horizontal="center"/>
    </xf>
    <xf numFmtId="37" fontId="112" fillId="0" borderId="0" xfId="0" applyNumberFormat="1" applyFont="1" applyFill="1" applyBorder="1" applyAlignment="1">
      <alignment horizontal="center"/>
    </xf>
    <xf numFmtId="37" fontId="112" fillId="0" borderId="1" xfId="0" applyNumberFormat="1" applyFont="1" applyFill="1" applyBorder="1" applyAlignment="1">
      <alignment horizontal="center"/>
    </xf>
    <xf numFmtId="0" fontId="82" fillId="0" borderId="5" xfId="0" applyFont="1" applyBorder="1" applyAlignment="1">
      <alignment horizontal="left" vertical="center"/>
    </xf>
    <xf numFmtId="168" fontId="4" fillId="0" borderId="0" xfId="0" applyNumberFormat="1" applyFont="1" applyFill="1" applyBorder="1" applyAlignment="1" applyProtection="1">
      <alignment horizontal="center"/>
      <protection locked="0"/>
    </xf>
    <xf numFmtId="0" fontId="45" fillId="0" borderId="0" xfId="0" applyFont="1" applyAlignment="1">
      <alignment vertical="center"/>
    </xf>
    <xf numFmtId="37" fontId="45" fillId="0" borderId="0" xfId="0" applyNumberFormat="1" applyFont="1"/>
    <xf numFmtId="0" fontId="116" fillId="0" borderId="0" xfId="0" applyFont="1" applyBorder="1" applyAlignment="1" applyProtection="1">
      <alignment horizontal="center"/>
      <protection locked="0"/>
    </xf>
    <xf numFmtId="0" fontId="44" fillId="13" borderId="0" xfId="0" applyFont="1" applyFill="1" applyBorder="1" applyAlignment="1">
      <alignment vertical="center"/>
    </xf>
    <xf numFmtId="0" fontId="113" fillId="13" borderId="0" xfId="0" applyFont="1" applyFill="1" applyBorder="1" applyAlignment="1">
      <alignment vertical="center"/>
    </xf>
    <xf numFmtId="0" fontId="15" fillId="0" borderId="0" xfId="0" applyFont="1" applyBorder="1" applyAlignment="1" applyProtection="1">
      <alignment horizontal="center"/>
    </xf>
    <xf numFmtId="49" fontId="6" fillId="0" borderId="8" xfId="0" applyNumberFormat="1" applyFont="1" applyBorder="1" applyAlignment="1">
      <alignment horizontal="right"/>
    </xf>
    <xf numFmtId="0" fontId="24" fillId="0" borderId="7" xfId="0" applyFont="1" applyBorder="1" applyAlignment="1">
      <alignment horizontal="center"/>
    </xf>
    <xf numFmtId="37" fontId="4" fillId="0" borderId="40" xfId="0" applyNumberFormat="1" applyFont="1" applyBorder="1" applyAlignment="1" applyProtection="1">
      <protection locked="0"/>
    </xf>
    <xf numFmtId="0" fontId="8" fillId="0" borderId="7" xfId="0" applyFont="1" applyBorder="1" applyAlignment="1">
      <alignment horizontal="left"/>
    </xf>
    <xf numFmtId="0" fontId="15" fillId="0" borderId="60" xfId="0" applyFont="1" applyBorder="1" applyAlignment="1" applyProtection="1">
      <alignment horizontal="center"/>
    </xf>
    <xf numFmtId="0" fontId="6" fillId="0" borderId="14" xfId="0" applyFont="1" applyFill="1" applyBorder="1" applyAlignment="1" applyProtection="1">
      <alignment horizontal="left"/>
      <protection locked="0"/>
    </xf>
    <xf numFmtId="0" fontId="6" fillId="5" borderId="14" xfId="0" applyFont="1" applyFill="1" applyBorder="1" applyAlignment="1" applyProtection="1">
      <alignment vertical="center"/>
      <protection locked="0"/>
    </xf>
    <xf numFmtId="0" fontId="0" fillId="0" borderId="61" xfId="0" applyBorder="1"/>
    <xf numFmtId="0" fontId="41" fillId="0" borderId="0" xfId="0" applyFont="1" applyBorder="1" applyAlignment="1">
      <alignment horizontal="center"/>
    </xf>
    <xf numFmtId="0" fontId="43" fillId="3" borderId="63" xfId="0" applyFont="1" applyFill="1" applyBorder="1" applyAlignment="1">
      <alignment vertical="center"/>
    </xf>
    <xf numFmtId="3" fontId="4" fillId="0" borderId="0" xfId="0" applyNumberFormat="1" applyFont="1" applyBorder="1" applyAlignment="1"/>
    <xf numFmtId="0" fontId="56" fillId="0" borderId="0" xfId="0" applyFont="1" applyFill="1" applyAlignment="1">
      <alignment horizontal="center"/>
    </xf>
    <xf numFmtId="0" fontId="39" fillId="0" borderId="0" xfId="0" applyFont="1" applyFill="1"/>
    <xf numFmtId="37" fontId="0" fillId="0" borderId="62" xfId="0" applyNumberFormat="1" applyBorder="1"/>
    <xf numFmtId="0" fontId="118" fillId="0" borderId="5" xfId="0" applyFont="1" applyBorder="1" applyProtection="1">
      <protection locked="0"/>
    </xf>
    <xf numFmtId="0" fontId="118" fillId="0" borderId="0" xfId="0" applyFont="1" applyBorder="1" applyProtection="1">
      <protection locked="0"/>
    </xf>
    <xf numFmtId="49" fontId="50" fillId="0" borderId="0" xfId="0" applyNumberFormat="1" applyFont="1" applyBorder="1" applyAlignment="1">
      <alignment horizontal="right"/>
    </xf>
    <xf numFmtId="37" fontId="0" fillId="0" borderId="60" xfId="0" applyNumberFormat="1" applyBorder="1"/>
    <xf numFmtId="37" fontId="2" fillId="0" borderId="0" xfId="0" applyNumberFormat="1" applyFont="1" applyBorder="1" applyProtection="1">
      <protection locked="0"/>
    </xf>
    <xf numFmtId="0" fontId="8" fillId="0" borderId="5" xfId="0" applyFont="1" applyBorder="1"/>
    <xf numFmtId="0" fontId="6" fillId="14" borderId="0" xfId="0" applyFont="1" applyFill="1" applyBorder="1" applyAlignment="1"/>
    <xf numFmtId="0" fontId="8" fillId="0" borderId="0" xfId="0" applyFont="1" applyFill="1" applyBorder="1" applyAlignment="1">
      <alignment horizontal="right"/>
    </xf>
    <xf numFmtId="3" fontId="62" fillId="0" borderId="0" xfId="0" applyNumberFormat="1" applyFont="1" applyAlignment="1">
      <alignment horizontal="center"/>
    </xf>
    <xf numFmtId="3" fontId="62" fillId="0" borderId="0" xfId="0" applyNumberFormat="1" applyFont="1" applyAlignment="1">
      <alignment horizontal="left"/>
    </xf>
    <xf numFmtId="0" fontId="0" fillId="0" borderId="7" xfId="0" applyFill="1" applyBorder="1"/>
    <xf numFmtId="37" fontId="4" fillId="0" borderId="57" xfId="0" applyNumberFormat="1" applyFont="1" applyBorder="1" applyAlignment="1" applyProtection="1">
      <protection locked="0"/>
    </xf>
    <xf numFmtId="164" fontId="76" fillId="0" borderId="0" xfId="0" applyNumberFormat="1" applyFont="1" applyFill="1" applyBorder="1" applyAlignment="1" applyProtection="1">
      <alignment horizontal="left"/>
    </xf>
    <xf numFmtId="0" fontId="114" fillId="0" borderId="0" xfId="0" applyFont="1" applyFill="1" applyBorder="1" applyAlignment="1">
      <alignment vertical="center"/>
    </xf>
    <xf numFmtId="0" fontId="113" fillId="0" borderId="0" xfId="0" applyFont="1" applyFill="1" applyBorder="1" applyAlignment="1">
      <alignment horizontal="left" vertical="center"/>
    </xf>
    <xf numFmtId="165" fontId="4" fillId="0" borderId="0" xfId="1" applyNumberFormat="1" applyFont="1" applyAlignment="1">
      <alignment horizontal="center"/>
    </xf>
    <xf numFmtId="0" fontId="117" fillId="0" borderId="0" xfId="0" applyFont="1" applyFill="1" applyBorder="1" applyAlignment="1">
      <alignment horizontal="center"/>
    </xf>
    <xf numFmtId="164" fontId="76" fillId="0" borderId="0" xfId="0" applyNumberFormat="1" applyFont="1" applyFill="1" applyBorder="1" applyAlignment="1">
      <alignment horizontal="left" vertical="center"/>
    </xf>
    <xf numFmtId="164" fontId="48" fillId="0" borderId="0" xfId="3" applyNumberFormat="1" applyFont="1" applyFill="1" applyBorder="1" applyAlignment="1"/>
    <xf numFmtId="37" fontId="0" fillId="0" borderId="5" xfId="0" applyNumberFormat="1" applyBorder="1" applyProtection="1">
      <protection locked="0"/>
    </xf>
    <xf numFmtId="37" fontId="0" fillId="0" borderId="49" xfId="0" applyNumberFormat="1" applyBorder="1" applyProtection="1">
      <protection locked="0"/>
    </xf>
    <xf numFmtId="37" fontId="12" fillId="0" borderId="0" xfId="0" applyNumberFormat="1" applyFont="1" applyProtection="1">
      <protection locked="0"/>
    </xf>
    <xf numFmtId="0" fontId="5" fillId="0" borderId="0" xfId="0" applyFont="1" applyProtection="1">
      <protection locked="0"/>
    </xf>
    <xf numFmtId="168" fontId="5" fillId="0" borderId="0" xfId="0" applyNumberFormat="1" applyFont="1" applyFill="1" applyBorder="1" applyAlignment="1" applyProtection="1">
      <alignment horizontal="center"/>
      <protection locked="0"/>
    </xf>
    <xf numFmtId="164" fontId="5" fillId="0" borderId="0" xfId="0" applyNumberFormat="1" applyFont="1" applyFill="1" applyBorder="1" applyAlignment="1" applyProtection="1">
      <protection locked="0"/>
    </xf>
    <xf numFmtId="0" fontId="23" fillId="0" borderId="0" xfId="0" applyFont="1"/>
    <xf numFmtId="0" fontId="119" fillId="0" borderId="0" xfId="0" applyFont="1" applyFill="1" applyAlignment="1">
      <alignment horizontal="center"/>
    </xf>
    <xf numFmtId="0" fontId="45" fillId="0" borderId="0" xfId="0" applyFont="1" applyAlignment="1">
      <alignment horizontal="center"/>
    </xf>
    <xf numFmtId="37" fontId="45" fillId="0" borderId="0" xfId="0" applyNumberFormat="1" applyFont="1" applyAlignment="1">
      <alignment horizontal="center"/>
    </xf>
    <xf numFmtId="37" fontId="9" fillId="0" borderId="0" xfId="0" applyNumberFormat="1" applyFont="1" applyAlignment="1">
      <alignment vertical="center"/>
    </xf>
    <xf numFmtId="3" fontId="82" fillId="0" borderId="0" xfId="0" applyNumberFormat="1" applyFont="1" applyFill="1" applyBorder="1" applyAlignment="1">
      <alignment horizontal="left"/>
    </xf>
    <xf numFmtId="0" fontId="23" fillId="0" borderId="0" xfId="0" applyFont="1" applyBorder="1" applyAlignment="1">
      <alignment horizontal="left"/>
    </xf>
    <xf numFmtId="0" fontId="15" fillId="0" borderId="14" xfId="0" applyFont="1" applyBorder="1" applyAlignment="1"/>
    <xf numFmtId="3" fontId="24" fillId="0" borderId="0" xfId="0" applyNumberFormat="1" applyFont="1" applyBorder="1" applyAlignment="1">
      <alignment horizontal="center"/>
    </xf>
    <xf numFmtId="37" fontId="5" fillId="0" borderId="0" xfId="0" quotePrefix="1" applyNumberFormat="1" applyFont="1" applyFill="1" applyBorder="1"/>
    <xf numFmtId="37" fontId="5" fillId="0" borderId="0" xfId="0" quotePrefix="1" applyNumberFormat="1" applyFont="1"/>
    <xf numFmtId="37" fontId="5" fillId="0" borderId="1" xfId="0" quotePrefix="1" applyNumberFormat="1" applyFont="1" applyBorder="1"/>
    <xf numFmtId="37" fontId="40" fillId="0" borderId="0" xfId="0" applyNumberFormat="1" applyFont="1" applyBorder="1"/>
    <xf numFmtId="37" fontId="40" fillId="0" borderId="1" xfId="0" applyNumberFormat="1" applyFont="1" applyBorder="1"/>
    <xf numFmtId="37" fontId="40" fillId="0" borderId="0" xfId="0" applyNumberFormat="1" applyFont="1"/>
    <xf numFmtId="37" fontId="40" fillId="0" borderId="0" xfId="0" applyNumberFormat="1" applyFont="1" applyFill="1"/>
    <xf numFmtId="170" fontId="40" fillId="0" borderId="0" xfId="1" applyNumberFormat="1" applyFont="1" applyBorder="1"/>
    <xf numFmtId="3" fontId="5" fillId="0" borderId="0" xfId="0" applyNumberFormat="1" applyFont="1" applyAlignment="1">
      <alignment horizontal="center"/>
    </xf>
    <xf numFmtId="0" fontId="82" fillId="0" borderId="0" xfId="0" applyFont="1" applyAlignment="1">
      <alignment horizontal="left" vertical="center"/>
    </xf>
    <xf numFmtId="49" fontId="43" fillId="3" borderId="7" xfId="1" applyNumberFormat="1" applyFont="1" applyFill="1" applyBorder="1" applyAlignment="1">
      <alignment horizontal="left"/>
    </xf>
    <xf numFmtId="49" fontId="43" fillId="3" borderId="0" xfId="1" applyNumberFormat="1" applyFont="1" applyFill="1" applyBorder="1" applyAlignment="1">
      <alignment horizontal="left"/>
    </xf>
    <xf numFmtId="0" fontId="12" fillId="0" borderId="0" xfId="0" applyFont="1" applyBorder="1" applyAlignment="1">
      <alignment horizontal="left" vertical="center"/>
    </xf>
    <xf numFmtId="164" fontId="79" fillId="0" borderId="0" xfId="0" applyNumberFormat="1" applyFont="1" applyFill="1" applyBorder="1" applyAlignment="1"/>
    <xf numFmtId="37" fontId="9" fillId="0" borderId="1" xfId="0" applyNumberFormat="1" applyFont="1" applyFill="1" applyBorder="1"/>
    <xf numFmtId="170" fontId="5" fillId="0" borderId="0" xfId="1" applyNumberFormat="1" applyFont="1" applyProtection="1"/>
    <xf numFmtId="170" fontId="5" fillId="0" borderId="1" xfId="1" applyNumberFormat="1" applyFont="1" applyBorder="1" applyProtection="1"/>
    <xf numFmtId="37" fontId="5" fillId="0" borderId="1" xfId="0" applyNumberFormat="1" applyFont="1" applyBorder="1"/>
    <xf numFmtId="37" fontId="5" fillId="0" borderId="0" xfId="0" applyNumberFormat="1" applyFont="1" applyFill="1"/>
    <xf numFmtId="0" fontId="26" fillId="12" borderId="64" xfId="0" applyFont="1" applyFill="1" applyBorder="1" applyAlignment="1">
      <alignment horizontal="left"/>
    </xf>
    <xf numFmtId="0" fontId="94" fillId="0" borderId="14" xfId="2" applyFont="1" applyBorder="1" applyAlignment="1" applyProtection="1"/>
    <xf numFmtId="0" fontId="11" fillId="0" borderId="5" xfId="0" applyFont="1" applyFill="1" applyBorder="1" applyAlignment="1">
      <alignment horizontal="left" vertical="center"/>
    </xf>
    <xf numFmtId="0" fontId="90" fillId="0" borderId="0" xfId="0" applyFont="1" applyFill="1" applyBorder="1"/>
    <xf numFmtId="0" fontId="93" fillId="0" borderId="0" xfId="2" applyFont="1" applyBorder="1" applyAlignment="1" applyProtection="1">
      <alignment horizontal="left"/>
    </xf>
    <xf numFmtId="170" fontId="0" fillId="0" borderId="0" xfId="0" applyNumberFormat="1" applyFill="1" applyBorder="1"/>
    <xf numFmtId="37" fontId="9" fillId="0" borderId="0" xfId="0" applyNumberFormat="1" applyFont="1" applyAlignment="1">
      <alignment horizontal="right"/>
    </xf>
    <xf numFmtId="37" fontId="9" fillId="0" borderId="1" xfId="0" applyNumberFormat="1" applyFont="1" applyBorder="1" applyAlignment="1">
      <alignment horizontal="right"/>
    </xf>
    <xf numFmtId="3" fontId="24" fillId="0" borderId="0" xfId="0" applyNumberFormat="1" applyFont="1" applyFill="1" applyAlignment="1">
      <alignment horizontal="right"/>
    </xf>
    <xf numFmtId="37" fontId="57" fillId="0" borderId="0" xfId="0" applyNumberFormat="1" applyFont="1" applyAlignment="1">
      <alignment horizontal="right"/>
    </xf>
    <xf numFmtId="164" fontId="0" fillId="0" borderId="0" xfId="3" applyNumberFormat="1" applyFont="1" applyFill="1" applyBorder="1" applyAlignment="1" applyProtection="1">
      <alignment horizontal="center"/>
      <protection locked="0"/>
    </xf>
    <xf numFmtId="0" fontId="0" fillId="0" borderId="0" xfId="0" applyFill="1" applyBorder="1" applyAlignment="1" applyProtection="1">
      <alignment horizontal="center"/>
      <protection locked="0"/>
    </xf>
    <xf numFmtId="0" fontId="82" fillId="0" borderId="0" xfId="0" applyFont="1" applyFill="1" applyBorder="1" applyAlignment="1">
      <alignment horizontal="left" vertical="center"/>
    </xf>
    <xf numFmtId="164" fontId="0" fillId="0" borderId="0" xfId="3" applyNumberFormat="1" applyFont="1" applyFill="1" applyBorder="1"/>
    <xf numFmtId="0" fontId="65" fillId="0" borderId="0" xfId="0" applyFont="1" applyFill="1" applyBorder="1" applyAlignment="1">
      <alignment horizontal="left"/>
    </xf>
    <xf numFmtId="0" fontId="121" fillId="2" borderId="0" xfId="0" applyFont="1" applyFill="1" applyBorder="1" applyAlignment="1">
      <alignment horizontal="center" vertical="center"/>
    </xf>
    <xf numFmtId="0" fontId="0" fillId="0" borderId="65" xfId="0" applyBorder="1"/>
    <xf numFmtId="0" fontId="6" fillId="0" borderId="3" xfId="0" applyFont="1" applyBorder="1" applyAlignment="1">
      <alignment horizontal="center"/>
    </xf>
    <xf numFmtId="0" fontId="6" fillId="0" borderId="13" xfId="0" applyFont="1" applyBorder="1" applyAlignment="1">
      <alignment horizontal="center"/>
    </xf>
    <xf numFmtId="0" fontId="0" fillId="0" borderId="17" xfId="0" applyBorder="1" applyAlignment="1" applyProtection="1">
      <alignment horizontal="center"/>
      <protection locked="0"/>
    </xf>
    <xf numFmtId="164" fontId="0" fillId="0" borderId="1" xfId="3" applyNumberFormat="1" applyFont="1" applyBorder="1" applyAlignment="1" applyProtection="1">
      <alignment horizontal="center"/>
      <protection locked="0"/>
    </xf>
    <xf numFmtId="0" fontId="0" fillId="0" borderId="13" xfId="0" applyBorder="1" applyAlignment="1" applyProtection="1">
      <alignment horizontal="center"/>
      <protection locked="0"/>
    </xf>
    <xf numFmtId="0" fontId="82" fillId="0" borderId="0" xfId="0" applyFont="1" applyAlignment="1">
      <alignment horizontal="right"/>
    </xf>
    <xf numFmtId="170" fontId="48" fillId="0" borderId="0" xfId="1" applyNumberFormat="1" applyFont="1" applyAlignment="1">
      <alignment horizontal="right"/>
    </xf>
    <xf numFmtId="37" fontId="6" fillId="5" borderId="23" xfId="0" applyNumberFormat="1" applyFont="1" applyFill="1" applyBorder="1" applyAlignment="1" applyProtection="1">
      <alignment horizontal="left"/>
      <protection locked="0"/>
    </xf>
    <xf numFmtId="0" fontId="0" fillId="0" borderId="58" xfId="0" applyBorder="1"/>
    <xf numFmtId="0" fontId="6" fillId="0" borderId="12" xfId="0" applyFont="1" applyBorder="1" applyAlignment="1">
      <alignment horizontal="center"/>
    </xf>
    <xf numFmtId="0" fontId="0" fillId="0" borderId="12" xfId="0" applyBorder="1"/>
    <xf numFmtId="170" fontId="12" fillId="0" borderId="0" xfId="1" applyNumberFormat="1" applyFont="1" applyFill="1" applyBorder="1" applyAlignment="1"/>
    <xf numFmtId="0" fontId="39" fillId="0" borderId="1" xfId="0" applyFont="1" applyBorder="1" applyAlignment="1">
      <alignment horizontal="center"/>
    </xf>
    <xf numFmtId="9" fontId="0" fillId="0" borderId="0" xfId="3" applyNumberFormat="1" applyFont="1" applyBorder="1" applyAlignment="1">
      <alignment horizontal="center"/>
    </xf>
    <xf numFmtId="9" fontId="0" fillId="0" borderId="0" xfId="3" applyFont="1" applyBorder="1" applyAlignment="1">
      <alignment horizontal="center"/>
    </xf>
    <xf numFmtId="3" fontId="55" fillId="0" borderId="1" xfId="0" applyNumberFormat="1" applyFont="1" applyBorder="1" applyAlignment="1">
      <alignment horizontal="center"/>
    </xf>
    <xf numFmtId="0" fontId="122" fillId="0" borderId="0" xfId="0" applyFont="1" applyFill="1" applyBorder="1" applyAlignment="1">
      <alignment horizontal="center" vertical="center"/>
    </xf>
    <xf numFmtId="173" fontId="19" fillId="0" borderId="0" xfId="1" applyNumberFormat="1" applyFont="1"/>
    <xf numFmtId="0" fontId="119" fillId="0" borderId="1" xfId="0" applyFont="1" applyFill="1" applyBorder="1" applyAlignment="1">
      <alignment horizontal="center"/>
    </xf>
    <xf numFmtId="0" fontId="82" fillId="0" borderId="0" xfId="0" applyFont="1" applyAlignment="1">
      <alignment horizontal="left"/>
    </xf>
    <xf numFmtId="0" fontId="15" fillId="0" borderId="0" xfId="0" applyFont="1" applyBorder="1"/>
    <xf numFmtId="37" fontId="24" fillId="5" borderId="4" xfId="0" applyNumberFormat="1" applyFont="1" applyFill="1" applyBorder="1" applyAlignment="1" applyProtection="1">
      <alignment horizontal="center"/>
      <protection locked="0"/>
    </xf>
    <xf numFmtId="164" fontId="8" fillId="0" borderId="0" xfId="3" applyNumberFormat="1" applyFont="1" applyBorder="1"/>
    <xf numFmtId="43" fontId="40" fillId="0" borderId="0" xfId="1" applyFont="1" applyProtection="1">
      <protection locked="0"/>
    </xf>
    <xf numFmtId="43" fontId="40" fillId="0" borderId="0" xfId="1" applyFont="1" applyFill="1" applyProtection="1">
      <protection locked="0"/>
    </xf>
    <xf numFmtId="37" fontId="0" fillId="0" borderId="0" xfId="1" applyNumberFormat="1" applyFont="1" applyProtection="1">
      <protection locked="0"/>
    </xf>
    <xf numFmtId="0" fontId="15" fillId="0" borderId="1" xfId="0" applyFont="1" applyFill="1" applyBorder="1" applyAlignment="1">
      <alignment horizontal="left"/>
    </xf>
    <xf numFmtId="37" fontId="0" fillId="0" borderId="21" xfId="0" applyNumberFormat="1" applyBorder="1"/>
    <xf numFmtId="0" fontId="73" fillId="0" borderId="0" xfId="0" applyFont="1" applyFill="1" applyBorder="1" applyAlignment="1">
      <alignment horizontal="center" vertical="center"/>
    </xf>
    <xf numFmtId="3" fontId="24" fillId="0" borderId="0" xfId="0" applyNumberFormat="1" applyFont="1" applyAlignment="1">
      <alignment horizontal="right"/>
    </xf>
    <xf numFmtId="0" fontId="52" fillId="0" borderId="0" xfId="0" applyFont="1" applyBorder="1" applyAlignment="1">
      <alignment horizontal="center"/>
    </xf>
    <xf numFmtId="0" fontId="117" fillId="0" borderId="0" xfId="0" applyFont="1" applyAlignment="1" applyProtection="1">
      <alignment horizontal="center"/>
    </xf>
    <xf numFmtId="37" fontId="6" fillId="5" borderId="28" xfId="0" applyNumberFormat="1" applyFont="1" applyFill="1" applyBorder="1" applyAlignment="1" applyProtection="1">
      <alignment horizontal="center"/>
      <protection locked="0"/>
    </xf>
    <xf numFmtId="37" fontId="0" fillId="0" borderId="8" xfId="0" applyNumberFormat="1" applyBorder="1" applyAlignment="1">
      <alignment horizontal="center"/>
    </xf>
    <xf numFmtId="37" fontId="0" fillId="0" borderId="44" xfId="0" applyNumberFormat="1" applyBorder="1" applyAlignment="1">
      <alignment horizontal="center"/>
    </xf>
    <xf numFmtId="0" fontId="0" fillId="0" borderId="44" xfId="0" applyBorder="1"/>
    <xf numFmtId="0" fontId="6" fillId="0" borderId="22" xfId="0" applyFont="1" applyBorder="1" applyAlignment="1">
      <alignment horizontal="center"/>
    </xf>
    <xf numFmtId="37" fontId="0" fillId="0" borderId="44" xfId="0" applyNumberFormat="1" applyBorder="1"/>
    <xf numFmtId="37" fontId="6" fillId="5" borderId="20" xfId="0" quotePrefix="1" applyNumberFormat="1" applyFont="1" applyFill="1" applyBorder="1" applyAlignment="1" applyProtection="1">
      <alignment horizontal="center"/>
      <protection locked="0"/>
    </xf>
    <xf numFmtId="37" fontId="6" fillId="5" borderId="34" xfId="0" quotePrefix="1" applyNumberFormat="1" applyFont="1" applyFill="1" applyBorder="1" applyAlignment="1" applyProtection="1">
      <alignment horizontal="center"/>
      <protection locked="0"/>
    </xf>
    <xf numFmtId="0" fontId="15" fillId="0" borderId="8" xfId="0" applyFont="1" applyBorder="1" applyAlignment="1">
      <alignment horizontal="left"/>
    </xf>
    <xf numFmtId="0" fontId="82" fillId="0" borderId="22" xfId="0" applyFont="1" applyBorder="1" applyAlignment="1">
      <alignment horizontal="center"/>
    </xf>
    <xf numFmtId="0" fontId="0" fillId="0" borderId="8" xfId="0" applyBorder="1" applyAlignment="1">
      <alignment horizontal="right"/>
    </xf>
    <xf numFmtId="170" fontId="41" fillId="0" borderId="22" xfId="1" applyNumberFormat="1" applyFont="1" applyBorder="1" applyAlignment="1">
      <alignment horizontal="left"/>
    </xf>
    <xf numFmtId="164" fontId="57" fillId="0" borderId="0" xfId="3" applyNumberFormat="1" applyFont="1" applyFill="1"/>
    <xf numFmtId="3" fontId="57" fillId="0" borderId="0" xfId="0" applyNumberFormat="1" applyFont="1" applyAlignment="1">
      <alignment horizontal="right"/>
    </xf>
    <xf numFmtId="164" fontId="57" fillId="0" borderId="0" xfId="3" applyNumberFormat="1" applyFont="1" applyAlignment="1">
      <alignment horizontal="right"/>
    </xf>
    <xf numFmtId="164" fontId="57" fillId="0" borderId="0" xfId="3" applyNumberFormat="1" applyFont="1"/>
    <xf numFmtId="164" fontId="123" fillId="0" borderId="0" xfId="3" applyNumberFormat="1" applyFont="1"/>
    <xf numFmtId="37" fontId="57" fillId="0" borderId="0" xfId="0" applyNumberFormat="1" applyFont="1"/>
    <xf numFmtId="3" fontId="123" fillId="0" borderId="0" xfId="0" applyNumberFormat="1" applyFont="1"/>
    <xf numFmtId="164" fontId="57" fillId="0" borderId="0" xfId="3" applyNumberFormat="1" applyFont="1" applyBorder="1" applyAlignment="1">
      <alignment horizontal="right"/>
    </xf>
    <xf numFmtId="0" fontId="98" fillId="0" borderId="0" xfId="0" applyFont="1" applyBorder="1" applyAlignment="1">
      <alignment horizontal="center" vertical="center"/>
    </xf>
    <xf numFmtId="170" fontId="4" fillId="0" borderId="21" xfId="1" applyNumberFormat="1" applyFont="1" applyBorder="1" applyProtection="1"/>
    <xf numFmtId="37" fontId="4" fillId="0" borderId="66" xfId="0" applyNumberFormat="1" applyFont="1" applyBorder="1"/>
    <xf numFmtId="37" fontId="0" fillId="5" borderId="47" xfId="0" applyNumberFormat="1" applyFill="1" applyBorder="1" applyProtection="1">
      <protection locked="0"/>
    </xf>
    <xf numFmtId="37" fontId="4" fillId="0" borderId="26" xfId="0" applyNumberFormat="1" applyFont="1" applyBorder="1"/>
    <xf numFmtId="0" fontId="12" fillId="0" borderId="0" xfId="0" quotePrefix="1" applyFont="1" applyBorder="1" applyAlignment="1" applyProtection="1">
      <alignment horizontal="center"/>
      <protection locked="0"/>
    </xf>
    <xf numFmtId="0" fontId="6" fillId="0" borderId="0" xfId="0" applyFont="1" applyBorder="1" applyAlignment="1">
      <alignment horizontal="center"/>
    </xf>
    <xf numFmtId="0" fontId="128" fillId="0" borderId="0" xfId="0" applyFont="1" applyAlignment="1"/>
    <xf numFmtId="0" fontId="128" fillId="0" borderId="0" xfId="0" applyFont="1" applyFill="1"/>
    <xf numFmtId="0" fontId="129" fillId="0" borderId="0" xfId="0" applyFont="1" applyAlignment="1">
      <alignment horizontal="left"/>
    </xf>
    <xf numFmtId="10" fontId="5" fillId="0" borderId="0" xfId="3" applyNumberFormat="1" applyFont="1"/>
    <xf numFmtId="0" fontId="129" fillId="0" borderId="0" xfId="0" applyFont="1" applyAlignment="1">
      <alignment horizontal="center"/>
    </xf>
    <xf numFmtId="0" fontId="91" fillId="0" borderId="61" xfId="0" applyFont="1" applyBorder="1" applyAlignment="1" applyProtection="1">
      <alignment horizontal="center"/>
      <protection locked="0"/>
    </xf>
    <xf numFmtId="0" fontId="91" fillId="0" borderId="0" xfId="0" applyFont="1" applyBorder="1" applyAlignment="1" applyProtection="1">
      <alignment horizontal="center"/>
      <protection locked="0"/>
    </xf>
    <xf numFmtId="0" fontId="91" fillId="0" borderId="60" xfId="0" applyFont="1" applyBorder="1" applyAlignment="1" applyProtection="1">
      <alignment horizontal="center"/>
      <protection locked="0"/>
    </xf>
    <xf numFmtId="0" fontId="0" fillId="0" borderId="67" xfId="0" applyBorder="1"/>
    <xf numFmtId="0" fontId="6" fillId="0" borderId="0" xfId="0" applyFont="1" applyBorder="1" applyAlignment="1" applyProtection="1">
      <alignment horizontal="right"/>
    </xf>
    <xf numFmtId="10" fontId="4" fillId="0" borderId="42" xfId="3" applyNumberFormat="1" applyFont="1" applyBorder="1" applyProtection="1"/>
    <xf numFmtId="37" fontId="4" fillId="0" borderId="61" xfId="0" applyNumberFormat="1" applyFont="1" applyBorder="1" applyProtection="1"/>
    <xf numFmtId="37" fontId="4" fillId="0" borderId="62" xfId="0" applyNumberFormat="1" applyFont="1" applyBorder="1" applyAlignment="1" applyProtection="1"/>
    <xf numFmtId="0" fontId="6" fillId="0" borderId="0" xfId="0" applyFont="1" applyFill="1" applyBorder="1" applyAlignment="1" applyProtection="1">
      <alignment horizontal="left"/>
    </xf>
    <xf numFmtId="0" fontId="6" fillId="0" borderId="0" xfId="0" applyFont="1" applyFill="1" applyBorder="1" applyAlignment="1" applyProtection="1"/>
    <xf numFmtId="0" fontId="23" fillId="0" borderId="0" xfId="0" applyFont="1" applyFill="1" applyBorder="1" applyAlignment="1" applyProtection="1"/>
    <xf numFmtId="0" fontId="6" fillId="0" borderId="0" xfId="0" applyFont="1" applyAlignment="1">
      <alignment horizontal="center"/>
    </xf>
    <xf numFmtId="37" fontId="91" fillId="0" borderId="0" xfId="0" applyNumberFormat="1" applyFont="1" applyAlignment="1" applyProtection="1">
      <alignment horizontal="center"/>
      <protection locked="0"/>
    </xf>
    <xf numFmtId="37" fontId="91" fillId="0" borderId="1" xfId="0" applyNumberFormat="1" applyFont="1" applyBorder="1" applyAlignment="1" applyProtection="1">
      <alignment horizontal="center"/>
      <protection locked="0"/>
    </xf>
    <xf numFmtId="0" fontId="82" fillId="0" borderId="0" xfId="0" applyFont="1" applyAlignment="1">
      <alignment horizontal="center"/>
    </xf>
    <xf numFmtId="37" fontId="82" fillId="0" borderId="0" xfId="0" applyNumberFormat="1" applyFont="1" applyAlignment="1">
      <alignment horizontal="center"/>
    </xf>
    <xf numFmtId="9" fontId="6" fillId="0" borderId="0" xfId="3" applyFont="1" applyAlignment="1">
      <alignment horizontal="left"/>
    </xf>
    <xf numFmtId="164" fontId="6" fillId="0" borderId="0" xfId="3" applyNumberFormat="1" applyFont="1" applyAlignment="1">
      <alignment horizontal="left"/>
    </xf>
    <xf numFmtId="0" fontId="24" fillId="0" borderId="1" xfId="0" applyFont="1" applyFill="1" applyBorder="1" applyAlignment="1"/>
    <xf numFmtId="0" fontId="2" fillId="0" borderId="0" xfId="0" applyFont="1" applyFill="1" applyAlignment="1">
      <alignment horizontal="right"/>
    </xf>
    <xf numFmtId="0" fontId="33" fillId="10" borderId="0" xfId="0" applyFont="1" applyFill="1" applyAlignment="1">
      <alignment horizontal="center"/>
    </xf>
    <xf numFmtId="0" fontId="11" fillId="10" borderId="0" xfId="0" applyFont="1" applyFill="1" applyAlignment="1">
      <alignment horizontal="center"/>
    </xf>
    <xf numFmtId="49" fontId="11" fillId="10" borderId="0" xfId="0" applyNumberFormat="1" applyFont="1" applyFill="1" applyAlignment="1">
      <alignment horizontal="center"/>
    </xf>
    <xf numFmtId="0" fontId="6" fillId="10" borderId="0" xfId="0" applyFont="1" applyFill="1" applyAlignment="1">
      <alignment horizontal="center"/>
    </xf>
    <xf numFmtId="49" fontId="2" fillId="0" borderId="0" xfId="0" applyNumberFormat="1" applyFont="1" applyBorder="1"/>
    <xf numFmtId="164" fontId="131" fillId="0" borderId="0" xfId="0" applyNumberFormat="1" applyFont="1" applyFill="1" applyBorder="1"/>
    <xf numFmtId="0" fontId="48" fillId="0" borderId="0" xfId="0" applyFont="1" applyAlignment="1" applyProtection="1">
      <alignment horizontal="right"/>
    </xf>
    <xf numFmtId="170" fontId="0" fillId="0" borderId="0" xfId="1" applyNumberFormat="1" applyFont="1" applyBorder="1" applyAlignment="1"/>
    <xf numFmtId="165" fontId="2" fillId="0" borderId="44" xfId="0" applyNumberFormat="1" applyFont="1" applyFill="1" applyBorder="1" applyAlignment="1">
      <alignment horizontal="center"/>
    </xf>
    <xf numFmtId="170" fontId="2" fillId="0" borderId="0" xfId="1" applyNumberFormat="1" applyFont="1" applyBorder="1" applyAlignment="1"/>
    <xf numFmtId="170" fontId="2" fillId="0" borderId="0" xfId="1" applyNumberFormat="1" applyFont="1" applyBorder="1" applyAlignment="1">
      <alignment horizontal="right"/>
    </xf>
    <xf numFmtId="0" fontId="129" fillId="0" borderId="0" xfId="0" applyFont="1" applyAlignment="1">
      <alignment horizontal="right"/>
    </xf>
    <xf numFmtId="49" fontId="2" fillId="0" borderId="0" xfId="1" applyNumberFormat="1" applyFont="1" applyFill="1" applyBorder="1" applyAlignment="1">
      <alignment horizontal="left"/>
    </xf>
    <xf numFmtId="0" fontId="45" fillId="0" borderId="0" xfId="0" applyFont="1" applyAlignment="1" applyProtection="1">
      <alignment horizontal="right" vertical="center"/>
      <protection locked="0"/>
    </xf>
    <xf numFmtId="0" fontId="128" fillId="0" borderId="0" xfId="0" applyFont="1" applyProtection="1">
      <protection locked="0"/>
    </xf>
    <xf numFmtId="170" fontId="4" fillId="0" borderId="14" xfId="1" applyNumberFormat="1" applyFont="1" applyBorder="1" applyProtection="1"/>
    <xf numFmtId="170" fontId="4" fillId="0" borderId="12" xfId="1" applyNumberFormat="1" applyFont="1" applyBorder="1" applyProtection="1"/>
    <xf numFmtId="0" fontId="132" fillId="3" borderId="7" xfId="0" applyFont="1" applyFill="1" applyBorder="1" applyAlignment="1"/>
    <xf numFmtId="0" fontId="133" fillId="0" borderId="0" xfId="0" applyFont="1"/>
    <xf numFmtId="0" fontId="133" fillId="0" borderId="0" xfId="0" applyFont="1" applyBorder="1"/>
    <xf numFmtId="0" fontId="133" fillId="7" borderId="0" xfId="3" applyNumberFormat="1" applyFont="1" applyFill="1" applyAlignment="1">
      <alignment horizontal="center"/>
    </xf>
    <xf numFmtId="3" fontId="133" fillId="0" borderId="0" xfId="0" applyNumberFormat="1" applyFont="1" applyFill="1"/>
    <xf numFmtId="0" fontId="134" fillId="0" borderId="0" xfId="0" applyFont="1"/>
    <xf numFmtId="0" fontId="133" fillId="0" borderId="0" xfId="0" applyFont="1" applyFill="1"/>
    <xf numFmtId="0" fontId="135" fillId="0" borderId="0" xfId="3" applyNumberFormat="1" applyFont="1" applyFill="1" applyAlignment="1">
      <alignment horizontal="center"/>
    </xf>
    <xf numFmtId="0" fontId="133" fillId="7" borderId="0" xfId="0" applyFont="1" applyFill="1" applyAlignment="1">
      <alignment horizontal="center"/>
    </xf>
    <xf numFmtId="9" fontId="9" fillId="0" borderId="0" xfId="3" applyNumberFormat="1" applyFont="1" applyBorder="1" applyAlignment="1">
      <alignment horizontal="center"/>
    </xf>
    <xf numFmtId="9" fontId="9" fillId="0" borderId="26" xfId="3" applyNumberFormat="1" applyFont="1" applyBorder="1" applyAlignment="1">
      <alignment horizontal="center"/>
    </xf>
    <xf numFmtId="9" fontId="9" fillId="0" borderId="0" xfId="3" applyNumberFormat="1" applyFont="1"/>
    <xf numFmtId="9" fontId="6" fillId="5" borderId="4" xfId="3" applyNumberFormat="1" applyFont="1" applyFill="1" applyBorder="1" applyAlignment="1" applyProtection="1">
      <alignment horizontal="right"/>
      <protection locked="0"/>
    </xf>
    <xf numFmtId="0" fontId="133" fillId="9" borderId="0" xfId="0" applyFont="1" applyFill="1" applyAlignment="1">
      <alignment horizontal="center"/>
    </xf>
    <xf numFmtId="0" fontId="24" fillId="0" borderId="1" xfId="0" applyFont="1" applyFill="1" applyBorder="1" applyAlignment="1">
      <alignment horizontal="right"/>
    </xf>
    <xf numFmtId="172" fontId="35" fillId="0" borderId="0" xfId="0" quotePrefix="1" applyNumberFormat="1" applyFont="1" applyAlignment="1">
      <alignment horizontal="center"/>
    </xf>
    <xf numFmtId="37" fontId="2" fillId="0" borderId="0" xfId="0" applyNumberFormat="1" applyFont="1" applyAlignment="1">
      <alignment horizontal="right"/>
    </xf>
    <xf numFmtId="0" fontId="41" fillId="0" borderId="22" xfId="0" applyFont="1" applyBorder="1" applyAlignment="1" applyProtection="1"/>
    <xf numFmtId="0" fontId="136" fillId="0" borderId="0" xfId="0" applyFont="1" applyBorder="1" applyAlignment="1">
      <alignment horizontal="right"/>
    </xf>
    <xf numFmtId="0" fontId="129" fillId="0" borderId="0" xfId="0" applyFont="1"/>
    <xf numFmtId="37" fontId="50" fillId="0" borderId="1" xfId="0" applyNumberFormat="1" applyFont="1" applyBorder="1" applyAlignment="1">
      <alignment horizontal="center"/>
    </xf>
    <xf numFmtId="37" fontId="52" fillId="0" borderId="0" xfId="0" applyNumberFormat="1" applyFont="1" applyFill="1" applyBorder="1" applyAlignment="1">
      <alignment horizontal="center" vertical="center"/>
    </xf>
    <xf numFmtId="9" fontId="2" fillId="0" borderId="0" xfId="3" applyFont="1"/>
    <xf numFmtId="0" fontId="137" fillId="0" borderId="0" xfId="0" applyFont="1" applyBorder="1" applyAlignment="1">
      <alignment horizontal="left"/>
    </xf>
    <xf numFmtId="0" fontId="82" fillId="0" borderId="47" xfId="0" applyFont="1" applyBorder="1" applyAlignment="1">
      <alignment horizontal="left" vertical="center"/>
    </xf>
    <xf numFmtId="49" fontId="15" fillId="0" borderId="0" xfId="1" applyNumberFormat="1" applyFont="1" applyFill="1" applyAlignment="1">
      <alignment horizontal="left"/>
    </xf>
    <xf numFmtId="37" fontId="0" fillId="5" borderId="1" xfId="0" applyNumberFormat="1" applyFill="1" applyBorder="1" applyProtection="1">
      <protection locked="0"/>
    </xf>
    <xf numFmtId="170" fontId="4" fillId="0" borderId="0" xfId="1" applyNumberFormat="1" applyFont="1" applyBorder="1" applyAlignment="1" applyProtection="1">
      <alignment horizontal="center"/>
    </xf>
    <xf numFmtId="0" fontId="133" fillId="9" borderId="0" xfId="0" applyFont="1" applyFill="1" applyBorder="1" applyAlignment="1">
      <alignment horizontal="center"/>
    </xf>
    <xf numFmtId="3" fontId="9" fillId="0" borderId="0" xfId="0" applyNumberFormat="1" applyFont="1" applyFill="1" applyBorder="1" applyAlignment="1">
      <alignment horizontal="center"/>
    </xf>
    <xf numFmtId="164" fontId="2" fillId="0" borderId="0" xfId="3" applyNumberFormat="1" applyFont="1" applyBorder="1" applyAlignment="1">
      <alignment horizontal="right"/>
    </xf>
    <xf numFmtId="164" fontId="2" fillId="0" borderId="0" xfId="0" applyNumberFormat="1" applyFont="1" applyFill="1" applyBorder="1" applyAlignment="1">
      <alignment horizontal="right"/>
    </xf>
    <xf numFmtId="3" fontId="23" fillId="0" borderId="0" xfId="0" applyNumberFormat="1" applyFont="1" applyFill="1" applyBorder="1" applyAlignment="1">
      <alignment horizontal="center"/>
    </xf>
    <xf numFmtId="3" fontId="24" fillId="0" borderId="0" xfId="0" applyNumberFormat="1" applyFont="1" applyBorder="1" applyAlignment="1">
      <alignment horizontal="right"/>
    </xf>
    <xf numFmtId="0" fontId="3" fillId="0" borderId="0" xfId="0" applyFont="1" applyFill="1" applyBorder="1" applyAlignment="1"/>
    <xf numFmtId="164" fontId="2" fillId="0" borderId="0" xfId="3" applyNumberFormat="1" applyFont="1" applyAlignment="1">
      <alignment horizontal="right"/>
    </xf>
    <xf numFmtId="37" fontId="10" fillId="0" borderId="0" xfId="0" applyNumberFormat="1" applyFont="1" applyProtection="1">
      <protection locked="0"/>
    </xf>
    <xf numFmtId="49" fontId="2" fillId="0" borderId="0" xfId="1" applyNumberFormat="1" applyFont="1" applyAlignment="1">
      <alignment horizontal="right"/>
    </xf>
    <xf numFmtId="37" fontId="6" fillId="0" borderId="0" xfId="0" applyNumberFormat="1" applyFont="1" applyFill="1" applyBorder="1" applyAlignment="1" applyProtection="1">
      <alignment horizontal="right"/>
    </xf>
    <xf numFmtId="164" fontId="5" fillId="0" borderId="0" xfId="3" applyNumberFormat="1" applyFont="1" applyFill="1"/>
    <xf numFmtId="170" fontId="4" fillId="0" borderId="0" xfId="1" quotePrefix="1" applyNumberFormat="1" applyFont="1" applyFill="1" applyBorder="1" applyAlignment="1">
      <alignment horizontal="center"/>
    </xf>
    <xf numFmtId="37" fontId="6" fillId="5" borderId="0" xfId="0" applyNumberFormat="1" applyFont="1" applyFill="1" applyBorder="1" applyAlignment="1" applyProtection="1">
      <alignment horizontal="right"/>
      <protection locked="0"/>
    </xf>
    <xf numFmtId="37" fontId="2" fillId="0" borderId="0" xfId="0" applyNumberFormat="1" applyFont="1" applyFill="1" applyBorder="1" applyProtection="1"/>
    <xf numFmtId="39" fontId="6" fillId="0" borderId="0" xfId="0" applyNumberFormat="1" applyFont="1" applyFill="1" applyBorder="1" applyAlignment="1" applyProtection="1">
      <alignment horizontal="right"/>
      <protection locked="0"/>
    </xf>
    <xf numFmtId="175" fontId="6" fillId="0" borderId="0" xfId="0" applyNumberFormat="1" applyFont="1" applyFill="1" applyBorder="1" applyAlignment="1" applyProtection="1">
      <alignment horizontal="center"/>
    </xf>
    <xf numFmtId="37" fontId="6" fillId="0" borderId="0" xfId="0" applyNumberFormat="1" applyFont="1" applyFill="1" applyBorder="1" applyProtection="1">
      <protection locked="0"/>
    </xf>
    <xf numFmtId="0" fontId="138" fillId="0" borderId="0" xfId="0" applyFont="1"/>
    <xf numFmtId="0" fontId="139" fillId="0" borderId="0" xfId="0" applyFont="1"/>
    <xf numFmtId="171" fontId="139" fillId="0" borderId="0" xfId="0" applyNumberFormat="1" applyFont="1"/>
    <xf numFmtId="176" fontId="139" fillId="0" borderId="0" xfId="0" applyNumberFormat="1" applyFont="1"/>
    <xf numFmtId="0" fontId="2" fillId="0" borderId="0" xfId="0" applyFont="1" applyFill="1" applyBorder="1" applyAlignment="1"/>
    <xf numFmtId="0" fontId="2" fillId="0" borderId="0" xfId="1" applyNumberFormat="1" applyFont="1" applyAlignment="1">
      <alignment horizontal="left"/>
    </xf>
    <xf numFmtId="0" fontId="0" fillId="0" borderId="0" xfId="0" applyFont="1" applyFill="1"/>
    <xf numFmtId="0" fontId="6" fillId="0" borderId="0" xfId="0" applyFont="1" applyAlignment="1">
      <alignment vertical="center"/>
    </xf>
    <xf numFmtId="39" fontId="6" fillId="0" borderId="24" xfId="0" applyNumberFormat="1" applyFont="1" applyFill="1" applyBorder="1" applyAlignment="1" applyProtection="1">
      <alignment horizontal="right"/>
      <protection locked="0"/>
    </xf>
    <xf numFmtId="37" fontId="0" fillId="0" borderId="22" xfId="0" applyNumberFormat="1" applyFill="1" applyBorder="1"/>
    <xf numFmtId="37" fontId="139" fillId="0" borderId="0" xfId="0" applyNumberFormat="1" applyFont="1" applyFill="1" applyBorder="1"/>
    <xf numFmtId="37" fontId="139" fillId="0" borderId="0" xfId="0" applyNumberFormat="1" applyFont="1" applyFill="1"/>
    <xf numFmtId="37" fontId="6" fillId="5" borderId="4" xfId="0" quotePrefix="1" applyNumberFormat="1" applyFont="1" applyFill="1" applyBorder="1" applyAlignment="1" applyProtection="1">
      <alignment horizontal="right"/>
      <protection locked="0"/>
    </xf>
    <xf numFmtId="37" fontId="0" fillId="5" borderId="68" xfId="0" applyNumberFormat="1" applyFill="1" applyBorder="1" applyProtection="1">
      <protection locked="0"/>
    </xf>
    <xf numFmtId="37" fontId="0" fillId="5" borderId="69" xfId="0" applyNumberFormat="1" applyFill="1" applyBorder="1" applyProtection="1">
      <protection locked="0"/>
    </xf>
    <xf numFmtId="0" fontId="6" fillId="0" borderId="0" xfId="0" applyFont="1" applyAlignment="1">
      <alignment horizontal="center"/>
    </xf>
    <xf numFmtId="0" fontId="140" fillId="0" borderId="0" xfId="0" applyFont="1" applyFill="1" applyBorder="1"/>
    <xf numFmtId="165" fontId="12" fillId="0" borderId="0" xfId="1" quotePrefix="1" applyNumberFormat="1" applyFont="1" applyBorder="1" applyAlignment="1">
      <alignment horizontal="right"/>
    </xf>
    <xf numFmtId="0" fontId="141" fillId="0" borderId="0" xfId="0" applyFont="1" applyAlignment="1">
      <alignment horizontal="right"/>
    </xf>
    <xf numFmtId="37" fontId="20" fillId="0" borderId="0" xfId="0" applyNumberFormat="1" applyFont="1" applyFill="1" applyBorder="1"/>
    <xf numFmtId="37" fontId="2" fillId="0" borderId="0" xfId="0" applyNumberFormat="1" applyFont="1" applyFill="1" applyBorder="1" applyAlignment="1" applyProtection="1">
      <alignment horizontal="right"/>
    </xf>
    <xf numFmtId="0" fontId="48" fillId="0" borderId="0" xfId="0" applyFont="1" applyAlignment="1">
      <alignment horizontal="left"/>
    </xf>
    <xf numFmtId="49" fontId="2" fillId="0" borderId="0" xfId="1" applyNumberFormat="1" applyFont="1" applyAlignment="1"/>
    <xf numFmtId="0" fontId="142" fillId="0" borderId="0" xfId="0" applyFont="1" applyBorder="1" applyAlignment="1">
      <alignment horizontal="left"/>
    </xf>
    <xf numFmtId="9" fontId="6" fillId="5" borderId="4" xfId="3" applyNumberFormat="1" applyFont="1" applyFill="1" applyBorder="1" applyAlignment="1" applyProtection="1">
      <alignment horizontal="center"/>
      <protection locked="0"/>
    </xf>
    <xf numFmtId="3" fontId="140" fillId="0" borderId="0" xfId="0" applyNumberFormat="1" applyFont="1" applyFill="1" applyAlignment="1">
      <alignment horizontal="right"/>
    </xf>
    <xf numFmtId="0" fontId="140" fillId="0" borderId="0" xfId="0" applyFont="1" applyBorder="1" applyAlignment="1">
      <alignment horizontal="left"/>
    </xf>
    <xf numFmtId="165" fontId="6" fillId="6" borderId="70" xfId="0" applyNumberFormat="1" applyFont="1" applyFill="1" applyBorder="1" applyAlignment="1" applyProtection="1">
      <alignment horizontal="center"/>
      <protection locked="0"/>
    </xf>
    <xf numFmtId="165" fontId="6" fillId="6" borderId="72" xfId="0" applyNumberFormat="1" applyFont="1" applyFill="1" applyBorder="1" applyAlignment="1" applyProtection="1">
      <alignment horizontal="center"/>
      <protection locked="0"/>
    </xf>
    <xf numFmtId="0" fontId="2" fillId="0" borderId="0" xfId="0" quotePrefix="1" applyFont="1"/>
    <xf numFmtId="16" fontId="2" fillId="0" borderId="0" xfId="0" quotePrefix="1" applyNumberFormat="1" applyFont="1" applyBorder="1" applyAlignment="1">
      <alignment horizontal="center"/>
    </xf>
    <xf numFmtId="0" fontId="2" fillId="0" borderId="0" xfId="0" applyNumberFormat="1" applyFont="1" applyAlignment="1">
      <alignment horizontal="left" vertical="center" wrapText="1"/>
    </xf>
    <xf numFmtId="0" fontId="6" fillId="0" borderId="0" xfId="0" applyFont="1" applyAlignment="1">
      <alignment horizontal="center"/>
    </xf>
    <xf numFmtId="0" fontId="143" fillId="0" borderId="0" xfId="0" applyFont="1" applyAlignment="1">
      <alignment horizontal="right"/>
    </xf>
    <xf numFmtId="37" fontId="4" fillId="0" borderId="0" xfId="0" applyNumberFormat="1" applyFont="1" applyFill="1" applyBorder="1" applyAlignment="1" applyProtection="1"/>
    <xf numFmtId="0" fontId="0" fillId="0" borderId="0" xfId="0" applyFont="1" applyAlignment="1">
      <alignment horizontal="right"/>
    </xf>
    <xf numFmtId="37" fontId="0" fillId="0" borderId="0" xfId="0" applyNumberFormat="1" applyFill="1" applyProtection="1"/>
    <xf numFmtId="37" fontId="4" fillId="0" borderId="0" xfId="0" applyNumberFormat="1" applyFont="1" applyFill="1" applyProtection="1"/>
    <xf numFmtId="0" fontId="0" fillId="0" borderId="0" xfId="0" applyFill="1" applyProtection="1"/>
    <xf numFmtId="0" fontId="144" fillId="0" borderId="0" xfId="0" applyFont="1" applyAlignment="1">
      <alignment horizontal="right"/>
    </xf>
    <xf numFmtId="37" fontId="129" fillId="0" borderId="0" xfId="0" applyNumberFormat="1" applyFont="1" applyFill="1" applyBorder="1" applyAlignment="1" applyProtection="1">
      <alignment horizontal="right"/>
      <protection locked="0"/>
    </xf>
    <xf numFmtId="37" fontId="129" fillId="0" borderId="0" xfId="0" applyNumberFormat="1" applyFont="1" applyFill="1" applyAlignment="1">
      <alignment horizontal="center"/>
    </xf>
    <xf numFmtId="0" fontId="6" fillId="0" borderId="1" xfId="0" applyFont="1" applyBorder="1" applyAlignment="1">
      <alignment horizontal="center"/>
    </xf>
    <xf numFmtId="0" fontId="6" fillId="0" borderId="0" xfId="0" applyFont="1" applyBorder="1" applyAlignment="1">
      <alignment horizontal="center"/>
    </xf>
    <xf numFmtId="0" fontId="6" fillId="0" borderId="0" xfId="0" applyFont="1" applyAlignment="1">
      <alignment horizontal="center"/>
    </xf>
    <xf numFmtId="0" fontId="0" fillId="0" borderId="73" xfId="0" applyBorder="1"/>
    <xf numFmtId="37" fontId="0" fillId="5" borderId="74" xfId="0" applyNumberFormat="1" applyFill="1" applyBorder="1" applyProtection="1">
      <protection locked="0"/>
    </xf>
    <xf numFmtId="37" fontId="48" fillId="0" borderId="75" xfId="0" applyNumberFormat="1" applyFont="1" applyBorder="1"/>
    <xf numFmtId="0" fontId="0" fillId="0" borderId="76" xfId="0" applyBorder="1"/>
    <xf numFmtId="165" fontId="24" fillId="5" borderId="77" xfId="0" applyNumberFormat="1" applyFont="1" applyFill="1" applyBorder="1" applyAlignment="1" applyProtection="1">
      <alignment horizontal="center"/>
      <protection locked="0"/>
    </xf>
    <xf numFmtId="0" fontId="2" fillId="0" borderId="0" xfId="0" quotePrefix="1" applyFont="1" applyAlignment="1">
      <alignment horizontal="right"/>
    </xf>
    <xf numFmtId="0" fontId="2" fillId="0" borderId="0" xfId="0" applyFont="1" applyAlignment="1">
      <alignment horizontal="left" vertical="center" indent="1"/>
    </xf>
    <xf numFmtId="37" fontId="0" fillId="0" borderId="43" xfId="0" applyNumberFormat="1" applyBorder="1" applyAlignment="1">
      <alignment horizontal="center"/>
    </xf>
    <xf numFmtId="0" fontId="6" fillId="0" borderId="0" xfId="0" applyFont="1" applyAlignment="1" applyProtection="1">
      <alignment horizontal="center"/>
    </xf>
    <xf numFmtId="0" fontId="48" fillId="0" borderId="45" xfId="0" applyFont="1" applyBorder="1" applyAlignment="1">
      <alignment horizontal="center"/>
    </xf>
    <xf numFmtId="164" fontId="2" fillId="0" borderId="0" xfId="3" applyNumberFormat="1" applyFont="1" applyFill="1"/>
    <xf numFmtId="0" fontId="2" fillId="0" borderId="0" xfId="0" applyFont="1" applyBorder="1" applyAlignment="1">
      <alignment horizontal="center"/>
    </xf>
    <xf numFmtId="0" fontId="2" fillId="15" borderId="0" xfId="0" applyFont="1" applyFill="1" applyBorder="1" applyProtection="1">
      <protection locked="0"/>
    </xf>
    <xf numFmtId="0" fontId="2" fillId="15" borderId="0" xfId="0" applyFont="1" applyFill="1" applyAlignment="1" applyProtection="1">
      <alignment horizontal="left"/>
      <protection locked="0"/>
    </xf>
    <xf numFmtId="3" fontId="2" fillId="15" borderId="0" xfId="0" applyNumberFormat="1" applyFont="1" applyFill="1" applyProtection="1">
      <protection locked="0"/>
    </xf>
    <xf numFmtId="37" fontId="2" fillId="15" borderId="0" xfId="0" applyNumberFormat="1" applyFont="1" applyFill="1" applyBorder="1" applyProtection="1">
      <protection locked="0"/>
    </xf>
    <xf numFmtId="3" fontId="48" fillId="15" borderId="0" xfId="0" applyNumberFormat="1" applyFont="1" applyFill="1" applyAlignment="1" applyProtection="1">
      <alignment horizontal="center"/>
      <protection locked="0"/>
    </xf>
    <xf numFmtId="0" fontId="128" fillId="0" borderId="0" xfId="0" applyFont="1" applyAlignment="1">
      <alignment horizontal="right"/>
    </xf>
    <xf numFmtId="0" fontId="2" fillId="0" borderId="0" xfId="0" applyFont="1" applyFill="1" applyBorder="1" applyAlignment="1">
      <alignment horizontal="right"/>
    </xf>
    <xf numFmtId="37" fontId="9" fillId="0" borderId="0" xfId="0" applyNumberFormat="1" applyFont="1" applyProtection="1"/>
    <xf numFmtId="0" fontId="6" fillId="0" borderId="0" xfId="0" applyFont="1" applyBorder="1" applyAlignment="1">
      <alignment horizontal="left" vertical="center"/>
    </xf>
    <xf numFmtId="0" fontId="144" fillId="0" borderId="0" xfId="0" applyFont="1" applyFill="1" applyBorder="1" applyAlignment="1">
      <alignment horizontal="right"/>
    </xf>
    <xf numFmtId="0" fontId="131" fillId="0" borderId="0" xfId="0" applyFont="1"/>
    <xf numFmtId="0" fontId="45" fillId="0" borderId="8" xfId="0" applyFont="1" applyFill="1" applyBorder="1" applyAlignment="1"/>
    <xf numFmtId="0" fontId="129" fillId="0" borderId="0" xfId="0" applyFont="1" applyFill="1"/>
    <xf numFmtId="0" fontId="0" fillId="16" borderId="0" xfId="0" applyFill="1"/>
    <xf numFmtId="170" fontId="0" fillId="16" borderId="0" xfId="1" applyNumberFormat="1" applyFont="1" applyFill="1"/>
    <xf numFmtId="0" fontId="146" fillId="16" borderId="0" xfId="0" applyFont="1" applyFill="1"/>
    <xf numFmtId="0" fontId="128" fillId="0" borderId="0" xfId="0" applyFont="1" applyFill="1" applyAlignment="1">
      <alignment horizontal="center"/>
    </xf>
    <xf numFmtId="0" fontId="6" fillId="0" borderId="0" xfId="0" applyFont="1" applyAlignment="1">
      <alignment horizontal="center"/>
    </xf>
    <xf numFmtId="165" fontId="2" fillId="0" borderId="0" xfId="0" applyNumberFormat="1" applyFont="1" applyFill="1" applyBorder="1" applyAlignment="1" applyProtection="1">
      <alignment horizontal="right"/>
    </xf>
    <xf numFmtId="37" fontId="0" fillId="0" borderId="12" xfId="0" applyNumberFormat="1" applyBorder="1"/>
    <xf numFmtId="37" fontId="2" fillId="5" borderId="1" xfId="0" applyNumberFormat="1" applyFont="1" applyFill="1" applyBorder="1" applyProtection="1">
      <protection locked="0"/>
    </xf>
    <xf numFmtId="0" fontId="128" fillId="0" borderId="0" xfId="0" applyFont="1" applyFill="1" applyAlignment="1">
      <alignment horizontal="left"/>
    </xf>
    <xf numFmtId="0" fontId="18" fillId="0" borderId="0" xfId="2" applyBorder="1" applyAlignment="1" applyProtection="1"/>
    <xf numFmtId="3" fontId="6" fillId="0" borderId="0" xfId="0" applyNumberFormat="1" applyFont="1" applyFill="1" applyBorder="1" applyAlignment="1" applyProtection="1">
      <alignment horizontal="center" vertical="center"/>
      <protection locked="0"/>
    </xf>
    <xf numFmtId="37" fontId="4" fillId="0" borderId="2" xfId="0" applyNumberFormat="1" applyFont="1" applyBorder="1" applyProtection="1">
      <protection locked="0"/>
    </xf>
    <xf numFmtId="0" fontId="0" fillId="0" borderId="17" xfId="0" applyBorder="1" applyProtection="1">
      <protection locked="0"/>
    </xf>
    <xf numFmtId="37" fontId="4" fillId="0" borderId="3" xfId="0" applyNumberFormat="1" applyFont="1" applyBorder="1" applyProtection="1">
      <protection locked="0"/>
    </xf>
    <xf numFmtId="0" fontId="50" fillId="0" borderId="78" xfId="0" applyFont="1" applyBorder="1" applyAlignment="1">
      <alignment horizontal="center"/>
    </xf>
    <xf numFmtId="0" fontId="0" fillId="0" borderId="78" xfId="0" applyBorder="1"/>
    <xf numFmtId="0" fontId="147" fillId="5" borderId="38" xfId="0" applyFont="1" applyFill="1" applyBorder="1" applyAlignment="1" applyProtection="1">
      <alignment vertical="center"/>
      <protection locked="0"/>
    </xf>
    <xf numFmtId="0" fontId="148" fillId="0" borderId="0" xfId="0" applyFont="1" applyBorder="1"/>
    <xf numFmtId="0" fontId="50" fillId="0" borderId="5" xfId="0" applyFont="1" applyBorder="1" applyAlignment="1">
      <alignment horizontal="center" vertical="top"/>
    </xf>
    <xf numFmtId="0" fontId="0" fillId="0" borderId="0" xfId="0" applyAlignment="1">
      <alignment vertical="top"/>
    </xf>
    <xf numFmtId="164" fontId="4" fillId="0" borderId="0" xfId="3" applyNumberFormat="1" applyFont="1" applyFill="1" applyBorder="1" applyAlignment="1" applyProtection="1">
      <alignment horizontal="right" vertical="top"/>
    </xf>
    <xf numFmtId="0" fontId="0" fillId="0" borderId="0" xfId="0" applyAlignment="1" applyProtection="1">
      <alignment vertical="top"/>
    </xf>
    <xf numFmtId="165" fontId="4" fillId="0" borderId="0" xfId="0" applyNumberFormat="1" applyFont="1" applyFill="1" applyBorder="1" applyAlignment="1" applyProtection="1">
      <alignment horizontal="right" vertical="top"/>
    </xf>
    <xf numFmtId="164" fontId="6" fillId="0" borderId="0" xfId="3" applyNumberFormat="1" applyFont="1" applyFill="1" applyBorder="1" applyAlignment="1" applyProtection="1">
      <alignment horizontal="center" vertical="top"/>
    </xf>
    <xf numFmtId="0" fontId="24" fillId="0" borderId="0" xfId="0" applyFont="1" applyAlignment="1">
      <alignment horizontal="center" vertical="top"/>
    </xf>
    <xf numFmtId="0" fontId="24" fillId="0" borderId="5" xfId="0" applyFont="1" applyBorder="1" applyAlignment="1">
      <alignment horizontal="center" vertical="top"/>
    </xf>
    <xf numFmtId="0" fontId="35" fillId="0" borderId="0" xfId="0" applyFont="1" applyFill="1" applyBorder="1" applyAlignment="1">
      <alignment horizontal="right" vertical="top"/>
    </xf>
    <xf numFmtId="37" fontId="24" fillId="0" borderId="5" xfId="0" applyNumberFormat="1" applyFont="1" applyFill="1" applyBorder="1" applyAlignment="1" applyProtection="1">
      <alignment horizontal="center" vertical="top"/>
      <protection locked="0"/>
    </xf>
    <xf numFmtId="0" fontId="24" fillId="0" borderId="0" xfId="0" applyFont="1" applyBorder="1" applyAlignment="1">
      <alignment horizontal="center" vertical="top"/>
    </xf>
    <xf numFmtId="0" fontId="6" fillId="0" borderId="18" xfId="0" applyFont="1" applyBorder="1" applyAlignment="1">
      <alignment horizontal="center" vertical="top"/>
    </xf>
    <xf numFmtId="0" fontId="50" fillId="0" borderId="0" xfId="0" applyFont="1" applyBorder="1" applyAlignment="1">
      <alignment horizontal="center" vertical="top"/>
    </xf>
    <xf numFmtId="0" fontId="50" fillId="0" borderId="0" xfId="0" applyFont="1" applyAlignment="1">
      <alignment horizontal="center" vertical="top"/>
    </xf>
    <xf numFmtId="0" fontId="24" fillId="0" borderId="1" xfId="0" applyFont="1" applyBorder="1" applyAlignment="1">
      <alignment vertical="top"/>
    </xf>
    <xf numFmtId="0" fontId="50" fillId="0" borderId="45" xfId="0" applyFont="1" applyBorder="1" applyAlignment="1">
      <alignment horizontal="center" vertical="top"/>
    </xf>
    <xf numFmtId="165" fontId="24" fillId="0" borderId="1" xfId="0" applyNumberFormat="1" applyFont="1" applyFill="1" applyBorder="1" applyAlignment="1">
      <alignment vertical="top"/>
    </xf>
    <xf numFmtId="37" fontId="63" fillId="5" borderId="4" xfId="0" applyNumberFormat="1" applyFont="1" applyFill="1" applyBorder="1" applyAlignment="1" applyProtection="1">
      <alignment horizontal="center" vertical="center"/>
      <protection locked="0"/>
    </xf>
    <xf numFmtId="0" fontId="24" fillId="0" borderId="5" xfId="0" applyFont="1" applyFill="1" applyBorder="1" applyAlignment="1">
      <alignment horizontal="center" vertical="top"/>
    </xf>
    <xf numFmtId="37" fontId="6" fillId="0" borderId="0" xfId="0" applyNumberFormat="1" applyFont="1" applyFill="1" applyBorder="1" applyAlignment="1" applyProtection="1">
      <alignment horizontal="center" vertical="top"/>
    </xf>
    <xf numFmtId="0" fontId="50" fillId="0" borderId="1" xfId="0" applyFont="1" applyBorder="1" applyAlignment="1">
      <alignment vertical="top"/>
    </xf>
    <xf numFmtId="0" fontId="50" fillId="0" borderId="5" xfId="0" applyFont="1" applyBorder="1" applyAlignment="1">
      <alignment horizontal="left" vertical="top"/>
    </xf>
    <xf numFmtId="49" fontId="24" fillId="0" borderId="5" xfId="1" applyNumberFormat="1" applyFont="1" applyBorder="1" applyAlignment="1">
      <alignment horizontal="center" vertical="top"/>
    </xf>
    <xf numFmtId="0" fontId="24" fillId="0" borderId="0" xfId="0" applyFont="1" applyAlignment="1">
      <alignment horizontal="center" vertical="center"/>
    </xf>
    <xf numFmtId="0" fontId="50" fillId="0" borderId="0" xfId="0" applyFont="1" applyBorder="1" applyAlignment="1">
      <alignment horizontal="center" vertical="center"/>
    </xf>
    <xf numFmtId="0" fontId="50" fillId="0" borderId="5" xfId="0" applyFont="1" applyFill="1" applyBorder="1" applyAlignment="1">
      <alignment horizontal="center" vertical="top"/>
    </xf>
    <xf numFmtId="0" fontId="24" fillId="0" borderId="0" xfId="0" applyFont="1" applyBorder="1" applyAlignment="1">
      <alignment horizontal="left" vertical="center"/>
    </xf>
    <xf numFmtId="0" fontId="15" fillId="0" borderId="5" xfId="0" applyFont="1" applyBorder="1" applyAlignment="1">
      <alignment vertical="top"/>
    </xf>
    <xf numFmtId="0" fontId="24" fillId="0" borderId="38" xfId="0" applyFont="1" applyBorder="1" applyAlignment="1">
      <alignment horizontal="center" vertical="top"/>
    </xf>
    <xf numFmtId="0" fontId="24" fillId="0" borderId="9" xfId="0" applyFont="1" applyBorder="1" applyAlignment="1">
      <alignment horizontal="center" vertical="top"/>
    </xf>
    <xf numFmtId="0" fontId="24" fillId="0" borderId="10" xfId="0" applyFont="1" applyBorder="1" applyAlignment="1">
      <alignment horizontal="center" vertical="top"/>
    </xf>
    <xf numFmtId="0" fontId="24" fillId="0" borderId="0" xfId="0" applyFont="1" applyAlignment="1">
      <alignment vertical="top"/>
    </xf>
    <xf numFmtId="0" fontId="24" fillId="0" borderId="5" xfId="0" applyFont="1" applyBorder="1" applyAlignment="1">
      <alignment vertical="top"/>
    </xf>
    <xf numFmtId="37" fontId="24" fillId="0" borderId="5" xfId="0" applyNumberFormat="1" applyFont="1" applyBorder="1" applyAlignment="1">
      <alignment horizontal="left" vertical="top"/>
    </xf>
    <xf numFmtId="0" fontId="24" fillId="0" borderId="1" xfId="0" applyFont="1" applyBorder="1" applyAlignment="1">
      <alignment horizontal="center" vertical="top"/>
    </xf>
    <xf numFmtId="0" fontId="24" fillId="0" borderId="1" xfId="0" applyFont="1" applyFill="1" applyBorder="1" applyAlignment="1">
      <alignment horizontal="center" vertical="top"/>
    </xf>
    <xf numFmtId="0" fontId="24" fillId="0" borderId="5" xfId="0" applyFont="1" applyBorder="1" applyAlignment="1">
      <alignment horizontal="left" vertical="top"/>
    </xf>
    <xf numFmtId="0" fontId="6" fillId="0" borderId="5" xfId="0" applyFont="1" applyBorder="1" applyAlignment="1">
      <alignment vertical="top"/>
    </xf>
    <xf numFmtId="0" fontId="6" fillId="0" borderId="5" xfId="0" applyFont="1" applyBorder="1" applyAlignment="1">
      <alignment horizontal="right" vertical="top"/>
    </xf>
    <xf numFmtId="37" fontId="6" fillId="5" borderId="4" xfId="0" applyNumberFormat="1" applyFont="1" applyFill="1" applyBorder="1" applyAlignment="1" applyProtection="1">
      <alignment horizontal="center" vertical="top"/>
      <protection locked="0"/>
    </xf>
    <xf numFmtId="37" fontId="6" fillId="5" borderId="19" xfId="0" applyNumberFormat="1" applyFont="1" applyFill="1" applyBorder="1" applyAlignment="1" applyProtection="1">
      <alignment horizontal="center" vertical="top"/>
      <protection locked="0"/>
    </xf>
    <xf numFmtId="37" fontId="6" fillId="5" borderId="4" xfId="0" quotePrefix="1" applyNumberFormat="1" applyFont="1" applyFill="1" applyBorder="1" applyAlignment="1" applyProtection="1">
      <alignment horizontal="center" vertical="top"/>
      <protection locked="0"/>
    </xf>
    <xf numFmtId="3" fontId="6" fillId="5" borderId="19" xfId="0" applyNumberFormat="1" applyFont="1" applyFill="1" applyBorder="1" applyAlignment="1" applyProtection="1">
      <alignment horizontal="center" vertical="top"/>
      <protection locked="0"/>
    </xf>
    <xf numFmtId="164" fontId="6" fillId="5" borderId="4" xfId="3" applyNumberFormat="1" applyFont="1" applyFill="1" applyBorder="1" applyAlignment="1" applyProtection="1">
      <alignment horizontal="center" vertical="top"/>
      <protection locked="0"/>
    </xf>
    <xf numFmtId="37" fontId="0" fillId="0" borderId="78" xfId="0" applyNumberFormat="1" applyBorder="1"/>
    <xf numFmtId="49" fontId="2" fillId="0" borderId="0" xfId="1" applyNumberFormat="1" applyFont="1" applyBorder="1" applyAlignment="1">
      <alignment horizontal="left"/>
    </xf>
    <xf numFmtId="164" fontId="130" fillId="0" borderId="0" xfId="0" applyNumberFormat="1" applyFont="1" applyFill="1" applyBorder="1" applyAlignment="1">
      <alignment horizontal="left"/>
    </xf>
    <xf numFmtId="0" fontId="128" fillId="0" borderId="0" xfId="0" applyFont="1"/>
    <xf numFmtId="165" fontId="15" fillId="0" borderId="8" xfId="0" applyNumberFormat="1" applyFont="1" applyFill="1" applyBorder="1" applyAlignment="1">
      <alignment horizontal="left" vertical="top"/>
    </xf>
    <xf numFmtId="0" fontId="15" fillId="0" borderId="0" xfId="0" applyFont="1" applyBorder="1" applyAlignment="1">
      <alignment horizontal="center" vertical="top"/>
    </xf>
    <xf numFmtId="0" fontId="24" fillId="0" borderId="5" xfId="0" applyFont="1" applyBorder="1" applyAlignment="1">
      <alignment horizontal="center" vertical="top"/>
    </xf>
    <xf numFmtId="0" fontId="82" fillId="0" borderId="8" xfId="0" applyFont="1" applyBorder="1" applyAlignment="1">
      <alignment vertical="center"/>
    </xf>
    <xf numFmtId="0" fontId="2" fillId="0" borderId="0" xfId="1" applyNumberFormat="1" applyFont="1" applyBorder="1" applyAlignment="1">
      <alignment horizontal="left"/>
    </xf>
    <xf numFmtId="37" fontId="24" fillId="0" borderId="45" xfId="0" applyNumberFormat="1" applyFont="1" applyBorder="1" applyAlignment="1">
      <alignment horizontal="left" vertical="center"/>
    </xf>
    <xf numFmtId="0" fontId="149" fillId="0" borderId="0" xfId="0" applyFont="1" applyBorder="1" applyAlignment="1"/>
    <xf numFmtId="37" fontId="24" fillId="0" borderId="0" xfId="0" applyNumberFormat="1" applyFont="1" applyBorder="1" applyAlignment="1">
      <alignment horizontal="center" vertical="center"/>
    </xf>
    <xf numFmtId="37" fontId="0" fillId="0" borderId="66" xfId="0" applyNumberFormat="1" applyBorder="1" applyAlignment="1">
      <alignment horizontal="center"/>
    </xf>
    <xf numFmtId="37" fontId="24" fillId="0" borderId="5" xfId="0" applyNumberFormat="1" applyFont="1" applyBorder="1" applyAlignment="1">
      <alignment horizontal="center" vertical="center"/>
    </xf>
    <xf numFmtId="0" fontId="143" fillId="0" borderId="0" xfId="0" applyFont="1" applyAlignment="1">
      <alignment horizontal="left"/>
    </xf>
    <xf numFmtId="9" fontId="151" fillId="0" borderId="0" xfId="3" applyFont="1" applyFill="1" applyBorder="1" applyAlignment="1" applyProtection="1">
      <alignment horizontal="left" vertical="center"/>
    </xf>
    <xf numFmtId="0" fontId="152" fillId="0" borderId="0" xfId="0" applyFont="1"/>
    <xf numFmtId="49" fontId="2" fillId="0" borderId="14" xfId="1" applyNumberFormat="1" applyFont="1" applyFill="1" applyBorder="1" applyAlignment="1">
      <alignment horizontal="left"/>
    </xf>
    <xf numFmtId="3" fontId="48" fillId="0" borderId="0" xfId="0" applyNumberFormat="1" applyFont="1" applyAlignment="1">
      <alignment horizontal="center"/>
    </xf>
    <xf numFmtId="37" fontId="47" fillId="0" borderId="0" xfId="0" applyNumberFormat="1" applyFont="1" applyBorder="1"/>
    <xf numFmtId="37" fontId="47" fillId="0" borderId="0" xfId="0" applyNumberFormat="1" applyFont="1" applyBorder="1" applyAlignment="1">
      <alignment horizontal="center"/>
    </xf>
    <xf numFmtId="0" fontId="89" fillId="0" borderId="0" xfId="0" applyFont="1" applyBorder="1" applyAlignment="1"/>
    <xf numFmtId="9" fontId="129" fillId="0" borderId="0" xfId="3" applyFont="1" applyBorder="1" applyAlignment="1">
      <alignment horizontal="right"/>
    </xf>
    <xf numFmtId="37" fontId="139" fillId="0" borderId="0" xfId="0" quotePrefix="1" applyNumberFormat="1" applyFont="1"/>
    <xf numFmtId="37" fontId="139" fillId="0" borderId="1" xfId="0" quotePrefix="1" applyNumberFormat="1" applyFont="1" applyBorder="1"/>
    <xf numFmtId="0" fontId="6" fillId="0" borderId="1" xfId="0" applyFont="1" applyBorder="1" applyAlignment="1">
      <alignment horizontal="center"/>
    </xf>
    <xf numFmtId="0" fontId="133" fillId="7" borderId="0" xfId="3" applyNumberFormat="1" applyFont="1" applyFill="1" applyAlignment="1">
      <alignment horizontal="center" vertical="center"/>
    </xf>
    <xf numFmtId="164" fontId="90" fillId="0" borderId="0" xfId="0" applyNumberFormat="1" applyFont="1" applyFill="1" applyBorder="1" applyAlignment="1">
      <alignment horizontal="left"/>
    </xf>
    <xf numFmtId="49" fontId="153" fillId="0" borderId="0" xfId="1" applyNumberFormat="1" applyFont="1" applyAlignment="1"/>
    <xf numFmtId="0" fontId="38" fillId="0" borderId="0" xfId="2" applyFont="1" applyAlignment="1" applyProtection="1"/>
    <xf numFmtId="37" fontId="154" fillId="0" borderId="0" xfId="2" applyNumberFormat="1" applyFont="1" applyFill="1" applyBorder="1" applyAlignment="1" applyProtection="1">
      <alignment wrapText="1"/>
    </xf>
    <xf numFmtId="37" fontId="154" fillId="0" borderId="0" xfId="2" applyNumberFormat="1" applyFont="1" applyFill="1" applyBorder="1" applyAlignment="1" applyProtection="1"/>
    <xf numFmtId="0" fontId="6" fillId="0" borderId="0" xfId="0" applyFont="1" applyBorder="1" applyAlignment="1">
      <alignment horizontal="center"/>
    </xf>
    <xf numFmtId="0" fontId="6" fillId="0" borderId="0" xfId="0" applyFont="1" applyAlignment="1">
      <alignment horizontal="center"/>
    </xf>
    <xf numFmtId="0" fontId="154" fillId="0" borderId="0" xfId="2" applyFont="1" applyAlignment="1" applyProtection="1"/>
    <xf numFmtId="164" fontId="12" fillId="0" borderId="1" xfId="0" applyNumberFormat="1" applyFont="1" applyFill="1" applyBorder="1" applyAlignment="1">
      <alignment horizontal="left"/>
    </xf>
    <xf numFmtId="164" fontId="12" fillId="0" borderId="18" xfId="0" applyNumberFormat="1" applyFont="1" applyFill="1" applyBorder="1" applyAlignment="1">
      <alignment horizontal="left"/>
    </xf>
    <xf numFmtId="0" fontId="129" fillId="0" borderId="0" xfId="0" applyFont="1" applyBorder="1"/>
    <xf numFmtId="0" fontId="39" fillId="14" borderId="0" xfId="5" applyFont="1" applyFill="1" applyBorder="1" applyAlignment="1">
      <alignment horizontal="right" wrapText="1"/>
    </xf>
    <xf numFmtId="0" fontId="39" fillId="0" borderId="0" xfId="5" applyFont="1" applyBorder="1" applyAlignment="1">
      <alignment horizontal="right" wrapText="1"/>
    </xf>
    <xf numFmtId="0" fontId="6" fillId="0" borderId="1" xfId="0" applyFont="1" applyBorder="1" applyAlignment="1">
      <alignment horizontal="center"/>
    </xf>
    <xf numFmtId="37" fontId="145" fillId="0" borderId="0" xfId="0" applyNumberFormat="1" applyFont="1" applyFill="1" applyBorder="1" applyProtection="1">
      <protection locked="0"/>
    </xf>
    <xf numFmtId="37" fontId="145" fillId="0" borderId="0" xfId="0" applyNumberFormat="1" applyFont="1" applyBorder="1" applyAlignment="1" applyProtection="1">
      <alignment horizontal="right"/>
      <protection locked="0"/>
    </xf>
    <xf numFmtId="9" fontId="145" fillId="0" borderId="0" xfId="3" applyFont="1" applyBorder="1" applyAlignment="1" applyProtection="1">
      <alignment horizontal="right"/>
      <protection locked="0"/>
    </xf>
    <xf numFmtId="164" fontId="145" fillId="0" borderId="0" xfId="3" applyNumberFormat="1" applyFont="1" applyBorder="1" applyAlignment="1" applyProtection="1">
      <alignment horizontal="right"/>
      <protection locked="0"/>
    </xf>
    <xf numFmtId="0" fontId="52" fillId="3" borderId="0" xfId="0" applyFont="1" applyFill="1" applyAlignment="1">
      <alignment horizontal="left" vertical="center"/>
    </xf>
    <xf numFmtId="0" fontId="6" fillId="0" borderId="0" xfId="0" applyFont="1" applyAlignment="1">
      <alignment horizontal="center"/>
    </xf>
    <xf numFmtId="0" fontId="140" fillId="0" borderId="71" xfId="0" applyFont="1" applyBorder="1" applyAlignment="1">
      <alignment horizontal="left"/>
    </xf>
    <xf numFmtId="37" fontId="6" fillId="17" borderId="19" xfId="0" applyNumberFormat="1" applyFont="1" applyFill="1" applyBorder="1" applyAlignment="1" applyProtection="1">
      <alignment horizontal="center"/>
      <protection locked="0"/>
    </xf>
    <xf numFmtId="37" fontId="6" fillId="17" borderId="23" xfId="0" applyNumberFormat="1" applyFont="1" applyFill="1" applyBorder="1" applyAlignment="1" applyProtection="1">
      <alignment horizontal="center"/>
      <protection locked="0"/>
    </xf>
    <xf numFmtId="37" fontId="12" fillId="0" borderId="0" xfId="0" applyNumberFormat="1" applyFont="1" applyFill="1" applyBorder="1" applyProtection="1">
      <protection locked="0"/>
    </xf>
    <xf numFmtId="0" fontId="133" fillId="7" borderId="0" xfId="0" applyFont="1" applyFill="1" applyBorder="1" applyAlignment="1">
      <alignment horizontal="center"/>
    </xf>
    <xf numFmtId="0" fontId="143" fillId="0" borderId="0" xfId="0" applyFont="1" applyAlignment="1"/>
    <xf numFmtId="165" fontId="6" fillId="5" borderId="20" xfId="0" applyNumberFormat="1" applyFont="1" applyFill="1" applyBorder="1" applyAlignment="1" applyProtection="1">
      <alignment horizontal="right"/>
      <protection locked="0"/>
    </xf>
    <xf numFmtId="0" fontId="35" fillId="0" borderId="0" xfId="0" applyFont="1"/>
    <xf numFmtId="38" fontId="15" fillId="0" borderId="0" xfId="0" applyNumberFormat="1" applyFont="1" applyAlignment="1">
      <alignment horizontal="center"/>
    </xf>
    <xf numFmtId="0" fontId="0" fillId="0" borderId="7" xfId="0" applyBorder="1" applyProtection="1"/>
    <xf numFmtId="37" fontId="145" fillId="0" borderId="0" xfId="0" applyNumberFormat="1" applyFont="1"/>
    <xf numFmtId="37" fontId="0" fillId="0" borderId="0" xfId="0" applyNumberFormat="1" applyFill="1" applyAlignment="1">
      <alignment horizontal="center"/>
    </xf>
    <xf numFmtId="37" fontId="155" fillId="9" borderId="0" xfId="0" applyNumberFormat="1" applyFont="1" applyFill="1" applyBorder="1" applyAlignment="1">
      <alignment horizontal="center" vertical="center"/>
    </xf>
    <xf numFmtId="3" fontId="145" fillId="0" borderId="0" xfId="0" applyNumberFormat="1" applyFont="1" applyAlignment="1">
      <alignment horizontal="center"/>
    </xf>
    <xf numFmtId="1" fontId="145" fillId="0" borderId="0" xfId="0" quotePrefix="1" applyNumberFormat="1" applyFont="1" applyBorder="1" applyAlignment="1">
      <alignment horizontal="center"/>
    </xf>
    <xf numFmtId="165" fontId="153" fillId="17" borderId="0" xfId="0" applyNumberFormat="1" applyFont="1" applyFill="1" applyBorder="1" applyAlignment="1" applyProtection="1">
      <alignment horizontal="center"/>
      <protection locked="0"/>
    </xf>
    <xf numFmtId="164" fontId="6" fillId="0" borderId="0" xfId="0" applyNumberFormat="1" applyFont="1" applyFill="1"/>
    <xf numFmtId="0" fontId="50" fillId="0" borderId="1" xfId="0" applyFont="1" applyBorder="1" applyAlignment="1">
      <alignment horizontal="center"/>
    </xf>
    <xf numFmtId="0" fontId="129" fillId="0" borderId="0" xfId="0" applyFont="1" applyBorder="1" applyAlignment="1">
      <alignment horizontal="left" vertical="top"/>
    </xf>
    <xf numFmtId="37" fontId="2" fillId="0" borderId="0" xfId="0" applyNumberFormat="1" applyFont="1" applyFill="1" applyBorder="1" applyAlignment="1"/>
    <xf numFmtId="0" fontId="24" fillId="0" borderId="1" xfId="0" applyFont="1" applyBorder="1" applyAlignment="1">
      <alignment horizontal="left"/>
    </xf>
    <xf numFmtId="37" fontId="2" fillId="0" borderId="0" xfId="0" quotePrefix="1" applyNumberFormat="1" applyFont="1" applyFill="1" applyBorder="1" applyAlignment="1"/>
    <xf numFmtId="164" fontId="12" fillId="0" borderId="0" xfId="3" applyNumberFormat="1" applyFont="1" applyFill="1" applyBorder="1" applyAlignment="1">
      <alignment vertical="top"/>
    </xf>
    <xf numFmtId="0" fontId="10" fillId="0" borderId="0" xfId="0" applyFont="1" applyProtection="1">
      <protection locked="0"/>
    </xf>
    <xf numFmtId="37" fontId="128" fillId="0" borderId="0" xfId="0" applyNumberFormat="1" applyFont="1" applyProtection="1">
      <protection locked="0"/>
    </xf>
    <xf numFmtId="164" fontId="10" fillId="0" borderId="0" xfId="3" applyNumberFormat="1" applyFont="1" applyProtection="1">
      <protection locked="0"/>
    </xf>
    <xf numFmtId="0" fontId="10" fillId="0" borderId="0" xfId="0" applyFont="1" applyAlignment="1" applyProtection="1">
      <alignment horizontal="right"/>
      <protection locked="0"/>
    </xf>
    <xf numFmtId="0" fontId="10" fillId="0" borderId="0" xfId="0" applyFont="1" applyBorder="1" applyProtection="1">
      <protection locked="0"/>
    </xf>
    <xf numFmtId="37" fontId="10" fillId="0" borderId="0" xfId="0" applyNumberFormat="1" applyFont="1" applyAlignment="1" applyProtection="1">
      <alignment horizontal="right"/>
      <protection locked="0"/>
    </xf>
    <xf numFmtId="37" fontId="145" fillId="0" borderId="0" xfId="0" applyNumberFormat="1" applyFont="1" applyProtection="1">
      <protection locked="0"/>
    </xf>
    <xf numFmtId="164" fontId="145" fillId="0" borderId="0" xfId="3" applyNumberFormat="1" applyFont="1" applyProtection="1">
      <protection locked="0"/>
    </xf>
    <xf numFmtId="164" fontId="145" fillId="0" borderId="0" xfId="3" applyNumberFormat="1" applyFont="1" applyBorder="1" applyProtection="1">
      <protection locked="0"/>
    </xf>
    <xf numFmtId="0" fontId="1" fillId="0" borderId="0" xfId="0" applyFont="1" applyAlignment="1">
      <alignment horizontal="right"/>
    </xf>
    <xf numFmtId="0" fontId="143" fillId="0" borderId="0" xfId="0" applyFont="1"/>
    <xf numFmtId="164" fontId="2" fillId="0" borderId="0" xfId="3" applyNumberFormat="1" applyFont="1" applyFill="1" applyBorder="1" applyAlignment="1" applyProtection="1">
      <alignment horizontal="right"/>
    </xf>
    <xf numFmtId="0" fontId="105" fillId="15" borderId="0" xfId="0" applyFont="1" applyFill="1" applyAlignment="1">
      <alignment vertical="center"/>
    </xf>
    <xf numFmtId="167" fontId="4" fillId="15" borderId="0" xfId="0" applyNumberFormat="1" applyFont="1" applyFill="1" applyBorder="1" applyAlignment="1">
      <alignment horizontal="center"/>
    </xf>
    <xf numFmtId="0" fontId="54" fillId="15" borderId="0" xfId="0" applyFont="1" applyFill="1"/>
    <xf numFmtId="0" fontId="0" fillId="15" borderId="0" xfId="0" applyFill="1"/>
    <xf numFmtId="164" fontId="4" fillId="15" borderId="0" xfId="0" applyNumberFormat="1" applyFont="1" applyFill="1" applyBorder="1" applyProtection="1"/>
    <xf numFmtId="167" fontId="4" fillId="15" borderId="0" xfId="0" applyNumberFormat="1" applyFont="1" applyFill="1" applyBorder="1" applyProtection="1"/>
    <xf numFmtId="0" fontId="97" fillId="15" borderId="0" xfId="0" applyFont="1" applyFill="1"/>
    <xf numFmtId="0" fontId="17" fillId="15" borderId="0" xfId="0" applyFont="1" applyFill="1"/>
    <xf numFmtId="0" fontId="2" fillId="15" borderId="0" xfId="0" applyFont="1" applyFill="1" applyProtection="1">
      <protection locked="0"/>
    </xf>
    <xf numFmtId="0" fontId="39" fillId="15" borderId="0" xfId="4" applyFill="1"/>
    <xf numFmtId="0" fontId="0" fillId="15" borderId="0" xfId="0" applyFill="1" applyProtection="1">
      <protection locked="0"/>
    </xf>
    <xf numFmtId="176" fontId="139" fillId="15" borderId="0" xfId="0" applyNumberFormat="1" applyFont="1" applyFill="1"/>
    <xf numFmtId="0" fontId="8" fillId="0" borderId="0" xfId="0" applyFont="1" applyBorder="1" applyAlignment="1">
      <alignment horizontal="center" vertical="center"/>
    </xf>
    <xf numFmtId="164" fontId="6" fillId="5" borderId="4" xfId="0" quotePrefix="1" applyNumberFormat="1" applyFont="1" applyFill="1" applyBorder="1" applyAlignment="1" applyProtection="1">
      <alignment horizontal="center"/>
      <protection locked="0"/>
    </xf>
    <xf numFmtId="176" fontId="139" fillId="17" borderId="0" xfId="0" applyNumberFormat="1" applyFont="1" applyFill="1"/>
    <xf numFmtId="0" fontId="156" fillId="0" borderId="0" xfId="0" applyFont="1" applyAlignment="1">
      <alignment horizontal="right"/>
    </xf>
    <xf numFmtId="49" fontId="156" fillId="0" borderId="0" xfId="1" applyNumberFormat="1" applyFont="1" applyAlignment="1">
      <alignment horizontal="right"/>
    </xf>
    <xf numFmtId="0" fontId="156" fillId="0" borderId="0" xfId="0" applyFont="1" applyBorder="1" applyAlignment="1">
      <alignment horizontal="right"/>
    </xf>
    <xf numFmtId="37" fontId="157" fillId="0" borderId="5" xfId="0" applyNumberFormat="1" applyFont="1" applyBorder="1" applyAlignment="1">
      <alignment horizontal="center" vertical="top"/>
    </xf>
    <xf numFmtId="0" fontId="137" fillId="0" borderId="0" xfId="0" applyFont="1" applyBorder="1" applyAlignment="1">
      <alignment horizontal="right"/>
    </xf>
    <xf numFmtId="49" fontId="0" fillId="0" borderId="0" xfId="0" applyNumberFormat="1" applyAlignment="1">
      <alignment horizontal="left"/>
    </xf>
    <xf numFmtId="0" fontId="6" fillId="0" borderId="0" xfId="0" applyFont="1" applyAlignment="1">
      <alignment horizontal="center"/>
    </xf>
    <xf numFmtId="0" fontId="129" fillId="0" borderId="17" xfId="0" applyFont="1" applyBorder="1" applyAlignment="1">
      <alignment horizontal="center" vertical="center"/>
    </xf>
    <xf numFmtId="0" fontId="129" fillId="0" borderId="17" xfId="0" applyFont="1" applyBorder="1" applyAlignment="1">
      <alignment horizontal="center"/>
    </xf>
    <xf numFmtId="0" fontId="0" fillId="0" borderId="17" xfId="0" applyBorder="1" applyAlignment="1">
      <alignment horizontal="center"/>
    </xf>
    <xf numFmtId="37" fontId="129" fillId="0" borderId="0" xfId="0" applyNumberFormat="1" applyFont="1" applyFill="1" applyBorder="1" applyProtection="1">
      <protection locked="0"/>
    </xf>
    <xf numFmtId="0" fontId="158" fillId="0" borderId="0" xfId="0" applyFont="1" applyAlignment="1">
      <alignment horizontal="right" vertical="center"/>
    </xf>
    <xf numFmtId="0" fontId="158" fillId="0" borderId="0" xfId="0" applyFont="1" applyBorder="1" applyAlignment="1"/>
    <xf numFmtId="37" fontId="160" fillId="0" borderId="0" xfId="0" applyNumberFormat="1" applyFont="1"/>
    <xf numFmtId="37" fontId="158" fillId="0" borderId="0" xfId="0" applyNumberFormat="1" applyFont="1" applyBorder="1" applyAlignment="1">
      <alignment horizontal="center"/>
    </xf>
    <xf numFmtId="37" fontId="160" fillId="0" borderId="0" xfId="0" applyNumberFormat="1" applyFont="1" applyBorder="1"/>
    <xf numFmtId="3" fontId="160" fillId="0" borderId="0" xfId="0" applyNumberFormat="1" applyFont="1" applyAlignment="1">
      <alignment horizontal="center"/>
    </xf>
    <xf numFmtId="49" fontId="160" fillId="0" borderId="0" xfId="0" applyNumberFormat="1" applyFont="1" applyAlignment="1">
      <alignment horizontal="center"/>
    </xf>
    <xf numFmtId="0" fontId="159" fillId="0" borderId="0" xfId="0" applyFont="1" applyBorder="1" applyAlignment="1"/>
    <xf numFmtId="0" fontId="158" fillId="0" borderId="0" xfId="0" applyFont="1" applyBorder="1" applyAlignment="1">
      <alignment horizontal="center"/>
    </xf>
    <xf numFmtId="0" fontId="158" fillId="0" borderId="0" xfId="0" applyFont="1" applyBorder="1" applyAlignment="1">
      <alignment horizontal="left"/>
    </xf>
    <xf numFmtId="9" fontId="6" fillId="5" borderId="16" xfId="3" applyNumberFormat="1" applyFont="1" applyFill="1" applyBorder="1" applyAlignment="1" applyProtection="1">
      <alignment horizontal="center"/>
      <protection locked="0"/>
    </xf>
    <xf numFmtId="9" fontId="6" fillId="5" borderId="47" xfId="3" applyNumberFormat="1" applyFont="1" applyFill="1" applyBorder="1" applyAlignment="1" applyProtection="1">
      <alignment horizontal="center"/>
      <protection locked="0"/>
    </xf>
    <xf numFmtId="9" fontId="48" fillId="0" borderId="8" xfId="3" applyFont="1" applyFill="1" applyBorder="1" applyAlignment="1" applyProtection="1">
      <alignment horizontal="center" vertical="center"/>
    </xf>
    <xf numFmtId="37" fontId="129" fillId="0" borderId="0" xfId="0" applyNumberFormat="1" applyFont="1" applyFill="1" applyBorder="1" applyAlignment="1" applyProtection="1">
      <alignment horizontal="left"/>
    </xf>
    <xf numFmtId="37" fontId="6" fillId="0" borderId="5" xfId="0" applyNumberFormat="1" applyFont="1" applyBorder="1" applyAlignment="1"/>
    <xf numFmtId="164" fontId="162" fillId="0" borderId="5" xfId="0" applyNumberFormat="1" applyFont="1" applyFill="1" applyBorder="1" applyAlignment="1">
      <alignment horizontal="left" vertical="center"/>
    </xf>
    <xf numFmtId="164" fontId="162" fillId="0" borderId="0" xfId="0" applyNumberFormat="1" applyFont="1" applyFill="1" applyBorder="1" applyAlignment="1">
      <alignment horizontal="left"/>
    </xf>
    <xf numFmtId="0" fontId="6" fillId="0" borderId="0" xfId="0" applyFont="1" applyFill="1"/>
    <xf numFmtId="170" fontId="4" fillId="0" borderId="0" xfId="1" applyNumberFormat="1" applyFont="1" applyFill="1" applyProtection="1"/>
    <xf numFmtId="170" fontId="4" fillId="0" borderId="1" xfId="1" applyNumberFormat="1" applyFont="1" applyFill="1" applyBorder="1" applyProtection="1"/>
    <xf numFmtId="37" fontId="45" fillId="0" borderId="0" xfId="0" applyNumberFormat="1" applyFont="1" applyBorder="1" applyAlignment="1">
      <alignment horizontal="center"/>
    </xf>
    <xf numFmtId="37" fontId="9" fillId="0" borderId="0" xfId="0" applyNumberFormat="1" applyFont="1" applyFill="1" applyBorder="1"/>
    <xf numFmtId="37" fontId="8" fillId="0" borderId="0" xfId="0" applyNumberFormat="1" applyFont="1" applyBorder="1" applyAlignment="1"/>
    <xf numFmtId="0" fontId="8" fillId="0" borderId="0" xfId="0" applyFont="1" applyBorder="1" applyAlignment="1">
      <alignment horizontal="right"/>
    </xf>
    <xf numFmtId="0" fontId="69" fillId="0" borderId="0" xfId="0" applyFont="1" applyFill="1" applyBorder="1"/>
    <xf numFmtId="37" fontId="19" fillId="0" borderId="0" xfId="0" applyNumberFormat="1" applyFont="1" applyFill="1" applyBorder="1"/>
    <xf numFmtId="0" fontId="53" fillId="0" borderId="0" xfId="0" applyFont="1" applyBorder="1" applyAlignment="1">
      <alignment horizontal="center"/>
    </xf>
    <xf numFmtId="0" fontId="2" fillId="2" borderId="0" xfId="0" applyFont="1" applyFill="1" applyBorder="1"/>
    <xf numFmtId="0" fontId="43" fillId="18" borderId="0" xfId="0" applyFont="1" applyFill="1" applyBorder="1" applyAlignment="1">
      <alignment horizontal="left" vertical="center"/>
    </xf>
    <xf numFmtId="0" fontId="43" fillId="18" borderId="40" xfId="0" applyFont="1" applyFill="1" applyBorder="1" applyAlignment="1"/>
    <xf numFmtId="0" fontId="0" fillId="18" borderId="0" xfId="0" applyFill="1"/>
    <xf numFmtId="0" fontId="43" fillId="18" borderId="0" xfId="0" applyFont="1" applyFill="1" applyBorder="1" applyAlignment="1">
      <alignment horizontal="left"/>
    </xf>
    <xf numFmtId="0" fontId="163" fillId="0" borderId="0" xfId="0" applyFont="1" applyBorder="1" applyAlignment="1"/>
    <xf numFmtId="0" fontId="45" fillId="0" borderId="0" xfId="3" applyNumberFormat="1" applyFont="1" applyFill="1" applyAlignment="1">
      <alignment horizontal="center"/>
    </xf>
    <xf numFmtId="164" fontId="15" fillId="0" borderId="0" xfId="3" applyNumberFormat="1" applyFont="1"/>
    <xf numFmtId="0" fontId="82" fillId="0" borderId="0" xfId="3" applyNumberFormat="1" applyFont="1" applyAlignment="1">
      <alignment horizontal="right"/>
    </xf>
    <xf numFmtId="0" fontId="45" fillId="0" borderId="0" xfId="3" applyNumberFormat="1" applyFont="1" applyAlignment="1">
      <alignment horizontal="center"/>
    </xf>
    <xf numFmtId="3" fontId="45" fillId="0" borderId="0" xfId="0" applyNumberFormat="1" applyFont="1" applyAlignment="1">
      <alignment horizontal="center"/>
    </xf>
    <xf numFmtId="0" fontId="15" fillId="0" borderId="0" xfId="3" applyNumberFormat="1" applyFont="1"/>
    <xf numFmtId="3" fontId="45" fillId="0" borderId="0" xfId="0" applyNumberFormat="1" applyFont="1" applyFill="1" applyAlignment="1">
      <alignment horizontal="center"/>
    </xf>
    <xf numFmtId="0" fontId="45" fillId="0" borderId="0" xfId="0" applyFont="1" applyBorder="1" applyAlignment="1"/>
    <xf numFmtId="3" fontId="45" fillId="0" borderId="0" xfId="0" applyNumberFormat="1" applyFont="1" applyAlignment="1">
      <alignment horizontal="left"/>
    </xf>
    <xf numFmtId="37" fontId="129" fillId="0" borderId="0" xfId="0" applyNumberFormat="1" applyFont="1" applyBorder="1"/>
    <xf numFmtId="49" fontId="161" fillId="0" borderId="0" xfId="0" applyNumberFormat="1" applyFont="1" applyBorder="1" applyAlignment="1">
      <alignment horizontal="center"/>
    </xf>
    <xf numFmtId="49" fontId="158" fillId="0" borderId="0" xfId="0" applyNumberFormat="1" applyFont="1" applyBorder="1" applyAlignment="1">
      <alignment horizontal="center"/>
    </xf>
    <xf numFmtId="3" fontId="160" fillId="0" borderId="0" xfId="0" applyNumberFormat="1" applyFont="1" applyBorder="1" applyAlignment="1">
      <alignment horizontal="center"/>
    </xf>
    <xf numFmtId="49" fontId="160" fillId="0" borderId="0" xfId="0" applyNumberFormat="1" applyFont="1" applyBorder="1" applyAlignment="1">
      <alignment horizontal="center"/>
    </xf>
    <xf numFmtId="164" fontId="45" fillId="0" borderId="0" xfId="3" applyNumberFormat="1" applyFont="1" applyFill="1" applyAlignment="1">
      <alignment horizontal="right"/>
    </xf>
    <xf numFmtId="3" fontId="45" fillId="0" borderId="0" xfId="0" applyNumberFormat="1" applyFont="1" applyAlignment="1">
      <alignment horizontal="right"/>
    </xf>
    <xf numFmtId="164" fontId="45" fillId="0" borderId="0" xfId="3" applyNumberFormat="1" applyFont="1" applyFill="1"/>
    <xf numFmtId="3" fontId="116" fillId="0" borderId="0" xfId="0" applyNumberFormat="1" applyFont="1" applyFill="1"/>
    <xf numFmtId="3" fontId="23" fillId="0" borderId="0" xfId="0" applyNumberFormat="1" applyFont="1"/>
    <xf numFmtId="164" fontId="45" fillId="0" borderId="0" xfId="3" applyNumberFormat="1" applyFont="1"/>
    <xf numFmtId="0" fontId="140" fillId="0" borderId="0" xfId="0" applyFont="1"/>
    <xf numFmtId="49" fontId="164" fillId="0" borderId="0" xfId="1" applyNumberFormat="1" applyFont="1" applyFill="1" applyAlignment="1">
      <alignment horizontal="left"/>
    </xf>
    <xf numFmtId="49" fontId="164" fillId="0" borderId="0" xfId="1" applyNumberFormat="1" applyFont="1" applyAlignment="1">
      <alignment horizontal="left"/>
    </xf>
    <xf numFmtId="49" fontId="165" fillId="0" borderId="0" xfId="1" applyNumberFormat="1" applyFont="1" applyFill="1" applyAlignment="1">
      <alignment horizontal="left"/>
    </xf>
    <xf numFmtId="49" fontId="165" fillId="0" borderId="0" xfId="1" applyNumberFormat="1" applyFont="1" applyAlignment="1">
      <alignment horizontal="left"/>
    </xf>
    <xf numFmtId="49" fontId="166" fillId="0" borderId="0" xfId="1" applyNumberFormat="1" applyFont="1" applyFill="1" applyAlignment="1">
      <alignment horizontal="left"/>
    </xf>
    <xf numFmtId="49" fontId="0" fillId="0" borderId="0" xfId="1" applyNumberFormat="1" applyFont="1" applyFill="1" applyAlignment="1">
      <alignment horizontal="right"/>
    </xf>
    <xf numFmtId="37" fontId="24" fillId="0" borderId="0" xfId="0" applyNumberFormat="1" applyFont="1" applyFill="1" applyBorder="1" applyProtection="1">
      <protection locked="0"/>
    </xf>
    <xf numFmtId="0" fontId="6" fillId="0" borderId="0" xfId="0" applyFont="1" applyAlignment="1">
      <alignment horizontal="center"/>
    </xf>
    <xf numFmtId="0" fontId="24" fillId="0" borderId="5" xfId="0" applyFont="1" applyBorder="1" applyAlignment="1">
      <alignment horizontal="center" vertical="top"/>
    </xf>
    <xf numFmtId="0" fontId="6" fillId="0" borderId="0" xfId="0" applyFont="1" applyAlignment="1">
      <alignment horizontal="center"/>
    </xf>
    <xf numFmtId="166" fontId="12" fillId="0" borderId="0" xfId="0" applyNumberFormat="1" applyFont="1" applyFill="1" applyBorder="1" applyAlignment="1" applyProtection="1">
      <alignment horizontal="center"/>
    </xf>
    <xf numFmtId="0" fontId="2" fillId="0" borderId="1" xfId="0" applyFont="1" applyBorder="1"/>
    <xf numFmtId="37" fontId="24" fillId="5" borderId="37" xfId="0" applyNumberFormat="1" applyFont="1" applyFill="1" applyBorder="1" applyAlignment="1" applyProtection="1">
      <alignment horizontal="center"/>
      <protection locked="0"/>
    </xf>
    <xf numFmtId="37" fontId="24" fillId="5" borderId="19" xfId="0" applyNumberFormat="1" applyFont="1" applyFill="1" applyBorder="1" applyAlignment="1" applyProtection="1">
      <alignment horizontal="center"/>
      <protection locked="0"/>
    </xf>
    <xf numFmtId="0" fontId="43" fillId="12" borderId="1" xfId="0" applyFont="1" applyFill="1" applyBorder="1" applyAlignment="1">
      <alignment vertical="center"/>
    </xf>
    <xf numFmtId="0" fontId="43" fillId="12" borderId="1" xfId="0" applyFont="1" applyFill="1" applyBorder="1" applyAlignment="1"/>
    <xf numFmtId="9" fontId="6" fillId="0" borderId="79" xfId="0" applyNumberFormat="1" applyFont="1" applyBorder="1" applyAlignment="1">
      <alignment horizontal="center"/>
    </xf>
    <xf numFmtId="0" fontId="15" fillId="0" borderId="8" xfId="0" applyFont="1" applyBorder="1" applyAlignment="1">
      <alignment vertical="center"/>
    </xf>
    <xf numFmtId="0" fontId="6" fillId="0" borderId="0" xfId="0" applyFont="1" applyAlignment="1">
      <alignment horizontal="center" vertical="center"/>
    </xf>
    <xf numFmtId="0" fontId="6" fillId="0" borderId="0" xfId="0" applyFont="1" applyBorder="1" applyAlignment="1">
      <alignment horizontal="center" vertical="center"/>
    </xf>
    <xf numFmtId="37" fontId="6" fillId="0" borderId="5" xfId="0" applyNumberFormat="1" applyFont="1" applyBorder="1" applyAlignment="1">
      <alignment vertical="center"/>
    </xf>
    <xf numFmtId="0" fontId="24" fillId="0" borderId="0" xfId="0" applyFont="1"/>
    <xf numFmtId="0" fontId="24" fillId="0" borderId="5" xfId="0" applyFont="1" applyBorder="1" applyAlignment="1">
      <alignment horizontal="center"/>
    </xf>
    <xf numFmtId="37" fontId="48" fillId="0" borderId="0" xfId="0" applyNumberFormat="1" applyFont="1" applyFill="1" applyBorder="1" applyProtection="1"/>
    <xf numFmtId="170" fontId="48" fillId="0" borderId="0" xfId="1" applyNumberFormat="1" applyFont="1" applyBorder="1"/>
    <xf numFmtId="0" fontId="167" fillId="0" borderId="0" xfId="0" applyFont="1" applyFill="1" applyBorder="1" applyAlignment="1">
      <alignment horizontal="center" vertical="center" wrapText="1"/>
    </xf>
    <xf numFmtId="0" fontId="0" fillId="0" borderId="0" xfId="0" applyFill="1" applyBorder="1" applyAlignment="1">
      <alignment horizontal="left" vertical="center" wrapText="1"/>
    </xf>
    <xf numFmtId="0" fontId="129" fillId="0" borderId="0" xfId="0" applyFont="1" applyAlignment="1">
      <alignment horizontal="right" vertical="center"/>
    </xf>
    <xf numFmtId="0" fontId="6" fillId="0" borderId="1" xfId="0" applyFont="1" applyBorder="1" applyAlignment="1">
      <alignment horizontal="center"/>
    </xf>
    <xf numFmtId="0" fontId="153" fillId="0" borderId="0" xfId="0" applyFont="1"/>
    <xf numFmtId="0" fontId="15" fillId="0" borderId="0" xfId="0" applyFont="1" applyBorder="1" applyAlignment="1">
      <alignment vertical="top"/>
    </xf>
    <xf numFmtId="0" fontId="2" fillId="0" borderId="0" xfId="0" applyFont="1" applyFill="1" applyBorder="1" applyAlignment="1">
      <alignment horizontal="left"/>
    </xf>
    <xf numFmtId="37" fontId="2" fillId="0" borderId="0" xfId="0" applyNumberFormat="1" applyFont="1" applyFill="1" applyAlignment="1">
      <alignment horizontal="center"/>
    </xf>
    <xf numFmtId="0" fontId="24" fillId="0" borderId="5" xfId="0" applyFont="1" applyBorder="1" applyAlignment="1">
      <alignment horizontal="center" vertical="top"/>
    </xf>
    <xf numFmtId="0" fontId="6" fillId="0" borderId="0" xfId="0" applyFont="1" applyAlignment="1">
      <alignment horizontal="center"/>
    </xf>
    <xf numFmtId="0" fontId="6" fillId="0" borderId="1" xfId="0" applyFont="1" applyBorder="1" applyAlignment="1">
      <alignment horizontal="center"/>
    </xf>
    <xf numFmtId="0" fontId="6" fillId="0" borderId="0" xfId="0" applyFont="1" applyAlignment="1">
      <alignment horizontal="center"/>
    </xf>
    <xf numFmtId="164" fontId="48" fillId="0" borderId="0" xfId="3" applyNumberFormat="1" applyFont="1" applyFill="1" applyBorder="1" applyAlignment="1">
      <alignment horizontal="center"/>
    </xf>
    <xf numFmtId="37" fontId="0" fillId="0" borderId="0" xfId="0" applyNumberFormat="1" applyBorder="1" applyAlignment="1">
      <alignment horizontal="left"/>
    </xf>
    <xf numFmtId="49" fontId="17" fillId="0" borderId="0" xfId="1" applyNumberFormat="1" applyFont="1" applyAlignment="1">
      <alignment horizontal="left"/>
    </xf>
    <xf numFmtId="37" fontId="24" fillId="0" borderId="80" xfId="0" applyNumberFormat="1" applyFont="1" applyBorder="1" applyAlignment="1"/>
    <xf numFmtId="37" fontId="24" fillId="0" borderId="18" xfId="0" applyNumberFormat="1" applyFont="1" applyBorder="1" applyAlignment="1"/>
    <xf numFmtId="37" fontId="24" fillId="0" borderId="80" xfId="0" applyNumberFormat="1" applyFont="1" applyBorder="1" applyAlignment="1">
      <alignment horizontal="center"/>
    </xf>
    <xf numFmtId="37" fontId="57" fillId="0" borderId="0" xfId="0" applyNumberFormat="1" applyFont="1" applyFill="1" applyAlignment="1">
      <alignment horizontal="right"/>
    </xf>
    <xf numFmtId="170" fontId="153" fillId="0" borderId="0" xfId="1" applyNumberFormat="1" applyFont="1"/>
    <xf numFmtId="170" fontId="153" fillId="0" borderId="0" xfId="1" applyNumberFormat="1" applyFont="1" applyAlignment="1">
      <alignment horizontal="right"/>
    </xf>
    <xf numFmtId="170" fontId="6" fillId="0" borderId="0" xfId="1" applyNumberFormat="1" applyFont="1" applyAlignment="1">
      <alignment horizontal="center"/>
    </xf>
    <xf numFmtId="9" fontId="145" fillId="0" borderId="0" xfId="3" applyFont="1"/>
    <xf numFmtId="9" fontId="0" fillId="0" borderId="0" xfId="3" applyFont="1" applyFill="1"/>
    <xf numFmtId="3" fontId="45" fillId="0" borderId="0" xfId="0" applyNumberFormat="1" applyFont="1" applyFill="1" applyAlignment="1">
      <alignment horizontal="right"/>
    </xf>
    <xf numFmtId="37" fontId="153" fillId="0" borderId="0" xfId="1" applyNumberFormat="1" applyFont="1"/>
    <xf numFmtId="177" fontId="6" fillId="5" borderId="4" xfId="0" applyNumberFormat="1" applyFont="1" applyFill="1" applyBorder="1" applyAlignment="1" applyProtection="1">
      <alignment horizontal="center"/>
      <protection locked="0"/>
    </xf>
    <xf numFmtId="37" fontId="6" fillId="5" borderId="0" xfId="0" applyNumberFormat="1" applyFont="1" applyFill="1" applyBorder="1" applyProtection="1">
      <protection locked="0"/>
    </xf>
    <xf numFmtId="0" fontId="15" fillId="0" borderId="5" xfId="0" applyFont="1" applyBorder="1" applyAlignment="1">
      <alignment horizontal="center" vertical="top"/>
    </xf>
    <xf numFmtId="0" fontId="45" fillId="0" borderId="22" xfId="0" applyFont="1" applyBorder="1" applyAlignment="1">
      <alignment horizontal="center"/>
    </xf>
    <xf numFmtId="0" fontId="24" fillId="0" borderId="5" xfId="0" applyFont="1" applyBorder="1" applyAlignment="1">
      <alignment horizontal="center" vertical="top"/>
    </xf>
    <xf numFmtId="0" fontId="6" fillId="0" borderId="1" xfId="0" applyFont="1" applyBorder="1" applyAlignment="1">
      <alignment horizontal="center"/>
    </xf>
    <xf numFmtId="0" fontId="14" fillId="0" borderId="0" xfId="0" applyFont="1" applyAlignment="1">
      <alignment horizontal="center"/>
    </xf>
    <xf numFmtId="37" fontId="50" fillId="0" borderId="1" xfId="0" applyNumberFormat="1" applyFont="1" applyBorder="1" applyAlignment="1">
      <alignment horizontal="center"/>
    </xf>
    <xf numFmtId="0" fontId="115" fillId="13" borderId="0" xfId="0" applyFont="1" applyFill="1" applyBorder="1" applyAlignment="1">
      <alignment horizontal="center"/>
    </xf>
    <xf numFmtId="0" fontId="6" fillId="0" borderId="0" xfId="0" applyFont="1" applyAlignment="1">
      <alignment horizontal="center"/>
    </xf>
    <xf numFmtId="0" fontId="43" fillId="2" borderId="0" xfId="0" applyFont="1" applyFill="1" applyBorder="1" applyAlignment="1">
      <alignment horizontal="center"/>
    </xf>
    <xf numFmtId="0" fontId="43" fillId="2" borderId="0" xfId="0" applyFont="1" applyFill="1" applyBorder="1" applyAlignment="1">
      <alignment horizontal="center" vertical="center"/>
    </xf>
    <xf numFmtId="37" fontId="6" fillId="0" borderId="1" xfId="0" applyNumberFormat="1" applyFont="1" applyFill="1" applyBorder="1" applyAlignment="1" applyProtection="1">
      <alignment horizontal="center" vertical="center"/>
      <protection locked="0"/>
    </xf>
    <xf numFmtId="37" fontId="6" fillId="0" borderId="0" xfId="0" applyNumberFormat="1" applyFont="1" applyFill="1" applyBorder="1" applyAlignment="1" applyProtection="1">
      <alignment horizontal="center" vertical="center"/>
      <protection locked="0"/>
    </xf>
    <xf numFmtId="0" fontId="50" fillId="0" borderId="1" xfId="0" applyFont="1" applyBorder="1" applyAlignment="1">
      <alignment horizontal="center"/>
    </xf>
    <xf numFmtId="37" fontId="50" fillId="0" borderId="43" xfId="0" applyNumberFormat="1" applyFont="1" applyBorder="1" applyAlignment="1">
      <alignment horizontal="center"/>
    </xf>
    <xf numFmtId="0" fontId="63" fillId="0" borderId="0" xfId="0" applyFont="1" applyAlignment="1">
      <alignment horizontal="center"/>
    </xf>
  </cellXfs>
  <cellStyles count="6">
    <cellStyle name="Comma" xfId="1" builtinId="3"/>
    <cellStyle name="Hyperlink" xfId="2" builtinId="8"/>
    <cellStyle name="Normal" xfId="0" builtinId="0"/>
    <cellStyle name="Normal_ORP" xfId="4"/>
    <cellStyle name="Normal_Tax Tables" xfId="5"/>
    <cellStyle name="Percent" xfId="3" builtinId="5"/>
  </cellStyles>
  <dxfs count="13">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CC66FF"/>
      <rgbColor rgb="0078FA62"/>
      <rgbColor rgb="008FB4FF"/>
      <rgbColor rgb="00FFB03B"/>
      <rgbColor rgb="00FF8080"/>
      <rgbColor rgb="000066CC"/>
      <rgbColor rgb="00CCCCFF"/>
      <rgbColor rgb="00000080"/>
      <rgbColor rgb="00FF00FF"/>
      <rgbColor rgb="00FFFF00"/>
      <rgbColor rgb="0000FFFF"/>
      <rgbColor rgb="00FF4B4B"/>
      <rgbColor rgb="00800000"/>
      <rgbColor rgb="00008080"/>
      <rgbColor rgb="000000FF"/>
      <rgbColor rgb="0000CCFF"/>
      <rgbColor rgb="00CCFFFF"/>
      <rgbColor rgb="00CCFFCC"/>
      <rgbColor rgb="00EEF95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FF0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3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baseline="0"/>
              <a:t>Portfolio and Roth Conversion Balances </a:t>
            </a:r>
          </a:p>
        </c:rich>
      </c:tx>
      <c:layout>
        <c:manualLayout>
          <c:xMode val="edge"/>
          <c:yMode val="edge"/>
          <c:x val="0.17456218575087754"/>
          <c:y val="2.7063429571303588E-2"/>
        </c:manualLayout>
      </c:layout>
      <c:overlay val="0"/>
      <c:spPr>
        <a:noFill/>
        <a:ln w="25400">
          <a:noFill/>
        </a:ln>
      </c:spPr>
    </c:title>
    <c:autoTitleDeleted val="0"/>
    <c:plotArea>
      <c:layout>
        <c:manualLayout>
          <c:layoutTarget val="inner"/>
          <c:xMode val="edge"/>
          <c:yMode val="edge"/>
          <c:x val="0.1539096675415573"/>
          <c:y val="0.22372946161043072"/>
          <c:w val="0.82404855643044617"/>
          <c:h val="0.61017125893753832"/>
        </c:manualLayout>
      </c:layout>
      <c:barChart>
        <c:barDir val="col"/>
        <c:grouping val="clustered"/>
        <c:varyColors val="0"/>
        <c:ser>
          <c:idx val="0"/>
          <c:order val="0"/>
          <c:tx>
            <c:v>With Conversion</c:v>
          </c:tx>
          <c:spPr>
            <a:solidFill>
              <a:srgbClr val="0070C0"/>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Details!$F$259:$AS$259</c:f>
              <c:numCache>
                <c:formatCode>_(* #,##0_);_(* \(#,##0\);_(* "-"??_);_(@_)</c:formatCode>
                <c:ptCount val="40"/>
                <c:pt idx="0" formatCode="#,##0_);\(#,##0\)">
                  <c:v>1003900</c:v>
                </c:pt>
                <c:pt idx="1">
                  <c:v>1020200</c:v>
                </c:pt>
                <c:pt idx="2">
                  <c:v>1023600</c:v>
                </c:pt>
                <c:pt idx="3">
                  <c:v>1026400</c:v>
                </c:pt>
                <c:pt idx="4">
                  <c:v>1028500</c:v>
                </c:pt>
                <c:pt idx="5">
                  <c:v>1050200</c:v>
                </c:pt>
                <c:pt idx="6">
                  <c:v>1072700</c:v>
                </c:pt>
                <c:pt idx="7">
                  <c:v>1094600</c:v>
                </c:pt>
                <c:pt idx="8">
                  <c:v>1169500</c:v>
                </c:pt>
                <c:pt idx="9">
                  <c:v>1219000</c:v>
                </c:pt>
                <c:pt idx="10">
                  <c:v>1189100</c:v>
                </c:pt>
                <c:pt idx="11">
                  <c:v>1340600</c:v>
                </c:pt>
                <c:pt idx="12">
                  <c:v>1377500</c:v>
                </c:pt>
                <c:pt idx="13">
                  <c:v>1436400</c:v>
                </c:pt>
                <c:pt idx="14">
                  <c:v>1417200</c:v>
                </c:pt>
                <c:pt idx="15">
                  <c:v>1599600</c:v>
                </c:pt>
                <c:pt idx="16">
                  <c:v>1671600</c:v>
                </c:pt>
                <c:pt idx="17">
                  <c:v>1746500</c:v>
                </c:pt>
                <c:pt idx="18">
                  <c:v>1786500</c:v>
                </c:pt>
                <c:pt idx="19">
                  <c:v>1827200</c:v>
                </c:pt>
                <c:pt idx="20">
                  <c:v>1868600</c:v>
                </c:pt>
                <c:pt idx="21">
                  <c:v>1910200</c:v>
                </c:pt>
                <c:pt idx="22">
                  <c:v>2356100</c:v>
                </c:pt>
                <c:pt idx="23">
                  <c:v>2414800</c:v>
                </c:pt>
                <c:pt idx="24">
                  <c:v>2544900</c:v>
                </c:pt>
                <c:pt idx="25">
                  <c:v>2576100</c:v>
                </c:pt>
                <c:pt idx="26">
                  <c:v>2606300</c:v>
                </c:pt>
                <c:pt idx="27">
                  <c:v>2638500</c:v>
                </c:pt>
                <c:pt idx="28">
                  <c:v>2670800</c:v>
                </c:pt>
                <c:pt idx="29">
                  <c:v>2702400</c:v>
                </c:pt>
                <c:pt idx="30">
                  <c:v>0</c:v>
                </c:pt>
                <c:pt idx="31">
                  <c:v>0</c:v>
                </c:pt>
                <c:pt idx="32">
                  <c:v>0</c:v>
                </c:pt>
                <c:pt idx="33">
                  <c:v>0</c:v>
                </c:pt>
                <c:pt idx="34">
                  <c:v>0</c:v>
                </c:pt>
                <c:pt idx="35">
                  <c:v>0</c:v>
                </c:pt>
                <c:pt idx="36">
                  <c:v>0</c:v>
                </c:pt>
                <c:pt idx="37">
                  <c:v>0</c:v>
                </c:pt>
                <c:pt idx="38">
                  <c:v>0</c:v>
                </c:pt>
                <c:pt idx="39">
                  <c:v>0</c:v>
                </c:pt>
              </c:numCache>
            </c:numRef>
          </c:val>
        </c:ser>
        <c:ser>
          <c:idx val="1"/>
          <c:order val="2"/>
          <c:tx>
            <c:v>Without</c:v>
          </c:tx>
          <c:spPr>
            <a:solidFill>
              <a:srgbClr val="FF0000"/>
            </a:solidFill>
            <a:ln w="19050">
              <a:noFill/>
            </a:ln>
          </c:spPr>
          <c:invertIfNegative val="0"/>
          <c:val>
            <c:numRef>
              <c:f>Base!$F$259:$AS$259</c:f>
              <c:numCache>
                <c:formatCode>_(* #,##0_);_(* \(#,##0\);_(* "-"??_);_(@_)</c:formatCode>
                <c:ptCount val="40"/>
                <c:pt idx="0" formatCode="#,##0_);\(#,##0\)">
                  <c:v>1003900</c:v>
                </c:pt>
                <c:pt idx="1">
                  <c:v>1020200</c:v>
                </c:pt>
                <c:pt idx="2">
                  <c:v>1023600</c:v>
                </c:pt>
                <c:pt idx="3">
                  <c:v>1026400</c:v>
                </c:pt>
                <c:pt idx="4">
                  <c:v>1028500</c:v>
                </c:pt>
                <c:pt idx="5">
                  <c:v>1050200</c:v>
                </c:pt>
                <c:pt idx="6">
                  <c:v>1072700</c:v>
                </c:pt>
                <c:pt idx="7">
                  <c:v>1094600</c:v>
                </c:pt>
                <c:pt idx="8">
                  <c:v>1169500</c:v>
                </c:pt>
                <c:pt idx="9">
                  <c:v>1219000</c:v>
                </c:pt>
                <c:pt idx="10">
                  <c:v>1189100</c:v>
                </c:pt>
                <c:pt idx="11">
                  <c:v>1340600</c:v>
                </c:pt>
                <c:pt idx="12">
                  <c:v>1377500</c:v>
                </c:pt>
                <c:pt idx="13">
                  <c:v>1436400</c:v>
                </c:pt>
                <c:pt idx="14">
                  <c:v>1417200</c:v>
                </c:pt>
                <c:pt idx="15">
                  <c:v>1599600</c:v>
                </c:pt>
                <c:pt idx="16">
                  <c:v>1671600</c:v>
                </c:pt>
                <c:pt idx="17">
                  <c:v>1746500</c:v>
                </c:pt>
                <c:pt idx="18">
                  <c:v>1786500</c:v>
                </c:pt>
                <c:pt idx="19">
                  <c:v>1827200</c:v>
                </c:pt>
                <c:pt idx="20">
                  <c:v>1868600</c:v>
                </c:pt>
                <c:pt idx="21">
                  <c:v>1910200</c:v>
                </c:pt>
                <c:pt idx="22">
                  <c:v>2356100</c:v>
                </c:pt>
                <c:pt idx="23">
                  <c:v>2414800</c:v>
                </c:pt>
                <c:pt idx="24">
                  <c:v>2544900</c:v>
                </c:pt>
                <c:pt idx="25">
                  <c:v>2576100</c:v>
                </c:pt>
                <c:pt idx="26">
                  <c:v>2606300</c:v>
                </c:pt>
                <c:pt idx="27">
                  <c:v>2638500</c:v>
                </c:pt>
                <c:pt idx="28">
                  <c:v>2670800</c:v>
                </c:pt>
                <c:pt idx="29">
                  <c:v>2702400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40"/>
        <c:axId val="218002496"/>
        <c:axId val="218024256"/>
      </c:barChart>
      <c:lineChart>
        <c:grouping val="standard"/>
        <c:varyColors val="0"/>
        <c:ser>
          <c:idx val="2"/>
          <c:order val="1"/>
          <c:tx>
            <c:v>Roth Conv</c:v>
          </c:tx>
          <c:spPr>
            <a:ln w="19050">
              <a:noFill/>
            </a:ln>
          </c:spPr>
          <c:marker>
            <c:symbol val="dash"/>
            <c:size val="14"/>
            <c:spPr>
              <a:solidFill>
                <a:schemeClr val="tx1"/>
              </a:solidFill>
              <a:ln>
                <a:solidFill>
                  <a:schemeClr val="tx1"/>
                </a:solidFill>
                <a:prstDash val="solid"/>
              </a:ln>
            </c:spPr>
          </c:marker>
          <c:val>
            <c:numRef>
              <c:f>Details!$F$258:$AS$258</c:f>
              <c:numCache>
                <c:formatCode>_(* #,##0_);_(* \(#,##0\);_(* "-"??_);_(@_)</c:formatCode>
                <c:ptCount val="40"/>
                <c:pt idx="0" formatCode="#,##0_);\(#,##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mooth val="0"/>
        </c:ser>
        <c:dLbls>
          <c:showLegendKey val="0"/>
          <c:showVal val="0"/>
          <c:showCatName val="0"/>
          <c:showSerName val="0"/>
          <c:showPercent val="0"/>
          <c:showBubbleSize val="0"/>
        </c:dLbls>
        <c:marker val="1"/>
        <c:smooth val="0"/>
        <c:axId val="218002496"/>
        <c:axId val="218024256"/>
      </c:lineChart>
      <c:catAx>
        <c:axId val="218002496"/>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8024256"/>
        <c:crosses val="autoZero"/>
        <c:auto val="1"/>
        <c:lblAlgn val="ctr"/>
        <c:lblOffset val="100"/>
        <c:tickLblSkip val="3"/>
        <c:tickMarkSkip val="1"/>
        <c:noMultiLvlLbl val="0"/>
      </c:catAx>
      <c:valAx>
        <c:axId val="218024256"/>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8002496"/>
        <c:crosses val="autoZero"/>
        <c:crossBetween val="between"/>
        <c:dispUnits>
          <c:builtInUnit val="thousands"/>
          <c:dispUnitsLbl>
            <c:layout>
              <c:manualLayout>
                <c:xMode val="edge"/>
                <c:yMode val="edge"/>
                <c:x val="1.6589981975144674E-2"/>
                <c:y val="0.34675853018372704"/>
              </c:manualLayout>
            </c:layout>
            <c:txPr>
              <a:bodyPr/>
              <a:lstStyle/>
              <a:p>
                <a:pPr>
                  <a:defRPr sz="1000"/>
                </a:pPr>
                <a:endParaRPr lang="en-US"/>
              </a:p>
            </c:txPr>
          </c:dispUnitsLbl>
        </c:dispUnits>
      </c:valAx>
      <c:spPr>
        <a:solidFill>
          <a:srgbClr val="FFFFFF"/>
        </a:solidFill>
        <a:ln w="12700">
          <a:solidFill>
            <a:srgbClr val="808080"/>
          </a:solidFill>
          <a:prstDash val="solid"/>
        </a:ln>
      </c:spPr>
    </c:plotArea>
    <c:legend>
      <c:legendPos val="r"/>
      <c:legendEntry>
        <c:idx val="0"/>
        <c:txPr>
          <a:bodyPr/>
          <a:lstStyle/>
          <a:p>
            <a:pPr>
              <a:defRPr sz="1000" b="0" i="0" u="none" strike="noStrike" baseline="0">
                <a:solidFill>
                  <a:srgbClr val="0070C0"/>
                </a:solidFill>
                <a:latin typeface="Arial"/>
                <a:ea typeface="Arial"/>
                <a:cs typeface="Arial"/>
              </a:defRPr>
            </a:pPr>
            <a:endParaRPr lang="en-US"/>
          </a:p>
        </c:txPr>
      </c:legendEntry>
      <c:legendEntry>
        <c:idx val="1"/>
        <c:txPr>
          <a:bodyPr/>
          <a:lstStyle/>
          <a:p>
            <a:pPr>
              <a:defRPr sz="1000" b="0" i="0" u="none" strike="noStrike" baseline="0">
                <a:solidFill>
                  <a:srgbClr val="FF0000"/>
                </a:solidFill>
                <a:latin typeface="Arial"/>
                <a:ea typeface="Arial"/>
                <a:cs typeface="Arial"/>
              </a:defRPr>
            </a:pPr>
            <a:endParaRPr lang="en-US"/>
          </a:p>
        </c:txPr>
      </c:legendEntry>
      <c:layout>
        <c:manualLayout>
          <c:xMode val="edge"/>
          <c:yMode val="edge"/>
          <c:x val="0.21443008253486387"/>
          <c:y val="0.13212598425196848"/>
          <c:w val="0.69316265060240967"/>
          <c:h val="7.1778652668416446E-2"/>
        </c:manualLayout>
      </c:layout>
      <c:overlay val="0"/>
      <c:spPr>
        <a:solidFill>
          <a:schemeClr val="accent3">
            <a:lumMod val="20000"/>
            <a:lumOff val="80000"/>
          </a:schemeClr>
        </a:solid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accent3">
        <a:lumMod val="20000"/>
        <a:lumOff val="80000"/>
      </a:schemeClr>
    </a:solid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0"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rgbClr val="000000"/>
                </a:solidFill>
                <a:latin typeface="Arial"/>
                <a:ea typeface="Arial"/>
                <a:cs typeface="Arial"/>
              </a:defRPr>
            </a:pPr>
            <a:r>
              <a:rPr lang="en-US" sz="1200"/>
              <a:t>Roth Conversion IRA Account Balance</a:t>
            </a:r>
          </a:p>
        </c:rich>
      </c:tx>
      <c:layout>
        <c:manualLayout>
          <c:xMode val="edge"/>
          <c:yMode val="edge"/>
          <c:x val="0.14763888888888888"/>
          <c:y val="4.7425634295713032E-2"/>
        </c:manualLayout>
      </c:layout>
      <c:overlay val="0"/>
      <c:spPr>
        <a:noFill/>
        <a:ln w="25400">
          <a:noFill/>
        </a:ln>
        <a:effectLst/>
      </c:spPr>
      <c:txPr>
        <a:bodyPr rot="0" spcFirstLastPara="1" vertOverflow="ellipsis" vert="horz" wrap="square" anchor="ctr" anchorCtr="1"/>
        <a:lstStyle/>
        <a:p>
          <a:pPr>
            <a:defRPr sz="12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8759213692038496"/>
          <c:y val="0.20975697188143289"/>
          <c:w val="0.78054325240594924"/>
          <c:h val="0.61450087489063876"/>
        </c:manualLayout>
      </c:layout>
      <c:barChart>
        <c:barDir val="col"/>
        <c:grouping val="clustered"/>
        <c:varyColors val="0"/>
        <c:ser>
          <c:idx val="0"/>
          <c:order val="0"/>
          <c:spPr>
            <a:solidFill>
              <a:srgbClr val="0070C0"/>
            </a:solidFill>
            <a:ln>
              <a:solidFill>
                <a:schemeClr val="accent1"/>
              </a:solidFill>
            </a:ln>
            <a:effectLst/>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Details!$F$258:$AS$258</c:f>
              <c:numCache>
                <c:formatCode>_(* #,##0_);_(* \(#,##0\);_(* "-"??_);_(@_)</c:formatCode>
                <c:ptCount val="40"/>
                <c:pt idx="0" formatCode="#,##0_);\(#,##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40"/>
        <c:axId val="217995968"/>
        <c:axId val="218000864"/>
      </c:barChart>
      <c:catAx>
        <c:axId val="217995968"/>
        <c:scaling>
          <c:orientation val="minMax"/>
        </c:scaling>
        <c:delete val="0"/>
        <c:axPos val="b"/>
        <c:numFmt formatCode="#,##0" sourceLinked="1"/>
        <c:majorTickMark val="out"/>
        <c:minorTickMark val="none"/>
        <c:tickLblPos val="nextTo"/>
        <c:spPr>
          <a:noFill/>
          <a:ln w="3175" cap="flat" cmpd="sng" algn="ctr">
            <a:solidFill>
              <a:srgbClr val="000000"/>
            </a:solidFill>
            <a:prstDash val="solid"/>
            <a:round/>
          </a:ln>
          <a:effectLst/>
        </c:spPr>
        <c:txPr>
          <a:bodyPr rot="-5400000" spcFirstLastPara="1" vertOverflow="ellipsis" wrap="square" anchor="ctr" anchorCtr="1"/>
          <a:lstStyle/>
          <a:p>
            <a:pPr>
              <a:defRPr sz="1000" b="0" i="0" u="none" strike="noStrike" kern="1200" baseline="0">
                <a:solidFill>
                  <a:srgbClr val="000000"/>
                </a:solidFill>
                <a:latin typeface="Arial"/>
                <a:ea typeface="Arial"/>
                <a:cs typeface="Arial"/>
              </a:defRPr>
            </a:pPr>
            <a:endParaRPr lang="en-US"/>
          </a:p>
        </c:txPr>
        <c:crossAx val="218000864"/>
        <c:crosses val="autoZero"/>
        <c:auto val="1"/>
        <c:lblAlgn val="ctr"/>
        <c:lblOffset val="100"/>
        <c:tickLblSkip val="3"/>
        <c:noMultiLvlLbl val="0"/>
      </c:catAx>
      <c:valAx>
        <c:axId val="218000864"/>
        <c:scaling>
          <c:orientation val="minMax"/>
        </c:scaling>
        <c:delete val="0"/>
        <c:axPos val="l"/>
        <c:majorGridlines>
          <c:spPr>
            <a:ln w="3175" cap="flat" cmpd="sng" algn="ctr">
              <a:solidFill>
                <a:srgbClr val="000000"/>
              </a:solidFill>
              <a:prstDash val="solid"/>
              <a:round/>
            </a:ln>
            <a:effectLst/>
          </c:spPr>
        </c:majorGridlines>
        <c:numFmt formatCode="#,##0_);\(#,##0\)" sourceLinked="1"/>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000" b="0" i="0" u="none" strike="noStrike" kern="1200" baseline="0">
                <a:solidFill>
                  <a:srgbClr val="000000"/>
                </a:solidFill>
                <a:latin typeface="Arial"/>
                <a:ea typeface="Arial"/>
                <a:cs typeface="Arial"/>
              </a:defRPr>
            </a:pPr>
            <a:endParaRPr lang="en-US"/>
          </a:p>
        </c:txPr>
        <c:crossAx val="217995968"/>
        <c:crosses val="autoZero"/>
        <c:crossBetween val="between"/>
        <c:dispUnits>
          <c:builtInUnit val="thousands"/>
          <c:dispUnitsLbl>
            <c:layout>
              <c:manualLayout>
                <c:xMode val="edge"/>
                <c:yMode val="edge"/>
                <c:x val="1.2151410761154856E-2"/>
                <c:y val="0.37618460192475944"/>
              </c:manualLayout>
            </c:layout>
            <c:spPr>
              <a:noFill/>
              <a:ln>
                <a:noFill/>
              </a:ln>
              <a:effectLst/>
            </c:spPr>
            <c:txPr>
              <a:bodyPr rot="-5400000" spcFirstLastPara="1" vertOverflow="ellipsis" vert="horz" wrap="square" anchor="ctr" anchorCtr="1"/>
              <a:lstStyle/>
              <a:p>
                <a:pPr>
                  <a:defRPr sz="1000" b="0" i="0" u="none" strike="noStrike" kern="1200" baseline="0">
                    <a:solidFill>
                      <a:srgbClr val="000000"/>
                    </a:solidFill>
                    <a:latin typeface="Arial"/>
                    <a:ea typeface="Arial"/>
                    <a:cs typeface="Arial"/>
                  </a:defRPr>
                </a:pPr>
                <a:endParaRPr lang="en-US"/>
              </a:p>
            </c:txPr>
          </c:dispUnitsLbl>
        </c:dispUnits>
      </c:valAx>
      <c:spPr>
        <a:solidFill>
          <a:srgbClr val="FFFFFF"/>
        </a:solidFill>
        <a:ln w="12700">
          <a:solidFill>
            <a:srgbClr val="808080"/>
          </a:solidFill>
          <a:prstDash val="solid"/>
        </a:ln>
        <a:effectLst/>
      </c:spPr>
    </c:plotArea>
    <c:plotVisOnly val="1"/>
    <c:dispBlanksAs val="gap"/>
    <c:showDLblsOverMax val="0"/>
  </c:chart>
  <c:spPr>
    <a:solidFill>
      <a:schemeClr val="accent3">
        <a:lumMod val="20000"/>
        <a:lumOff val="80000"/>
      </a:schemeClr>
    </a:solidFill>
    <a:ln w="6350" cap="flat" cmpd="sng" algn="ctr">
      <a:noFill/>
      <a:prstDash val="solid"/>
      <a:round/>
    </a:ln>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State Income Taxes</a:t>
            </a:r>
          </a:p>
        </c:rich>
      </c:tx>
      <c:layout>
        <c:manualLayout>
          <c:xMode val="edge"/>
          <c:yMode val="edge"/>
          <c:x val="0.28830896137982748"/>
          <c:y val="3.4722222222222224E-2"/>
        </c:manualLayout>
      </c:layout>
      <c:overlay val="0"/>
      <c:spPr>
        <a:noFill/>
        <a:ln w="25400">
          <a:noFill/>
        </a:ln>
      </c:spPr>
    </c:title>
    <c:autoTitleDeleted val="0"/>
    <c:plotArea>
      <c:layout>
        <c:manualLayout>
          <c:layoutTarget val="inner"/>
          <c:xMode val="edge"/>
          <c:yMode val="edge"/>
          <c:x val="0.14510176359534005"/>
          <c:y val="0.19397993311036787"/>
          <c:w val="0.82444069491313587"/>
          <c:h val="0.61043744531933508"/>
        </c:manualLayout>
      </c:layout>
      <c:barChart>
        <c:barDir val="col"/>
        <c:grouping val="clustered"/>
        <c:varyColors val="0"/>
        <c:ser>
          <c:idx val="1"/>
          <c:order val="0"/>
          <c:tx>
            <c:v>Full</c:v>
          </c:tx>
          <c:spPr>
            <a:solidFill>
              <a:srgbClr val="0000FF"/>
            </a:solidFill>
            <a:ln w="25400">
              <a:noFill/>
            </a:ln>
          </c:spPr>
          <c:invertIfNegative val="0"/>
          <c:cat>
            <c:numRef>
              <c:f>Results!$F$1:$AS$1</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Details!$F$227:$AS$227</c:f>
              <c:numCache>
                <c:formatCode>_(* #,##0_);_(* \(#,##0\);_(* "-"??_);_(@_)</c:formatCode>
                <c:ptCount val="40"/>
                <c:pt idx="0" formatCode="#,##0_);\(#,##0\)">
                  <c:v>1100</c:v>
                </c:pt>
                <c:pt idx="1">
                  <c:v>1600</c:v>
                </c:pt>
                <c:pt idx="2">
                  <c:v>1000</c:v>
                </c:pt>
                <c:pt idx="3">
                  <c:v>1000</c:v>
                </c:pt>
                <c:pt idx="4">
                  <c:v>1100</c:v>
                </c:pt>
                <c:pt idx="5">
                  <c:v>1100</c:v>
                </c:pt>
                <c:pt idx="6">
                  <c:v>1100</c:v>
                </c:pt>
                <c:pt idx="7">
                  <c:v>2000</c:v>
                </c:pt>
                <c:pt idx="8">
                  <c:v>600</c:v>
                </c:pt>
                <c:pt idx="9">
                  <c:v>600</c:v>
                </c:pt>
                <c:pt idx="10">
                  <c:v>600</c:v>
                </c:pt>
                <c:pt idx="11">
                  <c:v>700</c:v>
                </c:pt>
                <c:pt idx="12">
                  <c:v>900</c:v>
                </c:pt>
                <c:pt idx="13">
                  <c:v>1000</c:v>
                </c:pt>
                <c:pt idx="14">
                  <c:v>1400</c:v>
                </c:pt>
                <c:pt idx="15">
                  <c:v>1700</c:v>
                </c:pt>
                <c:pt idx="16">
                  <c:v>2100</c:v>
                </c:pt>
                <c:pt idx="17">
                  <c:v>2200</c:v>
                </c:pt>
                <c:pt idx="18">
                  <c:v>2000</c:v>
                </c:pt>
                <c:pt idx="19">
                  <c:v>2000</c:v>
                </c:pt>
                <c:pt idx="20">
                  <c:v>2100</c:v>
                </c:pt>
                <c:pt idx="21">
                  <c:v>2300</c:v>
                </c:pt>
                <c:pt idx="22">
                  <c:v>6700</c:v>
                </c:pt>
                <c:pt idx="23">
                  <c:v>7400</c:v>
                </c:pt>
                <c:pt idx="24">
                  <c:v>7300</c:v>
                </c:pt>
                <c:pt idx="25">
                  <c:v>7600</c:v>
                </c:pt>
                <c:pt idx="26">
                  <c:v>7700</c:v>
                </c:pt>
                <c:pt idx="27">
                  <c:v>7200</c:v>
                </c:pt>
                <c:pt idx="28">
                  <c:v>7200</c:v>
                </c:pt>
                <c:pt idx="29">
                  <c:v>7400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40"/>
        <c:axId val="218001408"/>
        <c:axId val="217993792"/>
      </c:barChart>
      <c:catAx>
        <c:axId val="218001408"/>
        <c:scaling>
          <c:orientation val="minMax"/>
        </c:scaling>
        <c:delete val="0"/>
        <c:axPos val="b"/>
        <c:numFmt formatCode="0" sourceLinked="0"/>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7993792"/>
        <c:crosses val="autoZero"/>
        <c:auto val="0"/>
        <c:lblAlgn val="ctr"/>
        <c:lblOffset val="100"/>
        <c:tickLblSkip val="3"/>
        <c:tickMarkSkip val="1"/>
        <c:noMultiLvlLbl val="0"/>
      </c:catAx>
      <c:valAx>
        <c:axId val="217993792"/>
        <c:scaling>
          <c:orientation val="minMax"/>
        </c:scaling>
        <c:delete val="0"/>
        <c:axPos val="l"/>
        <c:majorGridlines>
          <c:spPr>
            <a:ln w="12700">
              <a:solidFill>
                <a:srgbClr val="C0C0C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8001408"/>
        <c:crosses val="autoZero"/>
        <c:crossBetween val="between"/>
        <c:dispUnits>
          <c:builtInUnit val="thousands"/>
          <c:dispUnitsLbl>
            <c:layout>
              <c:manualLayout>
                <c:xMode val="edge"/>
                <c:yMode val="edge"/>
                <c:x val="1.0734283214598175E-2"/>
                <c:y val="0.32687062554680663"/>
              </c:manualLayout>
            </c:layout>
            <c:txPr>
              <a:bodyPr/>
              <a:lstStyle/>
              <a:p>
                <a:pPr>
                  <a:defRPr sz="1000"/>
                </a:pPr>
                <a:endParaRPr lang="en-US"/>
              </a:p>
            </c:txPr>
          </c:dispUnitsLbl>
        </c:dispUnits>
      </c:valAx>
      <c:spPr>
        <a:solidFill>
          <a:srgbClr val="FFFFFF"/>
        </a:solidFill>
        <a:ln w="12700">
          <a:solidFill>
            <a:srgbClr val="808080"/>
          </a:solidFill>
          <a:prstDash val="solid"/>
        </a:ln>
      </c:spPr>
    </c:plotArea>
    <c:plotVisOnly val="1"/>
    <c:dispBlanksAs val="gap"/>
    <c:showDLblsOverMax val="0"/>
  </c:chart>
  <c:spPr>
    <a:solidFill>
      <a:schemeClr val="accent3">
        <a:lumMod val="20000"/>
        <a:lumOff val="80000"/>
      </a:schemeClr>
    </a:solidFill>
    <a:ln w="6350">
      <a:noFill/>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baseline="0"/>
              <a:t>Marginal</a:t>
            </a:r>
            <a:r>
              <a:rPr lang="en-US"/>
              <a:t> Federal Tax Rates</a:t>
            </a:r>
          </a:p>
        </c:rich>
      </c:tx>
      <c:layout>
        <c:manualLayout>
          <c:xMode val="edge"/>
          <c:yMode val="edge"/>
          <c:x val="0.19360204974378203"/>
          <c:y val="3.0609689413823273E-2"/>
        </c:manualLayout>
      </c:layout>
      <c:overlay val="0"/>
      <c:spPr>
        <a:noFill/>
        <a:ln w="25400">
          <a:noFill/>
        </a:ln>
      </c:spPr>
    </c:title>
    <c:autoTitleDeleted val="0"/>
    <c:plotArea>
      <c:layout>
        <c:manualLayout>
          <c:layoutTarget val="inner"/>
          <c:xMode val="edge"/>
          <c:yMode val="edge"/>
          <c:x val="0.16079338387882422"/>
          <c:y val="0.19232112785034819"/>
          <c:w val="0.81277751577104285"/>
          <c:h val="0.61802375859086978"/>
        </c:manualLayout>
      </c:layout>
      <c:lineChart>
        <c:grouping val="standard"/>
        <c:varyColors val="0"/>
        <c:ser>
          <c:idx val="1"/>
          <c:order val="0"/>
          <c:tx>
            <c:v>Full</c:v>
          </c:tx>
          <c:spPr>
            <a:ln w="19050">
              <a:noFill/>
            </a:ln>
          </c:spPr>
          <c:marker>
            <c:symbol val="square"/>
            <c:size val="5"/>
            <c:spPr>
              <a:solidFill>
                <a:srgbClr val="0000FF"/>
              </a:solidFill>
              <a:ln w="3175">
                <a:noFill/>
                <a:prstDash val="solid"/>
              </a:ln>
            </c:spPr>
          </c:marker>
          <c:cat>
            <c:numRef>
              <c:f>Results!$F$1:$AS$1</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Details!$F$204:$AS$204</c:f>
              <c:numCache>
                <c:formatCode>0.0%</c:formatCode>
                <c:ptCount val="40"/>
                <c:pt idx="0">
                  <c:v>0.12</c:v>
                </c:pt>
                <c:pt idx="1">
                  <c:v>0.12</c:v>
                </c:pt>
                <c:pt idx="2">
                  <c:v>0.12</c:v>
                </c:pt>
                <c:pt idx="3">
                  <c:v>0.12</c:v>
                </c:pt>
                <c:pt idx="4">
                  <c:v>0.12</c:v>
                </c:pt>
                <c:pt idx="5">
                  <c:v>0.12</c:v>
                </c:pt>
                <c:pt idx="6">
                  <c:v>0.12</c:v>
                </c:pt>
                <c:pt idx="7">
                  <c:v>0.12</c:v>
                </c:pt>
                <c:pt idx="8">
                  <c:v>0.12</c:v>
                </c:pt>
                <c:pt idx="9">
                  <c:v>0.12</c:v>
                </c:pt>
                <c:pt idx="10">
                  <c:v>0.12</c:v>
                </c:pt>
                <c:pt idx="11">
                  <c:v>0.12</c:v>
                </c:pt>
                <c:pt idx="12">
                  <c:v>0.12</c:v>
                </c:pt>
                <c:pt idx="13">
                  <c:v>0.12</c:v>
                </c:pt>
                <c:pt idx="14">
                  <c:v>0.12</c:v>
                </c:pt>
                <c:pt idx="15">
                  <c:v>0.12</c:v>
                </c:pt>
                <c:pt idx="16">
                  <c:v>0.12</c:v>
                </c:pt>
                <c:pt idx="17">
                  <c:v>0.12</c:v>
                </c:pt>
                <c:pt idx="18">
                  <c:v>0.12</c:v>
                </c:pt>
                <c:pt idx="19">
                  <c:v>0.12</c:v>
                </c:pt>
                <c:pt idx="20">
                  <c:v>0.12</c:v>
                </c:pt>
                <c:pt idx="21">
                  <c:v>0.12</c:v>
                </c:pt>
                <c:pt idx="22">
                  <c:v>0.12</c:v>
                </c:pt>
                <c:pt idx="23">
                  <c:v>0.12</c:v>
                </c:pt>
                <c:pt idx="24">
                  <c:v>0.22</c:v>
                </c:pt>
                <c:pt idx="25">
                  <c:v>0.22</c:v>
                </c:pt>
                <c:pt idx="26">
                  <c:v>0.22</c:v>
                </c:pt>
                <c:pt idx="27">
                  <c:v>0.22</c:v>
                </c:pt>
                <c:pt idx="28">
                  <c:v>0.22</c:v>
                </c:pt>
                <c:pt idx="29">
                  <c:v>0.22</c:v>
                </c:pt>
                <c:pt idx="30">
                  <c:v>0</c:v>
                </c:pt>
                <c:pt idx="31">
                  <c:v>0</c:v>
                </c:pt>
                <c:pt idx="32">
                  <c:v>0</c:v>
                </c:pt>
                <c:pt idx="33">
                  <c:v>0</c:v>
                </c:pt>
                <c:pt idx="34">
                  <c:v>0</c:v>
                </c:pt>
                <c:pt idx="35">
                  <c:v>0</c:v>
                </c:pt>
                <c:pt idx="36">
                  <c:v>0</c:v>
                </c:pt>
                <c:pt idx="37">
                  <c:v>0</c:v>
                </c:pt>
                <c:pt idx="38">
                  <c:v>0</c:v>
                </c:pt>
                <c:pt idx="39">
                  <c:v>0</c:v>
                </c:pt>
              </c:numCache>
            </c:numRef>
          </c:val>
          <c:smooth val="0"/>
        </c:ser>
        <c:dLbls>
          <c:showLegendKey val="0"/>
          <c:showVal val="0"/>
          <c:showCatName val="0"/>
          <c:showSerName val="0"/>
          <c:showPercent val="0"/>
          <c:showBubbleSize val="0"/>
        </c:dLbls>
        <c:marker val="1"/>
        <c:smooth val="0"/>
        <c:axId val="218013376"/>
        <c:axId val="218018816"/>
      </c:lineChart>
      <c:catAx>
        <c:axId val="218013376"/>
        <c:scaling>
          <c:orientation val="minMax"/>
        </c:scaling>
        <c:delete val="0"/>
        <c:axPos val="b"/>
        <c:numFmt formatCode="0" sourceLinked="0"/>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8018816"/>
        <c:crosses val="autoZero"/>
        <c:auto val="0"/>
        <c:lblAlgn val="ctr"/>
        <c:lblOffset val="100"/>
        <c:tickLblSkip val="3"/>
        <c:tickMarkSkip val="1"/>
        <c:noMultiLvlLbl val="0"/>
      </c:catAx>
      <c:valAx>
        <c:axId val="218018816"/>
        <c:scaling>
          <c:orientation val="minMax"/>
          <c:max val="0.37000000000000005"/>
          <c:min val="0"/>
        </c:scaling>
        <c:delete val="0"/>
        <c:axPos val="l"/>
        <c:majorGridlines>
          <c:spPr>
            <a:ln w="12700">
              <a:solidFill>
                <a:srgbClr val="C0C0C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8013376"/>
        <c:crosses val="autoZero"/>
        <c:crossBetween val="between"/>
        <c:majorUnit val="5.000000000000001E-2"/>
      </c:valAx>
      <c:spPr>
        <a:solidFill>
          <a:srgbClr val="FFFFFF"/>
        </a:solidFill>
        <a:ln w="12700">
          <a:solidFill>
            <a:srgbClr val="808080"/>
          </a:solidFill>
          <a:prstDash val="solid"/>
        </a:ln>
      </c:spPr>
    </c:plotArea>
    <c:plotVisOnly val="1"/>
    <c:dispBlanksAs val="gap"/>
    <c:showDLblsOverMax val="0"/>
  </c:chart>
  <c:spPr>
    <a:solidFill>
      <a:schemeClr val="accent3">
        <a:lumMod val="20000"/>
        <a:lumOff val="80000"/>
      </a:schemeClr>
    </a:solid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Average Federal Tax Rates</a:t>
            </a:r>
          </a:p>
        </c:rich>
      </c:tx>
      <c:layout>
        <c:manualLayout>
          <c:xMode val="edge"/>
          <c:yMode val="edge"/>
          <c:x val="0.19267154105736783"/>
          <c:y val="3.0042650918635172E-2"/>
        </c:manualLayout>
      </c:layout>
      <c:overlay val="0"/>
      <c:spPr>
        <a:noFill/>
        <a:ln w="25400">
          <a:noFill/>
        </a:ln>
      </c:spPr>
    </c:title>
    <c:autoTitleDeleted val="0"/>
    <c:plotArea>
      <c:layout>
        <c:manualLayout>
          <c:layoutTarget val="inner"/>
          <c:xMode val="edge"/>
          <c:yMode val="edge"/>
          <c:x val="0.13288306555267276"/>
          <c:y val="0.20168201702533181"/>
          <c:w val="0.84009124493469378"/>
          <c:h val="0.59664263369993997"/>
        </c:manualLayout>
      </c:layout>
      <c:lineChart>
        <c:grouping val="standard"/>
        <c:varyColors val="0"/>
        <c:ser>
          <c:idx val="3"/>
          <c:order val="0"/>
          <c:tx>
            <c:v>Full</c:v>
          </c:tx>
          <c:spPr>
            <a:ln w="19050">
              <a:noFill/>
            </a:ln>
          </c:spPr>
          <c:marker>
            <c:symbol val="square"/>
            <c:size val="5"/>
            <c:spPr>
              <a:solidFill>
                <a:srgbClr val="0000FF"/>
              </a:solidFill>
              <a:ln>
                <a:noFill/>
                <a:prstDash val="solid"/>
              </a:ln>
            </c:spPr>
          </c:marker>
          <c:cat>
            <c:numRef>
              <c:f>Results!$F$1:$AS$1</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Details!$F$203:$AS$203</c:f>
              <c:numCache>
                <c:formatCode>0.0%</c:formatCode>
                <c:ptCount val="40"/>
                <c:pt idx="0">
                  <c:v>0.1092436974789916</c:v>
                </c:pt>
                <c:pt idx="1">
                  <c:v>0.11350293542074363</c:v>
                </c:pt>
                <c:pt idx="2">
                  <c:v>0.10928961748633879</c:v>
                </c:pt>
                <c:pt idx="3">
                  <c:v>0.11021505376344086</c:v>
                </c:pt>
                <c:pt idx="4">
                  <c:v>0.10846560846560846</c:v>
                </c:pt>
                <c:pt idx="5">
                  <c:v>0.11363636363636363</c:v>
                </c:pt>
                <c:pt idx="6">
                  <c:v>0.11168384879725086</c:v>
                </c:pt>
                <c:pt idx="7">
                  <c:v>0.1126984126984127</c:v>
                </c:pt>
                <c:pt idx="8">
                  <c:v>0.10875331564986737</c:v>
                </c:pt>
                <c:pt idx="9">
                  <c:v>0.10824742268041238</c:v>
                </c:pt>
                <c:pt idx="10">
                  <c:v>0.10723192019950124</c:v>
                </c:pt>
                <c:pt idx="11">
                  <c:v>0.10874704491725769</c:v>
                </c:pt>
                <c:pt idx="12">
                  <c:v>0.11090225563909774</c:v>
                </c:pt>
                <c:pt idx="13">
                  <c:v>0.1111111111111111</c:v>
                </c:pt>
                <c:pt idx="14">
                  <c:v>0.11286407766990292</c:v>
                </c:pt>
                <c:pt idx="15">
                  <c:v>0.11401673640167365</c:v>
                </c:pt>
                <c:pt idx="16">
                  <c:v>0.11434977578475336</c:v>
                </c:pt>
                <c:pt idx="17">
                  <c:v>0.11375947995666305</c:v>
                </c:pt>
                <c:pt idx="18">
                  <c:v>0.11318553092182031</c:v>
                </c:pt>
                <c:pt idx="19">
                  <c:v>0.11314285714285714</c:v>
                </c:pt>
                <c:pt idx="20">
                  <c:v>0.11356119073869901</c:v>
                </c:pt>
                <c:pt idx="21">
                  <c:v>0.11440677966101695</c:v>
                </c:pt>
                <c:pt idx="22">
                  <c:v>0.11370558375634518</c:v>
                </c:pt>
                <c:pt idx="23">
                  <c:v>0.11380597014925373</c:v>
                </c:pt>
                <c:pt idx="24">
                  <c:v>0.1565059144676979</c:v>
                </c:pt>
                <c:pt idx="25">
                  <c:v>0.15743183817062445</c:v>
                </c:pt>
                <c:pt idx="26">
                  <c:v>0.15716753022452504</c:v>
                </c:pt>
                <c:pt idx="27">
                  <c:v>0.15229357798165138</c:v>
                </c:pt>
                <c:pt idx="28">
                  <c:v>0.15054744525547445</c:v>
                </c:pt>
                <c:pt idx="29">
                  <c:v>0.15013404825737264</c:v>
                </c:pt>
                <c:pt idx="30">
                  <c:v>0</c:v>
                </c:pt>
                <c:pt idx="31">
                  <c:v>0</c:v>
                </c:pt>
                <c:pt idx="32">
                  <c:v>0</c:v>
                </c:pt>
                <c:pt idx="33">
                  <c:v>0</c:v>
                </c:pt>
                <c:pt idx="34">
                  <c:v>0</c:v>
                </c:pt>
                <c:pt idx="35">
                  <c:v>0</c:v>
                </c:pt>
                <c:pt idx="36">
                  <c:v>0</c:v>
                </c:pt>
                <c:pt idx="37">
                  <c:v>0</c:v>
                </c:pt>
                <c:pt idx="38">
                  <c:v>0</c:v>
                </c:pt>
                <c:pt idx="39">
                  <c:v>0</c:v>
                </c:pt>
              </c:numCache>
            </c:numRef>
          </c:val>
          <c:smooth val="0"/>
        </c:ser>
        <c:dLbls>
          <c:showLegendKey val="0"/>
          <c:showVal val="0"/>
          <c:showCatName val="0"/>
          <c:showSerName val="0"/>
          <c:showPercent val="0"/>
          <c:showBubbleSize val="0"/>
        </c:dLbls>
        <c:marker val="1"/>
        <c:smooth val="0"/>
        <c:axId val="218011744"/>
        <c:axId val="218001952"/>
      </c:lineChart>
      <c:catAx>
        <c:axId val="218011744"/>
        <c:scaling>
          <c:orientation val="minMax"/>
        </c:scaling>
        <c:delete val="0"/>
        <c:axPos val="b"/>
        <c:numFmt formatCode="0" sourceLinked="0"/>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8001952"/>
        <c:crosses val="autoZero"/>
        <c:auto val="0"/>
        <c:lblAlgn val="ctr"/>
        <c:lblOffset val="100"/>
        <c:tickLblSkip val="3"/>
        <c:tickMarkSkip val="1"/>
        <c:noMultiLvlLbl val="0"/>
      </c:catAx>
      <c:valAx>
        <c:axId val="218001952"/>
        <c:scaling>
          <c:orientation val="minMax"/>
          <c:max val="0.3"/>
        </c:scaling>
        <c:delete val="0"/>
        <c:axPos val="l"/>
        <c:majorGridlines>
          <c:spPr>
            <a:ln w="12700">
              <a:solidFill>
                <a:srgbClr val="C0C0C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8011744"/>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chemeClr val="accent3">
        <a:lumMod val="20000"/>
        <a:lumOff val="80000"/>
      </a:schemeClr>
    </a:solid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Federal Income Taxes</a:t>
            </a:r>
          </a:p>
        </c:rich>
      </c:tx>
      <c:layout>
        <c:manualLayout>
          <c:xMode val="edge"/>
          <c:yMode val="edge"/>
          <c:x val="0.30827950398415765"/>
          <c:y val="3.5213274721027969E-2"/>
        </c:manualLayout>
      </c:layout>
      <c:overlay val="0"/>
      <c:spPr>
        <a:noFill/>
        <a:ln w="25400">
          <a:noFill/>
        </a:ln>
      </c:spPr>
    </c:title>
    <c:autoTitleDeleted val="0"/>
    <c:plotArea>
      <c:layout>
        <c:manualLayout>
          <c:layoutTarget val="inner"/>
          <c:xMode val="edge"/>
          <c:yMode val="edge"/>
          <c:x val="0.15843769528808896"/>
          <c:y val="0.19512244917055777"/>
          <c:w val="0.82226440444944382"/>
          <c:h val="0.6341479598043126"/>
        </c:manualLayout>
      </c:layout>
      <c:barChart>
        <c:barDir val="col"/>
        <c:grouping val="clustered"/>
        <c:varyColors val="0"/>
        <c:ser>
          <c:idx val="0"/>
          <c:order val="0"/>
          <c:tx>
            <c:v>Full</c:v>
          </c:tx>
          <c:spPr>
            <a:solidFill>
              <a:srgbClr val="0000FF"/>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Results!$F$87:$AS$87</c:f>
              <c:numCache>
                <c:formatCode>_(* #,##0_);_(* \(#,##0\);_(* "-"??_);_(@_)</c:formatCode>
                <c:ptCount val="40"/>
                <c:pt idx="0">
                  <c:v>3900</c:v>
                </c:pt>
                <c:pt idx="1">
                  <c:v>5800</c:v>
                </c:pt>
                <c:pt idx="2">
                  <c:v>4000</c:v>
                </c:pt>
                <c:pt idx="3">
                  <c:v>4100</c:v>
                </c:pt>
                <c:pt idx="4">
                  <c:v>4100</c:v>
                </c:pt>
                <c:pt idx="5">
                  <c:v>6500</c:v>
                </c:pt>
                <c:pt idx="6">
                  <c:v>6500</c:v>
                </c:pt>
                <c:pt idx="7">
                  <c:v>7100</c:v>
                </c:pt>
                <c:pt idx="8">
                  <c:v>4100</c:v>
                </c:pt>
                <c:pt idx="9">
                  <c:v>4200</c:v>
                </c:pt>
                <c:pt idx="10">
                  <c:v>4300</c:v>
                </c:pt>
                <c:pt idx="11">
                  <c:v>4600</c:v>
                </c:pt>
                <c:pt idx="12">
                  <c:v>5900</c:v>
                </c:pt>
                <c:pt idx="13">
                  <c:v>6300</c:v>
                </c:pt>
                <c:pt idx="14">
                  <c:v>9300</c:v>
                </c:pt>
                <c:pt idx="15">
                  <c:v>10900</c:v>
                </c:pt>
                <c:pt idx="16">
                  <c:v>10200</c:v>
                </c:pt>
                <c:pt idx="17">
                  <c:v>10500</c:v>
                </c:pt>
                <c:pt idx="18">
                  <c:v>9700</c:v>
                </c:pt>
                <c:pt idx="19">
                  <c:v>9900</c:v>
                </c:pt>
                <c:pt idx="20">
                  <c:v>10300</c:v>
                </c:pt>
                <c:pt idx="21">
                  <c:v>10800</c:v>
                </c:pt>
                <c:pt idx="22">
                  <c:v>11200</c:v>
                </c:pt>
                <c:pt idx="23">
                  <c:v>12200</c:v>
                </c:pt>
                <c:pt idx="24">
                  <c:v>17200</c:v>
                </c:pt>
                <c:pt idx="25">
                  <c:v>17900</c:v>
                </c:pt>
                <c:pt idx="26">
                  <c:v>18200</c:v>
                </c:pt>
                <c:pt idx="27">
                  <c:v>16600</c:v>
                </c:pt>
                <c:pt idx="28">
                  <c:v>16500</c:v>
                </c:pt>
                <c:pt idx="29">
                  <c:v>16800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50"/>
        <c:overlap val="100"/>
        <c:axId val="218005760"/>
        <c:axId val="218022624"/>
      </c:barChart>
      <c:catAx>
        <c:axId val="218005760"/>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8022624"/>
        <c:crosses val="autoZero"/>
        <c:auto val="1"/>
        <c:lblAlgn val="ctr"/>
        <c:lblOffset val="100"/>
        <c:tickLblSkip val="3"/>
        <c:tickMarkSkip val="1"/>
        <c:noMultiLvlLbl val="0"/>
      </c:catAx>
      <c:valAx>
        <c:axId val="218022624"/>
        <c:scaling>
          <c:orientation val="minMax"/>
        </c:scaling>
        <c:delete val="0"/>
        <c:axPos val="l"/>
        <c:majorGridlines>
          <c:spPr>
            <a:ln w="3175">
              <a:solidFill>
                <a:srgbClr val="000000"/>
              </a:solidFill>
              <a:prstDash val="solid"/>
            </a:ln>
          </c:spPr>
        </c:majorGridlines>
        <c:numFmt formatCode="_(* #,##0_);_(* \(#,##0\);_(* &quot;-&quot;??_);_(@_)"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8005760"/>
        <c:crosses val="autoZero"/>
        <c:crossBetween val="between"/>
        <c:dispUnits>
          <c:builtInUnit val="thousands"/>
          <c:dispUnitsLbl>
            <c:layout>
              <c:manualLayout>
                <c:xMode val="edge"/>
                <c:yMode val="edge"/>
                <c:x val="1.0377452818397701E-2"/>
                <c:y val="0.29277559055118108"/>
              </c:manualLayout>
            </c:layout>
            <c:txPr>
              <a:bodyPr/>
              <a:lstStyle/>
              <a:p>
                <a:pPr>
                  <a:defRPr sz="1000"/>
                </a:pPr>
                <a:endParaRPr lang="en-US"/>
              </a:p>
            </c:txPr>
          </c:dispUnitsLbl>
        </c:dispUnits>
      </c:valAx>
      <c:spPr>
        <a:solidFill>
          <a:srgbClr val="FFFFFF"/>
        </a:solidFill>
        <a:ln w="12700">
          <a:solidFill>
            <a:srgbClr val="808080"/>
          </a:solidFill>
          <a:prstDash val="solid"/>
        </a:ln>
      </c:spPr>
    </c:plotArea>
    <c:plotVisOnly val="1"/>
    <c:dispBlanksAs val="gap"/>
    <c:showDLblsOverMax val="0"/>
  </c:chart>
  <c:spPr>
    <a:solidFill>
      <a:schemeClr val="accent3">
        <a:lumMod val="20000"/>
        <a:lumOff val="80000"/>
      </a:schemeClr>
    </a:solidFill>
    <a:ln w="6350">
      <a:noFill/>
    </a:ln>
  </c:spPr>
  <c:txPr>
    <a:bodyPr/>
    <a:lstStyle/>
    <a:p>
      <a:pPr>
        <a:defRPr sz="8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Verdana"/>
                <a:ea typeface="Verdana"/>
                <a:cs typeface="Verdana"/>
              </a:defRPr>
            </a:pPr>
            <a:r>
              <a:rPr lang="en-US"/>
              <a:t>Required Minimum Distributions 
excluding inherited IRAs</a:t>
            </a:r>
          </a:p>
        </c:rich>
      </c:tx>
      <c:layout>
        <c:manualLayout>
          <c:xMode val="edge"/>
          <c:yMode val="edge"/>
          <c:x val="0.19165310947701786"/>
          <c:y val="7.4260114037469445E-3"/>
        </c:manualLayout>
      </c:layout>
      <c:overlay val="0"/>
      <c:spPr>
        <a:noFill/>
        <a:ln w="25400">
          <a:noFill/>
        </a:ln>
      </c:spPr>
    </c:title>
    <c:autoTitleDeleted val="0"/>
    <c:plotArea>
      <c:layout>
        <c:manualLayout>
          <c:layoutTarget val="inner"/>
          <c:xMode val="edge"/>
          <c:yMode val="edge"/>
          <c:x val="0.1319153047559781"/>
          <c:y val="0.25000097101762092"/>
          <c:w val="0.84468348367940815"/>
          <c:h val="0.53524832072152895"/>
        </c:manualLayout>
      </c:layout>
      <c:barChart>
        <c:barDir val="col"/>
        <c:grouping val="clustered"/>
        <c:varyColors val="0"/>
        <c:ser>
          <c:idx val="0"/>
          <c:order val="0"/>
          <c:tx>
            <c:v>Full</c:v>
          </c:tx>
          <c:spPr>
            <a:solidFill>
              <a:srgbClr val="0000FF"/>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Results!$F$379:$AS$379</c:f>
              <c:numCache>
                <c:formatCode>_(* #,##0_);_(* \(#,##0\);_(* "-"??_);_(@_)</c:formatCode>
                <c:ptCount val="40"/>
                <c:pt idx="0" formatCode="#,##0_);\(#,##0\)">
                  <c:v>0</c:v>
                </c:pt>
                <c:pt idx="1">
                  <c:v>0</c:v>
                </c:pt>
                <c:pt idx="2">
                  <c:v>0</c:v>
                </c:pt>
                <c:pt idx="3">
                  <c:v>0</c:v>
                </c:pt>
                <c:pt idx="4">
                  <c:v>0</c:v>
                </c:pt>
                <c:pt idx="5">
                  <c:v>0</c:v>
                </c:pt>
                <c:pt idx="6">
                  <c:v>0</c:v>
                </c:pt>
                <c:pt idx="7">
                  <c:v>0</c:v>
                </c:pt>
                <c:pt idx="8">
                  <c:v>0</c:v>
                </c:pt>
                <c:pt idx="9">
                  <c:v>29500</c:v>
                </c:pt>
                <c:pt idx="10">
                  <c:v>30900</c:v>
                </c:pt>
                <c:pt idx="11">
                  <c:v>32400</c:v>
                </c:pt>
                <c:pt idx="12">
                  <c:v>33900</c:v>
                </c:pt>
                <c:pt idx="13">
                  <c:v>35600</c:v>
                </c:pt>
                <c:pt idx="14">
                  <c:v>37400</c:v>
                </c:pt>
                <c:pt idx="15">
                  <c:v>39500</c:v>
                </c:pt>
                <c:pt idx="16">
                  <c:v>41800</c:v>
                </c:pt>
                <c:pt idx="17">
                  <c:v>44100</c:v>
                </c:pt>
                <c:pt idx="18">
                  <c:v>46300</c:v>
                </c:pt>
                <c:pt idx="19">
                  <c:v>48400</c:v>
                </c:pt>
                <c:pt idx="20">
                  <c:v>50500</c:v>
                </c:pt>
                <c:pt idx="21">
                  <c:v>52800</c:v>
                </c:pt>
                <c:pt idx="22">
                  <c:v>55000</c:v>
                </c:pt>
                <c:pt idx="23">
                  <c:v>57100</c:v>
                </c:pt>
                <c:pt idx="24">
                  <c:v>59100</c:v>
                </c:pt>
                <c:pt idx="25">
                  <c:v>61100</c:v>
                </c:pt>
                <c:pt idx="26">
                  <c:v>63000</c:v>
                </c:pt>
                <c:pt idx="27">
                  <c:v>64900</c:v>
                </c:pt>
                <c:pt idx="28">
                  <c:v>66600</c:v>
                </c:pt>
                <c:pt idx="29">
                  <c:v>67900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40"/>
        <c:axId val="218003584"/>
        <c:axId val="218012288"/>
      </c:barChart>
      <c:catAx>
        <c:axId val="218003584"/>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8012288"/>
        <c:crosses val="autoZero"/>
        <c:auto val="1"/>
        <c:lblAlgn val="ctr"/>
        <c:lblOffset val="100"/>
        <c:tickLblSkip val="3"/>
        <c:tickMarkSkip val="1"/>
        <c:noMultiLvlLbl val="0"/>
      </c:catAx>
      <c:valAx>
        <c:axId val="218012288"/>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8003584"/>
        <c:crosses val="autoZero"/>
        <c:crossBetween val="between"/>
        <c:dispUnits>
          <c:builtInUnit val="thousands"/>
          <c:dispUnitsLbl>
            <c:layout>
              <c:manualLayout>
                <c:xMode val="edge"/>
                <c:yMode val="edge"/>
                <c:x val="0"/>
                <c:y val="0.30247494363054694"/>
              </c:manualLayout>
            </c:layout>
            <c:txPr>
              <a:bodyPr/>
              <a:lstStyle/>
              <a:p>
                <a:pPr>
                  <a:defRPr sz="1000"/>
                </a:pPr>
                <a:endParaRPr lang="en-US"/>
              </a:p>
            </c:txPr>
          </c:dispUnitsLbl>
        </c:dispUnits>
      </c:valAx>
      <c:spPr>
        <a:solidFill>
          <a:srgbClr val="FFFFFF"/>
        </a:solidFill>
        <a:ln w="12700">
          <a:solidFill>
            <a:srgbClr val="808080"/>
          </a:solidFill>
          <a:prstDash val="solid"/>
        </a:ln>
      </c:spPr>
    </c:plotArea>
    <c:plotVisOnly val="1"/>
    <c:dispBlanksAs val="gap"/>
    <c:showDLblsOverMax val="0"/>
  </c:chart>
  <c:spPr>
    <a:solidFill>
      <a:schemeClr val="accent3">
        <a:lumMod val="20000"/>
        <a:lumOff val="80000"/>
      </a:schemeClr>
    </a:solid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Balances by Account at Year End</a:t>
            </a:r>
          </a:p>
        </c:rich>
      </c:tx>
      <c:layout>
        <c:manualLayout>
          <c:xMode val="edge"/>
          <c:yMode val="edge"/>
          <c:x val="0.23024231346081739"/>
          <c:y val="2.1604933311907437E-2"/>
        </c:manualLayout>
      </c:layout>
      <c:overlay val="0"/>
      <c:spPr>
        <a:noFill/>
        <a:ln w="25400">
          <a:noFill/>
        </a:ln>
      </c:spPr>
    </c:title>
    <c:autoTitleDeleted val="0"/>
    <c:plotArea>
      <c:layout>
        <c:manualLayout>
          <c:layoutTarget val="inner"/>
          <c:xMode val="edge"/>
          <c:yMode val="edge"/>
          <c:x val="0.16416621315964014"/>
          <c:y val="0.2430563797213397"/>
          <c:w val="0.81673972381422089"/>
          <c:h val="0.58680754532723434"/>
        </c:manualLayout>
      </c:layout>
      <c:barChart>
        <c:barDir val="col"/>
        <c:grouping val="stacked"/>
        <c:varyColors val="0"/>
        <c:ser>
          <c:idx val="0"/>
          <c:order val="0"/>
          <c:tx>
            <c:v>Taxable</c:v>
          </c:tx>
          <c:spPr>
            <a:solidFill>
              <a:srgbClr val="0070C0"/>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Details!$F$248:$AS$248</c:f>
              <c:numCache>
                <c:formatCode>_(* #,##0_);_(* \(#,##0\);_(* "-"??_);_(@_)</c:formatCode>
                <c:ptCount val="40"/>
                <c:pt idx="0" formatCode="#,##0_);\(#,##0\)">
                  <c:v>187100</c:v>
                </c:pt>
                <c:pt idx="1">
                  <c:v>186800</c:v>
                </c:pt>
                <c:pt idx="2">
                  <c:v>173800</c:v>
                </c:pt>
                <c:pt idx="3">
                  <c:v>160500</c:v>
                </c:pt>
                <c:pt idx="4">
                  <c:v>148300</c:v>
                </c:pt>
                <c:pt idx="5">
                  <c:v>156400</c:v>
                </c:pt>
                <c:pt idx="6">
                  <c:v>166100</c:v>
                </c:pt>
                <c:pt idx="7">
                  <c:v>175900</c:v>
                </c:pt>
                <c:pt idx="8">
                  <c:v>202800</c:v>
                </c:pt>
                <c:pt idx="9">
                  <c:v>238100</c:v>
                </c:pt>
                <c:pt idx="10">
                  <c:v>194200</c:v>
                </c:pt>
                <c:pt idx="11">
                  <c:v>272100</c:v>
                </c:pt>
                <c:pt idx="12">
                  <c:v>296700</c:v>
                </c:pt>
                <c:pt idx="13">
                  <c:v>344500</c:v>
                </c:pt>
                <c:pt idx="14">
                  <c:v>301300</c:v>
                </c:pt>
                <c:pt idx="15">
                  <c:v>424600</c:v>
                </c:pt>
                <c:pt idx="16">
                  <c:v>480700</c:v>
                </c:pt>
                <c:pt idx="17">
                  <c:v>541400</c:v>
                </c:pt>
                <c:pt idx="18">
                  <c:v>574700</c:v>
                </c:pt>
                <c:pt idx="19">
                  <c:v>609500</c:v>
                </c:pt>
                <c:pt idx="20">
                  <c:v>647200</c:v>
                </c:pt>
                <c:pt idx="21">
                  <c:v>688000</c:v>
                </c:pt>
                <c:pt idx="22">
                  <c:v>1136000</c:v>
                </c:pt>
                <c:pt idx="23">
                  <c:v>1199500</c:v>
                </c:pt>
                <c:pt idx="24">
                  <c:v>1337600</c:v>
                </c:pt>
                <c:pt idx="25">
                  <c:v>1379900</c:v>
                </c:pt>
                <c:pt idx="26">
                  <c:v>1423300</c:v>
                </c:pt>
                <c:pt idx="27">
                  <c:v>1461500</c:v>
                </c:pt>
                <c:pt idx="28">
                  <c:v>1499700</c:v>
                </c:pt>
                <c:pt idx="29">
                  <c:v>1538900</c:v>
                </c:pt>
                <c:pt idx="30">
                  <c:v>0</c:v>
                </c:pt>
                <c:pt idx="31">
                  <c:v>0</c:v>
                </c:pt>
                <c:pt idx="32">
                  <c:v>0</c:v>
                </c:pt>
                <c:pt idx="33">
                  <c:v>0</c:v>
                </c:pt>
                <c:pt idx="34">
                  <c:v>0</c:v>
                </c:pt>
                <c:pt idx="35">
                  <c:v>0</c:v>
                </c:pt>
                <c:pt idx="36">
                  <c:v>0</c:v>
                </c:pt>
                <c:pt idx="37">
                  <c:v>0</c:v>
                </c:pt>
                <c:pt idx="38">
                  <c:v>0</c:v>
                </c:pt>
                <c:pt idx="39">
                  <c:v>0</c:v>
                </c:pt>
              </c:numCache>
            </c:numRef>
          </c:val>
        </c:ser>
        <c:ser>
          <c:idx val="1"/>
          <c:order val="1"/>
          <c:tx>
            <c:v>IRA</c:v>
          </c:tx>
          <c:spPr>
            <a:solidFill>
              <a:srgbClr val="92D050"/>
            </a:solidFill>
            <a:ln w="25400">
              <a:noFill/>
            </a:ln>
          </c:spPr>
          <c:invertIfNegative val="0"/>
          <c:val>
            <c:numRef>
              <c:f>Details!$F$251:$AS$251</c:f>
              <c:numCache>
                <c:formatCode>_(* #,##0_);_(* \(#,##0\);_(* "-"??_);_(@_)</c:formatCode>
                <c:ptCount val="40"/>
                <c:pt idx="0" formatCode="#,##0_);\(#,##0\)">
                  <c:v>709700</c:v>
                </c:pt>
                <c:pt idx="1">
                  <c:v>718700</c:v>
                </c:pt>
                <c:pt idx="2">
                  <c:v>726900</c:v>
                </c:pt>
                <c:pt idx="3">
                  <c:v>734200</c:v>
                </c:pt>
                <c:pt idx="4">
                  <c:v>740500</c:v>
                </c:pt>
                <c:pt idx="5">
                  <c:v>745600</c:v>
                </c:pt>
                <c:pt idx="6">
                  <c:v>749400</c:v>
                </c:pt>
                <c:pt idx="7">
                  <c:v>751900</c:v>
                </c:pt>
                <c:pt idx="8">
                  <c:v>794900</c:v>
                </c:pt>
                <c:pt idx="9">
                  <c:v>804300</c:v>
                </c:pt>
                <c:pt idx="10">
                  <c:v>813800</c:v>
                </c:pt>
                <c:pt idx="11">
                  <c:v>823200</c:v>
                </c:pt>
                <c:pt idx="12">
                  <c:v>832400</c:v>
                </c:pt>
                <c:pt idx="13">
                  <c:v>841100</c:v>
                </c:pt>
                <c:pt idx="14">
                  <c:v>854500</c:v>
                </c:pt>
                <c:pt idx="15">
                  <c:v>866600</c:v>
                </c:pt>
                <c:pt idx="16">
                  <c:v>877100</c:v>
                </c:pt>
                <c:pt idx="17">
                  <c:v>885800</c:v>
                </c:pt>
                <c:pt idx="18">
                  <c:v>886400</c:v>
                </c:pt>
                <c:pt idx="19">
                  <c:v>884900</c:v>
                </c:pt>
                <c:pt idx="20">
                  <c:v>881200</c:v>
                </c:pt>
                <c:pt idx="21">
                  <c:v>874900</c:v>
                </c:pt>
                <c:pt idx="22">
                  <c:v>866000</c:v>
                </c:pt>
                <c:pt idx="23">
                  <c:v>854500</c:v>
                </c:pt>
                <c:pt idx="24">
                  <c:v>840300</c:v>
                </c:pt>
                <c:pt idx="25">
                  <c:v>823300</c:v>
                </c:pt>
                <c:pt idx="26">
                  <c:v>803400</c:v>
                </c:pt>
                <c:pt idx="27">
                  <c:v>780400</c:v>
                </c:pt>
                <c:pt idx="28">
                  <c:v>754500</c:v>
                </c:pt>
                <c:pt idx="29">
                  <c:v>725800</c:v>
                </c:pt>
                <c:pt idx="30">
                  <c:v>0</c:v>
                </c:pt>
                <c:pt idx="31">
                  <c:v>0</c:v>
                </c:pt>
                <c:pt idx="32">
                  <c:v>0</c:v>
                </c:pt>
                <c:pt idx="33">
                  <c:v>0</c:v>
                </c:pt>
                <c:pt idx="34">
                  <c:v>0</c:v>
                </c:pt>
                <c:pt idx="35">
                  <c:v>0</c:v>
                </c:pt>
                <c:pt idx="36">
                  <c:v>0</c:v>
                </c:pt>
                <c:pt idx="37">
                  <c:v>0</c:v>
                </c:pt>
                <c:pt idx="38">
                  <c:v>0</c:v>
                </c:pt>
                <c:pt idx="39">
                  <c:v>0</c:v>
                </c:pt>
              </c:numCache>
            </c:numRef>
          </c:val>
        </c:ser>
        <c:ser>
          <c:idx val="2"/>
          <c:order val="2"/>
          <c:tx>
            <c:v>IRA inhrt</c:v>
          </c:tx>
          <c:spPr>
            <a:solidFill>
              <a:srgbClr val="FF0000"/>
            </a:solidFill>
            <a:ln w="25400">
              <a:noFill/>
            </a:ln>
          </c:spPr>
          <c:invertIfNegative val="0"/>
          <c:val>
            <c:numRef>
              <c:f>Details!$F$254:$AS$254</c:f>
              <c:numCache>
                <c:formatCode>_(* #,##0_);_(* \(#,##0\);_(* "-"??_);_(@_)</c:formatCode>
                <c:ptCount val="40"/>
                <c:pt idx="0" formatCode="#,##0_);\(#,##0\)">
                  <c:v>0</c:v>
                </c:pt>
                <c:pt idx="1">
                  <c:v>0</c:v>
                </c:pt>
                <c:pt idx="2">
                  <c:v>0</c:v>
                </c:pt>
                <c:pt idx="3">
                  <c:v>0</c:v>
                </c:pt>
                <c:pt idx="4">
                  <c:v>0</c:v>
                </c:pt>
                <c:pt idx="5">
                  <c:v>0</c:v>
                </c:pt>
                <c:pt idx="6">
                  <c:v>0</c:v>
                </c:pt>
                <c:pt idx="7">
                  <c:v>0</c:v>
                </c:pt>
                <c:pt idx="8">
                  <c:v>0</c:v>
                </c:pt>
                <c:pt idx="9">
                  <c:v>0</c:v>
                </c:pt>
                <c:pt idx="10">
                  <c:v>0</c:v>
                </c:pt>
                <c:pt idx="11">
                  <c:v>60000</c:v>
                </c:pt>
                <c:pt idx="12">
                  <c:v>59300</c:v>
                </c:pt>
                <c:pt idx="13">
                  <c:v>58400</c:v>
                </c:pt>
                <c:pt idx="14">
                  <c:v>57100</c:v>
                </c:pt>
                <c:pt idx="15">
                  <c:v>91500</c:v>
                </c:pt>
                <c:pt idx="16">
                  <c:v>83500</c:v>
                </c:pt>
                <c:pt idx="17">
                  <c:v>74800</c:v>
                </c:pt>
                <c:pt idx="18">
                  <c:v>69000</c:v>
                </c:pt>
                <c:pt idx="19">
                  <c:v>63900</c:v>
                </c:pt>
                <c:pt idx="20">
                  <c:v>58000</c:v>
                </c:pt>
                <c:pt idx="21">
                  <c:v>51200</c:v>
                </c:pt>
                <c:pt idx="22">
                  <c:v>43400</c:v>
                </c:pt>
                <c:pt idx="23">
                  <c:v>34600</c:v>
                </c:pt>
                <c:pt idx="24">
                  <c:v>24600</c:v>
                </c:pt>
                <c:pt idx="25">
                  <c:v>13300</c:v>
                </c:pt>
                <c:pt idx="26">
                  <c:v>2000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ser>
          <c:idx val="3"/>
          <c:order val="3"/>
          <c:tx>
            <c:v>Roth</c:v>
          </c:tx>
          <c:spPr>
            <a:solidFill>
              <a:srgbClr val="FFC000"/>
            </a:solidFill>
            <a:ln w="25400">
              <a:noFill/>
            </a:ln>
          </c:spPr>
          <c:invertIfNegative val="0"/>
          <c:val>
            <c:numRef>
              <c:f>Details!$F$257:$AS$257</c:f>
              <c:numCache>
                <c:formatCode>_(* #,##0_);_(* \(#,##0\);_(* "-"??_);_(@_)</c:formatCode>
                <c:ptCount val="40"/>
                <c:pt idx="0" formatCode="#,##0_);\(#,##0\)">
                  <c:v>107100</c:v>
                </c:pt>
                <c:pt idx="1">
                  <c:v>114700</c:v>
                </c:pt>
                <c:pt idx="2">
                  <c:v>122900</c:v>
                </c:pt>
                <c:pt idx="3">
                  <c:v>131700</c:v>
                </c:pt>
                <c:pt idx="4">
                  <c:v>139700</c:v>
                </c:pt>
                <c:pt idx="5">
                  <c:v>148200</c:v>
                </c:pt>
                <c:pt idx="6">
                  <c:v>157200</c:v>
                </c:pt>
                <c:pt idx="7">
                  <c:v>166800</c:v>
                </c:pt>
                <c:pt idx="8">
                  <c:v>171800</c:v>
                </c:pt>
                <c:pt idx="9">
                  <c:v>176600</c:v>
                </c:pt>
                <c:pt idx="10">
                  <c:v>181100</c:v>
                </c:pt>
                <c:pt idx="11">
                  <c:v>185300</c:v>
                </c:pt>
                <c:pt idx="12">
                  <c:v>189100</c:v>
                </c:pt>
                <c:pt idx="13">
                  <c:v>192400</c:v>
                </c:pt>
                <c:pt idx="14">
                  <c:v>204300</c:v>
                </c:pt>
                <c:pt idx="15">
                  <c:v>216900</c:v>
                </c:pt>
                <c:pt idx="16">
                  <c:v>230300</c:v>
                </c:pt>
                <c:pt idx="17">
                  <c:v>244500</c:v>
                </c:pt>
                <c:pt idx="18">
                  <c:v>256400</c:v>
                </c:pt>
                <c:pt idx="19">
                  <c:v>268900</c:v>
                </c:pt>
                <c:pt idx="20">
                  <c:v>282200</c:v>
                </c:pt>
                <c:pt idx="21">
                  <c:v>296100</c:v>
                </c:pt>
                <c:pt idx="22">
                  <c:v>310700</c:v>
                </c:pt>
                <c:pt idx="23">
                  <c:v>326200</c:v>
                </c:pt>
                <c:pt idx="24">
                  <c:v>342400</c:v>
                </c:pt>
                <c:pt idx="25">
                  <c:v>359600</c:v>
                </c:pt>
                <c:pt idx="26">
                  <c:v>377600</c:v>
                </c:pt>
                <c:pt idx="27">
                  <c:v>396600</c:v>
                </c:pt>
                <c:pt idx="28">
                  <c:v>416600</c:v>
                </c:pt>
                <c:pt idx="29">
                  <c:v>437700</c:v>
                </c:pt>
                <c:pt idx="30">
                  <c:v>0</c:v>
                </c:pt>
                <c:pt idx="31">
                  <c:v>0</c:v>
                </c:pt>
                <c:pt idx="32">
                  <c:v>0</c:v>
                </c:pt>
                <c:pt idx="33">
                  <c:v>0</c:v>
                </c:pt>
                <c:pt idx="34">
                  <c:v>0</c:v>
                </c:pt>
                <c:pt idx="35">
                  <c:v>0</c:v>
                </c:pt>
                <c:pt idx="36">
                  <c:v>0</c:v>
                </c:pt>
                <c:pt idx="37">
                  <c:v>0</c:v>
                </c:pt>
                <c:pt idx="38">
                  <c:v>0</c:v>
                </c:pt>
                <c:pt idx="39">
                  <c:v>0</c:v>
                </c:pt>
              </c:numCache>
            </c:numRef>
          </c:val>
        </c:ser>
        <c:ser>
          <c:idx val="4"/>
          <c:order val="4"/>
          <c:tx>
            <c:v>Roth conv</c:v>
          </c:tx>
          <c:spPr>
            <a:solidFill>
              <a:srgbClr val="C00000"/>
            </a:solidFill>
            <a:ln w="25400">
              <a:noFill/>
            </a:ln>
          </c:spPr>
          <c:invertIfNegative val="0"/>
          <c:val>
            <c:numRef>
              <c:f>Details!$F$258:$AS$258</c:f>
              <c:numCache>
                <c:formatCode>_(* #,##0_);_(* \(#,##0\);_(* "-"??_);_(@_)</c:formatCode>
                <c:ptCount val="40"/>
                <c:pt idx="0" formatCode="#,##0_);\(#,##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50"/>
        <c:overlap val="100"/>
        <c:axId val="218019360"/>
        <c:axId val="217995424"/>
      </c:barChart>
      <c:catAx>
        <c:axId val="218019360"/>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7995424"/>
        <c:crosses val="autoZero"/>
        <c:auto val="1"/>
        <c:lblAlgn val="ctr"/>
        <c:lblOffset val="100"/>
        <c:tickLblSkip val="3"/>
        <c:tickMarkSkip val="1"/>
        <c:noMultiLvlLbl val="0"/>
      </c:catAx>
      <c:valAx>
        <c:axId val="217995424"/>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8019360"/>
        <c:crosses val="autoZero"/>
        <c:crossBetween val="between"/>
        <c:dispUnits>
          <c:builtInUnit val="thousands"/>
          <c:dispUnitsLbl>
            <c:layout>
              <c:manualLayout>
                <c:xMode val="edge"/>
                <c:yMode val="edge"/>
                <c:x val="1.106164996420902E-2"/>
                <c:y val="0.37666538570128932"/>
              </c:manualLayout>
            </c:layout>
            <c:txPr>
              <a:bodyPr/>
              <a:lstStyle/>
              <a:p>
                <a:pPr>
                  <a:defRPr sz="1000">
                    <a:latin typeface="Arial" panose="020B0604020202020204" pitchFamily="34" charset="0"/>
                    <a:cs typeface="Arial" panose="020B0604020202020204" pitchFamily="34" charset="0"/>
                  </a:defRPr>
                </a:pPr>
                <a:endParaRPr lang="en-US"/>
              </a:p>
            </c:txPr>
          </c:dispUnitsLbl>
        </c:dispUnits>
      </c:valAx>
      <c:spPr>
        <a:solidFill>
          <a:srgbClr val="FFFFFF"/>
        </a:solidFill>
        <a:ln w="12700">
          <a:solidFill>
            <a:srgbClr val="000000"/>
          </a:solidFill>
          <a:prstDash val="solid"/>
        </a:ln>
      </c:spPr>
    </c:plotArea>
    <c:legend>
      <c:legendPos val="b"/>
      <c:layout>
        <c:manualLayout>
          <c:xMode val="edge"/>
          <c:yMode val="edge"/>
          <c:x val="0.18865809091571889"/>
          <c:y val="0.14236138356401859"/>
          <c:w val="0.74305776019809366"/>
          <c:h val="6.5972445924363618E-2"/>
        </c:manualLayout>
      </c:layout>
      <c:overlay val="0"/>
      <c:spPr>
        <a:solidFill>
          <a:schemeClr val="accent3">
            <a:lumMod val="20000"/>
            <a:lumOff val="80000"/>
          </a:schemeClr>
        </a:solidFill>
        <a:ln w="25400">
          <a:noFill/>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accent3">
        <a:lumMod val="20000"/>
        <a:lumOff val="80000"/>
      </a:schemeClr>
    </a:solidFill>
    <a:ln w="6350">
      <a:noFill/>
    </a:ln>
  </c:spPr>
  <c:txPr>
    <a:bodyPr/>
    <a:lstStyle/>
    <a:p>
      <a:pPr>
        <a:defRPr sz="475" b="0" i="0" u="none" strike="noStrike" baseline="0">
          <a:solidFill>
            <a:srgbClr val="000000"/>
          </a:solidFill>
          <a:latin typeface="Verdana"/>
          <a:ea typeface="Verdana"/>
          <a:cs typeface="Verdana"/>
        </a:defRPr>
      </a:pPr>
      <a:endParaRPr lang="en-US"/>
    </a:p>
  </c:txPr>
  <c:printSettings>
    <c:headerFooter alignWithMargins="0"/>
    <c:pageMargins b="1" l="0.75" r="0.75" t="1" header="0.5" footer="0.5"/>
    <c:pageSetup orientation="landscape" horizontalDpi="0" verticalDpi="0"/>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Sources of Earnings</a:t>
            </a:r>
          </a:p>
        </c:rich>
      </c:tx>
      <c:layout>
        <c:manualLayout>
          <c:xMode val="edge"/>
          <c:yMode val="edge"/>
          <c:x val="0.35230166887324926"/>
          <c:y val="1.8467763644929001E-2"/>
        </c:manualLayout>
      </c:layout>
      <c:overlay val="0"/>
      <c:spPr>
        <a:noFill/>
        <a:ln w="25400">
          <a:noFill/>
        </a:ln>
      </c:spPr>
    </c:title>
    <c:autoTitleDeleted val="0"/>
    <c:plotArea>
      <c:layout>
        <c:manualLayout>
          <c:layoutTarget val="inner"/>
          <c:xMode val="edge"/>
          <c:yMode val="edge"/>
          <c:x val="0.13112184525857348"/>
          <c:y val="0.28993707517329564"/>
          <c:w val="0.8444226447634311"/>
          <c:h val="0.54339794064203528"/>
        </c:manualLayout>
      </c:layout>
      <c:barChart>
        <c:barDir val="col"/>
        <c:grouping val="stacked"/>
        <c:varyColors val="0"/>
        <c:ser>
          <c:idx val="0"/>
          <c:order val="0"/>
          <c:tx>
            <c:v>Taxable</c:v>
          </c:tx>
          <c:spPr>
            <a:solidFill>
              <a:srgbClr val="0070C0"/>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Details!$F$28:$AS$28</c:f>
              <c:numCache>
                <c:formatCode>_(* #,##0_);_(* \(#,##0\);_(* "-"??_);_(@_)</c:formatCode>
                <c:ptCount val="40"/>
                <c:pt idx="0">
                  <c:v>9600</c:v>
                </c:pt>
                <c:pt idx="1">
                  <c:v>9300</c:v>
                </c:pt>
                <c:pt idx="2">
                  <c:v>8900</c:v>
                </c:pt>
                <c:pt idx="3">
                  <c:v>8300</c:v>
                </c:pt>
                <c:pt idx="4">
                  <c:v>7700</c:v>
                </c:pt>
                <c:pt idx="5">
                  <c:v>7600</c:v>
                </c:pt>
                <c:pt idx="6">
                  <c:v>8100</c:v>
                </c:pt>
                <c:pt idx="7">
                  <c:v>8600</c:v>
                </c:pt>
                <c:pt idx="8">
                  <c:v>9400</c:v>
                </c:pt>
                <c:pt idx="9">
                  <c:v>10900</c:v>
                </c:pt>
                <c:pt idx="10">
                  <c:v>10700</c:v>
                </c:pt>
                <c:pt idx="11">
                  <c:v>11500</c:v>
                </c:pt>
                <c:pt idx="12">
                  <c:v>14000</c:v>
                </c:pt>
                <c:pt idx="13">
                  <c:v>15800</c:v>
                </c:pt>
                <c:pt idx="14">
                  <c:v>16000</c:v>
                </c:pt>
                <c:pt idx="15">
                  <c:v>18000</c:v>
                </c:pt>
                <c:pt idx="16">
                  <c:v>22400</c:v>
                </c:pt>
                <c:pt idx="17">
                  <c:v>25200</c:v>
                </c:pt>
                <c:pt idx="18">
                  <c:v>22700</c:v>
                </c:pt>
                <c:pt idx="19">
                  <c:v>24000</c:v>
                </c:pt>
                <c:pt idx="20">
                  <c:v>25500</c:v>
                </c:pt>
                <c:pt idx="21">
                  <c:v>27100</c:v>
                </c:pt>
                <c:pt idx="22">
                  <c:v>37000</c:v>
                </c:pt>
                <c:pt idx="23">
                  <c:v>47300</c:v>
                </c:pt>
                <c:pt idx="24">
                  <c:v>51500</c:v>
                </c:pt>
                <c:pt idx="25">
                  <c:v>55100</c:v>
                </c:pt>
                <c:pt idx="26">
                  <c:v>56800</c:v>
                </c:pt>
                <c:pt idx="27">
                  <c:v>58400</c:v>
                </c:pt>
                <c:pt idx="28">
                  <c:v>60000</c:v>
                </c:pt>
                <c:pt idx="29">
                  <c:v>61500</c:v>
                </c:pt>
                <c:pt idx="30">
                  <c:v>0</c:v>
                </c:pt>
                <c:pt idx="31">
                  <c:v>0</c:v>
                </c:pt>
                <c:pt idx="32">
                  <c:v>0</c:v>
                </c:pt>
                <c:pt idx="33">
                  <c:v>0</c:v>
                </c:pt>
                <c:pt idx="34">
                  <c:v>0</c:v>
                </c:pt>
                <c:pt idx="35">
                  <c:v>0</c:v>
                </c:pt>
                <c:pt idx="36">
                  <c:v>0</c:v>
                </c:pt>
                <c:pt idx="37">
                  <c:v>0</c:v>
                </c:pt>
                <c:pt idx="38">
                  <c:v>0</c:v>
                </c:pt>
                <c:pt idx="39">
                  <c:v>0</c:v>
                </c:pt>
              </c:numCache>
            </c:numRef>
          </c:val>
        </c:ser>
        <c:ser>
          <c:idx val="1"/>
          <c:order val="1"/>
          <c:tx>
            <c:v>IRA</c:v>
          </c:tx>
          <c:spPr>
            <a:solidFill>
              <a:srgbClr val="92D050"/>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Details!$F$31:$AS$31</c:f>
              <c:numCache>
                <c:formatCode>_(* #,##0_);_(* \(#,##0\);_(* "-"??_);_(@_)</c:formatCode>
                <c:ptCount val="40"/>
                <c:pt idx="0">
                  <c:v>43200</c:v>
                </c:pt>
                <c:pt idx="1">
                  <c:v>43700</c:v>
                </c:pt>
                <c:pt idx="2">
                  <c:v>44100</c:v>
                </c:pt>
                <c:pt idx="3">
                  <c:v>44500</c:v>
                </c:pt>
                <c:pt idx="4">
                  <c:v>44800</c:v>
                </c:pt>
                <c:pt idx="5">
                  <c:v>45000</c:v>
                </c:pt>
                <c:pt idx="6">
                  <c:v>45100</c:v>
                </c:pt>
                <c:pt idx="7">
                  <c:v>45200</c:v>
                </c:pt>
                <c:pt idx="8">
                  <c:v>46500</c:v>
                </c:pt>
                <c:pt idx="9">
                  <c:v>47900</c:v>
                </c:pt>
                <c:pt idx="10">
                  <c:v>48500</c:v>
                </c:pt>
                <c:pt idx="11">
                  <c:v>49100</c:v>
                </c:pt>
                <c:pt idx="12">
                  <c:v>49700</c:v>
                </c:pt>
                <c:pt idx="13">
                  <c:v>50200</c:v>
                </c:pt>
                <c:pt idx="14">
                  <c:v>50800</c:v>
                </c:pt>
                <c:pt idx="15">
                  <c:v>51600</c:v>
                </c:pt>
                <c:pt idx="16">
                  <c:v>52300</c:v>
                </c:pt>
                <c:pt idx="17">
                  <c:v>52800</c:v>
                </c:pt>
                <c:pt idx="18">
                  <c:v>46900</c:v>
                </c:pt>
                <c:pt idx="19">
                  <c:v>46900</c:v>
                </c:pt>
                <c:pt idx="20">
                  <c:v>46800</c:v>
                </c:pt>
                <c:pt idx="21">
                  <c:v>46500</c:v>
                </c:pt>
                <c:pt idx="22">
                  <c:v>46100</c:v>
                </c:pt>
                <c:pt idx="23">
                  <c:v>45600</c:v>
                </c:pt>
                <c:pt idx="24">
                  <c:v>44900</c:v>
                </c:pt>
                <c:pt idx="25">
                  <c:v>44100</c:v>
                </c:pt>
                <c:pt idx="26">
                  <c:v>43100</c:v>
                </c:pt>
                <c:pt idx="27">
                  <c:v>41900</c:v>
                </c:pt>
                <c:pt idx="28">
                  <c:v>40700</c:v>
                </c:pt>
                <c:pt idx="29">
                  <c:v>39200</c:v>
                </c:pt>
                <c:pt idx="30">
                  <c:v>0</c:v>
                </c:pt>
                <c:pt idx="31">
                  <c:v>0</c:v>
                </c:pt>
                <c:pt idx="32">
                  <c:v>0</c:v>
                </c:pt>
                <c:pt idx="33">
                  <c:v>0</c:v>
                </c:pt>
                <c:pt idx="34">
                  <c:v>0</c:v>
                </c:pt>
                <c:pt idx="35">
                  <c:v>0</c:v>
                </c:pt>
                <c:pt idx="36">
                  <c:v>0</c:v>
                </c:pt>
                <c:pt idx="37">
                  <c:v>0</c:v>
                </c:pt>
                <c:pt idx="38">
                  <c:v>0</c:v>
                </c:pt>
                <c:pt idx="39">
                  <c:v>0</c:v>
                </c:pt>
              </c:numCache>
            </c:numRef>
          </c:val>
        </c:ser>
        <c:ser>
          <c:idx val="2"/>
          <c:order val="2"/>
          <c:tx>
            <c:v>IRA inhrt</c:v>
          </c:tx>
          <c:spPr>
            <a:solidFill>
              <a:srgbClr val="FF0000"/>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Details!$F$34:$AS$34</c:f>
              <c:numCache>
                <c:formatCode>_(* #,##0_);_(* \(#,##0\);_(* "-"??_);_(@_)</c:formatCode>
                <c:ptCount val="40"/>
                <c:pt idx="0" formatCode="#,##0_);\(#,##0\)">
                  <c:v>0</c:v>
                </c:pt>
                <c:pt idx="1">
                  <c:v>0</c:v>
                </c:pt>
                <c:pt idx="2">
                  <c:v>0</c:v>
                </c:pt>
                <c:pt idx="3">
                  <c:v>0</c:v>
                </c:pt>
                <c:pt idx="4">
                  <c:v>0</c:v>
                </c:pt>
                <c:pt idx="5">
                  <c:v>0</c:v>
                </c:pt>
                <c:pt idx="6">
                  <c:v>0</c:v>
                </c:pt>
                <c:pt idx="7">
                  <c:v>0</c:v>
                </c:pt>
                <c:pt idx="8">
                  <c:v>0</c:v>
                </c:pt>
                <c:pt idx="9">
                  <c:v>0</c:v>
                </c:pt>
                <c:pt idx="10">
                  <c:v>0</c:v>
                </c:pt>
                <c:pt idx="11">
                  <c:v>0</c:v>
                </c:pt>
                <c:pt idx="12">
                  <c:v>3400</c:v>
                </c:pt>
                <c:pt idx="13">
                  <c:v>3400</c:v>
                </c:pt>
                <c:pt idx="14">
                  <c:v>3300</c:v>
                </c:pt>
                <c:pt idx="15">
                  <c:v>3200</c:v>
                </c:pt>
                <c:pt idx="16">
                  <c:v>5300</c:v>
                </c:pt>
                <c:pt idx="17">
                  <c:v>4800</c:v>
                </c:pt>
                <c:pt idx="18">
                  <c:v>3800</c:v>
                </c:pt>
                <c:pt idx="19">
                  <c:v>3500</c:v>
                </c:pt>
                <c:pt idx="20">
                  <c:v>3200</c:v>
                </c:pt>
                <c:pt idx="21">
                  <c:v>2900</c:v>
                </c:pt>
                <c:pt idx="22">
                  <c:v>2500</c:v>
                </c:pt>
                <c:pt idx="23">
                  <c:v>2000</c:v>
                </c:pt>
                <c:pt idx="24">
                  <c:v>1500</c:v>
                </c:pt>
                <c:pt idx="25">
                  <c:v>1000</c:v>
                </c:pt>
                <c:pt idx="26">
                  <c:v>200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ser>
          <c:idx val="3"/>
          <c:order val="3"/>
          <c:tx>
            <c:v>Roth</c:v>
          </c:tx>
          <c:spPr>
            <a:solidFill>
              <a:srgbClr val="FFC000"/>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Details!$F$37:$AS$37</c:f>
              <c:numCache>
                <c:formatCode>_(* #,##0_);_(* \(#,##0\);_(* "-"??_);_(@_)</c:formatCode>
                <c:ptCount val="40"/>
                <c:pt idx="0">
                  <c:v>6100</c:v>
                </c:pt>
                <c:pt idx="1">
                  <c:v>6500</c:v>
                </c:pt>
                <c:pt idx="2">
                  <c:v>7000</c:v>
                </c:pt>
                <c:pt idx="3">
                  <c:v>7500</c:v>
                </c:pt>
                <c:pt idx="4">
                  <c:v>8000</c:v>
                </c:pt>
                <c:pt idx="5">
                  <c:v>8500</c:v>
                </c:pt>
                <c:pt idx="6">
                  <c:v>9000</c:v>
                </c:pt>
                <c:pt idx="7">
                  <c:v>9600</c:v>
                </c:pt>
                <c:pt idx="8">
                  <c:v>10000</c:v>
                </c:pt>
                <c:pt idx="9">
                  <c:v>10300</c:v>
                </c:pt>
                <c:pt idx="10">
                  <c:v>10600</c:v>
                </c:pt>
                <c:pt idx="11">
                  <c:v>10900</c:v>
                </c:pt>
                <c:pt idx="12">
                  <c:v>11200</c:v>
                </c:pt>
                <c:pt idx="13">
                  <c:v>11400</c:v>
                </c:pt>
                <c:pt idx="14">
                  <c:v>11900</c:v>
                </c:pt>
                <c:pt idx="15">
                  <c:v>12600</c:v>
                </c:pt>
                <c:pt idx="16">
                  <c:v>13400</c:v>
                </c:pt>
                <c:pt idx="17">
                  <c:v>14200</c:v>
                </c:pt>
                <c:pt idx="18">
                  <c:v>12900</c:v>
                </c:pt>
                <c:pt idx="19">
                  <c:v>13500</c:v>
                </c:pt>
                <c:pt idx="20">
                  <c:v>14300</c:v>
                </c:pt>
                <c:pt idx="21">
                  <c:v>14900</c:v>
                </c:pt>
                <c:pt idx="22">
                  <c:v>15600</c:v>
                </c:pt>
                <c:pt idx="23">
                  <c:v>16500</c:v>
                </c:pt>
                <c:pt idx="24">
                  <c:v>17200</c:v>
                </c:pt>
                <c:pt idx="25">
                  <c:v>18200</c:v>
                </c:pt>
                <c:pt idx="26">
                  <c:v>19000</c:v>
                </c:pt>
                <c:pt idx="27">
                  <c:v>20000</c:v>
                </c:pt>
                <c:pt idx="28">
                  <c:v>21000</c:v>
                </c:pt>
                <c:pt idx="29">
                  <c:v>22100</c:v>
                </c:pt>
                <c:pt idx="30">
                  <c:v>0</c:v>
                </c:pt>
                <c:pt idx="31">
                  <c:v>0</c:v>
                </c:pt>
                <c:pt idx="32">
                  <c:v>0</c:v>
                </c:pt>
                <c:pt idx="33">
                  <c:v>0</c:v>
                </c:pt>
                <c:pt idx="34">
                  <c:v>0</c:v>
                </c:pt>
                <c:pt idx="35">
                  <c:v>0</c:v>
                </c:pt>
                <c:pt idx="36">
                  <c:v>0</c:v>
                </c:pt>
                <c:pt idx="37">
                  <c:v>0</c:v>
                </c:pt>
                <c:pt idx="38">
                  <c:v>0</c:v>
                </c:pt>
                <c:pt idx="39">
                  <c:v>0</c:v>
                </c:pt>
              </c:numCache>
            </c:numRef>
          </c:val>
        </c:ser>
        <c:ser>
          <c:idx val="4"/>
          <c:order val="4"/>
          <c:tx>
            <c:v>Roth conv</c:v>
          </c:tx>
          <c:spPr>
            <a:solidFill>
              <a:srgbClr val="C00000"/>
            </a:solidFill>
            <a:ln w="12700">
              <a:solidFill>
                <a:srgbClr val="000000"/>
              </a:solidFill>
              <a:prstDash val="solid"/>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Details!$F$38:$AS$38</c:f>
              <c:numCache>
                <c:formatCode>_(* #,##0_);_(* \(#,##0\);_(* "-"??_);_(@_)</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ser>
          <c:idx val="6"/>
          <c:order val="5"/>
          <c:tx>
            <c:v>SS Benefits</c:v>
          </c:tx>
          <c:spPr>
            <a:solidFill>
              <a:srgbClr val="00FFFF"/>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Details!$F$61:$AS$61</c:f>
              <c:numCache>
                <c:formatCode>_(* #,##0_);_(* \(#,##0\);_(* "-"??_);_(@_)</c:formatCode>
                <c:ptCount val="40"/>
                <c:pt idx="0" formatCode="#,##0_);\(#,##0\)">
                  <c:v>0</c:v>
                </c:pt>
                <c:pt idx="1">
                  <c:v>0</c:v>
                </c:pt>
                <c:pt idx="2">
                  <c:v>0</c:v>
                </c:pt>
                <c:pt idx="3">
                  <c:v>0</c:v>
                </c:pt>
                <c:pt idx="4">
                  <c:v>0</c:v>
                </c:pt>
                <c:pt idx="5">
                  <c:v>22100</c:v>
                </c:pt>
                <c:pt idx="6">
                  <c:v>22500</c:v>
                </c:pt>
                <c:pt idx="7">
                  <c:v>23000</c:v>
                </c:pt>
                <c:pt idx="8">
                  <c:v>69900</c:v>
                </c:pt>
                <c:pt idx="9">
                  <c:v>71300</c:v>
                </c:pt>
                <c:pt idx="10">
                  <c:v>72700</c:v>
                </c:pt>
                <c:pt idx="11">
                  <c:v>74200</c:v>
                </c:pt>
                <c:pt idx="12">
                  <c:v>75700</c:v>
                </c:pt>
                <c:pt idx="13">
                  <c:v>77200</c:v>
                </c:pt>
                <c:pt idx="14">
                  <c:v>78700</c:v>
                </c:pt>
                <c:pt idx="15">
                  <c:v>80200</c:v>
                </c:pt>
                <c:pt idx="16">
                  <c:v>63000</c:v>
                </c:pt>
                <c:pt idx="17">
                  <c:v>64200</c:v>
                </c:pt>
                <c:pt idx="18">
                  <c:v>65500</c:v>
                </c:pt>
                <c:pt idx="19">
                  <c:v>66800</c:v>
                </c:pt>
                <c:pt idx="20">
                  <c:v>68100</c:v>
                </c:pt>
                <c:pt idx="21">
                  <c:v>69500</c:v>
                </c:pt>
                <c:pt idx="22">
                  <c:v>70900</c:v>
                </c:pt>
                <c:pt idx="23">
                  <c:v>72300</c:v>
                </c:pt>
                <c:pt idx="24">
                  <c:v>49000</c:v>
                </c:pt>
                <c:pt idx="25">
                  <c:v>50000</c:v>
                </c:pt>
                <c:pt idx="26">
                  <c:v>51000</c:v>
                </c:pt>
                <c:pt idx="27">
                  <c:v>52000</c:v>
                </c:pt>
                <c:pt idx="28">
                  <c:v>53000</c:v>
                </c:pt>
                <c:pt idx="29">
                  <c:v>54100</c:v>
                </c:pt>
                <c:pt idx="30">
                  <c:v>0</c:v>
                </c:pt>
                <c:pt idx="31">
                  <c:v>0</c:v>
                </c:pt>
                <c:pt idx="32">
                  <c:v>0</c:v>
                </c:pt>
                <c:pt idx="33">
                  <c:v>0</c:v>
                </c:pt>
                <c:pt idx="34">
                  <c:v>0</c:v>
                </c:pt>
                <c:pt idx="35">
                  <c:v>0</c:v>
                </c:pt>
                <c:pt idx="36">
                  <c:v>0</c:v>
                </c:pt>
                <c:pt idx="37">
                  <c:v>0</c:v>
                </c:pt>
                <c:pt idx="38">
                  <c:v>0</c:v>
                </c:pt>
                <c:pt idx="39">
                  <c:v>0</c:v>
                </c:pt>
              </c:numCache>
            </c:numRef>
          </c:val>
        </c:ser>
        <c:ser>
          <c:idx val="7"/>
          <c:order val="6"/>
          <c:tx>
            <c:v>Pensions &amp; Other</c:v>
          </c:tx>
          <c:spPr>
            <a:solidFill>
              <a:srgbClr val="CC66FF"/>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Details!$F$70:$AS$70</c:f>
              <c:numCache>
                <c:formatCode>_(* #,##0_);_(* \(#,##0\);_(* "-"??_);_(@_)</c:formatCode>
                <c:ptCount val="40"/>
                <c:pt idx="0" formatCode="#,##0_);\(#,##0\)">
                  <c:v>20000</c:v>
                </c:pt>
                <c:pt idx="1">
                  <c:v>35600</c:v>
                </c:pt>
                <c:pt idx="2">
                  <c:v>21200</c:v>
                </c:pt>
                <c:pt idx="3">
                  <c:v>21900</c:v>
                </c:pt>
                <c:pt idx="4">
                  <c:v>22600</c:v>
                </c:pt>
                <c:pt idx="5">
                  <c:v>23400</c:v>
                </c:pt>
                <c:pt idx="6">
                  <c:v>24200</c:v>
                </c:pt>
                <c:pt idx="7">
                  <c:v>25000</c:v>
                </c:pt>
                <c:pt idx="8">
                  <c:v>25800</c:v>
                </c:pt>
                <c:pt idx="9">
                  <c:v>12500</c:v>
                </c:pt>
                <c:pt idx="10">
                  <c:v>12800</c:v>
                </c:pt>
                <c:pt idx="11">
                  <c:v>13100</c:v>
                </c:pt>
                <c:pt idx="12">
                  <c:v>13400</c:v>
                </c:pt>
                <c:pt idx="13">
                  <c:v>13700</c:v>
                </c:pt>
                <c:pt idx="14">
                  <c:v>14100</c:v>
                </c:pt>
                <c:pt idx="15">
                  <c:v>14500</c:v>
                </c:pt>
                <c:pt idx="16">
                  <c:v>14900</c:v>
                </c:pt>
                <c:pt idx="17">
                  <c:v>15300</c:v>
                </c:pt>
                <c:pt idx="18">
                  <c:v>15700</c:v>
                </c:pt>
                <c:pt idx="19">
                  <c:v>16100</c:v>
                </c:pt>
                <c:pt idx="20">
                  <c:v>16500</c:v>
                </c:pt>
                <c:pt idx="21">
                  <c:v>16900</c:v>
                </c:pt>
                <c:pt idx="22">
                  <c:v>17300</c:v>
                </c:pt>
                <c:pt idx="23">
                  <c:v>17800</c:v>
                </c:pt>
                <c:pt idx="24">
                  <c:v>16300</c:v>
                </c:pt>
                <c:pt idx="25">
                  <c:v>16800</c:v>
                </c:pt>
                <c:pt idx="26">
                  <c:v>17300</c:v>
                </c:pt>
                <c:pt idx="27">
                  <c:v>17800</c:v>
                </c:pt>
                <c:pt idx="28">
                  <c:v>18300</c:v>
                </c:pt>
                <c:pt idx="29">
                  <c:v>18800</c:v>
                </c:pt>
                <c:pt idx="30">
                  <c:v>0</c:v>
                </c:pt>
                <c:pt idx="31">
                  <c:v>0</c:v>
                </c:pt>
                <c:pt idx="32">
                  <c:v>0</c:v>
                </c:pt>
                <c:pt idx="33">
                  <c:v>0</c:v>
                </c:pt>
                <c:pt idx="34">
                  <c:v>0</c:v>
                </c:pt>
                <c:pt idx="35">
                  <c:v>0</c:v>
                </c:pt>
                <c:pt idx="36">
                  <c:v>0</c:v>
                </c:pt>
                <c:pt idx="37">
                  <c:v>0</c:v>
                </c:pt>
                <c:pt idx="38">
                  <c:v>0</c:v>
                </c:pt>
                <c:pt idx="39">
                  <c:v>0</c:v>
                </c:pt>
              </c:numCache>
            </c:numRef>
          </c:val>
        </c:ser>
        <c:ser>
          <c:idx val="8"/>
          <c:order val="7"/>
          <c:tx>
            <c:v>SPIA</c:v>
          </c:tx>
          <c:invertIfNegative val="0"/>
          <c:val>
            <c:numRef>
              <c:f>Details!$F$173:$AS$173</c:f>
            </c:numRef>
          </c:val>
        </c:ser>
        <c:ser>
          <c:idx val="9"/>
          <c:order val="8"/>
          <c:tx>
            <c:v>Donations</c:v>
          </c:tx>
          <c:spPr>
            <a:solidFill>
              <a:srgbClr val="FF00FF"/>
            </a:solidFill>
            <a:ln w="12700">
              <a:solidFill>
                <a:srgbClr val="000000"/>
              </a:solidFill>
              <a:prstDash val="solid"/>
            </a:ln>
          </c:spPr>
          <c:invertIfNegative val="0"/>
          <c:val>
            <c:numRef>
              <c:f>Details!$F$137:$AS$137</c:f>
              <c:numCache>
                <c:formatCode>_(* #,##0_);_(* \(#,##0\);_(* "-"??_);_(@_)</c:formatCode>
                <c:ptCount val="40"/>
                <c:pt idx="0" formatCode="#,##0_);\(#,##0\)">
                  <c:v>0</c:v>
                </c:pt>
                <c:pt idx="1">
                  <c:v>0</c:v>
                </c:pt>
                <c:pt idx="2">
                  <c:v>0</c:v>
                </c:pt>
                <c:pt idx="3">
                  <c:v>0</c:v>
                </c:pt>
                <c:pt idx="4">
                  <c:v>0</c:v>
                </c:pt>
                <c:pt idx="5">
                  <c:v>0</c:v>
                </c:pt>
                <c:pt idx="6">
                  <c:v>0</c:v>
                </c:pt>
                <c:pt idx="7">
                  <c:v>0</c:v>
                </c:pt>
                <c:pt idx="8">
                  <c:v>0</c:v>
                </c:pt>
                <c:pt idx="9">
                  <c:v>-15000</c:v>
                </c:pt>
                <c:pt idx="10">
                  <c:v>-15000</c:v>
                </c:pt>
                <c:pt idx="11">
                  <c:v>-15000</c:v>
                </c:pt>
                <c:pt idx="12">
                  <c:v>-15000</c:v>
                </c:pt>
                <c:pt idx="13">
                  <c:v>-15000</c:v>
                </c:pt>
                <c:pt idx="14">
                  <c:v>0</c:v>
                </c:pt>
                <c:pt idx="15">
                  <c:v>0</c:v>
                </c:pt>
                <c:pt idx="16">
                  <c:v>0</c:v>
                </c:pt>
                <c:pt idx="17">
                  <c:v>0</c:v>
                </c:pt>
                <c:pt idx="18">
                  <c:v>-5000</c:v>
                </c:pt>
                <c:pt idx="19">
                  <c:v>-5000</c:v>
                </c:pt>
                <c:pt idx="20">
                  <c:v>-5000</c:v>
                </c:pt>
                <c:pt idx="21">
                  <c:v>-5000</c:v>
                </c:pt>
                <c:pt idx="22">
                  <c:v>-5000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50"/>
        <c:overlap val="100"/>
        <c:axId val="217994336"/>
        <c:axId val="218009024"/>
      </c:barChart>
      <c:catAx>
        <c:axId val="217994336"/>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8009024"/>
        <c:crosses val="autoZero"/>
        <c:auto val="0"/>
        <c:lblAlgn val="ctr"/>
        <c:lblOffset val="100"/>
        <c:tickLblSkip val="2"/>
        <c:tickMarkSkip val="1"/>
        <c:noMultiLvlLbl val="0"/>
      </c:catAx>
      <c:valAx>
        <c:axId val="218009024"/>
        <c:scaling>
          <c:orientation val="minMax"/>
          <c:min val="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7994336"/>
        <c:crosses val="autoZero"/>
        <c:crossBetween val="between"/>
        <c:dispUnits>
          <c:builtInUnit val="thousands"/>
          <c:dispUnitsLbl>
            <c:layout>
              <c:manualLayout>
                <c:xMode val="edge"/>
                <c:yMode val="edge"/>
                <c:x val="1.135569820918403E-2"/>
                <c:y val="0.42348408372030416"/>
              </c:manualLayout>
            </c:layout>
            <c:txPr>
              <a:bodyPr/>
              <a:lstStyle/>
              <a:p>
                <a:pPr>
                  <a:defRPr sz="1000"/>
                </a:pPr>
                <a:endParaRPr lang="en-US"/>
              </a:p>
            </c:txPr>
          </c:dispUnitsLbl>
        </c:dispUnits>
      </c:valAx>
      <c:spPr>
        <a:solidFill>
          <a:srgbClr val="FFFFFF"/>
        </a:solidFill>
        <a:ln w="12700">
          <a:solidFill>
            <a:srgbClr val="808080"/>
          </a:solidFill>
          <a:prstDash val="solid"/>
        </a:ln>
      </c:spPr>
    </c:plotArea>
    <c:legend>
      <c:legendPos val="b"/>
      <c:layout>
        <c:manualLayout>
          <c:xMode val="edge"/>
          <c:yMode val="edge"/>
          <c:x val="0.12035986168211274"/>
          <c:y val="0.10252330237566459"/>
          <c:w val="0.8768903299421642"/>
          <c:h val="0.16260988837238721"/>
        </c:manualLayout>
      </c:layout>
      <c:overlay val="0"/>
      <c:spPr>
        <a:solidFill>
          <a:schemeClr val="accent3">
            <a:lumMod val="20000"/>
            <a:lumOff val="80000"/>
          </a:schemeClr>
        </a:solid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accent3">
        <a:lumMod val="20000"/>
        <a:lumOff val="80000"/>
      </a:schemeClr>
    </a:solidFill>
    <a:ln w="6350">
      <a:noFill/>
    </a:ln>
  </c:spPr>
  <c:txPr>
    <a:bodyPr/>
    <a:lstStyle/>
    <a:p>
      <a:pPr>
        <a:defRPr sz="1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SS Benefits &amp; Expenses</a:t>
            </a:r>
          </a:p>
        </c:rich>
      </c:tx>
      <c:layout>
        <c:manualLayout>
          <c:xMode val="edge"/>
          <c:yMode val="edge"/>
          <c:x val="0.12112450787401575"/>
          <c:y val="5.0420494313210849E-2"/>
        </c:manualLayout>
      </c:layout>
      <c:overlay val="0"/>
      <c:spPr>
        <a:noFill/>
        <a:ln w="25400">
          <a:noFill/>
        </a:ln>
      </c:spPr>
    </c:title>
    <c:autoTitleDeleted val="0"/>
    <c:plotArea>
      <c:layout>
        <c:manualLayout>
          <c:layoutTarget val="inner"/>
          <c:xMode val="edge"/>
          <c:yMode val="edge"/>
          <c:x val="0.1601265857392826"/>
          <c:y val="0.21848885177744279"/>
          <c:w val="0.81662100831146112"/>
          <c:h val="0.57563409025980106"/>
        </c:manualLayout>
      </c:layout>
      <c:barChart>
        <c:barDir val="col"/>
        <c:grouping val="clustered"/>
        <c:varyColors val="0"/>
        <c:ser>
          <c:idx val="2"/>
          <c:order val="1"/>
          <c:tx>
            <c:v>SS Benefits</c:v>
          </c:tx>
          <c:spPr>
            <a:solidFill>
              <a:srgbClr val="0000FF"/>
            </a:solidFill>
            <a:ln w="25400">
              <a:noFill/>
            </a:ln>
          </c:spPr>
          <c:invertIfNegative val="0"/>
          <c:val>
            <c:numRef>
              <c:f>Details!$F$61:$AS$61</c:f>
              <c:numCache>
                <c:formatCode>_(* #,##0_);_(* \(#,##0\);_(* "-"??_);_(@_)</c:formatCode>
                <c:ptCount val="40"/>
                <c:pt idx="0" formatCode="#,##0_);\(#,##0\)">
                  <c:v>0</c:v>
                </c:pt>
                <c:pt idx="1">
                  <c:v>0</c:v>
                </c:pt>
                <c:pt idx="2">
                  <c:v>0</c:v>
                </c:pt>
                <c:pt idx="3">
                  <c:v>0</c:v>
                </c:pt>
                <c:pt idx="4">
                  <c:v>0</c:v>
                </c:pt>
                <c:pt idx="5">
                  <c:v>22100</c:v>
                </c:pt>
                <c:pt idx="6">
                  <c:v>22500</c:v>
                </c:pt>
                <c:pt idx="7">
                  <c:v>23000</c:v>
                </c:pt>
                <c:pt idx="8">
                  <c:v>69900</c:v>
                </c:pt>
                <c:pt idx="9">
                  <c:v>71300</c:v>
                </c:pt>
                <c:pt idx="10">
                  <c:v>72700</c:v>
                </c:pt>
                <c:pt idx="11">
                  <c:v>74200</c:v>
                </c:pt>
                <c:pt idx="12">
                  <c:v>75700</c:v>
                </c:pt>
                <c:pt idx="13">
                  <c:v>77200</c:v>
                </c:pt>
                <c:pt idx="14">
                  <c:v>78700</c:v>
                </c:pt>
                <c:pt idx="15">
                  <c:v>80200</c:v>
                </c:pt>
                <c:pt idx="16">
                  <c:v>63000</c:v>
                </c:pt>
                <c:pt idx="17">
                  <c:v>64200</c:v>
                </c:pt>
                <c:pt idx="18">
                  <c:v>65500</c:v>
                </c:pt>
                <c:pt idx="19">
                  <c:v>66800</c:v>
                </c:pt>
                <c:pt idx="20">
                  <c:v>68100</c:v>
                </c:pt>
                <c:pt idx="21">
                  <c:v>69500</c:v>
                </c:pt>
                <c:pt idx="22">
                  <c:v>70900</c:v>
                </c:pt>
                <c:pt idx="23">
                  <c:v>72300</c:v>
                </c:pt>
                <c:pt idx="24">
                  <c:v>49000</c:v>
                </c:pt>
                <c:pt idx="25">
                  <c:v>50000</c:v>
                </c:pt>
                <c:pt idx="26">
                  <c:v>51000</c:v>
                </c:pt>
                <c:pt idx="27">
                  <c:v>52000</c:v>
                </c:pt>
                <c:pt idx="28">
                  <c:v>53000</c:v>
                </c:pt>
                <c:pt idx="29">
                  <c:v>54100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40"/>
        <c:axId val="218006304"/>
        <c:axId val="218006848"/>
      </c:barChart>
      <c:lineChart>
        <c:grouping val="standard"/>
        <c:varyColors val="0"/>
        <c:ser>
          <c:idx val="0"/>
          <c:order val="0"/>
          <c:tx>
            <c:v>Expenses</c:v>
          </c:tx>
          <c:spPr>
            <a:ln w="19050">
              <a:noFill/>
            </a:ln>
          </c:spPr>
          <c:marker>
            <c:symbol val="square"/>
            <c:size val="5"/>
            <c:spPr>
              <a:solidFill>
                <a:srgbClr val="FF0000"/>
              </a:solidFill>
              <a:ln>
                <a:solidFill>
                  <a:srgbClr val="FF0000"/>
                </a:solidFill>
                <a:prstDash val="solid"/>
              </a:ln>
            </c:spPr>
          </c:marker>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Details!$F$146:$AS$146</c:f>
              <c:numCache>
                <c:formatCode>_(* #,##0_);_(* \(#,##0\);_(* "-"??_);_(@_)</c:formatCode>
                <c:ptCount val="40"/>
                <c:pt idx="0" formatCode="#,##0_);\(#,##0\)">
                  <c:v>75000</c:v>
                </c:pt>
                <c:pt idx="1">
                  <c:v>78800</c:v>
                </c:pt>
                <c:pt idx="2">
                  <c:v>77800</c:v>
                </c:pt>
                <c:pt idx="3">
                  <c:v>79400</c:v>
                </c:pt>
                <c:pt idx="4">
                  <c:v>81000</c:v>
                </c:pt>
                <c:pt idx="5">
                  <c:v>84900</c:v>
                </c:pt>
                <c:pt idx="6">
                  <c:v>86400</c:v>
                </c:pt>
                <c:pt idx="7">
                  <c:v>89500</c:v>
                </c:pt>
                <c:pt idx="8">
                  <c:v>86700</c:v>
                </c:pt>
                <c:pt idx="9">
                  <c:v>88400</c:v>
                </c:pt>
                <c:pt idx="10">
                  <c:v>90200</c:v>
                </c:pt>
                <c:pt idx="11">
                  <c:v>92300</c:v>
                </c:pt>
                <c:pt idx="12">
                  <c:v>95500</c:v>
                </c:pt>
                <c:pt idx="13">
                  <c:v>97800</c:v>
                </c:pt>
                <c:pt idx="14">
                  <c:v>103000</c:v>
                </c:pt>
                <c:pt idx="15">
                  <c:v>106700</c:v>
                </c:pt>
                <c:pt idx="16">
                  <c:v>108300</c:v>
                </c:pt>
                <c:pt idx="17">
                  <c:v>110600</c:v>
                </c:pt>
                <c:pt idx="18">
                  <c:v>131500</c:v>
                </c:pt>
                <c:pt idx="19">
                  <c:v>134100</c:v>
                </c:pt>
                <c:pt idx="20">
                  <c:v>137000</c:v>
                </c:pt>
                <c:pt idx="21">
                  <c:v>140200</c:v>
                </c:pt>
                <c:pt idx="22">
                  <c:v>147500</c:v>
                </c:pt>
                <c:pt idx="23">
                  <c:v>151800</c:v>
                </c:pt>
                <c:pt idx="24">
                  <c:v>159300</c:v>
                </c:pt>
                <c:pt idx="25">
                  <c:v>163000</c:v>
                </c:pt>
                <c:pt idx="26">
                  <c:v>166200</c:v>
                </c:pt>
                <c:pt idx="27">
                  <c:v>166900</c:v>
                </c:pt>
                <c:pt idx="28">
                  <c:v>169700</c:v>
                </c:pt>
                <c:pt idx="29">
                  <c:v>173100</c:v>
                </c:pt>
                <c:pt idx="30">
                  <c:v>0</c:v>
                </c:pt>
                <c:pt idx="31">
                  <c:v>0</c:v>
                </c:pt>
                <c:pt idx="32">
                  <c:v>0</c:v>
                </c:pt>
                <c:pt idx="33">
                  <c:v>0</c:v>
                </c:pt>
                <c:pt idx="34">
                  <c:v>0</c:v>
                </c:pt>
                <c:pt idx="35">
                  <c:v>0</c:v>
                </c:pt>
                <c:pt idx="36">
                  <c:v>0</c:v>
                </c:pt>
                <c:pt idx="37">
                  <c:v>0</c:v>
                </c:pt>
                <c:pt idx="38">
                  <c:v>0</c:v>
                </c:pt>
                <c:pt idx="39">
                  <c:v>0</c:v>
                </c:pt>
              </c:numCache>
            </c:numRef>
          </c:val>
          <c:smooth val="0"/>
        </c:ser>
        <c:dLbls>
          <c:showLegendKey val="0"/>
          <c:showVal val="0"/>
          <c:showCatName val="0"/>
          <c:showSerName val="0"/>
          <c:showPercent val="0"/>
          <c:showBubbleSize val="0"/>
        </c:dLbls>
        <c:marker val="1"/>
        <c:smooth val="0"/>
        <c:axId val="218006304"/>
        <c:axId val="218006848"/>
      </c:lineChart>
      <c:catAx>
        <c:axId val="218006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8006848"/>
        <c:crosses val="autoZero"/>
        <c:auto val="1"/>
        <c:lblAlgn val="ctr"/>
        <c:lblOffset val="100"/>
        <c:tickLblSkip val="3"/>
        <c:tickMarkSkip val="1"/>
        <c:noMultiLvlLbl val="0"/>
      </c:catAx>
      <c:valAx>
        <c:axId val="218006848"/>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8006304"/>
        <c:crosses val="autoZero"/>
        <c:crossBetween val="between"/>
        <c:dispUnits>
          <c:builtInUnit val="thousands"/>
          <c:dispUnitsLbl>
            <c:layout>
              <c:manualLayout>
                <c:xMode val="edge"/>
                <c:yMode val="edge"/>
                <c:x val="1.1467902449693788E-2"/>
                <c:y val="0.32037893700787401"/>
              </c:manualLayout>
            </c:layout>
            <c:txPr>
              <a:bodyPr/>
              <a:lstStyle/>
              <a:p>
                <a:pPr>
                  <a:defRPr sz="1000"/>
                </a:pPr>
                <a:endParaRPr lang="en-US"/>
              </a:p>
            </c:txPr>
          </c:dispUnitsLbl>
        </c:dispUnits>
      </c:valAx>
      <c:spPr>
        <a:solidFill>
          <a:srgbClr val="FFFFFF"/>
        </a:solidFill>
        <a:ln w="12700">
          <a:solidFill>
            <a:srgbClr val="808080"/>
          </a:solidFill>
          <a:prstDash val="solid"/>
        </a:ln>
      </c:spPr>
    </c:plotArea>
    <c:legend>
      <c:legendPos val="r"/>
      <c:layout>
        <c:manualLayout>
          <c:xMode val="edge"/>
          <c:yMode val="edge"/>
          <c:x val="0.59176652934491436"/>
          <c:y val="3.675939073189622E-2"/>
          <c:w val="0.38372220111481792"/>
          <c:h val="0.13865638670491562"/>
        </c:manualLayout>
      </c:layout>
      <c:overlay val="0"/>
      <c:spPr>
        <a:solidFill>
          <a:schemeClr val="accent3">
            <a:lumMod val="20000"/>
            <a:lumOff val="80000"/>
          </a:schemeClr>
        </a:solid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accent3">
        <a:lumMod val="20000"/>
        <a:lumOff val="80000"/>
      </a:schemeClr>
    </a:solidFill>
    <a:ln w="6350">
      <a:noFill/>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Taxable Social Security Benefits</a:t>
            </a:r>
          </a:p>
        </c:rich>
      </c:tx>
      <c:layout>
        <c:manualLayout>
          <c:xMode val="edge"/>
          <c:yMode val="edge"/>
          <c:x val="0.22991661198600177"/>
          <c:y val="7.2312445319335089E-2"/>
        </c:manualLayout>
      </c:layout>
      <c:overlay val="0"/>
      <c:spPr>
        <a:noFill/>
        <a:ln w="25400">
          <a:noFill/>
        </a:ln>
      </c:spPr>
    </c:title>
    <c:autoTitleDeleted val="0"/>
    <c:plotArea>
      <c:layout>
        <c:manualLayout>
          <c:layoutTarget val="inner"/>
          <c:xMode val="edge"/>
          <c:yMode val="edge"/>
          <c:x val="0.15789473684210528"/>
          <c:y val="0.23481792981497193"/>
          <c:w val="0.81983805668016196"/>
          <c:h val="0.5870448245374299"/>
        </c:manualLayout>
      </c:layout>
      <c:barChart>
        <c:barDir val="col"/>
        <c:grouping val="clustered"/>
        <c:varyColors val="0"/>
        <c:ser>
          <c:idx val="0"/>
          <c:order val="0"/>
          <c:tx>
            <c:v>Full</c:v>
          </c:tx>
          <c:spPr>
            <a:solidFill>
              <a:srgbClr val="0000FF"/>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Results!$F$112:$AS$112</c:f>
              <c:numCache>
                <c:formatCode>_(* #,##0_);_(* \(#,##0\);_(* "-"??_);_(@_)</c:formatCode>
                <c:ptCount val="40"/>
                <c:pt idx="0" formatCode="#,##0_);\(#,##0\)">
                  <c:v>0</c:v>
                </c:pt>
                <c:pt idx="1">
                  <c:v>0</c:v>
                </c:pt>
                <c:pt idx="2">
                  <c:v>0</c:v>
                </c:pt>
                <c:pt idx="3">
                  <c:v>0</c:v>
                </c:pt>
                <c:pt idx="4">
                  <c:v>0</c:v>
                </c:pt>
                <c:pt idx="5">
                  <c:v>18800</c:v>
                </c:pt>
                <c:pt idx="6">
                  <c:v>19100</c:v>
                </c:pt>
                <c:pt idx="7">
                  <c:v>19600</c:v>
                </c:pt>
                <c:pt idx="8">
                  <c:v>33400</c:v>
                </c:pt>
                <c:pt idx="9">
                  <c:v>34900</c:v>
                </c:pt>
                <c:pt idx="10">
                  <c:v>36100</c:v>
                </c:pt>
                <c:pt idx="11">
                  <c:v>38000</c:v>
                </c:pt>
                <c:pt idx="12">
                  <c:v>44300</c:v>
                </c:pt>
                <c:pt idx="13">
                  <c:v>47000</c:v>
                </c:pt>
                <c:pt idx="14">
                  <c:v>59600</c:v>
                </c:pt>
                <c:pt idx="15">
                  <c:v>66800</c:v>
                </c:pt>
                <c:pt idx="16">
                  <c:v>53600</c:v>
                </c:pt>
                <c:pt idx="17">
                  <c:v>54600</c:v>
                </c:pt>
                <c:pt idx="18">
                  <c:v>55700</c:v>
                </c:pt>
                <c:pt idx="19">
                  <c:v>56800</c:v>
                </c:pt>
                <c:pt idx="20">
                  <c:v>57900</c:v>
                </c:pt>
                <c:pt idx="21">
                  <c:v>59100</c:v>
                </c:pt>
                <c:pt idx="22">
                  <c:v>60300</c:v>
                </c:pt>
                <c:pt idx="23">
                  <c:v>61500</c:v>
                </c:pt>
                <c:pt idx="24">
                  <c:v>41700</c:v>
                </c:pt>
                <c:pt idx="25">
                  <c:v>42500</c:v>
                </c:pt>
                <c:pt idx="26">
                  <c:v>43400</c:v>
                </c:pt>
                <c:pt idx="27">
                  <c:v>44200</c:v>
                </c:pt>
                <c:pt idx="28">
                  <c:v>45100</c:v>
                </c:pt>
                <c:pt idx="29">
                  <c:v>46000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40"/>
        <c:axId val="218008480"/>
        <c:axId val="218004672"/>
      </c:barChart>
      <c:catAx>
        <c:axId val="218008480"/>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8004672"/>
        <c:crosses val="autoZero"/>
        <c:auto val="1"/>
        <c:lblAlgn val="ctr"/>
        <c:lblOffset val="100"/>
        <c:tickLblSkip val="3"/>
        <c:tickMarkSkip val="1"/>
        <c:noMultiLvlLbl val="0"/>
      </c:catAx>
      <c:valAx>
        <c:axId val="218004672"/>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8008480"/>
        <c:crosses val="autoZero"/>
        <c:crossBetween val="between"/>
        <c:dispUnits>
          <c:builtInUnit val="thousands"/>
          <c:dispUnitsLbl>
            <c:layout>
              <c:manualLayout>
                <c:xMode val="edge"/>
                <c:yMode val="edge"/>
                <c:x val="2.4683672353455817E-2"/>
                <c:y val="0.34021981627296588"/>
              </c:manualLayout>
            </c:layout>
            <c:txPr>
              <a:bodyPr/>
              <a:lstStyle/>
              <a:p>
                <a:pPr>
                  <a:defRPr sz="1000"/>
                </a:pPr>
                <a:endParaRPr lang="en-US"/>
              </a:p>
            </c:txPr>
          </c:dispUnitsLbl>
        </c:dispUnits>
      </c:valAx>
      <c:spPr>
        <a:solidFill>
          <a:srgbClr val="FFFFFF"/>
        </a:solidFill>
        <a:ln w="12700">
          <a:solidFill>
            <a:srgbClr val="808080"/>
          </a:solidFill>
          <a:prstDash val="solid"/>
        </a:ln>
      </c:spPr>
    </c:plotArea>
    <c:plotVisOnly val="1"/>
    <c:dispBlanksAs val="gap"/>
    <c:showDLblsOverMax val="0"/>
  </c:chart>
  <c:spPr>
    <a:solidFill>
      <a:schemeClr val="accent3">
        <a:lumMod val="20000"/>
        <a:lumOff val="80000"/>
      </a:schemeClr>
    </a:solid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baseline="0"/>
              <a:t>Income and Expenses</a:t>
            </a:r>
          </a:p>
        </c:rich>
      </c:tx>
      <c:layout>
        <c:manualLayout>
          <c:xMode val="edge"/>
          <c:yMode val="edge"/>
          <c:x val="6.3079341644794396E-2"/>
          <c:y val="4.5527996500437443E-2"/>
        </c:manualLayout>
      </c:layout>
      <c:overlay val="0"/>
      <c:spPr>
        <a:noFill/>
        <a:ln w="25400">
          <a:noFill/>
        </a:ln>
      </c:spPr>
    </c:title>
    <c:autoTitleDeleted val="0"/>
    <c:plotArea>
      <c:layout>
        <c:manualLayout>
          <c:layoutTarget val="inner"/>
          <c:xMode val="edge"/>
          <c:yMode val="edge"/>
          <c:x val="0.15977526246719162"/>
          <c:y val="0.20736546642288151"/>
          <c:w val="0.81923228346456689"/>
          <c:h val="0.59819280402449693"/>
        </c:manualLayout>
      </c:layout>
      <c:barChart>
        <c:barDir val="col"/>
        <c:grouping val="clustered"/>
        <c:varyColors val="0"/>
        <c:ser>
          <c:idx val="0"/>
          <c:order val="0"/>
          <c:tx>
            <c:v>Expenses</c:v>
          </c:tx>
          <c:spPr>
            <a:solidFill>
              <a:srgbClr val="0000FF"/>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Details!$F$144:$AS$144</c:f>
              <c:numCache>
                <c:formatCode>_(* #,##0_);_(* \(#,##0\);_(* "-"??_);_(@_)</c:formatCode>
                <c:ptCount val="40"/>
                <c:pt idx="0" formatCode="#,##0_);\(#,##0\)">
                  <c:v>70000</c:v>
                </c:pt>
                <c:pt idx="1">
                  <c:v>71400</c:v>
                </c:pt>
                <c:pt idx="2">
                  <c:v>72800</c:v>
                </c:pt>
                <c:pt idx="3">
                  <c:v>74300</c:v>
                </c:pt>
                <c:pt idx="4">
                  <c:v>75800</c:v>
                </c:pt>
                <c:pt idx="5">
                  <c:v>77300</c:v>
                </c:pt>
                <c:pt idx="6">
                  <c:v>78800</c:v>
                </c:pt>
                <c:pt idx="7">
                  <c:v>80400</c:v>
                </c:pt>
                <c:pt idx="8">
                  <c:v>82000</c:v>
                </c:pt>
                <c:pt idx="9">
                  <c:v>83600</c:v>
                </c:pt>
                <c:pt idx="10">
                  <c:v>85300</c:v>
                </c:pt>
                <c:pt idx="11">
                  <c:v>87000</c:v>
                </c:pt>
                <c:pt idx="12">
                  <c:v>88700</c:v>
                </c:pt>
                <c:pt idx="13">
                  <c:v>90500</c:v>
                </c:pt>
                <c:pt idx="14">
                  <c:v>92300</c:v>
                </c:pt>
                <c:pt idx="15">
                  <c:v>94100</c:v>
                </c:pt>
                <c:pt idx="16">
                  <c:v>96000</c:v>
                </c:pt>
                <c:pt idx="17">
                  <c:v>97900</c:v>
                </c:pt>
                <c:pt idx="18">
                  <c:v>119800</c:v>
                </c:pt>
                <c:pt idx="19">
                  <c:v>122200</c:v>
                </c:pt>
                <c:pt idx="20">
                  <c:v>124600</c:v>
                </c:pt>
                <c:pt idx="21">
                  <c:v>127100</c:v>
                </c:pt>
                <c:pt idx="22">
                  <c:v>129600</c:v>
                </c:pt>
                <c:pt idx="23">
                  <c:v>132200</c:v>
                </c:pt>
                <c:pt idx="24">
                  <c:v>134800</c:v>
                </c:pt>
                <c:pt idx="25">
                  <c:v>137500</c:v>
                </c:pt>
                <c:pt idx="26">
                  <c:v>140300</c:v>
                </c:pt>
                <c:pt idx="27">
                  <c:v>143100</c:v>
                </c:pt>
                <c:pt idx="28">
                  <c:v>146000</c:v>
                </c:pt>
                <c:pt idx="29">
                  <c:v>148900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40"/>
        <c:axId val="218004128"/>
        <c:axId val="218005216"/>
      </c:barChart>
      <c:lineChart>
        <c:grouping val="standard"/>
        <c:varyColors val="0"/>
        <c:ser>
          <c:idx val="1"/>
          <c:order val="2"/>
          <c:tx>
            <c:v>Income</c:v>
          </c:tx>
          <c:spPr>
            <a:ln w="19050">
              <a:noFill/>
            </a:ln>
          </c:spPr>
          <c:marker>
            <c:spPr>
              <a:solidFill>
                <a:srgbClr val="FF0000"/>
              </a:solidFill>
              <a:ln>
                <a:solidFill>
                  <a:srgbClr val="FF0000"/>
                </a:solidFill>
              </a:ln>
            </c:spPr>
          </c:marker>
          <c:val>
            <c:numRef>
              <c:f>Details!$F$71:$AS$71</c:f>
              <c:numCache>
                <c:formatCode>_(* #,##0_);_(* \(#,##0\);_(* "-"??_);_(@_)</c:formatCode>
                <c:ptCount val="40"/>
                <c:pt idx="0" formatCode="#,##0_);\(#,##0\)">
                  <c:v>78900</c:v>
                </c:pt>
                <c:pt idx="1">
                  <c:v>95100</c:v>
                </c:pt>
                <c:pt idx="2">
                  <c:v>81200</c:v>
                </c:pt>
                <c:pt idx="3">
                  <c:v>82200</c:v>
                </c:pt>
                <c:pt idx="4">
                  <c:v>83100</c:v>
                </c:pt>
                <c:pt idx="5">
                  <c:v>106600</c:v>
                </c:pt>
                <c:pt idx="6">
                  <c:v>108900</c:v>
                </c:pt>
                <c:pt idx="7">
                  <c:v>111400</c:v>
                </c:pt>
                <c:pt idx="8">
                  <c:v>161600</c:v>
                </c:pt>
                <c:pt idx="9">
                  <c:v>152900</c:v>
                </c:pt>
                <c:pt idx="10">
                  <c:v>155300</c:v>
                </c:pt>
                <c:pt idx="11">
                  <c:v>158800</c:v>
                </c:pt>
                <c:pt idx="12">
                  <c:v>167400</c:v>
                </c:pt>
                <c:pt idx="13">
                  <c:v>171700</c:v>
                </c:pt>
                <c:pt idx="14">
                  <c:v>183800</c:v>
                </c:pt>
                <c:pt idx="15">
                  <c:v>189100</c:v>
                </c:pt>
                <c:pt idx="16">
                  <c:v>180300</c:v>
                </c:pt>
                <c:pt idx="17">
                  <c:v>185500</c:v>
                </c:pt>
                <c:pt idx="18">
                  <c:v>176500</c:v>
                </c:pt>
                <c:pt idx="19">
                  <c:v>179800</c:v>
                </c:pt>
                <c:pt idx="20">
                  <c:v>183400</c:v>
                </c:pt>
                <c:pt idx="21">
                  <c:v>186800</c:v>
                </c:pt>
                <c:pt idx="22">
                  <c:v>198400</c:v>
                </c:pt>
                <c:pt idx="23">
                  <c:v>210500</c:v>
                </c:pt>
                <c:pt idx="24">
                  <c:v>189400</c:v>
                </c:pt>
                <c:pt idx="25">
                  <c:v>194200</c:v>
                </c:pt>
                <c:pt idx="26">
                  <c:v>196400</c:v>
                </c:pt>
                <c:pt idx="27">
                  <c:v>199100</c:v>
                </c:pt>
                <c:pt idx="28">
                  <c:v>202000</c:v>
                </c:pt>
                <c:pt idx="29">
                  <c:v>204700</c:v>
                </c:pt>
                <c:pt idx="30">
                  <c:v>0</c:v>
                </c:pt>
                <c:pt idx="31">
                  <c:v>0</c:v>
                </c:pt>
                <c:pt idx="32">
                  <c:v>0</c:v>
                </c:pt>
                <c:pt idx="33">
                  <c:v>0</c:v>
                </c:pt>
                <c:pt idx="34">
                  <c:v>0</c:v>
                </c:pt>
                <c:pt idx="35">
                  <c:v>0</c:v>
                </c:pt>
                <c:pt idx="36">
                  <c:v>0</c:v>
                </c:pt>
                <c:pt idx="37">
                  <c:v>0</c:v>
                </c:pt>
                <c:pt idx="38">
                  <c:v>0</c:v>
                </c:pt>
                <c:pt idx="39">
                  <c:v>0</c:v>
                </c:pt>
              </c:numCache>
            </c:numRef>
          </c:val>
          <c:smooth val="0"/>
        </c:ser>
        <c:dLbls>
          <c:showLegendKey val="0"/>
          <c:showVal val="0"/>
          <c:showCatName val="0"/>
          <c:showSerName val="0"/>
          <c:showPercent val="0"/>
          <c:showBubbleSize val="0"/>
        </c:dLbls>
        <c:marker val="1"/>
        <c:smooth val="0"/>
        <c:axId val="218004128"/>
        <c:axId val="218005216"/>
        <c:extLst>
          <c:ext xmlns:c15="http://schemas.microsoft.com/office/drawing/2012/chart" uri="{02D57815-91ED-43cb-92C2-25804820EDAC}">
            <c15:filteredLineSeries>
              <c15:ser>
                <c:idx val="2"/>
                <c:order val="1"/>
                <c:tx>
                  <c:v>SS Benefits</c:v>
                </c:tx>
                <c:spPr>
                  <a:ln w="19050">
                    <a:noFill/>
                  </a:ln>
                </c:spPr>
                <c:marker>
                  <c:symbol val="dash"/>
                  <c:size val="10"/>
                  <c:spPr>
                    <a:solidFill>
                      <a:srgbClr val="FF0000"/>
                    </a:solidFill>
                    <a:ln>
                      <a:solidFill>
                        <a:srgbClr val="FF0000"/>
                      </a:solidFill>
                      <a:prstDash val="solid"/>
                    </a:ln>
                  </c:spPr>
                </c:marker>
                <c:cat>
                  <c:numRef>
                    <c:extLst>
                      <c:ext uri="{02D57815-91ED-43cb-92C2-25804820EDAC}">
                        <c15:formulaRef>
                          <c15:sqref>Details!$F$4:$AS$4</c15:sqref>
                        </c15:formulaRef>
                      </c:ext>
                    </c:extLst>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extLst>
                      <c:ext uri="{02D57815-91ED-43cb-92C2-25804820EDAC}">
                        <c15:formulaRef>
                          <c15:sqref>Details!$F$61:$AS$61</c15:sqref>
                        </c15:formulaRef>
                      </c:ext>
                    </c:extLst>
                    <c:numCache>
                      <c:formatCode>_(* #,##0_);_(* \(#,##0\);_(* "-"??_);_(@_)</c:formatCode>
                      <c:ptCount val="40"/>
                      <c:pt idx="0" formatCode="#,##0_);\(#,##0\)">
                        <c:v>0</c:v>
                      </c:pt>
                      <c:pt idx="1">
                        <c:v>0</c:v>
                      </c:pt>
                      <c:pt idx="2">
                        <c:v>0</c:v>
                      </c:pt>
                      <c:pt idx="3">
                        <c:v>0</c:v>
                      </c:pt>
                      <c:pt idx="4">
                        <c:v>0</c:v>
                      </c:pt>
                      <c:pt idx="5">
                        <c:v>22100</c:v>
                      </c:pt>
                      <c:pt idx="6">
                        <c:v>22500</c:v>
                      </c:pt>
                      <c:pt idx="7">
                        <c:v>23000</c:v>
                      </c:pt>
                      <c:pt idx="8">
                        <c:v>69900</c:v>
                      </c:pt>
                      <c:pt idx="9">
                        <c:v>71300</c:v>
                      </c:pt>
                      <c:pt idx="10">
                        <c:v>72700</c:v>
                      </c:pt>
                      <c:pt idx="11">
                        <c:v>74200</c:v>
                      </c:pt>
                      <c:pt idx="12">
                        <c:v>75700</c:v>
                      </c:pt>
                      <c:pt idx="13">
                        <c:v>77200</c:v>
                      </c:pt>
                      <c:pt idx="14">
                        <c:v>78700</c:v>
                      </c:pt>
                      <c:pt idx="15">
                        <c:v>80200</c:v>
                      </c:pt>
                      <c:pt idx="16">
                        <c:v>63000</c:v>
                      </c:pt>
                      <c:pt idx="17">
                        <c:v>64200</c:v>
                      </c:pt>
                      <c:pt idx="18">
                        <c:v>65500</c:v>
                      </c:pt>
                      <c:pt idx="19">
                        <c:v>66800</c:v>
                      </c:pt>
                      <c:pt idx="20">
                        <c:v>68100</c:v>
                      </c:pt>
                      <c:pt idx="21">
                        <c:v>69500</c:v>
                      </c:pt>
                      <c:pt idx="22">
                        <c:v>70900</c:v>
                      </c:pt>
                      <c:pt idx="23">
                        <c:v>72300</c:v>
                      </c:pt>
                      <c:pt idx="24">
                        <c:v>49000</c:v>
                      </c:pt>
                      <c:pt idx="25">
                        <c:v>50000</c:v>
                      </c:pt>
                      <c:pt idx="26">
                        <c:v>51000</c:v>
                      </c:pt>
                      <c:pt idx="27">
                        <c:v>52000</c:v>
                      </c:pt>
                      <c:pt idx="28">
                        <c:v>53000</c:v>
                      </c:pt>
                      <c:pt idx="29">
                        <c:v>54100</c:v>
                      </c:pt>
                      <c:pt idx="30">
                        <c:v>0</c:v>
                      </c:pt>
                      <c:pt idx="31">
                        <c:v>0</c:v>
                      </c:pt>
                      <c:pt idx="32">
                        <c:v>0</c:v>
                      </c:pt>
                      <c:pt idx="33">
                        <c:v>0</c:v>
                      </c:pt>
                      <c:pt idx="34">
                        <c:v>0</c:v>
                      </c:pt>
                      <c:pt idx="35">
                        <c:v>0</c:v>
                      </c:pt>
                      <c:pt idx="36">
                        <c:v>0</c:v>
                      </c:pt>
                      <c:pt idx="37">
                        <c:v>0</c:v>
                      </c:pt>
                      <c:pt idx="38">
                        <c:v>0</c:v>
                      </c:pt>
                      <c:pt idx="39">
                        <c:v>0</c:v>
                      </c:pt>
                    </c:numCache>
                  </c:numRef>
                </c:val>
                <c:smooth val="0"/>
              </c15:ser>
            </c15:filteredLineSeries>
          </c:ext>
        </c:extLst>
      </c:lineChart>
      <c:catAx>
        <c:axId val="218004128"/>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8005216"/>
        <c:crosses val="autoZero"/>
        <c:auto val="1"/>
        <c:lblAlgn val="ctr"/>
        <c:lblOffset val="100"/>
        <c:tickLblSkip val="3"/>
        <c:tickMarkSkip val="1"/>
        <c:noMultiLvlLbl val="0"/>
      </c:catAx>
      <c:valAx>
        <c:axId val="218005216"/>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8004128"/>
        <c:crosses val="autoZero"/>
        <c:crossBetween val="between"/>
        <c:dispUnits>
          <c:builtInUnit val="thousands"/>
          <c:dispUnitsLbl>
            <c:layout>
              <c:manualLayout>
                <c:xMode val="edge"/>
                <c:yMode val="edge"/>
                <c:x val="8.9509514435695547E-3"/>
                <c:y val="0.32877569991251093"/>
              </c:manualLayout>
            </c:layout>
            <c:txPr>
              <a:bodyPr/>
              <a:lstStyle/>
              <a:p>
                <a:pPr>
                  <a:defRPr sz="1000"/>
                </a:pPr>
                <a:endParaRPr lang="en-US"/>
              </a:p>
            </c:txPr>
          </c:dispUnitsLbl>
        </c:dispUnits>
      </c:valAx>
      <c:spPr>
        <a:solidFill>
          <a:srgbClr val="FFFFFF"/>
        </a:solidFill>
        <a:ln w="12700">
          <a:solidFill>
            <a:srgbClr val="808080"/>
          </a:solidFill>
          <a:prstDash val="solid"/>
        </a:ln>
      </c:spPr>
    </c:plotArea>
    <c:legend>
      <c:legendPos val="r"/>
      <c:layout>
        <c:manualLayout>
          <c:xMode val="edge"/>
          <c:yMode val="edge"/>
          <c:x val="0.50890720691163605"/>
          <c:y val="2.970472440944882E-2"/>
          <c:w val="0.45956938976377948"/>
          <c:h val="0.1197256056335098"/>
        </c:manualLayout>
      </c:layout>
      <c:overlay val="0"/>
      <c:spPr>
        <a:solidFill>
          <a:schemeClr val="bg2"/>
        </a:solid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accent3">
        <a:lumMod val="20000"/>
        <a:lumOff val="80000"/>
      </a:schemeClr>
    </a:solid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1" i="0" baseline="0"/>
            </a:pPr>
            <a:r>
              <a:rPr lang="en-US" b="1" i="0" baseline="0"/>
              <a:t>Taxable Account Balances at Year Start </a:t>
            </a:r>
          </a:p>
        </c:rich>
      </c:tx>
      <c:layout>
        <c:manualLayout>
          <c:xMode val="edge"/>
          <c:yMode val="edge"/>
          <c:x val="0.16279500218722659"/>
          <c:y val="2.6717519685039368E-2"/>
        </c:manualLayout>
      </c:layout>
      <c:overlay val="0"/>
      <c:spPr>
        <a:noFill/>
        <a:ln w="25400">
          <a:noFill/>
        </a:ln>
      </c:spPr>
    </c:title>
    <c:autoTitleDeleted val="0"/>
    <c:plotArea>
      <c:layout>
        <c:manualLayout>
          <c:layoutTarget val="inner"/>
          <c:xMode val="edge"/>
          <c:yMode val="edge"/>
          <c:x val="0.18785460411198601"/>
          <c:y val="0.19853018372703413"/>
          <c:w val="0.79207923228346455"/>
          <c:h val="0.6049852362204724"/>
        </c:manualLayout>
      </c:layout>
      <c:barChart>
        <c:barDir val="col"/>
        <c:grouping val="clustered"/>
        <c:varyColors val="0"/>
        <c:ser>
          <c:idx val="1"/>
          <c:order val="0"/>
          <c:tx>
            <c:v>Full</c:v>
          </c:tx>
          <c:spPr>
            <a:solidFill>
              <a:srgbClr val="0000FF"/>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Details!$F$8:$AS$8</c:f>
              <c:numCache>
                <c:formatCode>_(* #,##0_);_(* \(#,##0\);_(* "-"??_);_(@_)</c:formatCode>
                <c:ptCount val="40"/>
                <c:pt idx="0">
                  <c:v>200000</c:v>
                </c:pt>
                <c:pt idx="1">
                  <c:v>187100</c:v>
                </c:pt>
                <c:pt idx="2">
                  <c:v>186800</c:v>
                </c:pt>
                <c:pt idx="3">
                  <c:v>173800</c:v>
                </c:pt>
                <c:pt idx="4">
                  <c:v>160500</c:v>
                </c:pt>
                <c:pt idx="5">
                  <c:v>148300</c:v>
                </c:pt>
                <c:pt idx="6">
                  <c:v>156400</c:v>
                </c:pt>
                <c:pt idx="7">
                  <c:v>166100</c:v>
                </c:pt>
                <c:pt idx="8">
                  <c:v>175900</c:v>
                </c:pt>
                <c:pt idx="9">
                  <c:v>202800</c:v>
                </c:pt>
                <c:pt idx="10">
                  <c:v>238100</c:v>
                </c:pt>
                <c:pt idx="11">
                  <c:v>194200</c:v>
                </c:pt>
                <c:pt idx="12">
                  <c:v>272100</c:v>
                </c:pt>
                <c:pt idx="13">
                  <c:v>296700</c:v>
                </c:pt>
                <c:pt idx="14">
                  <c:v>344500</c:v>
                </c:pt>
                <c:pt idx="15">
                  <c:v>301300</c:v>
                </c:pt>
                <c:pt idx="16">
                  <c:v>424600</c:v>
                </c:pt>
                <c:pt idx="17">
                  <c:v>480700</c:v>
                </c:pt>
                <c:pt idx="18">
                  <c:v>541400</c:v>
                </c:pt>
                <c:pt idx="19">
                  <c:v>574700</c:v>
                </c:pt>
                <c:pt idx="20">
                  <c:v>609500</c:v>
                </c:pt>
                <c:pt idx="21">
                  <c:v>647200</c:v>
                </c:pt>
                <c:pt idx="22">
                  <c:v>688000</c:v>
                </c:pt>
                <c:pt idx="23">
                  <c:v>1136000</c:v>
                </c:pt>
                <c:pt idx="24">
                  <c:v>1199500</c:v>
                </c:pt>
                <c:pt idx="25">
                  <c:v>1337600</c:v>
                </c:pt>
                <c:pt idx="26">
                  <c:v>1379900</c:v>
                </c:pt>
                <c:pt idx="27">
                  <c:v>1423300</c:v>
                </c:pt>
                <c:pt idx="28">
                  <c:v>1461500</c:v>
                </c:pt>
                <c:pt idx="29">
                  <c:v>1499700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40"/>
        <c:axId val="218009568"/>
        <c:axId val="218024800"/>
      </c:barChart>
      <c:catAx>
        <c:axId val="218009568"/>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a:pPr>
            <a:endParaRPr lang="en-US"/>
          </a:p>
        </c:txPr>
        <c:crossAx val="218024800"/>
        <c:crosses val="autoZero"/>
        <c:auto val="1"/>
        <c:lblAlgn val="ctr"/>
        <c:lblOffset val="100"/>
        <c:tickLblSkip val="3"/>
        <c:tickMarkSkip val="1"/>
        <c:noMultiLvlLbl val="0"/>
      </c:catAx>
      <c:valAx>
        <c:axId val="218024800"/>
        <c:scaling>
          <c:orientation val="minMax"/>
        </c:scaling>
        <c:delete val="0"/>
        <c:axPos val="l"/>
        <c:majorGridlines>
          <c:spPr>
            <a:ln w="3175">
              <a:solidFill>
                <a:srgbClr val="000000"/>
              </a:solidFill>
              <a:prstDash val="solid"/>
            </a:ln>
          </c:spPr>
        </c:majorGridlines>
        <c:numFmt formatCode="_(* #,##0_);_(* \(#,##0\);_(* &quot;-&quot;??_);_(@_)" sourceLinked="1"/>
        <c:majorTickMark val="out"/>
        <c:minorTickMark val="none"/>
        <c:tickLblPos val="nextTo"/>
        <c:spPr>
          <a:ln w="3175">
            <a:solidFill>
              <a:srgbClr val="000000"/>
            </a:solidFill>
            <a:prstDash val="solid"/>
          </a:ln>
        </c:spPr>
        <c:txPr>
          <a:bodyPr rot="0" vert="horz"/>
          <a:lstStyle/>
          <a:p>
            <a:pPr>
              <a:defRPr/>
            </a:pPr>
            <a:endParaRPr lang="en-US"/>
          </a:p>
        </c:txPr>
        <c:crossAx val="218009568"/>
        <c:crosses val="autoZero"/>
        <c:crossBetween val="between"/>
        <c:dispUnits>
          <c:builtInUnit val="thousands"/>
          <c:dispUnitsLbl>
            <c:layout>
              <c:manualLayout>
                <c:xMode val="edge"/>
                <c:yMode val="edge"/>
                <c:x val="1.0518099300087489E-2"/>
                <c:y val="0.31127515310586168"/>
              </c:manualLayout>
            </c:layout>
          </c:dispUnitsLbl>
        </c:dispUnits>
      </c:valAx>
      <c:spPr>
        <a:solidFill>
          <a:srgbClr val="FFFFFF"/>
        </a:solidFill>
        <a:ln w="12700">
          <a:solidFill>
            <a:srgbClr val="808080"/>
          </a:solidFill>
          <a:prstDash val="solid"/>
        </a:ln>
      </c:spPr>
    </c:plotArea>
    <c:plotVisOnly val="1"/>
    <c:dispBlanksAs val="gap"/>
    <c:showDLblsOverMax val="0"/>
  </c:chart>
  <c:spPr>
    <a:solidFill>
      <a:schemeClr val="accent3">
        <a:lumMod val="20000"/>
        <a:lumOff val="80000"/>
      </a:schemeClr>
    </a:solid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Portfolio Withdrawal Rates</a:t>
            </a:r>
          </a:p>
        </c:rich>
      </c:tx>
      <c:layout>
        <c:manualLayout>
          <c:xMode val="edge"/>
          <c:yMode val="edge"/>
          <c:x val="0.23878308180227473"/>
          <c:y val="1.9943132108486441E-2"/>
        </c:manualLayout>
      </c:layout>
      <c:overlay val="0"/>
      <c:spPr>
        <a:noFill/>
        <a:ln w="25400">
          <a:noFill/>
        </a:ln>
      </c:spPr>
    </c:title>
    <c:autoTitleDeleted val="0"/>
    <c:plotArea>
      <c:layout>
        <c:manualLayout>
          <c:layoutTarget val="inner"/>
          <c:xMode val="edge"/>
          <c:yMode val="edge"/>
          <c:x val="0.12978494094488188"/>
          <c:y val="0.1745461988711588"/>
          <c:w val="0.84769746450289374"/>
          <c:h val="0.63930446194225721"/>
        </c:manualLayout>
      </c:layout>
      <c:lineChart>
        <c:grouping val="standard"/>
        <c:varyColors val="0"/>
        <c:ser>
          <c:idx val="0"/>
          <c:order val="0"/>
          <c:tx>
            <c:v>Details</c:v>
          </c:tx>
          <c:spPr>
            <a:ln w="19050">
              <a:noFill/>
            </a:ln>
          </c:spPr>
          <c:marker>
            <c:symbol val="square"/>
            <c:size val="5"/>
            <c:spPr>
              <a:solidFill>
                <a:srgbClr val="0000FF"/>
              </a:solidFill>
              <a:ln>
                <a:solidFill>
                  <a:srgbClr val="0000FF"/>
                </a:solidFill>
                <a:prstDash val="solid"/>
              </a:ln>
            </c:spPr>
          </c:marker>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Results!$F$20:$AS$20</c:f>
              <c:numCache>
                <c:formatCode>0.0%</c:formatCode>
                <c:ptCount val="40"/>
                <c:pt idx="0">
                  <c:v>5.1159999999999997E-2</c:v>
                </c:pt>
                <c:pt idx="1">
                  <c:v>3.9326626157983866E-2</c:v>
                </c:pt>
                <c:pt idx="2">
                  <c:v>5.1989805920407764E-2</c:v>
                </c:pt>
                <c:pt idx="3">
                  <c:v>5.2930832356389214E-2</c:v>
                </c:pt>
                <c:pt idx="4">
                  <c:v>5.3897116134060792E-2</c:v>
                </c:pt>
                <c:pt idx="5">
                  <c:v>3.5352455031599415E-2</c:v>
                </c:pt>
                <c:pt idx="6">
                  <c:v>3.4717196724433443E-2</c:v>
                </c:pt>
                <c:pt idx="7">
                  <c:v>3.5480563065162674E-2</c:v>
                </c:pt>
                <c:pt idx="8">
                  <c:v>0</c:v>
                </c:pt>
                <c:pt idx="9">
                  <c:v>2.0521590423257802E-4</c:v>
                </c:pt>
                <c:pt idx="10">
                  <c:v>3.4454470877768662E-4</c:v>
                </c:pt>
                <c:pt idx="11">
                  <c:v>3.3638886552855103E-4</c:v>
                </c:pt>
                <c:pt idx="12">
                  <c:v>5.967477248992988E-4</c:v>
                </c:pt>
                <c:pt idx="13">
                  <c:v>4.2105263157894739E-4</c:v>
                </c:pt>
                <c:pt idx="14">
                  <c:v>0</c:v>
                </c:pt>
                <c:pt idx="15">
                  <c:v>0</c:v>
                </c:pt>
                <c:pt idx="16">
                  <c:v>7.7769442360590144E-3</c:v>
                </c:pt>
                <c:pt idx="17">
                  <c:v>7.190715482172769E-3</c:v>
                </c:pt>
                <c:pt idx="18">
                  <c:v>1.8448325221872317E-2</c:v>
                </c:pt>
                <c:pt idx="19">
                  <c:v>1.8247970892807164E-2</c:v>
                </c:pt>
                <c:pt idx="20">
                  <c:v>1.8169877408056041E-2</c:v>
                </c:pt>
                <c:pt idx="21">
                  <c:v>1.8174034036176817E-2</c:v>
                </c:pt>
                <c:pt idx="22">
                  <c:v>1.8584441419746623E-2</c:v>
                </c:pt>
                <c:pt idx="23">
                  <c:v>1.4337252238869318E-2</c:v>
                </c:pt>
                <c:pt idx="24">
                  <c:v>2.6668875269173432E-2</c:v>
                </c:pt>
                <c:pt idx="25">
                  <c:v>2.5604149475421431E-2</c:v>
                </c:pt>
                <c:pt idx="26">
                  <c:v>2.5689996506346804E-2</c:v>
                </c:pt>
                <c:pt idx="27">
                  <c:v>2.4839811226643135E-2</c:v>
                </c:pt>
                <c:pt idx="28">
                  <c:v>2.4786810687890848E-2</c:v>
                </c:pt>
                <c:pt idx="29">
                  <c:v>2.4936348659577653E-2</c:v>
                </c:pt>
                <c:pt idx="30">
                  <c:v>0</c:v>
                </c:pt>
                <c:pt idx="31">
                  <c:v>0</c:v>
                </c:pt>
                <c:pt idx="32">
                  <c:v>0</c:v>
                </c:pt>
                <c:pt idx="33">
                  <c:v>0</c:v>
                </c:pt>
                <c:pt idx="34">
                  <c:v>0</c:v>
                </c:pt>
                <c:pt idx="35">
                  <c:v>0</c:v>
                </c:pt>
                <c:pt idx="36">
                  <c:v>0</c:v>
                </c:pt>
                <c:pt idx="37">
                  <c:v>0</c:v>
                </c:pt>
                <c:pt idx="38">
                  <c:v>0</c:v>
                </c:pt>
                <c:pt idx="39">
                  <c:v>0</c:v>
                </c:pt>
              </c:numCache>
            </c:numRef>
          </c:val>
          <c:smooth val="0"/>
        </c:ser>
        <c:dLbls>
          <c:showLegendKey val="0"/>
          <c:showVal val="0"/>
          <c:showCatName val="0"/>
          <c:showSerName val="0"/>
          <c:showPercent val="0"/>
          <c:showBubbleSize val="0"/>
        </c:dLbls>
        <c:marker val="1"/>
        <c:smooth val="0"/>
        <c:axId val="217998688"/>
        <c:axId val="218021536"/>
      </c:lineChart>
      <c:catAx>
        <c:axId val="217998688"/>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8021536"/>
        <c:crosses val="autoZero"/>
        <c:auto val="1"/>
        <c:lblAlgn val="ctr"/>
        <c:lblOffset val="100"/>
        <c:tickLblSkip val="3"/>
        <c:tickMarkSkip val="1"/>
        <c:noMultiLvlLbl val="0"/>
      </c:catAx>
      <c:valAx>
        <c:axId val="218021536"/>
        <c:scaling>
          <c:orientation val="minMax"/>
          <c:min val="0"/>
        </c:scaling>
        <c:delete val="0"/>
        <c:axPos val="l"/>
        <c:majorGridlines>
          <c:spPr>
            <a:ln w="3175">
              <a:solidFill>
                <a:srgbClr val="00000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7998688"/>
        <c:crosses val="autoZero"/>
        <c:crossBetween val="between"/>
        <c:minorUnit val="0.01"/>
      </c:valAx>
      <c:spPr>
        <a:solidFill>
          <a:srgbClr val="FFFFFF"/>
        </a:solidFill>
        <a:ln w="12700">
          <a:solidFill>
            <a:srgbClr val="808080"/>
          </a:solidFill>
          <a:prstDash val="solid"/>
        </a:ln>
      </c:spPr>
    </c:plotArea>
    <c:plotVisOnly val="1"/>
    <c:dispBlanksAs val="gap"/>
    <c:showDLblsOverMax val="0"/>
  </c:chart>
  <c:spPr>
    <a:solidFill>
      <a:schemeClr val="accent3">
        <a:lumMod val="20000"/>
        <a:lumOff val="80000"/>
      </a:schemeClr>
    </a:solid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Expenses and SS Benefits</a:t>
            </a:r>
          </a:p>
        </c:rich>
      </c:tx>
      <c:layout>
        <c:manualLayout>
          <c:xMode val="edge"/>
          <c:yMode val="edge"/>
          <c:x val="4.1269138232720909E-2"/>
          <c:y val="3.888888888888889E-2"/>
        </c:manualLayout>
      </c:layout>
      <c:overlay val="0"/>
      <c:spPr>
        <a:noFill/>
        <a:ln w="25400">
          <a:noFill/>
        </a:ln>
      </c:spPr>
    </c:title>
    <c:autoTitleDeleted val="0"/>
    <c:plotArea>
      <c:layout>
        <c:manualLayout>
          <c:layoutTarget val="inner"/>
          <c:xMode val="edge"/>
          <c:yMode val="edge"/>
          <c:x val="0.17366412213740459"/>
          <c:y val="0.18402840178901431"/>
          <c:w val="0.80534351145038174"/>
          <c:h val="0.66319669323965524"/>
        </c:manualLayout>
      </c:layout>
      <c:barChart>
        <c:barDir val="col"/>
        <c:grouping val="clustered"/>
        <c:varyColors val="0"/>
        <c:ser>
          <c:idx val="0"/>
          <c:order val="0"/>
          <c:tx>
            <c:v>Expenses</c:v>
          </c:tx>
          <c:spPr>
            <a:solidFill>
              <a:srgbClr val="0000FF"/>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Details!$F$144:$AS$144</c:f>
              <c:numCache>
                <c:formatCode>_(* #,##0_);_(* \(#,##0\);_(* "-"??_);_(@_)</c:formatCode>
                <c:ptCount val="40"/>
                <c:pt idx="0" formatCode="#,##0_);\(#,##0\)">
                  <c:v>70000</c:v>
                </c:pt>
                <c:pt idx="1">
                  <c:v>71400</c:v>
                </c:pt>
                <c:pt idx="2">
                  <c:v>72800</c:v>
                </c:pt>
                <c:pt idx="3">
                  <c:v>74300</c:v>
                </c:pt>
                <c:pt idx="4">
                  <c:v>75800</c:v>
                </c:pt>
                <c:pt idx="5">
                  <c:v>77300</c:v>
                </c:pt>
                <c:pt idx="6">
                  <c:v>78800</c:v>
                </c:pt>
                <c:pt idx="7">
                  <c:v>80400</c:v>
                </c:pt>
                <c:pt idx="8">
                  <c:v>82000</c:v>
                </c:pt>
                <c:pt idx="9">
                  <c:v>83600</c:v>
                </c:pt>
                <c:pt idx="10">
                  <c:v>85300</c:v>
                </c:pt>
                <c:pt idx="11">
                  <c:v>87000</c:v>
                </c:pt>
                <c:pt idx="12">
                  <c:v>88700</c:v>
                </c:pt>
                <c:pt idx="13">
                  <c:v>90500</c:v>
                </c:pt>
                <c:pt idx="14">
                  <c:v>92300</c:v>
                </c:pt>
                <c:pt idx="15">
                  <c:v>94100</c:v>
                </c:pt>
                <c:pt idx="16">
                  <c:v>96000</c:v>
                </c:pt>
                <c:pt idx="17">
                  <c:v>97900</c:v>
                </c:pt>
                <c:pt idx="18">
                  <c:v>119800</c:v>
                </c:pt>
                <c:pt idx="19">
                  <c:v>122200</c:v>
                </c:pt>
                <c:pt idx="20">
                  <c:v>124600</c:v>
                </c:pt>
                <c:pt idx="21">
                  <c:v>127100</c:v>
                </c:pt>
                <c:pt idx="22">
                  <c:v>129600</c:v>
                </c:pt>
                <c:pt idx="23">
                  <c:v>132200</c:v>
                </c:pt>
                <c:pt idx="24">
                  <c:v>134800</c:v>
                </c:pt>
                <c:pt idx="25">
                  <c:v>137500</c:v>
                </c:pt>
                <c:pt idx="26">
                  <c:v>140300</c:v>
                </c:pt>
                <c:pt idx="27">
                  <c:v>143100</c:v>
                </c:pt>
                <c:pt idx="28">
                  <c:v>146000</c:v>
                </c:pt>
                <c:pt idx="29">
                  <c:v>148900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40"/>
        <c:axId val="218012832"/>
        <c:axId val="218014464"/>
      </c:barChart>
      <c:lineChart>
        <c:grouping val="standard"/>
        <c:varyColors val="0"/>
        <c:ser>
          <c:idx val="2"/>
          <c:order val="1"/>
          <c:tx>
            <c:v>SS Benefits</c:v>
          </c:tx>
          <c:spPr>
            <a:ln w="19050">
              <a:noFill/>
            </a:ln>
          </c:spPr>
          <c:marker>
            <c:symbol val="dash"/>
            <c:size val="10"/>
            <c:spPr>
              <a:solidFill>
                <a:srgbClr val="FF0000"/>
              </a:solidFill>
              <a:ln>
                <a:solidFill>
                  <a:srgbClr val="FF0000"/>
                </a:solidFill>
                <a:prstDash val="solid"/>
              </a:ln>
            </c:spPr>
          </c:marker>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Details!$F$61:$AS$61</c:f>
              <c:numCache>
                <c:formatCode>_(* #,##0_);_(* \(#,##0\);_(* "-"??_);_(@_)</c:formatCode>
                <c:ptCount val="40"/>
                <c:pt idx="0" formatCode="#,##0_);\(#,##0\)">
                  <c:v>0</c:v>
                </c:pt>
                <c:pt idx="1">
                  <c:v>0</c:v>
                </c:pt>
                <c:pt idx="2">
                  <c:v>0</c:v>
                </c:pt>
                <c:pt idx="3">
                  <c:v>0</c:v>
                </c:pt>
                <c:pt idx="4">
                  <c:v>0</c:v>
                </c:pt>
                <c:pt idx="5">
                  <c:v>22100</c:v>
                </c:pt>
                <c:pt idx="6">
                  <c:v>22500</c:v>
                </c:pt>
                <c:pt idx="7">
                  <c:v>23000</c:v>
                </c:pt>
                <c:pt idx="8">
                  <c:v>69900</c:v>
                </c:pt>
                <c:pt idx="9">
                  <c:v>71300</c:v>
                </c:pt>
                <c:pt idx="10">
                  <c:v>72700</c:v>
                </c:pt>
                <c:pt idx="11">
                  <c:v>74200</c:v>
                </c:pt>
                <c:pt idx="12">
                  <c:v>75700</c:v>
                </c:pt>
                <c:pt idx="13">
                  <c:v>77200</c:v>
                </c:pt>
                <c:pt idx="14">
                  <c:v>78700</c:v>
                </c:pt>
                <c:pt idx="15">
                  <c:v>80200</c:v>
                </c:pt>
                <c:pt idx="16">
                  <c:v>63000</c:v>
                </c:pt>
                <c:pt idx="17">
                  <c:v>64200</c:v>
                </c:pt>
                <c:pt idx="18">
                  <c:v>65500</c:v>
                </c:pt>
                <c:pt idx="19">
                  <c:v>66800</c:v>
                </c:pt>
                <c:pt idx="20">
                  <c:v>68100</c:v>
                </c:pt>
                <c:pt idx="21">
                  <c:v>69500</c:v>
                </c:pt>
                <c:pt idx="22">
                  <c:v>70900</c:v>
                </c:pt>
                <c:pt idx="23">
                  <c:v>72300</c:v>
                </c:pt>
                <c:pt idx="24">
                  <c:v>49000</c:v>
                </c:pt>
                <c:pt idx="25">
                  <c:v>50000</c:v>
                </c:pt>
                <c:pt idx="26">
                  <c:v>51000</c:v>
                </c:pt>
                <c:pt idx="27">
                  <c:v>52000</c:v>
                </c:pt>
                <c:pt idx="28">
                  <c:v>53000</c:v>
                </c:pt>
                <c:pt idx="29">
                  <c:v>54100</c:v>
                </c:pt>
                <c:pt idx="30">
                  <c:v>0</c:v>
                </c:pt>
                <c:pt idx="31">
                  <c:v>0</c:v>
                </c:pt>
                <c:pt idx="32">
                  <c:v>0</c:v>
                </c:pt>
                <c:pt idx="33">
                  <c:v>0</c:v>
                </c:pt>
                <c:pt idx="34">
                  <c:v>0</c:v>
                </c:pt>
                <c:pt idx="35">
                  <c:v>0</c:v>
                </c:pt>
                <c:pt idx="36">
                  <c:v>0</c:v>
                </c:pt>
                <c:pt idx="37">
                  <c:v>0</c:v>
                </c:pt>
                <c:pt idx="38">
                  <c:v>0</c:v>
                </c:pt>
                <c:pt idx="39">
                  <c:v>0</c:v>
                </c:pt>
              </c:numCache>
            </c:numRef>
          </c:val>
          <c:smooth val="0"/>
        </c:ser>
        <c:dLbls>
          <c:showLegendKey val="0"/>
          <c:showVal val="0"/>
          <c:showCatName val="0"/>
          <c:showSerName val="0"/>
          <c:showPercent val="0"/>
          <c:showBubbleSize val="0"/>
        </c:dLbls>
        <c:marker val="1"/>
        <c:smooth val="0"/>
        <c:axId val="218012832"/>
        <c:axId val="218014464"/>
      </c:lineChart>
      <c:catAx>
        <c:axId val="218012832"/>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8014464"/>
        <c:crosses val="autoZero"/>
        <c:auto val="1"/>
        <c:lblAlgn val="ctr"/>
        <c:lblOffset val="100"/>
        <c:tickLblSkip val="3"/>
        <c:tickMarkSkip val="1"/>
        <c:noMultiLvlLbl val="0"/>
      </c:catAx>
      <c:valAx>
        <c:axId val="218014464"/>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8012832"/>
        <c:crosses val="autoZero"/>
        <c:crossBetween val="between"/>
        <c:dispUnits>
          <c:builtInUnit val="thousands"/>
          <c:dispUnitsLbl>
            <c:layout>
              <c:manualLayout>
                <c:xMode val="edge"/>
                <c:yMode val="edge"/>
                <c:x val="2.065780839895013E-2"/>
                <c:y val="0.34513954505686789"/>
              </c:manualLayout>
            </c:layout>
            <c:txPr>
              <a:bodyPr/>
              <a:lstStyle/>
              <a:p>
                <a:pPr>
                  <a:defRPr sz="1000"/>
                </a:pPr>
                <a:endParaRPr lang="en-US"/>
              </a:p>
            </c:txPr>
          </c:dispUnitsLbl>
        </c:dispUnits>
      </c:valAx>
      <c:spPr>
        <a:solidFill>
          <a:srgbClr val="FFFFFF"/>
        </a:solidFill>
        <a:ln w="12700">
          <a:solidFill>
            <a:srgbClr val="808080"/>
          </a:solidFill>
          <a:prstDash val="solid"/>
        </a:ln>
      </c:spPr>
    </c:plotArea>
    <c:legend>
      <c:legendPos val="r"/>
      <c:layout>
        <c:manualLayout>
          <c:xMode val="edge"/>
          <c:yMode val="edge"/>
          <c:x val="0.53831861680196724"/>
          <c:y val="3.8869475909957325E-2"/>
          <c:w val="0.44859884733497268"/>
          <c:h val="9.8940484134436832E-2"/>
        </c:manualLayout>
      </c:layout>
      <c:overlay val="0"/>
      <c:spPr>
        <a:solidFill>
          <a:schemeClr val="accent3">
            <a:lumMod val="20000"/>
            <a:lumOff val="80000"/>
          </a:schemeClr>
        </a:solid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accent3">
        <a:lumMod val="20000"/>
        <a:lumOff val="80000"/>
      </a:schemeClr>
    </a:solid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baseline="0"/>
              <a:t>Portfolio &amp; Roth Conversion Balances </a:t>
            </a:r>
          </a:p>
        </c:rich>
      </c:tx>
      <c:layout>
        <c:manualLayout>
          <c:xMode val="edge"/>
          <c:yMode val="edge"/>
          <c:x val="3.8183205946691709E-2"/>
          <c:y val="4.3729998866420768E-2"/>
        </c:manualLayout>
      </c:layout>
      <c:overlay val="0"/>
      <c:spPr>
        <a:noFill/>
        <a:ln w="25400">
          <a:noFill/>
        </a:ln>
      </c:spPr>
    </c:title>
    <c:autoTitleDeleted val="0"/>
    <c:plotArea>
      <c:layout>
        <c:manualLayout>
          <c:layoutTarget val="inner"/>
          <c:xMode val="edge"/>
          <c:yMode val="edge"/>
          <c:x val="0.17983927915030279"/>
          <c:y val="0.22372946161043072"/>
          <c:w val="0.79811903886707047"/>
          <c:h val="0.61017125893753832"/>
        </c:manualLayout>
      </c:layout>
      <c:barChart>
        <c:barDir val="col"/>
        <c:grouping val="clustered"/>
        <c:varyColors val="0"/>
        <c:ser>
          <c:idx val="0"/>
          <c:order val="0"/>
          <c:tx>
            <c:v>Default</c:v>
          </c:tx>
          <c:spPr>
            <a:solidFill>
              <a:srgbClr val="0070C0"/>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Details!$F$259:$AS$259</c:f>
              <c:numCache>
                <c:formatCode>_(* #,##0_);_(* \(#,##0\);_(* "-"??_);_(@_)</c:formatCode>
                <c:ptCount val="40"/>
                <c:pt idx="0" formatCode="#,##0_);\(#,##0\)">
                  <c:v>1003900</c:v>
                </c:pt>
                <c:pt idx="1">
                  <c:v>1020200</c:v>
                </c:pt>
                <c:pt idx="2">
                  <c:v>1023600</c:v>
                </c:pt>
                <c:pt idx="3">
                  <c:v>1026400</c:v>
                </c:pt>
                <c:pt idx="4">
                  <c:v>1028500</c:v>
                </c:pt>
                <c:pt idx="5">
                  <c:v>1050200</c:v>
                </c:pt>
                <c:pt idx="6">
                  <c:v>1072700</c:v>
                </c:pt>
                <c:pt idx="7">
                  <c:v>1094600</c:v>
                </c:pt>
                <c:pt idx="8">
                  <c:v>1169500</c:v>
                </c:pt>
                <c:pt idx="9">
                  <c:v>1219000</c:v>
                </c:pt>
                <c:pt idx="10">
                  <c:v>1189100</c:v>
                </c:pt>
                <c:pt idx="11">
                  <c:v>1340600</c:v>
                </c:pt>
                <c:pt idx="12">
                  <c:v>1377500</c:v>
                </c:pt>
                <c:pt idx="13">
                  <c:v>1436400</c:v>
                </c:pt>
                <c:pt idx="14">
                  <c:v>1417200</c:v>
                </c:pt>
                <c:pt idx="15">
                  <c:v>1599600</c:v>
                </c:pt>
                <c:pt idx="16">
                  <c:v>1671600</c:v>
                </c:pt>
                <c:pt idx="17">
                  <c:v>1746500</c:v>
                </c:pt>
                <c:pt idx="18">
                  <c:v>1786500</c:v>
                </c:pt>
                <c:pt idx="19">
                  <c:v>1827200</c:v>
                </c:pt>
                <c:pt idx="20">
                  <c:v>1868600</c:v>
                </c:pt>
                <c:pt idx="21">
                  <c:v>1910200</c:v>
                </c:pt>
                <c:pt idx="22">
                  <c:v>2356100</c:v>
                </c:pt>
                <c:pt idx="23">
                  <c:v>2414800</c:v>
                </c:pt>
                <c:pt idx="24">
                  <c:v>2544900</c:v>
                </c:pt>
                <c:pt idx="25">
                  <c:v>2576100</c:v>
                </c:pt>
                <c:pt idx="26">
                  <c:v>2606300</c:v>
                </c:pt>
                <c:pt idx="27">
                  <c:v>2638500</c:v>
                </c:pt>
                <c:pt idx="28">
                  <c:v>2670800</c:v>
                </c:pt>
                <c:pt idx="29">
                  <c:v>2702400</c:v>
                </c:pt>
                <c:pt idx="30">
                  <c:v>0</c:v>
                </c:pt>
                <c:pt idx="31">
                  <c:v>0</c:v>
                </c:pt>
                <c:pt idx="32">
                  <c:v>0</c:v>
                </c:pt>
                <c:pt idx="33">
                  <c:v>0</c:v>
                </c:pt>
                <c:pt idx="34">
                  <c:v>0</c:v>
                </c:pt>
                <c:pt idx="35">
                  <c:v>0</c:v>
                </c:pt>
                <c:pt idx="36">
                  <c:v>0</c:v>
                </c:pt>
                <c:pt idx="37">
                  <c:v>0</c:v>
                </c:pt>
                <c:pt idx="38">
                  <c:v>0</c:v>
                </c:pt>
                <c:pt idx="39">
                  <c:v>0</c:v>
                </c:pt>
              </c:numCache>
            </c:numRef>
          </c:val>
        </c:ser>
        <c:ser>
          <c:idx val="1"/>
          <c:order val="2"/>
          <c:tx>
            <c:v>Base</c:v>
          </c:tx>
          <c:spPr>
            <a:solidFill>
              <a:srgbClr val="FF0000"/>
            </a:solidFill>
            <a:ln w="19050">
              <a:noFill/>
            </a:ln>
          </c:spPr>
          <c:invertIfNegative val="0"/>
          <c:val>
            <c:numRef>
              <c:f>Base!$F$259:$AS$259</c:f>
              <c:numCache>
                <c:formatCode>_(* #,##0_);_(* \(#,##0\);_(* "-"??_);_(@_)</c:formatCode>
                <c:ptCount val="40"/>
                <c:pt idx="0" formatCode="#,##0_);\(#,##0\)">
                  <c:v>1003900</c:v>
                </c:pt>
                <c:pt idx="1">
                  <c:v>1020200</c:v>
                </c:pt>
                <c:pt idx="2">
                  <c:v>1023600</c:v>
                </c:pt>
                <c:pt idx="3">
                  <c:v>1026400</c:v>
                </c:pt>
                <c:pt idx="4">
                  <c:v>1028500</c:v>
                </c:pt>
                <c:pt idx="5">
                  <c:v>1050200</c:v>
                </c:pt>
                <c:pt idx="6">
                  <c:v>1072700</c:v>
                </c:pt>
                <c:pt idx="7">
                  <c:v>1094600</c:v>
                </c:pt>
                <c:pt idx="8">
                  <c:v>1169500</c:v>
                </c:pt>
                <c:pt idx="9">
                  <c:v>1219000</c:v>
                </c:pt>
                <c:pt idx="10">
                  <c:v>1189100</c:v>
                </c:pt>
                <c:pt idx="11">
                  <c:v>1340600</c:v>
                </c:pt>
                <c:pt idx="12">
                  <c:v>1377500</c:v>
                </c:pt>
                <c:pt idx="13">
                  <c:v>1436400</c:v>
                </c:pt>
                <c:pt idx="14">
                  <c:v>1417200</c:v>
                </c:pt>
                <c:pt idx="15">
                  <c:v>1599600</c:v>
                </c:pt>
                <c:pt idx="16">
                  <c:v>1671600</c:v>
                </c:pt>
                <c:pt idx="17">
                  <c:v>1746500</c:v>
                </c:pt>
                <c:pt idx="18">
                  <c:v>1786500</c:v>
                </c:pt>
                <c:pt idx="19">
                  <c:v>1827200</c:v>
                </c:pt>
                <c:pt idx="20">
                  <c:v>1868600</c:v>
                </c:pt>
                <c:pt idx="21">
                  <c:v>1910200</c:v>
                </c:pt>
                <c:pt idx="22">
                  <c:v>2356100</c:v>
                </c:pt>
                <c:pt idx="23">
                  <c:v>2414800</c:v>
                </c:pt>
                <c:pt idx="24">
                  <c:v>2544900</c:v>
                </c:pt>
                <c:pt idx="25">
                  <c:v>2576100</c:v>
                </c:pt>
                <c:pt idx="26">
                  <c:v>2606300</c:v>
                </c:pt>
                <c:pt idx="27">
                  <c:v>2638500</c:v>
                </c:pt>
                <c:pt idx="28">
                  <c:v>2670800</c:v>
                </c:pt>
                <c:pt idx="29">
                  <c:v>2702400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50"/>
        <c:axId val="538215408"/>
        <c:axId val="538208336"/>
      </c:barChart>
      <c:lineChart>
        <c:grouping val="standard"/>
        <c:varyColors val="0"/>
        <c:ser>
          <c:idx val="2"/>
          <c:order val="1"/>
          <c:tx>
            <c:v>Roth Conv</c:v>
          </c:tx>
          <c:spPr>
            <a:ln w="19050">
              <a:noFill/>
            </a:ln>
          </c:spPr>
          <c:marker>
            <c:symbol val="dash"/>
            <c:size val="14"/>
            <c:spPr>
              <a:solidFill>
                <a:schemeClr val="tx1"/>
              </a:solidFill>
              <a:ln>
                <a:solidFill>
                  <a:schemeClr val="tx1"/>
                </a:solidFill>
                <a:prstDash val="solid"/>
              </a:ln>
            </c:spPr>
          </c:marker>
          <c:val>
            <c:numRef>
              <c:f>Details!$F$258:$AS$258</c:f>
              <c:numCache>
                <c:formatCode>_(* #,##0_);_(* \(#,##0\);_(* "-"??_);_(@_)</c:formatCode>
                <c:ptCount val="40"/>
                <c:pt idx="0" formatCode="#,##0_);\(#,##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mooth val="0"/>
        </c:ser>
        <c:dLbls>
          <c:showLegendKey val="0"/>
          <c:showVal val="0"/>
          <c:showCatName val="0"/>
          <c:showSerName val="0"/>
          <c:showPercent val="0"/>
          <c:showBubbleSize val="0"/>
        </c:dLbls>
        <c:marker val="1"/>
        <c:smooth val="0"/>
        <c:axId val="538215408"/>
        <c:axId val="538208336"/>
      </c:lineChart>
      <c:catAx>
        <c:axId val="538215408"/>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538208336"/>
        <c:crosses val="autoZero"/>
        <c:auto val="1"/>
        <c:lblAlgn val="ctr"/>
        <c:lblOffset val="100"/>
        <c:tickLblSkip val="3"/>
        <c:tickMarkSkip val="1"/>
        <c:noMultiLvlLbl val="0"/>
      </c:catAx>
      <c:valAx>
        <c:axId val="538208336"/>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8215408"/>
        <c:crosses val="autoZero"/>
        <c:crossBetween val="between"/>
        <c:dispUnits>
          <c:builtInUnit val="thousands"/>
          <c:dispUnitsLbl>
            <c:layout>
              <c:manualLayout>
                <c:xMode val="edge"/>
                <c:yMode val="edge"/>
                <c:x val="1.7554750527191468E-2"/>
                <c:y val="0.33125635001270004"/>
              </c:manualLayout>
            </c:layout>
            <c:txPr>
              <a:bodyPr/>
              <a:lstStyle/>
              <a:p>
                <a:pPr>
                  <a:defRPr sz="1000"/>
                </a:pPr>
                <a:endParaRPr lang="en-US"/>
              </a:p>
            </c:txPr>
          </c:dispUnitsLbl>
        </c:dispUnits>
      </c:valAx>
      <c:spPr>
        <a:solidFill>
          <a:srgbClr val="FFFFFF"/>
        </a:solidFill>
        <a:ln w="12700">
          <a:solidFill>
            <a:srgbClr val="808080"/>
          </a:solidFill>
          <a:prstDash val="solid"/>
        </a:ln>
      </c:spPr>
    </c:plotArea>
    <c:legend>
      <c:legendPos val="r"/>
      <c:legendEntry>
        <c:idx val="0"/>
        <c:txPr>
          <a:bodyPr/>
          <a:lstStyle/>
          <a:p>
            <a:pPr>
              <a:defRPr sz="845" b="0" i="0" u="none" strike="noStrike" baseline="0">
                <a:solidFill>
                  <a:srgbClr val="0070C0"/>
                </a:solidFill>
                <a:latin typeface="Arial"/>
                <a:ea typeface="Arial"/>
                <a:cs typeface="Arial"/>
              </a:defRPr>
            </a:pPr>
            <a:endParaRPr lang="en-US"/>
          </a:p>
        </c:txPr>
      </c:legendEntry>
      <c:legendEntry>
        <c:idx val="1"/>
        <c:txPr>
          <a:bodyPr/>
          <a:lstStyle/>
          <a:p>
            <a:pPr>
              <a:defRPr sz="845" b="0" i="0" u="none" strike="noStrike" baseline="0">
                <a:solidFill>
                  <a:srgbClr val="FF0000"/>
                </a:solidFill>
                <a:latin typeface="Arial"/>
                <a:ea typeface="Arial"/>
                <a:cs typeface="Arial"/>
              </a:defRPr>
            </a:pPr>
            <a:endParaRPr lang="en-US"/>
          </a:p>
        </c:txPr>
      </c:legendEntry>
      <c:layout>
        <c:manualLayout>
          <c:xMode val="edge"/>
          <c:yMode val="edge"/>
          <c:x val="0.70894976492622885"/>
          <c:y val="2.1014815008589045E-2"/>
          <c:w val="0.24022580460209464"/>
          <c:h val="0.1940007499062617"/>
        </c:manualLayout>
      </c:layout>
      <c:overlay val="0"/>
      <c:spPr>
        <a:solidFill>
          <a:schemeClr val="accent3">
            <a:lumMod val="20000"/>
            <a:lumOff val="80000"/>
          </a:schemeClr>
        </a:solidFill>
        <a:ln w="25400">
          <a:noFill/>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accent3">
        <a:lumMod val="20000"/>
        <a:lumOff val="80000"/>
      </a:schemeClr>
    </a:solid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0" verticalDpi="0"/>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sz="1100" baseline="0"/>
              <a:t>SS Benefits &amp; Expenses</a:t>
            </a:r>
          </a:p>
        </c:rich>
      </c:tx>
      <c:layout>
        <c:manualLayout>
          <c:xMode val="edge"/>
          <c:yMode val="edge"/>
          <c:x val="6.818624234470691E-2"/>
          <c:y val="2.5296916010498684E-2"/>
        </c:manualLayout>
      </c:layout>
      <c:overlay val="0"/>
      <c:spPr>
        <a:noFill/>
        <a:ln w="25400">
          <a:noFill/>
        </a:ln>
      </c:spPr>
    </c:title>
    <c:autoTitleDeleted val="0"/>
    <c:plotArea>
      <c:layout>
        <c:manualLayout>
          <c:layoutTarget val="inner"/>
          <c:xMode val="edge"/>
          <c:yMode val="edge"/>
          <c:x val="0.16445756780402448"/>
          <c:y val="0.21338912133891211"/>
          <c:w val="0.81281769466316711"/>
          <c:h val="0.58158995815899583"/>
        </c:manualLayout>
      </c:layout>
      <c:barChart>
        <c:barDir val="col"/>
        <c:grouping val="clustered"/>
        <c:varyColors val="0"/>
        <c:ser>
          <c:idx val="2"/>
          <c:order val="1"/>
          <c:tx>
            <c:v>SS Benefits</c:v>
          </c:tx>
          <c:spPr>
            <a:solidFill>
              <a:srgbClr val="0000FF"/>
            </a:solidFill>
            <a:ln w="25400">
              <a:noFill/>
            </a:ln>
          </c:spPr>
          <c:invertIfNegative val="0"/>
          <c:val>
            <c:numRef>
              <c:f>Details!$F$61:$AS$61</c:f>
              <c:numCache>
                <c:formatCode>_(* #,##0_);_(* \(#,##0\);_(* "-"??_);_(@_)</c:formatCode>
                <c:ptCount val="40"/>
                <c:pt idx="0" formatCode="#,##0_);\(#,##0\)">
                  <c:v>0</c:v>
                </c:pt>
                <c:pt idx="1">
                  <c:v>0</c:v>
                </c:pt>
                <c:pt idx="2">
                  <c:v>0</c:v>
                </c:pt>
                <c:pt idx="3">
                  <c:v>0</c:v>
                </c:pt>
                <c:pt idx="4">
                  <c:v>0</c:v>
                </c:pt>
                <c:pt idx="5">
                  <c:v>22100</c:v>
                </c:pt>
                <c:pt idx="6">
                  <c:v>22500</c:v>
                </c:pt>
                <c:pt idx="7">
                  <c:v>23000</c:v>
                </c:pt>
                <c:pt idx="8">
                  <c:v>69900</c:v>
                </c:pt>
                <c:pt idx="9">
                  <c:v>71300</c:v>
                </c:pt>
                <c:pt idx="10">
                  <c:v>72700</c:v>
                </c:pt>
                <c:pt idx="11">
                  <c:v>74200</c:v>
                </c:pt>
                <c:pt idx="12">
                  <c:v>75700</c:v>
                </c:pt>
                <c:pt idx="13">
                  <c:v>77200</c:v>
                </c:pt>
                <c:pt idx="14">
                  <c:v>78700</c:v>
                </c:pt>
                <c:pt idx="15">
                  <c:v>80200</c:v>
                </c:pt>
                <c:pt idx="16">
                  <c:v>63000</c:v>
                </c:pt>
                <c:pt idx="17">
                  <c:v>64200</c:v>
                </c:pt>
                <c:pt idx="18">
                  <c:v>65500</c:v>
                </c:pt>
                <c:pt idx="19">
                  <c:v>66800</c:v>
                </c:pt>
                <c:pt idx="20">
                  <c:v>68100</c:v>
                </c:pt>
                <c:pt idx="21">
                  <c:v>69500</c:v>
                </c:pt>
                <c:pt idx="22">
                  <c:v>70900</c:v>
                </c:pt>
                <c:pt idx="23">
                  <c:v>72300</c:v>
                </c:pt>
                <c:pt idx="24">
                  <c:v>49000</c:v>
                </c:pt>
                <c:pt idx="25">
                  <c:v>50000</c:v>
                </c:pt>
                <c:pt idx="26">
                  <c:v>51000</c:v>
                </c:pt>
                <c:pt idx="27">
                  <c:v>52000</c:v>
                </c:pt>
                <c:pt idx="28">
                  <c:v>53000</c:v>
                </c:pt>
                <c:pt idx="29">
                  <c:v>54100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40"/>
        <c:overlap val="100"/>
        <c:axId val="253028608"/>
        <c:axId val="253029696"/>
      </c:barChart>
      <c:lineChart>
        <c:grouping val="standard"/>
        <c:varyColors val="0"/>
        <c:ser>
          <c:idx val="0"/>
          <c:order val="0"/>
          <c:tx>
            <c:v>Expenses</c:v>
          </c:tx>
          <c:spPr>
            <a:ln w="19050">
              <a:noFill/>
            </a:ln>
          </c:spPr>
          <c:marker>
            <c:symbol val="square"/>
            <c:size val="5"/>
            <c:spPr>
              <a:solidFill>
                <a:srgbClr val="FF0000"/>
              </a:solidFill>
              <a:ln>
                <a:noFill/>
                <a:prstDash val="solid"/>
              </a:ln>
            </c:spPr>
          </c:marker>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Details!$F$146:$AS$146</c:f>
              <c:numCache>
                <c:formatCode>_(* #,##0_);_(* \(#,##0\);_(* "-"??_);_(@_)</c:formatCode>
                <c:ptCount val="40"/>
                <c:pt idx="0" formatCode="#,##0_);\(#,##0\)">
                  <c:v>75000</c:v>
                </c:pt>
                <c:pt idx="1">
                  <c:v>78800</c:v>
                </c:pt>
                <c:pt idx="2">
                  <c:v>77800</c:v>
                </c:pt>
                <c:pt idx="3">
                  <c:v>79400</c:v>
                </c:pt>
                <c:pt idx="4">
                  <c:v>81000</c:v>
                </c:pt>
                <c:pt idx="5">
                  <c:v>84900</c:v>
                </c:pt>
                <c:pt idx="6">
                  <c:v>86400</c:v>
                </c:pt>
                <c:pt idx="7">
                  <c:v>89500</c:v>
                </c:pt>
                <c:pt idx="8">
                  <c:v>86700</c:v>
                </c:pt>
                <c:pt idx="9">
                  <c:v>88400</c:v>
                </c:pt>
                <c:pt idx="10">
                  <c:v>90200</c:v>
                </c:pt>
                <c:pt idx="11">
                  <c:v>92300</c:v>
                </c:pt>
                <c:pt idx="12">
                  <c:v>95500</c:v>
                </c:pt>
                <c:pt idx="13">
                  <c:v>97800</c:v>
                </c:pt>
                <c:pt idx="14">
                  <c:v>103000</c:v>
                </c:pt>
                <c:pt idx="15">
                  <c:v>106700</c:v>
                </c:pt>
                <c:pt idx="16">
                  <c:v>108300</c:v>
                </c:pt>
                <c:pt idx="17">
                  <c:v>110600</c:v>
                </c:pt>
                <c:pt idx="18">
                  <c:v>131500</c:v>
                </c:pt>
                <c:pt idx="19">
                  <c:v>134100</c:v>
                </c:pt>
                <c:pt idx="20">
                  <c:v>137000</c:v>
                </c:pt>
                <c:pt idx="21">
                  <c:v>140200</c:v>
                </c:pt>
                <c:pt idx="22">
                  <c:v>147500</c:v>
                </c:pt>
                <c:pt idx="23">
                  <c:v>151800</c:v>
                </c:pt>
                <c:pt idx="24">
                  <c:v>159300</c:v>
                </c:pt>
                <c:pt idx="25">
                  <c:v>163000</c:v>
                </c:pt>
                <c:pt idx="26">
                  <c:v>166200</c:v>
                </c:pt>
                <c:pt idx="27">
                  <c:v>166900</c:v>
                </c:pt>
                <c:pt idx="28">
                  <c:v>169700</c:v>
                </c:pt>
                <c:pt idx="29">
                  <c:v>173100</c:v>
                </c:pt>
                <c:pt idx="30">
                  <c:v>0</c:v>
                </c:pt>
                <c:pt idx="31">
                  <c:v>0</c:v>
                </c:pt>
                <c:pt idx="32">
                  <c:v>0</c:v>
                </c:pt>
                <c:pt idx="33">
                  <c:v>0</c:v>
                </c:pt>
                <c:pt idx="34">
                  <c:v>0</c:v>
                </c:pt>
                <c:pt idx="35">
                  <c:v>0</c:v>
                </c:pt>
                <c:pt idx="36">
                  <c:v>0</c:v>
                </c:pt>
                <c:pt idx="37">
                  <c:v>0</c:v>
                </c:pt>
                <c:pt idx="38">
                  <c:v>0</c:v>
                </c:pt>
                <c:pt idx="39">
                  <c:v>0</c:v>
                </c:pt>
              </c:numCache>
            </c:numRef>
          </c:val>
          <c:smooth val="0"/>
        </c:ser>
        <c:dLbls>
          <c:showLegendKey val="0"/>
          <c:showVal val="0"/>
          <c:showCatName val="0"/>
          <c:showSerName val="0"/>
          <c:showPercent val="0"/>
          <c:showBubbleSize val="0"/>
        </c:dLbls>
        <c:marker val="1"/>
        <c:smooth val="0"/>
        <c:axId val="253028608"/>
        <c:axId val="253029696"/>
      </c:lineChart>
      <c:catAx>
        <c:axId val="253028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53029696"/>
        <c:crosses val="autoZero"/>
        <c:auto val="1"/>
        <c:lblAlgn val="ctr"/>
        <c:lblOffset val="100"/>
        <c:tickLblSkip val="3"/>
        <c:tickMarkSkip val="1"/>
        <c:noMultiLvlLbl val="0"/>
      </c:catAx>
      <c:valAx>
        <c:axId val="253029696"/>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53028608"/>
        <c:crosses val="autoZero"/>
        <c:crossBetween val="between"/>
        <c:dispUnits>
          <c:builtInUnit val="thousands"/>
          <c:dispUnitsLbl>
            <c:layout>
              <c:manualLayout>
                <c:xMode val="edge"/>
                <c:yMode val="edge"/>
                <c:x val="6.9541307336582923E-3"/>
                <c:y val="0.31061132983377082"/>
              </c:manualLayout>
            </c:layout>
          </c:dispUnitsLbl>
        </c:dispUnits>
      </c:valAx>
      <c:spPr>
        <a:solidFill>
          <a:srgbClr val="FFFFFF"/>
        </a:solidFill>
        <a:ln w="12700">
          <a:solidFill>
            <a:srgbClr val="808080"/>
          </a:solidFill>
          <a:prstDash val="solid"/>
        </a:ln>
      </c:spPr>
    </c:plotArea>
    <c:legend>
      <c:legendPos val="r"/>
      <c:layout>
        <c:manualLayout>
          <c:xMode val="edge"/>
          <c:yMode val="edge"/>
          <c:x val="0.52272859110831549"/>
          <c:y val="4.1841004184100417E-2"/>
          <c:w val="0.46487720553111062"/>
          <c:h val="0.13807531380753138"/>
        </c:manualLayout>
      </c:layout>
      <c:overlay val="0"/>
      <c:spPr>
        <a:solidFill>
          <a:schemeClr val="accent3">
            <a:lumMod val="20000"/>
            <a:lumOff val="80000"/>
          </a:schemeClr>
        </a:solid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accent3">
        <a:lumMod val="20000"/>
        <a:lumOff val="80000"/>
      </a:schemeClr>
    </a:solid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Sources of Earnings</a:t>
            </a:r>
          </a:p>
        </c:rich>
      </c:tx>
      <c:layout>
        <c:manualLayout>
          <c:xMode val="edge"/>
          <c:yMode val="edge"/>
          <c:x val="0.2996959755030621"/>
          <c:y val="2.3809711286089243E-2"/>
        </c:manualLayout>
      </c:layout>
      <c:overlay val="0"/>
      <c:spPr>
        <a:noFill/>
        <a:ln w="25400">
          <a:noFill/>
        </a:ln>
      </c:spPr>
    </c:title>
    <c:autoTitleDeleted val="0"/>
    <c:plotArea>
      <c:layout>
        <c:manualLayout>
          <c:layoutTarget val="inner"/>
          <c:xMode val="edge"/>
          <c:yMode val="edge"/>
          <c:x val="0.14582754361587155"/>
          <c:y val="0.3273301868892895"/>
          <c:w val="0.82971668982553659"/>
          <c:h val="0.52822703412073491"/>
        </c:manualLayout>
      </c:layout>
      <c:barChart>
        <c:barDir val="col"/>
        <c:grouping val="stacked"/>
        <c:varyColors val="0"/>
        <c:ser>
          <c:idx val="0"/>
          <c:order val="0"/>
          <c:tx>
            <c:v>Taxable</c:v>
          </c:tx>
          <c:spPr>
            <a:solidFill>
              <a:srgbClr val="0070C0"/>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Details!$F$28:$AS$28</c:f>
              <c:numCache>
                <c:formatCode>_(* #,##0_);_(* \(#,##0\);_(* "-"??_);_(@_)</c:formatCode>
                <c:ptCount val="40"/>
                <c:pt idx="0">
                  <c:v>9600</c:v>
                </c:pt>
                <c:pt idx="1">
                  <c:v>9300</c:v>
                </c:pt>
                <c:pt idx="2">
                  <c:v>8900</c:v>
                </c:pt>
                <c:pt idx="3">
                  <c:v>8300</c:v>
                </c:pt>
                <c:pt idx="4">
                  <c:v>7700</c:v>
                </c:pt>
                <c:pt idx="5">
                  <c:v>7600</c:v>
                </c:pt>
                <c:pt idx="6">
                  <c:v>8100</c:v>
                </c:pt>
                <c:pt idx="7">
                  <c:v>8600</c:v>
                </c:pt>
                <c:pt idx="8">
                  <c:v>9400</c:v>
                </c:pt>
                <c:pt idx="9">
                  <c:v>10900</c:v>
                </c:pt>
                <c:pt idx="10">
                  <c:v>10700</c:v>
                </c:pt>
                <c:pt idx="11">
                  <c:v>11500</c:v>
                </c:pt>
                <c:pt idx="12">
                  <c:v>14000</c:v>
                </c:pt>
                <c:pt idx="13">
                  <c:v>15800</c:v>
                </c:pt>
                <c:pt idx="14">
                  <c:v>16000</c:v>
                </c:pt>
                <c:pt idx="15">
                  <c:v>18000</c:v>
                </c:pt>
                <c:pt idx="16">
                  <c:v>22400</c:v>
                </c:pt>
                <c:pt idx="17">
                  <c:v>25200</c:v>
                </c:pt>
                <c:pt idx="18">
                  <c:v>22700</c:v>
                </c:pt>
                <c:pt idx="19">
                  <c:v>24000</c:v>
                </c:pt>
                <c:pt idx="20">
                  <c:v>25500</c:v>
                </c:pt>
                <c:pt idx="21">
                  <c:v>27100</c:v>
                </c:pt>
                <c:pt idx="22">
                  <c:v>37000</c:v>
                </c:pt>
                <c:pt idx="23">
                  <c:v>47300</c:v>
                </c:pt>
                <c:pt idx="24">
                  <c:v>51500</c:v>
                </c:pt>
                <c:pt idx="25">
                  <c:v>55100</c:v>
                </c:pt>
                <c:pt idx="26">
                  <c:v>56800</c:v>
                </c:pt>
                <c:pt idx="27">
                  <c:v>58400</c:v>
                </c:pt>
                <c:pt idx="28">
                  <c:v>60000</c:v>
                </c:pt>
                <c:pt idx="29">
                  <c:v>61500</c:v>
                </c:pt>
                <c:pt idx="30">
                  <c:v>0</c:v>
                </c:pt>
                <c:pt idx="31">
                  <c:v>0</c:v>
                </c:pt>
                <c:pt idx="32">
                  <c:v>0</c:v>
                </c:pt>
                <c:pt idx="33">
                  <c:v>0</c:v>
                </c:pt>
                <c:pt idx="34">
                  <c:v>0</c:v>
                </c:pt>
                <c:pt idx="35">
                  <c:v>0</c:v>
                </c:pt>
                <c:pt idx="36">
                  <c:v>0</c:v>
                </c:pt>
                <c:pt idx="37">
                  <c:v>0</c:v>
                </c:pt>
                <c:pt idx="38">
                  <c:v>0</c:v>
                </c:pt>
                <c:pt idx="39">
                  <c:v>0</c:v>
                </c:pt>
              </c:numCache>
            </c:numRef>
          </c:val>
        </c:ser>
        <c:ser>
          <c:idx val="1"/>
          <c:order val="1"/>
          <c:tx>
            <c:v>IRA</c:v>
          </c:tx>
          <c:spPr>
            <a:solidFill>
              <a:srgbClr val="92D050"/>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Details!$F$31:$AS$31</c:f>
              <c:numCache>
                <c:formatCode>_(* #,##0_);_(* \(#,##0\);_(* "-"??_);_(@_)</c:formatCode>
                <c:ptCount val="40"/>
                <c:pt idx="0">
                  <c:v>43200</c:v>
                </c:pt>
                <c:pt idx="1">
                  <c:v>43700</c:v>
                </c:pt>
                <c:pt idx="2">
                  <c:v>44100</c:v>
                </c:pt>
                <c:pt idx="3">
                  <c:v>44500</c:v>
                </c:pt>
                <c:pt idx="4">
                  <c:v>44800</c:v>
                </c:pt>
                <c:pt idx="5">
                  <c:v>45000</c:v>
                </c:pt>
                <c:pt idx="6">
                  <c:v>45100</c:v>
                </c:pt>
                <c:pt idx="7">
                  <c:v>45200</c:v>
                </c:pt>
                <c:pt idx="8">
                  <c:v>46500</c:v>
                </c:pt>
                <c:pt idx="9">
                  <c:v>47900</c:v>
                </c:pt>
                <c:pt idx="10">
                  <c:v>48500</c:v>
                </c:pt>
                <c:pt idx="11">
                  <c:v>49100</c:v>
                </c:pt>
                <c:pt idx="12">
                  <c:v>49700</c:v>
                </c:pt>
                <c:pt idx="13">
                  <c:v>50200</c:v>
                </c:pt>
                <c:pt idx="14">
                  <c:v>50800</c:v>
                </c:pt>
                <c:pt idx="15">
                  <c:v>51600</c:v>
                </c:pt>
                <c:pt idx="16">
                  <c:v>52300</c:v>
                </c:pt>
                <c:pt idx="17">
                  <c:v>52800</c:v>
                </c:pt>
                <c:pt idx="18">
                  <c:v>46900</c:v>
                </c:pt>
                <c:pt idx="19">
                  <c:v>46900</c:v>
                </c:pt>
                <c:pt idx="20">
                  <c:v>46800</c:v>
                </c:pt>
                <c:pt idx="21">
                  <c:v>46500</c:v>
                </c:pt>
                <c:pt idx="22">
                  <c:v>46100</c:v>
                </c:pt>
                <c:pt idx="23">
                  <c:v>45600</c:v>
                </c:pt>
                <c:pt idx="24">
                  <c:v>44900</c:v>
                </c:pt>
                <c:pt idx="25">
                  <c:v>44100</c:v>
                </c:pt>
                <c:pt idx="26">
                  <c:v>43100</c:v>
                </c:pt>
                <c:pt idx="27">
                  <c:v>41900</c:v>
                </c:pt>
                <c:pt idx="28">
                  <c:v>40700</c:v>
                </c:pt>
                <c:pt idx="29">
                  <c:v>39200</c:v>
                </c:pt>
                <c:pt idx="30">
                  <c:v>0</c:v>
                </c:pt>
                <c:pt idx="31">
                  <c:v>0</c:v>
                </c:pt>
                <c:pt idx="32">
                  <c:v>0</c:v>
                </c:pt>
                <c:pt idx="33">
                  <c:v>0</c:v>
                </c:pt>
                <c:pt idx="34">
                  <c:v>0</c:v>
                </c:pt>
                <c:pt idx="35">
                  <c:v>0</c:v>
                </c:pt>
                <c:pt idx="36">
                  <c:v>0</c:v>
                </c:pt>
                <c:pt idx="37">
                  <c:v>0</c:v>
                </c:pt>
                <c:pt idx="38">
                  <c:v>0</c:v>
                </c:pt>
                <c:pt idx="39">
                  <c:v>0</c:v>
                </c:pt>
              </c:numCache>
            </c:numRef>
          </c:val>
        </c:ser>
        <c:ser>
          <c:idx val="2"/>
          <c:order val="2"/>
          <c:tx>
            <c:v>IRA inhrt</c:v>
          </c:tx>
          <c:spPr>
            <a:solidFill>
              <a:srgbClr val="FF0000"/>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Details!$F$34:$AS$34</c:f>
              <c:numCache>
                <c:formatCode>_(* #,##0_);_(* \(#,##0\);_(* "-"??_);_(@_)</c:formatCode>
                <c:ptCount val="40"/>
                <c:pt idx="0" formatCode="#,##0_);\(#,##0\)">
                  <c:v>0</c:v>
                </c:pt>
                <c:pt idx="1">
                  <c:v>0</c:v>
                </c:pt>
                <c:pt idx="2">
                  <c:v>0</c:v>
                </c:pt>
                <c:pt idx="3">
                  <c:v>0</c:v>
                </c:pt>
                <c:pt idx="4">
                  <c:v>0</c:v>
                </c:pt>
                <c:pt idx="5">
                  <c:v>0</c:v>
                </c:pt>
                <c:pt idx="6">
                  <c:v>0</c:v>
                </c:pt>
                <c:pt idx="7">
                  <c:v>0</c:v>
                </c:pt>
                <c:pt idx="8">
                  <c:v>0</c:v>
                </c:pt>
                <c:pt idx="9">
                  <c:v>0</c:v>
                </c:pt>
                <c:pt idx="10">
                  <c:v>0</c:v>
                </c:pt>
                <c:pt idx="11">
                  <c:v>0</c:v>
                </c:pt>
                <c:pt idx="12">
                  <c:v>3400</c:v>
                </c:pt>
                <c:pt idx="13">
                  <c:v>3400</c:v>
                </c:pt>
                <c:pt idx="14">
                  <c:v>3300</c:v>
                </c:pt>
                <c:pt idx="15">
                  <c:v>3200</c:v>
                </c:pt>
                <c:pt idx="16">
                  <c:v>5300</c:v>
                </c:pt>
                <c:pt idx="17">
                  <c:v>4800</c:v>
                </c:pt>
                <c:pt idx="18">
                  <c:v>3800</c:v>
                </c:pt>
                <c:pt idx="19">
                  <c:v>3500</c:v>
                </c:pt>
                <c:pt idx="20">
                  <c:v>3200</c:v>
                </c:pt>
                <c:pt idx="21">
                  <c:v>2900</c:v>
                </c:pt>
                <c:pt idx="22">
                  <c:v>2500</c:v>
                </c:pt>
                <c:pt idx="23">
                  <c:v>2000</c:v>
                </c:pt>
                <c:pt idx="24">
                  <c:v>1500</c:v>
                </c:pt>
                <c:pt idx="25">
                  <c:v>1000</c:v>
                </c:pt>
                <c:pt idx="26">
                  <c:v>200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ser>
          <c:idx val="3"/>
          <c:order val="3"/>
          <c:tx>
            <c:v>Roth</c:v>
          </c:tx>
          <c:spPr>
            <a:solidFill>
              <a:srgbClr val="FFC000"/>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Details!$F$37:$AS$37</c:f>
              <c:numCache>
                <c:formatCode>_(* #,##0_);_(* \(#,##0\);_(* "-"??_);_(@_)</c:formatCode>
                <c:ptCount val="40"/>
                <c:pt idx="0">
                  <c:v>6100</c:v>
                </c:pt>
                <c:pt idx="1">
                  <c:v>6500</c:v>
                </c:pt>
                <c:pt idx="2">
                  <c:v>7000</c:v>
                </c:pt>
                <c:pt idx="3">
                  <c:v>7500</c:v>
                </c:pt>
                <c:pt idx="4">
                  <c:v>8000</c:v>
                </c:pt>
                <c:pt idx="5">
                  <c:v>8500</c:v>
                </c:pt>
                <c:pt idx="6">
                  <c:v>9000</c:v>
                </c:pt>
                <c:pt idx="7">
                  <c:v>9600</c:v>
                </c:pt>
                <c:pt idx="8">
                  <c:v>10000</c:v>
                </c:pt>
                <c:pt idx="9">
                  <c:v>10300</c:v>
                </c:pt>
                <c:pt idx="10">
                  <c:v>10600</c:v>
                </c:pt>
                <c:pt idx="11">
                  <c:v>10900</c:v>
                </c:pt>
                <c:pt idx="12">
                  <c:v>11200</c:v>
                </c:pt>
                <c:pt idx="13">
                  <c:v>11400</c:v>
                </c:pt>
                <c:pt idx="14">
                  <c:v>11900</c:v>
                </c:pt>
                <c:pt idx="15">
                  <c:v>12600</c:v>
                </c:pt>
                <c:pt idx="16">
                  <c:v>13400</c:v>
                </c:pt>
                <c:pt idx="17">
                  <c:v>14200</c:v>
                </c:pt>
                <c:pt idx="18">
                  <c:v>12900</c:v>
                </c:pt>
                <c:pt idx="19">
                  <c:v>13500</c:v>
                </c:pt>
                <c:pt idx="20">
                  <c:v>14300</c:v>
                </c:pt>
                <c:pt idx="21">
                  <c:v>14900</c:v>
                </c:pt>
                <c:pt idx="22">
                  <c:v>15600</c:v>
                </c:pt>
                <c:pt idx="23">
                  <c:v>16500</c:v>
                </c:pt>
                <c:pt idx="24">
                  <c:v>17200</c:v>
                </c:pt>
                <c:pt idx="25">
                  <c:v>18200</c:v>
                </c:pt>
                <c:pt idx="26">
                  <c:v>19000</c:v>
                </c:pt>
                <c:pt idx="27">
                  <c:v>20000</c:v>
                </c:pt>
                <c:pt idx="28">
                  <c:v>21000</c:v>
                </c:pt>
                <c:pt idx="29">
                  <c:v>22100</c:v>
                </c:pt>
                <c:pt idx="30">
                  <c:v>0</c:v>
                </c:pt>
                <c:pt idx="31">
                  <c:v>0</c:v>
                </c:pt>
                <c:pt idx="32">
                  <c:v>0</c:v>
                </c:pt>
                <c:pt idx="33">
                  <c:v>0</c:v>
                </c:pt>
                <c:pt idx="34">
                  <c:v>0</c:v>
                </c:pt>
                <c:pt idx="35">
                  <c:v>0</c:v>
                </c:pt>
                <c:pt idx="36">
                  <c:v>0</c:v>
                </c:pt>
                <c:pt idx="37">
                  <c:v>0</c:v>
                </c:pt>
                <c:pt idx="38">
                  <c:v>0</c:v>
                </c:pt>
                <c:pt idx="39">
                  <c:v>0</c:v>
                </c:pt>
              </c:numCache>
            </c:numRef>
          </c:val>
        </c:ser>
        <c:ser>
          <c:idx val="4"/>
          <c:order val="4"/>
          <c:tx>
            <c:v>Roth conv</c:v>
          </c:tx>
          <c:spPr>
            <a:solidFill>
              <a:srgbClr val="C00000"/>
            </a:solidFill>
            <a:ln w="12700">
              <a:solidFill>
                <a:srgbClr val="000000"/>
              </a:solidFill>
              <a:prstDash val="solid"/>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Details!$F$38:$AS$38</c:f>
              <c:numCache>
                <c:formatCode>_(* #,##0_);_(* \(#,##0\);_(* "-"??_);_(@_)</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ser>
          <c:idx val="6"/>
          <c:order val="5"/>
          <c:tx>
            <c:v>SS Benefits</c:v>
          </c:tx>
          <c:spPr>
            <a:solidFill>
              <a:srgbClr val="00FFFF"/>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Details!$F$61:$AS$61</c:f>
              <c:numCache>
                <c:formatCode>_(* #,##0_);_(* \(#,##0\);_(* "-"??_);_(@_)</c:formatCode>
                <c:ptCount val="40"/>
                <c:pt idx="0" formatCode="#,##0_);\(#,##0\)">
                  <c:v>0</c:v>
                </c:pt>
                <c:pt idx="1">
                  <c:v>0</c:v>
                </c:pt>
                <c:pt idx="2">
                  <c:v>0</c:v>
                </c:pt>
                <c:pt idx="3">
                  <c:v>0</c:v>
                </c:pt>
                <c:pt idx="4">
                  <c:v>0</c:v>
                </c:pt>
                <c:pt idx="5">
                  <c:v>22100</c:v>
                </c:pt>
                <c:pt idx="6">
                  <c:v>22500</c:v>
                </c:pt>
                <c:pt idx="7">
                  <c:v>23000</c:v>
                </c:pt>
                <c:pt idx="8">
                  <c:v>69900</c:v>
                </c:pt>
                <c:pt idx="9">
                  <c:v>71300</c:v>
                </c:pt>
                <c:pt idx="10">
                  <c:v>72700</c:v>
                </c:pt>
                <c:pt idx="11">
                  <c:v>74200</c:v>
                </c:pt>
                <c:pt idx="12">
                  <c:v>75700</c:v>
                </c:pt>
                <c:pt idx="13">
                  <c:v>77200</c:v>
                </c:pt>
                <c:pt idx="14">
                  <c:v>78700</c:v>
                </c:pt>
                <c:pt idx="15">
                  <c:v>80200</c:v>
                </c:pt>
                <c:pt idx="16">
                  <c:v>63000</c:v>
                </c:pt>
                <c:pt idx="17">
                  <c:v>64200</c:v>
                </c:pt>
                <c:pt idx="18">
                  <c:v>65500</c:v>
                </c:pt>
                <c:pt idx="19">
                  <c:v>66800</c:v>
                </c:pt>
                <c:pt idx="20">
                  <c:v>68100</c:v>
                </c:pt>
                <c:pt idx="21">
                  <c:v>69500</c:v>
                </c:pt>
                <c:pt idx="22">
                  <c:v>70900</c:v>
                </c:pt>
                <c:pt idx="23">
                  <c:v>72300</c:v>
                </c:pt>
                <c:pt idx="24">
                  <c:v>49000</c:v>
                </c:pt>
                <c:pt idx="25">
                  <c:v>50000</c:v>
                </c:pt>
                <c:pt idx="26">
                  <c:v>51000</c:v>
                </c:pt>
                <c:pt idx="27">
                  <c:v>52000</c:v>
                </c:pt>
                <c:pt idx="28">
                  <c:v>53000</c:v>
                </c:pt>
                <c:pt idx="29">
                  <c:v>54100</c:v>
                </c:pt>
                <c:pt idx="30">
                  <c:v>0</c:v>
                </c:pt>
                <c:pt idx="31">
                  <c:v>0</c:v>
                </c:pt>
                <c:pt idx="32">
                  <c:v>0</c:v>
                </c:pt>
                <c:pt idx="33">
                  <c:v>0</c:v>
                </c:pt>
                <c:pt idx="34">
                  <c:v>0</c:v>
                </c:pt>
                <c:pt idx="35">
                  <c:v>0</c:v>
                </c:pt>
                <c:pt idx="36">
                  <c:v>0</c:v>
                </c:pt>
                <c:pt idx="37">
                  <c:v>0</c:v>
                </c:pt>
                <c:pt idx="38">
                  <c:v>0</c:v>
                </c:pt>
                <c:pt idx="39">
                  <c:v>0</c:v>
                </c:pt>
              </c:numCache>
            </c:numRef>
          </c:val>
        </c:ser>
        <c:ser>
          <c:idx val="7"/>
          <c:order val="6"/>
          <c:tx>
            <c:v>Pensions &amp; Other</c:v>
          </c:tx>
          <c:spPr>
            <a:solidFill>
              <a:srgbClr val="CC66FF"/>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Details!$F$70:$AS$70</c:f>
              <c:numCache>
                <c:formatCode>_(* #,##0_);_(* \(#,##0\);_(* "-"??_);_(@_)</c:formatCode>
                <c:ptCount val="40"/>
                <c:pt idx="0" formatCode="#,##0_);\(#,##0\)">
                  <c:v>20000</c:v>
                </c:pt>
                <c:pt idx="1">
                  <c:v>35600</c:v>
                </c:pt>
                <c:pt idx="2">
                  <c:v>21200</c:v>
                </c:pt>
                <c:pt idx="3">
                  <c:v>21900</c:v>
                </c:pt>
                <c:pt idx="4">
                  <c:v>22600</c:v>
                </c:pt>
                <c:pt idx="5">
                  <c:v>23400</c:v>
                </c:pt>
                <c:pt idx="6">
                  <c:v>24200</c:v>
                </c:pt>
                <c:pt idx="7">
                  <c:v>25000</c:v>
                </c:pt>
                <c:pt idx="8">
                  <c:v>25800</c:v>
                </c:pt>
                <c:pt idx="9">
                  <c:v>12500</c:v>
                </c:pt>
                <c:pt idx="10">
                  <c:v>12800</c:v>
                </c:pt>
                <c:pt idx="11">
                  <c:v>13100</c:v>
                </c:pt>
                <c:pt idx="12">
                  <c:v>13400</c:v>
                </c:pt>
                <c:pt idx="13">
                  <c:v>13700</c:v>
                </c:pt>
                <c:pt idx="14">
                  <c:v>14100</c:v>
                </c:pt>
                <c:pt idx="15">
                  <c:v>14500</c:v>
                </c:pt>
                <c:pt idx="16">
                  <c:v>14900</c:v>
                </c:pt>
                <c:pt idx="17">
                  <c:v>15300</c:v>
                </c:pt>
                <c:pt idx="18">
                  <c:v>15700</c:v>
                </c:pt>
                <c:pt idx="19">
                  <c:v>16100</c:v>
                </c:pt>
                <c:pt idx="20">
                  <c:v>16500</c:v>
                </c:pt>
                <c:pt idx="21">
                  <c:v>16900</c:v>
                </c:pt>
                <c:pt idx="22">
                  <c:v>17300</c:v>
                </c:pt>
                <c:pt idx="23">
                  <c:v>17800</c:v>
                </c:pt>
                <c:pt idx="24">
                  <c:v>16300</c:v>
                </c:pt>
                <c:pt idx="25">
                  <c:v>16800</c:v>
                </c:pt>
                <c:pt idx="26">
                  <c:v>17300</c:v>
                </c:pt>
                <c:pt idx="27">
                  <c:v>17800</c:v>
                </c:pt>
                <c:pt idx="28">
                  <c:v>18300</c:v>
                </c:pt>
                <c:pt idx="29">
                  <c:v>18800</c:v>
                </c:pt>
                <c:pt idx="30">
                  <c:v>0</c:v>
                </c:pt>
                <c:pt idx="31">
                  <c:v>0</c:v>
                </c:pt>
                <c:pt idx="32">
                  <c:v>0</c:v>
                </c:pt>
                <c:pt idx="33">
                  <c:v>0</c:v>
                </c:pt>
                <c:pt idx="34">
                  <c:v>0</c:v>
                </c:pt>
                <c:pt idx="35">
                  <c:v>0</c:v>
                </c:pt>
                <c:pt idx="36">
                  <c:v>0</c:v>
                </c:pt>
                <c:pt idx="37">
                  <c:v>0</c:v>
                </c:pt>
                <c:pt idx="38">
                  <c:v>0</c:v>
                </c:pt>
                <c:pt idx="39">
                  <c:v>0</c:v>
                </c:pt>
              </c:numCache>
            </c:numRef>
          </c:val>
        </c:ser>
        <c:ser>
          <c:idx val="8"/>
          <c:order val="7"/>
          <c:tx>
            <c:v>SPIA</c:v>
          </c:tx>
          <c:invertIfNegative val="0"/>
          <c:val>
            <c:numRef>
              <c:f>Details!$F$173:$AS$173</c:f>
            </c:numRef>
          </c:val>
        </c:ser>
        <c:ser>
          <c:idx val="9"/>
          <c:order val="8"/>
          <c:tx>
            <c:v>Donations</c:v>
          </c:tx>
          <c:spPr>
            <a:solidFill>
              <a:srgbClr val="FF00FF"/>
            </a:solidFill>
            <a:ln w="12700">
              <a:solidFill>
                <a:srgbClr val="000000"/>
              </a:solidFill>
              <a:prstDash val="solid"/>
            </a:ln>
          </c:spPr>
          <c:invertIfNegative val="0"/>
          <c:val>
            <c:numRef>
              <c:f>Details!$F$137:$AS$137</c:f>
              <c:numCache>
                <c:formatCode>_(* #,##0_);_(* \(#,##0\);_(* "-"??_);_(@_)</c:formatCode>
                <c:ptCount val="40"/>
                <c:pt idx="0" formatCode="#,##0_);\(#,##0\)">
                  <c:v>0</c:v>
                </c:pt>
                <c:pt idx="1">
                  <c:v>0</c:v>
                </c:pt>
                <c:pt idx="2">
                  <c:v>0</c:v>
                </c:pt>
                <c:pt idx="3">
                  <c:v>0</c:v>
                </c:pt>
                <c:pt idx="4">
                  <c:v>0</c:v>
                </c:pt>
                <c:pt idx="5">
                  <c:v>0</c:v>
                </c:pt>
                <c:pt idx="6">
                  <c:v>0</c:v>
                </c:pt>
                <c:pt idx="7">
                  <c:v>0</c:v>
                </c:pt>
                <c:pt idx="8">
                  <c:v>0</c:v>
                </c:pt>
                <c:pt idx="9">
                  <c:v>-15000</c:v>
                </c:pt>
                <c:pt idx="10">
                  <c:v>-15000</c:v>
                </c:pt>
                <c:pt idx="11">
                  <c:v>-15000</c:v>
                </c:pt>
                <c:pt idx="12">
                  <c:v>-15000</c:v>
                </c:pt>
                <c:pt idx="13">
                  <c:v>-15000</c:v>
                </c:pt>
                <c:pt idx="14">
                  <c:v>0</c:v>
                </c:pt>
                <c:pt idx="15">
                  <c:v>0</c:v>
                </c:pt>
                <c:pt idx="16">
                  <c:v>0</c:v>
                </c:pt>
                <c:pt idx="17">
                  <c:v>0</c:v>
                </c:pt>
                <c:pt idx="18">
                  <c:v>-5000</c:v>
                </c:pt>
                <c:pt idx="19">
                  <c:v>-5000</c:v>
                </c:pt>
                <c:pt idx="20">
                  <c:v>-5000</c:v>
                </c:pt>
                <c:pt idx="21">
                  <c:v>-5000</c:v>
                </c:pt>
                <c:pt idx="22">
                  <c:v>-5000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50"/>
        <c:overlap val="100"/>
        <c:axId val="253024256"/>
        <c:axId val="2116848208"/>
      </c:barChart>
      <c:catAx>
        <c:axId val="253024256"/>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16848208"/>
        <c:crosses val="autoZero"/>
        <c:auto val="0"/>
        <c:lblAlgn val="ctr"/>
        <c:lblOffset val="100"/>
        <c:tickLblSkip val="3"/>
        <c:tickMarkSkip val="1"/>
        <c:noMultiLvlLbl val="0"/>
      </c:catAx>
      <c:valAx>
        <c:axId val="2116848208"/>
        <c:scaling>
          <c:orientation val="minMax"/>
          <c:min val="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53024256"/>
        <c:crosses val="autoZero"/>
        <c:crossBetween val="between"/>
        <c:dispUnits>
          <c:builtInUnit val="thousands"/>
          <c:dispUnitsLbl>
            <c:layout>
              <c:manualLayout>
                <c:xMode val="edge"/>
                <c:yMode val="edge"/>
                <c:x val="5.0565944881889773E-3"/>
                <c:y val="0.39143263342082241"/>
              </c:manualLayout>
            </c:layout>
            <c:txPr>
              <a:bodyPr/>
              <a:lstStyle/>
              <a:p>
                <a:pPr>
                  <a:defRPr sz="1000"/>
                </a:pPr>
                <a:endParaRPr lang="en-US"/>
              </a:p>
            </c:txPr>
          </c:dispUnitsLbl>
        </c:dispUnits>
      </c:valAx>
      <c:spPr>
        <a:solidFill>
          <a:srgbClr val="FFFFFF"/>
        </a:solidFill>
        <a:ln w="12700">
          <a:solidFill>
            <a:srgbClr val="808080"/>
          </a:solidFill>
          <a:prstDash val="solid"/>
        </a:ln>
      </c:spPr>
    </c:plotArea>
    <c:legend>
      <c:legendPos val="b"/>
      <c:layout>
        <c:manualLayout>
          <c:xMode val="edge"/>
          <c:yMode val="edge"/>
          <c:x val="1.4264577221964902E-2"/>
          <c:y val="0.12389063867016623"/>
          <c:w val="0.98046600792548"/>
          <c:h val="0.16260988837238721"/>
        </c:manualLayout>
      </c:layout>
      <c:overlay val="0"/>
      <c:spPr>
        <a:solidFill>
          <a:schemeClr val="accent3">
            <a:lumMod val="20000"/>
            <a:lumOff val="80000"/>
          </a:schemeClr>
        </a:solid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accent3">
        <a:lumMod val="20000"/>
        <a:lumOff val="80000"/>
      </a:schemeClr>
    </a:solidFill>
    <a:ln w="6350">
      <a:noFill/>
    </a:ln>
  </c:spPr>
  <c:txPr>
    <a:bodyPr/>
    <a:lstStyle/>
    <a:p>
      <a:pPr>
        <a:defRPr sz="1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Balances by Account at Year End</a:t>
            </a:r>
          </a:p>
        </c:rich>
      </c:tx>
      <c:layout>
        <c:manualLayout>
          <c:xMode val="edge"/>
          <c:yMode val="edge"/>
          <c:x val="0.18402859798775154"/>
          <c:y val="1.6049431321084863E-2"/>
        </c:manualLayout>
      </c:layout>
      <c:overlay val="0"/>
      <c:spPr>
        <a:noFill/>
        <a:ln w="25400">
          <a:noFill/>
        </a:ln>
      </c:spPr>
    </c:title>
    <c:autoTitleDeleted val="0"/>
    <c:plotArea>
      <c:layout>
        <c:manualLayout>
          <c:layoutTarget val="inner"/>
          <c:xMode val="edge"/>
          <c:yMode val="edge"/>
          <c:x val="0.18576443569553805"/>
          <c:y val="0.21527865266841645"/>
          <c:w val="0.7951413495188101"/>
          <c:h val="0.64236307961504813"/>
        </c:manualLayout>
      </c:layout>
      <c:barChart>
        <c:barDir val="col"/>
        <c:grouping val="stacked"/>
        <c:varyColors val="0"/>
        <c:ser>
          <c:idx val="0"/>
          <c:order val="0"/>
          <c:tx>
            <c:v>Taxable</c:v>
          </c:tx>
          <c:spPr>
            <a:solidFill>
              <a:srgbClr val="0070C0"/>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Details!$F$248:$AS$248</c:f>
              <c:numCache>
                <c:formatCode>_(* #,##0_);_(* \(#,##0\);_(* "-"??_);_(@_)</c:formatCode>
                <c:ptCount val="40"/>
                <c:pt idx="0" formatCode="#,##0_);\(#,##0\)">
                  <c:v>187100</c:v>
                </c:pt>
                <c:pt idx="1">
                  <c:v>186800</c:v>
                </c:pt>
                <c:pt idx="2">
                  <c:v>173800</c:v>
                </c:pt>
                <c:pt idx="3">
                  <c:v>160500</c:v>
                </c:pt>
                <c:pt idx="4">
                  <c:v>148300</c:v>
                </c:pt>
                <c:pt idx="5">
                  <c:v>156400</c:v>
                </c:pt>
                <c:pt idx="6">
                  <c:v>166100</c:v>
                </c:pt>
                <c:pt idx="7">
                  <c:v>175900</c:v>
                </c:pt>
                <c:pt idx="8">
                  <c:v>202800</c:v>
                </c:pt>
                <c:pt idx="9">
                  <c:v>238100</c:v>
                </c:pt>
                <c:pt idx="10">
                  <c:v>194200</c:v>
                </c:pt>
                <c:pt idx="11">
                  <c:v>272100</c:v>
                </c:pt>
                <c:pt idx="12">
                  <c:v>296700</c:v>
                </c:pt>
                <c:pt idx="13">
                  <c:v>344500</c:v>
                </c:pt>
                <c:pt idx="14">
                  <c:v>301300</c:v>
                </c:pt>
                <c:pt idx="15">
                  <c:v>424600</c:v>
                </c:pt>
                <c:pt idx="16">
                  <c:v>480700</c:v>
                </c:pt>
                <c:pt idx="17">
                  <c:v>541400</c:v>
                </c:pt>
                <c:pt idx="18">
                  <c:v>574700</c:v>
                </c:pt>
                <c:pt idx="19">
                  <c:v>609500</c:v>
                </c:pt>
                <c:pt idx="20">
                  <c:v>647200</c:v>
                </c:pt>
                <c:pt idx="21">
                  <c:v>688000</c:v>
                </c:pt>
                <c:pt idx="22">
                  <c:v>1136000</c:v>
                </c:pt>
                <c:pt idx="23">
                  <c:v>1199500</c:v>
                </c:pt>
                <c:pt idx="24">
                  <c:v>1337600</c:v>
                </c:pt>
                <c:pt idx="25">
                  <c:v>1379900</c:v>
                </c:pt>
                <c:pt idx="26">
                  <c:v>1423300</c:v>
                </c:pt>
                <c:pt idx="27">
                  <c:v>1461500</c:v>
                </c:pt>
                <c:pt idx="28">
                  <c:v>1499700</c:v>
                </c:pt>
                <c:pt idx="29">
                  <c:v>1538900</c:v>
                </c:pt>
                <c:pt idx="30">
                  <c:v>0</c:v>
                </c:pt>
                <c:pt idx="31">
                  <c:v>0</c:v>
                </c:pt>
                <c:pt idx="32">
                  <c:v>0</c:v>
                </c:pt>
                <c:pt idx="33">
                  <c:v>0</c:v>
                </c:pt>
                <c:pt idx="34">
                  <c:v>0</c:v>
                </c:pt>
                <c:pt idx="35">
                  <c:v>0</c:v>
                </c:pt>
                <c:pt idx="36">
                  <c:v>0</c:v>
                </c:pt>
                <c:pt idx="37">
                  <c:v>0</c:v>
                </c:pt>
                <c:pt idx="38">
                  <c:v>0</c:v>
                </c:pt>
                <c:pt idx="39">
                  <c:v>0</c:v>
                </c:pt>
              </c:numCache>
            </c:numRef>
          </c:val>
        </c:ser>
        <c:ser>
          <c:idx val="1"/>
          <c:order val="1"/>
          <c:tx>
            <c:v>IRA</c:v>
          </c:tx>
          <c:spPr>
            <a:solidFill>
              <a:srgbClr val="92D050"/>
            </a:solidFill>
            <a:ln w="25400">
              <a:noFill/>
            </a:ln>
          </c:spPr>
          <c:invertIfNegative val="0"/>
          <c:val>
            <c:numRef>
              <c:f>Details!$F$251:$AS$251</c:f>
              <c:numCache>
                <c:formatCode>_(* #,##0_);_(* \(#,##0\);_(* "-"??_);_(@_)</c:formatCode>
                <c:ptCount val="40"/>
                <c:pt idx="0" formatCode="#,##0_);\(#,##0\)">
                  <c:v>709700</c:v>
                </c:pt>
                <c:pt idx="1">
                  <c:v>718700</c:v>
                </c:pt>
                <c:pt idx="2">
                  <c:v>726900</c:v>
                </c:pt>
                <c:pt idx="3">
                  <c:v>734200</c:v>
                </c:pt>
                <c:pt idx="4">
                  <c:v>740500</c:v>
                </c:pt>
                <c:pt idx="5">
                  <c:v>745600</c:v>
                </c:pt>
                <c:pt idx="6">
                  <c:v>749400</c:v>
                </c:pt>
                <c:pt idx="7">
                  <c:v>751900</c:v>
                </c:pt>
                <c:pt idx="8">
                  <c:v>794900</c:v>
                </c:pt>
                <c:pt idx="9">
                  <c:v>804300</c:v>
                </c:pt>
                <c:pt idx="10">
                  <c:v>813800</c:v>
                </c:pt>
                <c:pt idx="11">
                  <c:v>823200</c:v>
                </c:pt>
                <c:pt idx="12">
                  <c:v>832400</c:v>
                </c:pt>
                <c:pt idx="13">
                  <c:v>841100</c:v>
                </c:pt>
                <c:pt idx="14">
                  <c:v>854500</c:v>
                </c:pt>
                <c:pt idx="15">
                  <c:v>866600</c:v>
                </c:pt>
                <c:pt idx="16">
                  <c:v>877100</c:v>
                </c:pt>
                <c:pt idx="17">
                  <c:v>885800</c:v>
                </c:pt>
                <c:pt idx="18">
                  <c:v>886400</c:v>
                </c:pt>
                <c:pt idx="19">
                  <c:v>884900</c:v>
                </c:pt>
                <c:pt idx="20">
                  <c:v>881200</c:v>
                </c:pt>
                <c:pt idx="21">
                  <c:v>874900</c:v>
                </c:pt>
                <c:pt idx="22">
                  <c:v>866000</c:v>
                </c:pt>
                <c:pt idx="23">
                  <c:v>854500</c:v>
                </c:pt>
                <c:pt idx="24">
                  <c:v>840300</c:v>
                </c:pt>
                <c:pt idx="25">
                  <c:v>823300</c:v>
                </c:pt>
                <c:pt idx="26">
                  <c:v>803400</c:v>
                </c:pt>
                <c:pt idx="27">
                  <c:v>780400</c:v>
                </c:pt>
                <c:pt idx="28">
                  <c:v>754500</c:v>
                </c:pt>
                <c:pt idx="29">
                  <c:v>725800</c:v>
                </c:pt>
                <c:pt idx="30">
                  <c:v>0</c:v>
                </c:pt>
                <c:pt idx="31">
                  <c:v>0</c:v>
                </c:pt>
                <c:pt idx="32">
                  <c:v>0</c:v>
                </c:pt>
                <c:pt idx="33">
                  <c:v>0</c:v>
                </c:pt>
                <c:pt idx="34">
                  <c:v>0</c:v>
                </c:pt>
                <c:pt idx="35">
                  <c:v>0</c:v>
                </c:pt>
                <c:pt idx="36">
                  <c:v>0</c:v>
                </c:pt>
                <c:pt idx="37">
                  <c:v>0</c:v>
                </c:pt>
                <c:pt idx="38">
                  <c:v>0</c:v>
                </c:pt>
                <c:pt idx="39">
                  <c:v>0</c:v>
                </c:pt>
              </c:numCache>
            </c:numRef>
          </c:val>
        </c:ser>
        <c:ser>
          <c:idx val="2"/>
          <c:order val="2"/>
          <c:tx>
            <c:v>IRA inhrt</c:v>
          </c:tx>
          <c:spPr>
            <a:solidFill>
              <a:srgbClr val="FF0000"/>
            </a:solidFill>
            <a:ln w="25400">
              <a:noFill/>
            </a:ln>
          </c:spPr>
          <c:invertIfNegative val="0"/>
          <c:val>
            <c:numRef>
              <c:f>Details!$F$254:$AS$254</c:f>
              <c:numCache>
                <c:formatCode>_(* #,##0_);_(* \(#,##0\);_(* "-"??_);_(@_)</c:formatCode>
                <c:ptCount val="40"/>
                <c:pt idx="0" formatCode="#,##0_);\(#,##0\)">
                  <c:v>0</c:v>
                </c:pt>
                <c:pt idx="1">
                  <c:v>0</c:v>
                </c:pt>
                <c:pt idx="2">
                  <c:v>0</c:v>
                </c:pt>
                <c:pt idx="3">
                  <c:v>0</c:v>
                </c:pt>
                <c:pt idx="4">
                  <c:v>0</c:v>
                </c:pt>
                <c:pt idx="5">
                  <c:v>0</c:v>
                </c:pt>
                <c:pt idx="6">
                  <c:v>0</c:v>
                </c:pt>
                <c:pt idx="7">
                  <c:v>0</c:v>
                </c:pt>
                <c:pt idx="8">
                  <c:v>0</c:v>
                </c:pt>
                <c:pt idx="9">
                  <c:v>0</c:v>
                </c:pt>
                <c:pt idx="10">
                  <c:v>0</c:v>
                </c:pt>
                <c:pt idx="11">
                  <c:v>60000</c:v>
                </c:pt>
                <c:pt idx="12">
                  <c:v>59300</c:v>
                </c:pt>
                <c:pt idx="13">
                  <c:v>58400</c:v>
                </c:pt>
                <c:pt idx="14">
                  <c:v>57100</c:v>
                </c:pt>
                <c:pt idx="15">
                  <c:v>91500</c:v>
                </c:pt>
                <c:pt idx="16">
                  <c:v>83500</c:v>
                </c:pt>
                <c:pt idx="17">
                  <c:v>74800</c:v>
                </c:pt>
                <c:pt idx="18">
                  <c:v>69000</c:v>
                </c:pt>
                <c:pt idx="19">
                  <c:v>63900</c:v>
                </c:pt>
                <c:pt idx="20">
                  <c:v>58000</c:v>
                </c:pt>
                <c:pt idx="21">
                  <c:v>51200</c:v>
                </c:pt>
                <c:pt idx="22">
                  <c:v>43400</c:v>
                </c:pt>
                <c:pt idx="23">
                  <c:v>34600</c:v>
                </c:pt>
                <c:pt idx="24">
                  <c:v>24600</c:v>
                </c:pt>
                <c:pt idx="25">
                  <c:v>13300</c:v>
                </c:pt>
                <c:pt idx="26">
                  <c:v>2000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ser>
          <c:idx val="3"/>
          <c:order val="3"/>
          <c:tx>
            <c:v>Roth</c:v>
          </c:tx>
          <c:spPr>
            <a:solidFill>
              <a:srgbClr val="FFC000"/>
            </a:solidFill>
            <a:ln w="25400">
              <a:noFill/>
            </a:ln>
          </c:spPr>
          <c:invertIfNegative val="0"/>
          <c:val>
            <c:numRef>
              <c:f>Details!$F$257:$AS$257</c:f>
              <c:numCache>
                <c:formatCode>_(* #,##0_);_(* \(#,##0\);_(* "-"??_);_(@_)</c:formatCode>
                <c:ptCount val="40"/>
                <c:pt idx="0" formatCode="#,##0_);\(#,##0\)">
                  <c:v>107100</c:v>
                </c:pt>
                <c:pt idx="1">
                  <c:v>114700</c:v>
                </c:pt>
                <c:pt idx="2">
                  <c:v>122900</c:v>
                </c:pt>
                <c:pt idx="3">
                  <c:v>131700</c:v>
                </c:pt>
                <c:pt idx="4">
                  <c:v>139700</c:v>
                </c:pt>
                <c:pt idx="5">
                  <c:v>148200</c:v>
                </c:pt>
                <c:pt idx="6">
                  <c:v>157200</c:v>
                </c:pt>
                <c:pt idx="7">
                  <c:v>166800</c:v>
                </c:pt>
                <c:pt idx="8">
                  <c:v>171800</c:v>
                </c:pt>
                <c:pt idx="9">
                  <c:v>176600</c:v>
                </c:pt>
                <c:pt idx="10">
                  <c:v>181100</c:v>
                </c:pt>
                <c:pt idx="11">
                  <c:v>185300</c:v>
                </c:pt>
                <c:pt idx="12">
                  <c:v>189100</c:v>
                </c:pt>
                <c:pt idx="13">
                  <c:v>192400</c:v>
                </c:pt>
                <c:pt idx="14">
                  <c:v>204300</c:v>
                </c:pt>
                <c:pt idx="15">
                  <c:v>216900</c:v>
                </c:pt>
                <c:pt idx="16">
                  <c:v>230300</c:v>
                </c:pt>
                <c:pt idx="17">
                  <c:v>244500</c:v>
                </c:pt>
                <c:pt idx="18">
                  <c:v>256400</c:v>
                </c:pt>
                <c:pt idx="19">
                  <c:v>268900</c:v>
                </c:pt>
                <c:pt idx="20">
                  <c:v>282200</c:v>
                </c:pt>
                <c:pt idx="21">
                  <c:v>296100</c:v>
                </c:pt>
                <c:pt idx="22">
                  <c:v>310700</c:v>
                </c:pt>
                <c:pt idx="23">
                  <c:v>326200</c:v>
                </c:pt>
                <c:pt idx="24">
                  <c:v>342400</c:v>
                </c:pt>
                <c:pt idx="25">
                  <c:v>359600</c:v>
                </c:pt>
                <c:pt idx="26">
                  <c:v>377600</c:v>
                </c:pt>
                <c:pt idx="27">
                  <c:v>396600</c:v>
                </c:pt>
                <c:pt idx="28">
                  <c:v>416600</c:v>
                </c:pt>
                <c:pt idx="29">
                  <c:v>437700</c:v>
                </c:pt>
                <c:pt idx="30">
                  <c:v>0</c:v>
                </c:pt>
                <c:pt idx="31">
                  <c:v>0</c:v>
                </c:pt>
                <c:pt idx="32">
                  <c:v>0</c:v>
                </c:pt>
                <c:pt idx="33">
                  <c:v>0</c:v>
                </c:pt>
                <c:pt idx="34">
                  <c:v>0</c:v>
                </c:pt>
                <c:pt idx="35">
                  <c:v>0</c:v>
                </c:pt>
                <c:pt idx="36">
                  <c:v>0</c:v>
                </c:pt>
                <c:pt idx="37">
                  <c:v>0</c:v>
                </c:pt>
                <c:pt idx="38">
                  <c:v>0</c:v>
                </c:pt>
                <c:pt idx="39">
                  <c:v>0</c:v>
                </c:pt>
              </c:numCache>
            </c:numRef>
          </c:val>
        </c:ser>
        <c:ser>
          <c:idx val="4"/>
          <c:order val="4"/>
          <c:tx>
            <c:v>Roth conv</c:v>
          </c:tx>
          <c:spPr>
            <a:solidFill>
              <a:srgbClr val="C00000"/>
            </a:solidFill>
            <a:ln w="25400">
              <a:noFill/>
            </a:ln>
          </c:spPr>
          <c:invertIfNegative val="0"/>
          <c:val>
            <c:numRef>
              <c:f>Details!$F$258:$AS$258</c:f>
              <c:numCache>
                <c:formatCode>_(* #,##0_);_(* \(#,##0\);_(* "-"??_);_(@_)</c:formatCode>
                <c:ptCount val="40"/>
                <c:pt idx="0" formatCode="#,##0_);\(#,##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50"/>
        <c:overlap val="100"/>
        <c:axId val="2116844400"/>
        <c:axId val="2116843856"/>
      </c:barChart>
      <c:catAx>
        <c:axId val="2116844400"/>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16843856"/>
        <c:crosses val="autoZero"/>
        <c:auto val="1"/>
        <c:lblAlgn val="ctr"/>
        <c:lblOffset val="100"/>
        <c:tickLblSkip val="3"/>
        <c:tickMarkSkip val="1"/>
        <c:noMultiLvlLbl val="0"/>
      </c:catAx>
      <c:valAx>
        <c:axId val="2116843856"/>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6844400"/>
        <c:crosses val="autoZero"/>
        <c:crossBetween val="between"/>
        <c:dispUnits>
          <c:builtInUnit val="thousands"/>
          <c:dispUnitsLbl>
            <c:layout>
              <c:manualLayout>
                <c:xMode val="edge"/>
                <c:yMode val="edge"/>
                <c:x val="1.0400262467191598E-2"/>
                <c:y val="0.35891644794400701"/>
              </c:manualLayout>
            </c:layout>
            <c:txPr>
              <a:bodyPr/>
              <a:lstStyle/>
              <a:p>
                <a:pPr>
                  <a:defRPr sz="1000">
                    <a:latin typeface="Arial" panose="020B0604020202020204" pitchFamily="34" charset="0"/>
                    <a:cs typeface="Arial" panose="020B0604020202020204" pitchFamily="34" charset="0"/>
                  </a:defRPr>
                </a:pPr>
                <a:endParaRPr lang="en-US"/>
              </a:p>
            </c:txPr>
          </c:dispUnitsLbl>
        </c:dispUnits>
      </c:valAx>
      <c:spPr>
        <a:solidFill>
          <a:srgbClr val="FFFFFF"/>
        </a:solidFill>
        <a:ln w="12700">
          <a:solidFill>
            <a:srgbClr val="000000"/>
          </a:solidFill>
          <a:prstDash val="solid"/>
        </a:ln>
      </c:spPr>
    </c:plotArea>
    <c:legend>
      <c:legendPos val="b"/>
      <c:layout>
        <c:manualLayout>
          <c:xMode val="edge"/>
          <c:yMode val="edge"/>
          <c:x val="2.199140548607895E-2"/>
          <c:y val="0.11458355205599301"/>
          <c:w val="0.90972440944881872"/>
          <c:h val="6.5972445924363618E-2"/>
        </c:manualLayout>
      </c:layout>
      <c:overlay val="0"/>
      <c:spPr>
        <a:solidFill>
          <a:schemeClr val="accent3">
            <a:lumMod val="20000"/>
            <a:lumOff val="80000"/>
          </a:schemeClr>
        </a:solidFill>
        <a:ln w="25400">
          <a:noFill/>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accent3">
        <a:lumMod val="20000"/>
        <a:lumOff val="80000"/>
      </a:schemeClr>
    </a:solidFill>
    <a:ln w="6350">
      <a:noFill/>
    </a:ln>
  </c:spPr>
  <c:txPr>
    <a:bodyPr/>
    <a:lstStyle/>
    <a:p>
      <a:pPr>
        <a:defRPr sz="475" b="0" i="0" u="none" strike="noStrike" baseline="0">
          <a:solidFill>
            <a:srgbClr val="000000"/>
          </a:solidFill>
          <a:latin typeface="Verdana"/>
          <a:ea typeface="Verdana"/>
          <a:cs typeface="Verdana"/>
        </a:defRPr>
      </a:pPr>
      <a:endParaRPr lang="en-US"/>
    </a:p>
  </c:txPr>
  <c:printSettings>
    <c:headerFooter alignWithMargins="0"/>
    <c:pageMargins b="1" l="0.75" r="0.75" t="1" header="0.5" footer="0.5"/>
    <c:pageSetup orientation="landscape" horizontalDpi="0" verticalDpi="0"/>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Portfolio Balances at Year End - Base</a:t>
            </a:r>
          </a:p>
        </c:rich>
      </c:tx>
      <c:layout>
        <c:manualLayout>
          <c:xMode val="edge"/>
          <c:yMode val="edge"/>
          <c:x val="0.14163194444444446"/>
          <c:y val="3.4129483814523187E-2"/>
        </c:manualLayout>
      </c:layout>
      <c:overlay val="0"/>
      <c:spPr>
        <a:noFill/>
        <a:ln w="25400">
          <a:noFill/>
        </a:ln>
      </c:spPr>
    </c:title>
    <c:autoTitleDeleted val="0"/>
    <c:plotArea>
      <c:layout>
        <c:manualLayout>
          <c:layoutTarget val="inner"/>
          <c:xMode val="edge"/>
          <c:yMode val="edge"/>
          <c:x val="0.17064561782718338"/>
          <c:y val="0.19795246584422557"/>
          <c:w val="0.79392465647676391"/>
          <c:h val="0.65147987751531056"/>
        </c:manualLayout>
      </c:layout>
      <c:barChart>
        <c:barDir val="col"/>
        <c:grouping val="clustered"/>
        <c:varyColors val="0"/>
        <c:ser>
          <c:idx val="1"/>
          <c:order val="0"/>
          <c:tx>
            <c:v>Base</c:v>
          </c:tx>
          <c:spPr>
            <a:solidFill>
              <a:srgbClr val="0000FF"/>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Base!$F$259:$AS$259</c:f>
              <c:numCache>
                <c:formatCode>_(* #,##0_);_(* \(#,##0\);_(* "-"??_);_(@_)</c:formatCode>
                <c:ptCount val="40"/>
                <c:pt idx="0" formatCode="#,##0_);\(#,##0\)">
                  <c:v>1003900</c:v>
                </c:pt>
                <c:pt idx="1">
                  <c:v>1020200</c:v>
                </c:pt>
                <c:pt idx="2">
                  <c:v>1023600</c:v>
                </c:pt>
                <c:pt idx="3">
                  <c:v>1026400</c:v>
                </c:pt>
                <c:pt idx="4">
                  <c:v>1028500</c:v>
                </c:pt>
                <c:pt idx="5">
                  <c:v>1050200</c:v>
                </c:pt>
                <c:pt idx="6">
                  <c:v>1072700</c:v>
                </c:pt>
                <c:pt idx="7">
                  <c:v>1094600</c:v>
                </c:pt>
                <c:pt idx="8">
                  <c:v>1169500</c:v>
                </c:pt>
                <c:pt idx="9">
                  <c:v>1219000</c:v>
                </c:pt>
                <c:pt idx="10">
                  <c:v>1189100</c:v>
                </c:pt>
                <c:pt idx="11">
                  <c:v>1340600</c:v>
                </c:pt>
                <c:pt idx="12">
                  <c:v>1377500</c:v>
                </c:pt>
                <c:pt idx="13">
                  <c:v>1436400</c:v>
                </c:pt>
                <c:pt idx="14">
                  <c:v>1417200</c:v>
                </c:pt>
                <c:pt idx="15">
                  <c:v>1599600</c:v>
                </c:pt>
                <c:pt idx="16">
                  <c:v>1671600</c:v>
                </c:pt>
                <c:pt idx="17">
                  <c:v>1746500</c:v>
                </c:pt>
                <c:pt idx="18">
                  <c:v>1786500</c:v>
                </c:pt>
                <c:pt idx="19">
                  <c:v>1827200</c:v>
                </c:pt>
                <c:pt idx="20">
                  <c:v>1868600</c:v>
                </c:pt>
                <c:pt idx="21">
                  <c:v>1910200</c:v>
                </c:pt>
                <c:pt idx="22">
                  <c:v>2356100</c:v>
                </c:pt>
                <c:pt idx="23">
                  <c:v>2414800</c:v>
                </c:pt>
                <c:pt idx="24">
                  <c:v>2544900</c:v>
                </c:pt>
                <c:pt idx="25">
                  <c:v>2576100</c:v>
                </c:pt>
                <c:pt idx="26">
                  <c:v>2606300</c:v>
                </c:pt>
                <c:pt idx="27">
                  <c:v>2638500</c:v>
                </c:pt>
                <c:pt idx="28">
                  <c:v>2670800</c:v>
                </c:pt>
                <c:pt idx="29">
                  <c:v>2702400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50"/>
        <c:axId val="2116844944"/>
        <c:axId val="2116847120"/>
      </c:barChart>
      <c:catAx>
        <c:axId val="2116844944"/>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16847120"/>
        <c:crosses val="autoZero"/>
        <c:auto val="1"/>
        <c:lblAlgn val="ctr"/>
        <c:lblOffset val="100"/>
        <c:tickLblSkip val="3"/>
        <c:tickMarkSkip val="1"/>
        <c:noMultiLvlLbl val="0"/>
      </c:catAx>
      <c:valAx>
        <c:axId val="2116847120"/>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6844944"/>
        <c:crosses val="autoZero"/>
        <c:crossBetween val="between"/>
        <c:dispUnits>
          <c:builtInUnit val="thousands"/>
          <c:dispUnitsLbl>
            <c:layout>
              <c:manualLayout>
                <c:xMode val="edge"/>
                <c:yMode val="edge"/>
                <c:x val="0"/>
                <c:y val="0.35906342957130355"/>
              </c:manualLayout>
            </c:layout>
            <c:txPr>
              <a:bodyPr/>
              <a:lstStyle/>
              <a:p>
                <a:pPr>
                  <a:defRPr sz="1000"/>
                </a:pPr>
                <a:endParaRPr lang="en-US"/>
              </a:p>
            </c:txPr>
          </c:dispUnitsLbl>
        </c:dispUnits>
      </c:valAx>
      <c:spPr>
        <a:solidFill>
          <a:srgbClr val="FFFFFF"/>
        </a:solidFill>
        <a:ln w="25400">
          <a:noFill/>
        </a:ln>
      </c:spPr>
    </c:plotArea>
    <c:plotVisOnly val="1"/>
    <c:dispBlanksAs val="gap"/>
    <c:showDLblsOverMax val="0"/>
  </c:chart>
  <c:spPr>
    <a:solidFill>
      <a:schemeClr val="accent3">
        <a:lumMod val="20000"/>
        <a:lumOff val="80000"/>
      </a:schemeClr>
    </a:solid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Balances By Account at Year End  - Base</a:t>
            </a:r>
          </a:p>
        </c:rich>
      </c:tx>
      <c:layout>
        <c:manualLayout>
          <c:xMode val="edge"/>
          <c:yMode val="edge"/>
          <c:x val="0.1866673513636882"/>
          <c:y val="2.2580788826736024E-2"/>
        </c:manualLayout>
      </c:layout>
      <c:overlay val="0"/>
      <c:spPr>
        <a:noFill/>
        <a:ln w="25400">
          <a:noFill/>
        </a:ln>
      </c:spPr>
    </c:title>
    <c:autoTitleDeleted val="0"/>
    <c:plotArea>
      <c:layout>
        <c:manualLayout>
          <c:layoutTarget val="inner"/>
          <c:xMode val="edge"/>
          <c:yMode val="edge"/>
          <c:x val="0.17739175626296605"/>
          <c:y val="0.24516196609349902"/>
          <c:w val="0.80348030777931667"/>
          <c:h val="0.59677583851706995"/>
        </c:manualLayout>
      </c:layout>
      <c:barChart>
        <c:barDir val="col"/>
        <c:grouping val="stacked"/>
        <c:varyColors val="0"/>
        <c:ser>
          <c:idx val="0"/>
          <c:order val="0"/>
          <c:tx>
            <c:v>Taxable</c:v>
          </c:tx>
          <c:spPr>
            <a:solidFill>
              <a:schemeClr val="accent1">
                <a:lumMod val="75000"/>
              </a:schemeClr>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Base!$F$248:$AS$248</c:f>
              <c:numCache>
                <c:formatCode>_(* #,##0_);_(* \(#,##0\);_(* "-"??_);_(@_)</c:formatCode>
                <c:ptCount val="40"/>
                <c:pt idx="0" formatCode="#,##0_);\(#,##0\)">
                  <c:v>187100</c:v>
                </c:pt>
                <c:pt idx="1">
                  <c:v>186800</c:v>
                </c:pt>
                <c:pt idx="2">
                  <c:v>173800</c:v>
                </c:pt>
                <c:pt idx="3">
                  <c:v>160500</c:v>
                </c:pt>
                <c:pt idx="4">
                  <c:v>148300</c:v>
                </c:pt>
                <c:pt idx="5">
                  <c:v>156400</c:v>
                </c:pt>
                <c:pt idx="6">
                  <c:v>166100</c:v>
                </c:pt>
                <c:pt idx="7">
                  <c:v>175900</c:v>
                </c:pt>
                <c:pt idx="8">
                  <c:v>202800</c:v>
                </c:pt>
                <c:pt idx="9">
                  <c:v>238100</c:v>
                </c:pt>
                <c:pt idx="10">
                  <c:v>194200</c:v>
                </c:pt>
                <c:pt idx="11">
                  <c:v>272100</c:v>
                </c:pt>
                <c:pt idx="12">
                  <c:v>296700</c:v>
                </c:pt>
                <c:pt idx="13">
                  <c:v>344500</c:v>
                </c:pt>
                <c:pt idx="14">
                  <c:v>301300</c:v>
                </c:pt>
                <c:pt idx="15">
                  <c:v>424600</c:v>
                </c:pt>
                <c:pt idx="16">
                  <c:v>480700</c:v>
                </c:pt>
                <c:pt idx="17">
                  <c:v>541400</c:v>
                </c:pt>
                <c:pt idx="18">
                  <c:v>574700</c:v>
                </c:pt>
                <c:pt idx="19">
                  <c:v>609500</c:v>
                </c:pt>
                <c:pt idx="20">
                  <c:v>647200</c:v>
                </c:pt>
                <c:pt idx="21">
                  <c:v>688000</c:v>
                </c:pt>
                <c:pt idx="22">
                  <c:v>1136000</c:v>
                </c:pt>
                <c:pt idx="23">
                  <c:v>1199500</c:v>
                </c:pt>
                <c:pt idx="24">
                  <c:v>1337600</c:v>
                </c:pt>
                <c:pt idx="25">
                  <c:v>1379900</c:v>
                </c:pt>
                <c:pt idx="26">
                  <c:v>1423300</c:v>
                </c:pt>
                <c:pt idx="27">
                  <c:v>1461500</c:v>
                </c:pt>
                <c:pt idx="28">
                  <c:v>1499700</c:v>
                </c:pt>
                <c:pt idx="29">
                  <c:v>1538900</c:v>
                </c:pt>
                <c:pt idx="30">
                  <c:v>0</c:v>
                </c:pt>
                <c:pt idx="31">
                  <c:v>0</c:v>
                </c:pt>
                <c:pt idx="32">
                  <c:v>0</c:v>
                </c:pt>
                <c:pt idx="33">
                  <c:v>0</c:v>
                </c:pt>
                <c:pt idx="34">
                  <c:v>0</c:v>
                </c:pt>
                <c:pt idx="35">
                  <c:v>0</c:v>
                </c:pt>
                <c:pt idx="36">
                  <c:v>0</c:v>
                </c:pt>
                <c:pt idx="37">
                  <c:v>0</c:v>
                </c:pt>
                <c:pt idx="38">
                  <c:v>0</c:v>
                </c:pt>
                <c:pt idx="39">
                  <c:v>0</c:v>
                </c:pt>
              </c:numCache>
            </c:numRef>
          </c:val>
        </c:ser>
        <c:ser>
          <c:idx val="1"/>
          <c:order val="1"/>
          <c:tx>
            <c:v>IRA</c:v>
          </c:tx>
          <c:spPr>
            <a:solidFill>
              <a:srgbClr val="92D050"/>
            </a:solidFill>
            <a:ln w="25400">
              <a:noFill/>
            </a:ln>
          </c:spPr>
          <c:invertIfNegative val="0"/>
          <c:val>
            <c:numRef>
              <c:f>Base!$F$251:$AS$251</c:f>
              <c:numCache>
                <c:formatCode>_(* #,##0_);_(* \(#,##0\);_(* "-"??_);_(@_)</c:formatCode>
                <c:ptCount val="40"/>
                <c:pt idx="0" formatCode="#,##0_);\(#,##0\)">
                  <c:v>709700</c:v>
                </c:pt>
                <c:pt idx="1">
                  <c:v>718700</c:v>
                </c:pt>
                <c:pt idx="2">
                  <c:v>726900</c:v>
                </c:pt>
                <c:pt idx="3">
                  <c:v>734200</c:v>
                </c:pt>
                <c:pt idx="4">
                  <c:v>740500</c:v>
                </c:pt>
                <c:pt idx="5">
                  <c:v>745600</c:v>
                </c:pt>
                <c:pt idx="6">
                  <c:v>749400</c:v>
                </c:pt>
                <c:pt idx="7">
                  <c:v>751900</c:v>
                </c:pt>
                <c:pt idx="8">
                  <c:v>794900</c:v>
                </c:pt>
                <c:pt idx="9">
                  <c:v>804300</c:v>
                </c:pt>
                <c:pt idx="10">
                  <c:v>813800</c:v>
                </c:pt>
                <c:pt idx="11">
                  <c:v>823200</c:v>
                </c:pt>
                <c:pt idx="12">
                  <c:v>832400</c:v>
                </c:pt>
                <c:pt idx="13">
                  <c:v>841100</c:v>
                </c:pt>
                <c:pt idx="14">
                  <c:v>854500</c:v>
                </c:pt>
                <c:pt idx="15">
                  <c:v>866600</c:v>
                </c:pt>
                <c:pt idx="16">
                  <c:v>877100</c:v>
                </c:pt>
                <c:pt idx="17">
                  <c:v>885800</c:v>
                </c:pt>
                <c:pt idx="18">
                  <c:v>886400</c:v>
                </c:pt>
                <c:pt idx="19">
                  <c:v>884900</c:v>
                </c:pt>
                <c:pt idx="20">
                  <c:v>881200</c:v>
                </c:pt>
                <c:pt idx="21">
                  <c:v>874900</c:v>
                </c:pt>
                <c:pt idx="22">
                  <c:v>866000</c:v>
                </c:pt>
                <c:pt idx="23">
                  <c:v>854500</c:v>
                </c:pt>
                <c:pt idx="24">
                  <c:v>840300</c:v>
                </c:pt>
                <c:pt idx="25">
                  <c:v>823300</c:v>
                </c:pt>
                <c:pt idx="26">
                  <c:v>803400</c:v>
                </c:pt>
                <c:pt idx="27">
                  <c:v>780400</c:v>
                </c:pt>
                <c:pt idx="28">
                  <c:v>754500</c:v>
                </c:pt>
                <c:pt idx="29">
                  <c:v>725800</c:v>
                </c:pt>
                <c:pt idx="30">
                  <c:v>0</c:v>
                </c:pt>
                <c:pt idx="31">
                  <c:v>0</c:v>
                </c:pt>
                <c:pt idx="32">
                  <c:v>0</c:v>
                </c:pt>
                <c:pt idx="33">
                  <c:v>0</c:v>
                </c:pt>
                <c:pt idx="34">
                  <c:v>0</c:v>
                </c:pt>
                <c:pt idx="35">
                  <c:v>0</c:v>
                </c:pt>
                <c:pt idx="36">
                  <c:v>0</c:v>
                </c:pt>
                <c:pt idx="37">
                  <c:v>0</c:v>
                </c:pt>
                <c:pt idx="38">
                  <c:v>0</c:v>
                </c:pt>
                <c:pt idx="39">
                  <c:v>0</c:v>
                </c:pt>
              </c:numCache>
            </c:numRef>
          </c:val>
        </c:ser>
        <c:ser>
          <c:idx val="2"/>
          <c:order val="2"/>
          <c:tx>
            <c:v>IRA inhrt</c:v>
          </c:tx>
          <c:spPr>
            <a:solidFill>
              <a:srgbClr val="FF0000"/>
            </a:solidFill>
            <a:ln w="25400">
              <a:noFill/>
            </a:ln>
          </c:spPr>
          <c:invertIfNegative val="0"/>
          <c:val>
            <c:numRef>
              <c:f>Base!$F$254:$AS$254</c:f>
              <c:numCache>
                <c:formatCode>_(* #,##0_);_(* \(#,##0\);_(* "-"??_);_(@_)</c:formatCode>
                <c:ptCount val="40"/>
                <c:pt idx="0" formatCode="#,##0_);\(#,##0\)">
                  <c:v>0</c:v>
                </c:pt>
                <c:pt idx="1">
                  <c:v>0</c:v>
                </c:pt>
                <c:pt idx="2">
                  <c:v>0</c:v>
                </c:pt>
                <c:pt idx="3">
                  <c:v>0</c:v>
                </c:pt>
                <c:pt idx="4">
                  <c:v>0</c:v>
                </c:pt>
                <c:pt idx="5">
                  <c:v>0</c:v>
                </c:pt>
                <c:pt idx="6">
                  <c:v>0</c:v>
                </c:pt>
                <c:pt idx="7">
                  <c:v>0</c:v>
                </c:pt>
                <c:pt idx="8">
                  <c:v>0</c:v>
                </c:pt>
                <c:pt idx="9">
                  <c:v>0</c:v>
                </c:pt>
                <c:pt idx="10">
                  <c:v>0</c:v>
                </c:pt>
                <c:pt idx="11">
                  <c:v>60000</c:v>
                </c:pt>
                <c:pt idx="12">
                  <c:v>59300</c:v>
                </c:pt>
                <c:pt idx="13">
                  <c:v>58400</c:v>
                </c:pt>
                <c:pt idx="14">
                  <c:v>57100</c:v>
                </c:pt>
                <c:pt idx="15">
                  <c:v>91500</c:v>
                </c:pt>
                <c:pt idx="16">
                  <c:v>83500</c:v>
                </c:pt>
                <c:pt idx="17">
                  <c:v>74800</c:v>
                </c:pt>
                <c:pt idx="18">
                  <c:v>69000</c:v>
                </c:pt>
                <c:pt idx="19">
                  <c:v>63900</c:v>
                </c:pt>
                <c:pt idx="20">
                  <c:v>58000</c:v>
                </c:pt>
                <c:pt idx="21">
                  <c:v>51200</c:v>
                </c:pt>
                <c:pt idx="22">
                  <c:v>43400</c:v>
                </c:pt>
                <c:pt idx="23">
                  <c:v>34600</c:v>
                </c:pt>
                <c:pt idx="24">
                  <c:v>24600</c:v>
                </c:pt>
                <c:pt idx="25">
                  <c:v>13300</c:v>
                </c:pt>
                <c:pt idx="26">
                  <c:v>2000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ser>
          <c:idx val="3"/>
          <c:order val="3"/>
          <c:tx>
            <c:v>Roth</c:v>
          </c:tx>
          <c:spPr>
            <a:solidFill>
              <a:srgbClr val="FFC000"/>
            </a:solidFill>
            <a:ln w="25400">
              <a:noFill/>
            </a:ln>
          </c:spPr>
          <c:invertIfNegative val="0"/>
          <c:val>
            <c:numRef>
              <c:f>Base!$F$257:$AS$257</c:f>
              <c:numCache>
                <c:formatCode>_(* #,##0_);_(* \(#,##0\);_(* "-"??_);_(@_)</c:formatCode>
                <c:ptCount val="40"/>
                <c:pt idx="0" formatCode="#,##0_);\(#,##0\)">
                  <c:v>107100</c:v>
                </c:pt>
                <c:pt idx="1">
                  <c:v>114700</c:v>
                </c:pt>
                <c:pt idx="2">
                  <c:v>122900</c:v>
                </c:pt>
                <c:pt idx="3">
                  <c:v>131700</c:v>
                </c:pt>
                <c:pt idx="4">
                  <c:v>139700</c:v>
                </c:pt>
                <c:pt idx="5">
                  <c:v>148200</c:v>
                </c:pt>
                <c:pt idx="6">
                  <c:v>157200</c:v>
                </c:pt>
                <c:pt idx="7">
                  <c:v>166800</c:v>
                </c:pt>
                <c:pt idx="8">
                  <c:v>171800</c:v>
                </c:pt>
                <c:pt idx="9">
                  <c:v>176600</c:v>
                </c:pt>
                <c:pt idx="10">
                  <c:v>181100</c:v>
                </c:pt>
                <c:pt idx="11">
                  <c:v>185300</c:v>
                </c:pt>
                <c:pt idx="12">
                  <c:v>189100</c:v>
                </c:pt>
                <c:pt idx="13">
                  <c:v>192400</c:v>
                </c:pt>
                <c:pt idx="14">
                  <c:v>204300</c:v>
                </c:pt>
                <c:pt idx="15">
                  <c:v>216900</c:v>
                </c:pt>
                <c:pt idx="16">
                  <c:v>230300</c:v>
                </c:pt>
                <c:pt idx="17">
                  <c:v>244500</c:v>
                </c:pt>
                <c:pt idx="18">
                  <c:v>256400</c:v>
                </c:pt>
                <c:pt idx="19">
                  <c:v>268900</c:v>
                </c:pt>
                <c:pt idx="20">
                  <c:v>282200</c:v>
                </c:pt>
                <c:pt idx="21">
                  <c:v>296100</c:v>
                </c:pt>
                <c:pt idx="22">
                  <c:v>310700</c:v>
                </c:pt>
                <c:pt idx="23">
                  <c:v>326200</c:v>
                </c:pt>
                <c:pt idx="24">
                  <c:v>342400</c:v>
                </c:pt>
                <c:pt idx="25">
                  <c:v>359600</c:v>
                </c:pt>
                <c:pt idx="26">
                  <c:v>377600</c:v>
                </c:pt>
                <c:pt idx="27">
                  <c:v>396600</c:v>
                </c:pt>
                <c:pt idx="28">
                  <c:v>416600</c:v>
                </c:pt>
                <c:pt idx="29">
                  <c:v>437700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50"/>
        <c:overlap val="100"/>
        <c:axId val="2116843312"/>
        <c:axId val="2116841136"/>
      </c:barChart>
      <c:catAx>
        <c:axId val="2116843312"/>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16841136"/>
        <c:crosses val="autoZero"/>
        <c:auto val="1"/>
        <c:lblAlgn val="ctr"/>
        <c:lblOffset val="100"/>
        <c:tickLblSkip val="3"/>
        <c:tickMarkSkip val="1"/>
        <c:noMultiLvlLbl val="0"/>
      </c:catAx>
      <c:valAx>
        <c:axId val="2116841136"/>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6843312"/>
        <c:crosses val="autoZero"/>
        <c:crossBetween val="between"/>
        <c:dispUnits>
          <c:builtInUnit val="thousands"/>
          <c:dispUnitsLbl>
            <c:layout>
              <c:manualLayout>
                <c:xMode val="edge"/>
                <c:yMode val="edge"/>
                <c:x val="9.8772579898100971E-3"/>
                <c:y val="0.35858573928258969"/>
              </c:manualLayout>
            </c:layout>
            <c:txPr>
              <a:bodyPr/>
              <a:lstStyle/>
              <a:p>
                <a:pPr>
                  <a:defRPr sz="1000">
                    <a:latin typeface="Arial" panose="020B0604020202020204" pitchFamily="34" charset="0"/>
                    <a:cs typeface="Arial" panose="020B0604020202020204" pitchFamily="34" charset="0"/>
                  </a:defRPr>
                </a:pPr>
                <a:endParaRPr lang="en-US"/>
              </a:p>
            </c:txPr>
          </c:dispUnitsLbl>
        </c:dispUnits>
      </c:valAx>
      <c:spPr>
        <a:solidFill>
          <a:srgbClr val="FFFFFF"/>
        </a:solidFill>
        <a:ln w="12700">
          <a:solidFill>
            <a:srgbClr val="000000"/>
          </a:solidFill>
          <a:prstDash val="solid"/>
        </a:ln>
      </c:spPr>
    </c:plotArea>
    <c:legend>
      <c:legendPos val="b"/>
      <c:layout>
        <c:manualLayout>
          <c:xMode val="edge"/>
          <c:yMode val="edge"/>
          <c:x val="0.19014561223325346"/>
          <c:y val="0.13039868885167638"/>
          <c:w val="0.74434972235832808"/>
          <c:h val="6.4625984505342238E-2"/>
        </c:manualLayout>
      </c:layout>
      <c:overlay val="0"/>
      <c:spPr>
        <a:solidFill>
          <a:schemeClr val="accent3">
            <a:lumMod val="20000"/>
            <a:lumOff val="80000"/>
          </a:schemeClr>
        </a:solid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accent3">
        <a:lumMod val="20000"/>
        <a:lumOff val="80000"/>
      </a:schemeClr>
    </a:solidFill>
    <a:ln w="6350">
      <a:noFill/>
    </a:ln>
  </c:spPr>
  <c:txPr>
    <a:bodyPr/>
    <a:lstStyle/>
    <a:p>
      <a:pPr>
        <a:defRPr sz="450" b="0" i="0" u="none" strike="noStrike" baseline="0">
          <a:solidFill>
            <a:srgbClr val="000000"/>
          </a:solidFill>
          <a:latin typeface="Verdana"/>
          <a:ea typeface="Verdana"/>
          <a:cs typeface="Verdana"/>
        </a:defRPr>
      </a:pPr>
      <a:endParaRPr lang="en-US"/>
    </a:p>
  </c:txPr>
  <c:printSettings>
    <c:headerFooter alignWithMargins="0"/>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Earnings and Expenses - Base</a:t>
            </a:r>
          </a:p>
        </c:rich>
      </c:tx>
      <c:layout>
        <c:manualLayout>
          <c:xMode val="edge"/>
          <c:yMode val="edge"/>
          <c:x val="0.19624210168173425"/>
          <c:y val="5.6264216972878372E-3"/>
        </c:manualLayout>
      </c:layout>
      <c:overlay val="0"/>
      <c:spPr>
        <a:noFill/>
        <a:ln w="25400">
          <a:noFill/>
        </a:ln>
      </c:spPr>
    </c:title>
    <c:autoTitleDeleted val="0"/>
    <c:plotArea>
      <c:layout>
        <c:manualLayout>
          <c:layoutTarget val="inner"/>
          <c:xMode val="edge"/>
          <c:yMode val="edge"/>
          <c:x val="0.14638482638740127"/>
          <c:y val="0.27388535031847133"/>
          <c:w val="0.8271624527191711"/>
          <c:h val="0.57006369426751591"/>
        </c:manualLayout>
      </c:layout>
      <c:barChart>
        <c:barDir val="col"/>
        <c:grouping val="stacked"/>
        <c:varyColors val="0"/>
        <c:ser>
          <c:idx val="0"/>
          <c:order val="0"/>
          <c:tx>
            <c:v>Taxable</c:v>
          </c:tx>
          <c:spPr>
            <a:solidFill>
              <a:srgbClr val="78FA62"/>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Base!$F$28:$AS$28</c:f>
              <c:numCache>
                <c:formatCode>_(* #,##0_);_(* \(#,##0\);_(* "-"??_);_(@_)</c:formatCode>
                <c:ptCount val="40"/>
                <c:pt idx="0">
                  <c:v>9600</c:v>
                </c:pt>
                <c:pt idx="1">
                  <c:v>9300</c:v>
                </c:pt>
                <c:pt idx="2">
                  <c:v>8900</c:v>
                </c:pt>
                <c:pt idx="3">
                  <c:v>8300</c:v>
                </c:pt>
                <c:pt idx="4">
                  <c:v>7700</c:v>
                </c:pt>
                <c:pt idx="5">
                  <c:v>7600</c:v>
                </c:pt>
                <c:pt idx="6">
                  <c:v>8100</c:v>
                </c:pt>
                <c:pt idx="7">
                  <c:v>8600</c:v>
                </c:pt>
                <c:pt idx="8">
                  <c:v>9400</c:v>
                </c:pt>
                <c:pt idx="9">
                  <c:v>10900</c:v>
                </c:pt>
                <c:pt idx="10">
                  <c:v>10700</c:v>
                </c:pt>
                <c:pt idx="11">
                  <c:v>11500</c:v>
                </c:pt>
                <c:pt idx="12">
                  <c:v>14000</c:v>
                </c:pt>
                <c:pt idx="13">
                  <c:v>15800</c:v>
                </c:pt>
                <c:pt idx="14">
                  <c:v>16000</c:v>
                </c:pt>
                <c:pt idx="15">
                  <c:v>18000</c:v>
                </c:pt>
                <c:pt idx="16">
                  <c:v>22400</c:v>
                </c:pt>
                <c:pt idx="17">
                  <c:v>25200</c:v>
                </c:pt>
                <c:pt idx="18">
                  <c:v>22700</c:v>
                </c:pt>
                <c:pt idx="19">
                  <c:v>24000</c:v>
                </c:pt>
                <c:pt idx="20">
                  <c:v>25500</c:v>
                </c:pt>
                <c:pt idx="21">
                  <c:v>27100</c:v>
                </c:pt>
                <c:pt idx="22">
                  <c:v>37000</c:v>
                </c:pt>
                <c:pt idx="23">
                  <c:v>47300</c:v>
                </c:pt>
                <c:pt idx="24">
                  <c:v>51500</c:v>
                </c:pt>
                <c:pt idx="25">
                  <c:v>55100</c:v>
                </c:pt>
                <c:pt idx="26">
                  <c:v>56800</c:v>
                </c:pt>
                <c:pt idx="27">
                  <c:v>58400</c:v>
                </c:pt>
                <c:pt idx="28">
                  <c:v>60000</c:v>
                </c:pt>
                <c:pt idx="29">
                  <c:v>61500</c:v>
                </c:pt>
                <c:pt idx="30">
                  <c:v>0</c:v>
                </c:pt>
                <c:pt idx="31">
                  <c:v>0</c:v>
                </c:pt>
                <c:pt idx="32">
                  <c:v>0</c:v>
                </c:pt>
                <c:pt idx="33">
                  <c:v>0</c:v>
                </c:pt>
                <c:pt idx="34">
                  <c:v>0</c:v>
                </c:pt>
                <c:pt idx="35">
                  <c:v>0</c:v>
                </c:pt>
                <c:pt idx="36">
                  <c:v>0</c:v>
                </c:pt>
                <c:pt idx="37">
                  <c:v>0</c:v>
                </c:pt>
                <c:pt idx="38">
                  <c:v>0</c:v>
                </c:pt>
                <c:pt idx="39">
                  <c:v>0</c:v>
                </c:pt>
              </c:numCache>
            </c:numRef>
          </c:val>
        </c:ser>
        <c:ser>
          <c:idx val="1"/>
          <c:order val="1"/>
          <c:tx>
            <c:v>IRA</c:v>
          </c:tx>
          <c:spPr>
            <a:solidFill>
              <a:srgbClr val="8FB4FF"/>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Base!$F$31:$AS$31</c:f>
              <c:numCache>
                <c:formatCode>_(* #,##0_);_(* \(#,##0\);_(* "-"??_);_(@_)</c:formatCode>
                <c:ptCount val="40"/>
                <c:pt idx="0">
                  <c:v>43200</c:v>
                </c:pt>
                <c:pt idx="1">
                  <c:v>43700</c:v>
                </c:pt>
                <c:pt idx="2">
                  <c:v>44100</c:v>
                </c:pt>
                <c:pt idx="3">
                  <c:v>44500</c:v>
                </c:pt>
                <c:pt idx="4">
                  <c:v>44800</c:v>
                </c:pt>
                <c:pt idx="5">
                  <c:v>45000</c:v>
                </c:pt>
                <c:pt idx="6">
                  <c:v>45100</c:v>
                </c:pt>
                <c:pt idx="7">
                  <c:v>45200</c:v>
                </c:pt>
                <c:pt idx="8">
                  <c:v>46500</c:v>
                </c:pt>
                <c:pt idx="9">
                  <c:v>47900</c:v>
                </c:pt>
                <c:pt idx="10">
                  <c:v>48500</c:v>
                </c:pt>
                <c:pt idx="11">
                  <c:v>49100</c:v>
                </c:pt>
                <c:pt idx="12">
                  <c:v>49700</c:v>
                </c:pt>
                <c:pt idx="13">
                  <c:v>50200</c:v>
                </c:pt>
                <c:pt idx="14">
                  <c:v>50800</c:v>
                </c:pt>
                <c:pt idx="15">
                  <c:v>51600</c:v>
                </c:pt>
                <c:pt idx="16">
                  <c:v>52300</c:v>
                </c:pt>
                <c:pt idx="17">
                  <c:v>52800</c:v>
                </c:pt>
                <c:pt idx="18">
                  <c:v>46900</c:v>
                </c:pt>
                <c:pt idx="19">
                  <c:v>46900</c:v>
                </c:pt>
                <c:pt idx="20">
                  <c:v>46800</c:v>
                </c:pt>
                <c:pt idx="21">
                  <c:v>46500</c:v>
                </c:pt>
                <c:pt idx="22">
                  <c:v>46100</c:v>
                </c:pt>
                <c:pt idx="23">
                  <c:v>45600</c:v>
                </c:pt>
                <c:pt idx="24">
                  <c:v>44900</c:v>
                </c:pt>
                <c:pt idx="25">
                  <c:v>44100</c:v>
                </c:pt>
                <c:pt idx="26">
                  <c:v>43100</c:v>
                </c:pt>
                <c:pt idx="27">
                  <c:v>41900</c:v>
                </c:pt>
                <c:pt idx="28">
                  <c:v>40700</c:v>
                </c:pt>
                <c:pt idx="29">
                  <c:v>39200</c:v>
                </c:pt>
                <c:pt idx="30">
                  <c:v>0</c:v>
                </c:pt>
                <c:pt idx="31">
                  <c:v>0</c:v>
                </c:pt>
                <c:pt idx="32">
                  <c:v>0</c:v>
                </c:pt>
                <c:pt idx="33">
                  <c:v>0</c:v>
                </c:pt>
                <c:pt idx="34">
                  <c:v>0</c:v>
                </c:pt>
                <c:pt idx="35">
                  <c:v>0</c:v>
                </c:pt>
                <c:pt idx="36">
                  <c:v>0</c:v>
                </c:pt>
                <c:pt idx="37">
                  <c:v>0</c:v>
                </c:pt>
                <c:pt idx="38">
                  <c:v>0</c:v>
                </c:pt>
                <c:pt idx="39">
                  <c:v>0</c:v>
                </c:pt>
              </c:numCache>
            </c:numRef>
          </c:val>
        </c:ser>
        <c:ser>
          <c:idx val="2"/>
          <c:order val="2"/>
          <c:tx>
            <c:v>IRA inhrt</c:v>
          </c:tx>
          <c:spPr>
            <a:solidFill>
              <a:srgbClr val="0066CC"/>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Base!$F$34:$AS$34</c:f>
              <c:numCache>
                <c:formatCode>_(* #,##0_);_(* \(#,##0\);_(* "-"??_);_(@_)</c:formatCode>
                <c:ptCount val="40"/>
                <c:pt idx="0" formatCode="#,##0_);\(#,##0\)">
                  <c:v>0</c:v>
                </c:pt>
                <c:pt idx="1">
                  <c:v>0</c:v>
                </c:pt>
                <c:pt idx="2">
                  <c:v>0</c:v>
                </c:pt>
                <c:pt idx="3">
                  <c:v>0</c:v>
                </c:pt>
                <c:pt idx="4">
                  <c:v>0</c:v>
                </c:pt>
                <c:pt idx="5">
                  <c:v>0</c:v>
                </c:pt>
                <c:pt idx="6">
                  <c:v>0</c:v>
                </c:pt>
                <c:pt idx="7">
                  <c:v>0</c:v>
                </c:pt>
                <c:pt idx="8">
                  <c:v>0</c:v>
                </c:pt>
                <c:pt idx="9">
                  <c:v>0</c:v>
                </c:pt>
                <c:pt idx="10">
                  <c:v>0</c:v>
                </c:pt>
                <c:pt idx="11">
                  <c:v>0</c:v>
                </c:pt>
                <c:pt idx="12">
                  <c:v>3400</c:v>
                </c:pt>
                <c:pt idx="13">
                  <c:v>3400</c:v>
                </c:pt>
                <c:pt idx="14">
                  <c:v>3300</c:v>
                </c:pt>
                <c:pt idx="15">
                  <c:v>3200</c:v>
                </c:pt>
                <c:pt idx="16">
                  <c:v>5300</c:v>
                </c:pt>
                <c:pt idx="17">
                  <c:v>4800</c:v>
                </c:pt>
                <c:pt idx="18">
                  <c:v>3800</c:v>
                </c:pt>
                <c:pt idx="19">
                  <c:v>3500</c:v>
                </c:pt>
                <c:pt idx="20">
                  <c:v>3200</c:v>
                </c:pt>
                <c:pt idx="21">
                  <c:v>2900</c:v>
                </c:pt>
                <c:pt idx="22">
                  <c:v>2500</c:v>
                </c:pt>
                <c:pt idx="23">
                  <c:v>2000</c:v>
                </c:pt>
                <c:pt idx="24">
                  <c:v>1500</c:v>
                </c:pt>
                <c:pt idx="25">
                  <c:v>1000</c:v>
                </c:pt>
                <c:pt idx="26">
                  <c:v>200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ser>
          <c:idx val="3"/>
          <c:order val="3"/>
          <c:tx>
            <c:v>Roth</c:v>
          </c:tx>
          <c:spPr>
            <a:solidFill>
              <a:srgbClr val="EEF959"/>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Base!$F$37:$AS$37</c:f>
              <c:numCache>
                <c:formatCode>_(* #,##0_);_(* \(#,##0\);_(* "-"??_);_(@_)</c:formatCode>
                <c:ptCount val="40"/>
                <c:pt idx="0">
                  <c:v>6100</c:v>
                </c:pt>
                <c:pt idx="1">
                  <c:v>6500</c:v>
                </c:pt>
                <c:pt idx="2">
                  <c:v>7000</c:v>
                </c:pt>
                <c:pt idx="3">
                  <c:v>7500</c:v>
                </c:pt>
                <c:pt idx="4">
                  <c:v>8000</c:v>
                </c:pt>
                <c:pt idx="5">
                  <c:v>8500</c:v>
                </c:pt>
                <c:pt idx="6">
                  <c:v>9000</c:v>
                </c:pt>
                <c:pt idx="7">
                  <c:v>9600</c:v>
                </c:pt>
                <c:pt idx="8">
                  <c:v>10000</c:v>
                </c:pt>
                <c:pt idx="9">
                  <c:v>10300</c:v>
                </c:pt>
                <c:pt idx="10">
                  <c:v>10600</c:v>
                </c:pt>
                <c:pt idx="11">
                  <c:v>10900</c:v>
                </c:pt>
                <c:pt idx="12">
                  <c:v>11200</c:v>
                </c:pt>
                <c:pt idx="13">
                  <c:v>11400</c:v>
                </c:pt>
                <c:pt idx="14">
                  <c:v>11900</c:v>
                </c:pt>
                <c:pt idx="15">
                  <c:v>12600</c:v>
                </c:pt>
                <c:pt idx="16">
                  <c:v>13400</c:v>
                </c:pt>
                <c:pt idx="17">
                  <c:v>14200</c:v>
                </c:pt>
                <c:pt idx="18">
                  <c:v>12900</c:v>
                </c:pt>
                <c:pt idx="19">
                  <c:v>13500</c:v>
                </c:pt>
                <c:pt idx="20">
                  <c:v>14300</c:v>
                </c:pt>
                <c:pt idx="21">
                  <c:v>14900</c:v>
                </c:pt>
                <c:pt idx="22">
                  <c:v>15600</c:v>
                </c:pt>
                <c:pt idx="23">
                  <c:v>16500</c:v>
                </c:pt>
                <c:pt idx="24">
                  <c:v>17200</c:v>
                </c:pt>
                <c:pt idx="25">
                  <c:v>18200</c:v>
                </c:pt>
                <c:pt idx="26">
                  <c:v>19000</c:v>
                </c:pt>
                <c:pt idx="27">
                  <c:v>20000</c:v>
                </c:pt>
                <c:pt idx="28">
                  <c:v>21000</c:v>
                </c:pt>
                <c:pt idx="29">
                  <c:v>22100</c:v>
                </c:pt>
                <c:pt idx="30">
                  <c:v>0</c:v>
                </c:pt>
                <c:pt idx="31">
                  <c:v>0</c:v>
                </c:pt>
                <c:pt idx="32">
                  <c:v>0</c:v>
                </c:pt>
                <c:pt idx="33">
                  <c:v>0</c:v>
                </c:pt>
                <c:pt idx="34">
                  <c:v>0</c:v>
                </c:pt>
                <c:pt idx="35">
                  <c:v>0</c:v>
                </c:pt>
                <c:pt idx="36">
                  <c:v>0</c:v>
                </c:pt>
                <c:pt idx="37">
                  <c:v>0</c:v>
                </c:pt>
                <c:pt idx="38">
                  <c:v>0</c:v>
                </c:pt>
                <c:pt idx="39">
                  <c:v>0</c:v>
                </c:pt>
              </c:numCache>
            </c:numRef>
          </c:val>
        </c:ser>
        <c:ser>
          <c:idx val="4"/>
          <c:order val="4"/>
          <c:tx>
            <c:v>Roth conv</c:v>
          </c:tx>
          <c:spPr>
            <a:solidFill>
              <a:srgbClr val="FF4B4B"/>
            </a:solidFill>
            <a:ln w="12700">
              <a:solidFill>
                <a:srgbClr val="000000"/>
              </a:solidFill>
              <a:prstDash val="solid"/>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Base!$F$38:$AS$38</c:f>
              <c:numCache>
                <c:formatCode>_(* #,##0_);_(* \(#,##0\);_(* "-"??_);_(@_)</c:formatCode>
                <c:ptCount val="40"/>
              </c:numCache>
            </c:numRef>
          </c:val>
        </c:ser>
        <c:ser>
          <c:idx val="6"/>
          <c:order val="5"/>
          <c:tx>
            <c:v>SS Benefits</c:v>
          </c:tx>
          <c:spPr>
            <a:solidFill>
              <a:srgbClr val="00FFFF"/>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Base!$F$61:$AS$61</c:f>
              <c:numCache>
                <c:formatCode>_(* #,##0_);_(* \(#,##0\);_(* "-"??_);_(@_)</c:formatCode>
                <c:ptCount val="40"/>
                <c:pt idx="0" formatCode="#,##0_);\(#,##0\)">
                  <c:v>0</c:v>
                </c:pt>
                <c:pt idx="1">
                  <c:v>0</c:v>
                </c:pt>
                <c:pt idx="2">
                  <c:v>0</c:v>
                </c:pt>
                <c:pt idx="3">
                  <c:v>0</c:v>
                </c:pt>
                <c:pt idx="4">
                  <c:v>0</c:v>
                </c:pt>
                <c:pt idx="5">
                  <c:v>22100</c:v>
                </c:pt>
                <c:pt idx="6">
                  <c:v>22500</c:v>
                </c:pt>
                <c:pt idx="7">
                  <c:v>23000</c:v>
                </c:pt>
                <c:pt idx="8">
                  <c:v>69900</c:v>
                </c:pt>
                <c:pt idx="9">
                  <c:v>71300</c:v>
                </c:pt>
                <c:pt idx="10">
                  <c:v>72700</c:v>
                </c:pt>
                <c:pt idx="11">
                  <c:v>74200</c:v>
                </c:pt>
                <c:pt idx="12">
                  <c:v>75700</c:v>
                </c:pt>
                <c:pt idx="13">
                  <c:v>77200</c:v>
                </c:pt>
                <c:pt idx="14">
                  <c:v>78700</c:v>
                </c:pt>
                <c:pt idx="15">
                  <c:v>80200</c:v>
                </c:pt>
                <c:pt idx="16">
                  <c:v>63000</c:v>
                </c:pt>
                <c:pt idx="17">
                  <c:v>64200</c:v>
                </c:pt>
                <c:pt idx="18">
                  <c:v>65500</c:v>
                </c:pt>
                <c:pt idx="19">
                  <c:v>66800</c:v>
                </c:pt>
                <c:pt idx="20">
                  <c:v>68100</c:v>
                </c:pt>
                <c:pt idx="21">
                  <c:v>69500</c:v>
                </c:pt>
                <c:pt idx="22">
                  <c:v>70900</c:v>
                </c:pt>
                <c:pt idx="23">
                  <c:v>72300</c:v>
                </c:pt>
                <c:pt idx="24">
                  <c:v>49000</c:v>
                </c:pt>
                <c:pt idx="25">
                  <c:v>50000</c:v>
                </c:pt>
                <c:pt idx="26">
                  <c:v>51000</c:v>
                </c:pt>
                <c:pt idx="27">
                  <c:v>52000</c:v>
                </c:pt>
                <c:pt idx="28">
                  <c:v>53000</c:v>
                </c:pt>
                <c:pt idx="29">
                  <c:v>54100</c:v>
                </c:pt>
                <c:pt idx="30">
                  <c:v>0</c:v>
                </c:pt>
                <c:pt idx="31">
                  <c:v>0</c:v>
                </c:pt>
                <c:pt idx="32">
                  <c:v>0</c:v>
                </c:pt>
                <c:pt idx="33">
                  <c:v>0</c:v>
                </c:pt>
                <c:pt idx="34">
                  <c:v>0</c:v>
                </c:pt>
                <c:pt idx="35">
                  <c:v>0</c:v>
                </c:pt>
                <c:pt idx="36">
                  <c:v>0</c:v>
                </c:pt>
                <c:pt idx="37">
                  <c:v>0</c:v>
                </c:pt>
                <c:pt idx="38">
                  <c:v>0</c:v>
                </c:pt>
                <c:pt idx="39">
                  <c:v>0</c:v>
                </c:pt>
              </c:numCache>
            </c:numRef>
          </c:val>
        </c:ser>
        <c:ser>
          <c:idx val="7"/>
          <c:order val="6"/>
          <c:tx>
            <c:v>Other</c:v>
          </c:tx>
          <c:spPr>
            <a:solidFill>
              <a:srgbClr val="CC66FF"/>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Base!$F$70:$AS$70</c:f>
              <c:numCache>
                <c:formatCode>_(* #,##0_);_(* \(#,##0\);_(* "-"??_);_(@_)</c:formatCode>
                <c:ptCount val="40"/>
                <c:pt idx="0" formatCode="#,##0_);\(#,##0\)">
                  <c:v>20000</c:v>
                </c:pt>
                <c:pt idx="1">
                  <c:v>35600</c:v>
                </c:pt>
                <c:pt idx="2">
                  <c:v>21200</c:v>
                </c:pt>
                <c:pt idx="3">
                  <c:v>21900</c:v>
                </c:pt>
                <c:pt idx="4">
                  <c:v>22600</c:v>
                </c:pt>
                <c:pt idx="5">
                  <c:v>23400</c:v>
                </c:pt>
                <c:pt idx="6">
                  <c:v>24200</c:v>
                </c:pt>
                <c:pt idx="7">
                  <c:v>25000</c:v>
                </c:pt>
                <c:pt idx="8">
                  <c:v>25800</c:v>
                </c:pt>
                <c:pt idx="9">
                  <c:v>12500</c:v>
                </c:pt>
                <c:pt idx="10">
                  <c:v>12800</c:v>
                </c:pt>
                <c:pt idx="11">
                  <c:v>13100</c:v>
                </c:pt>
                <c:pt idx="12">
                  <c:v>13400</c:v>
                </c:pt>
                <c:pt idx="13">
                  <c:v>13700</c:v>
                </c:pt>
                <c:pt idx="14">
                  <c:v>14100</c:v>
                </c:pt>
                <c:pt idx="15">
                  <c:v>14500</c:v>
                </c:pt>
                <c:pt idx="16">
                  <c:v>14900</c:v>
                </c:pt>
                <c:pt idx="17">
                  <c:v>15300</c:v>
                </c:pt>
                <c:pt idx="18">
                  <c:v>15700</c:v>
                </c:pt>
                <c:pt idx="19">
                  <c:v>16100</c:v>
                </c:pt>
                <c:pt idx="20">
                  <c:v>16500</c:v>
                </c:pt>
                <c:pt idx="21">
                  <c:v>16900</c:v>
                </c:pt>
                <c:pt idx="22">
                  <c:v>17300</c:v>
                </c:pt>
                <c:pt idx="23">
                  <c:v>17800</c:v>
                </c:pt>
                <c:pt idx="24">
                  <c:v>16300</c:v>
                </c:pt>
                <c:pt idx="25">
                  <c:v>16800</c:v>
                </c:pt>
                <c:pt idx="26">
                  <c:v>17300</c:v>
                </c:pt>
                <c:pt idx="27">
                  <c:v>17800</c:v>
                </c:pt>
                <c:pt idx="28">
                  <c:v>18300</c:v>
                </c:pt>
                <c:pt idx="29">
                  <c:v>18800</c:v>
                </c:pt>
                <c:pt idx="30">
                  <c:v>0</c:v>
                </c:pt>
                <c:pt idx="31">
                  <c:v>0</c:v>
                </c:pt>
                <c:pt idx="32">
                  <c:v>0</c:v>
                </c:pt>
                <c:pt idx="33">
                  <c:v>0</c:v>
                </c:pt>
                <c:pt idx="34">
                  <c:v>0</c:v>
                </c:pt>
                <c:pt idx="35">
                  <c:v>0</c:v>
                </c:pt>
                <c:pt idx="36">
                  <c:v>0</c:v>
                </c:pt>
                <c:pt idx="37">
                  <c:v>0</c:v>
                </c:pt>
                <c:pt idx="38">
                  <c:v>0</c:v>
                </c:pt>
                <c:pt idx="39">
                  <c:v>0</c:v>
                </c:pt>
              </c:numCache>
            </c:numRef>
          </c:val>
        </c:ser>
        <c:ser>
          <c:idx val="8"/>
          <c:order val="8"/>
          <c:tx>
            <c:v>SPIA</c:v>
          </c:tx>
          <c:spPr>
            <a:solidFill>
              <a:srgbClr val="000080"/>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Base!$F$173:$AS$173</c:f>
            </c:numRef>
          </c:val>
        </c:ser>
        <c:ser>
          <c:idx val="9"/>
          <c:order val="9"/>
          <c:tx>
            <c:v>Donations</c:v>
          </c:tx>
          <c:spPr>
            <a:solidFill>
              <a:srgbClr val="FF00FF"/>
            </a:solidFill>
            <a:ln w="12700">
              <a:solidFill>
                <a:srgbClr val="000000"/>
              </a:solidFill>
              <a:prstDash val="solid"/>
            </a:ln>
          </c:spPr>
          <c:invertIfNegative val="0"/>
          <c:val>
            <c:numRef>
              <c:f>Base!$F$137:$AS$137</c:f>
              <c:numCache>
                <c:formatCode>_(* #,##0_);_(* \(#,##0\);_(* "-"??_);_(@_)</c:formatCode>
                <c:ptCount val="40"/>
                <c:pt idx="0" formatCode="#,##0_);\(#,##0\)">
                  <c:v>0</c:v>
                </c:pt>
                <c:pt idx="1">
                  <c:v>0</c:v>
                </c:pt>
                <c:pt idx="2">
                  <c:v>0</c:v>
                </c:pt>
                <c:pt idx="3">
                  <c:v>0</c:v>
                </c:pt>
                <c:pt idx="4">
                  <c:v>0</c:v>
                </c:pt>
                <c:pt idx="5">
                  <c:v>0</c:v>
                </c:pt>
                <c:pt idx="6">
                  <c:v>0</c:v>
                </c:pt>
                <c:pt idx="7">
                  <c:v>0</c:v>
                </c:pt>
                <c:pt idx="8">
                  <c:v>0</c:v>
                </c:pt>
                <c:pt idx="9">
                  <c:v>-15000</c:v>
                </c:pt>
                <c:pt idx="10">
                  <c:v>-15000</c:v>
                </c:pt>
                <c:pt idx="11">
                  <c:v>-15000</c:v>
                </c:pt>
                <c:pt idx="12">
                  <c:v>-15000</c:v>
                </c:pt>
                <c:pt idx="13">
                  <c:v>-15000</c:v>
                </c:pt>
                <c:pt idx="14">
                  <c:v>0</c:v>
                </c:pt>
                <c:pt idx="15">
                  <c:v>0</c:v>
                </c:pt>
                <c:pt idx="16">
                  <c:v>0</c:v>
                </c:pt>
                <c:pt idx="17">
                  <c:v>0</c:v>
                </c:pt>
                <c:pt idx="18">
                  <c:v>-5000</c:v>
                </c:pt>
                <c:pt idx="19">
                  <c:v>-5000</c:v>
                </c:pt>
                <c:pt idx="20">
                  <c:v>-5000</c:v>
                </c:pt>
                <c:pt idx="21">
                  <c:v>-5000</c:v>
                </c:pt>
                <c:pt idx="22">
                  <c:v>-5000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50"/>
        <c:overlap val="100"/>
        <c:axId val="2116842224"/>
        <c:axId val="2116845488"/>
      </c:barChart>
      <c:lineChart>
        <c:grouping val="standard"/>
        <c:varyColors val="0"/>
        <c:ser>
          <c:idx val="5"/>
          <c:order val="7"/>
          <c:tx>
            <c:v>Expenses</c:v>
          </c:tx>
          <c:spPr>
            <a:ln w="19050">
              <a:noFill/>
            </a:ln>
          </c:spPr>
          <c:marker>
            <c:symbol val="dash"/>
            <c:size val="12"/>
            <c:spPr>
              <a:solidFill>
                <a:srgbClr val="FF0000"/>
              </a:solidFill>
              <a:ln>
                <a:solidFill>
                  <a:srgbClr val="FF0000"/>
                </a:solidFill>
                <a:prstDash val="solid"/>
              </a:ln>
            </c:spPr>
          </c:marker>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Base!$F$146:$AS$146</c:f>
              <c:numCache>
                <c:formatCode>_(* #,##0_);_(* \(#,##0\);_(* "-"??_);_(@_)</c:formatCode>
                <c:ptCount val="40"/>
                <c:pt idx="0" formatCode="#,##0_);\(#,##0\)">
                  <c:v>75000</c:v>
                </c:pt>
                <c:pt idx="1">
                  <c:v>78800</c:v>
                </c:pt>
                <c:pt idx="2">
                  <c:v>77800</c:v>
                </c:pt>
                <c:pt idx="3">
                  <c:v>79400</c:v>
                </c:pt>
                <c:pt idx="4">
                  <c:v>81000</c:v>
                </c:pt>
                <c:pt idx="5">
                  <c:v>84900</c:v>
                </c:pt>
                <c:pt idx="6">
                  <c:v>86400</c:v>
                </c:pt>
                <c:pt idx="7">
                  <c:v>89500</c:v>
                </c:pt>
                <c:pt idx="8">
                  <c:v>86700</c:v>
                </c:pt>
                <c:pt idx="9">
                  <c:v>88400</c:v>
                </c:pt>
                <c:pt idx="10">
                  <c:v>90200</c:v>
                </c:pt>
                <c:pt idx="11">
                  <c:v>92300</c:v>
                </c:pt>
                <c:pt idx="12">
                  <c:v>95500</c:v>
                </c:pt>
                <c:pt idx="13">
                  <c:v>97800</c:v>
                </c:pt>
                <c:pt idx="14">
                  <c:v>103000</c:v>
                </c:pt>
                <c:pt idx="15">
                  <c:v>106700</c:v>
                </c:pt>
                <c:pt idx="16">
                  <c:v>108300</c:v>
                </c:pt>
                <c:pt idx="17">
                  <c:v>110600</c:v>
                </c:pt>
                <c:pt idx="18">
                  <c:v>131500</c:v>
                </c:pt>
                <c:pt idx="19">
                  <c:v>134100</c:v>
                </c:pt>
                <c:pt idx="20">
                  <c:v>137000</c:v>
                </c:pt>
                <c:pt idx="21">
                  <c:v>140200</c:v>
                </c:pt>
                <c:pt idx="22">
                  <c:v>147500</c:v>
                </c:pt>
                <c:pt idx="23">
                  <c:v>151800</c:v>
                </c:pt>
                <c:pt idx="24">
                  <c:v>159300</c:v>
                </c:pt>
                <c:pt idx="25">
                  <c:v>163000</c:v>
                </c:pt>
                <c:pt idx="26">
                  <c:v>166200</c:v>
                </c:pt>
                <c:pt idx="27">
                  <c:v>166900</c:v>
                </c:pt>
                <c:pt idx="28">
                  <c:v>169700</c:v>
                </c:pt>
                <c:pt idx="29">
                  <c:v>173100</c:v>
                </c:pt>
                <c:pt idx="30">
                  <c:v>0</c:v>
                </c:pt>
                <c:pt idx="31">
                  <c:v>0</c:v>
                </c:pt>
                <c:pt idx="32">
                  <c:v>0</c:v>
                </c:pt>
                <c:pt idx="33">
                  <c:v>0</c:v>
                </c:pt>
                <c:pt idx="34">
                  <c:v>0</c:v>
                </c:pt>
                <c:pt idx="35">
                  <c:v>0</c:v>
                </c:pt>
                <c:pt idx="36">
                  <c:v>0</c:v>
                </c:pt>
                <c:pt idx="37">
                  <c:v>0</c:v>
                </c:pt>
                <c:pt idx="38">
                  <c:v>0</c:v>
                </c:pt>
                <c:pt idx="39">
                  <c:v>0</c:v>
                </c:pt>
              </c:numCache>
            </c:numRef>
          </c:val>
          <c:smooth val="0"/>
        </c:ser>
        <c:dLbls>
          <c:showLegendKey val="0"/>
          <c:showVal val="0"/>
          <c:showCatName val="0"/>
          <c:showSerName val="0"/>
          <c:showPercent val="0"/>
          <c:showBubbleSize val="0"/>
        </c:dLbls>
        <c:marker val="1"/>
        <c:smooth val="0"/>
        <c:axId val="2116842224"/>
        <c:axId val="2116845488"/>
      </c:lineChart>
      <c:catAx>
        <c:axId val="2116842224"/>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16845488"/>
        <c:crosses val="autoZero"/>
        <c:auto val="0"/>
        <c:lblAlgn val="ctr"/>
        <c:lblOffset val="100"/>
        <c:tickLblSkip val="3"/>
        <c:tickMarkSkip val="1"/>
        <c:noMultiLvlLbl val="0"/>
      </c:catAx>
      <c:valAx>
        <c:axId val="2116845488"/>
        <c:scaling>
          <c:orientation val="minMax"/>
          <c:min val="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6842224"/>
        <c:crosses val="autoZero"/>
        <c:crossBetween val="between"/>
        <c:dispUnits>
          <c:builtInUnit val="thousands"/>
          <c:dispUnitsLbl>
            <c:layout>
              <c:manualLayout>
                <c:xMode val="edge"/>
                <c:yMode val="edge"/>
                <c:x val="1.2786526684164478E-2"/>
                <c:y val="0.38499650043744538"/>
              </c:manualLayout>
            </c:layout>
            <c:txPr>
              <a:bodyPr/>
              <a:lstStyle/>
              <a:p>
                <a:pPr>
                  <a:defRPr sz="1000"/>
                </a:pPr>
                <a:endParaRPr lang="en-US"/>
              </a:p>
            </c:txPr>
          </c:dispUnitsLbl>
        </c:dispUnits>
      </c:valAx>
      <c:spPr>
        <a:solidFill>
          <a:srgbClr val="FFFFFF"/>
        </a:solidFill>
        <a:ln w="12700">
          <a:solidFill>
            <a:srgbClr val="808080"/>
          </a:solidFill>
          <a:prstDash val="solid"/>
        </a:ln>
      </c:spPr>
    </c:plotArea>
    <c:legend>
      <c:legendPos val="b"/>
      <c:legendEntry>
        <c:idx val="4"/>
        <c:delete val="1"/>
      </c:legendEntry>
      <c:layout>
        <c:manualLayout>
          <c:xMode val="edge"/>
          <c:yMode val="edge"/>
          <c:x val="0.12430420462148117"/>
          <c:y val="0.11058289357593515"/>
          <c:w val="0.84453991045236998"/>
          <c:h val="0.16242038495188102"/>
        </c:manualLayout>
      </c:layout>
      <c:overlay val="0"/>
      <c:spPr>
        <a:solidFill>
          <a:schemeClr val="accent3">
            <a:lumMod val="20000"/>
            <a:lumOff val="80000"/>
          </a:schemeClr>
        </a:solid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accent3">
        <a:lumMod val="20000"/>
        <a:lumOff val="80000"/>
      </a:schemeClr>
    </a:solidFill>
    <a:ln w="6350">
      <a:noFill/>
    </a:ln>
  </c:spPr>
  <c:txPr>
    <a:bodyPr/>
    <a:lstStyle/>
    <a:p>
      <a:pPr>
        <a:defRPr sz="14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Federal Income Taxes - Base</a:t>
            </a:r>
          </a:p>
        </c:rich>
      </c:tx>
      <c:layout>
        <c:manualLayout>
          <c:xMode val="edge"/>
          <c:yMode val="edge"/>
          <c:x val="0.27633874133608949"/>
          <c:y val="2.3569023569023573E-2"/>
        </c:manualLayout>
      </c:layout>
      <c:overlay val="0"/>
      <c:spPr>
        <a:noFill/>
        <a:ln w="25400">
          <a:noFill/>
        </a:ln>
      </c:spPr>
    </c:title>
    <c:autoTitleDeleted val="0"/>
    <c:plotArea>
      <c:layout>
        <c:manualLayout>
          <c:layoutTarget val="inner"/>
          <c:xMode val="edge"/>
          <c:yMode val="edge"/>
          <c:x val="0.13644228545382059"/>
          <c:y val="0.18855304102361969"/>
          <c:w val="0.84456047578377569"/>
          <c:h val="0.64646756922383897"/>
        </c:manualLayout>
      </c:layout>
      <c:barChart>
        <c:barDir val="col"/>
        <c:grouping val="clustered"/>
        <c:varyColors val="0"/>
        <c:ser>
          <c:idx val="1"/>
          <c:order val="0"/>
          <c:tx>
            <c:v>Base</c:v>
          </c:tx>
          <c:spPr>
            <a:solidFill>
              <a:srgbClr val="0000FF"/>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Results!$F$332:$AU$332</c:f>
              <c:numCache>
                <c:formatCode>_(* #,##0_);_(* \(#,##0\);_(* "-"??_);_(@_)</c:formatCode>
                <c:ptCount val="41"/>
                <c:pt idx="0" formatCode="#,##0_);\(#,##0\)">
                  <c:v>3900</c:v>
                </c:pt>
                <c:pt idx="1">
                  <c:v>5800</c:v>
                </c:pt>
                <c:pt idx="2">
                  <c:v>4000</c:v>
                </c:pt>
                <c:pt idx="3">
                  <c:v>4100</c:v>
                </c:pt>
                <c:pt idx="4">
                  <c:v>4100</c:v>
                </c:pt>
                <c:pt idx="5">
                  <c:v>6500</c:v>
                </c:pt>
                <c:pt idx="6">
                  <c:v>6500</c:v>
                </c:pt>
                <c:pt idx="7">
                  <c:v>7100</c:v>
                </c:pt>
                <c:pt idx="8">
                  <c:v>4100</c:v>
                </c:pt>
                <c:pt idx="9">
                  <c:v>4200</c:v>
                </c:pt>
                <c:pt idx="10">
                  <c:v>4300</c:v>
                </c:pt>
                <c:pt idx="11">
                  <c:v>4600</c:v>
                </c:pt>
                <c:pt idx="12">
                  <c:v>5900</c:v>
                </c:pt>
                <c:pt idx="13">
                  <c:v>6300</c:v>
                </c:pt>
                <c:pt idx="14">
                  <c:v>9300</c:v>
                </c:pt>
                <c:pt idx="15">
                  <c:v>10900</c:v>
                </c:pt>
                <c:pt idx="16">
                  <c:v>10200</c:v>
                </c:pt>
                <c:pt idx="17">
                  <c:v>10500</c:v>
                </c:pt>
                <c:pt idx="18">
                  <c:v>9700</c:v>
                </c:pt>
                <c:pt idx="19">
                  <c:v>9900</c:v>
                </c:pt>
                <c:pt idx="20">
                  <c:v>10300</c:v>
                </c:pt>
                <c:pt idx="21">
                  <c:v>10800</c:v>
                </c:pt>
                <c:pt idx="22">
                  <c:v>11200</c:v>
                </c:pt>
                <c:pt idx="23">
                  <c:v>12200</c:v>
                </c:pt>
                <c:pt idx="24">
                  <c:v>17200</c:v>
                </c:pt>
                <c:pt idx="25">
                  <c:v>17900</c:v>
                </c:pt>
                <c:pt idx="26">
                  <c:v>18200</c:v>
                </c:pt>
                <c:pt idx="27">
                  <c:v>16600</c:v>
                </c:pt>
                <c:pt idx="28">
                  <c:v>16500</c:v>
                </c:pt>
                <c:pt idx="29">
                  <c:v>16800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50"/>
        <c:axId val="2116841680"/>
        <c:axId val="2116847664"/>
      </c:barChart>
      <c:catAx>
        <c:axId val="2116841680"/>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16847664"/>
        <c:crosses val="autoZero"/>
        <c:auto val="1"/>
        <c:lblAlgn val="ctr"/>
        <c:lblOffset val="100"/>
        <c:tickLblSkip val="3"/>
        <c:tickMarkSkip val="1"/>
        <c:noMultiLvlLbl val="0"/>
      </c:catAx>
      <c:valAx>
        <c:axId val="2116847664"/>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6841680"/>
        <c:crosses val="autoZero"/>
        <c:crossBetween val="between"/>
        <c:dispUnits>
          <c:builtInUnit val="thousands"/>
          <c:dispUnitsLbl>
            <c:layout>
              <c:manualLayout>
                <c:xMode val="edge"/>
                <c:yMode val="edge"/>
                <c:x val="1.1649442257217847E-2"/>
                <c:y val="0.34550393700787402"/>
              </c:manualLayout>
            </c:layout>
            <c:txPr>
              <a:bodyPr/>
              <a:lstStyle/>
              <a:p>
                <a:pPr>
                  <a:defRPr sz="1000"/>
                </a:pPr>
                <a:endParaRPr lang="en-US"/>
              </a:p>
            </c:txPr>
          </c:dispUnitsLbl>
        </c:dispUnits>
      </c:valAx>
      <c:spPr>
        <a:solidFill>
          <a:srgbClr val="FFFFFF"/>
        </a:solidFill>
        <a:ln w="12700">
          <a:solidFill>
            <a:srgbClr val="808080"/>
          </a:solidFill>
          <a:prstDash val="solid"/>
        </a:ln>
      </c:spPr>
    </c:plotArea>
    <c:plotVisOnly val="1"/>
    <c:dispBlanksAs val="gap"/>
    <c:showDLblsOverMax val="0"/>
  </c:chart>
  <c:spPr>
    <a:solidFill>
      <a:schemeClr val="accent3">
        <a:lumMod val="20000"/>
        <a:lumOff val="80000"/>
      </a:schemeClr>
    </a:solidFill>
    <a:ln w="6350">
      <a:noFill/>
    </a:ln>
  </c:spPr>
  <c:txPr>
    <a:bodyPr/>
    <a:lstStyle/>
    <a:p>
      <a:pPr>
        <a:defRPr sz="8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Average Tax Rates - Base</a:t>
            </a:r>
          </a:p>
        </c:rich>
      </c:tx>
      <c:layout>
        <c:manualLayout>
          <c:xMode val="edge"/>
          <c:yMode val="edge"/>
          <c:x val="0.29076620825147348"/>
          <c:y val="2.7777777777777776E-2"/>
        </c:manualLayout>
      </c:layout>
      <c:overlay val="0"/>
      <c:spPr>
        <a:noFill/>
        <a:ln w="25400">
          <a:noFill/>
        </a:ln>
      </c:spPr>
    </c:title>
    <c:autoTitleDeleted val="0"/>
    <c:plotArea>
      <c:layout>
        <c:manualLayout>
          <c:layoutTarget val="inner"/>
          <c:xMode val="edge"/>
          <c:yMode val="edge"/>
          <c:x val="0.16860520958075334"/>
          <c:y val="0.20547953795531304"/>
          <c:w val="0.78488632046212758"/>
          <c:h val="0.60958929593409539"/>
        </c:manualLayout>
      </c:layout>
      <c:lineChart>
        <c:grouping val="standard"/>
        <c:varyColors val="0"/>
        <c:ser>
          <c:idx val="2"/>
          <c:order val="0"/>
          <c:tx>
            <c:v>Base</c:v>
          </c:tx>
          <c:spPr>
            <a:ln w="19050">
              <a:noFill/>
            </a:ln>
          </c:spPr>
          <c:marker>
            <c:symbol val="square"/>
            <c:size val="5"/>
            <c:spPr>
              <a:solidFill>
                <a:srgbClr val="0000FF"/>
              </a:solidFill>
              <a:ln>
                <a:solidFill>
                  <a:srgbClr val="0000FF"/>
                </a:solidFill>
                <a:prstDash val="solid"/>
              </a:ln>
            </c:spPr>
          </c:marker>
          <c:cat>
            <c:numRef>
              <c:f>Results!$F$1:$AS$1</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Base!$F$203:$AS$203</c:f>
              <c:numCache>
                <c:formatCode>0.0%</c:formatCode>
                <c:ptCount val="40"/>
                <c:pt idx="0">
                  <c:v>0.1092436974789916</c:v>
                </c:pt>
                <c:pt idx="1">
                  <c:v>0.11350293542074363</c:v>
                </c:pt>
                <c:pt idx="2">
                  <c:v>0.10928961748633879</c:v>
                </c:pt>
                <c:pt idx="3">
                  <c:v>0.11021505376344086</c:v>
                </c:pt>
                <c:pt idx="4">
                  <c:v>0.10846560846560846</c:v>
                </c:pt>
                <c:pt idx="5">
                  <c:v>0.11363636363636363</c:v>
                </c:pt>
                <c:pt idx="6">
                  <c:v>0.11168384879725086</c:v>
                </c:pt>
                <c:pt idx="7">
                  <c:v>0.1126984126984127</c:v>
                </c:pt>
                <c:pt idx="8">
                  <c:v>0.10875331564986737</c:v>
                </c:pt>
                <c:pt idx="9">
                  <c:v>0.10824742268041238</c:v>
                </c:pt>
                <c:pt idx="10">
                  <c:v>0.10723192019950124</c:v>
                </c:pt>
                <c:pt idx="11">
                  <c:v>0.10874704491725769</c:v>
                </c:pt>
                <c:pt idx="12">
                  <c:v>0.11090225563909774</c:v>
                </c:pt>
                <c:pt idx="13">
                  <c:v>0.1111111111111111</c:v>
                </c:pt>
                <c:pt idx="14">
                  <c:v>0.11286407766990292</c:v>
                </c:pt>
                <c:pt idx="15">
                  <c:v>0.11401673640167365</c:v>
                </c:pt>
                <c:pt idx="16">
                  <c:v>0.11434977578475336</c:v>
                </c:pt>
                <c:pt idx="17">
                  <c:v>0.11375947995666305</c:v>
                </c:pt>
                <c:pt idx="18">
                  <c:v>0.11318553092182031</c:v>
                </c:pt>
                <c:pt idx="19">
                  <c:v>0.11314285714285714</c:v>
                </c:pt>
                <c:pt idx="20">
                  <c:v>0.11356119073869901</c:v>
                </c:pt>
                <c:pt idx="21">
                  <c:v>0.11440677966101695</c:v>
                </c:pt>
                <c:pt idx="22">
                  <c:v>0.11370558375634518</c:v>
                </c:pt>
                <c:pt idx="23">
                  <c:v>0.11380597014925373</c:v>
                </c:pt>
                <c:pt idx="24">
                  <c:v>0.1565059144676979</c:v>
                </c:pt>
                <c:pt idx="25">
                  <c:v>0.15743183817062445</c:v>
                </c:pt>
                <c:pt idx="26">
                  <c:v>0.15716753022452504</c:v>
                </c:pt>
                <c:pt idx="27">
                  <c:v>0.15229357798165138</c:v>
                </c:pt>
                <c:pt idx="28">
                  <c:v>0.15054744525547445</c:v>
                </c:pt>
                <c:pt idx="29">
                  <c:v>0.15013404825737264</c:v>
                </c:pt>
                <c:pt idx="30">
                  <c:v>0</c:v>
                </c:pt>
                <c:pt idx="31">
                  <c:v>0</c:v>
                </c:pt>
                <c:pt idx="32">
                  <c:v>0</c:v>
                </c:pt>
                <c:pt idx="33">
                  <c:v>0</c:v>
                </c:pt>
                <c:pt idx="34">
                  <c:v>0</c:v>
                </c:pt>
                <c:pt idx="35">
                  <c:v>0</c:v>
                </c:pt>
                <c:pt idx="36">
                  <c:v>0</c:v>
                </c:pt>
                <c:pt idx="37">
                  <c:v>0</c:v>
                </c:pt>
                <c:pt idx="38">
                  <c:v>0</c:v>
                </c:pt>
                <c:pt idx="39">
                  <c:v>0</c:v>
                </c:pt>
              </c:numCache>
            </c:numRef>
          </c:val>
          <c:smooth val="0"/>
        </c:ser>
        <c:dLbls>
          <c:showLegendKey val="0"/>
          <c:showVal val="0"/>
          <c:showCatName val="0"/>
          <c:showSerName val="0"/>
          <c:showPercent val="0"/>
          <c:showBubbleSize val="0"/>
        </c:dLbls>
        <c:marker val="1"/>
        <c:smooth val="0"/>
        <c:axId val="2116846032"/>
        <c:axId val="2116842768"/>
      </c:lineChart>
      <c:catAx>
        <c:axId val="2116846032"/>
        <c:scaling>
          <c:orientation val="minMax"/>
        </c:scaling>
        <c:delete val="0"/>
        <c:axPos val="b"/>
        <c:numFmt formatCode="0" sourceLinked="0"/>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16842768"/>
        <c:crosses val="autoZero"/>
        <c:auto val="0"/>
        <c:lblAlgn val="ctr"/>
        <c:lblOffset val="100"/>
        <c:tickLblSkip val="3"/>
        <c:tickMarkSkip val="1"/>
        <c:noMultiLvlLbl val="0"/>
      </c:catAx>
      <c:valAx>
        <c:axId val="2116842768"/>
        <c:scaling>
          <c:orientation val="minMax"/>
          <c:max val="0.35"/>
        </c:scaling>
        <c:delete val="0"/>
        <c:axPos val="l"/>
        <c:majorGridlines>
          <c:spPr>
            <a:ln w="12700">
              <a:solidFill>
                <a:srgbClr val="C0C0C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6846032"/>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chemeClr val="accent3">
        <a:lumMod val="20000"/>
        <a:lumOff val="80000"/>
      </a:schemeClr>
    </a:solid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Marginal Tax Rates - Base</a:t>
            </a:r>
          </a:p>
        </c:rich>
      </c:tx>
      <c:layout>
        <c:manualLayout>
          <c:xMode val="edge"/>
          <c:yMode val="edge"/>
          <c:x val="0.28952405949256343"/>
          <c:y val="4.7138047138047146E-2"/>
        </c:manualLayout>
      </c:layout>
      <c:overlay val="0"/>
      <c:spPr>
        <a:noFill/>
        <a:ln w="25400">
          <a:noFill/>
        </a:ln>
      </c:spPr>
    </c:title>
    <c:autoTitleDeleted val="0"/>
    <c:plotArea>
      <c:layout>
        <c:manualLayout>
          <c:layoutTarget val="inner"/>
          <c:xMode val="edge"/>
          <c:yMode val="edge"/>
          <c:x val="0.16761912556692971"/>
          <c:y val="0.20875515256186467"/>
          <c:w val="0.78666703249024961"/>
          <c:h val="0.62912729658792654"/>
        </c:manualLayout>
      </c:layout>
      <c:lineChart>
        <c:grouping val="standard"/>
        <c:varyColors val="0"/>
        <c:ser>
          <c:idx val="0"/>
          <c:order val="0"/>
          <c:tx>
            <c:v>Base</c:v>
          </c:tx>
          <c:spPr>
            <a:ln w="19050">
              <a:noFill/>
            </a:ln>
          </c:spPr>
          <c:marker>
            <c:symbol val="square"/>
            <c:size val="5"/>
            <c:spPr>
              <a:solidFill>
                <a:srgbClr val="0000FF"/>
              </a:solidFill>
              <a:ln>
                <a:solidFill>
                  <a:srgbClr val="0000FF"/>
                </a:solidFill>
                <a:prstDash val="solid"/>
              </a:ln>
            </c:spPr>
          </c:marker>
          <c:cat>
            <c:numRef>
              <c:f>Results!$F$1:$AS$1</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Base!$F$204:$AS$204</c:f>
              <c:numCache>
                <c:formatCode>0.0%</c:formatCode>
                <c:ptCount val="40"/>
                <c:pt idx="0">
                  <c:v>0.12</c:v>
                </c:pt>
                <c:pt idx="1">
                  <c:v>0.12</c:v>
                </c:pt>
                <c:pt idx="2">
                  <c:v>0.12</c:v>
                </c:pt>
                <c:pt idx="3">
                  <c:v>0.12</c:v>
                </c:pt>
                <c:pt idx="4">
                  <c:v>0.12</c:v>
                </c:pt>
                <c:pt idx="5">
                  <c:v>0.12</c:v>
                </c:pt>
                <c:pt idx="6">
                  <c:v>0.12</c:v>
                </c:pt>
                <c:pt idx="7">
                  <c:v>0.12</c:v>
                </c:pt>
                <c:pt idx="8">
                  <c:v>0.12</c:v>
                </c:pt>
                <c:pt idx="9">
                  <c:v>0.12</c:v>
                </c:pt>
                <c:pt idx="10">
                  <c:v>0.12</c:v>
                </c:pt>
                <c:pt idx="11">
                  <c:v>0.12</c:v>
                </c:pt>
                <c:pt idx="12">
                  <c:v>0.12</c:v>
                </c:pt>
                <c:pt idx="13">
                  <c:v>0.12</c:v>
                </c:pt>
                <c:pt idx="14">
                  <c:v>0.12</c:v>
                </c:pt>
                <c:pt idx="15">
                  <c:v>0.12</c:v>
                </c:pt>
                <c:pt idx="16">
                  <c:v>0.12</c:v>
                </c:pt>
                <c:pt idx="17">
                  <c:v>0.12</c:v>
                </c:pt>
                <c:pt idx="18">
                  <c:v>0.12</c:v>
                </c:pt>
                <c:pt idx="19">
                  <c:v>0.12</c:v>
                </c:pt>
                <c:pt idx="20">
                  <c:v>0.12</c:v>
                </c:pt>
                <c:pt idx="21">
                  <c:v>0.12</c:v>
                </c:pt>
                <c:pt idx="22">
                  <c:v>0.12</c:v>
                </c:pt>
                <c:pt idx="23">
                  <c:v>0.12</c:v>
                </c:pt>
                <c:pt idx="24">
                  <c:v>0.22</c:v>
                </c:pt>
                <c:pt idx="25">
                  <c:v>0.22</c:v>
                </c:pt>
                <c:pt idx="26">
                  <c:v>0.22</c:v>
                </c:pt>
                <c:pt idx="27">
                  <c:v>0.22</c:v>
                </c:pt>
                <c:pt idx="28">
                  <c:v>0.22</c:v>
                </c:pt>
                <c:pt idx="29">
                  <c:v>0.22</c:v>
                </c:pt>
                <c:pt idx="30">
                  <c:v>0</c:v>
                </c:pt>
                <c:pt idx="31">
                  <c:v>0</c:v>
                </c:pt>
                <c:pt idx="32">
                  <c:v>0</c:v>
                </c:pt>
                <c:pt idx="33">
                  <c:v>0</c:v>
                </c:pt>
                <c:pt idx="34">
                  <c:v>0</c:v>
                </c:pt>
                <c:pt idx="35">
                  <c:v>0</c:v>
                </c:pt>
                <c:pt idx="36">
                  <c:v>0</c:v>
                </c:pt>
                <c:pt idx="37">
                  <c:v>0</c:v>
                </c:pt>
                <c:pt idx="38">
                  <c:v>0</c:v>
                </c:pt>
                <c:pt idx="39">
                  <c:v>0</c:v>
                </c:pt>
              </c:numCache>
            </c:numRef>
          </c:val>
          <c:smooth val="0"/>
        </c:ser>
        <c:dLbls>
          <c:showLegendKey val="0"/>
          <c:showVal val="0"/>
          <c:showCatName val="0"/>
          <c:showSerName val="0"/>
          <c:showPercent val="0"/>
          <c:showBubbleSize val="0"/>
        </c:dLbls>
        <c:marker val="1"/>
        <c:smooth val="0"/>
        <c:axId val="2116846576"/>
        <c:axId val="359254800"/>
      </c:lineChart>
      <c:catAx>
        <c:axId val="2116846576"/>
        <c:scaling>
          <c:orientation val="minMax"/>
        </c:scaling>
        <c:delete val="0"/>
        <c:axPos val="b"/>
        <c:numFmt formatCode="0" sourceLinked="0"/>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359254800"/>
        <c:crosses val="autoZero"/>
        <c:auto val="0"/>
        <c:lblAlgn val="ctr"/>
        <c:lblOffset val="100"/>
        <c:tickLblSkip val="3"/>
        <c:tickMarkSkip val="1"/>
        <c:noMultiLvlLbl val="0"/>
      </c:catAx>
      <c:valAx>
        <c:axId val="359254800"/>
        <c:scaling>
          <c:orientation val="minMax"/>
          <c:max val="0.35"/>
        </c:scaling>
        <c:delete val="0"/>
        <c:axPos val="l"/>
        <c:majorGridlines>
          <c:spPr>
            <a:ln w="12700">
              <a:solidFill>
                <a:srgbClr val="C0C0C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2116846576"/>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chemeClr val="accent3">
        <a:lumMod val="20000"/>
        <a:lumOff val="80000"/>
      </a:schemeClr>
    </a:solid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State Income Tax - Base</a:t>
            </a:r>
          </a:p>
        </c:rich>
      </c:tx>
      <c:layout>
        <c:manualLayout>
          <c:xMode val="edge"/>
          <c:yMode val="edge"/>
          <c:x val="0.27678969816272964"/>
          <c:y val="3.0303149606299214E-2"/>
        </c:manualLayout>
      </c:layout>
      <c:overlay val="0"/>
      <c:spPr>
        <a:noFill/>
        <a:ln w="25400">
          <a:noFill/>
        </a:ln>
      </c:spPr>
    </c:title>
    <c:autoTitleDeleted val="0"/>
    <c:plotArea>
      <c:layout>
        <c:manualLayout>
          <c:layoutTarget val="inner"/>
          <c:xMode val="edge"/>
          <c:yMode val="edge"/>
          <c:x val="0.16443644540441224"/>
          <c:y val="0.19528707820303465"/>
          <c:w val="0.81644607194981422"/>
          <c:h val="0.6481509186351706"/>
        </c:manualLayout>
      </c:layout>
      <c:barChart>
        <c:barDir val="col"/>
        <c:grouping val="clustered"/>
        <c:varyColors val="0"/>
        <c:ser>
          <c:idx val="0"/>
          <c:order val="0"/>
          <c:tx>
            <c:v>Base</c:v>
          </c:tx>
          <c:spPr>
            <a:solidFill>
              <a:srgbClr val="0000FF"/>
            </a:solidFill>
            <a:ln w="25400">
              <a:noFill/>
            </a:ln>
          </c:spPr>
          <c:invertIfNegative val="0"/>
          <c:cat>
            <c:numRef>
              <c:f>Results!$F$1:$AS$1</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Base!$F$227:$AS$227</c:f>
              <c:numCache>
                <c:formatCode>_(* #,##0_);_(* \(#,##0\);_(* "-"??_);_(@_)</c:formatCode>
                <c:ptCount val="40"/>
                <c:pt idx="0" formatCode="#,##0_);\(#,##0\)">
                  <c:v>1100</c:v>
                </c:pt>
                <c:pt idx="1">
                  <c:v>1600</c:v>
                </c:pt>
                <c:pt idx="2">
                  <c:v>1000</c:v>
                </c:pt>
                <c:pt idx="3">
                  <c:v>1000</c:v>
                </c:pt>
                <c:pt idx="4">
                  <c:v>1100</c:v>
                </c:pt>
                <c:pt idx="5">
                  <c:v>1100</c:v>
                </c:pt>
                <c:pt idx="6">
                  <c:v>1100</c:v>
                </c:pt>
                <c:pt idx="7">
                  <c:v>2000</c:v>
                </c:pt>
                <c:pt idx="8">
                  <c:v>600</c:v>
                </c:pt>
                <c:pt idx="9">
                  <c:v>600</c:v>
                </c:pt>
                <c:pt idx="10">
                  <c:v>600</c:v>
                </c:pt>
                <c:pt idx="11">
                  <c:v>700</c:v>
                </c:pt>
                <c:pt idx="12">
                  <c:v>900</c:v>
                </c:pt>
                <c:pt idx="13">
                  <c:v>1000</c:v>
                </c:pt>
                <c:pt idx="14">
                  <c:v>1400</c:v>
                </c:pt>
                <c:pt idx="15">
                  <c:v>1700</c:v>
                </c:pt>
                <c:pt idx="16">
                  <c:v>2100</c:v>
                </c:pt>
                <c:pt idx="17">
                  <c:v>2200</c:v>
                </c:pt>
                <c:pt idx="18">
                  <c:v>2000</c:v>
                </c:pt>
                <c:pt idx="19">
                  <c:v>2000</c:v>
                </c:pt>
                <c:pt idx="20">
                  <c:v>2100</c:v>
                </c:pt>
                <c:pt idx="21">
                  <c:v>2300</c:v>
                </c:pt>
                <c:pt idx="22">
                  <c:v>6700</c:v>
                </c:pt>
                <c:pt idx="23">
                  <c:v>7400</c:v>
                </c:pt>
                <c:pt idx="24">
                  <c:v>7300</c:v>
                </c:pt>
                <c:pt idx="25">
                  <c:v>7600</c:v>
                </c:pt>
                <c:pt idx="26">
                  <c:v>7700</c:v>
                </c:pt>
                <c:pt idx="27">
                  <c:v>7200</c:v>
                </c:pt>
                <c:pt idx="28">
                  <c:v>7200</c:v>
                </c:pt>
                <c:pt idx="29">
                  <c:v>7400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50"/>
        <c:axId val="359253712"/>
        <c:axId val="359252624"/>
      </c:barChart>
      <c:catAx>
        <c:axId val="359253712"/>
        <c:scaling>
          <c:orientation val="minMax"/>
        </c:scaling>
        <c:delete val="0"/>
        <c:axPos val="b"/>
        <c:numFmt formatCode="0" sourceLinked="0"/>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359252624"/>
        <c:crosses val="autoZero"/>
        <c:auto val="0"/>
        <c:lblAlgn val="ctr"/>
        <c:lblOffset val="100"/>
        <c:tickLblSkip val="3"/>
        <c:tickMarkSkip val="1"/>
        <c:noMultiLvlLbl val="0"/>
      </c:catAx>
      <c:valAx>
        <c:axId val="359252624"/>
        <c:scaling>
          <c:orientation val="minMax"/>
        </c:scaling>
        <c:delete val="0"/>
        <c:axPos val="l"/>
        <c:majorGridlines>
          <c:spPr>
            <a:ln w="12700">
              <a:solidFill>
                <a:srgbClr val="C0C0C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359253712"/>
        <c:crosses val="autoZero"/>
        <c:crossBetween val="between"/>
        <c:dispUnits>
          <c:builtInUnit val="thousands"/>
          <c:dispUnitsLbl>
            <c:layout>
              <c:manualLayout>
                <c:xMode val="edge"/>
                <c:yMode val="edge"/>
                <c:x val="2.03704615048119E-2"/>
                <c:y val="0.33979571303587053"/>
              </c:manualLayout>
            </c:layout>
            <c:txPr>
              <a:bodyPr/>
              <a:lstStyle/>
              <a:p>
                <a:pPr>
                  <a:defRPr sz="1000"/>
                </a:pPr>
                <a:endParaRPr lang="en-US"/>
              </a:p>
            </c:txPr>
          </c:dispUnitsLbl>
        </c:dispUnits>
      </c:valAx>
      <c:spPr>
        <a:solidFill>
          <a:srgbClr val="FFFFFF"/>
        </a:solidFill>
        <a:ln w="12700">
          <a:solidFill>
            <a:srgbClr val="808080"/>
          </a:solidFill>
          <a:prstDash val="solid"/>
        </a:ln>
      </c:spPr>
    </c:plotArea>
    <c:plotVisOnly val="1"/>
    <c:dispBlanksAs val="gap"/>
    <c:showDLblsOverMax val="0"/>
  </c:chart>
  <c:spPr>
    <a:solidFill>
      <a:schemeClr val="accent3">
        <a:lumMod val="20000"/>
        <a:lumOff val="80000"/>
      </a:schemeClr>
    </a:solidFill>
    <a:ln w="6350">
      <a:noFill/>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Annual Withdrawal Rates - Base</a:t>
            </a:r>
          </a:p>
        </c:rich>
      </c:tx>
      <c:layout>
        <c:manualLayout>
          <c:xMode val="edge"/>
          <c:yMode val="edge"/>
          <c:x val="0.17730096237970253"/>
          <c:y val="3.5335520559930007E-2"/>
        </c:manualLayout>
      </c:layout>
      <c:overlay val="0"/>
      <c:spPr>
        <a:noFill/>
        <a:ln w="25400">
          <a:noFill/>
        </a:ln>
      </c:spPr>
    </c:title>
    <c:autoTitleDeleted val="0"/>
    <c:plotArea>
      <c:layout>
        <c:manualLayout>
          <c:layoutTarget val="inner"/>
          <c:xMode val="edge"/>
          <c:yMode val="edge"/>
          <c:x val="0.16015647910568112"/>
          <c:y val="0.16961225851617742"/>
          <c:w val="0.80382053805774278"/>
          <c:h val="0.65977996500437441"/>
        </c:manualLayout>
      </c:layout>
      <c:lineChart>
        <c:grouping val="standard"/>
        <c:varyColors val="0"/>
        <c:ser>
          <c:idx val="1"/>
          <c:order val="0"/>
          <c:tx>
            <c:v>Base</c:v>
          </c:tx>
          <c:spPr>
            <a:ln w="19050">
              <a:noFill/>
            </a:ln>
          </c:spPr>
          <c:marker>
            <c:symbol val="square"/>
            <c:size val="5"/>
            <c:spPr>
              <a:solidFill>
                <a:srgbClr val="0000FF"/>
              </a:solidFill>
              <a:ln>
                <a:solidFill>
                  <a:srgbClr val="0000FF"/>
                </a:solidFill>
                <a:prstDash val="solid"/>
              </a:ln>
            </c:spPr>
          </c:marker>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Results!$F$200:$AS$200</c:f>
              <c:numCache>
                <c:formatCode>0.0%</c:formatCode>
                <c:ptCount val="40"/>
                <c:pt idx="0">
                  <c:v>5.1159999999999997E-2</c:v>
                </c:pt>
                <c:pt idx="1">
                  <c:v>3.9326626157983866E-2</c:v>
                </c:pt>
                <c:pt idx="2">
                  <c:v>5.1989805920407764E-2</c:v>
                </c:pt>
                <c:pt idx="3">
                  <c:v>5.2930832356389214E-2</c:v>
                </c:pt>
                <c:pt idx="4">
                  <c:v>5.3897116134060792E-2</c:v>
                </c:pt>
                <c:pt idx="5">
                  <c:v>3.5352455031599415E-2</c:v>
                </c:pt>
                <c:pt idx="6">
                  <c:v>3.4717196724433443E-2</c:v>
                </c:pt>
                <c:pt idx="7">
                  <c:v>3.5480563065162674E-2</c:v>
                </c:pt>
                <c:pt idx="8">
                  <c:v>-1.165722638406724E-2</c:v>
                </c:pt>
                <c:pt idx="9">
                  <c:v>2.0521590423257802E-4</c:v>
                </c:pt>
                <c:pt idx="10">
                  <c:v>3.4454470877768662E-4</c:v>
                </c:pt>
                <c:pt idx="11">
                  <c:v>3.3638886552855103E-4</c:v>
                </c:pt>
                <c:pt idx="12">
                  <c:v>5.967477248992988E-4</c:v>
                </c:pt>
                <c:pt idx="13">
                  <c:v>4.2105263157894739E-4</c:v>
                </c:pt>
                <c:pt idx="14">
                  <c:v>-3.6201615148983568E-3</c:v>
                </c:pt>
                <c:pt idx="15">
                  <c:v>-2.9635901778154107E-3</c:v>
                </c:pt>
                <c:pt idx="16">
                  <c:v>7.7769442360590144E-3</c:v>
                </c:pt>
                <c:pt idx="17">
                  <c:v>7.190715482172769E-3</c:v>
                </c:pt>
                <c:pt idx="18">
                  <c:v>1.8448325221872317E-2</c:v>
                </c:pt>
                <c:pt idx="19">
                  <c:v>1.8247970892807164E-2</c:v>
                </c:pt>
                <c:pt idx="20">
                  <c:v>1.8169877408056041E-2</c:v>
                </c:pt>
                <c:pt idx="21">
                  <c:v>1.8174034036176817E-2</c:v>
                </c:pt>
                <c:pt idx="22">
                  <c:v>1.8584441419746623E-2</c:v>
                </c:pt>
                <c:pt idx="23">
                  <c:v>1.4337252238869318E-2</c:v>
                </c:pt>
                <c:pt idx="24">
                  <c:v>2.6668875269173432E-2</c:v>
                </c:pt>
                <c:pt idx="25">
                  <c:v>2.5604149475421431E-2</c:v>
                </c:pt>
                <c:pt idx="26">
                  <c:v>2.5689996506346804E-2</c:v>
                </c:pt>
                <c:pt idx="27">
                  <c:v>2.4839811226643135E-2</c:v>
                </c:pt>
                <c:pt idx="28">
                  <c:v>2.4786810687890848E-2</c:v>
                </c:pt>
                <c:pt idx="29">
                  <c:v>2.4936348659577653E-2</c:v>
                </c:pt>
                <c:pt idx="30">
                  <c:v>0</c:v>
                </c:pt>
                <c:pt idx="31">
                  <c:v>0</c:v>
                </c:pt>
                <c:pt idx="32">
                  <c:v>0</c:v>
                </c:pt>
                <c:pt idx="33">
                  <c:v>0</c:v>
                </c:pt>
                <c:pt idx="34">
                  <c:v>0</c:v>
                </c:pt>
                <c:pt idx="35">
                  <c:v>0</c:v>
                </c:pt>
                <c:pt idx="36">
                  <c:v>0</c:v>
                </c:pt>
                <c:pt idx="37">
                  <c:v>0</c:v>
                </c:pt>
                <c:pt idx="38">
                  <c:v>0</c:v>
                </c:pt>
                <c:pt idx="39">
                  <c:v>0</c:v>
                </c:pt>
              </c:numCache>
            </c:numRef>
          </c:val>
          <c:smooth val="0"/>
        </c:ser>
        <c:ser>
          <c:idx val="0"/>
          <c:order val="1"/>
          <c:tx>
            <c:v>Full</c:v>
          </c:tx>
          <c:spPr>
            <a:ln w="19050">
              <a:noFill/>
            </a:ln>
          </c:spPr>
          <c:marker>
            <c:symbol val="diamond"/>
            <c:size val="5"/>
            <c:spPr>
              <a:noFill/>
              <a:ln w="6350">
                <a:noFill/>
              </a:ln>
            </c:spPr>
          </c:marker>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Results!$F$20:$AS$20</c:f>
              <c:numCache>
                <c:formatCode>0.0%</c:formatCode>
                <c:ptCount val="40"/>
                <c:pt idx="0">
                  <c:v>5.1159999999999997E-2</c:v>
                </c:pt>
                <c:pt idx="1">
                  <c:v>3.9326626157983866E-2</c:v>
                </c:pt>
                <c:pt idx="2">
                  <c:v>5.1989805920407764E-2</c:v>
                </c:pt>
                <c:pt idx="3">
                  <c:v>5.2930832356389214E-2</c:v>
                </c:pt>
                <c:pt idx="4">
                  <c:v>5.3897116134060792E-2</c:v>
                </c:pt>
                <c:pt idx="5">
                  <c:v>3.5352455031599415E-2</c:v>
                </c:pt>
                <c:pt idx="6">
                  <c:v>3.4717196724433443E-2</c:v>
                </c:pt>
                <c:pt idx="7">
                  <c:v>3.5480563065162674E-2</c:v>
                </c:pt>
                <c:pt idx="8">
                  <c:v>0</c:v>
                </c:pt>
                <c:pt idx="9">
                  <c:v>2.0521590423257802E-4</c:v>
                </c:pt>
                <c:pt idx="10">
                  <c:v>3.4454470877768662E-4</c:v>
                </c:pt>
                <c:pt idx="11">
                  <c:v>3.3638886552855103E-4</c:v>
                </c:pt>
                <c:pt idx="12">
                  <c:v>5.967477248992988E-4</c:v>
                </c:pt>
                <c:pt idx="13">
                  <c:v>4.2105263157894739E-4</c:v>
                </c:pt>
                <c:pt idx="14">
                  <c:v>0</c:v>
                </c:pt>
                <c:pt idx="15">
                  <c:v>0</c:v>
                </c:pt>
                <c:pt idx="16">
                  <c:v>7.7769442360590144E-3</c:v>
                </c:pt>
                <c:pt idx="17">
                  <c:v>7.190715482172769E-3</c:v>
                </c:pt>
                <c:pt idx="18">
                  <c:v>1.8448325221872317E-2</c:v>
                </c:pt>
                <c:pt idx="19">
                  <c:v>1.8247970892807164E-2</c:v>
                </c:pt>
                <c:pt idx="20">
                  <c:v>1.8169877408056041E-2</c:v>
                </c:pt>
                <c:pt idx="21">
                  <c:v>1.8174034036176817E-2</c:v>
                </c:pt>
                <c:pt idx="22">
                  <c:v>1.8584441419746623E-2</c:v>
                </c:pt>
                <c:pt idx="23">
                  <c:v>1.4337252238869318E-2</c:v>
                </c:pt>
                <c:pt idx="24">
                  <c:v>2.6668875269173432E-2</c:v>
                </c:pt>
                <c:pt idx="25">
                  <c:v>2.5604149475421431E-2</c:v>
                </c:pt>
                <c:pt idx="26">
                  <c:v>2.5689996506346804E-2</c:v>
                </c:pt>
                <c:pt idx="27">
                  <c:v>2.4839811226643135E-2</c:v>
                </c:pt>
                <c:pt idx="28">
                  <c:v>2.4786810687890848E-2</c:v>
                </c:pt>
                <c:pt idx="29">
                  <c:v>2.4936348659577653E-2</c:v>
                </c:pt>
                <c:pt idx="30">
                  <c:v>0</c:v>
                </c:pt>
                <c:pt idx="31">
                  <c:v>0</c:v>
                </c:pt>
                <c:pt idx="32">
                  <c:v>0</c:v>
                </c:pt>
                <c:pt idx="33">
                  <c:v>0</c:v>
                </c:pt>
                <c:pt idx="34">
                  <c:v>0</c:v>
                </c:pt>
                <c:pt idx="35">
                  <c:v>0</c:v>
                </c:pt>
                <c:pt idx="36">
                  <c:v>0</c:v>
                </c:pt>
                <c:pt idx="37">
                  <c:v>0</c:v>
                </c:pt>
                <c:pt idx="38">
                  <c:v>0</c:v>
                </c:pt>
                <c:pt idx="39">
                  <c:v>0</c:v>
                </c:pt>
              </c:numCache>
            </c:numRef>
          </c:val>
          <c:smooth val="0"/>
        </c:ser>
        <c:dLbls>
          <c:showLegendKey val="0"/>
          <c:showVal val="0"/>
          <c:showCatName val="0"/>
          <c:showSerName val="0"/>
          <c:showPercent val="0"/>
          <c:showBubbleSize val="0"/>
        </c:dLbls>
        <c:marker val="1"/>
        <c:smooth val="0"/>
        <c:axId val="359257520"/>
        <c:axId val="359254256"/>
      </c:lineChart>
      <c:catAx>
        <c:axId val="359257520"/>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359254256"/>
        <c:crosses val="autoZero"/>
        <c:auto val="1"/>
        <c:lblAlgn val="ctr"/>
        <c:lblOffset val="100"/>
        <c:tickLblSkip val="3"/>
        <c:tickMarkSkip val="1"/>
        <c:noMultiLvlLbl val="0"/>
      </c:catAx>
      <c:valAx>
        <c:axId val="359254256"/>
        <c:scaling>
          <c:orientation val="minMax"/>
          <c:min val="0"/>
        </c:scaling>
        <c:delete val="0"/>
        <c:axPos val="l"/>
        <c:majorGridlines>
          <c:spPr>
            <a:ln w="3175">
              <a:solidFill>
                <a:srgbClr val="00000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59257520"/>
        <c:crosses val="autoZero"/>
        <c:crossBetween val="between"/>
        <c:minorUnit val="0.01"/>
      </c:valAx>
      <c:spPr>
        <a:solidFill>
          <a:srgbClr val="FFFFFF"/>
        </a:solidFill>
        <a:ln w="12700">
          <a:solidFill>
            <a:srgbClr val="808080"/>
          </a:solidFill>
          <a:prstDash val="solid"/>
        </a:ln>
      </c:spPr>
    </c:plotArea>
    <c:plotVisOnly val="1"/>
    <c:dispBlanksAs val="gap"/>
    <c:showDLblsOverMax val="0"/>
  </c:chart>
  <c:spPr>
    <a:solidFill>
      <a:schemeClr val="accent3">
        <a:lumMod val="20000"/>
        <a:lumOff val="80000"/>
      </a:schemeClr>
    </a:solid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Required Minimum Distributions</a:t>
            </a:r>
          </a:p>
        </c:rich>
      </c:tx>
      <c:layout>
        <c:manualLayout>
          <c:xMode val="edge"/>
          <c:yMode val="edge"/>
          <c:x val="0.13944159546885315"/>
          <c:y val="3.9604784978800732E-2"/>
        </c:manualLayout>
      </c:layout>
      <c:overlay val="0"/>
      <c:spPr>
        <a:noFill/>
        <a:ln w="25400">
          <a:noFill/>
        </a:ln>
      </c:spPr>
    </c:title>
    <c:autoTitleDeleted val="0"/>
    <c:plotArea>
      <c:layout>
        <c:manualLayout>
          <c:layoutTarget val="inner"/>
          <c:xMode val="edge"/>
          <c:yMode val="edge"/>
          <c:x val="0.13110810267793072"/>
          <c:y val="0.19248995367661867"/>
          <c:w val="0.83965207948641896"/>
          <c:h val="0.63970191911151186"/>
        </c:manualLayout>
      </c:layout>
      <c:barChart>
        <c:barDir val="col"/>
        <c:grouping val="clustered"/>
        <c:varyColors val="0"/>
        <c:ser>
          <c:idx val="0"/>
          <c:order val="0"/>
          <c:tx>
            <c:v>Primary</c:v>
          </c:tx>
          <c:spPr>
            <a:solidFill>
              <a:srgbClr val="0000FF"/>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Results!$F$379:$AS$379</c:f>
              <c:numCache>
                <c:formatCode>_(* #,##0_);_(* \(#,##0\);_(* "-"??_);_(@_)</c:formatCode>
                <c:ptCount val="40"/>
                <c:pt idx="0" formatCode="#,##0_);\(#,##0\)">
                  <c:v>0</c:v>
                </c:pt>
                <c:pt idx="1">
                  <c:v>0</c:v>
                </c:pt>
                <c:pt idx="2">
                  <c:v>0</c:v>
                </c:pt>
                <c:pt idx="3">
                  <c:v>0</c:v>
                </c:pt>
                <c:pt idx="4">
                  <c:v>0</c:v>
                </c:pt>
                <c:pt idx="5">
                  <c:v>0</c:v>
                </c:pt>
                <c:pt idx="6">
                  <c:v>0</c:v>
                </c:pt>
                <c:pt idx="7">
                  <c:v>0</c:v>
                </c:pt>
                <c:pt idx="8">
                  <c:v>0</c:v>
                </c:pt>
                <c:pt idx="9">
                  <c:v>29500</c:v>
                </c:pt>
                <c:pt idx="10">
                  <c:v>30900</c:v>
                </c:pt>
                <c:pt idx="11">
                  <c:v>32400</c:v>
                </c:pt>
                <c:pt idx="12">
                  <c:v>33900</c:v>
                </c:pt>
                <c:pt idx="13">
                  <c:v>35600</c:v>
                </c:pt>
                <c:pt idx="14">
                  <c:v>37400</c:v>
                </c:pt>
                <c:pt idx="15">
                  <c:v>39500</c:v>
                </c:pt>
                <c:pt idx="16">
                  <c:v>41800</c:v>
                </c:pt>
                <c:pt idx="17">
                  <c:v>44100</c:v>
                </c:pt>
                <c:pt idx="18">
                  <c:v>46300</c:v>
                </c:pt>
                <c:pt idx="19">
                  <c:v>48400</c:v>
                </c:pt>
                <c:pt idx="20">
                  <c:v>50500</c:v>
                </c:pt>
                <c:pt idx="21">
                  <c:v>52800</c:v>
                </c:pt>
                <c:pt idx="22">
                  <c:v>55000</c:v>
                </c:pt>
                <c:pt idx="23">
                  <c:v>57100</c:v>
                </c:pt>
                <c:pt idx="24">
                  <c:v>59100</c:v>
                </c:pt>
                <c:pt idx="25">
                  <c:v>61100</c:v>
                </c:pt>
                <c:pt idx="26">
                  <c:v>63000</c:v>
                </c:pt>
                <c:pt idx="27">
                  <c:v>64900</c:v>
                </c:pt>
                <c:pt idx="28">
                  <c:v>66600</c:v>
                </c:pt>
                <c:pt idx="29">
                  <c:v>67900</c:v>
                </c:pt>
                <c:pt idx="30">
                  <c:v>0</c:v>
                </c:pt>
                <c:pt idx="31">
                  <c:v>0</c:v>
                </c:pt>
                <c:pt idx="32">
                  <c:v>0</c:v>
                </c:pt>
                <c:pt idx="33">
                  <c:v>0</c:v>
                </c:pt>
                <c:pt idx="34">
                  <c:v>0</c:v>
                </c:pt>
                <c:pt idx="35">
                  <c:v>0</c:v>
                </c:pt>
                <c:pt idx="36">
                  <c:v>0</c:v>
                </c:pt>
                <c:pt idx="37">
                  <c:v>0</c:v>
                </c:pt>
                <c:pt idx="38">
                  <c:v>0</c:v>
                </c:pt>
                <c:pt idx="39">
                  <c:v>0</c:v>
                </c:pt>
              </c:numCache>
            </c:numRef>
          </c:val>
        </c:ser>
        <c:ser>
          <c:idx val="1"/>
          <c:order val="1"/>
          <c:tx>
            <c:v>Base</c:v>
          </c:tx>
          <c:spPr>
            <a:solidFill>
              <a:srgbClr val="FF0000"/>
            </a:solidFill>
            <a:ln w="25400">
              <a:noFill/>
            </a:ln>
          </c:spPr>
          <c:invertIfNegative val="0"/>
          <c:val>
            <c:numRef>
              <c:f>Results!$F$382:$AS$382</c:f>
              <c:numCache>
                <c:formatCode>_(* #,##0_);_(* \(#,##0\);_(* "-"??_);_(@_)</c:formatCode>
                <c:ptCount val="40"/>
                <c:pt idx="0" formatCode="#,##0_);\(#,##0\)">
                  <c:v>0</c:v>
                </c:pt>
                <c:pt idx="1">
                  <c:v>0</c:v>
                </c:pt>
                <c:pt idx="2">
                  <c:v>0</c:v>
                </c:pt>
                <c:pt idx="3">
                  <c:v>0</c:v>
                </c:pt>
                <c:pt idx="4">
                  <c:v>0</c:v>
                </c:pt>
                <c:pt idx="5">
                  <c:v>0</c:v>
                </c:pt>
                <c:pt idx="6">
                  <c:v>0</c:v>
                </c:pt>
                <c:pt idx="7">
                  <c:v>0</c:v>
                </c:pt>
                <c:pt idx="8">
                  <c:v>0</c:v>
                </c:pt>
                <c:pt idx="9">
                  <c:v>29500</c:v>
                </c:pt>
                <c:pt idx="10">
                  <c:v>30900</c:v>
                </c:pt>
                <c:pt idx="11">
                  <c:v>32400</c:v>
                </c:pt>
                <c:pt idx="12">
                  <c:v>33900</c:v>
                </c:pt>
                <c:pt idx="13">
                  <c:v>35600</c:v>
                </c:pt>
                <c:pt idx="14">
                  <c:v>37400</c:v>
                </c:pt>
                <c:pt idx="15">
                  <c:v>39500</c:v>
                </c:pt>
                <c:pt idx="16">
                  <c:v>41800</c:v>
                </c:pt>
                <c:pt idx="17">
                  <c:v>44100</c:v>
                </c:pt>
                <c:pt idx="18">
                  <c:v>46300</c:v>
                </c:pt>
                <c:pt idx="19">
                  <c:v>48400</c:v>
                </c:pt>
                <c:pt idx="20">
                  <c:v>50500</c:v>
                </c:pt>
                <c:pt idx="21">
                  <c:v>52800</c:v>
                </c:pt>
                <c:pt idx="22">
                  <c:v>55000</c:v>
                </c:pt>
                <c:pt idx="23">
                  <c:v>57100</c:v>
                </c:pt>
                <c:pt idx="24">
                  <c:v>59100</c:v>
                </c:pt>
                <c:pt idx="25">
                  <c:v>61100</c:v>
                </c:pt>
                <c:pt idx="26">
                  <c:v>63000</c:v>
                </c:pt>
                <c:pt idx="27">
                  <c:v>64900</c:v>
                </c:pt>
                <c:pt idx="28">
                  <c:v>66600</c:v>
                </c:pt>
                <c:pt idx="29">
                  <c:v>67900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50"/>
        <c:axId val="359255344"/>
        <c:axId val="359258064"/>
      </c:barChart>
      <c:catAx>
        <c:axId val="359255344"/>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950" b="0" i="0" u="none" strike="noStrike" baseline="0">
                <a:solidFill>
                  <a:srgbClr val="000000"/>
                </a:solidFill>
                <a:latin typeface="Arial"/>
                <a:ea typeface="Arial"/>
                <a:cs typeface="Arial"/>
              </a:defRPr>
            </a:pPr>
            <a:endParaRPr lang="en-US"/>
          </a:p>
        </c:txPr>
        <c:crossAx val="359258064"/>
        <c:crosses val="autoZero"/>
        <c:auto val="1"/>
        <c:lblAlgn val="ctr"/>
        <c:lblOffset val="100"/>
        <c:tickLblSkip val="3"/>
        <c:tickMarkSkip val="1"/>
        <c:noMultiLvlLbl val="0"/>
      </c:catAx>
      <c:valAx>
        <c:axId val="359258064"/>
        <c:scaling>
          <c:orientation val="minMax"/>
        </c:scaling>
        <c:delete val="0"/>
        <c:axPos val="l"/>
        <c:majorGridlines>
          <c:spPr>
            <a:ln w="3175">
              <a:solidFill>
                <a:srgbClr val="000000"/>
              </a:solidFill>
              <a:prstDash val="solid"/>
            </a:ln>
          </c:spPr>
        </c:majorGridlines>
        <c:min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59255344"/>
        <c:crosses val="autoZero"/>
        <c:crossBetween val="between"/>
        <c:majorUnit val="20000"/>
        <c:minorUnit val="20000"/>
        <c:dispUnits>
          <c:builtInUnit val="thousands"/>
          <c:dispUnitsLbl>
            <c:layout>
              <c:manualLayout>
                <c:xMode val="edge"/>
                <c:yMode val="edge"/>
                <c:x val="1.9790281378861664E-2"/>
                <c:y val="0.2746070176446922"/>
              </c:manualLayout>
            </c:layout>
          </c:dispUnitsLbl>
        </c:dispUnits>
      </c:valAx>
      <c:spPr>
        <a:solidFill>
          <a:srgbClr val="FFFFFF"/>
        </a:solidFill>
        <a:ln w="12700">
          <a:solidFill>
            <a:srgbClr val="808080"/>
          </a:solidFill>
          <a:prstDash val="solid"/>
        </a:ln>
      </c:spPr>
    </c:plotArea>
    <c:legend>
      <c:legendPos val="t"/>
      <c:legendEntry>
        <c:idx val="0"/>
        <c:txPr>
          <a:bodyPr/>
          <a:lstStyle/>
          <a:p>
            <a:pPr>
              <a:defRPr sz="1000" b="0" i="0" u="none" strike="noStrike" baseline="0">
                <a:solidFill>
                  <a:srgbClr val="0070C0"/>
                </a:solidFill>
                <a:latin typeface="Arial"/>
                <a:ea typeface="Arial"/>
                <a:cs typeface="Arial"/>
              </a:defRPr>
            </a:pPr>
            <a:endParaRPr lang="en-US"/>
          </a:p>
        </c:txPr>
      </c:legendEntry>
      <c:legendEntry>
        <c:idx val="1"/>
        <c:txPr>
          <a:bodyPr/>
          <a:lstStyle/>
          <a:p>
            <a:pPr>
              <a:defRPr sz="1000" b="0" i="0" u="none" strike="noStrike" baseline="0">
                <a:solidFill>
                  <a:srgbClr val="FF0000"/>
                </a:solidFill>
                <a:latin typeface="Arial"/>
                <a:ea typeface="Arial"/>
                <a:cs typeface="Arial"/>
              </a:defRPr>
            </a:pPr>
            <a:endParaRPr lang="en-US"/>
          </a:p>
        </c:txPr>
      </c:legendEntry>
      <c:layout>
        <c:manualLayout>
          <c:xMode val="edge"/>
          <c:yMode val="edge"/>
          <c:x val="0.67909439251442294"/>
          <c:y val="6.0108141530385628E-2"/>
          <c:w val="0.28001908707341117"/>
          <c:h val="8.9041133113968995E-2"/>
        </c:manualLayout>
      </c:layout>
      <c:overlay val="0"/>
      <c:spPr>
        <a:solidFill>
          <a:schemeClr val="accent3">
            <a:lumMod val="20000"/>
            <a:lumOff val="80000"/>
          </a:schemeClr>
        </a:solidFill>
        <a:ln w="3175">
          <a:noFill/>
          <a:prstDash val="solid"/>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accent3">
        <a:lumMod val="20000"/>
        <a:lumOff val="80000"/>
      </a:schemeClr>
    </a:solidFill>
    <a:ln w="6350">
      <a:noFill/>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Social Security Benefits</a:t>
            </a:r>
          </a:p>
        </c:rich>
      </c:tx>
      <c:layout>
        <c:manualLayout>
          <c:xMode val="edge"/>
          <c:yMode val="edge"/>
          <c:x val="0.12212759617826929"/>
          <c:y val="5.8396478265559271E-2"/>
        </c:manualLayout>
      </c:layout>
      <c:overlay val="0"/>
      <c:spPr>
        <a:noFill/>
        <a:ln w="25400">
          <a:noFill/>
        </a:ln>
      </c:spPr>
    </c:title>
    <c:autoTitleDeleted val="0"/>
    <c:plotArea>
      <c:layout>
        <c:manualLayout>
          <c:layoutTarget val="inner"/>
          <c:xMode val="edge"/>
          <c:yMode val="edge"/>
          <c:x val="0.14360236220472442"/>
          <c:y val="0.23318551589853967"/>
          <c:w val="0.83217136241964784"/>
          <c:h val="0.54708909499272762"/>
        </c:manualLayout>
      </c:layout>
      <c:barChart>
        <c:barDir val="col"/>
        <c:grouping val="clustered"/>
        <c:varyColors val="0"/>
        <c:ser>
          <c:idx val="2"/>
          <c:order val="0"/>
          <c:tx>
            <c:v>Benefits Chosen</c:v>
          </c:tx>
          <c:spPr>
            <a:solidFill>
              <a:srgbClr val="0070C0"/>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Details!$F$61:$AS$61</c:f>
              <c:numCache>
                <c:formatCode>_(* #,##0_);_(* \(#,##0\);_(* "-"??_);_(@_)</c:formatCode>
                <c:ptCount val="40"/>
                <c:pt idx="0" formatCode="#,##0_);\(#,##0\)">
                  <c:v>0</c:v>
                </c:pt>
                <c:pt idx="1">
                  <c:v>0</c:v>
                </c:pt>
                <c:pt idx="2">
                  <c:v>0</c:v>
                </c:pt>
                <c:pt idx="3">
                  <c:v>0</c:v>
                </c:pt>
                <c:pt idx="4">
                  <c:v>0</c:v>
                </c:pt>
                <c:pt idx="5">
                  <c:v>22100</c:v>
                </c:pt>
                <c:pt idx="6">
                  <c:v>22500</c:v>
                </c:pt>
                <c:pt idx="7">
                  <c:v>23000</c:v>
                </c:pt>
                <c:pt idx="8">
                  <c:v>69900</c:v>
                </c:pt>
                <c:pt idx="9">
                  <c:v>71300</c:v>
                </c:pt>
                <c:pt idx="10">
                  <c:v>72700</c:v>
                </c:pt>
                <c:pt idx="11">
                  <c:v>74200</c:v>
                </c:pt>
                <c:pt idx="12">
                  <c:v>75700</c:v>
                </c:pt>
                <c:pt idx="13">
                  <c:v>77200</c:v>
                </c:pt>
                <c:pt idx="14">
                  <c:v>78700</c:v>
                </c:pt>
                <c:pt idx="15">
                  <c:v>80200</c:v>
                </c:pt>
                <c:pt idx="16">
                  <c:v>63000</c:v>
                </c:pt>
                <c:pt idx="17">
                  <c:v>64200</c:v>
                </c:pt>
                <c:pt idx="18">
                  <c:v>65500</c:v>
                </c:pt>
                <c:pt idx="19">
                  <c:v>66800</c:v>
                </c:pt>
                <c:pt idx="20">
                  <c:v>68100</c:v>
                </c:pt>
                <c:pt idx="21">
                  <c:v>69500</c:v>
                </c:pt>
                <c:pt idx="22">
                  <c:v>70900</c:v>
                </c:pt>
                <c:pt idx="23">
                  <c:v>72300</c:v>
                </c:pt>
                <c:pt idx="24">
                  <c:v>49000</c:v>
                </c:pt>
                <c:pt idx="25">
                  <c:v>50000</c:v>
                </c:pt>
                <c:pt idx="26">
                  <c:v>51000</c:v>
                </c:pt>
                <c:pt idx="27">
                  <c:v>52000</c:v>
                </c:pt>
                <c:pt idx="28">
                  <c:v>53000</c:v>
                </c:pt>
                <c:pt idx="29">
                  <c:v>54100</c:v>
                </c:pt>
                <c:pt idx="30">
                  <c:v>0</c:v>
                </c:pt>
                <c:pt idx="31">
                  <c:v>0</c:v>
                </c:pt>
                <c:pt idx="32">
                  <c:v>0</c:v>
                </c:pt>
                <c:pt idx="33">
                  <c:v>0</c:v>
                </c:pt>
                <c:pt idx="34">
                  <c:v>0</c:v>
                </c:pt>
                <c:pt idx="35">
                  <c:v>0</c:v>
                </c:pt>
                <c:pt idx="36">
                  <c:v>0</c:v>
                </c:pt>
                <c:pt idx="37">
                  <c:v>0</c:v>
                </c:pt>
                <c:pt idx="38">
                  <c:v>0</c:v>
                </c:pt>
                <c:pt idx="39">
                  <c:v>0</c:v>
                </c:pt>
              </c:numCache>
            </c:numRef>
          </c:val>
        </c:ser>
        <c:ser>
          <c:idx val="1"/>
          <c:order val="1"/>
          <c:tx>
            <c:v>Base</c:v>
          </c:tx>
          <c:spPr>
            <a:solidFill>
              <a:srgbClr val="FF0000"/>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Base!$F$61:$AS$61</c:f>
              <c:numCache>
                <c:formatCode>_(* #,##0_);_(* \(#,##0\);_(* "-"??_);_(@_)</c:formatCode>
                <c:ptCount val="40"/>
                <c:pt idx="0" formatCode="#,##0_);\(#,##0\)">
                  <c:v>0</c:v>
                </c:pt>
                <c:pt idx="1">
                  <c:v>0</c:v>
                </c:pt>
                <c:pt idx="2">
                  <c:v>0</c:v>
                </c:pt>
                <c:pt idx="3">
                  <c:v>0</c:v>
                </c:pt>
                <c:pt idx="4">
                  <c:v>0</c:v>
                </c:pt>
                <c:pt idx="5">
                  <c:v>22100</c:v>
                </c:pt>
                <c:pt idx="6">
                  <c:v>22500</c:v>
                </c:pt>
                <c:pt idx="7">
                  <c:v>23000</c:v>
                </c:pt>
                <c:pt idx="8">
                  <c:v>69900</c:v>
                </c:pt>
                <c:pt idx="9">
                  <c:v>71300</c:v>
                </c:pt>
                <c:pt idx="10">
                  <c:v>72700</c:v>
                </c:pt>
                <c:pt idx="11">
                  <c:v>74200</c:v>
                </c:pt>
                <c:pt idx="12">
                  <c:v>75700</c:v>
                </c:pt>
                <c:pt idx="13">
                  <c:v>77200</c:v>
                </c:pt>
                <c:pt idx="14">
                  <c:v>78700</c:v>
                </c:pt>
                <c:pt idx="15">
                  <c:v>80200</c:v>
                </c:pt>
                <c:pt idx="16">
                  <c:v>63000</c:v>
                </c:pt>
                <c:pt idx="17">
                  <c:v>64200</c:v>
                </c:pt>
                <c:pt idx="18">
                  <c:v>65500</c:v>
                </c:pt>
                <c:pt idx="19">
                  <c:v>66800</c:v>
                </c:pt>
                <c:pt idx="20">
                  <c:v>68100</c:v>
                </c:pt>
                <c:pt idx="21">
                  <c:v>69500</c:v>
                </c:pt>
                <c:pt idx="22">
                  <c:v>70900</c:v>
                </c:pt>
                <c:pt idx="23">
                  <c:v>72300</c:v>
                </c:pt>
                <c:pt idx="24">
                  <c:v>49000</c:v>
                </c:pt>
                <c:pt idx="25">
                  <c:v>50000</c:v>
                </c:pt>
                <c:pt idx="26">
                  <c:v>51000</c:v>
                </c:pt>
                <c:pt idx="27">
                  <c:v>52000</c:v>
                </c:pt>
                <c:pt idx="28">
                  <c:v>53000</c:v>
                </c:pt>
                <c:pt idx="29">
                  <c:v>54100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40"/>
        <c:axId val="359252080"/>
        <c:axId val="359253168"/>
      </c:barChart>
      <c:catAx>
        <c:axId val="359252080"/>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359253168"/>
        <c:crosses val="autoZero"/>
        <c:auto val="1"/>
        <c:lblAlgn val="ctr"/>
        <c:lblOffset val="100"/>
        <c:tickLblSkip val="3"/>
        <c:tickMarkSkip val="1"/>
        <c:noMultiLvlLbl val="0"/>
      </c:catAx>
      <c:valAx>
        <c:axId val="359253168"/>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59252080"/>
        <c:crosses val="autoZero"/>
        <c:crossBetween val="between"/>
        <c:dispUnits>
          <c:builtInUnit val="thousands"/>
          <c:dispUnitsLbl>
            <c:layout>
              <c:manualLayout>
                <c:xMode val="edge"/>
                <c:yMode val="edge"/>
                <c:x val="1.9029418197725283E-2"/>
                <c:y val="0.33269958442694664"/>
              </c:manualLayout>
            </c:layout>
          </c:dispUnitsLbl>
        </c:dispUnits>
      </c:valAx>
      <c:spPr>
        <a:solidFill>
          <a:srgbClr val="FFFFFF"/>
        </a:solidFill>
        <a:ln w="12700">
          <a:solidFill>
            <a:srgbClr val="808080"/>
          </a:solidFill>
          <a:prstDash val="solid"/>
        </a:ln>
      </c:spPr>
    </c:plotArea>
    <c:legend>
      <c:legendPos val="r"/>
      <c:layout>
        <c:manualLayout>
          <c:xMode val="edge"/>
          <c:yMode val="edge"/>
          <c:x val="0.49119074801339441"/>
          <c:y val="4.9327705286229546E-2"/>
          <c:w val="0.49559604620185543"/>
          <c:h val="0.14798311585868865"/>
        </c:manualLayout>
      </c:layout>
      <c:overlay val="0"/>
      <c:spPr>
        <a:solidFill>
          <a:schemeClr val="accent3">
            <a:lumMod val="20000"/>
            <a:lumOff val="80000"/>
          </a:schemeClr>
        </a:solid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accent3">
        <a:lumMod val="20000"/>
        <a:lumOff val="80000"/>
      </a:schemeClr>
    </a:solid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Sources of Earnings - Base</a:t>
            </a:r>
          </a:p>
        </c:rich>
      </c:tx>
      <c:layout>
        <c:manualLayout>
          <c:xMode val="edge"/>
          <c:yMode val="edge"/>
          <c:x val="0.26104060692634662"/>
          <c:y val="1.8467906355455567E-2"/>
        </c:manualLayout>
      </c:layout>
      <c:overlay val="0"/>
      <c:spPr>
        <a:noFill/>
        <a:ln w="25400">
          <a:noFill/>
        </a:ln>
      </c:spPr>
    </c:title>
    <c:autoTitleDeleted val="0"/>
    <c:plotArea>
      <c:layout>
        <c:manualLayout>
          <c:layoutTarget val="inner"/>
          <c:xMode val="edge"/>
          <c:yMode val="edge"/>
          <c:x val="0.13112184525857348"/>
          <c:y val="0.3273301868892895"/>
          <c:w val="0.8444226447634311"/>
          <c:h val="0.50600472757170412"/>
        </c:manualLayout>
      </c:layout>
      <c:barChart>
        <c:barDir val="col"/>
        <c:grouping val="stacked"/>
        <c:varyColors val="0"/>
        <c:ser>
          <c:idx val="0"/>
          <c:order val="0"/>
          <c:tx>
            <c:v>Taxable</c:v>
          </c:tx>
          <c:spPr>
            <a:solidFill>
              <a:srgbClr val="0070C0"/>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Base!$F$28:$AS$28</c:f>
              <c:numCache>
                <c:formatCode>_(* #,##0_);_(* \(#,##0\);_(* "-"??_);_(@_)</c:formatCode>
                <c:ptCount val="40"/>
                <c:pt idx="0">
                  <c:v>9600</c:v>
                </c:pt>
                <c:pt idx="1">
                  <c:v>9300</c:v>
                </c:pt>
                <c:pt idx="2">
                  <c:v>8900</c:v>
                </c:pt>
                <c:pt idx="3">
                  <c:v>8300</c:v>
                </c:pt>
                <c:pt idx="4">
                  <c:v>7700</c:v>
                </c:pt>
                <c:pt idx="5">
                  <c:v>7600</c:v>
                </c:pt>
                <c:pt idx="6">
                  <c:v>8100</c:v>
                </c:pt>
                <c:pt idx="7">
                  <c:v>8600</c:v>
                </c:pt>
                <c:pt idx="8">
                  <c:v>9400</c:v>
                </c:pt>
                <c:pt idx="9">
                  <c:v>10900</c:v>
                </c:pt>
                <c:pt idx="10">
                  <c:v>10700</c:v>
                </c:pt>
                <c:pt idx="11">
                  <c:v>11500</c:v>
                </c:pt>
                <c:pt idx="12">
                  <c:v>14000</c:v>
                </c:pt>
                <c:pt idx="13">
                  <c:v>15800</c:v>
                </c:pt>
                <c:pt idx="14">
                  <c:v>16000</c:v>
                </c:pt>
                <c:pt idx="15">
                  <c:v>18000</c:v>
                </c:pt>
                <c:pt idx="16">
                  <c:v>22400</c:v>
                </c:pt>
                <c:pt idx="17">
                  <c:v>25200</c:v>
                </c:pt>
                <c:pt idx="18">
                  <c:v>22700</c:v>
                </c:pt>
                <c:pt idx="19">
                  <c:v>24000</c:v>
                </c:pt>
                <c:pt idx="20">
                  <c:v>25500</c:v>
                </c:pt>
                <c:pt idx="21">
                  <c:v>27100</c:v>
                </c:pt>
                <c:pt idx="22">
                  <c:v>37000</c:v>
                </c:pt>
                <c:pt idx="23">
                  <c:v>47300</c:v>
                </c:pt>
                <c:pt idx="24">
                  <c:v>51500</c:v>
                </c:pt>
                <c:pt idx="25">
                  <c:v>55100</c:v>
                </c:pt>
                <c:pt idx="26">
                  <c:v>56800</c:v>
                </c:pt>
                <c:pt idx="27">
                  <c:v>58400</c:v>
                </c:pt>
                <c:pt idx="28">
                  <c:v>60000</c:v>
                </c:pt>
                <c:pt idx="29">
                  <c:v>61500</c:v>
                </c:pt>
                <c:pt idx="30">
                  <c:v>0</c:v>
                </c:pt>
                <c:pt idx="31">
                  <c:v>0</c:v>
                </c:pt>
                <c:pt idx="32">
                  <c:v>0</c:v>
                </c:pt>
                <c:pt idx="33">
                  <c:v>0</c:v>
                </c:pt>
                <c:pt idx="34">
                  <c:v>0</c:v>
                </c:pt>
                <c:pt idx="35">
                  <c:v>0</c:v>
                </c:pt>
                <c:pt idx="36">
                  <c:v>0</c:v>
                </c:pt>
                <c:pt idx="37">
                  <c:v>0</c:v>
                </c:pt>
                <c:pt idx="38">
                  <c:v>0</c:v>
                </c:pt>
                <c:pt idx="39">
                  <c:v>0</c:v>
                </c:pt>
              </c:numCache>
            </c:numRef>
          </c:val>
        </c:ser>
        <c:ser>
          <c:idx val="1"/>
          <c:order val="1"/>
          <c:tx>
            <c:v>IRA</c:v>
          </c:tx>
          <c:spPr>
            <a:solidFill>
              <a:srgbClr val="92D050"/>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Base!$F$31:$AS$31</c:f>
              <c:numCache>
                <c:formatCode>_(* #,##0_);_(* \(#,##0\);_(* "-"??_);_(@_)</c:formatCode>
                <c:ptCount val="40"/>
                <c:pt idx="0">
                  <c:v>43200</c:v>
                </c:pt>
                <c:pt idx="1">
                  <c:v>43700</c:v>
                </c:pt>
                <c:pt idx="2">
                  <c:v>44100</c:v>
                </c:pt>
                <c:pt idx="3">
                  <c:v>44500</c:v>
                </c:pt>
                <c:pt idx="4">
                  <c:v>44800</c:v>
                </c:pt>
                <c:pt idx="5">
                  <c:v>45000</c:v>
                </c:pt>
                <c:pt idx="6">
                  <c:v>45100</c:v>
                </c:pt>
                <c:pt idx="7">
                  <c:v>45200</c:v>
                </c:pt>
                <c:pt idx="8">
                  <c:v>46500</c:v>
                </c:pt>
                <c:pt idx="9">
                  <c:v>47900</c:v>
                </c:pt>
                <c:pt idx="10">
                  <c:v>48500</c:v>
                </c:pt>
                <c:pt idx="11">
                  <c:v>49100</c:v>
                </c:pt>
                <c:pt idx="12">
                  <c:v>49700</c:v>
                </c:pt>
                <c:pt idx="13">
                  <c:v>50200</c:v>
                </c:pt>
                <c:pt idx="14">
                  <c:v>50800</c:v>
                </c:pt>
                <c:pt idx="15">
                  <c:v>51600</c:v>
                </c:pt>
                <c:pt idx="16">
                  <c:v>52300</c:v>
                </c:pt>
                <c:pt idx="17">
                  <c:v>52800</c:v>
                </c:pt>
                <c:pt idx="18">
                  <c:v>46900</c:v>
                </c:pt>
                <c:pt idx="19">
                  <c:v>46900</c:v>
                </c:pt>
                <c:pt idx="20">
                  <c:v>46800</c:v>
                </c:pt>
                <c:pt idx="21">
                  <c:v>46500</c:v>
                </c:pt>
                <c:pt idx="22">
                  <c:v>46100</c:v>
                </c:pt>
                <c:pt idx="23">
                  <c:v>45600</c:v>
                </c:pt>
                <c:pt idx="24">
                  <c:v>44900</c:v>
                </c:pt>
                <c:pt idx="25">
                  <c:v>44100</c:v>
                </c:pt>
                <c:pt idx="26">
                  <c:v>43100</c:v>
                </c:pt>
                <c:pt idx="27">
                  <c:v>41900</c:v>
                </c:pt>
                <c:pt idx="28">
                  <c:v>40700</c:v>
                </c:pt>
                <c:pt idx="29">
                  <c:v>39200</c:v>
                </c:pt>
                <c:pt idx="30">
                  <c:v>0</c:v>
                </c:pt>
                <c:pt idx="31">
                  <c:v>0</c:v>
                </c:pt>
                <c:pt idx="32">
                  <c:v>0</c:v>
                </c:pt>
                <c:pt idx="33">
                  <c:v>0</c:v>
                </c:pt>
                <c:pt idx="34">
                  <c:v>0</c:v>
                </c:pt>
                <c:pt idx="35">
                  <c:v>0</c:v>
                </c:pt>
                <c:pt idx="36">
                  <c:v>0</c:v>
                </c:pt>
                <c:pt idx="37">
                  <c:v>0</c:v>
                </c:pt>
                <c:pt idx="38">
                  <c:v>0</c:v>
                </c:pt>
                <c:pt idx="39">
                  <c:v>0</c:v>
                </c:pt>
              </c:numCache>
            </c:numRef>
          </c:val>
        </c:ser>
        <c:ser>
          <c:idx val="2"/>
          <c:order val="2"/>
          <c:tx>
            <c:v>IRA inhrt</c:v>
          </c:tx>
          <c:spPr>
            <a:solidFill>
              <a:srgbClr val="FF0000"/>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Base!$F$34:$AS$34</c:f>
              <c:numCache>
                <c:formatCode>_(* #,##0_);_(* \(#,##0\);_(* "-"??_);_(@_)</c:formatCode>
                <c:ptCount val="40"/>
                <c:pt idx="0" formatCode="#,##0_);\(#,##0\)">
                  <c:v>0</c:v>
                </c:pt>
                <c:pt idx="1">
                  <c:v>0</c:v>
                </c:pt>
                <c:pt idx="2">
                  <c:v>0</c:v>
                </c:pt>
                <c:pt idx="3">
                  <c:v>0</c:v>
                </c:pt>
                <c:pt idx="4">
                  <c:v>0</c:v>
                </c:pt>
                <c:pt idx="5">
                  <c:v>0</c:v>
                </c:pt>
                <c:pt idx="6">
                  <c:v>0</c:v>
                </c:pt>
                <c:pt idx="7">
                  <c:v>0</c:v>
                </c:pt>
                <c:pt idx="8">
                  <c:v>0</c:v>
                </c:pt>
                <c:pt idx="9">
                  <c:v>0</c:v>
                </c:pt>
                <c:pt idx="10">
                  <c:v>0</c:v>
                </c:pt>
                <c:pt idx="11">
                  <c:v>0</c:v>
                </c:pt>
                <c:pt idx="12">
                  <c:v>3400</c:v>
                </c:pt>
                <c:pt idx="13">
                  <c:v>3400</c:v>
                </c:pt>
                <c:pt idx="14">
                  <c:v>3300</c:v>
                </c:pt>
                <c:pt idx="15">
                  <c:v>3200</c:v>
                </c:pt>
                <c:pt idx="16">
                  <c:v>5300</c:v>
                </c:pt>
                <c:pt idx="17">
                  <c:v>4800</c:v>
                </c:pt>
                <c:pt idx="18">
                  <c:v>3800</c:v>
                </c:pt>
                <c:pt idx="19">
                  <c:v>3500</c:v>
                </c:pt>
                <c:pt idx="20">
                  <c:v>3200</c:v>
                </c:pt>
                <c:pt idx="21">
                  <c:v>2900</c:v>
                </c:pt>
                <c:pt idx="22">
                  <c:v>2500</c:v>
                </c:pt>
                <c:pt idx="23">
                  <c:v>2000</c:v>
                </c:pt>
                <c:pt idx="24">
                  <c:v>1500</c:v>
                </c:pt>
                <c:pt idx="25">
                  <c:v>1000</c:v>
                </c:pt>
                <c:pt idx="26">
                  <c:v>200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ser>
          <c:idx val="3"/>
          <c:order val="3"/>
          <c:tx>
            <c:v>Roth</c:v>
          </c:tx>
          <c:spPr>
            <a:solidFill>
              <a:srgbClr val="FFC000"/>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Base!$F$37:$AS$37</c:f>
              <c:numCache>
                <c:formatCode>_(* #,##0_);_(* \(#,##0\);_(* "-"??_);_(@_)</c:formatCode>
                <c:ptCount val="40"/>
                <c:pt idx="0">
                  <c:v>6100</c:v>
                </c:pt>
                <c:pt idx="1">
                  <c:v>6500</c:v>
                </c:pt>
                <c:pt idx="2">
                  <c:v>7000</c:v>
                </c:pt>
                <c:pt idx="3">
                  <c:v>7500</c:v>
                </c:pt>
                <c:pt idx="4">
                  <c:v>8000</c:v>
                </c:pt>
                <c:pt idx="5">
                  <c:v>8500</c:v>
                </c:pt>
                <c:pt idx="6">
                  <c:v>9000</c:v>
                </c:pt>
                <c:pt idx="7">
                  <c:v>9600</c:v>
                </c:pt>
                <c:pt idx="8">
                  <c:v>10000</c:v>
                </c:pt>
                <c:pt idx="9">
                  <c:v>10300</c:v>
                </c:pt>
                <c:pt idx="10">
                  <c:v>10600</c:v>
                </c:pt>
                <c:pt idx="11">
                  <c:v>10900</c:v>
                </c:pt>
                <c:pt idx="12">
                  <c:v>11200</c:v>
                </c:pt>
                <c:pt idx="13">
                  <c:v>11400</c:v>
                </c:pt>
                <c:pt idx="14">
                  <c:v>11900</c:v>
                </c:pt>
                <c:pt idx="15">
                  <c:v>12600</c:v>
                </c:pt>
                <c:pt idx="16">
                  <c:v>13400</c:v>
                </c:pt>
                <c:pt idx="17">
                  <c:v>14200</c:v>
                </c:pt>
                <c:pt idx="18">
                  <c:v>12900</c:v>
                </c:pt>
                <c:pt idx="19">
                  <c:v>13500</c:v>
                </c:pt>
                <c:pt idx="20">
                  <c:v>14300</c:v>
                </c:pt>
                <c:pt idx="21">
                  <c:v>14900</c:v>
                </c:pt>
                <c:pt idx="22">
                  <c:v>15600</c:v>
                </c:pt>
                <c:pt idx="23">
                  <c:v>16500</c:v>
                </c:pt>
                <c:pt idx="24">
                  <c:v>17200</c:v>
                </c:pt>
                <c:pt idx="25">
                  <c:v>18200</c:v>
                </c:pt>
                <c:pt idx="26">
                  <c:v>19000</c:v>
                </c:pt>
                <c:pt idx="27">
                  <c:v>20000</c:v>
                </c:pt>
                <c:pt idx="28">
                  <c:v>21000</c:v>
                </c:pt>
                <c:pt idx="29">
                  <c:v>22100</c:v>
                </c:pt>
                <c:pt idx="30">
                  <c:v>0</c:v>
                </c:pt>
                <c:pt idx="31">
                  <c:v>0</c:v>
                </c:pt>
                <c:pt idx="32">
                  <c:v>0</c:v>
                </c:pt>
                <c:pt idx="33">
                  <c:v>0</c:v>
                </c:pt>
                <c:pt idx="34">
                  <c:v>0</c:v>
                </c:pt>
                <c:pt idx="35">
                  <c:v>0</c:v>
                </c:pt>
                <c:pt idx="36">
                  <c:v>0</c:v>
                </c:pt>
                <c:pt idx="37">
                  <c:v>0</c:v>
                </c:pt>
                <c:pt idx="38">
                  <c:v>0</c:v>
                </c:pt>
                <c:pt idx="39">
                  <c:v>0</c:v>
                </c:pt>
              </c:numCache>
            </c:numRef>
          </c:val>
        </c:ser>
        <c:ser>
          <c:idx val="4"/>
          <c:order val="4"/>
          <c:tx>
            <c:v>Roth conv</c:v>
          </c:tx>
          <c:spPr>
            <a:solidFill>
              <a:srgbClr val="C00000"/>
            </a:solidFill>
            <a:ln w="12700">
              <a:solidFill>
                <a:srgbClr val="000000"/>
              </a:solidFill>
              <a:prstDash val="solid"/>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Base!$F$38:$AS$38</c:f>
              <c:numCache>
                <c:formatCode>_(* #,##0_);_(* \(#,##0\);_(* "-"??_);_(@_)</c:formatCode>
                <c:ptCount val="40"/>
              </c:numCache>
            </c:numRef>
          </c:val>
        </c:ser>
        <c:ser>
          <c:idx val="6"/>
          <c:order val="5"/>
          <c:tx>
            <c:v>SS Benefits</c:v>
          </c:tx>
          <c:spPr>
            <a:solidFill>
              <a:srgbClr val="00FFFF"/>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Base!$F$61:$AS$61</c:f>
              <c:numCache>
                <c:formatCode>_(* #,##0_);_(* \(#,##0\);_(* "-"??_);_(@_)</c:formatCode>
                <c:ptCount val="40"/>
                <c:pt idx="0" formatCode="#,##0_);\(#,##0\)">
                  <c:v>0</c:v>
                </c:pt>
                <c:pt idx="1">
                  <c:v>0</c:v>
                </c:pt>
                <c:pt idx="2">
                  <c:v>0</c:v>
                </c:pt>
                <c:pt idx="3">
                  <c:v>0</c:v>
                </c:pt>
                <c:pt idx="4">
                  <c:v>0</c:v>
                </c:pt>
                <c:pt idx="5">
                  <c:v>22100</c:v>
                </c:pt>
                <c:pt idx="6">
                  <c:v>22500</c:v>
                </c:pt>
                <c:pt idx="7">
                  <c:v>23000</c:v>
                </c:pt>
                <c:pt idx="8">
                  <c:v>69900</c:v>
                </c:pt>
                <c:pt idx="9">
                  <c:v>71300</c:v>
                </c:pt>
                <c:pt idx="10">
                  <c:v>72700</c:v>
                </c:pt>
                <c:pt idx="11">
                  <c:v>74200</c:v>
                </c:pt>
                <c:pt idx="12">
                  <c:v>75700</c:v>
                </c:pt>
                <c:pt idx="13">
                  <c:v>77200</c:v>
                </c:pt>
                <c:pt idx="14">
                  <c:v>78700</c:v>
                </c:pt>
                <c:pt idx="15">
                  <c:v>80200</c:v>
                </c:pt>
                <c:pt idx="16">
                  <c:v>63000</c:v>
                </c:pt>
                <c:pt idx="17">
                  <c:v>64200</c:v>
                </c:pt>
                <c:pt idx="18">
                  <c:v>65500</c:v>
                </c:pt>
                <c:pt idx="19">
                  <c:v>66800</c:v>
                </c:pt>
                <c:pt idx="20">
                  <c:v>68100</c:v>
                </c:pt>
                <c:pt idx="21">
                  <c:v>69500</c:v>
                </c:pt>
                <c:pt idx="22">
                  <c:v>70900</c:v>
                </c:pt>
                <c:pt idx="23">
                  <c:v>72300</c:v>
                </c:pt>
                <c:pt idx="24">
                  <c:v>49000</c:v>
                </c:pt>
                <c:pt idx="25">
                  <c:v>50000</c:v>
                </c:pt>
                <c:pt idx="26">
                  <c:v>51000</c:v>
                </c:pt>
                <c:pt idx="27">
                  <c:v>52000</c:v>
                </c:pt>
                <c:pt idx="28">
                  <c:v>53000</c:v>
                </c:pt>
                <c:pt idx="29">
                  <c:v>54100</c:v>
                </c:pt>
                <c:pt idx="30">
                  <c:v>0</c:v>
                </c:pt>
                <c:pt idx="31">
                  <c:v>0</c:v>
                </c:pt>
                <c:pt idx="32">
                  <c:v>0</c:v>
                </c:pt>
                <c:pt idx="33">
                  <c:v>0</c:v>
                </c:pt>
                <c:pt idx="34">
                  <c:v>0</c:v>
                </c:pt>
                <c:pt idx="35">
                  <c:v>0</c:v>
                </c:pt>
                <c:pt idx="36">
                  <c:v>0</c:v>
                </c:pt>
                <c:pt idx="37">
                  <c:v>0</c:v>
                </c:pt>
                <c:pt idx="38">
                  <c:v>0</c:v>
                </c:pt>
                <c:pt idx="39">
                  <c:v>0</c:v>
                </c:pt>
              </c:numCache>
            </c:numRef>
          </c:val>
        </c:ser>
        <c:ser>
          <c:idx val="7"/>
          <c:order val="6"/>
          <c:tx>
            <c:v>Pensions &amp; Other</c:v>
          </c:tx>
          <c:spPr>
            <a:solidFill>
              <a:srgbClr val="CC66FF"/>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Base!$F$70:$AS$70</c:f>
              <c:numCache>
                <c:formatCode>_(* #,##0_);_(* \(#,##0\);_(* "-"??_);_(@_)</c:formatCode>
                <c:ptCount val="40"/>
                <c:pt idx="0" formatCode="#,##0_);\(#,##0\)">
                  <c:v>20000</c:v>
                </c:pt>
                <c:pt idx="1">
                  <c:v>35600</c:v>
                </c:pt>
                <c:pt idx="2">
                  <c:v>21200</c:v>
                </c:pt>
                <c:pt idx="3">
                  <c:v>21900</c:v>
                </c:pt>
                <c:pt idx="4">
                  <c:v>22600</c:v>
                </c:pt>
                <c:pt idx="5">
                  <c:v>23400</c:v>
                </c:pt>
                <c:pt idx="6">
                  <c:v>24200</c:v>
                </c:pt>
                <c:pt idx="7">
                  <c:v>25000</c:v>
                </c:pt>
                <c:pt idx="8">
                  <c:v>25800</c:v>
                </c:pt>
                <c:pt idx="9">
                  <c:v>12500</c:v>
                </c:pt>
                <c:pt idx="10">
                  <c:v>12800</c:v>
                </c:pt>
                <c:pt idx="11">
                  <c:v>13100</c:v>
                </c:pt>
                <c:pt idx="12">
                  <c:v>13400</c:v>
                </c:pt>
                <c:pt idx="13">
                  <c:v>13700</c:v>
                </c:pt>
                <c:pt idx="14">
                  <c:v>14100</c:v>
                </c:pt>
                <c:pt idx="15">
                  <c:v>14500</c:v>
                </c:pt>
                <c:pt idx="16">
                  <c:v>14900</c:v>
                </c:pt>
                <c:pt idx="17">
                  <c:v>15300</c:v>
                </c:pt>
                <c:pt idx="18">
                  <c:v>15700</c:v>
                </c:pt>
                <c:pt idx="19">
                  <c:v>16100</c:v>
                </c:pt>
                <c:pt idx="20">
                  <c:v>16500</c:v>
                </c:pt>
                <c:pt idx="21">
                  <c:v>16900</c:v>
                </c:pt>
                <c:pt idx="22">
                  <c:v>17300</c:v>
                </c:pt>
                <c:pt idx="23">
                  <c:v>17800</c:v>
                </c:pt>
                <c:pt idx="24">
                  <c:v>16300</c:v>
                </c:pt>
                <c:pt idx="25">
                  <c:v>16800</c:v>
                </c:pt>
                <c:pt idx="26">
                  <c:v>17300</c:v>
                </c:pt>
                <c:pt idx="27">
                  <c:v>17800</c:v>
                </c:pt>
                <c:pt idx="28">
                  <c:v>18300</c:v>
                </c:pt>
                <c:pt idx="29">
                  <c:v>18800</c:v>
                </c:pt>
                <c:pt idx="30">
                  <c:v>0</c:v>
                </c:pt>
                <c:pt idx="31">
                  <c:v>0</c:v>
                </c:pt>
                <c:pt idx="32">
                  <c:v>0</c:v>
                </c:pt>
                <c:pt idx="33">
                  <c:v>0</c:v>
                </c:pt>
                <c:pt idx="34">
                  <c:v>0</c:v>
                </c:pt>
                <c:pt idx="35">
                  <c:v>0</c:v>
                </c:pt>
                <c:pt idx="36">
                  <c:v>0</c:v>
                </c:pt>
                <c:pt idx="37">
                  <c:v>0</c:v>
                </c:pt>
                <c:pt idx="38">
                  <c:v>0</c:v>
                </c:pt>
                <c:pt idx="39">
                  <c:v>0</c:v>
                </c:pt>
              </c:numCache>
            </c:numRef>
          </c:val>
        </c:ser>
        <c:ser>
          <c:idx val="8"/>
          <c:order val="7"/>
          <c:tx>
            <c:v>SPIA</c:v>
          </c:tx>
          <c:invertIfNegative val="0"/>
          <c:val>
            <c:numRef>
              <c:f>Base!$F$173:$AS$173</c:f>
            </c:numRef>
          </c:val>
        </c:ser>
        <c:ser>
          <c:idx val="9"/>
          <c:order val="8"/>
          <c:tx>
            <c:v>Donations</c:v>
          </c:tx>
          <c:spPr>
            <a:solidFill>
              <a:srgbClr val="FF00FF"/>
            </a:solidFill>
            <a:ln w="12700">
              <a:solidFill>
                <a:srgbClr val="000000"/>
              </a:solidFill>
              <a:prstDash val="solid"/>
            </a:ln>
          </c:spPr>
          <c:invertIfNegative val="0"/>
          <c:val>
            <c:numRef>
              <c:f>Base!$F$137:$AS$137</c:f>
              <c:numCache>
                <c:formatCode>_(* #,##0_);_(* \(#,##0\);_(* "-"??_);_(@_)</c:formatCode>
                <c:ptCount val="40"/>
                <c:pt idx="0" formatCode="#,##0_);\(#,##0\)">
                  <c:v>0</c:v>
                </c:pt>
                <c:pt idx="1">
                  <c:v>0</c:v>
                </c:pt>
                <c:pt idx="2">
                  <c:v>0</c:v>
                </c:pt>
                <c:pt idx="3">
                  <c:v>0</c:v>
                </c:pt>
                <c:pt idx="4">
                  <c:v>0</c:v>
                </c:pt>
                <c:pt idx="5">
                  <c:v>0</c:v>
                </c:pt>
                <c:pt idx="6">
                  <c:v>0</c:v>
                </c:pt>
                <c:pt idx="7">
                  <c:v>0</c:v>
                </c:pt>
                <c:pt idx="8">
                  <c:v>0</c:v>
                </c:pt>
                <c:pt idx="9">
                  <c:v>-15000</c:v>
                </c:pt>
                <c:pt idx="10">
                  <c:v>-15000</c:v>
                </c:pt>
                <c:pt idx="11">
                  <c:v>-15000</c:v>
                </c:pt>
                <c:pt idx="12">
                  <c:v>-15000</c:v>
                </c:pt>
                <c:pt idx="13">
                  <c:v>-15000</c:v>
                </c:pt>
                <c:pt idx="14">
                  <c:v>0</c:v>
                </c:pt>
                <c:pt idx="15">
                  <c:v>0</c:v>
                </c:pt>
                <c:pt idx="16">
                  <c:v>0</c:v>
                </c:pt>
                <c:pt idx="17">
                  <c:v>0</c:v>
                </c:pt>
                <c:pt idx="18">
                  <c:v>-5000</c:v>
                </c:pt>
                <c:pt idx="19">
                  <c:v>-5000</c:v>
                </c:pt>
                <c:pt idx="20">
                  <c:v>-5000</c:v>
                </c:pt>
                <c:pt idx="21">
                  <c:v>-5000</c:v>
                </c:pt>
                <c:pt idx="22">
                  <c:v>-5000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50"/>
        <c:overlap val="100"/>
        <c:axId val="359255888"/>
        <c:axId val="359256976"/>
      </c:barChart>
      <c:catAx>
        <c:axId val="359255888"/>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359256976"/>
        <c:crosses val="autoZero"/>
        <c:auto val="0"/>
        <c:lblAlgn val="ctr"/>
        <c:lblOffset val="100"/>
        <c:tickLblSkip val="3"/>
        <c:tickMarkSkip val="1"/>
        <c:noMultiLvlLbl val="0"/>
      </c:catAx>
      <c:valAx>
        <c:axId val="359256976"/>
        <c:scaling>
          <c:orientation val="minMax"/>
          <c:min val="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59255888"/>
        <c:crosses val="autoZero"/>
        <c:crossBetween val="between"/>
        <c:dispUnits>
          <c:builtInUnit val="thousands"/>
          <c:dispUnitsLbl>
            <c:layout>
              <c:manualLayout>
                <c:xMode val="edge"/>
                <c:yMode val="edge"/>
                <c:x val="6.9855156994264589E-3"/>
                <c:y val="0.36921041119860015"/>
              </c:manualLayout>
            </c:layout>
            <c:txPr>
              <a:bodyPr/>
              <a:lstStyle/>
              <a:p>
                <a:pPr>
                  <a:defRPr sz="1000"/>
                </a:pPr>
                <a:endParaRPr lang="en-US"/>
              </a:p>
            </c:txPr>
          </c:dispUnitsLbl>
        </c:dispUnits>
      </c:valAx>
      <c:spPr>
        <a:solidFill>
          <a:srgbClr val="FFFFFF"/>
        </a:solidFill>
        <a:ln w="12700">
          <a:solidFill>
            <a:srgbClr val="808080"/>
          </a:solidFill>
          <a:prstDash val="solid"/>
        </a:ln>
      </c:spPr>
    </c:plotArea>
    <c:legend>
      <c:legendPos val="b"/>
      <c:layout>
        <c:manualLayout>
          <c:xMode val="edge"/>
          <c:yMode val="edge"/>
          <c:x val="0.15907667584140478"/>
          <c:y val="0.12923272286276719"/>
          <c:w val="0.81051864852623512"/>
          <c:h val="0.16260988837238721"/>
        </c:manualLayout>
      </c:layout>
      <c:overlay val="0"/>
      <c:spPr>
        <a:solidFill>
          <a:schemeClr val="accent3">
            <a:lumMod val="20000"/>
            <a:lumOff val="80000"/>
          </a:schemeClr>
        </a:solid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accent3">
        <a:lumMod val="20000"/>
        <a:lumOff val="80000"/>
      </a:schemeClr>
    </a:solidFill>
    <a:ln w="6350">
      <a:noFill/>
    </a:ln>
  </c:spPr>
  <c:txPr>
    <a:bodyPr/>
    <a:lstStyle/>
    <a:p>
      <a:pPr>
        <a:defRPr sz="1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200" b="1" i="0" u="none" strike="noStrike" baseline="0">
                <a:solidFill>
                  <a:srgbClr val="000000"/>
                </a:solidFill>
                <a:latin typeface="Arial"/>
                <a:ea typeface="Arial"/>
                <a:cs typeface="Arial"/>
              </a:defRPr>
            </a:pPr>
            <a:r>
              <a:rPr lang="en-US"/>
              <a:t>Portfolio Balance at Year End</a:t>
            </a:r>
          </a:p>
        </c:rich>
      </c:tx>
      <c:layout>
        <c:manualLayout>
          <c:xMode val="edge"/>
          <c:yMode val="edge"/>
          <c:x val="0.21569581146106737"/>
          <c:y val="4.1644356955380581E-2"/>
        </c:manualLayout>
      </c:layout>
      <c:overlay val="0"/>
      <c:spPr>
        <a:noFill/>
        <a:ln w="25400">
          <a:noFill/>
        </a:ln>
      </c:spPr>
    </c:title>
    <c:autoTitleDeleted val="0"/>
    <c:plotArea>
      <c:layout>
        <c:manualLayout>
          <c:layoutTarget val="inner"/>
          <c:xMode val="edge"/>
          <c:yMode val="edge"/>
          <c:x val="0.17540851853900549"/>
          <c:y val="0.18274846894138233"/>
          <c:w val="0.80309586429132895"/>
          <c:h val="0.66373753280839898"/>
        </c:manualLayout>
      </c:layout>
      <c:barChart>
        <c:barDir val="col"/>
        <c:grouping val="clustered"/>
        <c:varyColors val="0"/>
        <c:ser>
          <c:idx val="0"/>
          <c:order val="0"/>
          <c:tx>
            <c:v>Portfolio</c:v>
          </c:tx>
          <c:spPr>
            <a:solidFill>
              <a:srgbClr val="0000FF"/>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Details!$F$259:$AS$259</c:f>
              <c:numCache>
                <c:formatCode>_(* #,##0_);_(* \(#,##0\);_(* "-"??_);_(@_)</c:formatCode>
                <c:ptCount val="40"/>
                <c:pt idx="0" formatCode="#,##0_);\(#,##0\)">
                  <c:v>1003900</c:v>
                </c:pt>
                <c:pt idx="1">
                  <c:v>1020200</c:v>
                </c:pt>
                <c:pt idx="2">
                  <c:v>1023600</c:v>
                </c:pt>
                <c:pt idx="3">
                  <c:v>1026400</c:v>
                </c:pt>
                <c:pt idx="4">
                  <c:v>1028500</c:v>
                </c:pt>
                <c:pt idx="5">
                  <c:v>1050200</c:v>
                </c:pt>
                <c:pt idx="6">
                  <c:v>1072700</c:v>
                </c:pt>
                <c:pt idx="7">
                  <c:v>1094600</c:v>
                </c:pt>
                <c:pt idx="8">
                  <c:v>1169500</c:v>
                </c:pt>
                <c:pt idx="9">
                  <c:v>1219000</c:v>
                </c:pt>
                <c:pt idx="10">
                  <c:v>1189100</c:v>
                </c:pt>
                <c:pt idx="11">
                  <c:v>1340600</c:v>
                </c:pt>
                <c:pt idx="12">
                  <c:v>1377500</c:v>
                </c:pt>
                <c:pt idx="13">
                  <c:v>1436400</c:v>
                </c:pt>
                <c:pt idx="14">
                  <c:v>1417200</c:v>
                </c:pt>
                <c:pt idx="15">
                  <c:v>1599600</c:v>
                </c:pt>
                <c:pt idx="16">
                  <c:v>1671600</c:v>
                </c:pt>
                <c:pt idx="17">
                  <c:v>1746500</c:v>
                </c:pt>
                <c:pt idx="18">
                  <c:v>1786500</c:v>
                </c:pt>
                <c:pt idx="19">
                  <c:v>1827200</c:v>
                </c:pt>
                <c:pt idx="20">
                  <c:v>1868600</c:v>
                </c:pt>
                <c:pt idx="21">
                  <c:v>1910200</c:v>
                </c:pt>
                <c:pt idx="22">
                  <c:v>2356100</c:v>
                </c:pt>
                <c:pt idx="23">
                  <c:v>2414800</c:v>
                </c:pt>
                <c:pt idx="24">
                  <c:v>2544900</c:v>
                </c:pt>
                <c:pt idx="25">
                  <c:v>2576100</c:v>
                </c:pt>
                <c:pt idx="26">
                  <c:v>2606300</c:v>
                </c:pt>
                <c:pt idx="27">
                  <c:v>2638500</c:v>
                </c:pt>
                <c:pt idx="28">
                  <c:v>2670800</c:v>
                </c:pt>
                <c:pt idx="29">
                  <c:v>2702400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50"/>
        <c:axId val="359256432"/>
        <c:axId val="359258608"/>
      </c:barChart>
      <c:catAx>
        <c:axId val="359256432"/>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359258608"/>
        <c:crosses val="autoZero"/>
        <c:auto val="1"/>
        <c:lblAlgn val="ctr"/>
        <c:lblOffset val="100"/>
        <c:tickLblSkip val="3"/>
        <c:tickMarkSkip val="1"/>
        <c:noMultiLvlLbl val="0"/>
      </c:catAx>
      <c:valAx>
        <c:axId val="359258608"/>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59256432"/>
        <c:crosses val="autoZero"/>
        <c:crossBetween val="between"/>
        <c:dispUnits>
          <c:builtInUnit val="thousands"/>
          <c:dispUnitsLbl>
            <c:layout>
              <c:manualLayout>
                <c:xMode val="edge"/>
                <c:yMode val="edge"/>
                <c:x val="5.9626531058617665E-3"/>
                <c:y val="0.38865879265091863"/>
              </c:manualLayout>
            </c:layout>
            <c:txPr>
              <a:bodyPr/>
              <a:lstStyle/>
              <a:p>
                <a:pPr>
                  <a:defRPr sz="1000"/>
                </a:pPr>
                <a:endParaRPr lang="en-US"/>
              </a:p>
            </c:txPr>
          </c:dispUnitsLbl>
        </c:dispUnits>
      </c:valAx>
      <c:spPr>
        <a:solidFill>
          <a:srgbClr val="FFFFFF"/>
        </a:solidFill>
        <a:ln w="12700">
          <a:solidFill>
            <a:srgbClr val="808080"/>
          </a:solidFill>
          <a:prstDash val="solid"/>
        </a:ln>
      </c:spPr>
    </c:plotArea>
    <c:plotVisOnly val="1"/>
    <c:dispBlanksAs val="gap"/>
    <c:showDLblsOverMax val="0"/>
  </c:chart>
  <c:spPr>
    <a:solidFill>
      <a:schemeClr val="accent3">
        <a:lumMod val="20000"/>
        <a:lumOff val="80000"/>
      </a:schemeClr>
    </a:solid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0" verticalDpi="0"/>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200" b="1" i="0" u="none" strike="noStrike" baseline="0">
                <a:solidFill>
                  <a:srgbClr val="000000"/>
                </a:solidFill>
                <a:latin typeface="Arial"/>
                <a:ea typeface="Arial"/>
                <a:cs typeface="Arial"/>
              </a:defRPr>
            </a:pPr>
            <a:r>
              <a:rPr lang="en-US"/>
              <a:t>Annual Withdrawal Rates</a:t>
            </a:r>
          </a:p>
        </c:rich>
      </c:tx>
      <c:layout>
        <c:manualLayout>
          <c:xMode val="edge"/>
          <c:yMode val="edge"/>
          <c:x val="0.26721964901446144"/>
          <c:y val="4.2717847769028872E-2"/>
        </c:manualLayout>
      </c:layout>
      <c:overlay val="0"/>
      <c:spPr>
        <a:noFill/>
        <a:ln w="25400">
          <a:noFill/>
        </a:ln>
      </c:spPr>
    </c:title>
    <c:autoTitleDeleted val="0"/>
    <c:plotArea>
      <c:layout>
        <c:manualLayout>
          <c:layoutTarget val="inner"/>
          <c:xMode val="edge"/>
          <c:yMode val="edge"/>
          <c:x val="0.16302198747601368"/>
          <c:y val="0.20270345505630719"/>
          <c:w val="0.79854260265180554"/>
          <c:h val="0.64954855643044618"/>
        </c:manualLayout>
      </c:layout>
      <c:lineChart>
        <c:grouping val="standard"/>
        <c:varyColors val="0"/>
        <c:ser>
          <c:idx val="1"/>
          <c:order val="0"/>
          <c:tx>
            <c:v>Base</c:v>
          </c:tx>
          <c:spPr>
            <a:ln w="19050">
              <a:noFill/>
            </a:ln>
          </c:spPr>
          <c:marker>
            <c:symbol val="square"/>
            <c:size val="5"/>
            <c:spPr>
              <a:noFill/>
              <a:ln w="6350">
                <a:noFill/>
              </a:ln>
            </c:spPr>
          </c:marker>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Results!$F$200:$AS$200</c:f>
              <c:numCache>
                <c:formatCode>0.0%</c:formatCode>
                <c:ptCount val="40"/>
                <c:pt idx="0">
                  <c:v>5.1159999999999997E-2</c:v>
                </c:pt>
                <c:pt idx="1">
                  <c:v>3.9326626157983866E-2</c:v>
                </c:pt>
                <c:pt idx="2">
                  <c:v>5.1989805920407764E-2</c:v>
                </c:pt>
                <c:pt idx="3">
                  <c:v>5.2930832356389214E-2</c:v>
                </c:pt>
                <c:pt idx="4">
                  <c:v>5.3897116134060792E-2</c:v>
                </c:pt>
                <c:pt idx="5">
                  <c:v>3.5352455031599415E-2</c:v>
                </c:pt>
                <c:pt idx="6">
                  <c:v>3.4717196724433443E-2</c:v>
                </c:pt>
                <c:pt idx="7">
                  <c:v>3.5480563065162674E-2</c:v>
                </c:pt>
                <c:pt idx="8">
                  <c:v>-1.165722638406724E-2</c:v>
                </c:pt>
                <c:pt idx="9">
                  <c:v>2.0521590423257802E-4</c:v>
                </c:pt>
                <c:pt idx="10">
                  <c:v>3.4454470877768662E-4</c:v>
                </c:pt>
                <c:pt idx="11">
                  <c:v>3.3638886552855103E-4</c:v>
                </c:pt>
                <c:pt idx="12">
                  <c:v>5.967477248992988E-4</c:v>
                </c:pt>
                <c:pt idx="13">
                  <c:v>4.2105263157894739E-4</c:v>
                </c:pt>
                <c:pt idx="14">
                  <c:v>-3.6201615148983568E-3</c:v>
                </c:pt>
                <c:pt idx="15">
                  <c:v>-2.9635901778154107E-3</c:v>
                </c:pt>
                <c:pt idx="16">
                  <c:v>7.7769442360590144E-3</c:v>
                </c:pt>
                <c:pt idx="17">
                  <c:v>7.190715482172769E-3</c:v>
                </c:pt>
                <c:pt idx="18">
                  <c:v>1.8448325221872317E-2</c:v>
                </c:pt>
                <c:pt idx="19">
                  <c:v>1.8247970892807164E-2</c:v>
                </c:pt>
                <c:pt idx="20">
                  <c:v>1.8169877408056041E-2</c:v>
                </c:pt>
                <c:pt idx="21">
                  <c:v>1.8174034036176817E-2</c:v>
                </c:pt>
                <c:pt idx="22">
                  <c:v>1.8584441419746623E-2</c:v>
                </c:pt>
                <c:pt idx="23">
                  <c:v>1.4337252238869318E-2</c:v>
                </c:pt>
                <c:pt idx="24">
                  <c:v>2.6668875269173432E-2</c:v>
                </c:pt>
                <c:pt idx="25">
                  <c:v>2.5604149475421431E-2</c:v>
                </c:pt>
                <c:pt idx="26">
                  <c:v>2.5689996506346804E-2</c:v>
                </c:pt>
                <c:pt idx="27">
                  <c:v>2.4839811226643135E-2</c:v>
                </c:pt>
                <c:pt idx="28">
                  <c:v>2.4786810687890848E-2</c:v>
                </c:pt>
                <c:pt idx="29">
                  <c:v>2.4936348659577653E-2</c:v>
                </c:pt>
                <c:pt idx="30">
                  <c:v>0</c:v>
                </c:pt>
                <c:pt idx="31">
                  <c:v>0</c:v>
                </c:pt>
                <c:pt idx="32">
                  <c:v>0</c:v>
                </c:pt>
                <c:pt idx="33">
                  <c:v>0</c:v>
                </c:pt>
                <c:pt idx="34">
                  <c:v>0</c:v>
                </c:pt>
                <c:pt idx="35">
                  <c:v>0</c:v>
                </c:pt>
                <c:pt idx="36">
                  <c:v>0</c:v>
                </c:pt>
                <c:pt idx="37">
                  <c:v>0</c:v>
                </c:pt>
                <c:pt idx="38">
                  <c:v>0</c:v>
                </c:pt>
                <c:pt idx="39">
                  <c:v>0</c:v>
                </c:pt>
              </c:numCache>
            </c:numRef>
          </c:val>
          <c:smooth val="0"/>
        </c:ser>
        <c:ser>
          <c:idx val="0"/>
          <c:order val="1"/>
          <c:tx>
            <c:v>Full</c:v>
          </c:tx>
          <c:spPr>
            <a:ln w="19050">
              <a:noFill/>
            </a:ln>
          </c:spPr>
          <c:marker>
            <c:symbol val="square"/>
            <c:size val="5"/>
            <c:spPr>
              <a:solidFill>
                <a:srgbClr val="0070C0"/>
              </a:solidFill>
              <a:ln>
                <a:solidFill>
                  <a:srgbClr val="0000FF"/>
                </a:solidFill>
                <a:prstDash val="solid"/>
              </a:ln>
            </c:spPr>
          </c:marker>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Results!$F$20:$AS$20</c:f>
              <c:numCache>
                <c:formatCode>0.0%</c:formatCode>
                <c:ptCount val="40"/>
                <c:pt idx="0">
                  <c:v>5.1159999999999997E-2</c:v>
                </c:pt>
                <c:pt idx="1">
                  <c:v>3.9326626157983866E-2</c:v>
                </c:pt>
                <c:pt idx="2">
                  <c:v>5.1989805920407764E-2</c:v>
                </c:pt>
                <c:pt idx="3">
                  <c:v>5.2930832356389214E-2</c:v>
                </c:pt>
                <c:pt idx="4">
                  <c:v>5.3897116134060792E-2</c:v>
                </c:pt>
                <c:pt idx="5">
                  <c:v>3.5352455031599415E-2</c:v>
                </c:pt>
                <c:pt idx="6">
                  <c:v>3.4717196724433443E-2</c:v>
                </c:pt>
                <c:pt idx="7">
                  <c:v>3.5480563065162674E-2</c:v>
                </c:pt>
                <c:pt idx="8">
                  <c:v>0</c:v>
                </c:pt>
                <c:pt idx="9">
                  <c:v>2.0521590423257802E-4</c:v>
                </c:pt>
                <c:pt idx="10">
                  <c:v>3.4454470877768662E-4</c:v>
                </c:pt>
                <c:pt idx="11">
                  <c:v>3.3638886552855103E-4</c:v>
                </c:pt>
                <c:pt idx="12">
                  <c:v>5.967477248992988E-4</c:v>
                </c:pt>
                <c:pt idx="13">
                  <c:v>4.2105263157894739E-4</c:v>
                </c:pt>
                <c:pt idx="14">
                  <c:v>0</c:v>
                </c:pt>
                <c:pt idx="15">
                  <c:v>0</c:v>
                </c:pt>
                <c:pt idx="16">
                  <c:v>7.7769442360590144E-3</c:v>
                </c:pt>
                <c:pt idx="17">
                  <c:v>7.190715482172769E-3</c:v>
                </c:pt>
                <c:pt idx="18">
                  <c:v>1.8448325221872317E-2</c:v>
                </c:pt>
                <c:pt idx="19">
                  <c:v>1.8247970892807164E-2</c:v>
                </c:pt>
                <c:pt idx="20">
                  <c:v>1.8169877408056041E-2</c:v>
                </c:pt>
                <c:pt idx="21">
                  <c:v>1.8174034036176817E-2</c:v>
                </c:pt>
                <c:pt idx="22">
                  <c:v>1.8584441419746623E-2</c:v>
                </c:pt>
                <c:pt idx="23">
                  <c:v>1.4337252238869318E-2</c:v>
                </c:pt>
                <c:pt idx="24">
                  <c:v>2.6668875269173432E-2</c:v>
                </c:pt>
                <c:pt idx="25">
                  <c:v>2.5604149475421431E-2</c:v>
                </c:pt>
                <c:pt idx="26">
                  <c:v>2.5689996506346804E-2</c:v>
                </c:pt>
                <c:pt idx="27">
                  <c:v>2.4839811226643135E-2</c:v>
                </c:pt>
                <c:pt idx="28">
                  <c:v>2.4786810687890848E-2</c:v>
                </c:pt>
                <c:pt idx="29">
                  <c:v>2.4936348659577653E-2</c:v>
                </c:pt>
                <c:pt idx="30">
                  <c:v>0</c:v>
                </c:pt>
                <c:pt idx="31">
                  <c:v>0</c:v>
                </c:pt>
                <c:pt idx="32">
                  <c:v>0</c:v>
                </c:pt>
                <c:pt idx="33">
                  <c:v>0</c:v>
                </c:pt>
                <c:pt idx="34">
                  <c:v>0</c:v>
                </c:pt>
                <c:pt idx="35">
                  <c:v>0</c:v>
                </c:pt>
                <c:pt idx="36">
                  <c:v>0</c:v>
                </c:pt>
                <c:pt idx="37">
                  <c:v>0</c:v>
                </c:pt>
                <c:pt idx="38">
                  <c:v>0</c:v>
                </c:pt>
                <c:pt idx="39">
                  <c:v>0</c:v>
                </c:pt>
              </c:numCache>
            </c:numRef>
          </c:val>
          <c:smooth val="0"/>
        </c:ser>
        <c:dLbls>
          <c:showLegendKey val="0"/>
          <c:showVal val="0"/>
          <c:showCatName val="0"/>
          <c:showSerName val="0"/>
          <c:showPercent val="0"/>
          <c:showBubbleSize val="0"/>
        </c:dLbls>
        <c:marker val="1"/>
        <c:smooth val="0"/>
        <c:axId val="359259152"/>
        <c:axId val="2119362960"/>
      </c:lineChart>
      <c:catAx>
        <c:axId val="359259152"/>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19362960"/>
        <c:crosses val="autoZero"/>
        <c:auto val="1"/>
        <c:lblAlgn val="ctr"/>
        <c:lblOffset val="100"/>
        <c:tickLblSkip val="3"/>
        <c:tickMarkSkip val="1"/>
        <c:noMultiLvlLbl val="0"/>
      </c:catAx>
      <c:valAx>
        <c:axId val="2119362960"/>
        <c:scaling>
          <c:orientation val="minMax"/>
          <c:min val="0"/>
        </c:scaling>
        <c:delete val="0"/>
        <c:axPos val="l"/>
        <c:majorGridlines>
          <c:spPr>
            <a:ln w="3175">
              <a:solidFill>
                <a:srgbClr val="00000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59259152"/>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chemeClr val="accent3">
        <a:lumMod val="20000"/>
        <a:lumOff val="80000"/>
      </a:schemeClr>
    </a:solid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200" b="1" i="0" u="none" strike="noStrike" baseline="0">
                <a:solidFill>
                  <a:srgbClr val="000000"/>
                </a:solidFill>
                <a:latin typeface="Arial"/>
                <a:ea typeface="Arial"/>
                <a:cs typeface="Arial"/>
              </a:defRPr>
            </a:pPr>
            <a:r>
              <a:rPr lang="en-US" sz="1200"/>
              <a:t>Income and Expenses</a:t>
            </a:r>
          </a:p>
        </c:rich>
      </c:tx>
      <c:layout>
        <c:manualLayout>
          <c:xMode val="edge"/>
          <c:yMode val="edge"/>
          <c:x val="0.10677525603417222"/>
          <c:y val="3.4727034120734905E-2"/>
        </c:manualLayout>
      </c:layout>
      <c:overlay val="0"/>
      <c:spPr>
        <a:noFill/>
        <a:ln w="25400">
          <a:noFill/>
        </a:ln>
      </c:spPr>
    </c:title>
    <c:autoTitleDeleted val="0"/>
    <c:plotArea>
      <c:layout>
        <c:manualLayout>
          <c:layoutTarget val="inner"/>
          <c:xMode val="edge"/>
          <c:yMode val="edge"/>
          <c:x val="0.16059235242653494"/>
          <c:y val="0.20600612423447071"/>
          <c:w val="0.81841541866090284"/>
          <c:h val="0.64234339457567802"/>
        </c:manualLayout>
      </c:layout>
      <c:barChart>
        <c:barDir val="col"/>
        <c:grouping val="clustered"/>
        <c:varyColors val="0"/>
        <c:ser>
          <c:idx val="0"/>
          <c:order val="0"/>
          <c:tx>
            <c:v>Expenses</c:v>
          </c:tx>
          <c:spPr>
            <a:solidFill>
              <a:srgbClr val="0000FF"/>
            </a:solidFill>
            <a:ln w="25400">
              <a:noFill/>
            </a:ln>
          </c:spPr>
          <c:invertIfNegative val="0"/>
          <c:cat>
            <c:numRef>
              <c:f>Details!$F$4:$AS$4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Details!$F$144:$AS$144</c:f>
              <c:numCache>
                <c:formatCode>_(* #,##0_);_(* \(#,##0\);_(* "-"??_);_(@_)</c:formatCode>
                <c:ptCount val="40"/>
                <c:pt idx="0" formatCode="#,##0_);\(#,##0\)">
                  <c:v>70000</c:v>
                </c:pt>
                <c:pt idx="1">
                  <c:v>71400</c:v>
                </c:pt>
                <c:pt idx="2">
                  <c:v>72800</c:v>
                </c:pt>
                <c:pt idx="3">
                  <c:v>74300</c:v>
                </c:pt>
                <c:pt idx="4">
                  <c:v>75800</c:v>
                </c:pt>
                <c:pt idx="5">
                  <c:v>77300</c:v>
                </c:pt>
                <c:pt idx="6">
                  <c:v>78800</c:v>
                </c:pt>
                <c:pt idx="7">
                  <c:v>80400</c:v>
                </c:pt>
                <c:pt idx="8">
                  <c:v>82000</c:v>
                </c:pt>
                <c:pt idx="9">
                  <c:v>83600</c:v>
                </c:pt>
                <c:pt idx="10">
                  <c:v>85300</c:v>
                </c:pt>
                <c:pt idx="11">
                  <c:v>87000</c:v>
                </c:pt>
                <c:pt idx="12">
                  <c:v>88700</c:v>
                </c:pt>
                <c:pt idx="13">
                  <c:v>90500</c:v>
                </c:pt>
                <c:pt idx="14">
                  <c:v>92300</c:v>
                </c:pt>
                <c:pt idx="15">
                  <c:v>94100</c:v>
                </c:pt>
                <c:pt idx="16">
                  <c:v>96000</c:v>
                </c:pt>
                <c:pt idx="17">
                  <c:v>97900</c:v>
                </c:pt>
                <c:pt idx="18">
                  <c:v>119800</c:v>
                </c:pt>
                <c:pt idx="19">
                  <c:v>122200</c:v>
                </c:pt>
                <c:pt idx="20">
                  <c:v>124600</c:v>
                </c:pt>
                <c:pt idx="21">
                  <c:v>127100</c:v>
                </c:pt>
                <c:pt idx="22">
                  <c:v>129600</c:v>
                </c:pt>
                <c:pt idx="23">
                  <c:v>132200</c:v>
                </c:pt>
                <c:pt idx="24">
                  <c:v>134800</c:v>
                </c:pt>
                <c:pt idx="25">
                  <c:v>137500</c:v>
                </c:pt>
                <c:pt idx="26">
                  <c:v>140300</c:v>
                </c:pt>
                <c:pt idx="27">
                  <c:v>143100</c:v>
                </c:pt>
                <c:pt idx="28">
                  <c:v>146000</c:v>
                </c:pt>
                <c:pt idx="29">
                  <c:v>148900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40"/>
        <c:axId val="2119360784"/>
        <c:axId val="2119361328"/>
      </c:barChart>
      <c:lineChart>
        <c:grouping val="standard"/>
        <c:varyColors val="0"/>
        <c:ser>
          <c:idx val="1"/>
          <c:order val="2"/>
          <c:tx>
            <c:v>Income</c:v>
          </c:tx>
          <c:spPr>
            <a:ln w="19050">
              <a:noFill/>
            </a:ln>
          </c:spPr>
          <c:marker>
            <c:spPr>
              <a:solidFill>
                <a:srgbClr val="FF0000"/>
              </a:solidFill>
            </c:spPr>
          </c:marker>
          <c:val>
            <c:numRef>
              <c:f>Details!$F$71:$AS$71</c:f>
              <c:numCache>
                <c:formatCode>_(* #,##0_);_(* \(#,##0\);_(* "-"??_);_(@_)</c:formatCode>
                <c:ptCount val="40"/>
                <c:pt idx="0" formatCode="#,##0_);\(#,##0\)">
                  <c:v>78900</c:v>
                </c:pt>
                <c:pt idx="1">
                  <c:v>95100</c:v>
                </c:pt>
                <c:pt idx="2">
                  <c:v>81200</c:v>
                </c:pt>
                <c:pt idx="3">
                  <c:v>82200</c:v>
                </c:pt>
                <c:pt idx="4">
                  <c:v>83100</c:v>
                </c:pt>
                <c:pt idx="5">
                  <c:v>106600</c:v>
                </c:pt>
                <c:pt idx="6">
                  <c:v>108900</c:v>
                </c:pt>
                <c:pt idx="7">
                  <c:v>111400</c:v>
                </c:pt>
                <c:pt idx="8">
                  <c:v>161600</c:v>
                </c:pt>
                <c:pt idx="9">
                  <c:v>152900</c:v>
                </c:pt>
                <c:pt idx="10">
                  <c:v>155300</c:v>
                </c:pt>
                <c:pt idx="11">
                  <c:v>158800</c:v>
                </c:pt>
                <c:pt idx="12">
                  <c:v>167400</c:v>
                </c:pt>
                <c:pt idx="13">
                  <c:v>171700</c:v>
                </c:pt>
                <c:pt idx="14">
                  <c:v>183800</c:v>
                </c:pt>
                <c:pt idx="15">
                  <c:v>189100</c:v>
                </c:pt>
                <c:pt idx="16">
                  <c:v>180300</c:v>
                </c:pt>
                <c:pt idx="17">
                  <c:v>185500</c:v>
                </c:pt>
                <c:pt idx="18">
                  <c:v>176500</c:v>
                </c:pt>
                <c:pt idx="19">
                  <c:v>179800</c:v>
                </c:pt>
                <c:pt idx="20">
                  <c:v>183400</c:v>
                </c:pt>
                <c:pt idx="21">
                  <c:v>186800</c:v>
                </c:pt>
                <c:pt idx="22">
                  <c:v>198400</c:v>
                </c:pt>
                <c:pt idx="23">
                  <c:v>210500</c:v>
                </c:pt>
                <c:pt idx="24">
                  <c:v>189400</c:v>
                </c:pt>
                <c:pt idx="25">
                  <c:v>194200</c:v>
                </c:pt>
                <c:pt idx="26">
                  <c:v>196400</c:v>
                </c:pt>
                <c:pt idx="27">
                  <c:v>199100</c:v>
                </c:pt>
                <c:pt idx="28">
                  <c:v>202000</c:v>
                </c:pt>
                <c:pt idx="29">
                  <c:v>204700</c:v>
                </c:pt>
                <c:pt idx="30">
                  <c:v>0</c:v>
                </c:pt>
                <c:pt idx="31">
                  <c:v>0</c:v>
                </c:pt>
                <c:pt idx="32">
                  <c:v>0</c:v>
                </c:pt>
                <c:pt idx="33">
                  <c:v>0</c:v>
                </c:pt>
                <c:pt idx="34">
                  <c:v>0</c:v>
                </c:pt>
                <c:pt idx="35">
                  <c:v>0</c:v>
                </c:pt>
                <c:pt idx="36">
                  <c:v>0</c:v>
                </c:pt>
                <c:pt idx="37">
                  <c:v>0</c:v>
                </c:pt>
                <c:pt idx="38">
                  <c:v>0</c:v>
                </c:pt>
                <c:pt idx="39">
                  <c:v>0</c:v>
                </c:pt>
              </c:numCache>
            </c:numRef>
          </c:val>
          <c:smooth val="0"/>
        </c:ser>
        <c:dLbls>
          <c:showLegendKey val="0"/>
          <c:showVal val="0"/>
          <c:showCatName val="0"/>
          <c:showSerName val="0"/>
          <c:showPercent val="0"/>
          <c:showBubbleSize val="0"/>
        </c:dLbls>
        <c:marker val="1"/>
        <c:smooth val="0"/>
        <c:axId val="2119360784"/>
        <c:axId val="2119361328"/>
        <c:extLst>
          <c:ext xmlns:c15="http://schemas.microsoft.com/office/drawing/2012/chart" uri="{02D57815-91ED-43cb-92C2-25804820EDAC}">
            <c15:filteredLineSeries>
              <c15:ser>
                <c:idx val="2"/>
                <c:order val="1"/>
                <c:tx>
                  <c:v>SS Benefits</c:v>
                </c:tx>
                <c:spPr>
                  <a:ln w="19050">
                    <a:noFill/>
                  </a:ln>
                </c:spPr>
                <c:marker>
                  <c:symbol val="dash"/>
                  <c:size val="10"/>
                  <c:spPr>
                    <a:solidFill>
                      <a:srgbClr val="FF0000"/>
                    </a:solidFill>
                    <a:ln>
                      <a:solidFill>
                        <a:srgbClr val="FF0000"/>
                      </a:solidFill>
                      <a:prstDash val="solid"/>
                    </a:ln>
                  </c:spPr>
                </c:marker>
                <c:cat>
                  <c:numRef>
                    <c:extLst>
                      <c:ext uri="{02D57815-91ED-43cb-92C2-25804820EDAC}">
                        <c15:formulaRef>
                          <c15:sqref>Details!$F$4:$AS$4</c15:sqref>
                        </c15:formulaRef>
                      </c:ext>
                    </c:extLst>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extLst>
                      <c:ext uri="{02D57815-91ED-43cb-92C2-25804820EDAC}">
                        <c15:formulaRef>
                          <c15:sqref>Details!$F$61:$AS$61</c15:sqref>
                        </c15:formulaRef>
                      </c:ext>
                    </c:extLst>
                    <c:numCache>
                      <c:formatCode>_(* #,##0_);_(* \(#,##0\);_(* "-"??_);_(@_)</c:formatCode>
                      <c:ptCount val="40"/>
                      <c:pt idx="0" formatCode="#,##0_);\(#,##0\)">
                        <c:v>0</c:v>
                      </c:pt>
                      <c:pt idx="1">
                        <c:v>0</c:v>
                      </c:pt>
                      <c:pt idx="2">
                        <c:v>0</c:v>
                      </c:pt>
                      <c:pt idx="3">
                        <c:v>0</c:v>
                      </c:pt>
                      <c:pt idx="4">
                        <c:v>0</c:v>
                      </c:pt>
                      <c:pt idx="5">
                        <c:v>22100</c:v>
                      </c:pt>
                      <c:pt idx="6">
                        <c:v>22500</c:v>
                      </c:pt>
                      <c:pt idx="7">
                        <c:v>23000</c:v>
                      </c:pt>
                      <c:pt idx="8">
                        <c:v>69900</c:v>
                      </c:pt>
                      <c:pt idx="9">
                        <c:v>71300</c:v>
                      </c:pt>
                      <c:pt idx="10">
                        <c:v>72700</c:v>
                      </c:pt>
                      <c:pt idx="11">
                        <c:v>74200</c:v>
                      </c:pt>
                      <c:pt idx="12">
                        <c:v>75700</c:v>
                      </c:pt>
                      <c:pt idx="13">
                        <c:v>77200</c:v>
                      </c:pt>
                      <c:pt idx="14">
                        <c:v>78700</c:v>
                      </c:pt>
                      <c:pt idx="15">
                        <c:v>80200</c:v>
                      </c:pt>
                      <c:pt idx="16">
                        <c:v>63000</c:v>
                      </c:pt>
                      <c:pt idx="17">
                        <c:v>64200</c:v>
                      </c:pt>
                      <c:pt idx="18">
                        <c:v>65500</c:v>
                      </c:pt>
                      <c:pt idx="19">
                        <c:v>66800</c:v>
                      </c:pt>
                      <c:pt idx="20">
                        <c:v>68100</c:v>
                      </c:pt>
                      <c:pt idx="21">
                        <c:v>69500</c:v>
                      </c:pt>
                      <c:pt idx="22">
                        <c:v>70900</c:v>
                      </c:pt>
                      <c:pt idx="23">
                        <c:v>72300</c:v>
                      </c:pt>
                      <c:pt idx="24">
                        <c:v>49000</c:v>
                      </c:pt>
                      <c:pt idx="25">
                        <c:v>50000</c:v>
                      </c:pt>
                      <c:pt idx="26">
                        <c:v>51000</c:v>
                      </c:pt>
                      <c:pt idx="27">
                        <c:v>52000</c:v>
                      </c:pt>
                      <c:pt idx="28">
                        <c:v>53000</c:v>
                      </c:pt>
                      <c:pt idx="29">
                        <c:v>54100</c:v>
                      </c:pt>
                      <c:pt idx="30">
                        <c:v>0</c:v>
                      </c:pt>
                      <c:pt idx="31">
                        <c:v>0</c:v>
                      </c:pt>
                      <c:pt idx="32">
                        <c:v>0</c:v>
                      </c:pt>
                      <c:pt idx="33">
                        <c:v>0</c:v>
                      </c:pt>
                      <c:pt idx="34">
                        <c:v>0</c:v>
                      </c:pt>
                      <c:pt idx="35">
                        <c:v>0</c:v>
                      </c:pt>
                      <c:pt idx="36">
                        <c:v>0</c:v>
                      </c:pt>
                      <c:pt idx="37">
                        <c:v>0</c:v>
                      </c:pt>
                      <c:pt idx="38">
                        <c:v>0</c:v>
                      </c:pt>
                      <c:pt idx="39">
                        <c:v>0</c:v>
                      </c:pt>
                    </c:numCache>
                  </c:numRef>
                </c:val>
                <c:smooth val="0"/>
              </c15:ser>
            </c15:filteredLineSeries>
          </c:ext>
        </c:extLst>
      </c:lineChart>
      <c:catAx>
        <c:axId val="2119360784"/>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19361328"/>
        <c:crosses val="autoZero"/>
        <c:auto val="1"/>
        <c:lblAlgn val="ctr"/>
        <c:lblOffset val="100"/>
        <c:tickLblSkip val="3"/>
        <c:tickMarkSkip val="1"/>
        <c:noMultiLvlLbl val="0"/>
      </c:catAx>
      <c:valAx>
        <c:axId val="2119361328"/>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9360784"/>
        <c:crosses val="autoZero"/>
        <c:crossBetween val="between"/>
        <c:dispUnits>
          <c:builtInUnit val="thousands"/>
          <c:dispUnitsLbl>
            <c:layout>
              <c:manualLayout>
                <c:xMode val="edge"/>
                <c:yMode val="edge"/>
                <c:x val="1.2423173665791777E-2"/>
                <c:y val="0.36402318460192473"/>
              </c:manualLayout>
            </c:layout>
            <c:txPr>
              <a:bodyPr/>
              <a:lstStyle/>
              <a:p>
                <a:pPr>
                  <a:defRPr sz="1000"/>
                </a:pPr>
                <a:endParaRPr lang="en-US"/>
              </a:p>
            </c:txPr>
          </c:dispUnitsLbl>
        </c:dispUnits>
      </c:valAx>
      <c:spPr>
        <a:solidFill>
          <a:srgbClr val="FFFFFF"/>
        </a:solidFill>
        <a:ln w="12700">
          <a:solidFill>
            <a:srgbClr val="808080"/>
          </a:solidFill>
          <a:prstDash val="solid"/>
        </a:ln>
      </c:spPr>
    </c:plotArea>
    <c:legend>
      <c:legendPos val="r"/>
      <c:layout>
        <c:manualLayout>
          <c:xMode val="edge"/>
          <c:yMode val="edge"/>
          <c:x val="0.52278105929735785"/>
          <c:y val="5.0537950550813587E-2"/>
          <c:w val="0.44222336953064212"/>
          <c:h val="0.1197256056335098"/>
        </c:manualLayout>
      </c:layout>
      <c:overlay val="0"/>
      <c:spPr>
        <a:solidFill>
          <a:schemeClr val="accent3">
            <a:lumMod val="20000"/>
            <a:lumOff val="80000"/>
          </a:schemeClr>
        </a:solid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accent3">
        <a:lumMod val="20000"/>
        <a:lumOff val="80000"/>
      </a:schemeClr>
    </a:solid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Taxable Social Security Benefits</a:t>
            </a:r>
          </a:p>
        </c:rich>
      </c:tx>
      <c:layout>
        <c:manualLayout>
          <c:xMode val="edge"/>
          <c:yMode val="edge"/>
          <c:x val="0.19555118110236219"/>
          <c:y val="4.942957130358705E-2"/>
        </c:manualLayout>
      </c:layout>
      <c:overlay val="0"/>
      <c:spPr>
        <a:noFill/>
        <a:ln w="25400">
          <a:noFill/>
        </a:ln>
      </c:spPr>
    </c:title>
    <c:autoTitleDeleted val="0"/>
    <c:plotArea>
      <c:layout>
        <c:manualLayout>
          <c:layoutTarget val="inner"/>
          <c:xMode val="edge"/>
          <c:yMode val="edge"/>
          <c:x val="0.16772884638211827"/>
          <c:y val="0.19816360454943133"/>
          <c:w val="0.79503116797900253"/>
          <c:h val="0.62815573053368334"/>
        </c:manualLayout>
      </c:layout>
      <c:barChart>
        <c:barDir val="col"/>
        <c:grouping val="clustered"/>
        <c:varyColors val="0"/>
        <c:ser>
          <c:idx val="0"/>
          <c:order val="0"/>
          <c:tx>
            <c:v>Full</c:v>
          </c:tx>
          <c:spPr>
            <a:solidFill>
              <a:srgbClr val="0000FF"/>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Results!$F$112:$AS$112</c:f>
              <c:numCache>
                <c:formatCode>_(* #,##0_);_(* \(#,##0\);_(* "-"??_);_(@_)</c:formatCode>
                <c:ptCount val="40"/>
                <c:pt idx="0" formatCode="#,##0_);\(#,##0\)">
                  <c:v>0</c:v>
                </c:pt>
                <c:pt idx="1">
                  <c:v>0</c:v>
                </c:pt>
                <c:pt idx="2">
                  <c:v>0</c:v>
                </c:pt>
                <c:pt idx="3">
                  <c:v>0</c:v>
                </c:pt>
                <c:pt idx="4">
                  <c:v>0</c:v>
                </c:pt>
                <c:pt idx="5">
                  <c:v>18800</c:v>
                </c:pt>
                <c:pt idx="6">
                  <c:v>19100</c:v>
                </c:pt>
                <c:pt idx="7">
                  <c:v>19600</c:v>
                </c:pt>
                <c:pt idx="8">
                  <c:v>33400</c:v>
                </c:pt>
                <c:pt idx="9">
                  <c:v>34900</c:v>
                </c:pt>
                <c:pt idx="10">
                  <c:v>36100</c:v>
                </c:pt>
                <c:pt idx="11">
                  <c:v>38000</c:v>
                </c:pt>
                <c:pt idx="12">
                  <c:v>44300</c:v>
                </c:pt>
                <c:pt idx="13">
                  <c:v>47000</c:v>
                </c:pt>
                <c:pt idx="14">
                  <c:v>59600</c:v>
                </c:pt>
                <c:pt idx="15">
                  <c:v>66800</c:v>
                </c:pt>
                <c:pt idx="16">
                  <c:v>53600</c:v>
                </c:pt>
                <c:pt idx="17">
                  <c:v>54600</c:v>
                </c:pt>
                <c:pt idx="18">
                  <c:v>55700</c:v>
                </c:pt>
                <c:pt idx="19">
                  <c:v>56800</c:v>
                </c:pt>
                <c:pt idx="20">
                  <c:v>57900</c:v>
                </c:pt>
                <c:pt idx="21">
                  <c:v>59100</c:v>
                </c:pt>
                <c:pt idx="22">
                  <c:v>60300</c:v>
                </c:pt>
                <c:pt idx="23">
                  <c:v>61500</c:v>
                </c:pt>
                <c:pt idx="24">
                  <c:v>41700</c:v>
                </c:pt>
                <c:pt idx="25">
                  <c:v>42500</c:v>
                </c:pt>
                <c:pt idx="26">
                  <c:v>43400</c:v>
                </c:pt>
                <c:pt idx="27">
                  <c:v>44200</c:v>
                </c:pt>
                <c:pt idx="28">
                  <c:v>45100</c:v>
                </c:pt>
                <c:pt idx="29">
                  <c:v>46000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50"/>
        <c:overlap val="100"/>
        <c:axId val="2119359152"/>
        <c:axId val="2119361872"/>
      </c:barChart>
      <c:catAx>
        <c:axId val="2119359152"/>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19361872"/>
        <c:crosses val="autoZero"/>
        <c:auto val="1"/>
        <c:lblAlgn val="ctr"/>
        <c:lblOffset val="100"/>
        <c:tickLblSkip val="3"/>
        <c:tickMarkSkip val="1"/>
        <c:noMultiLvlLbl val="0"/>
      </c:catAx>
      <c:valAx>
        <c:axId val="2119361872"/>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9359152"/>
        <c:crosses val="autoZero"/>
        <c:crossBetween val="between"/>
        <c:dispUnits>
          <c:builtInUnit val="thousands"/>
          <c:dispUnitsLbl>
            <c:layout>
              <c:manualLayout>
                <c:xMode val="edge"/>
                <c:yMode val="edge"/>
                <c:x val="2.213555336832896E-2"/>
                <c:y val="0.37038582677165355"/>
              </c:manualLayout>
            </c:layout>
            <c:txPr>
              <a:bodyPr/>
              <a:lstStyle/>
              <a:p>
                <a:pPr>
                  <a:defRPr sz="1000"/>
                </a:pPr>
                <a:endParaRPr lang="en-US"/>
              </a:p>
            </c:txPr>
          </c:dispUnitsLbl>
        </c:dispUnits>
      </c:valAx>
      <c:spPr>
        <a:solidFill>
          <a:srgbClr val="FFFFFF"/>
        </a:solidFill>
        <a:ln w="12700">
          <a:solidFill>
            <a:srgbClr val="808080"/>
          </a:solidFill>
          <a:prstDash val="solid"/>
        </a:ln>
      </c:spPr>
    </c:plotArea>
    <c:plotVisOnly val="1"/>
    <c:dispBlanksAs val="gap"/>
    <c:showDLblsOverMax val="0"/>
  </c:chart>
  <c:spPr>
    <a:solidFill>
      <a:schemeClr val="accent3">
        <a:lumMod val="20000"/>
        <a:lumOff val="80000"/>
      </a:schemeClr>
    </a:solidFill>
    <a:ln w="6350">
      <a:noFill/>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SS Benefits &amp; Expenses</a:t>
            </a:r>
          </a:p>
        </c:rich>
      </c:tx>
      <c:layout>
        <c:manualLayout>
          <c:xMode val="edge"/>
          <c:yMode val="edge"/>
          <c:x val="4.8207841207349084E-2"/>
          <c:y val="3.9309273840769904E-2"/>
        </c:manualLayout>
      </c:layout>
      <c:overlay val="0"/>
      <c:spPr>
        <a:noFill/>
        <a:ln w="25400">
          <a:noFill/>
        </a:ln>
      </c:spPr>
    </c:title>
    <c:autoTitleDeleted val="0"/>
    <c:plotArea>
      <c:layout>
        <c:manualLayout>
          <c:layoutTarget val="inner"/>
          <c:xMode val="edge"/>
          <c:yMode val="edge"/>
          <c:x val="0.1601265857392826"/>
          <c:y val="0.17960017497812775"/>
          <c:w val="0.81662100831146112"/>
          <c:h val="0.65341207349081365"/>
        </c:manualLayout>
      </c:layout>
      <c:barChart>
        <c:barDir val="col"/>
        <c:grouping val="clustered"/>
        <c:varyColors val="0"/>
        <c:ser>
          <c:idx val="2"/>
          <c:order val="1"/>
          <c:tx>
            <c:v>SS Benefits</c:v>
          </c:tx>
          <c:spPr>
            <a:solidFill>
              <a:srgbClr val="0000FF"/>
            </a:solidFill>
            <a:ln w="25400">
              <a:noFill/>
            </a:ln>
          </c:spPr>
          <c:invertIfNegative val="0"/>
          <c:val>
            <c:numRef>
              <c:f>Details!$F$61:$AS$61</c:f>
              <c:numCache>
                <c:formatCode>_(* #,##0_);_(* \(#,##0\);_(* "-"??_);_(@_)</c:formatCode>
                <c:ptCount val="40"/>
                <c:pt idx="0" formatCode="#,##0_);\(#,##0\)">
                  <c:v>0</c:v>
                </c:pt>
                <c:pt idx="1">
                  <c:v>0</c:v>
                </c:pt>
                <c:pt idx="2">
                  <c:v>0</c:v>
                </c:pt>
                <c:pt idx="3">
                  <c:v>0</c:v>
                </c:pt>
                <c:pt idx="4">
                  <c:v>0</c:v>
                </c:pt>
                <c:pt idx="5">
                  <c:v>22100</c:v>
                </c:pt>
                <c:pt idx="6">
                  <c:v>22500</c:v>
                </c:pt>
                <c:pt idx="7">
                  <c:v>23000</c:v>
                </c:pt>
                <c:pt idx="8">
                  <c:v>69900</c:v>
                </c:pt>
                <c:pt idx="9">
                  <c:v>71300</c:v>
                </c:pt>
                <c:pt idx="10">
                  <c:v>72700</c:v>
                </c:pt>
                <c:pt idx="11">
                  <c:v>74200</c:v>
                </c:pt>
                <c:pt idx="12">
                  <c:v>75700</c:v>
                </c:pt>
                <c:pt idx="13">
                  <c:v>77200</c:v>
                </c:pt>
                <c:pt idx="14">
                  <c:v>78700</c:v>
                </c:pt>
                <c:pt idx="15">
                  <c:v>80200</c:v>
                </c:pt>
                <c:pt idx="16">
                  <c:v>63000</c:v>
                </c:pt>
                <c:pt idx="17">
                  <c:v>64200</c:v>
                </c:pt>
                <c:pt idx="18">
                  <c:v>65500</c:v>
                </c:pt>
                <c:pt idx="19">
                  <c:v>66800</c:v>
                </c:pt>
                <c:pt idx="20">
                  <c:v>68100</c:v>
                </c:pt>
                <c:pt idx="21">
                  <c:v>69500</c:v>
                </c:pt>
                <c:pt idx="22">
                  <c:v>70900</c:v>
                </c:pt>
                <c:pt idx="23">
                  <c:v>72300</c:v>
                </c:pt>
                <c:pt idx="24">
                  <c:v>49000</c:v>
                </c:pt>
                <c:pt idx="25">
                  <c:v>50000</c:v>
                </c:pt>
                <c:pt idx="26">
                  <c:v>51000</c:v>
                </c:pt>
                <c:pt idx="27">
                  <c:v>52000</c:v>
                </c:pt>
                <c:pt idx="28">
                  <c:v>53000</c:v>
                </c:pt>
                <c:pt idx="29">
                  <c:v>54100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40"/>
        <c:axId val="2119356976"/>
        <c:axId val="2119362416"/>
      </c:barChart>
      <c:lineChart>
        <c:grouping val="standard"/>
        <c:varyColors val="0"/>
        <c:ser>
          <c:idx val="0"/>
          <c:order val="0"/>
          <c:tx>
            <c:v>Expenses</c:v>
          </c:tx>
          <c:spPr>
            <a:ln w="19050">
              <a:noFill/>
            </a:ln>
          </c:spPr>
          <c:marker>
            <c:symbol val="square"/>
            <c:size val="5"/>
            <c:spPr>
              <a:solidFill>
                <a:srgbClr val="FF0000"/>
              </a:solidFill>
              <a:ln>
                <a:solidFill>
                  <a:srgbClr val="FF0000"/>
                </a:solidFill>
                <a:prstDash val="solid"/>
              </a:ln>
            </c:spPr>
          </c:marker>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Details!$F$146:$AS$146</c:f>
              <c:numCache>
                <c:formatCode>_(* #,##0_);_(* \(#,##0\);_(* "-"??_);_(@_)</c:formatCode>
                <c:ptCount val="40"/>
                <c:pt idx="0" formatCode="#,##0_);\(#,##0\)">
                  <c:v>75000</c:v>
                </c:pt>
                <c:pt idx="1">
                  <c:v>78800</c:v>
                </c:pt>
                <c:pt idx="2">
                  <c:v>77800</c:v>
                </c:pt>
                <c:pt idx="3">
                  <c:v>79400</c:v>
                </c:pt>
                <c:pt idx="4">
                  <c:v>81000</c:v>
                </c:pt>
                <c:pt idx="5">
                  <c:v>84900</c:v>
                </c:pt>
                <c:pt idx="6">
                  <c:v>86400</c:v>
                </c:pt>
                <c:pt idx="7">
                  <c:v>89500</c:v>
                </c:pt>
                <c:pt idx="8">
                  <c:v>86700</c:v>
                </c:pt>
                <c:pt idx="9">
                  <c:v>88400</c:v>
                </c:pt>
                <c:pt idx="10">
                  <c:v>90200</c:v>
                </c:pt>
                <c:pt idx="11">
                  <c:v>92300</c:v>
                </c:pt>
                <c:pt idx="12">
                  <c:v>95500</c:v>
                </c:pt>
                <c:pt idx="13">
                  <c:v>97800</c:v>
                </c:pt>
                <c:pt idx="14">
                  <c:v>103000</c:v>
                </c:pt>
                <c:pt idx="15">
                  <c:v>106700</c:v>
                </c:pt>
                <c:pt idx="16">
                  <c:v>108300</c:v>
                </c:pt>
                <c:pt idx="17">
                  <c:v>110600</c:v>
                </c:pt>
                <c:pt idx="18">
                  <c:v>131500</c:v>
                </c:pt>
                <c:pt idx="19">
                  <c:v>134100</c:v>
                </c:pt>
                <c:pt idx="20">
                  <c:v>137000</c:v>
                </c:pt>
                <c:pt idx="21">
                  <c:v>140200</c:v>
                </c:pt>
                <c:pt idx="22">
                  <c:v>147500</c:v>
                </c:pt>
                <c:pt idx="23">
                  <c:v>151800</c:v>
                </c:pt>
                <c:pt idx="24">
                  <c:v>159300</c:v>
                </c:pt>
                <c:pt idx="25">
                  <c:v>163000</c:v>
                </c:pt>
                <c:pt idx="26">
                  <c:v>166200</c:v>
                </c:pt>
                <c:pt idx="27">
                  <c:v>166900</c:v>
                </c:pt>
                <c:pt idx="28">
                  <c:v>169700</c:v>
                </c:pt>
                <c:pt idx="29">
                  <c:v>173100</c:v>
                </c:pt>
                <c:pt idx="30">
                  <c:v>0</c:v>
                </c:pt>
                <c:pt idx="31">
                  <c:v>0</c:v>
                </c:pt>
                <c:pt idx="32">
                  <c:v>0</c:v>
                </c:pt>
                <c:pt idx="33">
                  <c:v>0</c:v>
                </c:pt>
                <c:pt idx="34">
                  <c:v>0</c:v>
                </c:pt>
                <c:pt idx="35">
                  <c:v>0</c:v>
                </c:pt>
                <c:pt idx="36">
                  <c:v>0</c:v>
                </c:pt>
                <c:pt idx="37">
                  <c:v>0</c:v>
                </c:pt>
                <c:pt idx="38">
                  <c:v>0</c:v>
                </c:pt>
                <c:pt idx="39">
                  <c:v>0</c:v>
                </c:pt>
              </c:numCache>
            </c:numRef>
          </c:val>
          <c:smooth val="0"/>
        </c:ser>
        <c:dLbls>
          <c:showLegendKey val="0"/>
          <c:showVal val="0"/>
          <c:showCatName val="0"/>
          <c:showSerName val="0"/>
          <c:showPercent val="0"/>
          <c:showBubbleSize val="0"/>
        </c:dLbls>
        <c:marker val="1"/>
        <c:smooth val="0"/>
        <c:axId val="2119356976"/>
        <c:axId val="2119362416"/>
      </c:lineChart>
      <c:catAx>
        <c:axId val="2119356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19362416"/>
        <c:crosses val="autoZero"/>
        <c:auto val="1"/>
        <c:lblAlgn val="ctr"/>
        <c:lblOffset val="100"/>
        <c:tickLblSkip val="3"/>
        <c:tickMarkSkip val="1"/>
        <c:noMultiLvlLbl val="0"/>
      </c:catAx>
      <c:valAx>
        <c:axId val="2119362416"/>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9356976"/>
        <c:crosses val="autoZero"/>
        <c:crossBetween val="between"/>
        <c:dispUnits>
          <c:builtInUnit val="thousands"/>
          <c:dispUnitsLbl>
            <c:layout>
              <c:manualLayout>
                <c:xMode val="edge"/>
                <c:yMode val="edge"/>
                <c:x val="1.494012467191601E-2"/>
                <c:y val="0.35371216097987751"/>
              </c:manualLayout>
            </c:layout>
            <c:txPr>
              <a:bodyPr/>
              <a:lstStyle/>
              <a:p>
                <a:pPr>
                  <a:defRPr sz="1000"/>
                </a:pPr>
                <a:endParaRPr lang="en-US"/>
              </a:p>
            </c:txPr>
          </c:dispUnitsLbl>
        </c:dispUnits>
      </c:valAx>
      <c:spPr>
        <a:solidFill>
          <a:srgbClr val="FFFFFF"/>
        </a:solidFill>
        <a:ln w="12700">
          <a:solidFill>
            <a:srgbClr val="808080"/>
          </a:solidFill>
          <a:prstDash val="solid"/>
        </a:ln>
      </c:spPr>
    </c:plotArea>
    <c:legend>
      <c:legendPos val="r"/>
      <c:layout>
        <c:manualLayout>
          <c:xMode val="edge"/>
          <c:yMode val="edge"/>
          <c:x val="0.56746090332458443"/>
          <c:y val="3.675939073189622E-2"/>
          <c:w val="0.40802766841644794"/>
          <c:h val="0.13865638670491562"/>
        </c:manualLayout>
      </c:layout>
      <c:overlay val="0"/>
      <c:spPr>
        <a:solidFill>
          <a:schemeClr val="accent3">
            <a:lumMod val="20000"/>
            <a:lumOff val="80000"/>
          </a:schemeClr>
        </a:solid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accent3">
        <a:lumMod val="20000"/>
        <a:lumOff val="80000"/>
      </a:schemeClr>
    </a:solidFill>
    <a:ln w="6350">
      <a:noFill/>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nchor="ctr" anchorCtr="0"/>
          <a:lstStyle/>
          <a:p>
            <a:pPr>
              <a:defRPr b="1" i="0" baseline="0"/>
            </a:pPr>
            <a:r>
              <a:rPr lang="en-US" b="1" i="0" baseline="0"/>
              <a:t>Taxable Account Balances at Year Start</a:t>
            </a:r>
          </a:p>
        </c:rich>
      </c:tx>
      <c:layout>
        <c:manualLayout>
          <c:xMode val="edge"/>
          <c:yMode val="edge"/>
          <c:x val="0.16924814085739281"/>
          <c:y val="2.6717410323709532E-2"/>
        </c:manualLayout>
      </c:layout>
      <c:overlay val="0"/>
      <c:spPr>
        <a:noFill/>
        <a:ln w="25400">
          <a:noFill/>
        </a:ln>
      </c:spPr>
    </c:title>
    <c:autoTitleDeleted val="0"/>
    <c:plotArea>
      <c:layout>
        <c:manualLayout>
          <c:layoutTarget val="inner"/>
          <c:xMode val="edge"/>
          <c:yMode val="edge"/>
          <c:x val="0.18785460411198601"/>
          <c:y val="0.17075240594925636"/>
          <c:w val="0.79207923228346455"/>
          <c:h val="0.68831846019247589"/>
        </c:manualLayout>
      </c:layout>
      <c:barChart>
        <c:barDir val="col"/>
        <c:grouping val="clustered"/>
        <c:varyColors val="0"/>
        <c:ser>
          <c:idx val="1"/>
          <c:order val="0"/>
          <c:tx>
            <c:v>Full</c:v>
          </c:tx>
          <c:spPr>
            <a:solidFill>
              <a:srgbClr val="0000FF"/>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Details!$F$8:$AS$8</c:f>
              <c:numCache>
                <c:formatCode>_(* #,##0_);_(* \(#,##0\);_(* "-"??_);_(@_)</c:formatCode>
                <c:ptCount val="40"/>
                <c:pt idx="0">
                  <c:v>200000</c:v>
                </c:pt>
                <c:pt idx="1">
                  <c:v>187100</c:v>
                </c:pt>
                <c:pt idx="2">
                  <c:v>186800</c:v>
                </c:pt>
                <c:pt idx="3">
                  <c:v>173800</c:v>
                </c:pt>
                <c:pt idx="4">
                  <c:v>160500</c:v>
                </c:pt>
                <c:pt idx="5">
                  <c:v>148300</c:v>
                </c:pt>
                <c:pt idx="6">
                  <c:v>156400</c:v>
                </c:pt>
                <c:pt idx="7">
                  <c:v>166100</c:v>
                </c:pt>
                <c:pt idx="8">
                  <c:v>175900</c:v>
                </c:pt>
                <c:pt idx="9">
                  <c:v>202800</c:v>
                </c:pt>
                <c:pt idx="10">
                  <c:v>238100</c:v>
                </c:pt>
                <c:pt idx="11">
                  <c:v>194200</c:v>
                </c:pt>
                <c:pt idx="12">
                  <c:v>272100</c:v>
                </c:pt>
                <c:pt idx="13">
                  <c:v>296700</c:v>
                </c:pt>
                <c:pt idx="14">
                  <c:v>344500</c:v>
                </c:pt>
                <c:pt idx="15">
                  <c:v>301300</c:v>
                </c:pt>
                <c:pt idx="16">
                  <c:v>424600</c:v>
                </c:pt>
                <c:pt idx="17">
                  <c:v>480700</c:v>
                </c:pt>
                <c:pt idx="18">
                  <c:v>541400</c:v>
                </c:pt>
                <c:pt idx="19">
                  <c:v>574700</c:v>
                </c:pt>
                <c:pt idx="20">
                  <c:v>609500</c:v>
                </c:pt>
                <c:pt idx="21">
                  <c:v>647200</c:v>
                </c:pt>
                <c:pt idx="22">
                  <c:v>688000</c:v>
                </c:pt>
                <c:pt idx="23">
                  <c:v>1136000</c:v>
                </c:pt>
                <c:pt idx="24">
                  <c:v>1199500</c:v>
                </c:pt>
                <c:pt idx="25">
                  <c:v>1337600</c:v>
                </c:pt>
                <c:pt idx="26">
                  <c:v>1379900</c:v>
                </c:pt>
                <c:pt idx="27">
                  <c:v>1423300</c:v>
                </c:pt>
                <c:pt idx="28">
                  <c:v>1461500</c:v>
                </c:pt>
                <c:pt idx="29">
                  <c:v>1499700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40"/>
        <c:axId val="2119363504"/>
        <c:axId val="2119356432"/>
      </c:barChart>
      <c:catAx>
        <c:axId val="2119363504"/>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a:pPr>
            <a:endParaRPr lang="en-US"/>
          </a:p>
        </c:txPr>
        <c:crossAx val="2119356432"/>
        <c:crosses val="autoZero"/>
        <c:auto val="1"/>
        <c:lblAlgn val="ctr"/>
        <c:lblOffset val="100"/>
        <c:tickLblSkip val="3"/>
        <c:tickMarkSkip val="1"/>
        <c:noMultiLvlLbl val="0"/>
      </c:catAx>
      <c:valAx>
        <c:axId val="2119356432"/>
        <c:scaling>
          <c:orientation val="minMax"/>
        </c:scaling>
        <c:delete val="0"/>
        <c:axPos val="l"/>
        <c:majorGridlines>
          <c:spPr>
            <a:ln w="3175">
              <a:solidFill>
                <a:srgbClr val="000000"/>
              </a:solidFill>
              <a:prstDash val="solid"/>
            </a:ln>
          </c:spPr>
        </c:majorGridlines>
        <c:numFmt formatCode="_(* #,##0_);_(* \(#,##0\);_(* &quot;-&quot;??_);_(@_)" sourceLinked="1"/>
        <c:majorTickMark val="out"/>
        <c:minorTickMark val="none"/>
        <c:tickLblPos val="nextTo"/>
        <c:spPr>
          <a:ln w="3175">
            <a:solidFill>
              <a:srgbClr val="000000"/>
            </a:solidFill>
            <a:prstDash val="solid"/>
          </a:ln>
        </c:spPr>
        <c:txPr>
          <a:bodyPr rot="0" vert="horz"/>
          <a:lstStyle/>
          <a:p>
            <a:pPr>
              <a:defRPr/>
            </a:pPr>
            <a:endParaRPr lang="en-US"/>
          </a:p>
        </c:txPr>
        <c:crossAx val="2119363504"/>
        <c:crosses val="autoZero"/>
        <c:crossBetween val="between"/>
        <c:dispUnits>
          <c:builtInUnit val="thousands"/>
          <c:dispUnitsLbl>
            <c:layout>
              <c:manualLayout>
                <c:xMode val="edge"/>
                <c:yMode val="edge"/>
                <c:x val="1.0518099300087489E-2"/>
                <c:y val="0.36405293088363949"/>
              </c:manualLayout>
            </c:layout>
          </c:dispUnitsLbl>
        </c:dispUnits>
      </c:valAx>
      <c:spPr>
        <a:solidFill>
          <a:srgbClr val="FFFFFF"/>
        </a:solidFill>
        <a:ln w="12700">
          <a:solidFill>
            <a:srgbClr val="808080"/>
          </a:solidFill>
          <a:prstDash val="solid"/>
        </a:ln>
      </c:spPr>
    </c:plotArea>
    <c:plotVisOnly val="1"/>
    <c:dispBlanksAs val="gap"/>
    <c:showDLblsOverMax val="0"/>
  </c:chart>
  <c:spPr>
    <a:solidFill>
      <a:schemeClr val="accent3">
        <a:lumMod val="20000"/>
        <a:lumOff val="80000"/>
      </a:schemeClr>
    </a:solid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Verdana"/>
                <a:ea typeface="Verdana"/>
                <a:cs typeface="Verdana"/>
              </a:defRPr>
            </a:pPr>
            <a:r>
              <a:rPr lang="en-US"/>
              <a:t>Required Minimum Distributions 
excluding inherited IRAs</a:t>
            </a:r>
          </a:p>
        </c:rich>
      </c:tx>
      <c:layout>
        <c:manualLayout>
          <c:xMode val="edge"/>
          <c:yMode val="edge"/>
          <c:x val="0.15345855205599301"/>
          <c:y val="1.8537182852143484E-2"/>
        </c:manualLayout>
      </c:layout>
      <c:overlay val="0"/>
      <c:spPr>
        <a:noFill/>
        <a:ln w="25400">
          <a:noFill/>
        </a:ln>
      </c:spPr>
    </c:title>
    <c:autoTitleDeleted val="0"/>
    <c:plotArea>
      <c:layout>
        <c:manualLayout>
          <c:layoutTarget val="inner"/>
          <c:xMode val="edge"/>
          <c:yMode val="edge"/>
          <c:x val="0.1458040791776028"/>
          <c:y val="0.21666754155730533"/>
          <c:w val="0.83079451006124239"/>
          <c:h val="0.63939632545931757"/>
        </c:manualLayout>
      </c:layout>
      <c:barChart>
        <c:barDir val="col"/>
        <c:grouping val="clustered"/>
        <c:varyColors val="0"/>
        <c:ser>
          <c:idx val="0"/>
          <c:order val="0"/>
          <c:tx>
            <c:v>Full</c:v>
          </c:tx>
          <c:spPr>
            <a:solidFill>
              <a:srgbClr val="0000FF"/>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Results!$F$379:$AS$379</c:f>
              <c:numCache>
                <c:formatCode>_(* #,##0_);_(* \(#,##0\);_(* "-"??_);_(@_)</c:formatCode>
                <c:ptCount val="40"/>
                <c:pt idx="0" formatCode="#,##0_);\(#,##0\)">
                  <c:v>0</c:v>
                </c:pt>
                <c:pt idx="1">
                  <c:v>0</c:v>
                </c:pt>
                <c:pt idx="2">
                  <c:v>0</c:v>
                </c:pt>
                <c:pt idx="3">
                  <c:v>0</c:v>
                </c:pt>
                <c:pt idx="4">
                  <c:v>0</c:v>
                </c:pt>
                <c:pt idx="5">
                  <c:v>0</c:v>
                </c:pt>
                <c:pt idx="6">
                  <c:v>0</c:v>
                </c:pt>
                <c:pt idx="7">
                  <c:v>0</c:v>
                </c:pt>
                <c:pt idx="8">
                  <c:v>0</c:v>
                </c:pt>
                <c:pt idx="9">
                  <c:v>29500</c:v>
                </c:pt>
                <c:pt idx="10">
                  <c:v>30900</c:v>
                </c:pt>
                <c:pt idx="11">
                  <c:v>32400</c:v>
                </c:pt>
                <c:pt idx="12">
                  <c:v>33900</c:v>
                </c:pt>
                <c:pt idx="13">
                  <c:v>35600</c:v>
                </c:pt>
                <c:pt idx="14">
                  <c:v>37400</c:v>
                </c:pt>
                <c:pt idx="15">
                  <c:v>39500</c:v>
                </c:pt>
                <c:pt idx="16">
                  <c:v>41800</c:v>
                </c:pt>
                <c:pt idx="17">
                  <c:v>44100</c:v>
                </c:pt>
                <c:pt idx="18">
                  <c:v>46300</c:v>
                </c:pt>
                <c:pt idx="19">
                  <c:v>48400</c:v>
                </c:pt>
                <c:pt idx="20">
                  <c:v>50500</c:v>
                </c:pt>
                <c:pt idx="21">
                  <c:v>52800</c:v>
                </c:pt>
                <c:pt idx="22">
                  <c:v>55000</c:v>
                </c:pt>
                <c:pt idx="23">
                  <c:v>57100</c:v>
                </c:pt>
                <c:pt idx="24">
                  <c:v>59100</c:v>
                </c:pt>
                <c:pt idx="25">
                  <c:v>61100</c:v>
                </c:pt>
                <c:pt idx="26">
                  <c:v>63000</c:v>
                </c:pt>
                <c:pt idx="27">
                  <c:v>64900</c:v>
                </c:pt>
                <c:pt idx="28">
                  <c:v>66600</c:v>
                </c:pt>
                <c:pt idx="29">
                  <c:v>67900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40"/>
        <c:axId val="2119357520"/>
        <c:axId val="2119358064"/>
      </c:barChart>
      <c:catAx>
        <c:axId val="2119357520"/>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19358064"/>
        <c:crosses val="autoZero"/>
        <c:auto val="1"/>
        <c:lblAlgn val="ctr"/>
        <c:lblOffset val="100"/>
        <c:tickLblSkip val="3"/>
        <c:tickMarkSkip val="1"/>
        <c:noMultiLvlLbl val="0"/>
      </c:catAx>
      <c:valAx>
        <c:axId val="2119358064"/>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9357520"/>
        <c:crosses val="autoZero"/>
        <c:crossBetween val="between"/>
        <c:dispUnits>
          <c:builtInUnit val="thousands"/>
          <c:dispUnitsLbl>
            <c:layout>
              <c:manualLayout>
                <c:xMode val="edge"/>
                <c:yMode val="edge"/>
                <c:x val="0"/>
                <c:y val="0.39136395450568678"/>
              </c:manualLayout>
            </c:layout>
            <c:txPr>
              <a:bodyPr/>
              <a:lstStyle/>
              <a:p>
                <a:pPr>
                  <a:defRPr sz="1000"/>
                </a:pPr>
                <a:endParaRPr lang="en-US"/>
              </a:p>
            </c:txPr>
          </c:dispUnitsLbl>
        </c:dispUnits>
      </c:valAx>
      <c:spPr>
        <a:solidFill>
          <a:srgbClr val="FFFFFF"/>
        </a:solidFill>
        <a:ln w="12700">
          <a:solidFill>
            <a:srgbClr val="808080"/>
          </a:solidFill>
          <a:prstDash val="solid"/>
        </a:ln>
      </c:spPr>
    </c:plotArea>
    <c:plotVisOnly val="1"/>
    <c:dispBlanksAs val="gap"/>
    <c:showDLblsOverMax val="0"/>
  </c:chart>
  <c:spPr>
    <a:solidFill>
      <a:schemeClr val="accent3">
        <a:lumMod val="20000"/>
        <a:lumOff val="80000"/>
      </a:schemeClr>
    </a:solid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Federal Income Taxes</a:t>
            </a:r>
          </a:p>
        </c:rich>
      </c:tx>
      <c:layout>
        <c:manualLayout>
          <c:xMode val="edge"/>
          <c:yMode val="edge"/>
          <c:x val="0.30827950398415765"/>
          <c:y val="3.5213274721027969E-2"/>
        </c:manualLayout>
      </c:layout>
      <c:overlay val="0"/>
      <c:spPr>
        <a:noFill/>
        <a:ln w="25400">
          <a:noFill/>
        </a:ln>
      </c:spPr>
    </c:title>
    <c:autoTitleDeleted val="0"/>
    <c:plotArea>
      <c:layout>
        <c:manualLayout>
          <c:layoutTarget val="inner"/>
          <c:xMode val="edge"/>
          <c:yMode val="edge"/>
          <c:x val="0.14802110673665791"/>
          <c:y val="0.19512244917055777"/>
          <c:w val="0.83268099300087484"/>
          <c:h val="0.66748118985126859"/>
        </c:manualLayout>
      </c:layout>
      <c:barChart>
        <c:barDir val="col"/>
        <c:grouping val="clustered"/>
        <c:varyColors val="0"/>
        <c:ser>
          <c:idx val="0"/>
          <c:order val="0"/>
          <c:tx>
            <c:v>Full</c:v>
          </c:tx>
          <c:spPr>
            <a:solidFill>
              <a:srgbClr val="0000FF"/>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Results!$F$87:$AS$87</c:f>
              <c:numCache>
                <c:formatCode>_(* #,##0_);_(* \(#,##0\);_(* "-"??_);_(@_)</c:formatCode>
                <c:ptCount val="40"/>
                <c:pt idx="0">
                  <c:v>3900</c:v>
                </c:pt>
                <c:pt idx="1">
                  <c:v>5800</c:v>
                </c:pt>
                <c:pt idx="2">
                  <c:v>4000</c:v>
                </c:pt>
                <c:pt idx="3">
                  <c:v>4100</c:v>
                </c:pt>
                <c:pt idx="4">
                  <c:v>4100</c:v>
                </c:pt>
                <c:pt idx="5">
                  <c:v>6500</c:v>
                </c:pt>
                <c:pt idx="6">
                  <c:v>6500</c:v>
                </c:pt>
                <c:pt idx="7">
                  <c:v>7100</c:v>
                </c:pt>
                <c:pt idx="8">
                  <c:v>4100</c:v>
                </c:pt>
                <c:pt idx="9">
                  <c:v>4200</c:v>
                </c:pt>
                <c:pt idx="10">
                  <c:v>4300</c:v>
                </c:pt>
                <c:pt idx="11">
                  <c:v>4600</c:v>
                </c:pt>
                <c:pt idx="12">
                  <c:v>5900</c:v>
                </c:pt>
                <c:pt idx="13">
                  <c:v>6300</c:v>
                </c:pt>
                <c:pt idx="14">
                  <c:v>9300</c:v>
                </c:pt>
                <c:pt idx="15">
                  <c:v>10900</c:v>
                </c:pt>
                <c:pt idx="16">
                  <c:v>10200</c:v>
                </c:pt>
                <c:pt idx="17">
                  <c:v>10500</c:v>
                </c:pt>
                <c:pt idx="18">
                  <c:v>9700</c:v>
                </c:pt>
                <c:pt idx="19">
                  <c:v>9900</c:v>
                </c:pt>
                <c:pt idx="20">
                  <c:v>10300</c:v>
                </c:pt>
                <c:pt idx="21">
                  <c:v>10800</c:v>
                </c:pt>
                <c:pt idx="22">
                  <c:v>11200</c:v>
                </c:pt>
                <c:pt idx="23">
                  <c:v>12200</c:v>
                </c:pt>
                <c:pt idx="24">
                  <c:v>17200</c:v>
                </c:pt>
                <c:pt idx="25">
                  <c:v>17900</c:v>
                </c:pt>
                <c:pt idx="26">
                  <c:v>18200</c:v>
                </c:pt>
                <c:pt idx="27">
                  <c:v>16600</c:v>
                </c:pt>
                <c:pt idx="28">
                  <c:v>16500</c:v>
                </c:pt>
                <c:pt idx="29">
                  <c:v>16800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50"/>
        <c:overlap val="100"/>
        <c:axId val="2119360240"/>
        <c:axId val="2119358608"/>
      </c:barChart>
      <c:catAx>
        <c:axId val="2119360240"/>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119358608"/>
        <c:crosses val="autoZero"/>
        <c:auto val="1"/>
        <c:lblAlgn val="ctr"/>
        <c:lblOffset val="100"/>
        <c:tickLblSkip val="3"/>
        <c:tickMarkSkip val="1"/>
        <c:noMultiLvlLbl val="0"/>
      </c:catAx>
      <c:valAx>
        <c:axId val="2119358608"/>
        <c:scaling>
          <c:orientation val="minMax"/>
        </c:scaling>
        <c:delete val="0"/>
        <c:axPos val="l"/>
        <c:majorGridlines>
          <c:spPr>
            <a:ln w="3175">
              <a:solidFill>
                <a:srgbClr val="000000"/>
              </a:solidFill>
              <a:prstDash val="solid"/>
            </a:ln>
          </c:spPr>
        </c:majorGridlines>
        <c:numFmt formatCode="_(* #,##0_);_(* \(#,##0\);_(* &quot;-&quot;??_);_(@_)"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9360240"/>
        <c:crosses val="autoZero"/>
        <c:crossBetween val="between"/>
        <c:dispUnits>
          <c:builtInUnit val="thousands"/>
          <c:dispUnitsLbl>
            <c:layout>
              <c:manualLayout>
                <c:xMode val="edge"/>
                <c:yMode val="edge"/>
                <c:x val="6.905347769028871E-3"/>
                <c:y val="0.37055336832895891"/>
              </c:manualLayout>
            </c:layout>
            <c:txPr>
              <a:bodyPr/>
              <a:lstStyle/>
              <a:p>
                <a:pPr>
                  <a:defRPr sz="1000"/>
                </a:pPr>
                <a:endParaRPr lang="en-US"/>
              </a:p>
            </c:txPr>
          </c:dispUnitsLbl>
        </c:dispUnits>
      </c:valAx>
      <c:spPr>
        <a:solidFill>
          <a:srgbClr val="FFFFFF"/>
        </a:solidFill>
        <a:ln w="12700">
          <a:solidFill>
            <a:srgbClr val="808080"/>
          </a:solidFill>
          <a:prstDash val="solid"/>
        </a:ln>
      </c:spPr>
    </c:plotArea>
    <c:plotVisOnly val="1"/>
    <c:dispBlanksAs val="gap"/>
    <c:showDLblsOverMax val="0"/>
  </c:chart>
  <c:spPr>
    <a:solidFill>
      <a:schemeClr val="bg2"/>
    </a:solidFill>
    <a:ln w="6350">
      <a:noFill/>
    </a:ln>
  </c:spPr>
  <c:txPr>
    <a:bodyPr/>
    <a:lstStyle/>
    <a:p>
      <a:pPr>
        <a:defRPr sz="8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Average Federal Tax Rates</a:t>
            </a:r>
          </a:p>
        </c:rich>
      </c:tx>
      <c:layout>
        <c:manualLayout>
          <c:xMode val="edge"/>
          <c:yMode val="edge"/>
          <c:x val="0.24128253499562557"/>
          <c:y val="5.226509186351707E-2"/>
        </c:manualLayout>
      </c:layout>
      <c:overlay val="0"/>
      <c:spPr>
        <a:noFill/>
        <a:ln w="25400">
          <a:noFill/>
        </a:ln>
      </c:spPr>
    </c:title>
    <c:autoTitleDeleted val="0"/>
    <c:plotArea>
      <c:layout>
        <c:manualLayout>
          <c:layoutTarget val="inner"/>
          <c:xMode val="edge"/>
          <c:yMode val="edge"/>
          <c:x val="0.13288306555267276"/>
          <c:y val="0.20168201702533181"/>
          <c:w val="0.84009124493469378"/>
          <c:h val="0.66378083989501313"/>
        </c:manualLayout>
      </c:layout>
      <c:lineChart>
        <c:grouping val="standard"/>
        <c:varyColors val="0"/>
        <c:ser>
          <c:idx val="3"/>
          <c:order val="0"/>
          <c:tx>
            <c:v>Full</c:v>
          </c:tx>
          <c:spPr>
            <a:ln w="19050">
              <a:noFill/>
            </a:ln>
          </c:spPr>
          <c:marker>
            <c:symbol val="square"/>
            <c:size val="5"/>
            <c:spPr>
              <a:solidFill>
                <a:srgbClr val="0000FF"/>
              </a:solidFill>
              <a:ln>
                <a:noFill/>
                <a:prstDash val="solid"/>
              </a:ln>
            </c:spPr>
          </c:marker>
          <c:cat>
            <c:numRef>
              <c:f>Results!$F$1:$AS$1</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Details!$F$203:$AS$203</c:f>
              <c:numCache>
                <c:formatCode>0.0%</c:formatCode>
                <c:ptCount val="40"/>
                <c:pt idx="0">
                  <c:v>0.1092436974789916</c:v>
                </c:pt>
                <c:pt idx="1">
                  <c:v>0.11350293542074363</c:v>
                </c:pt>
                <c:pt idx="2">
                  <c:v>0.10928961748633879</c:v>
                </c:pt>
                <c:pt idx="3">
                  <c:v>0.11021505376344086</c:v>
                </c:pt>
                <c:pt idx="4">
                  <c:v>0.10846560846560846</c:v>
                </c:pt>
                <c:pt idx="5">
                  <c:v>0.11363636363636363</c:v>
                </c:pt>
                <c:pt idx="6">
                  <c:v>0.11168384879725086</c:v>
                </c:pt>
                <c:pt idx="7">
                  <c:v>0.1126984126984127</c:v>
                </c:pt>
                <c:pt idx="8">
                  <c:v>0.10875331564986737</c:v>
                </c:pt>
                <c:pt idx="9">
                  <c:v>0.10824742268041238</c:v>
                </c:pt>
                <c:pt idx="10">
                  <c:v>0.10723192019950124</c:v>
                </c:pt>
                <c:pt idx="11">
                  <c:v>0.10874704491725769</c:v>
                </c:pt>
                <c:pt idx="12">
                  <c:v>0.11090225563909774</c:v>
                </c:pt>
                <c:pt idx="13">
                  <c:v>0.1111111111111111</c:v>
                </c:pt>
                <c:pt idx="14">
                  <c:v>0.11286407766990292</c:v>
                </c:pt>
                <c:pt idx="15">
                  <c:v>0.11401673640167365</c:v>
                </c:pt>
                <c:pt idx="16">
                  <c:v>0.11434977578475336</c:v>
                </c:pt>
                <c:pt idx="17">
                  <c:v>0.11375947995666305</c:v>
                </c:pt>
                <c:pt idx="18">
                  <c:v>0.11318553092182031</c:v>
                </c:pt>
                <c:pt idx="19">
                  <c:v>0.11314285714285714</c:v>
                </c:pt>
                <c:pt idx="20">
                  <c:v>0.11356119073869901</c:v>
                </c:pt>
                <c:pt idx="21">
                  <c:v>0.11440677966101695</c:v>
                </c:pt>
                <c:pt idx="22">
                  <c:v>0.11370558375634518</c:v>
                </c:pt>
                <c:pt idx="23">
                  <c:v>0.11380597014925373</c:v>
                </c:pt>
                <c:pt idx="24">
                  <c:v>0.1565059144676979</c:v>
                </c:pt>
                <c:pt idx="25">
                  <c:v>0.15743183817062445</c:v>
                </c:pt>
                <c:pt idx="26">
                  <c:v>0.15716753022452504</c:v>
                </c:pt>
                <c:pt idx="27">
                  <c:v>0.15229357798165138</c:v>
                </c:pt>
                <c:pt idx="28">
                  <c:v>0.15054744525547445</c:v>
                </c:pt>
                <c:pt idx="29">
                  <c:v>0.15013404825737264</c:v>
                </c:pt>
                <c:pt idx="30">
                  <c:v>0</c:v>
                </c:pt>
                <c:pt idx="31">
                  <c:v>0</c:v>
                </c:pt>
                <c:pt idx="32">
                  <c:v>0</c:v>
                </c:pt>
                <c:pt idx="33">
                  <c:v>0</c:v>
                </c:pt>
                <c:pt idx="34">
                  <c:v>0</c:v>
                </c:pt>
                <c:pt idx="35">
                  <c:v>0</c:v>
                </c:pt>
                <c:pt idx="36">
                  <c:v>0</c:v>
                </c:pt>
                <c:pt idx="37">
                  <c:v>0</c:v>
                </c:pt>
                <c:pt idx="38">
                  <c:v>0</c:v>
                </c:pt>
                <c:pt idx="39">
                  <c:v>0</c:v>
                </c:pt>
              </c:numCache>
            </c:numRef>
          </c:val>
          <c:smooth val="0"/>
        </c:ser>
        <c:dLbls>
          <c:showLegendKey val="0"/>
          <c:showVal val="0"/>
          <c:showCatName val="0"/>
          <c:showSerName val="0"/>
          <c:showPercent val="0"/>
          <c:showBubbleSize val="0"/>
        </c:dLbls>
        <c:marker val="1"/>
        <c:smooth val="0"/>
        <c:axId val="2119359696"/>
        <c:axId val="520098768"/>
      </c:lineChart>
      <c:catAx>
        <c:axId val="2119359696"/>
        <c:scaling>
          <c:orientation val="minMax"/>
        </c:scaling>
        <c:delete val="0"/>
        <c:axPos val="b"/>
        <c:numFmt formatCode="0" sourceLinked="0"/>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520098768"/>
        <c:crosses val="autoZero"/>
        <c:auto val="0"/>
        <c:lblAlgn val="ctr"/>
        <c:lblOffset val="100"/>
        <c:tickLblSkip val="3"/>
        <c:tickMarkSkip val="1"/>
        <c:noMultiLvlLbl val="0"/>
      </c:catAx>
      <c:valAx>
        <c:axId val="520098768"/>
        <c:scaling>
          <c:orientation val="minMax"/>
          <c:max val="0.3"/>
        </c:scaling>
        <c:delete val="0"/>
        <c:axPos val="l"/>
        <c:majorGridlines>
          <c:spPr>
            <a:ln w="12700">
              <a:solidFill>
                <a:srgbClr val="C0C0C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9359696"/>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chemeClr val="bg2"/>
    </a:solid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baseline="0"/>
              <a:t>Marginal</a:t>
            </a:r>
            <a:r>
              <a:rPr lang="en-US"/>
              <a:t> Federal Tax Rates</a:t>
            </a:r>
          </a:p>
        </c:rich>
      </c:tx>
      <c:layout>
        <c:manualLayout>
          <c:xMode val="edge"/>
          <c:yMode val="edge"/>
          <c:x val="0.26304653324584426"/>
          <c:y val="3.0609798775153105E-2"/>
        </c:manualLayout>
      </c:layout>
      <c:overlay val="0"/>
      <c:spPr>
        <a:noFill/>
        <a:ln w="25400">
          <a:noFill/>
        </a:ln>
      </c:spPr>
    </c:title>
    <c:autoTitleDeleted val="0"/>
    <c:plotArea>
      <c:layout>
        <c:manualLayout>
          <c:layoutTarget val="inner"/>
          <c:xMode val="edge"/>
          <c:yMode val="edge"/>
          <c:x val="0.16079338387882422"/>
          <c:y val="0.19232112785034819"/>
          <c:w val="0.81277751577104285"/>
          <c:h val="0.65691251093613301"/>
        </c:manualLayout>
      </c:layout>
      <c:lineChart>
        <c:grouping val="standard"/>
        <c:varyColors val="0"/>
        <c:ser>
          <c:idx val="1"/>
          <c:order val="0"/>
          <c:tx>
            <c:v>Full</c:v>
          </c:tx>
          <c:spPr>
            <a:ln w="19050">
              <a:noFill/>
            </a:ln>
          </c:spPr>
          <c:marker>
            <c:symbol val="square"/>
            <c:size val="5"/>
            <c:spPr>
              <a:solidFill>
                <a:srgbClr val="0000FF"/>
              </a:solidFill>
              <a:ln w="3175">
                <a:noFill/>
                <a:prstDash val="solid"/>
              </a:ln>
            </c:spPr>
          </c:marker>
          <c:cat>
            <c:numRef>
              <c:f>Results!$F$1:$AS$1</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Details!$F$204:$AS$204</c:f>
              <c:numCache>
                <c:formatCode>0.0%</c:formatCode>
                <c:ptCount val="40"/>
                <c:pt idx="0">
                  <c:v>0.12</c:v>
                </c:pt>
                <c:pt idx="1">
                  <c:v>0.12</c:v>
                </c:pt>
                <c:pt idx="2">
                  <c:v>0.12</c:v>
                </c:pt>
                <c:pt idx="3">
                  <c:v>0.12</c:v>
                </c:pt>
                <c:pt idx="4">
                  <c:v>0.12</c:v>
                </c:pt>
                <c:pt idx="5">
                  <c:v>0.12</c:v>
                </c:pt>
                <c:pt idx="6">
                  <c:v>0.12</c:v>
                </c:pt>
                <c:pt idx="7">
                  <c:v>0.12</c:v>
                </c:pt>
                <c:pt idx="8">
                  <c:v>0.12</c:v>
                </c:pt>
                <c:pt idx="9">
                  <c:v>0.12</c:v>
                </c:pt>
                <c:pt idx="10">
                  <c:v>0.12</c:v>
                </c:pt>
                <c:pt idx="11">
                  <c:v>0.12</c:v>
                </c:pt>
                <c:pt idx="12">
                  <c:v>0.12</c:v>
                </c:pt>
                <c:pt idx="13">
                  <c:v>0.12</c:v>
                </c:pt>
                <c:pt idx="14">
                  <c:v>0.12</c:v>
                </c:pt>
                <c:pt idx="15">
                  <c:v>0.12</c:v>
                </c:pt>
                <c:pt idx="16">
                  <c:v>0.12</c:v>
                </c:pt>
                <c:pt idx="17">
                  <c:v>0.12</c:v>
                </c:pt>
                <c:pt idx="18">
                  <c:v>0.12</c:v>
                </c:pt>
                <c:pt idx="19">
                  <c:v>0.12</c:v>
                </c:pt>
                <c:pt idx="20">
                  <c:v>0.12</c:v>
                </c:pt>
                <c:pt idx="21">
                  <c:v>0.12</c:v>
                </c:pt>
                <c:pt idx="22">
                  <c:v>0.12</c:v>
                </c:pt>
                <c:pt idx="23">
                  <c:v>0.12</c:v>
                </c:pt>
                <c:pt idx="24">
                  <c:v>0.22</c:v>
                </c:pt>
                <c:pt idx="25">
                  <c:v>0.22</c:v>
                </c:pt>
                <c:pt idx="26">
                  <c:v>0.22</c:v>
                </c:pt>
                <c:pt idx="27">
                  <c:v>0.22</c:v>
                </c:pt>
                <c:pt idx="28">
                  <c:v>0.22</c:v>
                </c:pt>
                <c:pt idx="29">
                  <c:v>0.22</c:v>
                </c:pt>
                <c:pt idx="30">
                  <c:v>0</c:v>
                </c:pt>
                <c:pt idx="31">
                  <c:v>0</c:v>
                </c:pt>
                <c:pt idx="32">
                  <c:v>0</c:v>
                </c:pt>
                <c:pt idx="33">
                  <c:v>0</c:v>
                </c:pt>
                <c:pt idx="34">
                  <c:v>0</c:v>
                </c:pt>
                <c:pt idx="35">
                  <c:v>0</c:v>
                </c:pt>
                <c:pt idx="36">
                  <c:v>0</c:v>
                </c:pt>
                <c:pt idx="37">
                  <c:v>0</c:v>
                </c:pt>
                <c:pt idx="38">
                  <c:v>0</c:v>
                </c:pt>
                <c:pt idx="39">
                  <c:v>0</c:v>
                </c:pt>
              </c:numCache>
            </c:numRef>
          </c:val>
          <c:smooth val="0"/>
        </c:ser>
        <c:dLbls>
          <c:showLegendKey val="0"/>
          <c:showVal val="0"/>
          <c:showCatName val="0"/>
          <c:showSerName val="0"/>
          <c:showPercent val="0"/>
          <c:showBubbleSize val="0"/>
        </c:dLbls>
        <c:marker val="1"/>
        <c:smooth val="0"/>
        <c:axId val="520094960"/>
        <c:axId val="520099312"/>
      </c:lineChart>
      <c:catAx>
        <c:axId val="520094960"/>
        <c:scaling>
          <c:orientation val="minMax"/>
        </c:scaling>
        <c:delete val="0"/>
        <c:axPos val="b"/>
        <c:numFmt formatCode="0" sourceLinked="0"/>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520099312"/>
        <c:crosses val="autoZero"/>
        <c:auto val="0"/>
        <c:lblAlgn val="ctr"/>
        <c:lblOffset val="100"/>
        <c:tickLblSkip val="3"/>
        <c:tickMarkSkip val="1"/>
        <c:noMultiLvlLbl val="0"/>
      </c:catAx>
      <c:valAx>
        <c:axId val="520099312"/>
        <c:scaling>
          <c:orientation val="minMax"/>
        </c:scaling>
        <c:delete val="0"/>
        <c:axPos val="l"/>
        <c:majorGridlines>
          <c:spPr>
            <a:ln w="12700">
              <a:solidFill>
                <a:srgbClr val="C0C0C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20094960"/>
        <c:crossesAt val="1"/>
        <c:crossBetween val="between"/>
        <c:majorUnit val="5.000000000000001E-2"/>
      </c:valAx>
      <c:spPr>
        <a:solidFill>
          <a:srgbClr val="FFFFFF"/>
        </a:solidFill>
        <a:ln w="12700">
          <a:solidFill>
            <a:srgbClr val="808080"/>
          </a:solidFill>
          <a:prstDash val="solid"/>
        </a:ln>
      </c:spPr>
    </c:plotArea>
    <c:plotVisOnly val="1"/>
    <c:dispBlanksAs val="gap"/>
    <c:showDLblsOverMax val="0"/>
  </c:chart>
  <c:spPr>
    <a:solidFill>
      <a:schemeClr val="bg2"/>
    </a:solid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State Income Taxes</a:t>
            </a:r>
          </a:p>
        </c:rich>
      </c:tx>
      <c:layout>
        <c:manualLayout>
          <c:xMode val="edge"/>
          <c:yMode val="edge"/>
          <c:x val="0.29872566710411197"/>
          <c:y val="3.4722222222222224E-2"/>
        </c:manualLayout>
      </c:layout>
      <c:overlay val="0"/>
      <c:spPr>
        <a:noFill/>
        <a:ln w="25400">
          <a:noFill/>
        </a:ln>
      </c:spPr>
    </c:title>
    <c:autoTitleDeleted val="0"/>
    <c:plotArea>
      <c:layout>
        <c:manualLayout>
          <c:layoutTarget val="inner"/>
          <c:xMode val="edge"/>
          <c:yMode val="edge"/>
          <c:x val="0.14510176359534005"/>
          <c:y val="0.19397993311036787"/>
          <c:w val="0.83634537459133407"/>
          <c:h val="0.6590487313071961"/>
        </c:manualLayout>
      </c:layout>
      <c:barChart>
        <c:barDir val="col"/>
        <c:grouping val="clustered"/>
        <c:varyColors val="0"/>
        <c:ser>
          <c:idx val="1"/>
          <c:order val="0"/>
          <c:tx>
            <c:v>Full</c:v>
          </c:tx>
          <c:spPr>
            <a:solidFill>
              <a:srgbClr val="0000FF"/>
            </a:solidFill>
            <a:ln w="25400">
              <a:noFill/>
            </a:ln>
          </c:spPr>
          <c:invertIfNegative val="0"/>
          <c:cat>
            <c:numRef>
              <c:f>Results!$F$1:$AS$1</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Details!$F$227:$AS$227</c:f>
              <c:numCache>
                <c:formatCode>_(* #,##0_);_(* \(#,##0\);_(* "-"??_);_(@_)</c:formatCode>
                <c:ptCount val="40"/>
                <c:pt idx="0" formatCode="#,##0_);\(#,##0\)">
                  <c:v>1100</c:v>
                </c:pt>
                <c:pt idx="1">
                  <c:v>1600</c:v>
                </c:pt>
                <c:pt idx="2">
                  <c:v>1000</c:v>
                </c:pt>
                <c:pt idx="3">
                  <c:v>1000</c:v>
                </c:pt>
                <c:pt idx="4">
                  <c:v>1100</c:v>
                </c:pt>
                <c:pt idx="5">
                  <c:v>1100</c:v>
                </c:pt>
                <c:pt idx="6">
                  <c:v>1100</c:v>
                </c:pt>
                <c:pt idx="7">
                  <c:v>2000</c:v>
                </c:pt>
                <c:pt idx="8">
                  <c:v>600</c:v>
                </c:pt>
                <c:pt idx="9">
                  <c:v>600</c:v>
                </c:pt>
                <c:pt idx="10">
                  <c:v>600</c:v>
                </c:pt>
                <c:pt idx="11">
                  <c:v>700</c:v>
                </c:pt>
                <c:pt idx="12">
                  <c:v>900</c:v>
                </c:pt>
                <c:pt idx="13">
                  <c:v>1000</c:v>
                </c:pt>
                <c:pt idx="14">
                  <c:v>1400</c:v>
                </c:pt>
                <c:pt idx="15">
                  <c:v>1700</c:v>
                </c:pt>
                <c:pt idx="16">
                  <c:v>2100</c:v>
                </c:pt>
                <c:pt idx="17">
                  <c:v>2200</c:v>
                </c:pt>
                <c:pt idx="18">
                  <c:v>2000</c:v>
                </c:pt>
                <c:pt idx="19">
                  <c:v>2000</c:v>
                </c:pt>
                <c:pt idx="20">
                  <c:v>2100</c:v>
                </c:pt>
                <c:pt idx="21">
                  <c:v>2300</c:v>
                </c:pt>
                <c:pt idx="22">
                  <c:v>6700</c:v>
                </c:pt>
                <c:pt idx="23">
                  <c:v>7400</c:v>
                </c:pt>
                <c:pt idx="24">
                  <c:v>7300</c:v>
                </c:pt>
                <c:pt idx="25">
                  <c:v>7600</c:v>
                </c:pt>
                <c:pt idx="26">
                  <c:v>7700</c:v>
                </c:pt>
                <c:pt idx="27">
                  <c:v>7200</c:v>
                </c:pt>
                <c:pt idx="28">
                  <c:v>7200</c:v>
                </c:pt>
                <c:pt idx="29">
                  <c:v>7400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40"/>
        <c:axId val="520099856"/>
        <c:axId val="520100400"/>
      </c:barChart>
      <c:catAx>
        <c:axId val="520099856"/>
        <c:scaling>
          <c:orientation val="minMax"/>
        </c:scaling>
        <c:delete val="0"/>
        <c:axPos val="b"/>
        <c:numFmt formatCode="0" sourceLinked="0"/>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520100400"/>
        <c:crosses val="autoZero"/>
        <c:auto val="0"/>
        <c:lblAlgn val="ctr"/>
        <c:lblOffset val="100"/>
        <c:tickLblSkip val="3"/>
        <c:tickMarkSkip val="1"/>
        <c:noMultiLvlLbl val="0"/>
      </c:catAx>
      <c:valAx>
        <c:axId val="520100400"/>
        <c:scaling>
          <c:orientation val="minMax"/>
        </c:scaling>
        <c:delete val="0"/>
        <c:axPos val="l"/>
        <c:majorGridlines>
          <c:spPr>
            <a:ln w="12700">
              <a:solidFill>
                <a:srgbClr val="C0C0C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20099856"/>
        <c:crosses val="autoZero"/>
        <c:crossBetween val="between"/>
        <c:dispUnits>
          <c:builtInUnit val="thousands"/>
          <c:dispUnitsLbl>
            <c:layout>
              <c:manualLayout>
                <c:xMode val="edge"/>
                <c:yMode val="edge"/>
                <c:x val="1.4206583552055995E-2"/>
                <c:y val="0.38242607174103238"/>
              </c:manualLayout>
            </c:layout>
            <c:txPr>
              <a:bodyPr/>
              <a:lstStyle/>
              <a:p>
                <a:pPr>
                  <a:defRPr sz="1000"/>
                </a:pPr>
                <a:endParaRPr lang="en-US"/>
              </a:p>
            </c:txPr>
          </c:dispUnitsLbl>
        </c:dispUnits>
      </c:valAx>
      <c:spPr>
        <a:solidFill>
          <a:srgbClr val="FFFFFF"/>
        </a:solidFill>
        <a:ln w="12700">
          <a:solidFill>
            <a:srgbClr val="808080"/>
          </a:solidFill>
          <a:prstDash val="solid"/>
        </a:ln>
      </c:spPr>
    </c:plotArea>
    <c:plotVisOnly val="1"/>
    <c:dispBlanksAs val="gap"/>
    <c:showDLblsOverMax val="0"/>
  </c:chart>
  <c:spPr>
    <a:solidFill>
      <a:schemeClr val="bg2"/>
    </a:solidFill>
    <a:ln w="6350">
      <a:noFill/>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Taxable Social Security Benefits</a:t>
            </a:r>
          </a:p>
        </c:rich>
      </c:tx>
      <c:layout>
        <c:manualLayout>
          <c:xMode val="edge"/>
          <c:yMode val="edge"/>
          <c:x val="0.22991661198600177"/>
          <c:y val="7.2312445319335089E-2"/>
        </c:manualLayout>
      </c:layout>
      <c:overlay val="0"/>
      <c:spPr>
        <a:noFill/>
        <a:ln w="25400">
          <a:noFill/>
        </a:ln>
      </c:spPr>
    </c:title>
    <c:autoTitleDeleted val="0"/>
    <c:plotArea>
      <c:layout>
        <c:manualLayout>
          <c:layoutTarget val="inner"/>
          <c:xMode val="edge"/>
          <c:yMode val="edge"/>
          <c:x val="0.15789473684210528"/>
          <c:y val="0.23481792981497193"/>
          <c:w val="0.81983805668016196"/>
          <c:h val="0.5870448245374299"/>
        </c:manualLayout>
      </c:layout>
      <c:barChart>
        <c:barDir val="col"/>
        <c:grouping val="clustered"/>
        <c:varyColors val="0"/>
        <c:ser>
          <c:idx val="0"/>
          <c:order val="0"/>
          <c:tx>
            <c:v>Full</c:v>
          </c:tx>
          <c:spPr>
            <a:solidFill>
              <a:srgbClr val="0000FF"/>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Results!$F$112:$AS$112</c:f>
              <c:numCache>
                <c:formatCode>_(* #,##0_);_(* \(#,##0\);_(* "-"??_);_(@_)</c:formatCode>
                <c:ptCount val="40"/>
                <c:pt idx="0" formatCode="#,##0_);\(#,##0\)">
                  <c:v>0</c:v>
                </c:pt>
                <c:pt idx="1">
                  <c:v>0</c:v>
                </c:pt>
                <c:pt idx="2">
                  <c:v>0</c:v>
                </c:pt>
                <c:pt idx="3">
                  <c:v>0</c:v>
                </c:pt>
                <c:pt idx="4">
                  <c:v>0</c:v>
                </c:pt>
                <c:pt idx="5">
                  <c:v>18800</c:v>
                </c:pt>
                <c:pt idx="6">
                  <c:v>19100</c:v>
                </c:pt>
                <c:pt idx="7">
                  <c:v>19600</c:v>
                </c:pt>
                <c:pt idx="8">
                  <c:v>33400</c:v>
                </c:pt>
                <c:pt idx="9">
                  <c:v>34900</c:v>
                </c:pt>
                <c:pt idx="10">
                  <c:v>36100</c:v>
                </c:pt>
                <c:pt idx="11">
                  <c:v>38000</c:v>
                </c:pt>
                <c:pt idx="12">
                  <c:v>44300</c:v>
                </c:pt>
                <c:pt idx="13">
                  <c:v>47000</c:v>
                </c:pt>
                <c:pt idx="14">
                  <c:v>59600</c:v>
                </c:pt>
                <c:pt idx="15">
                  <c:v>66800</c:v>
                </c:pt>
                <c:pt idx="16">
                  <c:v>53600</c:v>
                </c:pt>
                <c:pt idx="17">
                  <c:v>54600</c:v>
                </c:pt>
                <c:pt idx="18">
                  <c:v>55700</c:v>
                </c:pt>
                <c:pt idx="19">
                  <c:v>56800</c:v>
                </c:pt>
                <c:pt idx="20">
                  <c:v>57900</c:v>
                </c:pt>
                <c:pt idx="21">
                  <c:v>59100</c:v>
                </c:pt>
                <c:pt idx="22">
                  <c:v>60300</c:v>
                </c:pt>
                <c:pt idx="23">
                  <c:v>61500</c:v>
                </c:pt>
                <c:pt idx="24">
                  <c:v>41700</c:v>
                </c:pt>
                <c:pt idx="25">
                  <c:v>42500</c:v>
                </c:pt>
                <c:pt idx="26">
                  <c:v>43400</c:v>
                </c:pt>
                <c:pt idx="27">
                  <c:v>44200</c:v>
                </c:pt>
                <c:pt idx="28">
                  <c:v>45100</c:v>
                </c:pt>
                <c:pt idx="29">
                  <c:v>46000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40"/>
        <c:axId val="520093872"/>
        <c:axId val="520100944"/>
      </c:barChart>
      <c:catAx>
        <c:axId val="520093872"/>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520100944"/>
        <c:crosses val="autoZero"/>
        <c:auto val="1"/>
        <c:lblAlgn val="ctr"/>
        <c:lblOffset val="100"/>
        <c:tickLblSkip val="3"/>
        <c:tickMarkSkip val="1"/>
        <c:noMultiLvlLbl val="0"/>
      </c:catAx>
      <c:valAx>
        <c:axId val="520100944"/>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20093872"/>
        <c:crosses val="autoZero"/>
        <c:crossBetween val="between"/>
        <c:dispUnits>
          <c:builtInUnit val="thousands"/>
          <c:dispUnitsLbl>
            <c:layout>
              <c:manualLayout>
                <c:xMode val="edge"/>
                <c:yMode val="edge"/>
                <c:x val="1.7739227909011376E-2"/>
                <c:y val="0.30549759405074367"/>
              </c:manualLayout>
            </c:layout>
            <c:txPr>
              <a:bodyPr/>
              <a:lstStyle/>
              <a:p>
                <a:pPr>
                  <a:defRPr sz="1000"/>
                </a:pPr>
                <a:endParaRPr lang="en-US"/>
              </a:p>
            </c:txPr>
          </c:dispUnitsLbl>
        </c:dispUnits>
      </c:valAx>
      <c:spPr>
        <a:solidFill>
          <a:srgbClr val="FFFFFF"/>
        </a:solidFill>
        <a:ln w="12700">
          <a:solidFill>
            <a:srgbClr val="808080"/>
          </a:solidFill>
          <a:prstDash val="solid"/>
        </a:ln>
      </c:spPr>
    </c:plotArea>
    <c:plotVisOnly val="1"/>
    <c:dispBlanksAs val="gap"/>
    <c:showDLblsOverMax val="0"/>
  </c:chart>
  <c:spPr>
    <a:solidFill>
      <a:schemeClr val="bg2"/>
    </a:solid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sz="1100" baseline="0"/>
              <a:t>Social Security Benefits</a:t>
            </a:r>
          </a:p>
        </c:rich>
      </c:tx>
      <c:layout>
        <c:manualLayout>
          <c:xMode val="edge"/>
          <c:yMode val="edge"/>
          <c:x val="0.29388068678915136"/>
          <c:y val="5.3074693788276464E-2"/>
        </c:manualLayout>
      </c:layout>
      <c:overlay val="0"/>
      <c:spPr>
        <a:noFill/>
        <a:ln w="25400">
          <a:noFill/>
        </a:ln>
      </c:spPr>
    </c:title>
    <c:autoTitleDeleted val="0"/>
    <c:plotArea>
      <c:layout>
        <c:manualLayout>
          <c:layoutTarget val="inner"/>
          <c:xMode val="edge"/>
          <c:yMode val="edge"/>
          <c:x val="0.15404090113735783"/>
          <c:y val="0.21338912133891211"/>
          <c:w val="0.82323436132983374"/>
          <c:h val="0.58158995815899583"/>
        </c:manualLayout>
      </c:layout>
      <c:barChart>
        <c:barDir val="col"/>
        <c:grouping val="clustered"/>
        <c:varyColors val="0"/>
        <c:ser>
          <c:idx val="2"/>
          <c:order val="1"/>
          <c:tx>
            <c:v>SS Benefits</c:v>
          </c:tx>
          <c:spPr>
            <a:solidFill>
              <a:srgbClr val="0000FF"/>
            </a:solidFill>
            <a:ln w="25400">
              <a:noFill/>
            </a:ln>
          </c:spPr>
          <c:invertIfNegative val="0"/>
          <c:cat>
            <c:numRef>
              <c:f>Base!$F$4:$AS$4</c:f>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f>Details!$F$61:$AS$61</c:f>
              <c:numCache>
                <c:formatCode>_(* #,##0_);_(* \(#,##0\);_(* "-"??_);_(@_)</c:formatCode>
                <c:ptCount val="40"/>
                <c:pt idx="0" formatCode="#,##0_);\(#,##0\)">
                  <c:v>0</c:v>
                </c:pt>
                <c:pt idx="1">
                  <c:v>0</c:v>
                </c:pt>
                <c:pt idx="2">
                  <c:v>0</c:v>
                </c:pt>
                <c:pt idx="3">
                  <c:v>0</c:v>
                </c:pt>
                <c:pt idx="4">
                  <c:v>0</c:v>
                </c:pt>
                <c:pt idx="5">
                  <c:v>22100</c:v>
                </c:pt>
                <c:pt idx="6">
                  <c:v>22500</c:v>
                </c:pt>
                <c:pt idx="7">
                  <c:v>23000</c:v>
                </c:pt>
                <c:pt idx="8">
                  <c:v>69900</c:v>
                </c:pt>
                <c:pt idx="9">
                  <c:v>71300</c:v>
                </c:pt>
                <c:pt idx="10">
                  <c:v>72700</c:v>
                </c:pt>
                <c:pt idx="11">
                  <c:v>74200</c:v>
                </c:pt>
                <c:pt idx="12">
                  <c:v>75700</c:v>
                </c:pt>
                <c:pt idx="13">
                  <c:v>77200</c:v>
                </c:pt>
                <c:pt idx="14">
                  <c:v>78700</c:v>
                </c:pt>
                <c:pt idx="15">
                  <c:v>80200</c:v>
                </c:pt>
                <c:pt idx="16">
                  <c:v>63000</c:v>
                </c:pt>
                <c:pt idx="17">
                  <c:v>64200</c:v>
                </c:pt>
                <c:pt idx="18">
                  <c:v>65500</c:v>
                </c:pt>
                <c:pt idx="19">
                  <c:v>66800</c:v>
                </c:pt>
                <c:pt idx="20">
                  <c:v>68100</c:v>
                </c:pt>
                <c:pt idx="21">
                  <c:v>69500</c:v>
                </c:pt>
                <c:pt idx="22">
                  <c:v>70900</c:v>
                </c:pt>
                <c:pt idx="23">
                  <c:v>72300</c:v>
                </c:pt>
                <c:pt idx="24">
                  <c:v>49000</c:v>
                </c:pt>
                <c:pt idx="25">
                  <c:v>50000</c:v>
                </c:pt>
                <c:pt idx="26">
                  <c:v>51000</c:v>
                </c:pt>
                <c:pt idx="27">
                  <c:v>52000</c:v>
                </c:pt>
                <c:pt idx="28">
                  <c:v>53000</c:v>
                </c:pt>
                <c:pt idx="29">
                  <c:v>54100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40"/>
        <c:overlap val="100"/>
        <c:axId val="520097136"/>
        <c:axId val="520094416"/>
      </c:barChart>
      <c:lineChart>
        <c:grouping val="standard"/>
        <c:varyColors val="0"/>
        <c:dLbls>
          <c:showLegendKey val="0"/>
          <c:showVal val="0"/>
          <c:showCatName val="0"/>
          <c:showSerName val="0"/>
          <c:showPercent val="0"/>
          <c:showBubbleSize val="0"/>
        </c:dLbls>
        <c:marker val="1"/>
        <c:smooth val="0"/>
        <c:axId val="520097136"/>
        <c:axId val="520094416"/>
        <c:extLst>
          <c:ext xmlns:c15="http://schemas.microsoft.com/office/drawing/2012/chart" uri="{02D57815-91ED-43cb-92C2-25804820EDAC}">
            <c15:filteredLineSeries>
              <c15:ser>
                <c:idx val="0"/>
                <c:order val="0"/>
                <c:tx>
                  <c:v>Expenses</c:v>
                </c:tx>
                <c:spPr>
                  <a:ln w="19050">
                    <a:noFill/>
                  </a:ln>
                </c:spPr>
                <c:marker>
                  <c:symbol val="square"/>
                  <c:size val="5"/>
                  <c:spPr>
                    <a:solidFill>
                      <a:srgbClr val="FF0000"/>
                    </a:solidFill>
                    <a:ln>
                      <a:noFill/>
                      <a:prstDash val="solid"/>
                    </a:ln>
                  </c:spPr>
                </c:marker>
                <c:cat>
                  <c:numRef>
                    <c:extLst>
                      <c:ext uri="{02D57815-91ED-43cb-92C2-25804820EDAC}">
                        <c15:formulaRef>
                          <c15:sqref>Base!$F$4:$AS$4</c15:sqref>
                        </c15:formulaRef>
                      </c:ext>
                    </c:extLst>
                    <c:numCache>
                      <c:formatCode>#,##0</c:formatCode>
                      <c:ptCount val="40"/>
                      <c:pt idx="0">
                        <c:v>62</c:v>
                      </c:pt>
                      <c:pt idx="1">
                        <c:v>63</c:v>
                      </c:pt>
                      <c:pt idx="2">
                        <c:v>64</c:v>
                      </c:pt>
                      <c:pt idx="3">
                        <c:v>65</c:v>
                      </c:pt>
                      <c:pt idx="4">
                        <c:v>66</c:v>
                      </c:pt>
                      <c:pt idx="5">
                        <c:v>67</c:v>
                      </c:pt>
                      <c:pt idx="6">
                        <c:v>68</c:v>
                      </c:pt>
                      <c:pt idx="7">
                        <c:v>69</c:v>
                      </c:pt>
                      <c:pt idx="8">
                        <c:v>70</c:v>
                      </c:pt>
                      <c:pt idx="9">
                        <c:v>71</c:v>
                      </c:pt>
                      <c:pt idx="10">
                        <c:v>72</c:v>
                      </c:pt>
                      <c:pt idx="11">
                        <c:v>73</c:v>
                      </c:pt>
                      <c:pt idx="12">
                        <c:v>74</c:v>
                      </c:pt>
                      <c:pt idx="13">
                        <c:v>75</c:v>
                      </c:pt>
                      <c:pt idx="14">
                        <c:v>76</c:v>
                      </c:pt>
                      <c:pt idx="15">
                        <c:v>77</c:v>
                      </c:pt>
                      <c:pt idx="16">
                        <c:v>78</c:v>
                      </c:pt>
                      <c:pt idx="17">
                        <c:v>79</c:v>
                      </c:pt>
                      <c:pt idx="18">
                        <c:v>80</c:v>
                      </c:pt>
                      <c:pt idx="19">
                        <c:v>81</c:v>
                      </c:pt>
                      <c:pt idx="20">
                        <c:v>82</c:v>
                      </c:pt>
                      <c:pt idx="21">
                        <c:v>83</c:v>
                      </c:pt>
                      <c:pt idx="22">
                        <c:v>84</c:v>
                      </c:pt>
                      <c:pt idx="23">
                        <c:v>85</c:v>
                      </c:pt>
                      <c:pt idx="24">
                        <c:v>86</c:v>
                      </c:pt>
                      <c:pt idx="25">
                        <c:v>87</c:v>
                      </c:pt>
                      <c:pt idx="26">
                        <c:v>88</c:v>
                      </c:pt>
                      <c:pt idx="27">
                        <c:v>89</c:v>
                      </c:pt>
                      <c:pt idx="28">
                        <c:v>90</c:v>
                      </c:pt>
                      <c:pt idx="29">
                        <c:v>91</c:v>
                      </c:pt>
                      <c:pt idx="30">
                        <c:v>92</c:v>
                      </c:pt>
                      <c:pt idx="31">
                        <c:v>93</c:v>
                      </c:pt>
                      <c:pt idx="32">
                        <c:v>94</c:v>
                      </c:pt>
                      <c:pt idx="33">
                        <c:v>95</c:v>
                      </c:pt>
                      <c:pt idx="34">
                        <c:v>96</c:v>
                      </c:pt>
                      <c:pt idx="35">
                        <c:v>97</c:v>
                      </c:pt>
                      <c:pt idx="36">
                        <c:v>98</c:v>
                      </c:pt>
                      <c:pt idx="37">
                        <c:v>99</c:v>
                      </c:pt>
                      <c:pt idx="38">
                        <c:v>100</c:v>
                      </c:pt>
                      <c:pt idx="39">
                        <c:v>101</c:v>
                      </c:pt>
                    </c:numCache>
                  </c:numRef>
                </c:cat>
                <c:val>
                  <c:numRef>
                    <c:extLst>
                      <c:ext uri="{02D57815-91ED-43cb-92C2-25804820EDAC}">
                        <c15:formulaRef>
                          <c15:sqref>Details!$F$146:$AS$146</c15:sqref>
                        </c15:formulaRef>
                      </c:ext>
                    </c:extLst>
                    <c:numCache>
                      <c:formatCode>_(* #,##0_);_(* \(#,##0\);_(* "-"??_);_(@_)</c:formatCode>
                      <c:ptCount val="40"/>
                      <c:pt idx="0" formatCode="#,##0_);\(#,##0\)">
                        <c:v>75000</c:v>
                      </c:pt>
                      <c:pt idx="1">
                        <c:v>78800</c:v>
                      </c:pt>
                      <c:pt idx="2">
                        <c:v>77800</c:v>
                      </c:pt>
                      <c:pt idx="3">
                        <c:v>79400</c:v>
                      </c:pt>
                      <c:pt idx="4">
                        <c:v>81000</c:v>
                      </c:pt>
                      <c:pt idx="5">
                        <c:v>84900</c:v>
                      </c:pt>
                      <c:pt idx="6">
                        <c:v>86400</c:v>
                      </c:pt>
                      <c:pt idx="7">
                        <c:v>89500</c:v>
                      </c:pt>
                      <c:pt idx="8">
                        <c:v>86700</c:v>
                      </c:pt>
                      <c:pt idx="9">
                        <c:v>88400</c:v>
                      </c:pt>
                      <c:pt idx="10">
                        <c:v>90200</c:v>
                      </c:pt>
                      <c:pt idx="11">
                        <c:v>92300</c:v>
                      </c:pt>
                      <c:pt idx="12">
                        <c:v>95500</c:v>
                      </c:pt>
                      <c:pt idx="13">
                        <c:v>97800</c:v>
                      </c:pt>
                      <c:pt idx="14">
                        <c:v>103000</c:v>
                      </c:pt>
                      <c:pt idx="15">
                        <c:v>106700</c:v>
                      </c:pt>
                      <c:pt idx="16">
                        <c:v>108300</c:v>
                      </c:pt>
                      <c:pt idx="17">
                        <c:v>110600</c:v>
                      </c:pt>
                      <c:pt idx="18">
                        <c:v>131500</c:v>
                      </c:pt>
                      <c:pt idx="19">
                        <c:v>134100</c:v>
                      </c:pt>
                      <c:pt idx="20">
                        <c:v>137000</c:v>
                      </c:pt>
                      <c:pt idx="21">
                        <c:v>140200</c:v>
                      </c:pt>
                      <c:pt idx="22">
                        <c:v>147500</c:v>
                      </c:pt>
                      <c:pt idx="23">
                        <c:v>151800</c:v>
                      </c:pt>
                      <c:pt idx="24">
                        <c:v>159300</c:v>
                      </c:pt>
                      <c:pt idx="25">
                        <c:v>163000</c:v>
                      </c:pt>
                      <c:pt idx="26">
                        <c:v>166200</c:v>
                      </c:pt>
                      <c:pt idx="27">
                        <c:v>166900</c:v>
                      </c:pt>
                      <c:pt idx="28">
                        <c:v>169700</c:v>
                      </c:pt>
                      <c:pt idx="29">
                        <c:v>173100</c:v>
                      </c:pt>
                      <c:pt idx="30">
                        <c:v>0</c:v>
                      </c:pt>
                      <c:pt idx="31">
                        <c:v>0</c:v>
                      </c:pt>
                      <c:pt idx="32">
                        <c:v>0</c:v>
                      </c:pt>
                      <c:pt idx="33">
                        <c:v>0</c:v>
                      </c:pt>
                      <c:pt idx="34">
                        <c:v>0</c:v>
                      </c:pt>
                      <c:pt idx="35">
                        <c:v>0</c:v>
                      </c:pt>
                      <c:pt idx="36">
                        <c:v>0</c:v>
                      </c:pt>
                      <c:pt idx="37">
                        <c:v>0</c:v>
                      </c:pt>
                      <c:pt idx="38">
                        <c:v>0</c:v>
                      </c:pt>
                      <c:pt idx="39">
                        <c:v>0</c:v>
                      </c:pt>
                    </c:numCache>
                  </c:numRef>
                </c:val>
                <c:smooth val="0"/>
              </c15:ser>
            </c15:filteredLineSeries>
          </c:ext>
        </c:extLst>
      </c:lineChart>
      <c:catAx>
        <c:axId val="520097136"/>
        <c:scaling>
          <c:orientation val="minMax"/>
        </c:scaling>
        <c:delete val="0"/>
        <c:axPos val="b"/>
        <c:numFmt formatCode="#,##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520094416"/>
        <c:crosses val="autoZero"/>
        <c:auto val="1"/>
        <c:lblAlgn val="ctr"/>
        <c:lblOffset val="100"/>
        <c:tickLblSkip val="3"/>
        <c:tickMarkSkip val="1"/>
        <c:noMultiLvlLbl val="0"/>
      </c:catAx>
      <c:valAx>
        <c:axId val="520094416"/>
        <c:scaling>
          <c:orientation val="minMax"/>
        </c:scaling>
        <c:delete val="0"/>
        <c:axPos val="l"/>
        <c:majorGridlines>
          <c:spPr>
            <a:ln w="3175">
              <a:solidFill>
                <a:srgbClr val="00000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20097136"/>
        <c:crosses val="autoZero"/>
        <c:crossBetween val="between"/>
        <c:dispUnits>
          <c:builtInUnit val="thousands"/>
          <c:dispUnitsLbl>
            <c:layout>
              <c:manualLayout>
                <c:xMode val="edge"/>
                <c:yMode val="edge"/>
                <c:x val="6.9541307336582923E-3"/>
                <c:y val="0.31061132983377082"/>
              </c:manualLayout>
            </c:layout>
          </c:dispUnitsLbl>
        </c:dispUnits>
      </c:valAx>
      <c:spPr>
        <a:solidFill>
          <a:srgbClr val="FFFFFF"/>
        </a:solidFill>
        <a:ln w="12700">
          <a:solidFill>
            <a:srgbClr val="808080"/>
          </a:solidFill>
          <a:prstDash val="solid"/>
        </a:ln>
      </c:spPr>
    </c:plotArea>
    <c:plotVisOnly val="1"/>
    <c:dispBlanksAs val="gap"/>
    <c:showDLblsOverMax val="0"/>
  </c:chart>
  <c:spPr>
    <a:solidFill>
      <a:schemeClr val="accent3">
        <a:lumMod val="20000"/>
        <a:lumOff val="80000"/>
      </a:schemeClr>
    </a:solid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Radio" firstButton="1" fmlaLink="$AA$44"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6" Type="http://schemas.openxmlformats.org/officeDocument/2006/relationships/image" Target="../media/image1.gif"/><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13" Type="http://schemas.openxmlformats.org/officeDocument/2006/relationships/chart" Target="../charts/chart28.xml"/><Relationship Id="rId18" Type="http://schemas.openxmlformats.org/officeDocument/2006/relationships/chart" Target="../charts/chart33.xml"/><Relationship Id="rId26" Type="http://schemas.openxmlformats.org/officeDocument/2006/relationships/chart" Target="../charts/chart41.xml"/><Relationship Id="rId3" Type="http://schemas.openxmlformats.org/officeDocument/2006/relationships/chart" Target="../charts/chart18.xml"/><Relationship Id="rId21" Type="http://schemas.openxmlformats.org/officeDocument/2006/relationships/chart" Target="../charts/chart36.xml"/><Relationship Id="rId7" Type="http://schemas.openxmlformats.org/officeDocument/2006/relationships/chart" Target="../charts/chart22.xml"/><Relationship Id="rId12" Type="http://schemas.openxmlformats.org/officeDocument/2006/relationships/chart" Target="../charts/chart27.xml"/><Relationship Id="rId17" Type="http://schemas.openxmlformats.org/officeDocument/2006/relationships/chart" Target="../charts/chart32.xml"/><Relationship Id="rId25" Type="http://schemas.openxmlformats.org/officeDocument/2006/relationships/chart" Target="../charts/chart40.xml"/><Relationship Id="rId2" Type="http://schemas.openxmlformats.org/officeDocument/2006/relationships/chart" Target="../charts/chart17.xml"/><Relationship Id="rId16" Type="http://schemas.openxmlformats.org/officeDocument/2006/relationships/chart" Target="../charts/chart31.xml"/><Relationship Id="rId20" Type="http://schemas.openxmlformats.org/officeDocument/2006/relationships/chart" Target="../charts/chart35.xml"/><Relationship Id="rId1" Type="http://schemas.openxmlformats.org/officeDocument/2006/relationships/chart" Target="../charts/chart16.xml"/><Relationship Id="rId6" Type="http://schemas.openxmlformats.org/officeDocument/2006/relationships/chart" Target="../charts/chart21.xml"/><Relationship Id="rId11" Type="http://schemas.openxmlformats.org/officeDocument/2006/relationships/chart" Target="../charts/chart26.xml"/><Relationship Id="rId24" Type="http://schemas.openxmlformats.org/officeDocument/2006/relationships/chart" Target="../charts/chart39.xml"/><Relationship Id="rId5" Type="http://schemas.openxmlformats.org/officeDocument/2006/relationships/chart" Target="../charts/chart20.xml"/><Relationship Id="rId15" Type="http://schemas.openxmlformats.org/officeDocument/2006/relationships/chart" Target="../charts/chart30.xml"/><Relationship Id="rId23" Type="http://schemas.openxmlformats.org/officeDocument/2006/relationships/chart" Target="../charts/chart38.xml"/><Relationship Id="rId28" Type="http://schemas.openxmlformats.org/officeDocument/2006/relationships/chart" Target="../charts/chart43.xml"/><Relationship Id="rId10" Type="http://schemas.openxmlformats.org/officeDocument/2006/relationships/chart" Target="../charts/chart25.xml"/><Relationship Id="rId19" Type="http://schemas.openxmlformats.org/officeDocument/2006/relationships/chart" Target="../charts/chart34.xml"/><Relationship Id="rId4" Type="http://schemas.openxmlformats.org/officeDocument/2006/relationships/chart" Target="../charts/chart19.xml"/><Relationship Id="rId9" Type="http://schemas.openxmlformats.org/officeDocument/2006/relationships/chart" Target="../charts/chart24.xml"/><Relationship Id="rId14" Type="http://schemas.openxmlformats.org/officeDocument/2006/relationships/chart" Target="../charts/chart29.xml"/><Relationship Id="rId22" Type="http://schemas.openxmlformats.org/officeDocument/2006/relationships/chart" Target="../charts/chart37.xml"/><Relationship Id="rId27" Type="http://schemas.openxmlformats.org/officeDocument/2006/relationships/chart" Target="../charts/chart42.xml"/></Relationships>
</file>

<file path=xl/drawings/drawing1.xml><?xml version="1.0" encoding="utf-8"?>
<xdr:wsDr xmlns:xdr="http://schemas.openxmlformats.org/drawingml/2006/spreadsheetDrawing" xmlns:a="http://schemas.openxmlformats.org/drawingml/2006/main">
  <xdr:twoCellAnchor>
    <xdr:from>
      <xdr:col>5</xdr:col>
      <xdr:colOff>475129</xdr:colOff>
      <xdr:row>24</xdr:row>
      <xdr:rowOff>12551</xdr:rowOff>
    </xdr:from>
    <xdr:to>
      <xdr:col>5</xdr:col>
      <xdr:colOff>1075764</xdr:colOff>
      <xdr:row>24</xdr:row>
      <xdr:rowOff>188259</xdr:rowOff>
    </xdr:to>
    <xdr:sp macro="[0]!GoTopA1" textlink="">
      <xdr:nvSpPr>
        <xdr:cNvPr id="8229" name="Rectangle 14"/>
        <xdr:cNvSpPr>
          <a:spLocks noChangeArrowheads="1"/>
        </xdr:cNvSpPr>
      </xdr:nvSpPr>
      <xdr:spPr bwMode="auto">
        <a:xfrm>
          <a:off x="8498541" y="24755139"/>
          <a:ext cx="600635" cy="175708"/>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ctr"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255</xdr:col>
      <xdr:colOff>0</xdr:colOff>
      <xdr:row>4</xdr:row>
      <xdr:rowOff>22860</xdr:rowOff>
    </xdr:from>
    <xdr:to>
      <xdr:col>255</xdr:col>
      <xdr:colOff>0</xdr:colOff>
      <xdr:row>4</xdr:row>
      <xdr:rowOff>388620</xdr:rowOff>
    </xdr:to>
    <xdr:grpSp>
      <xdr:nvGrpSpPr>
        <xdr:cNvPr id="8262" name="Group 28"/>
        <xdr:cNvGrpSpPr>
          <a:grpSpLocks/>
        </xdr:cNvGrpSpPr>
      </xdr:nvGrpSpPr>
      <xdr:grpSpPr bwMode="auto">
        <a:xfrm>
          <a:off x="12846424" y="883472"/>
          <a:ext cx="0" cy="365760"/>
          <a:chOff x="2577" y="3"/>
          <a:chExt cx="144" cy="48"/>
        </a:xfrm>
      </xdr:grpSpPr>
      <xdr:sp macro="[0]!HeaderHide" textlink="">
        <xdr:nvSpPr>
          <xdr:cNvPr id="8221" name="Rectangle 29"/>
          <xdr:cNvSpPr>
            <a:spLocks noChangeArrowheads="1"/>
          </xdr:cNvSpPr>
        </xdr:nvSpPr>
        <xdr:spPr bwMode="auto">
          <a:xfrm>
            <a:off x="12847320" y="8768577828"/>
            <a:ext cx="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HeaderShow" textlink="">
        <xdr:nvSpPr>
          <xdr:cNvPr id="8222" name="Rectangle 30"/>
          <xdr:cNvSpPr>
            <a:spLocks noChangeArrowheads="1"/>
          </xdr:cNvSpPr>
        </xdr:nvSpPr>
        <xdr:spPr bwMode="auto">
          <a:xfrm>
            <a:off x="12847320" y="8768577828"/>
            <a:ext cx="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sp macro="" textlink="">
        <xdr:nvSpPr>
          <xdr:cNvPr id="8223" name="Rectangle 31"/>
          <xdr:cNvSpPr>
            <a:spLocks noChangeArrowheads="1"/>
          </xdr:cNvSpPr>
        </xdr:nvSpPr>
        <xdr:spPr bwMode="auto">
          <a:xfrm>
            <a:off x="12847320" y="7375032228"/>
            <a:ext cx="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border &amp; lines</a:t>
            </a:r>
          </a:p>
        </xdr:txBody>
      </xdr:sp>
    </xdr:grpSp>
    <xdr:clientData/>
  </xdr:twoCellAnchor>
  <xdr:twoCellAnchor>
    <xdr:from>
      <xdr:col>5</xdr:col>
      <xdr:colOff>22860</xdr:colOff>
      <xdr:row>1</xdr:row>
      <xdr:rowOff>22860</xdr:rowOff>
    </xdr:from>
    <xdr:to>
      <xdr:col>5</xdr:col>
      <xdr:colOff>937260</xdr:colOff>
      <xdr:row>2</xdr:row>
      <xdr:rowOff>0</xdr:rowOff>
    </xdr:to>
    <xdr:grpSp>
      <xdr:nvGrpSpPr>
        <xdr:cNvPr id="8263" name="Group 52"/>
        <xdr:cNvGrpSpPr>
          <a:grpSpLocks/>
        </xdr:cNvGrpSpPr>
      </xdr:nvGrpSpPr>
      <xdr:grpSpPr bwMode="auto">
        <a:xfrm>
          <a:off x="8055236" y="291801"/>
          <a:ext cx="914400" cy="201258"/>
          <a:chOff x="1373" y="38"/>
          <a:chExt cx="120" cy="24"/>
        </a:xfrm>
      </xdr:grpSpPr>
      <xdr:sp macro="[0]!HeaderHide" textlink="">
        <xdr:nvSpPr>
          <xdr:cNvPr id="8239" name="Rectangle 2436"/>
          <xdr:cNvSpPr>
            <a:spLocks noChangeArrowheads="1"/>
          </xdr:cNvSpPr>
        </xdr:nvSpPr>
        <xdr:spPr bwMode="auto">
          <a:xfrm>
            <a:off x="1433" y="38"/>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ctr" upright="1"/>
          <a:lstStyle/>
          <a:p>
            <a:pPr algn="ctr" rtl="0">
              <a:defRPr sz="1000"/>
            </a:pPr>
            <a:r>
              <a:rPr lang="en-US" sz="1000" b="1" i="0" u="none" strike="noStrike" baseline="0">
                <a:solidFill>
                  <a:srgbClr val="000000"/>
                </a:solidFill>
                <a:latin typeface="Arial"/>
                <a:cs typeface="Arial"/>
              </a:rPr>
              <a:t>hide</a:t>
            </a:r>
          </a:p>
        </xdr:txBody>
      </xdr:sp>
      <xdr:sp macro="[0]!HeaderShow" textlink="">
        <xdr:nvSpPr>
          <xdr:cNvPr id="8240" name="Rectangle 2437"/>
          <xdr:cNvSpPr>
            <a:spLocks noChangeArrowheads="1"/>
          </xdr:cNvSpPr>
        </xdr:nvSpPr>
        <xdr:spPr bwMode="auto">
          <a:xfrm>
            <a:off x="1373" y="38"/>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ctr" upright="1"/>
          <a:lstStyle/>
          <a:p>
            <a:pPr algn="ctr" rtl="0">
              <a:defRPr sz="1000"/>
            </a:pPr>
            <a:r>
              <a:rPr lang="en-US" sz="1000" b="1" i="0" u="none" strike="noStrike" baseline="0">
                <a:solidFill>
                  <a:srgbClr val="000000"/>
                </a:solidFill>
                <a:latin typeface="Arial"/>
                <a:cs typeface="Arial"/>
              </a:rPr>
              <a:t>show</a:t>
            </a:r>
          </a:p>
        </xdr:txBody>
      </xdr:sp>
    </xdr:grpSp>
    <xdr:clientData/>
  </xdr:twoCellAnchor>
  <mc:AlternateContent xmlns:mc="http://schemas.openxmlformats.org/markup-compatibility/2006">
    <mc:Choice xmlns:a14="http://schemas.microsoft.com/office/drawing/2010/main" Requires="a14">
      <xdr:twoCellAnchor>
        <xdr:from>
          <xdr:col>255</xdr:col>
          <xdr:colOff>0</xdr:colOff>
          <xdr:row>6</xdr:row>
          <xdr:rowOff>998220</xdr:rowOff>
        </xdr:from>
        <xdr:to>
          <xdr:col>255</xdr:col>
          <xdr:colOff>0</xdr:colOff>
          <xdr:row>6</xdr:row>
          <xdr:rowOff>1280160</xdr:rowOff>
        </xdr:to>
        <xdr:sp macro="" textlink="">
          <xdr:nvSpPr>
            <xdr:cNvPr id="8247" name="Button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Arial"/>
                  <a:cs typeface="Arial"/>
                </a:rPr>
                <a:t>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255</xdr:col>
          <xdr:colOff>0</xdr:colOff>
          <xdr:row>6</xdr:row>
          <xdr:rowOff>1363980</xdr:rowOff>
        </xdr:from>
        <xdr:to>
          <xdr:col>255</xdr:col>
          <xdr:colOff>0</xdr:colOff>
          <xdr:row>6</xdr:row>
          <xdr:rowOff>1645920</xdr:rowOff>
        </xdr:to>
        <xdr:sp macro="" textlink="">
          <xdr:nvSpPr>
            <xdr:cNvPr id="8248" name="Button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Arial"/>
                  <a:cs typeface="Arial"/>
                </a:rPr>
                <a:t>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255</xdr:col>
          <xdr:colOff>0</xdr:colOff>
          <xdr:row>6</xdr:row>
          <xdr:rowOff>1363980</xdr:rowOff>
        </xdr:from>
        <xdr:to>
          <xdr:col>255</xdr:col>
          <xdr:colOff>0</xdr:colOff>
          <xdr:row>6</xdr:row>
          <xdr:rowOff>1645920</xdr:rowOff>
        </xdr:to>
        <xdr:sp macro="" textlink="">
          <xdr:nvSpPr>
            <xdr:cNvPr id="8249" name="Button 57" hidden="1">
              <a:extLst>
                <a:ext uri="{63B3BB69-23CF-44E3-9099-C40C66FF867C}">
                  <a14:compatExt spid="_x0000_s82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Arial"/>
                  <a:cs typeface="Arial"/>
                </a:rPr>
                <a:t>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255</xdr:col>
          <xdr:colOff>0</xdr:colOff>
          <xdr:row>6</xdr:row>
          <xdr:rowOff>1165860</xdr:rowOff>
        </xdr:from>
        <xdr:to>
          <xdr:col>255</xdr:col>
          <xdr:colOff>0</xdr:colOff>
          <xdr:row>6</xdr:row>
          <xdr:rowOff>1447800</xdr:rowOff>
        </xdr:to>
        <xdr:sp macro="" textlink="">
          <xdr:nvSpPr>
            <xdr:cNvPr id="8250" name="Button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Arial"/>
                  <a:cs typeface="Arial"/>
                </a:rPr>
                <a:t>Links</a:t>
              </a:r>
            </a:p>
          </xdr:txBody>
        </xdr:sp>
        <xdr:clientData fPrintsWithSheet="0"/>
      </xdr:twoCellAnchor>
    </mc:Choice>
    <mc:Fallback/>
  </mc:AlternateContent>
  <xdr:twoCellAnchor>
    <xdr:from>
      <xdr:col>2</xdr:col>
      <xdr:colOff>0</xdr:colOff>
      <xdr:row>1</xdr:row>
      <xdr:rowOff>160020</xdr:rowOff>
    </xdr:from>
    <xdr:to>
      <xdr:col>2</xdr:col>
      <xdr:colOff>5029200</xdr:colOff>
      <xdr:row>2</xdr:row>
      <xdr:rowOff>137160</xdr:rowOff>
    </xdr:to>
    <xdr:grpSp>
      <xdr:nvGrpSpPr>
        <xdr:cNvPr id="8264" name="Group 67"/>
        <xdr:cNvGrpSpPr>
          <a:grpSpLocks/>
        </xdr:cNvGrpSpPr>
      </xdr:nvGrpSpPr>
      <xdr:grpSpPr bwMode="auto">
        <a:xfrm>
          <a:off x="1138518" y="428961"/>
          <a:ext cx="5029200" cy="201258"/>
          <a:chOff x="149" y="56"/>
          <a:chExt cx="660" cy="29"/>
        </a:xfrm>
      </xdr:grpSpPr>
      <xdr:sp macro="[0]!RM_Features" textlink="">
        <xdr:nvSpPr>
          <xdr:cNvPr id="19687" name="Rectangle 2279"/>
          <xdr:cNvSpPr>
            <a:spLocks noChangeArrowheads="1"/>
          </xdr:cNvSpPr>
        </xdr:nvSpPr>
        <xdr:spPr bwMode="auto">
          <a:xfrm>
            <a:off x="149" y="56"/>
            <a:ext cx="132" cy="29"/>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Features</a:t>
            </a:r>
          </a:p>
        </xdr:txBody>
      </xdr:sp>
      <xdr:sp macro="[0]!Module7.RM_Quick" textlink="">
        <xdr:nvSpPr>
          <xdr:cNvPr id="19688" name="Rectangle 2280"/>
          <xdr:cNvSpPr>
            <a:spLocks noChangeArrowheads="1"/>
          </xdr:cNvSpPr>
        </xdr:nvSpPr>
        <xdr:spPr bwMode="auto">
          <a:xfrm>
            <a:off x="281" y="56"/>
            <a:ext cx="133" cy="29"/>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Quick Start</a:t>
            </a:r>
          </a:p>
        </xdr:txBody>
      </xdr:sp>
      <xdr:sp macro="[0]!Module7.RM_Sheets" textlink="">
        <xdr:nvSpPr>
          <xdr:cNvPr id="19689" name="Rectangle 2281"/>
          <xdr:cNvSpPr>
            <a:spLocks noChangeArrowheads="1"/>
          </xdr:cNvSpPr>
        </xdr:nvSpPr>
        <xdr:spPr bwMode="auto">
          <a:xfrm>
            <a:off x="413" y="56"/>
            <a:ext cx="132" cy="29"/>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Excel Alterntvs</a:t>
            </a:r>
          </a:p>
        </xdr:txBody>
      </xdr:sp>
      <xdr:sp macro="[0]!Module7.RM_Links" textlink="">
        <xdr:nvSpPr>
          <xdr:cNvPr id="19690" name="Rectangle 2282"/>
          <xdr:cNvSpPr>
            <a:spLocks noChangeArrowheads="1"/>
          </xdr:cNvSpPr>
        </xdr:nvSpPr>
        <xdr:spPr bwMode="auto">
          <a:xfrm>
            <a:off x="545" y="56"/>
            <a:ext cx="133" cy="29"/>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Resources</a:t>
            </a:r>
          </a:p>
        </xdr:txBody>
      </xdr:sp>
      <xdr:sp macro="[0]!Module7.RM_Change" textlink="">
        <xdr:nvSpPr>
          <xdr:cNvPr id="19691" name="Rectangle 2283"/>
          <xdr:cNvSpPr>
            <a:spLocks noChangeArrowheads="1"/>
          </xdr:cNvSpPr>
        </xdr:nvSpPr>
        <xdr:spPr bwMode="auto">
          <a:xfrm>
            <a:off x="677" y="56"/>
            <a:ext cx="132" cy="29"/>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Change Log</a:t>
            </a:r>
          </a:p>
        </xdr:txBody>
      </xdr:sp>
    </xdr:grpSp>
    <xdr:clientData/>
  </xdr:twoCellAnchor>
  <xdr:twoCellAnchor>
    <xdr:from>
      <xdr:col>0</xdr:col>
      <xdr:colOff>289560</xdr:colOff>
      <xdr:row>113</xdr:row>
      <xdr:rowOff>47961</xdr:rowOff>
    </xdr:from>
    <xdr:to>
      <xdr:col>1</xdr:col>
      <xdr:colOff>624840</xdr:colOff>
      <xdr:row>113</xdr:row>
      <xdr:rowOff>246081</xdr:rowOff>
    </xdr:to>
    <xdr:sp macro="[0]!gotop" textlink="">
      <xdr:nvSpPr>
        <xdr:cNvPr id="21003" name="Rectangle 1547"/>
        <xdr:cNvSpPr>
          <a:spLocks noChangeArrowheads="1"/>
        </xdr:cNvSpPr>
      </xdr:nvSpPr>
      <xdr:spPr bwMode="auto">
        <a:xfrm>
          <a:off x="7620" y="10843260"/>
          <a:ext cx="62484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599440</xdr:colOff>
      <xdr:row>240</xdr:row>
      <xdr:rowOff>172720</xdr:rowOff>
    </xdr:from>
    <xdr:to>
      <xdr:col>19</xdr:col>
      <xdr:colOff>416560</xdr:colOff>
      <xdr:row>251</xdr:row>
      <xdr:rowOff>203200</xdr:rowOff>
    </xdr:to>
    <xdr:graphicFrame macro="">
      <xdr:nvGraphicFramePr>
        <xdr:cNvPr id="148" name="Chart 8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355600</xdr:colOff>
      <xdr:row>241</xdr:row>
      <xdr:rowOff>20320</xdr:rowOff>
    </xdr:from>
    <xdr:to>
      <xdr:col>13</xdr:col>
      <xdr:colOff>406400</xdr:colOff>
      <xdr:row>251</xdr:row>
      <xdr:rowOff>172720</xdr:rowOff>
    </xdr:to>
    <xdr:graphicFrame macro="">
      <xdr:nvGraphicFramePr>
        <xdr:cNvPr id="127"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10160</xdr:colOff>
      <xdr:row>220</xdr:row>
      <xdr:rowOff>20320</xdr:rowOff>
    </xdr:from>
    <xdr:to>
      <xdr:col>12</xdr:col>
      <xdr:colOff>497840</xdr:colOff>
      <xdr:row>228</xdr:row>
      <xdr:rowOff>172720</xdr:rowOff>
    </xdr:to>
    <xdr:graphicFrame macro="">
      <xdr:nvGraphicFramePr>
        <xdr:cNvPr id="126" name="Chart 4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210</xdr:row>
      <xdr:rowOff>10160</xdr:rowOff>
    </xdr:from>
    <xdr:to>
      <xdr:col>12</xdr:col>
      <xdr:colOff>487680</xdr:colOff>
      <xdr:row>219</xdr:row>
      <xdr:rowOff>50800</xdr:rowOff>
    </xdr:to>
    <xdr:graphicFrame macro="">
      <xdr:nvGraphicFramePr>
        <xdr:cNvPr id="22919" name="Chart 17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10160</xdr:colOff>
      <xdr:row>200</xdr:row>
      <xdr:rowOff>10160</xdr:rowOff>
    </xdr:from>
    <xdr:to>
      <xdr:col>12</xdr:col>
      <xdr:colOff>497840</xdr:colOff>
      <xdr:row>209</xdr:row>
      <xdr:rowOff>0</xdr:rowOff>
    </xdr:to>
    <xdr:graphicFrame macro="">
      <xdr:nvGraphicFramePr>
        <xdr:cNvPr id="22891" name="Chart 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20320</xdr:colOff>
      <xdr:row>190</xdr:row>
      <xdr:rowOff>0</xdr:rowOff>
    </xdr:from>
    <xdr:to>
      <xdr:col>12</xdr:col>
      <xdr:colOff>508000</xdr:colOff>
      <xdr:row>199</xdr:row>
      <xdr:rowOff>0</xdr:rowOff>
    </xdr:to>
    <xdr:graphicFrame macro="">
      <xdr:nvGraphicFramePr>
        <xdr:cNvPr id="136" name="Chart 40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182880</xdr:colOff>
      <xdr:row>27</xdr:row>
      <xdr:rowOff>20320</xdr:rowOff>
    </xdr:from>
    <xdr:to>
      <xdr:col>12</xdr:col>
      <xdr:colOff>264160</xdr:colOff>
      <xdr:row>34</xdr:row>
      <xdr:rowOff>251460</xdr:rowOff>
    </xdr:to>
    <xdr:graphicFrame macro="">
      <xdr:nvGraphicFramePr>
        <xdr:cNvPr id="142" name="Chart 118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50800</xdr:colOff>
      <xdr:row>35</xdr:row>
      <xdr:rowOff>243840</xdr:rowOff>
    </xdr:from>
    <xdr:to>
      <xdr:col>12</xdr:col>
      <xdr:colOff>254000</xdr:colOff>
      <xdr:row>48</xdr:row>
      <xdr:rowOff>20320</xdr:rowOff>
    </xdr:to>
    <xdr:graphicFrame macro="">
      <xdr:nvGraphicFramePr>
        <xdr:cNvPr id="141" name="Chart 39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233680</xdr:colOff>
      <xdr:row>87</xdr:row>
      <xdr:rowOff>10160</xdr:rowOff>
    </xdr:from>
    <xdr:to>
      <xdr:col>15</xdr:col>
      <xdr:colOff>883920</xdr:colOff>
      <xdr:row>98</xdr:row>
      <xdr:rowOff>20320</xdr:rowOff>
    </xdr:to>
    <xdr:graphicFrame macro="">
      <xdr:nvGraphicFramePr>
        <xdr:cNvPr id="143" name="Chart 2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284480</xdr:colOff>
      <xdr:row>99</xdr:row>
      <xdr:rowOff>10160</xdr:rowOff>
    </xdr:from>
    <xdr:to>
      <xdr:col>15</xdr:col>
      <xdr:colOff>365760</xdr:colOff>
      <xdr:row>108</xdr:row>
      <xdr:rowOff>10160</xdr:rowOff>
    </xdr:to>
    <xdr:graphicFrame macro="">
      <xdr:nvGraphicFramePr>
        <xdr:cNvPr id="22954" name="Chart 240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264160</xdr:colOff>
      <xdr:row>109</xdr:row>
      <xdr:rowOff>30480</xdr:rowOff>
    </xdr:from>
    <xdr:to>
      <xdr:col>15</xdr:col>
      <xdr:colOff>345440</xdr:colOff>
      <xdr:row>118</xdr:row>
      <xdr:rowOff>30480</xdr:rowOff>
    </xdr:to>
    <xdr:graphicFrame macro="">
      <xdr:nvGraphicFramePr>
        <xdr:cNvPr id="22904" name="Chart 118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883920</xdr:colOff>
      <xdr:row>127</xdr:row>
      <xdr:rowOff>203200</xdr:rowOff>
    </xdr:from>
    <xdr:to>
      <xdr:col>15</xdr:col>
      <xdr:colOff>71120</xdr:colOff>
      <xdr:row>138</xdr:row>
      <xdr:rowOff>50800</xdr:rowOff>
    </xdr:to>
    <xdr:graphicFrame macro="">
      <xdr:nvGraphicFramePr>
        <xdr:cNvPr id="140" name="Chart 10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0</xdr:colOff>
      <xdr:row>139</xdr:row>
      <xdr:rowOff>231140</xdr:rowOff>
    </xdr:from>
    <xdr:to>
      <xdr:col>15</xdr:col>
      <xdr:colOff>81280</xdr:colOff>
      <xdr:row>148</xdr:row>
      <xdr:rowOff>109220</xdr:rowOff>
    </xdr:to>
    <xdr:graphicFrame macro="">
      <xdr:nvGraphicFramePr>
        <xdr:cNvPr id="22890"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11</xdr:col>
      <xdr:colOff>10160</xdr:colOff>
      <xdr:row>150</xdr:row>
      <xdr:rowOff>0</xdr:rowOff>
    </xdr:from>
    <xdr:to>
      <xdr:col>15</xdr:col>
      <xdr:colOff>91440</xdr:colOff>
      <xdr:row>159</xdr:row>
      <xdr:rowOff>0</xdr:rowOff>
    </xdr:to>
    <xdr:graphicFrame macro="">
      <xdr:nvGraphicFramePr>
        <xdr:cNvPr id="22900" name="Chart 11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34</xdr:col>
          <xdr:colOff>45720</xdr:colOff>
          <xdr:row>50</xdr:row>
          <xdr:rowOff>30480</xdr:rowOff>
        </xdr:from>
        <xdr:to>
          <xdr:col>34</xdr:col>
          <xdr:colOff>822960</xdr:colOff>
          <xdr:row>53</xdr:row>
          <xdr:rowOff>53340</xdr:rowOff>
        </xdr:to>
        <xdr:grpSp>
          <xdr:nvGrpSpPr>
            <xdr:cNvPr id="22894" name="Group 1704"/>
            <xdr:cNvGrpSpPr>
              <a:grpSpLocks/>
            </xdr:cNvGrpSpPr>
          </xdr:nvGrpSpPr>
          <xdr:grpSpPr bwMode="auto">
            <a:xfrm>
              <a:off x="28808680" y="11054080"/>
              <a:ext cx="762000" cy="713740"/>
              <a:chOff x="0" y="3171"/>
              <a:chExt cx="21275040" cy="11764665"/>
            </a:xfrm>
          </xdr:grpSpPr>
          <xdr:sp macro="" textlink="">
            <xdr:nvSpPr>
              <xdr:cNvPr id="5315" name="Option Button 195" hidden="1">
                <a:extLst>
                  <a:ext uri="{63B3BB69-23CF-44E3-9099-C40C66FF867C}">
                    <a14:compatExt spid="_x0000_s5315"/>
                  </a:ext>
                </a:extLst>
              </xdr:cNvPr>
              <xdr:cNvSpPr/>
            </xdr:nvSpPr>
            <xdr:spPr bwMode="auto">
              <a:xfrm>
                <a:off x="21275040" y="11767803"/>
                <a:ext cx="0" cy="3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You</a:t>
                </a:r>
              </a:p>
            </xdr:txBody>
          </xdr:sp>
          <xdr:sp macro="" textlink="">
            <xdr:nvSpPr>
              <xdr:cNvPr id="5316" name="Option Button 196" hidden="1">
                <a:extLst>
                  <a:ext uri="{63B3BB69-23CF-44E3-9099-C40C66FF867C}">
                    <a14:compatExt spid="_x0000_s5316"/>
                  </a:ext>
                </a:extLst>
              </xdr:cNvPr>
              <xdr:cNvSpPr/>
            </xdr:nvSpPr>
            <xdr:spPr bwMode="auto">
              <a:xfrm>
                <a:off x="21275040" y="11767803"/>
                <a:ext cx="0" cy="3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Spouse</a:t>
                </a:r>
              </a:p>
            </xdr:txBody>
          </xdr:sp>
          <xdr:sp macro="" textlink="">
            <xdr:nvSpPr>
              <xdr:cNvPr id="5741" name="Option Button 621" hidden="1">
                <a:extLst>
                  <a:ext uri="{63B3BB69-23CF-44E3-9099-C40C66FF867C}">
                    <a14:compatExt spid="_x0000_s5741"/>
                  </a:ext>
                </a:extLst>
              </xdr:cNvPr>
              <xdr:cNvSpPr/>
            </xdr:nvSpPr>
            <xdr:spPr bwMode="auto">
              <a:xfrm>
                <a:off x="0" y="3171"/>
                <a:ext cx="0" cy="3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Off</a:t>
                </a:r>
              </a:p>
            </xdr:txBody>
          </xdr:sp>
        </xdr:grpSp>
        <xdr:clientData/>
      </xdr:twoCellAnchor>
    </mc:Choice>
    <mc:Fallback/>
  </mc:AlternateContent>
  <xdr:twoCellAnchor>
    <xdr:from>
      <xdr:col>13</xdr:col>
      <xdr:colOff>60960</xdr:colOff>
      <xdr:row>6</xdr:row>
      <xdr:rowOff>160020</xdr:rowOff>
    </xdr:from>
    <xdr:to>
      <xdr:col>13</xdr:col>
      <xdr:colOff>792480</xdr:colOff>
      <xdr:row>7</xdr:row>
      <xdr:rowOff>190500</xdr:rowOff>
    </xdr:to>
    <xdr:sp macro="[0]!Copy_Sum1" textlink="">
      <xdr:nvSpPr>
        <xdr:cNvPr id="22722" name="Rectangle 947"/>
        <xdr:cNvSpPr>
          <a:spLocks noChangeArrowheads="1"/>
        </xdr:cNvSpPr>
      </xdr:nvSpPr>
      <xdr:spPr bwMode="auto">
        <a:xfrm>
          <a:off x="11231880" y="1584960"/>
          <a:ext cx="731520" cy="22860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copy-paste</a:t>
          </a:r>
        </a:p>
      </xdr:txBody>
    </xdr:sp>
    <xdr:clientData/>
  </xdr:twoCellAnchor>
  <xdr:twoCellAnchor>
    <xdr:from>
      <xdr:col>14</xdr:col>
      <xdr:colOff>76200</xdr:colOff>
      <xdr:row>6</xdr:row>
      <xdr:rowOff>160020</xdr:rowOff>
    </xdr:from>
    <xdr:to>
      <xdr:col>14</xdr:col>
      <xdr:colOff>807720</xdr:colOff>
      <xdr:row>7</xdr:row>
      <xdr:rowOff>190500</xdr:rowOff>
    </xdr:to>
    <xdr:sp macro="[0]!Copy_Sum2" textlink="">
      <xdr:nvSpPr>
        <xdr:cNvPr id="22723" name="Rectangle 948"/>
        <xdr:cNvSpPr>
          <a:spLocks noChangeArrowheads="1"/>
        </xdr:cNvSpPr>
      </xdr:nvSpPr>
      <xdr:spPr bwMode="auto">
        <a:xfrm>
          <a:off x="12138660" y="1584960"/>
          <a:ext cx="731520" cy="22860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copy-paste</a:t>
          </a:r>
        </a:p>
      </xdr:txBody>
    </xdr:sp>
    <xdr:clientData/>
  </xdr:twoCellAnchor>
  <xdr:twoCellAnchor>
    <xdr:from>
      <xdr:col>15</xdr:col>
      <xdr:colOff>38100</xdr:colOff>
      <xdr:row>6</xdr:row>
      <xdr:rowOff>160020</xdr:rowOff>
    </xdr:from>
    <xdr:to>
      <xdr:col>15</xdr:col>
      <xdr:colOff>769620</xdr:colOff>
      <xdr:row>7</xdr:row>
      <xdr:rowOff>190500</xdr:rowOff>
    </xdr:to>
    <xdr:sp macro="[0]!Copy_Sum3" textlink="">
      <xdr:nvSpPr>
        <xdr:cNvPr id="22724" name="Rectangle 949"/>
        <xdr:cNvSpPr>
          <a:spLocks noChangeArrowheads="1"/>
        </xdr:cNvSpPr>
      </xdr:nvSpPr>
      <xdr:spPr bwMode="auto">
        <a:xfrm>
          <a:off x="12992100" y="1584960"/>
          <a:ext cx="731520" cy="22860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copy-paste</a:t>
          </a:r>
        </a:p>
      </xdr:txBody>
    </xdr:sp>
    <xdr:clientData/>
  </xdr:twoCellAnchor>
  <xdr:twoCellAnchor editAs="oneCell">
    <xdr:from>
      <xdr:col>14</xdr:col>
      <xdr:colOff>7620</xdr:colOff>
      <xdr:row>0</xdr:row>
      <xdr:rowOff>30480</xdr:rowOff>
    </xdr:from>
    <xdr:to>
      <xdr:col>14</xdr:col>
      <xdr:colOff>464820</xdr:colOff>
      <xdr:row>1</xdr:row>
      <xdr:rowOff>0</xdr:rowOff>
    </xdr:to>
    <xdr:sp macro="[0]!Clear_Input" textlink="">
      <xdr:nvSpPr>
        <xdr:cNvPr id="22596" name="Rectangle 1129"/>
        <xdr:cNvSpPr>
          <a:spLocks noChangeArrowheads="1"/>
        </xdr:cNvSpPr>
      </xdr:nvSpPr>
      <xdr:spPr bwMode="auto">
        <a:xfrm>
          <a:off x="12179300" y="30480"/>
          <a:ext cx="457200" cy="20320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ctr" upright="1"/>
        <a:lstStyle/>
        <a:p>
          <a:pPr algn="ctr" rtl="0">
            <a:defRPr sz="1000"/>
          </a:pPr>
          <a:r>
            <a:rPr lang="en-US" sz="1000" b="1" i="0" u="none" strike="noStrike" baseline="0">
              <a:solidFill>
                <a:srgbClr val="000000"/>
              </a:solidFill>
              <a:latin typeface="Arial"/>
              <a:cs typeface="Arial"/>
            </a:rPr>
            <a:t>clear</a:t>
          </a:r>
        </a:p>
      </xdr:txBody>
    </xdr:sp>
    <xdr:clientData/>
  </xdr:twoCellAnchor>
  <xdr:twoCellAnchor>
    <xdr:from>
      <xdr:col>0</xdr:col>
      <xdr:colOff>7620</xdr:colOff>
      <xdr:row>242</xdr:row>
      <xdr:rowOff>5715</xdr:rowOff>
    </xdr:from>
    <xdr:to>
      <xdr:col>1</xdr:col>
      <xdr:colOff>342900</xdr:colOff>
      <xdr:row>242</xdr:row>
      <xdr:rowOff>203835</xdr:rowOff>
    </xdr:to>
    <xdr:sp macro="[0]!gotop" textlink="">
      <xdr:nvSpPr>
        <xdr:cNvPr id="20594" name="Rectangle 1138"/>
        <xdr:cNvSpPr>
          <a:spLocks noChangeArrowheads="1"/>
        </xdr:cNvSpPr>
      </xdr:nvSpPr>
      <xdr:spPr bwMode="auto">
        <a:xfrm>
          <a:off x="7620" y="46672500"/>
          <a:ext cx="62484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0</xdr:col>
      <xdr:colOff>7620</xdr:colOff>
      <xdr:row>169</xdr:row>
      <xdr:rowOff>11430</xdr:rowOff>
    </xdr:from>
    <xdr:to>
      <xdr:col>1</xdr:col>
      <xdr:colOff>342900</xdr:colOff>
      <xdr:row>169</xdr:row>
      <xdr:rowOff>209550</xdr:rowOff>
    </xdr:to>
    <xdr:sp macro="[0]!gotop" textlink="">
      <xdr:nvSpPr>
        <xdr:cNvPr id="20631" name="Rectangle 1175"/>
        <xdr:cNvSpPr>
          <a:spLocks noChangeArrowheads="1"/>
        </xdr:cNvSpPr>
      </xdr:nvSpPr>
      <xdr:spPr bwMode="auto">
        <a:xfrm>
          <a:off x="7620" y="31889700"/>
          <a:ext cx="64008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0</xdr:col>
      <xdr:colOff>7620</xdr:colOff>
      <xdr:row>100</xdr:row>
      <xdr:rowOff>15240</xdr:rowOff>
    </xdr:from>
    <xdr:to>
      <xdr:col>1</xdr:col>
      <xdr:colOff>800100</xdr:colOff>
      <xdr:row>101</xdr:row>
      <xdr:rowOff>15399</xdr:rowOff>
    </xdr:to>
    <xdr:sp macro="[0]!Results_7" textlink="">
      <xdr:nvSpPr>
        <xdr:cNvPr id="20792" name="Rectangle 1336"/>
        <xdr:cNvSpPr>
          <a:spLocks noChangeArrowheads="1"/>
        </xdr:cNvSpPr>
      </xdr:nvSpPr>
      <xdr:spPr bwMode="auto">
        <a:xfrm>
          <a:off x="7620" y="19842480"/>
          <a:ext cx="107442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SS results</a:t>
          </a:r>
        </a:p>
      </xdr:txBody>
    </xdr:sp>
    <xdr:clientData/>
  </xdr:twoCellAnchor>
  <mc:AlternateContent xmlns:mc="http://schemas.openxmlformats.org/markup-compatibility/2006">
    <mc:Choice xmlns:a14="http://schemas.microsoft.com/office/drawing/2010/main" Requires="a14">
      <xdr:twoCellAnchor>
        <xdr:from>
          <xdr:col>33</xdr:col>
          <xdr:colOff>335280</xdr:colOff>
          <xdr:row>45</xdr:row>
          <xdr:rowOff>190500</xdr:rowOff>
        </xdr:from>
        <xdr:to>
          <xdr:col>33</xdr:col>
          <xdr:colOff>883920</xdr:colOff>
          <xdr:row>47</xdr:row>
          <xdr:rowOff>68580</xdr:rowOff>
        </xdr:to>
        <xdr:sp macro="" textlink="">
          <xdr:nvSpPr>
            <xdr:cNvPr id="20905" name="Button 1449" hidden="1">
              <a:extLst>
                <a:ext uri="{63B3BB69-23CF-44E3-9099-C40C66FF867C}">
                  <a14:compatExt spid="_x0000_s209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Arial"/>
                  <a:cs typeface="Arial"/>
                </a:rPr>
                <a:t>Links</a:t>
              </a:r>
            </a:p>
          </xdr:txBody>
        </xdr:sp>
        <xdr:clientData fPrintsWithSheet="0"/>
      </xdr:twoCellAnchor>
    </mc:Choice>
    <mc:Fallback/>
  </mc:AlternateContent>
  <xdr:twoCellAnchor>
    <xdr:from>
      <xdr:col>17</xdr:col>
      <xdr:colOff>30480</xdr:colOff>
      <xdr:row>7</xdr:row>
      <xdr:rowOff>99060</xdr:rowOff>
    </xdr:from>
    <xdr:to>
      <xdr:col>24</xdr:col>
      <xdr:colOff>251460</xdr:colOff>
      <xdr:row>25</xdr:row>
      <xdr:rowOff>182880</xdr:rowOff>
    </xdr:to>
    <xdr:grpSp>
      <xdr:nvGrpSpPr>
        <xdr:cNvPr id="22907" name="Group 2390"/>
        <xdr:cNvGrpSpPr>
          <a:grpSpLocks/>
        </xdr:cNvGrpSpPr>
      </xdr:nvGrpSpPr>
      <xdr:grpSpPr bwMode="auto">
        <a:xfrm>
          <a:off x="14792960" y="1744980"/>
          <a:ext cx="5910580" cy="4117340"/>
          <a:chOff x="1919" y="226"/>
          <a:chExt cx="706" cy="498"/>
        </a:xfrm>
      </xdr:grpSpPr>
      <xdr:sp macro="" textlink="Shape_Portfolio">
        <xdr:nvSpPr>
          <xdr:cNvPr id="20824" name="AutoShape 1368"/>
          <xdr:cNvSpPr>
            <a:spLocks noChangeArrowheads="1" noTextEdit="1"/>
          </xdr:cNvSpPr>
        </xdr:nvSpPr>
        <xdr:spPr bwMode="auto">
          <a:xfrm>
            <a:off x="1923" y="644"/>
            <a:ext cx="121" cy="77"/>
          </a:xfrm>
          <a:prstGeom prst="roundRect">
            <a:avLst>
              <a:gd name="adj" fmla="val 16667"/>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ctr" upright="1"/>
          <a:lstStyle/>
          <a:p>
            <a:pPr algn="ctr" rtl="0">
              <a:defRPr sz="1000"/>
            </a:pPr>
            <a:fld id="{9BCA95EB-472E-4BDB-BA5B-86E7AB823646}" type="TxLink">
              <a:rPr lang="en-US" sz="1200" b="0" i="0" u="none" strike="noStrike" baseline="0">
                <a:solidFill>
                  <a:srgbClr val="000000"/>
                </a:solidFill>
                <a:latin typeface="Arial"/>
                <a:cs typeface="Arial"/>
              </a:rPr>
              <a:pPr algn="ctr" rtl="0">
                <a:defRPr sz="1000"/>
              </a:pPr>
              <a:t>Portfolio 
$2,703</a:t>
            </a:fld>
            <a:endParaRPr lang="en-US" sz="1200" b="0" i="0" u="none" strike="noStrike" baseline="0">
              <a:solidFill>
                <a:srgbClr val="000000"/>
              </a:solidFill>
              <a:latin typeface="Arial"/>
              <a:cs typeface="Arial"/>
            </a:endParaRPr>
          </a:p>
        </xdr:txBody>
      </xdr:sp>
      <xdr:sp macro="" textlink="Shape_Taxable_S">
        <xdr:nvSpPr>
          <xdr:cNvPr id="20826" name="AutoShape 1370"/>
          <xdr:cNvSpPr>
            <a:spLocks noChangeArrowheads="1" noTextEdit="1"/>
          </xdr:cNvSpPr>
        </xdr:nvSpPr>
        <xdr:spPr bwMode="auto">
          <a:xfrm>
            <a:off x="2069" y="226"/>
            <a:ext cx="121" cy="76"/>
          </a:xfrm>
          <a:prstGeom prst="roundRect">
            <a:avLst>
              <a:gd name="adj" fmla="val 16667"/>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ctr" upright="1"/>
          <a:lstStyle/>
          <a:p>
            <a:pPr algn="ctr" rtl="0">
              <a:defRPr sz="1000"/>
            </a:pPr>
            <a:fld id="{C27B85BA-ECE7-42AA-B009-4B8C1F036698}" type="TxLink">
              <a:rPr lang="en-US" sz="1200" b="0" i="0" u="none" strike="noStrike" baseline="0">
                <a:solidFill>
                  <a:srgbClr val="000000"/>
                </a:solidFill>
                <a:latin typeface="Arial"/>
                <a:cs typeface="Arial"/>
              </a:rPr>
              <a:pPr algn="ctr" rtl="0">
                <a:defRPr sz="1000"/>
              </a:pPr>
              <a:t>Taxable 
$200</a:t>
            </a:fld>
            <a:endParaRPr lang="en-US" sz="1200" b="0" i="0" u="none" strike="noStrike" baseline="0">
              <a:solidFill>
                <a:srgbClr val="000000"/>
              </a:solidFill>
              <a:latin typeface="Arial"/>
              <a:cs typeface="Arial"/>
            </a:endParaRPr>
          </a:p>
        </xdr:txBody>
      </xdr:sp>
      <xdr:sp macro="" textlink="Shape_IRA_S">
        <xdr:nvSpPr>
          <xdr:cNvPr id="20827" name="AutoShape 1371"/>
          <xdr:cNvSpPr>
            <a:spLocks noChangeArrowheads="1" noTextEdit="1"/>
          </xdr:cNvSpPr>
        </xdr:nvSpPr>
        <xdr:spPr bwMode="auto">
          <a:xfrm>
            <a:off x="2269" y="226"/>
            <a:ext cx="140" cy="76"/>
          </a:xfrm>
          <a:prstGeom prst="roundRect">
            <a:avLst>
              <a:gd name="adj" fmla="val 16667"/>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ctr" upright="1"/>
          <a:lstStyle/>
          <a:p>
            <a:pPr algn="ctr" rtl="0">
              <a:defRPr sz="1000"/>
            </a:pPr>
            <a:fld id="{0ED82469-42AA-40AE-9EFE-3251F2B53DD2}" type="TxLink">
              <a:rPr lang="en-US" sz="1200" b="0" i="0" u="none" strike="noStrike" baseline="0">
                <a:solidFill>
                  <a:srgbClr val="000000"/>
                </a:solidFill>
                <a:latin typeface="Arial"/>
                <a:cs typeface="Arial"/>
              </a:rPr>
              <a:pPr algn="ctr" rtl="0">
                <a:defRPr sz="1000"/>
              </a:pPr>
              <a:t>IRAs 
$700</a:t>
            </a:fld>
            <a:endParaRPr lang="en-US" sz="1200" b="0" i="0" u="none" strike="noStrike" baseline="0">
              <a:solidFill>
                <a:srgbClr val="000000"/>
              </a:solidFill>
              <a:latin typeface="Arial"/>
              <a:cs typeface="Arial"/>
            </a:endParaRPr>
          </a:p>
        </xdr:txBody>
      </xdr:sp>
      <xdr:sp macro="" textlink="Shape_Roth_S">
        <xdr:nvSpPr>
          <xdr:cNvPr id="20828" name="AutoShape 1372"/>
          <xdr:cNvSpPr>
            <a:spLocks noChangeArrowheads="1" noTextEdit="1"/>
          </xdr:cNvSpPr>
        </xdr:nvSpPr>
        <xdr:spPr bwMode="auto">
          <a:xfrm>
            <a:off x="2477" y="226"/>
            <a:ext cx="143" cy="76"/>
          </a:xfrm>
          <a:prstGeom prst="roundRect">
            <a:avLst>
              <a:gd name="adj" fmla="val 16667"/>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ctr" upright="1"/>
          <a:lstStyle/>
          <a:p>
            <a:pPr algn="ctr" rtl="0">
              <a:defRPr sz="1000"/>
            </a:pPr>
            <a:fld id="{0F25D994-6983-4F14-A46D-78B6AD2194B8}" type="TxLink">
              <a:rPr lang="en-US" sz="1200" b="0" i="0" u="none" strike="noStrike" baseline="0">
                <a:solidFill>
                  <a:srgbClr val="000000"/>
                </a:solidFill>
                <a:latin typeface="Arial"/>
                <a:cs typeface="Arial"/>
              </a:rPr>
              <a:pPr algn="ctr" rtl="0">
                <a:defRPr sz="1000"/>
              </a:pPr>
              <a:t>Roth IRAs 
$100</a:t>
            </a:fld>
            <a:endParaRPr lang="en-US" sz="1200" b="0" i="0" u="none" strike="noStrike" baseline="0">
              <a:solidFill>
                <a:srgbClr val="000000"/>
              </a:solidFill>
              <a:latin typeface="Arial"/>
              <a:cs typeface="Arial"/>
            </a:endParaRPr>
          </a:p>
        </xdr:txBody>
      </xdr:sp>
      <xdr:sp macro="" textlink="">
        <xdr:nvSpPr>
          <xdr:cNvPr id="22987" name="AutoShape 1384"/>
          <xdr:cNvSpPr>
            <a:spLocks noChangeArrowheads="1"/>
          </xdr:cNvSpPr>
        </xdr:nvSpPr>
        <xdr:spPr bwMode="auto">
          <a:xfrm>
            <a:off x="2099" y="303"/>
            <a:ext cx="60" cy="340"/>
          </a:xfrm>
          <a:prstGeom prst="downArrow">
            <a:avLst>
              <a:gd name="adj1" fmla="val 48935"/>
              <a:gd name="adj2" fmla="val 55801"/>
            </a:avLst>
          </a:prstGeom>
          <a:solidFill>
            <a:srgbClr xmlns:mc="http://schemas.openxmlformats.org/markup-compatibility/2006" xmlns:a14="http://schemas.microsoft.com/office/drawing/2010/main" val="CCCCFF" mc:Ignorable="a14" a14:legacySpreadsheetColorIndex="3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Shape_Taxable_E">
        <xdr:nvSpPr>
          <xdr:cNvPr id="20842" name="AutoShape 1386"/>
          <xdr:cNvSpPr>
            <a:spLocks noChangeArrowheads="1" noTextEdit="1"/>
          </xdr:cNvSpPr>
        </xdr:nvSpPr>
        <xdr:spPr bwMode="auto">
          <a:xfrm>
            <a:off x="1929" y="329"/>
            <a:ext cx="180" cy="31"/>
          </a:xfrm>
          <a:prstGeom prst="homePlate">
            <a:avLst>
              <a:gd name="adj" fmla="val 62500"/>
            </a:avLst>
          </a:prstGeom>
          <a:solidFill>
            <a:srgbClr xmlns:mc="http://schemas.openxmlformats.org/markup-compatibility/2006" xmlns:a14="http://schemas.microsoft.com/office/drawing/2010/main" val="00FF00" mc:Ignorable="a14" a14:legacySpreadsheetColorIndex="1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7432" rIns="0" bIns="27432" anchor="ctr" upright="1"/>
          <a:lstStyle/>
          <a:p>
            <a:pPr algn="l" rtl="0">
              <a:defRPr sz="1000"/>
            </a:pPr>
            <a:fld id="{2B4EC6C8-0E7A-4FB2-8A0F-EC76AC2F7D73}" type="TxLink">
              <a:rPr lang="en-US" sz="1100" b="0" i="0" u="none" strike="noStrike" baseline="0">
                <a:solidFill>
                  <a:srgbClr val="000000"/>
                </a:solidFill>
                <a:latin typeface="Arial"/>
                <a:cs typeface="Arial"/>
              </a:rPr>
              <a:pPr algn="l" rtl="0">
                <a:defRPr sz="1000"/>
              </a:pPr>
              <a:t>Earnings $751</a:t>
            </a:fld>
            <a:endParaRPr lang="en-US" sz="1100" b="0" i="0" u="none" strike="noStrike" baseline="0">
              <a:solidFill>
                <a:srgbClr val="000000"/>
              </a:solidFill>
              <a:latin typeface="Arial"/>
              <a:cs typeface="Arial"/>
            </a:endParaRPr>
          </a:p>
        </xdr:txBody>
      </xdr:sp>
      <xdr:sp macro="" textlink="Shape_IRA_W">
        <xdr:nvSpPr>
          <xdr:cNvPr id="22692" name="AutoShape 1388"/>
          <xdr:cNvSpPr>
            <a:spLocks noChangeAspect="1" noChangeArrowheads="1"/>
          </xdr:cNvSpPr>
        </xdr:nvSpPr>
        <xdr:spPr bwMode="auto">
          <a:xfrm rot="10800000">
            <a:off x="2150" y="437"/>
            <a:ext cx="168" cy="33"/>
          </a:xfrm>
          <a:prstGeom prst="homePlate">
            <a:avLst>
              <a:gd name="adj" fmla="val 65286"/>
            </a:avLst>
          </a:prstGeom>
          <a:solidFill>
            <a:srgbClr xmlns:mc="http://schemas.openxmlformats.org/markup-compatibility/2006" xmlns:a14="http://schemas.microsoft.com/office/drawing/2010/main" val="9999FF" mc:Ignorable="a14" a14:legacySpreadsheetColorIndex="24"/>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27432" rIns="36576" bIns="27432" anchor="ctr" upright="1"/>
          <a:lstStyle/>
          <a:p>
            <a:pPr algn="r" rtl="0">
              <a:defRPr sz="1000"/>
            </a:pPr>
            <a:fld id="{0D8D8579-0815-4B87-A3D1-5B945385A027}" type="TxLink">
              <a:rPr lang="en-US" sz="1100" b="0" i="0" u="none" strike="noStrike" baseline="0">
                <a:solidFill>
                  <a:srgbClr val="000000"/>
                </a:solidFill>
                <a:latin typeface="Arial"/>
                <a:cs typeface="Arial"/>
              </a:rPr>
              <a:pPr algn="r" rtl="0">
                <a:defRPr sz="1000"/>
              </a:pPr>
              <a:t>Withdrawals $354</a:t>
            </a:fld>
            <a:endParaRPr lang="en-US" sz="1100" b="0" i="0" u="none" strike="noStrike" baseline="0">
              <a:solidFill>
                <a:srgbClr val="000000"/>
              </a:solidFill>
              <a:latin typeface="Arial"/>
              <a:cs typeface="Arial"/>
            </a:endParaRPr>
          </a:p>
        </xdr:txBody>
      </xdr:sp>
      <xdr:sp macro="" textlink="Shape_Roth_W">
        <xdr:nvSpPr>
          <xdr:cNvPr id="22693" name="AutoShape 1450"/>
          <xdr:cNvSpPr>
            <a:spLocks noChangeArrowheads="1"/>
          </xdr:cNvSpPr>
        </xdr:nvSpPr>
        <xdr:spPr bwMode="auto">
          <a:xfrm rot="10800000">
            <a:off x="2143" y="497"/>
            <a:ext cx="385" cy="31"/>
          </a:xfrm>
          <a:prstGeom prst="homePlate">
            <a:avLst>
              <a:gd name="adj" fmla="val 84463"/>
            </a:avLst>
          </a:prstGeom>
          <a:solidFill>
            <a:srgbClr xmlns:mc="http://schemas.openxmlformats.org/markup-compatibility/2006" xmlns:a14="http://schemas.microsoft.com/office/drawing/2010/main" val="9999FF" mc:Ignorable="a14" a14:legacySpreadsheetColorIndex="24"/>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27432" rIns="36576" bIns="27432" anchor="ctr" upright="1"/>
          <a:lstStyle/>
          <a:p>
            <a:pPr algn="r" rtl="0">
              <a:defRPr sz="1000"/>
            </a:pPr>
            <a:fld id="{3ADF99F6-519A-45FB-928F-F9829A590B87}" type="TxLink">
              <a:rPr lang="en-US" sz="1100" b="0" i="0" u="none" strike="noStrike" baseline="0">
                <a:solidFill>
                  <a:srgbClr val="000000"/>
                </a:solidFill>
                <a:latin typeface="Arial"/>
                <a:cs typeface="Arial"/>
              </a:rPr>
              <a:pPr algn="r" rtl="0">
                <a:defRPr sz="1000"/>
              </a:pPr>
              <a:t>Withdrawals $51</a:t>
            </a:fld>
            <a:endParaRPr lang="en-US" sz="1100" b="0" i="0" u="none" strike="noStrike" baseline="0">
              <a:solidFill>
                <a:srgbClr val="000000"/>
              </a:solidFill>
              <a:latin typeface="Arial"/>
              <a:cs typeface="Arial"/>
            </a:endParaRPr>
          </a:p>
        </xdr:txBody>
      </xdr:sp>
      <xdr:sp macro="" textlink="">
        <xdr:nvSpPr>
          <xdr:cNvPr id="22991" name="AutoShape 1451"/>
          <xdr:cNvSpPr>
            <a:spLocks noChangeArrowheads="1"/>
          </xdr:cNvSpPr>
        </xdr:nvSpPr>
        <xdr:spPr bwMode="auto">
          <a:xfrm>
            <a:off x="2311" y="305"/>
            <a:ext cx="60" cy="340"/>
          </a:xfrm>
          <a:prstGeom prst="downArrow">
            <a:avLst>
              <a:gd name="adj1" fmla="val 48935"/>
              <a:gd name="adj2" fmla="val 57952"/>
            </a:avLst>
          </a:prstGeom>
          <a:solidFill>
            <a:srgbClr xmlns:mc="http://schemas.openxmlformats.org/markup-compatibility/2006" xmlns:a14="http://schemas.microsoft.com/office/drawing/2010/main" val="CCCCFF" mc:Ignorable="a14" a14:legacySpreadsheetColorIndex="3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22992" name="AutoShape 1452"/>
          <xdr:cNvSpPr>
            <a:spLocks noChangeArrowheads="1"/>
          </xdr:cNvSpPr>
        </xdr:nvSpPr>
        <xdr:spPr bwMode="auto">
          <a:xfrm>
            <a:off x="2520" y="304"/>
            <a:ext cx="60" cy="340"/>
          </a:xfrm>
          <a:prstGeom prst="downArrow">
            <a:avLst>
              <a:gd name="adj1" fmla="val 54167"/>
              <a:gd name="adj2" fmla="val 60549"/>
            </a:avLst>
          </a:prstGeom>
          <a:solidFill>
            <a:srgbClr xmlns:mc="http://schemas.openxmlformats.org/markup-compatibility/2006" xmlns:a14="http://schemas.microsoft.com/office/drawing/2010/main" val="CCCCFF" mc:Ignorable="a14" a14:legacySpreadsheetColorIndex="3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Shape_IRA_E">
        <xdr:nvSpPr>
          <xdr:cNvPr id="20909" name="AutoShape 1453"/>
          <xdr:cNvSpPr>
            <a:spLocks noChangeAspect="1" noChangeArrowheads="1" noTextEdit="1"/>
          </xdr:cNvSpPr>
        </xdr:nvSpPr>
        <xdr:spPr bwMode="auto">
          <a:xfrm>
            <a:off x="2157" y="330"/>
            <a:ext cx="167" cy="32"/>
          </a:xfrm>
          <a:prstGeom prst="homePlate">
            <a:avLst>
              <a:gd name="adj" fmla="val 81667"/>
            </a:avLst>
          </a:prstGeom>
          <a:solidFill>
            <a:srgbClr xmlns:mc="http://schemas.openxmlformats.org/markup-compatibility/2006" xmlns:a14="http://schemas.microsoft.com/office/drawing/2010/main" val="00FF00" mc:Ignorable="a14" a14:legacySpreadsheetColorIndex="1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7432" rIns="0" bIns="27432" anchor="ctr" upright="1"/>
          <a:lstStyle/>
          <a:p>
            <a:pPr algn="l" rtl="0">
              <a:defRPr sz="1000"/>
            </a:pPr>
            <a:fld id="{15A04DEB-F999-4B07-B867-168E65878B95}" type="TxLink">
              <a:rPr lang="en-US" sz="1100" b="0" i="0" u="none" strike="noStrike" baseline="0">
                <a:solidFill>
                  <a:srgbClr val="000000"/>
                </a:solidFill>
                <a:latin typeface="Arial"/>
                <a:cs typeface="Arial"/>
              </a:rPr>
              <a:pPr algn="l" rtl="0">
                <a:defRPr sz="1000"/>
              </a:pPr>
              <a:t>Earnings $1,435</a:t>
            </a:fld>
            <a:endParaRPr lang="en-US" sz="1100" b="0" i="0" u="none" strike="noStrike" baseline="0">
              <a:solidFill>
                <a:srgbClr val="000000"/>
              </a:solidFill>
              <a:latin typeface="Arial"/>
              <a:cs typeface="Arial"/>
            </a:endParaRPr>
          </a:p>
        </xdr:txBody>
      </xdr:sp>
      <xdr:sp macro="" textlink="Shape_SS">
        <xdr:nvSpPr>
          <xdr:cNvPr id="20910" name="AutoShape 1454"/>
          <xdr:cNvSpPr>
            <a:spLocks noChangeArrowheads="1" noTextEdit="1"/>
          </xdr:cNvSpPr>
        </xdr:nvSpPr>
        <xdr:spPr bwMode="auto">
          <a:xfrm>
            <a:off x="1928" y="386"/>
            <a:ext cx="180" cy="32"/>
          </a:xfrm>
          <a:prstGeom prst="homePlate">
            <a:avLst>
              <a:gd name="adj" fmla="val 70833"/>
            </a:avLst>
          </a:prstGeom>
          <a:solidFill>
            <a:srgbClr xmlns:mc="http://schemas.openxmlformats.org/markup-compatibility/2006" xmlns:a14="http://schemas.microsoft.com/office/drawing/2010/main" val="00FF00" mc:Ignorable="a14" a14:legacySpreadsheetColorIndex="1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7432" rIns="0" bIns="27432" anchor="ctr" upright="1"/>
          <a:lstStyle/>
          <a:p>
            <a:pPr algn="l" rtl="0">
              <a:defRPr sz="1000"/>
            </a:pPr>
            <a:fld id="{989BB9D3-DAD0-43F0-A09C-3B14E6022E25}" type="TxLink">
              <a:rPr lang="en-US" sz="1100" b="0" i="0" u="none" strike="noStrike" baseline="0">
                <a:solidFill>
                  <a:srgbClr val="000000"/>
                </a:solidFill>
                <a:latin typeface="Arial"/>
                <a:cs typeface="Arial"/>
              </a:rPr>
              <a:pPr algn="l" rtl="0">
                <a:defRPr sz="1000"/>
              </a:pPr>
              <a:t>SS benefits $1,517</a:t>
            </a:fld>
            <a:endParaRPr lang="en-US" sz="1100" b="0" i="0" u="none" strike="noStrike" baseline="0">
              <a:solidFill>
                <a:srgbClr val="000000"/>
              </a:solidFill>
              <a:latin typeface="Arial"/>
              <a:cs typeface="Arial"/>
            </a:endParaRPr>
          </a:p>
        </xdr:txBody>
      </xdr:sp>
      <xdr:sp macro="" textlink="Shape_Other">
        <xdr:nvSpPr>
          <xdr:cNvPr id="20912" name="AutoShape 1456"/>
          <xdr:cNvSpPr>
            <a:spLocks noChangeArrowheads="1" noTextEdit="1"/>
          </xdr:cNvSpPr>
        </xdr:nvSpPr>
        <xdr:spPr bwMode="auto">
          <a:xfrm>
            <a:off x="1928" y="441"/>
            <a:ext cx="180" cy="30"/>
          </a:xfrm>
          <a:prstGeom prst="homePlate">
            <a:avLst>
              <a:gd name="adj" fmla="val 68966"/>
            </a:avLst>
          </a:prstGeom>
          <a:solidFill>
            <a:srgbClr xmlns:mc="http://schemas.openxmlformats.org/markup-compatibility/2006" xmlns:a14="http://schemas.microsoft.com/office/drawing/2010/main" val="00FF00" mc:Ignorable="a14" a14:legacySpreadsheetColorIndex="1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7432" rIns="0" bIns="27432" anchor="ctr" upright="1"/>
          <a:lstStyle/>
          <a:p>
            <a:pPr algn="l" rtl="0">
              <a:defRPr sz="1000"/>
            </a:pPr>
            <a:fld id="{0F1B419F-2D3B-4F3E-9110-94931E2B7FF9}" type="TxLink">
              <a:rPr lang="en-US" sz="1100" b="0" i="0" u="none" strike="noStrike" baseline="0">
                <a:solidFill>
                  <a:srgbClr val="000000"/>
                </a:solidFill>
                <a:latin typeface="Arial"/>
                <a:cs typeface="Arial"/>
              </a:rPr>
              <a:pPr algn="l" rtl="0">
                <a:defRPr sz="1000"/>
              </a:pPr>
              <a:t>Other income $695</a:t>
            </a:fld>
            <a:endParaRPr lang="en-US" sz="1100" b="0" i="0" u="none" strike="noStrike" baseline="0">
              <a:solidFill>
                <a:srgbClr val="000000"/>
              </a:solidFill>
              <a:latin typeface="Arial"/>
              <a:cs typeface="Arial"/>
            </a:endParaRPr>
          </a:p>
        </xdr:txBody>
      </xdr:sp>
      <xdr:sp macro="" textlink="Shape_Roth_E">
        <xdr:nvSpPr>
          <xdr:cNvPr id="20913" name="AutoShape 1457"/>
          <xdr:cNvSpPr>
            <a:spLocks noChangeAspect="1" noChangeArrowheads="1" noTextEdit="1"/>
          </xdr:cNvSpPr>
        </xdr:nvSpPr>
        <xdr:spPr bwMode="auto">
          <a:xfrm>
            <a:off x="2367" y="329"/>
            <a:ext cx="164" cy="32"/>
          </a:xfrm>
          <a:prstGeom prst="homePlate">
            <a:avLst>
              <a:gd name="adj" fmla="val 79722"/>
            </a:avLst>
          </a:prstGeom>
          <a:solidFill>
            <a:srgbClr xmlns:mc="http://schemas.openxmlformats.org/markup-compatibility/2006" xmlns:a14="http://schemas.microsoft.com/office/drawing/2010/main" val="00FF00" mc:Ignorable="a14" a14:legacySpreadsheetColorIndex="1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7432" rIns="0" bIns="27432" anchor="ctr" upright="1"/>
          <a:lstStyle/>
          <a:p>
            <a:pPr algn="l" rtl="0">
              <a:defRPr sz="1000"/>
            </a:pPr>
            <a:fld id="{5108037D-585C-4B46-832F-DC7CA0AA5D6F}" type="TxLink">
              <a:rPr lang="en-US" sz="1100" b="0" i="0" u="none" strike="noStrike" baseline="0">
                <a:solidFill>
                  <a:srgbClr val="000000"/>
                </a:solidFill>
                <a:latin typeface="Arial"/>
                <a:cs typeface="Arial"/>
              </a:rPr>
              <a:pPr algn="l" rtl="0">
                <a:defRPr sz="1000"/>
              </a:pPr>
              <a:t>Earnings $386</a:t>
            </a:fld>
            <a:endParaRPr lang="en-US" sz="1100" b="0" i="0" u="none" strike="noStrike" baseline="0">
              <a:solidFill>
                <a:srgbClr val="000000"/>
              </a:solidFill>
              <a:latin typeface="Arial"/>
              <a:cs typeface="Arial"/>
            </a:endParaRPr>
          </a:p>
        </xdr:txBody>
      </xdr:sp>
      <xdr:sp macro="" textlink="Shape_Expenses">
        <xdr:nvSpPr>
          <xdr:cNvPr id="20914" name="AutoShape 1458"/>
          <xdr:cNvSpPr>
            <a:spLocks noChangeArrowheads="1" noTextEdit="1"/>
          </xdr:cNvSpPr>
        </xdr:nvSpPr>
        <xdr:spPr bwMode="auto">
          <a:xfrm rot="10800000">
            <a:off x="1931" y="488"/>
            <a:ext cx="180" cy="31"/>
          </a:xfrm>
          <a:prstGeom prst="homePlate">
            <a:avLst>
              <a:gd name="adj" fmla="val 76944"/>
            </a:avLst>
          </a:prstGeom>
          <a:solidFill>
            <a:srgbClr xmlns:mc="http://schemas.openxmlformats.org/markup-compatibility/2006" xmlns:a14="http://schemas.microsoft.com/office/drawing/2010/main" val="FF8080" mc:Ignorable="a14" a14:legacySpreadsheetColorIndex="2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27432" rIns="36576" bIns="27432" anchor="ctr" upright="1"/>
          <a:lstStyle/>
          <a:p>
            <a:pPr algn="r" rtl="0">
              <a:defRPr sz="1000"/>
            </a:pPr>
            <a:fld id="{E9C155FE-6A11-49D6-9943-4ADBED50E1D9}" type="TxLink">
              <a:rPr lang="en-US" sz="1100" b="0" i="0" u="none" strike="noStrike" baseline="0">
                <a:solidFill>
                  <a:srgbClr val="000000"/>
                </a:solidFill>
                <a:latin typeface="Arial"/>
                <a:cs typeface="Arial"/>
              </a:rPr>
              <a:pPr algn="r" rtl="0">
                <a:defRPr sz="1000"/>
              </a:pPr>
              <a:t>Expenses $3,105</a:t>
            </a:fld>
            <a:endParaRPr lang="en-US" sz="1100" b="0" i="0" u="none" strike="noStrike" baseline="0">
              <a:solidFill>
                <a:srgbClr val="000000"/>
              </a:solidFill>
              <a:latin typeface="Arial"/>
              <a:cs typeface="Arial"/>
            </a:endParaRPr>
          </a:p>
        </xdr:txBody>
      </xdr:sp>
      <xdr:sp macro="" textlink="Shape_Taxes">
        <xdr:nvSpPr>
          <xdr:cNvPr id="20915" name="AutoShape 1459"/>
          <xdr:cNvSpPr>
            <a:spLocks noChangeArrowheads="1" noTextEdit="1"/>
          </xdr:cNvSpPr>
        </xdr:nvSpPr>
        <xdr:spPr bwMode="auto">
          <a:xfrm rot="10800000">
            <a:off x="1934" y="535"/>
            <a:ext cx="177" cy="31"/>
          </a:xfrm>
          <a:prstGeom prst="homePlate">
            <a:avLst>
              <a:gd name="adj" fmla="val 75662"/>
            </a:avLst>
          </a:prstGeom>
          <a:solidFill>
            <a:srgbClr xmlns:mc="http://schemas.openxmlformats.org/markup-compatibility/2006" xmlns:a14="http://schemas.microsoft.com/office/drawing/2010/main" val="FF8080" mc:Ignorable="a14" a14:legacySpreadsheetColorIndex="29"/>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27432" rIns="36576" bIns="27432" anchor="ctr" upright="1"/>
          <a:lstStyle/>
          <a:p>
            <a:pPr algn="r" rtl="0">
              <a:defRPr sz="1000"/>
            </a:pPr>
            <a:fld id="{6E6574D6-F2B6-4BC0-AB38-6FBA889AFE61}" type="TxLink">
              <a:rPr lang="en-US" sz="1100" b="0" i="0" u="none" strike="noStrike" baseline="0">
                <a:solidFill>
                  <a:srgbClr val="000000"/>
                </a:solidFill>
                <a:latin typeface="Arial"/>
                <a:cs typeface="Arial"/>
              </a:rPr>
              <a:pPr algn="r" rtl="0">
                <a:defRPr sz="1000"/>
              </a:pPr>
              <a:t>Taxes $371</a:t>
            </a:fld>
            <a:endParaRPr lang="en-US" sz="1100" b="0" i="0" u="none" strike="noStrike" baseline="0">
              <a:solidFill>
                <a:srgbClr val="000000"/>
              </a:solidFill>
              <a:latin typeface="Arial"/>
              <a:cs typeface="Arial"/>
            </a:endParaRPr>
          </a:p>
        </xdr:txBody>
      </xdr:sp>
      <xdr:sp macro="" textlink="Shape_Taxable_F">
        <xdr:nvSpPr>
          <xdr:cNvPr id="20916" name="AutoShape 1460"/>
          <xdr:cNvSpPr>
            <a:spLocks noChangeArrowheads="1" noTextEdit="1"/>
          </xdr:cNvSpPr>
        </xdr:nvSpPr>
        <xdr:spPr bwMode="auto">
          <a:xfrm>
            <a:off x="2069" y="647"/>
            <a:ext cx="120" cy="76"/>
          </a:xfrm>
          <a:prstGeom prst="roundRect">
            <a:avLst>
              <a:gd name="adj" fmla="val 16667"/>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ctr" upright="1"/>
          <a:lstStyle/>
          <a:p>
            <a:pPr algn="ctr" rtl="0">
              <a:defRPr sz="1000"/>
            </a:pPr>
            <a:fld id="{8D920F94-67DD-4D4F-AEC4-6C9D2E3C0AEB}" type="TxLink">
              <a:rPr lang="en-US" sz="1200" b="0" i="0" u="none" strike="noStrike" baseline="0">
                <a:solidFill>
                  <a:srgbClr val="000000"/>
                </a:solidFill>
                <a:latin typeface="Arial"/>
                <a:cs typeface="Arial"/>
              </a:rPr>
              <a:pPr algn="ctr" rtl="0">
                <a:defRPr sz="1000"/>
              </a:pPr>
              <a:t>Taxable 
$1,539</a:t>
            </a:fld>
            <a:endParaRPr lang="en-US" sz="1200" b="0" i="0" u="none" strike="noStrike" baseline="0">
              <a:solidFill>
                <a:srgbClr val="000000"/>
              </a:solidFill>
              <a:latin typeface="Arial"/>
              <a:cs typeface="Arial"/>
            </a:endParaRPr>
          </a:p>
        </xdr:txBody>
      </xdr:sp>
      <xdr:sp macro="" textlink="Shape_IRA_F">
        <xdr:nvSpPr>
          <xdr:cNvPr id="20917" name="AutoShape 1461"/>
          <xdr:cNvSpPr>
            <a:spLocks noChangeArrowheads="1" noTextEdit="1"/>
          </xdr:cNvSpPr>
        </xdr:nvSpPr>
        <xdr:spPr bwMode="auto">
          <a:xfrm>
            <a:off x="2274" y="648"/>
            <a:ext cx="141" cy="76"/>
          </a:xfrm>
          <a:prstGeom prst="roundRect">
            <a:avLst>
              <a:gd name="adj" fmla="val 16667"/>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ctr" upright="1"/>
          <a:lstStyle/>
          <a:p>
            <a:pPr algn="ctr" rtl="0">
              <a:defRPr sz="1000"/>
            </a:pPr>
            <a:fld id="{83507C1F-52A7-4AC3-B126-2FE170848198}" type="TxLink">
              <a:rPr lang="en-US" sz="1200" b="0" i="0" u="none" strike="noStrike" baseline="0">
                <a:solidFill>
                  <a:srgbClr val="000000"/>
                </a:solidFill>
                <a:latin typeface="Arial"/>
                <a:cs typeface="Arial"/>
              </a:rPr>
              <a:pPr algn="ctr" rtl="0">
                <a:defRPr sz="1000"/>
              </a:pPr>
              <a:t>IRAs 
$726</a:t>
            </a:fld>
            <a:endParaRPr lang="en-US" sz="1200" b="0" i="0" u="none" strike="noStrike" baseline="0">
              <a:solidFill>
                <a:srgbClr val="000000"/>
              </a:solidFill>
              <a:latin typeface="Arial"/>
              <a:cs typeface="Arial"/>
            </a:endParaRPr>
          </a:p>
        </xdr:txBody>
      </xdr:sp>
      <xdr:sp macro="" textlink="Shape_Roth_F">
        <xdr:nvSpPr>
          <xdr:cNvPr id="20918" name="AutoShape 1462"/>
          <xdr:cNvSpPr>
            <a:spLocks noChangeArrowheads="1" noTextEdit="1"/>
          </xdr:cNvSpPr>
        </xdr:nvSpPr>
        <xdr:spPr bwMode="auto">
          <a:xfrm>
            <a:off x="2482" y="648"/>
            <a:ext cx="143" cy="76"/>
          </a:xfrm>
          <a:prstGeom prst="roundRect">
            <a:avLst>
              <a:gd name="adj" fmla="val 16667"/>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ctr" upright="1"/>
          <a:lstStyle/>
          <a:p>
            <a:pPr algn="ctr" rtl="0">
              <a:defRPr sz="1000"/>
            </a:pPr>
            <a:fld id="{F1A7EA60-248A-4EBE-837E-4D5BA505D953}" type="TxLink">
              <a:rPr lang="en-US" sz="1200" b="0" i="0" u="none" strike="noStrike" baseline="0">
                <a:solidFill>
                  <a:srgbClr val="000000"/>
                </a:solidFill>
                <a:latin typeface="Arial"/>
                <a:cs typeface="Arial"/>
              </a:rPr>
              <a:pPr algn="ctr" rtl="0">
                <a:defRPr sz="1000"/>
              </a:pPr>
              <a:t>Roth IRAs 
$438</a:t>
            </a:fld>
            <a:endParaRPr lang="en-US" sz="1200" b="0" i="0" u="none" strike="noStrike" baseline="0">
              <a:solidFill>
                <a:srgbClr val="000000"/>
              </a:solidFill>
              <a:latin typeface="Arial"/>
              <a:cs typeface="Arial"/>
            </a:endParaRPr>
          </a:p>
        </xdr:txBody>
      </xdr:sp>
      <xdr:sp macro="" textlink="Shape_Portfolio_S">
        <xdr:nvSpPr>
          <xdr:cNvPr id="20919" name="AutoShape 1463"/>
          <xdr:cNvSpPr>
            <a:spLocks noChangeArrowheads="1" noTextEdit="1"/>
          </xdr:cNvSpPr>
        </xdr:nvSpPr>
        <xdr:spPr bwMode="auto">
          <a:xfrm>
            <a:off x="1919" y="228"/>
            <a:ext cx="120" cy="76"/>
          </a:xfrm>
          <a:prstGeom prst="roundRect">
            <a:avLst>
              <a:gd name="adj" fmla="val 16667"/>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ctr" upright="1"/>
          <a:lstStyle/>
          <a:p>
            <a:pPr algn="ctr" rtl="0">
              <a:defRPr sz="1000"/>
            </a:pPr>
            <a:fld id="{D60626F4-F3A3-4F0C-AD69-8250A496413C}" type="TxLink">
              <a:rPr lang="en-US" sz="1200" b="0" i="0" u="none" strike="noStrike" baseline="0">
                <a:solidFill>
                  <a:srgbClr val="000000"/>
                </a:solidFill>
                <a:latin typeface="Arial"/>
                <a:cs typeface="Arial"/>
              </a:rPr>
              <a:pPr algn="ctr" rtl="0">
                <a:defRPr sz="1000"/>
              </a:pPr>
              <a:t>Portfolio 
$1,000</a:t>
            </a:fld>
            <a:endParaRPr lang="en-US" sz="1200" b="0" i="0" u="none" strike="noStrike" baseline="0">
              <a:solidFill>
                <a:srgbClr val="000000"/>
              </a:solidFill>
              <a:latin typeface="Arial"/>
              <a:cs typeface="Arial"/>
            </a:endParaRPr>
          </a:p>
        </xdr:txBody>
      </xdr:sp>
      <xdr:sp macro="" textlink="Shape_IRA_RMD">
        <xdr:nvSpPr>
          <xdr:cNvPr id="22706" name="AutoShape 1464"/>
          <xdr:cNvSpPr>
            <a:spLocks noChangeArrowheads="1"/>
          </xdr:cNvSpPr>
        </xdr:nvSpPr>
        <xdr:spPr bwMode="auto">
          <a:xfrm rot="10800000">
            <a:off x="2147" y="555"/>
            <a:ext cx="173" cy="31"/>
          </a:xfrm>
          <a:prstGeom prst="homePlate">
            <a:avLst>
              <a:gd name="adj" fmla="val 71567"/>
            </a:avLst>
          </a:prstGeom>
          <a:solidFill>
            <a:srgbClr xmlns:mc="http://schemas.openxmlformats.org/markup-compatibility/2006" xmlns:a14="http://schemas.microsoft.com/office/drawing/2010/main" val="9999FF" mc:Ignorable="a14" a14:legacySpreadsheetColorIndex="24"/>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27432" rIns="36576" bIns="27432" anchor="ctr" upright="1"/>
          <a:lstStyle/>
          <a:p>
            <a:pPr algn="r" rtl="0">
              <a:defRPr sz="1000"/>
            </a:pPr>
            <a:fld id="{70E84E68-1FD5-45BE-8CF2-800E10E271E1}" type="TxLink">
              <a:rPr lang="en-US" sz="1100" b="0" i="0" u="none" strike="noStrike" baseline="0">
                <a:solidFill>
                  <a:srgbClr val="000000"/>
                </a:solidFill>
                <a:latin typeface="Arial"/>
                <a:cs typeface="Arial"/>
              </a:rPr>
              <a:pPr algn="r" rtl="0">
                <a:defRPr sz="1000"/>
              </a:pPr>
              <a:t>RMD $1,150</a:t>
            </a:fld>
            <a:endParaRPr lang="en-US" sz="1100" b="0" i="0" u="none" strike="noStrike" baseline="0">
              <a:solidFill>
                <a:srgbClr val="000000"/>
              </a:solidFill>
              <a:latin typeface="Arial"/>
              <a:cs typeface="Arial"/>
            </a:endParaRPr>
          </a:p>
        </xdr:txBody>
      </xdr:sp>
      <xdr:sp macro="" textlink="Shape_IRA_Conv">
        <xdr:nvSpPr>
          <xdr:cNvPr id="22707" name="AutoShape 1465"/>
          <xdr:cNvSpPr>
            <a:spLocks noChangeAspect="1" noChangeArrowheads="1"/>
          </xdr:cNvSpPr>
        </xdr:nvSpPr>
        <xdr:spPr bwMode="auto">
          <a:xfrm>
            <a:off x="2364" y="384"/>
            <a:ext cx="167" cy="31"/>
          </a:xfrm>
          <a:prstGeom prst="homePlate">
            <a:avLst>
              <a:gd name="adj" fmla="val 78562"/>
            </a:avLst>
          </a:prstGeom>
          <a:solidFill>
            <a:srgbClr xmlns:mc="http://schemas.openxmlformats.org/markup-compatibility/2006" xmlns:a14="http://schemas.microsoft.com/office/drawing/2010/main" val="FF9900" mc:Ignorable="a14" a14:legacySpreadsheetColorIndex="52"/>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7432" rIns="0" bIns="27432" anchor="ctr" upright="1"/>
          <a:lstStyle/>
          <a:p>
            <a:pPr algn="l" rtl="0">
              <a:defRPr sz="1000"/>
            </a:pPr>
            <a:fld id="{27D52E05-7079-43E6-B8B7-2B33B9A862DE}" type="TxLink">
              <a:rPr lang="en-US" sz="1100" b="0" i="0" u="none" strike="noStrike" baseline="0">
                <a:solidFill>
                  <a:srgbClr val="000000"/>
                </a:solidFill>
                <a:latin typeface="Arial"/>
                <a:cs typeface="Arial"/>
              </a:rPr>
              <a:pPr algn="l" rtl="0">
                <a:defRPr sz="1000"/>
              </a:pPr>
              <a:t>Roth Conv $0</a:t>
            </a:fld>
            <a:endParaRPr lang="en-US" sz="1100" b="0" i="0" u="none" strike="noStrike" baseline="0">
              <a:solidFill>
                <a:srgbClr val="000000"/>
              </a:solidFill>
              <a:latin typeface="Arial"/>
              <a:cs typeface="Arial"/>
            </a:endParaRPr>
          </a:p>
        </xdr:txBody>
      </xdr:sp>
      <xdr:sp macro="" textlink="Shape_IRA_Inh">
        <xdr:nvSpPr>
          <xdr:cNvPr id="20922" name="AutoShape 1466"/>
          <xdr:cNvSpPr>
            <a:spLocks noChangeAspect="1" noChangeArrowheads="1" noTextEdit="1"/>
          </xdr:cNvSpPr>
        </xdr:nvSpPr>
        <xdr:spPr bwMode="auto">
          <a:xfrm>
            <a:off x="2155" y="385"/>
            <a:ext cx="167" cy="31"/>
          </a:xfrm>
          <a:prstGeom prst="homePlate">
            <a:avLst>
              <a:gd name="adj" fmla="val 81667"/>
            </a:avLst>
          </a:prstGeom>
          <a:solidFill>
            <a:srgbClr xmlns:mc="http://schemas.openxmlformats.org/markup-compatibility/2006" xmlns:a14="http://schemas.microsoft.com/office/drawing/2010/main" val="CC99FF" mc:Ignorable="a14" a14:legacySpreadsheetColorIndex="46"/>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7432" rIns="0" bIns="27432" anchor="ctr" upright="1"/>
          <a:lstStyle/>
          <a:p>
            <a:pPr algn="l" rtl="0">
              <a:defRPr sz="1000"/>
            </a:pPr>
            <a:fld id="{62C27EA3-E8FD-4496-AEC4-F70821AB072E}" type="TxLink">
              <a:rPr lang="en-US" sz="1100" b="0" i="0" u="none" strike="noStrike" baseline="0">
                <a:solidFill>
                  <a:srgbClr val="000000"/>
                </a:solidFill>
                <a:latin typeface="Arial"/>
                <a:cs typeface="Arial"/>
              </a:rPr>
              <a:pPr algn="l" rtl="0">
                <a:defRPr sz="1000"/>
              </a:pPr>
              <a:t>Inherited $100</a:t>
            </a:fld>
            <a:endParaRPr lang="en-US" sz="1100" b="0" i="0" u="none" strike="noStrike" baseline="0">
              <a:solidFill>
                <a:srgbClr val="000000"/>
              </a:solidFill>
              <a:latin typeface="Arial"/>
              <a:cs typeface="Arial"/>
            </a:endParaRPr>
          </a:p>
        </xdr:txBody>
      </xdr:sp>
    </xdr:grpSp>
    <xdr:clientData/>
  </xdr:twoCellAnchor>
  <xdr:twoCellAnchor>
    <xdr:from>
      <xdr:col>0</xdr:col>
      <xdr:colOff>7620</xdr:colOff>
      <xdr:row>128</xdr:row>
      <xdr:rowOff>1905</xdr:rowOff>
    </xdr:from>
    <xdr:to>
      <xdr:col>1</xdr:col>
      <xdr:colOff>342900</xdr:colOff>
      <xdr:row>128</xdr:row>
      <xdr:rowOff>200025</xdr:rowOff>
    </xdr:to>
    <xdr:sp macro="[0]!gotop" textlink="">
      <xdr:nvSpPr>
        <xdr:cNvPr id="21001" name="Rectangle 1545"/>
        <xdr:cNvSpPr>
          <a:spLocks noChangeArrowheads="1"/>
        </xdr:cNvSpPr>
      </xdr:nvSpPr>
      <xdr:spPr bwMode="auto">
        <a:xfrm>
          <a:off x="7620" y="25687020"/>
          <a:ext cx="64008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0</xdr:col>
      <xdr:colOff>7620</xdr:colOff>
      <xdr:row>189</xdr:row>
      <xdr:rowOff>11430</xdr:rowOff>
    </xdr:from>
    <xdr:to>
      <xdr:col>1</xdr:col>
      <xdr:colOff>342900</xdr:colOff>
      <xdr:row>189</xdr:row>
      <xdr:rowOff>212725</xdr:rowOff>
    </xdr:to>
    <xdr:sp macro="[0]!gotop" textlink="">
      <xdr:nvSpPr>
        <xdr:cNvPr id="21002" name="Rectangle 1546"/>
        <xdr:cNvSpPr>
          <a:spLocks noChangeArrowheads="1"/>
        </xdr:cNvSpPr>
      </xdr:nvSpPr>
      <xdr:spPr bwMode="auto">
        <a:xfrm>
          <a:off x="7620" y="40112950"/>
          <a:ext cx="640080" cy="201295"/>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0</xdr:col>
      <xdr:colOff>7620</xdr:colOff>
      <xdr:row>50</xdr:row>
      <xdr:rowOff>7620</xdr:rowOff>
    </xdr:from>
    <xdr:to>
      <xdr:col>1</xdr:col>
      <xdr:colOff>342900</xdr:colOff>
      <xdr:row>50</xdr:row>
      <xdr:rowOff>205740</xdr:rowOff>
    </xdr:to>
    <xdr:sp macro="[0]!gotop" textlink="">
      <xdr:nvSpPr>
        <xdr:cNvPr id="21003" name="Rectangle 1547"/>
        <xdr:cNvSpPr>
          <a:spLocks noChangeArrowheads="1"/>
        </xdr:cNvSpPr>
      </xdr:nvSpPr>
      <xdr:spPr bwMode="auto">
        <a:xfrm>
          <a:off x="7620" y="10843260"/>
          <a:ext cx="62484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0</xdr:col>
      <xdr:colOff>7620</xdr:colOff>
      <xdr:row>90</xdr:row>
      <xdr:rowOff>7620</xdr:rowOff>
    </xdr:from>
    <xdr:to>
      <xdr:col>1</xdr:col>
      <xdr:colOff>342900</xdr:colOff>
      <xdr:row>90</xdr:row>
      <xdr:rowOff>205740</xdr:rowOff>
    </xdr:to>
    <xdr:sp macro="[0]!gotop" textlink="">
      <xdr:nvSpPr>
        <xdr:cNvPr id="21008" name="Rectangle 1552"/>
        <xdr:cNvSpPr>
          <a:spLocks noChangeArrowheads="1"/>
        </xdr:cNvSpPr>
      </xdr:nvSpPr>
      <xdr:spPr bwMode="auto">
        <a:xfrm>
          <a:off x="7620" y="17769840"/>
          <a:ext cx="62484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0</xdr:col>
      <xdr:colOff>7620</xdr:colOff>
      <xdr:row>140</xdr:row>
      <xdr:rowOff>0</xdr:rowOff>
    </xdr:from>
    <xdr:to>
      <xdr:col>1</xdr:col>
      <xdr:colOff>342900</xdr:colOff>
      <xdr:row>140</xdr:row>
      <xdr:rowOff>198120</xdr:rowOff>
    </xdr:to>
    <xdr:sp macro="[0]!gotop" textlink="">
      <xdr:nvSpPr>
        <xdr:cNvPr id="21027" name="Rectangle 1571"/>
        <xdr:cNvSpPr>
          <a:spLocks noChangeArrowheads="1"/>
        </xdr:cNvSpPr>
      </xdr:nvSpPr>
      <xdr:spPr bwMode="auto">
        <a:xfrm>
          <a:off x="7620" y="27279600"/>
          <a:ext cx="64008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0</xdr:col>
      <xdr:colOff>7620</xdr:colOff>
      <xdr:row>36</xdr:row>
      <xdr:rowOff>7620</xdr:rowOff>
    </xdr:from>
    <xdr:to>
      <xdr:col>1</xdr:col>
      <xdr:colOff>342900</xdr:colOff>
      <xdr:row>36</xdr:row>
      <xdr:rowOff>205740</xdr:rowOff>
    </xdr:to>
    <xdr:sp macro="[0]!gotop" textlink="">
      <xdr:nvSpPr>
        <xdr:cNvPr id="21028" name="Rectangle 1572"/>
        <xdr:cNvSpPr>
          <a:spLocks noChangeArrowheads="1"/>
        </xdr:cNvSpPr>
      </xdr:nvSpPr>
      <xdr:spPr bwMode="auto">
        <a:xfrm>
          <a:off x="7620" y="7840980"/>
          <a:ext cx="62484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0</xdr:col>
      <xdr:colOff>7620</xdr:colOff>
      <xdr:row>229</xdr:row>
      <xdr:rowOff>3810</xdr:rowOff>
    </xdr:from>
    <xdr:to>
      <xdr:col>1</xdr:col>
      <xdr:colOff>342900</xdr:colOff>
      <xdr:row>229</xdr:row>
      <xdr:rowOff>201930</xdr:rowOff>
    </xdr:to>
    <xdr:sp macro="[0]!gotop" textlink="">
      <xdr:nvSpPr>
        <xdr:cNvPr id="21029" name="Rectangle 1573"/>
        <xdr:cNvSpPr>
          <a:spLocks noChangeArrowheads="1"/>
        </xdr:cNvSpPr>
      </xdr:nvSpPr>
      <xdr:spPr bwMode="auto">
        <a:xfrm>
          <a:off x="7620" y="43837860"/>
          <a:ext cx="62484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4</xdr:col>
      <xdr:colOff>50800</xdr:colOff>
      <xdr:row>299</xdr:row>
      <xdr:rowOff>5715</xdr:rowOff>
    </xdr:from>
    <xdr:to>
      <xdr:col>5</xdr:col>
      <xdr:colOff>558722</xdr:colOff>
      <xdr:row>299</xdr:row>
      <xdr:rowOff>237490</xdr:rowOff>
    </xdr:to>
    <xdr:grpSp>
      <xdr:nvGrpSpPr>
        <xdr:cNvPr id="6" name="Group 5"/>
        <xdr:cNvGrpSpPr/>
      </xdr:nvGrpSpPr>
      <xdr:grpSpPr>
        <a:xfrm>
          <a:off x="3241040" y="62896115"/>
          <a:ext cx="1402002" cy="231775"/>
          <a:chOff x="304800" y="63129795"/>
          <a:chExt cx="1402002" cy="231775"/>
        </a:xfrm>
      </xdr:grpSpPr>
      <xdr:sp macro="[0]!gotop" textlink="">
        <xdr:nvSpPr>
          <xdr:cNvPr id="21004" name="Rectangle 1548"/>
          <xdr:cNvSpPr>
            <a:spLocks noChangeArrowheads="1"/>
          </xdr:cNvSpPr>
        </xdr:nvSpPr>
        <xdr:spPr bwMode="auto">
          <a:xfrm>
            <a:off x="304800" y="63129795"/>
            <a:ext cx="640080" cy="231775"/>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sp macro="[0]!Module7.Setup_8" textlink="">
        <xdr:nvSpPr>
          <xdr:cNvPr id="21061" name="Rectangle 1605"/>
          <xdr:cNvSpPr>
            <a:spLocks noChangeArrowheads="1"/>
          </xdr:cNvSpPr>
        </xdr:nvSpPr>
        <xdr:spPr bwMode="auto">
          <a:xfrm>
            <a:off x="929640" y="63129795"/>
            <a:ext cx="777162" cy="231775"/>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taxes</a:t>
            </a:r>
          </a:p>
        </xdr:txBody>
      </xdr:sp>
    </xdr:grpSp>
    <xdr:clientData/>
  </xdr:twoCellAnchor>
  <xdr:twoCellAnchor>
    <xdr:from>
      <xdr:col>5</xdr:col>
      <xdr:colOff>7620</xdr:colOff>
      <xdr:row>345</xdr:row>
      <xdr:rowOff>182880</xdr:rowOff>
    </xdr:from>
    <xdr:to>
      <xdr:col>6</xdr:col>
      <xdr:colOff>30480</xdr:colOff>
      <xdr:row>346</xdr:row>
      <xdr:rowOff>182880</xdr:rowOff>
    </xdr:to>
    <xdr:grpSp>
      <xdr:nvGrpSpPr>
        <xdr:cNvPr id="22918" name="Group 2256"/>
        <xdr:cNvGrpSpPr>
          <a:grpSpLocks/>
        </xdr:cNvGrpSpPr>
      </xdr:nvGrpSpPr>
      <xdr:grpSpPr bwMode="auto">
        <a:xfrm>
          <a:off x="4091940" y="72186800"/>
          <a:ext cx="916940" cy="203200"/>
          <a:chOff x="525" y="8865"/>
          <a:chExt cx="120" cy="24"/>
        </a:xfrm>
      </xdr:grpSpPr>
      <xdr:sp macro="[0]!Setup_Supporting_Hide" textlink="">
        <xdr:nvSpPr>
          <xdr:cNvPr id="21139" name="Rectangle 1683"/>
          <xdr:cNvSpPr>
            <a:spLocks noChangeArrowheads="1"/>
          </xdr:cNvSpPr>
        </xdr:nvSpPr>
        <xdr:spPr bwMode="auto">
          <a:xfrm>
            <a:off x="585" y="8865"/>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Setup_Supporting_Show" textlink="">
        <xdr:nvSpPr>
          <xdr:cNvPr id="21140" name="Rectangle 1684"/>
          <xdr:cNvSpPr>
            <a:spLocks noChangeArrowheads="1"/>
          </xdr:cNvSpPr>
        </xdr:nvSpPr>
        <xdr:spPr bwMode="auto">
          <a:xfrm>
            <a:off x="525" y="8865"/>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23</xdr:col>
      <xdr:colOff>525780</xdr:colOff>
      <xdr:row>0</xdr:row>
      <xdr:rowOff>220980</xdr:rowOff>
    </xdr:from>
    <xdr:to>
      <xdr:col>24</xdr:col>
      <xdr:colOff>701040</xdr:colOff>
      <xdr:row>1</xdr:row>
      <xdr:rowOff>175260</xdr:rowOff>
    </xdr:to>
    <xdr:grpSp>
      <xdr:nvGrpSpPr>
        <xdr:cNvPr id="22920" name="Group 2282"/>
        <xdr:cNvGrpSpPr>
          <a:grpSpLocks/>
        </xdr:cNvGrpSpPr>
      </xdr:nvGrpSpPr>
      <xdr:grpSpPr bwMode="auto">
        <a:xfrm>
          <a:off x="20165060" y="220980"/>
          <a:ext cx="988060" cy="187960"/>
          <a:chOff x="2542" y="29"/>
          <a:chExt cx="120" cy="24"/>
        </a:xfrm>
      </xdr:grpSpPr>
      <xdr:sp macro="[0]!Setup_Calc_Hide" textlink="">
        <xdr:nvSpPr>
          <xdr:cNvPr id="22682" name="Rectangle 1794"/>
          <xdr:cNvSpPr>
            <a:spLocks noChangeArrowheads="1"/>
          </xdr:cNvSpPr>
        </xdr:nvSpPr>
        <xdr:spPr bwMode="auto">
          <a:xfrm>
            <a:off x="2602" y="29"/>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ctr" upright="1"/>
          <a:lstStyle/>
          <a:p>
            <a:pPr algn="ctr" rtl="0">
              <a:defRPr sz="1000"/>
            </a:pPr>
            <a:r>
              <a:rPr lang="en-US" sz="1000" b="1" i="0" u="none" strike="noStrike" baseline="0">
                <a:solidFill>
                  <a:srgbClr val="000000"/>
                </a:solidFill>
                <a:latin typeface="Arial"/>
                <a:cs typeface="Arial"/>
              </a:rPr>
              <a:t>hide</a:t>
            </a:r>
          </a:p>
        </xdr:txBody>
      </xdr:sp>
      <xdr:sp macro="[0]!Setup_Calc_Show" textlink="">
        <xdr:nvSpPr>
          <xdr:cNvPr id="21251" name="Rectangle 1795"/>
          <xdr:cNvSpPr>
            <a:spLocks noChangeArrowheads="1"/>
          </xdr:cNvSpPr>
        </xdr:nvSpPr>
        <xdr:spPr bwMode="auto">
          <a:xfrm>
            <a:off x="2542" y="29"/>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30</xdr:col>
      <xdr:colOff>0</xdr:colOff>
      <xdr:row>45</xdr:row>
      <xdr:rowOff>182880</xdr:rowOff>
    </xdr:from>
    <xdr:to>
      <xdr:col>31</xdr:col>
      <xdr:colOff>106680</xdr:colOff>
      <xdr:row>47</xdr:row>
      <xdr:rowOff>137160</xdr:rowOff>
    </xdr:to>
    <xdr:grpSp>
      <xdr:nvGrpSpPr>
        <xdr:cNvPr id="22921" name="Group 1967"/>
        <xdr:cNvGrpSpPr>
          <a:grpSpLocks/>
        </xdr:cNvGrpSpPr>
      </xdr:nvGrpSpPr>
      <xdr:grpSpPr bwMode="auto">
        <a:xfrm>
          <a:off x="25511760" y="10139680"/>
          <a:ext cx="919480" cy="360680"/>
          <a:chOff x="2821" y="203"/>
          <a:chExt cx="120" cy="46"/>
        </a:xfrm>
      </xdr:grpSpPr>
      <xdr:sp macro="" textlink="">
        <xdr:nvSpPr>
          <xdr:cNvPr id="21388" name="Rectangle 1932"/>
          <xdr:cNvSpPr>
            <a:spLocks noChangeArrowheads="1"/>
          </xdr:cNvSpPr>
        </xdr:nvSpPr>
        <xdr:spPr bwMode="auto">
          <a:xfrm>
            <a:off x="20474940" y="10302228"/>
            <a:ext cx="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 textlink="">
        <xdr:nvSpPr>
          <xdr:cNvPr id="21389" name="Rectangle 1933"/>
          <xdr:cNvSpPr>
            <a:spLocks noChangeArrowheads="1"/>
          </xdr:cNvSpPr>
        </xdr:nvSpPr>
        <xdr:spPr bwMode="auto">
          <a:xfrm>
            <a:off x="20474940" y="10302228"/>
            <a:ext cx="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sp macro="" textlink="">
        <xdr:nvSpPr>
          <xdr:cNvPr id="21390" name="Rectangle 1934"/>
          <xdr:cNvSpPr>
            <a:spLocks noChangeArrowheads="1"/>
          </xdr:cNvSpPr>
        </xdr:nvSpPr>
        <xdr:spPr bwMode="auto">
          <a:xfrm>
            <a:off x="20474940" y="10126969"/>
            <a:ext cx="0" cy="22"/>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Data Columns</a:t>
            </a:r>
          </a:p>
        </xdr:txBody>
      </xdr:sp>
    </xdr:grpSp>
    <xdr:clientData/>
  </xdr:twoCellAnchor>
  <xdr:twoCellAnchor>
    <xdr:from>
      <xdr:col>28</xdr:col>
      <xdr:colOff>518160</xdr:colOff>
      <xdr:row>46</xdr:row>
      <xdr:rowOff>7620</xdr:rowOff>
    </xdr:from>
    <xdr:to>
      <xdr:col>29</xdr:col>
      <xdr:colOff>541020</xdr:colOff>
      <xdr:row>47</xdr:row>
      <xdr:rowOff>30480</xdr:rowOff>
    </xdr:to>
    <xdr:grpSp>
      <xdr:nvGrpSpPr>
        <xdr:cNvPr id="22922" name="Group 2386"/>
        <xdr:cNvGrpSpPr>
          <a:grpSpLocks/>
        </xdr:cNvGrpSpPr>
      </xdr:nvGrpSpPr>
      <xdr:grpSpPr bwMode="auto">
        <a:xfrm>
          <a:off x="24221440" y="10167620"/>
          <a:ext cx="947420" cy="226060"/>
          <a:chOff x="3106" y="1321"/>
          <a:chExt cx="131" cy="24"/>
        </a:xfrm>
      </xdr:grpSpPr>
      <xdr:sp macro="" textlink="">
        <xdr:nvSpPr>
          <xdr:cNvPr id="21392" name="Rectangle 1936"/>
          <xdr:cNvSpPr>
            <a:spLocks noChangeArrowheads="1"/>
          </xdr:cNvSpPr>
        </xdr:nvSpPr>
        <xdr:spPr bwMode="auto">
          <a:xfrm>
            <a:off x="20474940" y="10176498"/>
            <a:ext cx="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 textlink="">
        <xdr:nvSpPr>
          <xdr:cNvPr id="21393" name="Rectangle 1937"/>
          <xdr:cNvSpPr>
            <a:spLocks noChangeArrowheads="1"/>
          </xdr:cNvSpPr>
        </xdr:nvSpPr>
        <xdr:spPr bwMode="auto">
          <a:xfrm>
            <a:off x="20474940" y="10176498"/>
            <a:ext cx="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25</xdr:col>
      <xdr:colOff>45720</xdr:colOff>
      <xdr:row>2</xdr:row>
      <xdr:rowOff>38100</xdr:rowOff>
    </xdr:from>
    <xdr:to>
      <xdr:col>25</xdr:col>
      <xdr:colOff>777240</xdr:colOff>
      <xdr:row>3</xdr:row>
      <xdr:rowOff>22860</xdr:rowOff>
    </xdr:to>
    <xdr:sp macro="[0]!All_Unprotect" textlink="">
      <xdr:nvSpPr>
        <xdr:cNvPr id="22673" name="Rectangle 1957"/>
        <xdr:cNvSpPr>
          <a:spLocks noChangeArrowheads="1"/>
        </xdr:cNvSpPr>
      </xdr:nvSpPr>
      <xdr:spPr bwMode="auto">
        <a:xfrm>
          <a:off x="20520660" y="495300"/>
          <a:ext cx="731520" cy="19812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Unprotect</a:t>
          </a:r>
        </a:p>
      </xdr:txBody>
    </xdr:sp>
    <xdr:clientData/>
  </xdr:twoCellAnchor>
  <xdr:twoCellAnchor>
    <xdr:from>
      <xdr:col>25</xdr:col>
      <xdr:colOff>45720</xdr:colOff>
      <xdr:row>3</xdr:row>
      <xdr:rowOff>22860</xdr:rowOff>
    </xdr:from>
    <xdr:to>
      <xdr:col>25</xdr:col>
      <xdr:colOff>777240</xdr:colOff>
      <xdr:row>3</xdr:row>
      <xdr:rowOff>205740</xdr:rowOff>
    </xdr:to>
    <xdr:sp macro="[0]!All_Protect" textlink="">
      <xdr:nvSpPr>
        <xdr:cNvPr id="22674" name="Rectangle 1958"/>
        <xdr:cNvSpPr>
          <a:spLocks noChangeArrowheads="1"/>
        </xdr:cNvSpPr>
      </xdr:nvSpPr>
      <xdr:spPr bwMode="auto">
        <a:xfrm>
          <a:off x="20520660" y="693420"/>
          <a:ext cx="73152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Protect</a:t>
          </a:r>
        </a:p>
      </xdr:txBody>
    </xdr:sp>
    <xdr:clientData/>
  </xdr:twoCellAnchor>
  <xdr:twoCellAnchor>
    <xdr:from>
      <xdr:col>32</xdr:col>
      <xdr:colOff>0</xdr:colOff>
      <xdr:row>46</xdr:row>
      <xdr:rowOff>24765</xdr:rowOff>
    </xdr:from>
    <xdr:to>
      <xdr:col>33</xdr:col>
      <xdr:colOff>106680</xdr:colOff>
      <xdr:row>47</xdr:row>
      <xdr:rowOff>22860</xdr:rowOff>
    </xdr:to>
    <xdr:sp macro="" textlink="">
      <xdr:nvSpPr>
        <xdr:cNvPr id="21415" name="Rectangle 1959"/>
        <xdr:cNvSpPr>
          <a:spLocks noChangeArrowheads="1"/>
        </xdr:cNvSpPr>
      </xdr:nvSpPr>
      <xdr:spPr bwMode="auto">
        <a:xfrm>
          <a:off x="26548080" y="3467100"/>
          <a:ext cx="998220" cy="19812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Protect-Hide</a:t>
          </a:r>
        </a:p>
      </xdr:txBody>
    </xdr:sp>
    <xdr:clientData/>
  </xdr:twoCellAnchor>
  <xdr:twoCellAnchor>
    <xdr:from>
      <xdr:col>26</xdr:col>
      <xdr:colOff>60960</xdr:colOff>
      <xdr:row>2</xdr:row>
      <xdr:rowOff>38100</xdr:rowOff>
    </xdr:from>
    <xdr:to>
      <xdr:col>26</xdr:col>
      <xdr:colOff>518160</xdr:colOff>
      <xdr:row>3</xdr:row>
      <xdr:rowOff>205740</xdr:rowOff>
    </xdr:to>
    <xdr:grpSp>
      <xdr:nvGrpSpPr>
        <xdr:cNvPr id="23027" name="Group 2547"/>
        <xdr:cNvGrpSpPr>
          <a:grpSpLocks/>
        </xdr:cNvGrpSpPr>
      </xdr:nvGrpSpPr>
      <xdr:grpSpPr bwMode="auto">
        <a:xfrm>
          <a:off x="22138640" y="505460"/>
          <a:ext cx="457200" cy="381000"/>
          <a:chOff x="2812" y="65"/>
          <a:chExt cx="60" cy="50"/>
        </a:xfrm>
      </xdr:grpSpPr>
      <xdr:sp macro="[0]!All_Unhide" textlink="">
        <xdr:nvSpPr>
          <xdr:cNvPr id="21426" name="Rectangle 1970"/>
          <xdr:cNvSpPr>
            <a:spLocks noChangeArrowheads="1"/>
          </xdr:cNvSpPr>
        </xdr:nvSpPr>
        <xdr:spPr bwMode="auto">
          <a:xfrm>
            <a:off x="20474940" y="590538"/>
            <a:ext cx="0" cy="25"/>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sp macro="[0]!All_Hide" textlink="">
        <xdr:nvSpPr>
          <xdr:cNvPr id="21427" name="Rectangle 1971"/>
          <xdr:cNvSpPr>
            <a:spLocks noChangeArrowheads="1"/>
          </xdr:cNvSpPr>
        </xdr:nvSpPr>
        <xdr:spPr bwMode="auto">
          <a:xfrm>
            <a:off x="20474940" y="781038"/>
            <a:ext cx="0" cy="25"/>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grpSp>
    <xdr:clientData/>
  </xdr:twoCellAnchor>
  <xdr:twoCellAnchor>
    <xdr:from>
      <xdr:col>0</xdr:col>
      <xdr:colOff>0</xdr:colOff>
      <xdr:row>20</xdr:row>
      <xdr:rowOff>0</xdr:rowOff>
    </xdr:from>
    <xdr:to>
      <xdr:col>1</xdr:col>
      <xdr:colOff>335280</xdr:colOff>
      <xdr:row>21</xdr:row>
      <xdr:rowOff>5715</xdr:rowOff>
    </xdr:to>
    <xdr:sp macro="[0]!gotop" textlink="">
      <xdr:nvSpPr>
        <xdr:cNvPr id="21433" name="Rectangle 1977"/>
        <xdr:cNvSpPr>
          <a:spLocks noChangeArrowheads="1"/>
        </xdr:cNvSpPr>
      </xdr:nvSpPr>
      <xdr:spPr bwMode="auto">
        <a:xfrm>
          <a:off x="0" y="4465320"/>
          <a:ext cx="62484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16</xdr:col>
      <xdr:colOff>7620</xdr:colOff>
      <xdr:row>0</xdr:row>
      <xdr:rowOff>22860</xdr:rowOff>
    </xdr:from>
    <xdr:to>
      <xdr:col>17</xdr:col>
      <xdr:colOff>175260</xdr:colOff>
      <xdr:row>0</xdr:row>
      <xdr:rowOff>205740</xdr:rowOff>
    </xdr:to>
    <xdr:grpSp>
      <xdr:nvGrpSpPr>
        <xdr:cNvPr id="22929" name="Group 2270"/>
        <xdr:cNvGrpSpPr>
          <a:grpSpLocks/>
        </xdr:cNvGrpSpPr>
      </xdr:nvGrpSpPr>
      <xdr:grpSpPr bwMode="auto">
        <a:xfrm>
          <a:off x="13957300" y="22860"/>
          <a:ext cx="980440" cy="182880"/>
          <a:chOff x="1475" y="59"/>
          <a:chExt cx="120" cy="29"/>
        </a:xfrm>
      </xdr:grpSpPr>
      <xdr:sp macro="[0]!HeaderHide" textlink="">
        <xdr:nvSpPr>
          <xdr:cNvPr id="21447" name="Rectangle 1991"/>
          <xdr:cNvSpPr>
            <a:spLocks noChangeArrowheads="1"/>
          </xdr:cNvSpPr>
        </xdr:nvSpPr>
        <xdr:spPr bwMode="auto">
          <a:xfrm>
            <a:off x="1535" y="59"/>
            <a:ext cx="60" cy="29"/>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HeaderShow" textlink="">
        <xdr:nvSpPr>
          <xdr:cNvPr id="21448" name="Rectangle 1992"/>
          <xdr:cNvSpPr>
            <a:spLocks noChangeArrowheads="1"/>
          </xdr:cNvSpPr>
        </xdr:nvSpPr>
        <xdr:spPr bwMode="auto">
          <a:xfrm>
            <a:off x="1475" y="59"/>
            <a:ext cx="60" cy="29"/>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19</xdr:col>
      <xdr:colOff>45720</xdr:colOff>
      <xdr:row>2</xdr:row>
      <xdr:rowOff>22860</xdr:rowOff>
    </xdr:from>
    <xdr:to>
      <xdr:col>20</xdr:col>
      <xdr:colOff>220980</xdr:colOff>
      <xdr:row>2</xdr:row>
      <xdr:rowOff>205740</xdr:rowOff>
    </xdr:to>
    <xdr:grpSp>
      <xdr:nvGrpSpPr>
        <xdr:cNvPr id="22930" name="Group 2265"/>
        <xdr:cNvGrpSpPr>
          <a:grpSpLocks/>
        </xdr:cNvGrpSpPr>
      </xdr:nvGrpSpPr>
      <xdr:grpSpPr bwMode="auto">
        <a:xfrm>
          <a:off x="16433800" y="490220"/>
          <a:ext cx="988060" cy="182880"/>
          <a:chOff x="1975" y="59"/>
          <a:chExt cx="120" cy="29"/>
        </a:xfrm>
      </xdr:grpSpPr>
      <xdr:sp macro="[0]!ORP_TabHide" textlink="">
        <xdr:nvSpPr>
          <xdr:cNvPr id="21364" name="Rectangle 1908"/>
          <xdr:cNvSpPr>
            <a:spLocks noChangeArrowheads="1"/>
          </xdr:cNvSpPr>
        </xdr:nvSpPr>
        <xdr:spPr bwMode="auto">
          <a:xfrm>
            <a:off x="2035" y="59"/>
            <a:ext cx="60" cy="29"/>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ORP_TabShow" textlink="">
        <xdr:nvSpPr>
          <xdr:cNvPr id="21365" name="Rectangle 1909"/>
          <xdr:cNvSpPr>
            <a:spLocks noChangeArrowheads="1"/>
          </xdr:cNvSpPr>
        </xdr:nvSpPr>
        <xdr:spPr bwMode="auto">
          <a:xfrm>
            <a:off x="1975" y="59"/>
            <a:ext cx="60" cy="29"/>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19</xdr:col>
      <xdr:colOff>38100</xdr:colOff>
      <xdr:row>0</xdr:row>
      <xdr:rowOff>30480</xdr:rowOff>
    </xdr:from>
    <xdr:to>
      <xdr:col>20</xdr:col>
      <xdr:colOff>213360</xdr:colOff>
      <xdr:row>0</xdr:row>
      <xdr:rowOff>213360</xdr:rowOff>
    </xdr:to>
    <xdr:grpSp>
      <xdr:nvGrpSpPr>
        <xdr:cNvPr id="22931" name="Group 2269"/>
        <xdr:cNvGrpSpPr>
          <a:grpSpLocks/>
        </xdr:cNvGrpSpPr>
      </xdr:nvGrpSpPr>
      <xdr:grpSpPr bwMode="auto">
        <a:xfrm>
          <a:off x="16426180" y="30480"/>
          <a:ext cx="988060" cy="182880"/>
          <a:chOff x="2090" y="4"/>
          <a:chExt cx="120" cy="24"/>
        </a:xfrm>
      </xdr:grpSpPr>
      <xdr:sp macro="[0]!Readme_TabHide" textlink="">
        <xdr:nvSpPr>
          <xdr:cNvPr id="22660" name="Rectangle 2004"/>
          <xdr:cNvSpPr>
            <a:spLocks noChangeArrowheads="1"/>
          </xdr:cNvSpPr>
        </xdr:nvSpPr>
        <xdr:spPr bwMode="auto">
          <a:xfrm>
            <a:off x="2150" y="4"/>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ctr" upright="1"/>
          <a:lstStyle/>
          <a:p>
            <a:pPr algn="ctr" rtl="0">
              <a:defRPr sz="1000"/>
            </a:pPr>
            <a:r>
              <a:rPr lang="en-US" sz="1000" b="1" i="0" u="none" strike="noStrike" baseline="0">
                <a:solidFill>
                  <a:srgbClr val="000000"/>
                </a:solidFill>
                <a:latin typeface="Arial"/>
                <a:cs typeface="Arial"/>
              </a:rPr>
              <a:t>hide</a:t>
            </a:r>
          </a:p>
        </xdr:txBody>
      </xdr:sp>
      <xdr:sp macro="[0]!Readme_TabShow" textlink="">
        <xdr:nvSpPr>
          <xdr:cNvPr id="22661" name="Rectangle 2005"/>
          <xdr:cNvSpPr>
            <a:spLocks noChangeArrowheads="1"/>
          </xdr:cNvSpPr>
        </xdr:nvSpPr>
        <xdr:spPr bwMode="auto">
          <a:xfrm>
            <a:off x="2090" y="4"/>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ctr"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19</xdr:col>
      <xdr:colOff>38100</xdr:colOff>
      <xdr:row>1</xdr:row>
      <xdr:rowOff>22860</xdr:rowOff>
    </xdr:from>
    <xdr:to>
      <xdr:col>20</xdr:col>
      <xdr:colOff>213360</xdr:colOff>
      <xdr:row>1</xdr:row>
      <xdr:rowOff>205740</xdr:rowOff>
    </xdr:to>
    <xdr:grpSp>
      <xdr:nvGrpSpPr>
        <xdr:cNvPr id="22932" name="Group 2266"/>
        <xdr:cNvGrpSpPr>
          <a:grpSpLocks/>
        </xdr:cNvGrpSpPr>
      </xdr:nvGrpSpPr>
      <xdr:grpSpPr bwMode="auto">
        <a:xfrm>
          <a:off x="16426180" y="256540"/>
          <a:ext cx="988060" cy="182880"/>
          <a:chOff x="2099" y="33"/>
          <a:chExt cx="121" cy="29"/>
        </a:xfrm>
      </xdr:grpSpPr>
      <xdr:sp macro="[0]!Tax_TabHide" textlink="">
        <xdr:nvSpPr>
          <xdr:cNvPr id="22555" name="Rectangle 2075"/>
          <xdr:cNvSpPr>
            <a:spLocks noChangeArrowheads="1"/>
          </xdr:cNvSpPr>
        </xdr:nvSpPr>
        <xdr:spPr bwMode="auto">
          <a:xfrm>
            <a:off x="2160" y="33"/>
            <a:ext cx="62" cy="29"/>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Tax_TabShow" textlink="">
        <xdr:nvSpPr>
          <xdr:cNvPr id="22556" name="Rectangle 2076"/>
          <xdr:cNvSpPr>
            <a:spLocks noChangeArrowheads="1"/>
          </xdr:cNvSpPr>
        </xdr:nvSpPr>
        <xdr:spPr bwMode="auto">
          <a:xfrm>
            <a:off x="2099" y="33"/>
            <a:ext cx="61" cy="29"/>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editAs="oneCell">
    <xdr:from>
      <xdr:col>14</xdr:col>
      <xdr:colOff>7620</xdr:colOff>
      <xdr:row>1</xdr:row>
      <xdr:rowOff>22860</xdr:rowOff>
    </xdr:from>
    <xdr:to>
      <xdr:col>14</xdr:col>
      <xdr:colOff>464820</xdr:colOff>
      <xdr:row>1</xdr:row>
      <xdr:rowOff>220980</xdr:rowOff>
    </xdr:to>
    <xdr:sp macro="[0]!Copy_Setup" textlink="">
      <xdr:nvSpPr>
        <xdr:cNvPr id="22727" name="Rectangle 1129"/>
        <xdr:cNvSpPr>
          <a:spLocks noChangeArrowheads="1"/>
        </xdr:cNvSpPr>
      </xdr:nvSpPr>
      <xdr:spPr bwMode="auto">
        <a:xfrm>
          <a:off x="12085320" y="251460"/>
          <a:ext cx="45720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ctr" upright="1"/>
        <a:lstStyle/>
        <a:p>
          <a:pPr algn="ctr" rtl="0">
            <a:defRPr sz="1000"/>
          </a:pPr>
          <a:r>
            <a:rPr lang="en-US" sz="1000" b="1" i="0" u="none" strike="noStrike" baseline="0">
              <a:solidFill>
                <a:srgbClr val="000000"/>
              </a:solidFill>
              <a:latin typeface="Arial"/>
              <a:cs typeface="Arial"/>
            </a:rPr>
            <a:t>copy</a:t>
          </a:r>
        </a:p>
      </xdr:txBody>
    </xdr:sp>
    <xdr:clientData/>
  </xdr:twoCellAnchor>
  <xdr:twoCellAnchor>
    <xdr:from>
      <xdr:col>4</xdr:col>
      <xdr:colOff>232410</xdr:colOff>
      <xdr:row>404</xdr:row>
      <xdr:rowOff>194310</xdr:rowOff>
    </xdr:from>
    <xdr:to>
      <xdr:col>4</xdr:col>
      <xdr:colOff>689610</xdr:colOff>
      <xdr:row>406</xdr:row>
      <xdr:rowOff>8945</xdr:rowOff>
    </xdr:to>
    <xdr:sp macro="[0]!CopyResults" textlink="">
      <xdr:nvSpPr>
        <xdr:cNvPr id="3393" name="Rectangle 321"/>
        <xdr:cNvSpPr>
          <a:spLocks noChangeArrowheads="1"/>
        </xdr:cNvSpPr>
      </xdr:nvSpPr>
      <xdr:spPr bwMode="auto">
        <a:xfrm>
          <a:off x="3284220" y="65813940"/>
          <a:ext cx="91440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copy</a:t>
          </a:r>
        </a:p>
      </xdr:txBody>
    </xdr:sp>
    <xdr:clientData/>
  </xdr:twoCellAnchor>
  <xdr:twoCellAnchor>
    <xdr:from>
      <xdr:col>6</xdr:col>
      <xdr:colOff>140970</xdr:colOff>
      <xdr:row>405</xdr:row>
      <xdr:rowOff>1905</xdr:rowOff>
    </xdr:from>
    <xdr:to>
      <xdr:col>6</xdr:col>
      <xdr:colOff>869467</xdr:colOff>
      <xdr:row>406</xdr:row>
      <xdr:rowOff>0</xdr:rowOff>
    </xdr:to>
    <xdr:sp macro="[0]!Copy_Results1" textlink="">
      <xdr:nvSpPr>
        <xdr:cNvPr id="3394" name="Rectangle 322"/>
        <xdr:cNvSpPr>
          <a:spLocks noChangeArrowheads="1"/>
        </xdr:cNvSpPr>
      </xdr:nvSpPr>
      <xdr:spPr bwMode="auto">
        <a:xfrm>
          <a:off x="5204460" y="65829180"/>
          <a:ext cx="99822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copy-paste</a:t>
          </a:r>
        </a:p>
      </xdr:txBody>
    </xdr:sp>
    <xdr:clientData/>
  </xdr:twoCellAnchor>
  <xdr:twoCellAnchor>
    <xdr:from>
      <xdr:col>7</xdr:col>
      <xdr:colOff>133350</xdr:colOff>
      <xdr:row>405</xdr:row>
      <xdr:rowOff>1905</xdr:rowOff>
    </xdr:from>
    <xdr:to>
      <xdr:col>7</xdr:col>
      <xdr:colOff>867918</xdr:colOff>
      <xdr:row>406</xdr:row>
      <xdr:rowOff>0</xdr:rowOff>
    </xdr:to>
    <xdr:sp macro="[0]!Copy_Results2" textlink="">
      <xdr:nvSpPr>
        <xdr:cNvPr id="3395" name="Rectangle 323"/>
        <xdr:cNvSpPr>
          <a:spLocks noChangeArrowheads="1"/>
        </xdr:cNvSpPr>
      </xdr:nvSpPr>
      <xdr:spPr bwMode="auto">
        <a:xfrm>
          <a:off x="6156960" y="65829180"/>
          <a:ext cx="99822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copy-paste</a:t>
          </a:r>
        </a:p>
      </xdr:txBody>
    </xdr:sp>
    <xdr:clientData/>
  </xdr:twoCellAnchor>
  <xdr:twoCellAnchor>
    <xdr:from>
      <xdr:col>8</xdr:col>
      <xdr:colOff>140970</xdr:colOff>
      <xdr:row>404</xdr:row>
      <xdr:rowOff>194310</xdr:rowOff>
    </xdr:from>
    <xdr:to>
      <xdr:col>8</xdr:col>
      <xdr:colOff>877110</xdr:colOff>
      <xdr:row>406</xdr:row>
      <xdr:rowOff>8945</xdr:rowOff>
    </xdr:to>
    <xdr:sp macro="[0]!Copy_Results3" textlink="">
      <xdr:nvSpPr>
        <xdr:cNvPr id="3396" name="Rectangle 324"/>
        <xdr:cNvSpPr>
          <a:spLocks noChangeArrowheads="1"/>
        </xdr:cNvSpPr>
      </xdr:nvSpPr>
      <xdr:spPr bwMode="auto">
        <a:xfrm>
          <a:off x="7132320" y="65829180"/>
          <a:ext cx="99060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copy-paste</a:t>
          </a:r>
        </a:p>
      </xdr:txBody>
    </xdr:sp>
    <xdr:clientData/>
  </xdr:twoCellAnchor>
  <xdr:twoCellAnchor>
    <xdr:from>
      <xdr:col>9</xdr:col>
      <xdr:colOff>110490</xdr:colOff>
      <xdr:row>405</xdr:row>
      <xdr:rowOff>1905</xdr:rowOff>
    </xdr:from>
    <xdr:to>
      <xdr:col>9</xdr:col>
      <xdr:colOff>845084</xdr:colOff>
      <xdr:row>406</xdr:row>
      <xdr:rowOff>0</xdr:rowOff>
    </xdr:to>
    <xdr:sp macro="[0]!Copy_Results4" textlink="">
      <xdr:nvSpPr>
        <xdr:cNvPr id="3397" name="Rectangle 325"/>
        <xdr:cNvSpPr>
          <a:spLocks noChangeArrowheads="1"/>
        </xdr:cNvSpPr>
      </xdr:nvSpPr>
      <xdr:spPr bwMode="auto">
        <a:xfrm>
          <a:off x="8107680" y="65829180"/>
          <a:ext cx="99060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copy-paste</a:t>
          </a:r>
        </a:p>
      </xdr:txBody>
    </xdr:sp>
    <xdr:clientData/>
  </xdr:twoCellAnchor>
  <xdr:twoCellAnchor>
    <xdr:from>
      <xdr:col>11</xdr:col>
      <xdr:colOff>22860</xdr:colOff>
      <xdr:row>403</xdr:row>
      <xdr:rowOff>22860</xdr:rowOff>
    </xdr:from>
    <xdr:to>
      <xdr:col>11</xdr:col>
      <xdr:colOff>480060</xdr:colOff>
      <xdr:row>403</xdr:row>
      <xdr:rowOff>205740</xdr:rowOff>
    </xdr:to>
    <xdr:sp macro="[0]!Clear_Results" textlink="">
      <xdr:nvSpPr>
        <xdr:cNvPr id="22793" name="Rectangle 601"/>
        <xdr:cNvSpPr>
          <a:spLocks noChangeArrowheads="1"/>
        </xdr:cNvSpPr>
      </xdr:nvSpPr>
      <xdr:spPr bwMode="auto">
        <a:xfrm>
          <a:off x="9410700" y="69159120"/>
          <a:ext cx="45720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ctr" upright="1"/>
        <a:lstStyle/>
        <a:p>
          <a:pPr algn="ctr" rtl="0">
            <a:defRPr sz="1000"/>
          </a:pPr>
          <a:r>
            <a:rPr lang="en-US" sz="1000" b="1" i="0" u="none" strike="noStrike" baseline="0">
              <a:solidFill>
                <a:srgbClr val="000000"/>
              </a:solidFill>
              <a:latin typeface="Arial"/>
              <a:cs typeface="Arial"/>
            </a:rPr>
            <a:t>clear</a:t>
          </a:r>
        </a:p>
      </xdr:txBody>
    </xdr:sp>
    <xdr:clientData/>
  </xdr:twoCellAnchor>
  <xdr:twoCellAnchor>
    <xdr:from>
      <xdr:col>10</xdr:col>
      <xdr:colOff>7620</xdr:colOff>
      <xdr:row>9</xdr:row>
      <xdr:rowOff>30480</xdr:rowOff>
    </xdr:from>
    <xdr:to>
      <xdr:col>11</xdr:col>
      <xdr:colOff>30480</xdr:colOff>
      <xdr:row>10</xdr:row>
      <xdr:rowOff>30480</xdr:rowOff>
    </xdr:to>
    <xdr:sp macro="[0]!Go_Storage" textlink="">
      <xdr:nvSpPr>
        <xdr:cNvPr id="22824" name="Rectangle 1959"/>
        <xdr:cNvSpPr>
          <a:spLocks noChangeArrowheads="1"/>
        </xdr:cNvSpPr>
      </xdr:nvSpPr>
      <xdr:spPr bwMode="auto">
        <a:xfrm>
          <a:off x="8503920" y="2125980"/>
          <a:ext cx="914400" cy="19812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go to storage</a:t>
          </a:r>
        </a:p>
      </xdr:txBody>
    </xdr:sp>
    <xdr:clientData/>
  </xdr:twoCellAnchor>
  <xdr:twoCellAnchor>
    <xdr:from>
      <xdr:col>0</xdr:col>
      <xdr:colOff>22860</xdr:colOff>
      <xdr:row>402</xdr:row>
      <xdr:rowOff>20955</xdr:rowOff>
    </xdr:from>
    <xdr:to>
      <xdr:col>1</xdr:col>
      <xdr:colOff>358140</xdr:colOff>
      <xdr:row>403</xdr:row>
      <xdr:rowOff>0</xdr:rowOff>
    </xdr:to>
    <xdr:sp macro="[0]!gotop" textlink="">
      <xdr:nvSpPr>
        <xdr:cNvPr id="2" name="Rectangle 1138"/>
        <xdr:cNvSpPr>
          <a:spLocks noChangeArrowheads="1"/>
        </xdr:cNvSpPr>
      </xdr:nvSpPr>
      <xdr:spPr bwMode="auto">
        <a:xfrm>
          <a:off x="7620" y="46672500"/>
          <a:ext cx="62484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1</xdr:col>
      <xdr:colOff>937260</xdr:colOff>
      <xdr:row>2</xdr:row>
      <xdr:rowOff>7620</xdr:rowOff>
    </xdr:from>
    <xdr:to>
      <xdr:col>12</xdr:col>
      <xdr:colOff>716280</xdr:colOff>
      <xdr:row>2</xdr:row>
      <xdr:rowOff>208788</xdr:rowOff>
    </xdr:to>
    <xdr:grpSp>
      <xdr:nvGrpSpPr>
        <xdr:cNvPr id="4" name="Group 3"/>
        <xdr:cNvGrpSpPr/>
      </xdr:nvGrpSpPr>
      <xdr:grpSpPr>
        <a:xfrm>
          <a:off x="1242060" y="474980"/>
          <a:ext cx="9847580" cy="201168"/>
          <a:chOff x="1242060" y="474980"/>
          <a:chExt cx="9857740" cy="213360"/>
        </a:xfrm>
      </xdr:grpSpPr>
      <xdr:sp macro="[0]!Module7.Setup_0" textlink="">
        <xdr:nvSpPr>
          <xdr:cNvPr id="22710" name="Rectangle 1208"/>
          <xdr:cNvSpPr>
            <a:spLocks noChangeArrowheads="1"/>
          </xdr:cNvSpPr>
        </xdr:nvSpPr>
        <xdr:spPr bwMode="auto">
          <a:xfrm>
            <a:off x="1242060" y="474980"/>
            <a:ext cx="632460" cy="21336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Options</a:t>
            </a:r>
          </a:p>
        </xdr:txBody>
      </xdr:sp>
      <xdr:grpSp>
        <xdr:nvGrpSpPr>
          <xdr:cNvPr id="23029" name="Group 2549"/>
          <xdr:cNvGrpSpPr>
            <a:grpSpLocks/>
          </xdr:cNvGrpSpPr>
        </xdr:nvGrpSpPr>
        <xdr:grpSpPr bwMode="auto">
          <a:xfrm>
            <a:off x="1859280" y="474980"/>
            <a:ext cx="9240520" cy="213360"/>
            <a:chOff x="244" y="61"/>
            <a:chExt cx="1199" cy="28"/>
          </a:xfrm>
        </xdr:grpSpPr>
        <xdr:grpSp>
          <xdr:nvGrpSpPr>
            <xdr:cNvPr id="22942" name="Group 1913"/>
            <xdr:cNvGrpSpPr>
              <a:grpSpLocks/>
            </xdr:cNvGrpSpPr>
          </xdr:nvGrpSpPr>
          <xdr:grpSpPr bwMode="auto">
            <a:xfrm>
              <a:off x="244" y="61"/>
              <a:ext cx="523" cy="28"/>
              <a:chOff x="245" y="53"/>
              <a:chExt cx="522" cy="26"/>
            </a:xfrm>
          </xdr:grpSpPr>
          <xdr:sp macro="[0]!Module7.Setup_1" textlink="">
            <xdr:nvSpPr>
              <xdr:cNvPr id="20645" name="Rectangle 1189"/>
              <xdr:cNvSpPr>
                <a:spLocks noChangeArrowheads="1"/>
              </xdr:cNvSpPr>
            </xdr:nvSpPr>
            <xdr:spPr bwMode="auto">
              <a:xfrm>
                <a:off x="245" y="53"/>
                <a:ext cx="105" cy="26"/>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Ages</a:t>
                </a:r>
              </a:p>
            </xdr:txBody>
          </xdr:sp>
          <xdr:sp macro="[0]!Module7.Setup_2" textlink="">
            <xdr:nvSpPr>
              <xdr:cNvPr id="20646" name="Rectangle 1190"/>
              <xdr:cNvSpPr>
                <a:spLocks noChangeArrowheads="1"/>
              </xdr:cNvSpPr>
            </xdr:nvSpPr>
            <xdr:spPr bwMode="auto">
              <a:xfrm>
                <a:off x="350" y="53"/>
                <a:ext cx="104" cy="26"/>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Portfolio</a:t>
                </a:r>
              </a:p>
            </xdr:txBody>
          </xdr:sp>
          <xdr:sp macro="[0]!Module7.Setup_3" textlink="">
            <xdr:nvSpPr>
              <xdr:cNvPr id="20647" name="Rectangle 1191"/>
              <xdr:cNvSpPr>
                <a:spLocks noChangeArrowheads="1"/>
              </xdr:cNvSpPr>
            </xdr:nvSpPr>
            <xdr:spPr bwMode="auto">
              <a:xfrm>
                <a:off x="454" y="53"/>
                <a:ext cx="106" cy="26"/>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Alloc&amp;Rates</a:t>
                </a:r>
              </a:p>
            </xdr:txBody>
          </xdr:sp>
          <xdr:sp macro="[0]!Module7.Setup_4" textlink="">
            <xdr:nvSpPr>
              <xdr:cNvPr id="20648" name="Rectangle 1192"/>
              <xdr:cNvSpPr>
                <a:spLocks noChangeArrowheads="1"/>
              </xdr:cNvSpPr>
            </xdr:nvSpPr>
            <xdr:spPr bwMode="auto">
              <a:xfrm>
                <a:off x="558" y="53"/>
                <a:ext cx="105" cy="26"/>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Income</a:t>
                </a:r>
              </a:p>
            </xdr:txBody>
          </xdr:sp>
          <xdr:sp macro="[0]!Module7.Setup_5" textlink="">
            <xdr:nvSpPr>
              <xdr:cNvPr id="20649" name="Rectangle 1193"/>
              <xdr:cNvSpPr>
                <a:spLocks noChangeArrowheads="1"/>
              </xdr:cNvSpPr>
            </xdr:nvSpPr>
            <xdr:spPr bwMode="auto">
              <a:xfrm>
                <a:off x="662" y="53"/>
                <a:ext cx="105" cy="26"/>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Expenses</a:t>
                </a:r>
              </a:p>
            </xdr:txBody>
          </xdr:sp>
        </xdr:grpSp>
        <xdr:sp macro="[0]!Module7.Setup_6" textlink="">
          <xdr:nvSpPr>
            <xdr:cNvPr id="22943" name="Rectangle 1200"/>
            <xdr:cNvSpPr>
              <a:spLocks noChangeArrowheads="1"/>
            </xdr:cNvSpPr>
          </xdr:nvSpPr>
          <xdr:spPr bwMode="auto">
            <a:xfrm>
              <a:off x="765" y="61"/>
              <a:ext cx="105" cy="28"/>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IRA Withdrl</a:t>
              </a:r>
            </a:p>
          </xdr:txBody>
        </xdr:sp>
        <xdr:sp macro="[0]!Module7.Setup_7" textlink="">
          <xdr:nvSpPr>
            <xdr:cNvPr id="22944" name="Rectangle 1201"/>
            <xdr:cNvSpPr>
              <a:spLocks noChangeArrowheads="1"/>
            </xdr:cNvSpPr>
          </xdr:nvSpPr>
          <xdr:spPr bwMode="auto">
            <a:xfrm>
              <a:off x="868" y="61"/>
              <a:ext cx="105" cy="28"/>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Spl Events</a:t>
              </a:r>
            </a:p>
          </xdr:txBody>
        </xdr:sp>
        <xdr:sp macro="[0]!Module7.Setup_8" textlink="">
          <xdr:nvSpPr>
            <xdr:cNvPr id="22945" name="Rectangle 1202"/>
            <xdr:cNvSpPr>
              <a:spLocks noChangeArrowheads="1"/>
            </xdr:cNvSpPr>
          </xdr:nvSpPr>
          <xdr:spPr bwMode="auto">
            <a:xfrm>
              <a:off x="970" y="61"/>
              <a:ext cx="105" cy="28"/>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Taxes</a:t>
              </a:r>
            </a:p>
          </xdr:txBody>
        </xdr:sp>
        <xdr:sp macro="[0]!Module7.Setup_9" textlink="">
          <xdr:nvSpPr>
            <xdr:cNvPr id="22946" name="Rectangle 1203"/>
            <xdr:cNvSpPr>
              <a:spLocks noChangeArrowheads="1"/>
            </xdr:cNvSpPr>
          </xdr:nvSpPr>
          <xdr:spPr bwMode="auto">
            <a:xfrm>
              <a:off x="1072" y="61"/>
              <a:ext cx="109" cy="28"/>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Alt Taxes</a:t>
              </a:r>
            </a:p>
          </xdr:txBody>
        </xdr:sp>
        <xdr:sp macro="[0]!Module7.Setup_10" textlink="">
          <xdr:nvSpPr>
            <xdr:cNvPr id="22947" name="Rectangle 1204"/>
            <xdr:cNvSpPr>
              <a:spLocks noChangeArrowheads="1"/>
            </xdr:cNvSpPr>
          </xdr:nvSpPr>
          <xdr:spPr bwMode="auto">
            <a:xfrm>
              <a:off x="1173" y="61"/>
              <a:ext cx="105" cy="28"/>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Roth Conv</a:t>
              </a:r>
            </a:p>
          </xdr:txBody>
        </xdr:sp>
        <xdr:sp macro="[0]!Setup_11" textlink="">
          <xdr:nvSpPr>
            <xdr:cNvPr id="22949" name="Rectangle 1959"/>
            <xdr:cNvSpPr>
              <a:spLocks noChangeArrowheads="1"/>
            </xdr:cNvSpPr>
          </xdr:nvSpPr>
          <xdr:spPr bwMode="auto">
            <a:xfrm>
              <a:off x="1278" y="61"/>
              <a:ext cx="84" cy="28"/>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Tax Brac</a:t>
              </a:r>
            </a:p>
          </xdr:txBody>
        </xdr:sp>
        <xdr:sp macro="[0]!Go_Storage" textlink="">
          <xdr:nvSpPr>
            <xdr:cNvPr id="22950" name="Rectangle 1959"/>
            <xdr:cNvSpPr>
              <a:spLocks noChangeArrowheads="1"/>
            </xdr:cNvSpPr>
          </xdr:nvSpPr>
          <xdr:spPr bwMode="auto">
            <a:xfrm>
              <a:off x="1359" y="61"/>
              <a:ext cx="84" cy="28"/>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Storage</a:t>
              </a:r>
            </a:p>
          </xdr:txBody>
        </xdr:sp>
      </xdr:grpSp>
    </xdr:grpSp>
    <xdr:clientData/>
  </xdr:twoCellAnchor>
  <xdr:twoCellAnchor>
    <xdr:from>
      <xdr:col>30</xdr:col>
      <xdr:colOff>38100</xdr:colOff>
      <xdr:row>50</xdr:row>
      <xdr:rowOff>22860</xdr:rowOff>
    </xdr:from>
    <xdr:to>
      <xdr:col>31</xdr:col>
      <xdr:colOff>38100</xdr:colOff>
      <xdr:row>50</xdr:row>
      <xdr:rowOff>205740</xdr:rowOff>
    </xdr:to>
    <xdr:grpSp>
      <xdr:nvGrpSpPr>
        <xdr:cNvPr id="22951" name="Group 2387"/>
        <xdr:cNvGrpSpPr>
          <a:grpSpLocks/>
        </xdr:cNvGrpSpPr>
      </xdr:nvGrpSpPr>
      <xdr:grpSpPr bwMode="auto">
        <a:xfrm>
          <a:off x="25549860" y="11046460"/>
          <a:ext cx="812800" cy="182880"/>
          <a:chOff x="3277" y="1437"/>
          <a:chExt cx="117" cy="24"/>
        </a:xfrm>
      </xdr:grpSpPr>
      <xdr:sp macro="[0]!Res_SS_Hide" textlink="">
        <xdr:nvSpPr>
          <xdr:cNvPr id="3623" name="Rectangle 551"/>
          <xdr:cNvSpPr>
            <a:spLocks noChangeArrowheads="1"/>
          </xdr:cNvSpPr>
        </xdr:nvSpPr>
        <xdr:spPr bwMode="auto">
          <a:xfrm>
            <a:off x="20474940" y="11041368"/>
            <a:ext cx="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Res_SS_Show" textlink="">
        <xdr:nvSpPr>
          <xdr:cNvPr id="3624" name="Rectangle 552"/>
          <xdr:cNvSpPr>
            <a:spLocks noChangeArrowheads="1"/>
          </xdr:cNvSpPr>
        </xdr:nvSpPr>
        <xdr:spPr bwMode="auto">
          <a:xfrm>
            <a:off x="20474940" y="11041368"/>
            <a:ext cx="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28</xdr:col>
      <xdr:colOff>670560</xdr:colOff>
      <xdr:row>52</xdr:row>
      <xdr:rowOff>22860</xdr:rowOff>
    </xdr:from>
    <xdr:to>
      <xdr:col>29</xdr:col>
      <xdr:colOff>693420</xdr:colOff>
      <xdr:row>53</xdr:row>
      <xdr:rowOff>15240</xdr:rowOff>
    </xdr:to>
    <xdr:grpSp>
      <xdr:nvGrpSpPr>
        <xdr:cNvPr id="22952" name="Group 2383"/>
        <xdr:cNvGrpSpPr>
          <a:grpSpLocks/>
        </xdr:cNvGrpSpPr>
      </xdr:nvGrpSpPr>
      <xdr:grpSpPr bwMode="auto">
        <a:xfrm>
          <a:off x="24373840" y="11503660"/>
          <a:ext cx="947420" cy="226060"/>
          <a:chOff x="881" y="8"/>
          <a:chExt cx="121" cy="24"/>
        </a:xfrm>
      </xdr:grpSpPr>
      <xdr:sp macro="[0]!HeaderHide" textlink="">
        <xdr:nvSpPr>
          <xdr:cNvPr id="19844" name="Rectangle 2436"/>
          <xdr:cNvSpPr>
            <a:spLocks noChangeArrowheads="1"/>
          </xdr:cNvSpPr>
        </xdr:nvSpPr>
        <xdr:spPr bwMode="auto">
          <a:xfrm>
            <a:off x="20474940" y="11509998"/>
            <a:ext cx="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HeaderShow" textlink="">
        <xdr:nvSpPr>
          <xdr:cNvPr id="19845" name="Rectangle 2437"/>
          <xdr:cNvSpPr>
            <a:spLocks noChangeArrowheads="1"/>
          </xdr:cNvSpPr>
        </xdr:nvSpPr>
        <xdr:spPr bwMode="auto">
          <a:xfrm>
            <a:off x="20474940" y="11509998"/>
            <a:ext cx="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0</xdr:col>
      <xdr:colOff>22860</xdr:colOff>
      <xdr:row>739</xdr:row>
      <xdr:rowOff>20955</xdr:rowOff>
    </xdr:from>
    <xdr:to>
      <xdr:col>1</xdr:col>
      <xdr:colOff>358140</xdr:colOff>
      <xdr:row>740</xdr:row>
      <xdr:rowOff>28575</xdr:rowOff>
    </xdr:to>
    <xdr:sp macro="[0]!gotop" textlink="">
      <xdr:nvSpPr>
        <xdr:cNvPr id="3" name="Rectangle 1138"/>
        <xdr:cNvSpPr>
          <a:spLocks noChangeArrowheads="1"/>
        </xdr:cNvSpPr>
      </xdr:nvSpPr>
      <xdr:spPr bwMode="auto">
        <a:xfrm>
          <a:off x="7620" y="46672500"/>
          <a:ext cx="62484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8</xdr:col>
      <xdr:colOff>16615</xdr:colOff>
      <xdr:row>195</xdr:row>
      <xdr:rowOff>190500</xdr:rowOff>
    </xdr:from>
    <xdr:to>
      <xdr:col>8</xdr:col>
      <xdr:colOff>562505</xdr:colOff>
      <xdr:row>197</xdr:row>
      <xdr:rowOff>200660</xdr:rowOff>
    </xdr:to>
    <xdr:grpSp>
      <xdr:nvGrpSpPr>
        <xdr:cNvPr id="8" name="Group 7"/>
        <xdr:cNvGrpSpPr/>
      </xdr:nvGrpSpPr>
      <xdr:grpSpPr>
        <a:xfrm>
          <a:off x="6783175" y="41582340"/>
          <a:ext cx="545890" cy="416560"/>
          <a:chOff x="6793335" y="39499540"/>
          <a:chExt cx="545890" cy="416560"/>
        </a:xfrm>
      </xdr:grpSpPr>
      <xdr:sp macro="[0]!AGI_Full" textlink="">
        <xdr:nvSpPr>
          <xdr:cNvPr id="22923" name="Rectangle 1942"/>
          <xdr:cNvSpPr>
            <a:spLocks noChangeArrowheads="1"/>
          </xdr:cNvSpPr>
        </xdr:nvSpPr>
        <xdr:spPr bwMode="auto">
          <a:xfrm>
            <a:off x="6797040" y="39499540"/>
            <a:ext cx="542185"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ctr" upright="1"/>
          <a:lstStyle/>
          <a:p>
            <a:pPr algn="ctr" rtl="0">
              <a:defRPr sz="1000"/>
            </a:pPr>
            <a:r>
              <a:rPr lang="en-US" sz="1000" b="1" i="0" u="none" strike="noStrike" baseline="0">
                <a:solidFill>
                  <a:srgbClr val="000000"/>
                </a:solidFill>
                <a:latin typeface="Arial"/>
                <a:cs typeface="Arial"/>
              </a:rPr>
              <a:t>go to</a:t>
            </a:r>
          </a:p>
        </xdr:txBody>
      </xdr:sp>
      <xdr:sp macro="[0]!Module7.Full_MAGI" textlink="">
        <xdr:nvSpPr>
          <xdr:cNvPr id="23016" name="Rectangle 1942"/>
          <xdr:cNvSpPr>
            <a:spLocks noChangeArrowheads="1"/>
          </xdr:cNvSpPr>
        </xdr:nvSpPr>
        <xdr:spPr bwMode="auto">
          <a:xfrm>
            <a:off x="6793335" y="39733220"/>
            <a:ext cx="542185"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ctr" upright="1"/>
          <a:lstStyle/>
          <a:p>
            <a:pPr algn="ctr" rtl="0">
              <a:defRPr sz="1000"/>
            </a:pPr>
            <a:r>
              <a:rPr lang="en-US" sz="1000" b="1" i="0" u="none" strike="noStrike" baseline="0">
                <a:solidFill>
                  <a:srgbClr val="000000"/>
                </a:solidFill>
                <a:latin typeface="Arial"/>
                <a:cs typeface="Arial"/>
              </a:rPr>
              <a:t>go to</a:t>
            </a:r>
          </a:p>
        </xdr:txBody>
      </xdr:sp>
    </xdr:grpSp>
    <xdr:clientData/>
  </xdr:twoCellAnchor>
  <xdr:twoCellAnchor>
    <xdr:from>
      <xdr:col>26</xdr:col>
      <xdr:colOff>30480</xdr:colOff>
      <xdr:row>2</xdr:row>
      <xdr:rowOff>50800</xdr:rowOff>
    </xdr:from>
    <xdr:to>
      <xdr:col>26</xdr:col>
      <xdr:colOff>762000</xdr:colOff>
      <xdr:row>3</xdr:row>
      <xdr:rowOff>203200</xdr:rowOff>
    </xdr:to>
    <xdr:grpSp>
      <xdr:nvGrpSpPr>
        <xdr:cNvPr id="5" name="Group 4"/>
        <xdr:cNvGrpSpPr/>
      </xdr:nvGrpSpPr>
      <xdr:grpSpPr>
        <a:xfrm>
          <a:off x="22108160" y="518160"/>
          <a:ext cx="731520" cy="365760"/>
          <a:chOff x="21529040" y="518160"/>
          <a:chExt cx="731520" cy="365760"/>
        </a:xfrm>
      </xdr:grpSpPr>
      <xdr:sp macro="[0]!All_Hide" textlink="">
        <xdr:nvSpPr>
          <xdr:cNvPr id="129" name="Rectangle 1958"/>
          <xdr:cNvSpPr>
            <a:spLocks noChangeArrowheads="1"/>
          </xdr:cNvSpPr>
        </xdr:nvSpPr>
        <xdr:spPr bwMode="auto">
          <a:xfrm>
            <a:off x="21529040" y="701040"/>
            <a:ext cx="73152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All_Unhide" textlink="">
        <xdr:nvSpPr>
          <xdr:cNvPr id="130" name="Rectangle 1958"/>
          <xdr:cNvSpPr>
            <a:spLocks noChangeArrowheads="1"/>
          </xdr:cNvSpPr>
        </xdr:nvSpPr>
        <xdr:spPr bwMode="auto">
          <a:xfrm>
            <a:off x="21529040" y="518160"/>
            <a:ext cx="73152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23</xdr:col>
      <xdr:colOff>525780</xdr:colOff>
      <xdr:row>343</xdr:row>
      <xdr:rowOff>190500</xdr:rowOff>
    </xdr:from>
    <xdr:to>
      <xdr:col>24</xdr:col>
      <xdr:colOff>701040</xdr:colOff>
      <xdr:row>344</xdr:row>
      <xdr:rowOff>175260</xdr:rowOff>
    </xdr:to>
    <xdr:grpSp>
      <xdr:nvGrpSpPr>
        <xdr:cNvPr id="132" name="Group 2282"/>
        <xdr:cNvGrpSpPr>
          <a:grpSpLocks/>
        </xdr:cNvGrpSpPr>
      </xdr:nvGrpSpPr>
      <xdr:grpSpPr bwMode="auto">
        <a:xfrm>
          <a:off x="20165060" y="71798180"/>
          <a:ext cx="988060" cy="177800"/>
          <a:chOff x="2542" y="29"/>
          <a:chExt cx="120" cy="24"/>
        </a:xfrm>
      </xdr:grpSpPr>
      <xdr:sp macro="[0]!Setup_Calc_Hide" textlink="">
        <xdr:nvSpPr>
          <xdr:cNvPr id="133" name="Rectangle 1794"/>
          <xdr:cNvSpPr>
            <a:spLocks noChangeArrowheads="1"/>
          </xdr:cNvSpPr>
        </xdr:nvSpPr>
        <xdr:spPr bwMode="auto">
          <a:xfrm>
            <a:off x="2602" y="29"/>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ctr" upright="1"/>
          <a:lstStyle/>
          <a:p>
            <a:pPr algn="ctr" rtl="0">
              <a:defRPr sz="1000"/>
            </a:pPr>
            <a:r>
              <a:rPr lang="en-US" sz="1000" b="1" i="0" u="none" strike="noStrike" baseline="0">
                <a:solidFill>
                  <a:srgbClr val="000000"/>
                </a:solidFill>
                <a:latin typeface="Arial"/>
                <a:cs typeface="Arial"/>
              </a:rPr>
              <a:t>hide</a:t>
            </a:r>
          </a:p>
        </xdr:txBody>
      </xdr:sp>
      <xdr:sp macro="[0]!Setup_Calc_Show" textlink="">
        <xdr:nvSpPr>
          <xdr:cNvPr id="134" name="Rectangle 1795"/>
          <xdr:cNvSpPr>
            <a:spLocks noChangeArrowheads="1"/>
          </xdr:cNvSpPr>
        </xdr:nvSpPr>
        <xdr:spPr bwMode="auto">
          <a:xfrm>
            <a:off x="2542" y="29"/>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17</xdr:col>
      <xdr:colOff>121920</xdr:colOff>
      <xdr:row>19</xdr:row>
      <xdr:rowOff>243840</xdr:rowOff>
    </xdr:from>
    <xdr:to>
      <xdr:col>19</xdr:col>
      <xdr:colOff>33718</xdr:colOff>
      <xdr:row>21</xdr:row>
      <xdr:rowOff>10160</xdr:rowOff>
    </xdr:to>
    <xdr:sp macro="" textlink="Shape_Special">
      <xdr:nvSpPr>
        <xdr:cNvPr id="135" name="AutoShape 1456"/>
        <xdr:cNvSpPr>
          <a:spLocks noChangeArrowheads="1" noTextEdit="1"/>
        </xdr:cNvSpPr>
      </xdr:nvSpPr>
      <xdr:spPr bwMode="auto">
        <a:xfrm>
          <a:off x="14833600" y="4673600"/>
          <a:ext cx="1374838" cy="243840"/>
        </a:xfrm>
        <a:prstGeom prst="homePlate">
          <a:avLst>
            <a:gd name="adj" fmla="val 68966"/>
          </a:avLst>
        </a:prstGeom>
        <a:solidFill>
          <a:srgbClr xmlns:mc="http://schemas.openxmlformats.org/markup-compatibility/2006" xmlns:a14="http://schemas.microsoft.com/office/drawing/2010/main" val="00FF00" mc:Ignorable="a14" a14:legacySpreadsheetColorIndex="1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7432" rIns="0" bIns="27432" anchor="ctr" upright="1"/>
        <a:lstStyle/>
        <a:p>
          <a:pPr algn="l" rtl="0">
            <a:defRPr sz="1000"/>
          </a:pPr>
          <a:fld id="{FD6B84F2-D96A-49CA-840D-5A4A03D43B11}" type="TxLink">
            <a:rPr lang="en-US" sz="1200" b="0" i="0" u="none" strike="noStrike" baseline="0">
              <a:solidFill>
                <a:srgbClr val="000000"/>
              </a:solidFill>
              <a:latin typeface="Arial"/>
              <a:cs typeface="Arial"/>
            </a:rPr>
            <a:pPr algn="l" rtl="0">
              <a:defRPr sz="1000"/>
            </a:pPr>
            <a:t>Special Evt $300</a:t>
          </a:fld>
          <a:endParaRPr lang="en-US" sz="1100" b="0" i="0" u="none" strike="noStrike" baseline="0">
            <a:solidFill>
              <a:srgbClr val="000000"/>
            </a:solidFill>
            <a:latin typeface="Arial"/>
            <a:cs typeface="Arial"/>
          </a:endParaRPr>
        </a:p>
      </xdr:txBody>
    </xdr:sp>
    <xdr:clientData/>
  </xdr:twoCellAnchor>
  <xdr:twoCellAnchor>
    <xdr:from>
      <xdr:col>8</xdr:col>
      <xdr:colOff>30480</xdr:colOff>
      <xdr:row>207</xdr:row>
      <xdr:rowOff>10160</xdr:rowOff>
    </xdr:from>
    <xdr:to>
      <xdr:col>8</xdr:col>
      <xdr:colOff>579120</xdr:colOff>
      <xdr:row>207</xdr:row>
      <xdr:rowOff>211328</xdr:rowOff>
    </xdr:to>
    <xdr:sp macro="[0]!AGI_State" textlink="">
      <xdr:nvSpPr>
        <xdr:cNvPr id="137" name="Rectangle 1942"/>
        <xdr:cNvSpPr>
          <a:spLocks noChangeArrowheads="1"/>
        </xdr:cNvSpPr>
      </xdr:nvSpPr>
      <xdr:spPr bwMode="auto">
        <a:xfrm>
          <a:off x="6807200" y="41788080"/>
          <a:ext cx="548640" cy="201168"/>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anchorCtr="0" upright="1"/>
        <a:lstStyle/>
        <a:p>
          <a:pPr algn="ctr" rtl="0">
            <a:defRPr sz="1000"/>
          </a:pPr>
          <a:r>
            <a:rPr lang="en-US" sz="1000" b="1" i="0" u="none" strike="noStrike" baseline="0">
              <a:solidFill>
                <a:srgbClr val="000000"/>
              </a:solidFill>
              <a:latin typeface="Arial"/>
              <a:cs typeface="Arial"/>
            </a:rPr>
            <a:t>go to</a:t>
          </a:r>
        </a:p>
      </xdr:txBody>
    </xdr:sp>
    <xdr:clientData/>
  </xdr:twoCellAnchor>
  <xdr:twoCellAnchor>
    <xdr:from>
      <xdr:col>9</xdr:col>
      <xdr:colOff>0</xdr:colOff>
      <xdr:row>132</xdr:row>
      <xdr:rowOff>0</xdr:rowOff>
    </xdr:from>
    <xdr:to>
      <xdr:col>9</xdr:col>
      <xdr:colOff>548640</xdr:colOff>
      <xdr:row>132</xdr:row>
      <xdr:rowOff>201295</xdr:rowOff>
    </xdr:to>
    <xdr:sp macro="[0]!Module7.Adj_Expenses" textlink="">
      <xdr:nvSpPr>
        <xdr:cNvPr id="138" name="Rectangle 1610"/>
        <xdr:cNvSpPr>
          <a:spLocks noChangeArrowheads="1"/>
        </xdr:cNvSpPr>
      </xdr:nvSpPr>
      <xdr:spPr bwMode="auto">
        <a:xfrm>
          <a:off x="7670800" y="26863040"/>
          <a:ext cx="548640" cy="201295"/>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go to</a:t>
          </a:r>
        </a:p>
      </xdr:txBody>
    </xdr:sp>
    <xdr:clientData/>
  </xdr:twoCellAnchor>
  <xdr:twoCellAnchor>
    <xdr:from>
      <xdr:col>1</xdr:col>
      <xdr:colOff>182880</xdr:colOff>
      <xdr:row>136</xdr:row>
      <xdr:rowOff>0</xdr:rowOff>
    </xdr:from>
    <xdr:to>
      <xdr:col>2</xdr:col>
      <xdr:colOff>60960</xdr:colOff>
      <xdr:row>136</xdr:row>
      <xdr:rowOff>201295</xdr:rowOff>
    </xdr:to>
    <xdr:sp macro="[0]!Module7.IRMAA" textlink="">
      <xdr:nvSpPr>
        <xdr:cNvPr id="139" name="Rectangle 1610"/>
        <xdr:cNvSpPr>
          <a:spLocks noChangeArrowheads="1"/>
        </xdr:cNvSpPr>
      </xdr:nvSpPr>
      <xdr:spPr bwMode="auto">
        <a:xfrm>
          <a:off x="487680" y="29108400"/>
          <a:ext cx="822960" cy="201295"/>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go to details</a:t>
          </a:r>
        </a:p>
      </xdr:txBody>
    </xdr:sp>
    <xdr:clientData/>
  </xdr:twoCellAnchor>
  <xdr:twoCellAnchor>
    <xdr:from>
      <xdr:col>27</xdr:col>
      <xdr:colOff>0</xdr:colOff>
      <xdr:row>64</xdr:row>
      <xdr:rowOff>0</xdr:rowOff>
    </xdr:from>
    <xdr:to>
      <xdr:col>29</xdr:col>
      <xdr:colOff>203200</xdr:colOff>
      <xdr:row>68</xdr:row>
      <xdr:rowOff>71120</xdr:rowOff>
    </xdr:to>
    <xdr:graphicFrame macro="">
      <xdr:nvGraphicFramePr>
        <xdr:cNvPr id="144" name="Chart 10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26</xdr:col>
      <xdr:colOff>0</xdr:colOff>
      <xdr:row>169</xdr:row>
      <xdr:rowOff>0</xdr:rowOff>
    </xdr:from>
    <xdr:to>
      <xdr:col>37</xdr:col>
      <xdr:colOff>22860</xdr:colOff>
      <xdr:row>169</xdr:row>
      <xdr:rowOff>7620</xdr:rowOff>
    </xdr:to>
    <xdr:pic>
      <xdr:nvPicPr>
        <xdr:cNvPr id="145" name="Picture 144" descr="https://www.ssa.gov/templateimages/blank.gif"/>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40080" y="5120640"/>
          <a:ext cx="22860" cy="7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22</xdr:col>
      <xdr:colOff>167640</xdr:colOff>
      <xdr:row>65433</xdr:row>
      <xdr:rowOff>0</xdr:rowOff>
    </xdr:from>
    <xdr:to>
      <xdr:col>24</xdr:col>
      <xdr:colOff>114300</xdr:colOff>
      <xdr:row>65433</xdr:row>
      <xdr:rowOff>0</xdr:rowOff>
    </xdr:to>
    <xdr:grpSp>
      <xdr:nvGrpSpPr>
        <xdr:cNvPr id="18551" name="Group 28"/>
        <xdr:cNvGrpSpPr>
          <a:grpSpLocks/>
        </xdr:cNvGrpSpPr>
      </xdr:nvGrpSpPr>
      <xdr:grpSpPr bwMode="auto">
        <a:xfrm>
          <a:off x="11709400" y="54742080"/>
          <a:ext cx="1003300" cy="0"/>
          <a:chOff x="529" y="8364"/>
          <a:chExt cx="120" cy="24"/>
        </a:xfrm>
      </xdr:grpSpPr>
      <xdr:sp macro="[0]!Hide__Setup_Supporting" textlink="">
        <xdr:nvSpPr>
          <xdr:cNvPr id="18461" name="Rectangle 29"/>
          <xdr:cNvSpPr>
            <a:spLocks noChangeArrowheads="1"/>
          </xdr:cNvSpPr>
        </xdr:nvSpPr>
        <xdr:spPr bwMode="auto">
          <a:xfrm>
            <a:off x="101648075820" y="54201060"/>
            <a:ext cx="60" cy="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Show__Setup_Supporting" textlink="">
        <xdr:nvSpPr>
          <xdr:cNvPr id="18462" name="Rectangle 30"/>
          <xdr:cNvSpPr>
            <a:spLocks noChangeArrowheads="1"/>
          </xdr:cNvSpPr>
        </xdr:nvSpPr>
        <xdr:spPr bwMode="auto">
          <a:xfrm>
            <a:off x="97496227380" y="54201060"/>
            <a:ext cx="60" cy="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22</xdr:col>
      <xdr:colOff>167640</xdr:colOff>
      <xdr:row>65433</xdr:row>
      <xdr:rowOff>0</xdr:rowOff>
    </xdr:from>
    <xdr:to>
      <xdr:col>24</xdr:col>
      <xdr:colOff>114300</xdr:colOff>
      <xdr:row>65433</xdr:row>
      <xdr:rowOff>0</xdr:rowOff>
    </xdr:to>
    <xdr:grpSp>
      <xdr:nvGrpSpPr>
        <xdr:cNvPr id="18552" name="Group 31"/>
        <xdr:cNvGrpSpPr>
          <a:grpSpLocks/>
        </xdr:cNvGrpSpPr>
      </xdr:nvGrpSpPr>
      <xdr:grpSpPr bwMode="auto">
        <a:xfrm>
          <a:off x="11709400" y="54742080"/>
          <a:ext cx="1003300" cy="0"/>
          <a:chOff x="529" y="8364"/>
          <a:chExt cx="120" cy="24"/>
        </a:xfrm>
      </xdr:grpSpPr>
      <xdr:sp macro="[0]!Hide__Setup_Supporting" textlink="">
        <xdr:nvSpPr>
          <xdr:cNvPr id="18464" name="Rectangle 32"/>
          <xdr:cNvSpPr>
            <a:spLocks noChangeArrowheads="1"/>
          </xdr:cNvSpPr>
        </xdr:nvSpPr>
        <xdr:spPr bwMode="auto">
          <a:xfrm>
            <a:off x="101648075820" y="54201060"/>
            <a:ext cx="60" cy="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Show__Setup_Supporting" textlink="">
        <xdr:nvSpPr>
          <xdr:cNvPr id="18465" name="Rectangle 33"/>
          <xdr:cNvSpPr>
            <a:spLocks noChangeArrowheads="1"/>
          </xdr:cNvSpPr>
        </xdr:nvSpPr>
        <xdr:spPr bwMode="auto">
          <a:xfrm>
            <a:off x="97496227380" y="54201060"/>
            <a:ext cx="60" cy="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17</xdr:col>
      <xdr:colOff>15240</xdr:colOff>
      <xdr:row>1</xdr:row>
      <xdr:rowOff>15240</xdr:rowOff>
    </xdr:from>
    <xdr:to>
      <xdr:col>18</xdr:col>
      <xdr:colOff>373380</xdr:colOff>
      <xdr:row>2</xdr:row>
      <xdr:rowOff>15240</xdr:rowOff>
    </xdr:to>
    <xdr:grpSp>
      <xdr:nvGrpSpPr>
        <xdr:cNvPr id="18553" name="Group 116"/>
        <xdr:cNvGrpSpPr>
          <a:grpSpLocks/>
        </xdr:cNvGrpSpPr>
      </xdr:nvGrpSpPr>
      <xdr:grpSpPr bwMode="auto">
        <a:xfrm>
          <a:off x="8763000" y="248920"/>
          <a:ext cx="916940" cy="203200"/>
          <a:chOff x="1120" y="31"/>
          <a:chExt cx="121" cy="24"/>
        </a:xfrm>
      </xdr:grpSpPr>
      <xdr:sp macro="[0]!Summary_Hide" textlink="">
        <xdr:nvSpPr>
          <xdr:cNvPr id="18468" name="Rectangle 36"/>
          <xdr:cNvSpPr>
            <a:spLocks noChangeArrowheads="1"/>
          </xdr:cNvSpPr>
        </xdr:nvSpPr>
        <xdr:spPr bwMode="auto">
          <a:xfrm>
            <a:off x="1181" y="31"/>
            <a:ext cx="62"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Summary_Show" textlink="">
        <xdr:nvSpPr>
          <xdr:cNvPr id="18469" name="Rectangle 37"/>
          <xdr:cNvSpPr>
            <a:spLocks noChangeArrowheads="1"/>
          </xdr:cNvSpPr>
        </xdr:nvSpPr>
        <xdr:spPr bwMode="auto">
          <a:xfrm>
            <a:off x="1120" y="31"/>
            <a:ext cx="61"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20</xdr:col>
      <xdr:colOff>68580</xdr:colOff>
      <xdr:row>65479</xdr:row>
      <xdr:rowOff>0</xdr:rowOff>
    </xdr:from>
    <xdr:to>
      <xdr:col>22</xdr:col>
      <xdr:colOff>38100</xdr:colOff>
      <xdr:row>65479</xdr:row>
      <xdr:rowOff>0</xdr:rowOff>
    </xdr:to>
    <xdr:grpSp>
      <xdr:nvGrpSpPr>
        <xdr:cNvPr id="18554" name="Group 42"/>
        <xdr:cNvGrpSpPr>
          <a:grpSpLocks/>
        </xdr:cNvGrpSpPr>
      </xdr:nvGrpSpPr>
      <xdr:grpSpPr bwMode="auto">
        <a:xfrm>
          <a:off x="10492740" y="54742080"/>
          <a:ext cx="1087120" cy="0"/>
          <a:chOff x="529" y="8364"/>
          <a:chExt cx="120" cy="24"/>
        </a:xfrm>
      </xdr:grpSpPr>
      <xdr:sp macro="[0]!Hide__Setup_Supporting" textlink="">
        <xdr:nvSpPr>
          <xdr:cNvPr id="18475" name="Rectangle 43"/>
          <xdr:cNvSpPr>
            <a:spLocks noChangeArrowheads="1"/>
          </xdr:cNvSpPr>
        </xdr:nvSpPr>
        <xdr:spPr bwMode="auto">
          <a:xfrm>
            <a:off x="99806093220" y="54201060"/>
            <a:ext cx="60" cy="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Show__Setup_Supporting" textlink="">
        <xdr:nvSpPr>
          <xdr:cNvPr id="18476" name="Rectangle 44"/>
          <xdr:cNvSpPr>
            <a:spLocks noChangeArrowheads="1"/>
          </xdr:cNvSpPr>
        </xdr:nvSpPr>
        <xdr:spPr bwMode="auto">
          <a:xfrm>
            <a:off x="94927715880" y="54201060"/>
            <a:ext cx="60" cy="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21</xdr:col>
      <xdr:colOff>114300</xdr:colOff>
      <xdr:row>65479</xdr:row>
      <xdr:rowOff>0</xdr:rowOff>
    </xdr:from>
    <xdr:to>
      <xdr:col>23</xdr:col>
      <xdr:colOff>0</xdr:colOff>
      <xdr:row>65479</xdr:row>
      <xdr:rowOff>0</xdr:rowOff>
    </xdr:to>
    <xdr:grpSp>
      <xdr:nvGrpSpPr>
        <xdr:cNvPr id="18555" name="Group 45"/>
        <xdr:cNvGrpSpPr>
          <a:grpSpLocks/>
        </xdr:cNvGrpSpPr>
      </xdr:nvGrpSpPr>
      <xdr:grpSpPr bwMode="auto">
        <a:xfrm>
          <a:off x="11097260" y="54742080"/>
          <a:ext cx="1084580" cy="0"/>
          <a:chOff x="529" y="8364"/>
          <a:chExt cx="120" cy="24"/>
        </a:xfrm>
      </xdr:grpSpPr>
      <xdr:sp macro="[0]!Hide__Setup_Supporting" textlink="">
        <xdr:nvSpPr>
          <xdr:cNvPr id="18478" name="Rectangle 46"/>
          <xdr:cNvSpPr>
            <a:spLocks noChangeArrowheads="1"/>
          </xdr:cNvSpPr>
        </xdr:nvSpPr>
        <xdr:spPr bwMode="auto">
          <a:xfrm>
            <a:off x="105234748860" y="54201060"/>
            <a:ext cx="60" cy="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Show__Setup_Supporting" textlink="">
        <xdr:nvSpPr>
          <xdr:cNvPr id="18479" name="Rectangle 47"/>
          <xdr:cNvSpPr>
            <a:spLocks noChangeArrowheads="1"/>
          </xdr:cNvSpPr>
        </xdr:nvSpPr>
        <xdr:spPr bwMode="auto">
          <a:xfrm>
            <a:off x="100356371520" y="54201060"/>
            <a:ext cx="60" cy="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22</xdr:col>
      <xdr:colOff>167640</xdr:colOff>
      <xdr:row>65479</xdr:row>
      <xdr:rowOff>0</xdr:rowOff>
    </xdr:from>
    <xdr:to>
      <xdr:col>24</xdr:col>
      <xdr:colOff>114300</xdr:colOff>
      <xdr:row>65479</xdr:row>
      <xdr:rowOff>0</xdr:rowOff>
    </xdr:to>
    <xdr:grpSp>
      <xdr:nvGrpSpPr>
        <xdr:cNvPr id="18556" name="Group 48"/>
        <xdr:cNvGrpSpPr>
          <a:grpSpLocks/>
        </xdr:cNvGrpSpPr>
      </xdr:nvGrpSpPr>
      <xdr:grpSpPr bwMode="auto">
        <a:xfrm>
          <a:off x="11709400" y="54742080"/>
          <a:ext cx="1003300" cy="0"/>
          <a:chOff x="529" y="8364"/>
          <a:chExt cx="120" cy="24"/>
        </a:xfrm>
      </xdr:grpSpPr>
      <xdr:sp macro="[0]!Hide__Setup_Supporting" textlink="">
        <xdr:nvSpPr>
          <xdr:cNvPr id="18481" name="Rectangle 49"/>
          <xdr:cNvSpPr>
            <a:spLocks noChangeArrowheads="1"/>
          </xdr:cNvSpPr>
        </xdr:nvSpPr>
        <xdr:spPr bwMode="auto">
          <a:xfrm>
            <a:off x="101648075820" y="54201060"/>
            <a:ext cx="60" cy="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Show__Setup_Supporting" textlink="">
        <xdr:nvSpPr>
          <xdr:cNvPr id="18482" name="Rectangle 50"/>
          <xdr:cNvSpPr>
            <a:spLocks noChangeArrowheads="1"/>
          </xdr:cNvSpPr>
        </xdr:nvSpPr>
        <xdr:spPr bwMode="auto">
          <a:xfrm>
            <a:off x="97496227380" y="54201060"/>
            <a:ext cx="60" cy="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17</xdr:col>
      <xdr:colOff>22860</xdr:colOff>
      <xdr:row>0</xdr:row>
      <xdr:rowOff>22860</xdr:rowOff>
    </xdr:from>
    <xdr:to>
      <xdr:col>18</xdr:col>
      <xdr:colOff>381000</xdr:colOff>
      <xdr:row>1</xdr:row>
      <xdr:rowOff>15240</xdr:rowOff>
    </xdr:to>
    <xdr:grpSp>
      <xdr:nvGrpSpPr>
        <xdr:cNvPr id="18557" name="Group 107"/>
        <xdr:cNvGrpSpPr>
          <a:grpSpLocks/>
        </xdr:cNvGrpSpPr>
      </xdr:nvGrpSpPr>
      <xdr:grpSpPr bwMode="auto">
        <a:xfrm>
          <a:off x="8770620" y="22860"/>
          <a:ext cx="916940" cy="226060"/>
          <a:chOff x="881" y="8"/>
          <a:chExt cx="121" cy="24"/>
        </a:xfrm>
      </xdr:grpSpPr>
      <xdr:sp macro="[0]!HeaderHide" textlink="">
        <xdr:nvSpPr>
          <xdr:cNvPr id="19844" name="Rectangle 2436"/>
          <xdr:cNvSpPr>
            <a:spLocks noChangeArrowheads="1"/>
          </xdr:cNvSpPr>
        </xdr:nvSpPr>
        <xdr:spPr bwMode="auto">
          <a:xfrm>
            <a:off x="942" y="8"/>
            <a:ext cx="62"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HeaderShow" textlink="">
        <xdr:nvSpPr>
          <xdr:cNvPr id="19845" name="Rectangle 2437"/>
          <xdr:cNvSpPr>
            <a:spLocks noChangeArrowheads="1"/>
          </xdr:cNvSpPr>
        </xdr:nvSpPr>
        <xdr:spPr bwMode="auto">
          <a:xfrm>
            <a:off x="881" y="8"/>
            <a:ext cx="61"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589280</xdr:colOff>
      <xdr:row>148</xdr:row>
      <xdr:rowOff>60960</xdr:rowOff>
    </xdr:from>
    <xdr:to>
      <xdr:col>8</xdr:col>
      <xdr:colOff>822960</xdr:colOff>
      <xdr:row>156</xdr:row>
      <xdr:rowOff>40640</xdr:rowOff>
    </xdr:to>
    <xdr:graphicFrame macro="">
      <xdr:nvGraphicFramePr>
        <xdr:cNvPr id="61" name="Chart 8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144780</xdr:colOff>
      <xdr:row>95</xdr:row>
      <xdr:rowOff>162560</xdr:rowOff>
    </xdr:from>
    <xdr:to>
      <xdr:col>10</xdr:col>
      <xdr:colOff>876300</xdr:colOff>
      <xdr:row>104</xdr:row>
      <xdr:rowOff>142240</xdr:rowOff>
    </xdr:to>
    <xdr:graphicFrame macro="">
      <xdr:nvGraphicFramePr>
        <xdr:cNvPr id="3984"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426720</xdr:colOff>
      <xdr:row>21</xdr:row>
      <xdr:rowOff>0</xdr:rowOff>
    </xdr:from>
    <xdr:to>
      <xdr:col>12</xdr:col>
      <xdr:colOff>411480</xdr:colOff>
      <xdr:row>22</xdr:row>
      <xdr:rowOff>71120</xdr:rowOff>
    </xdr:to>
    <xdr:graphicFrame macro="">
      <xdr:nvGraphicFramePr>
        <xdr:cNvPr id="3987" name="Chart 2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3810</xdr:colOff>
      <xdr:row>154</xdr:row>
      <xdr:rowOff>24765</xdr:rowOff>
    </xdr:from>
    <xdr:to>
      <xdr:col>16</xdr:col>
      <xdr:colOff>735330</xdr:colOff>
      <xdr:row>154</xdr:row>
      <xdr:rowOff>207645</xdr:rowOff>
    </xdr:to>
    <xdr:sp macro="[0]!Copy_Paste_Roth" textlink="">
      <xdr:nvSpPr>
        <xdr:cNvPr id="3399" name="Rectangle 327"/>
        <xdr:cNvSpPr>
          <a:spLocks noChangeArrowheads="1"/>
        </xdr:cNvSpPr>
      </xdr:nvSpPr>
      <xdr:spPr bwMode="auto">
        <a:xfrm>
          <a:off x="9166860" y="46489620"/>
          <a:ext cx="73152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copy-paste</a:t>
          </a:r>
        </a:p>
      </xdr:txBody>
    </xdr:sp>
    <xdr:clientData/>
  </xdr:twoCellAnchor>
  <xdr:twoCellAnchor>
    <xdr:from>
      <xdr:col>255</xdr:col>
      <xdr:colOff>0</xdr:colOff>
      <xdr:row>6</xdr:row>
      <xdr:rowOff>121920</xdr:rowOff>
    </xdr:from>
    <xdr:to>
      <xdr:col>255</xdr:col>
      <xdr:colOff>0</xdr:colOff>
      <xdr:row>7</xdr:row>
      <xdr:rowOff>76200</xdr:rowOff>
    </xdr:to>
    <xdr:grpSp>
      <xdr:nvGrpSpPr>
        <xdr:cNvPr id="3990" name="Group 582"/>
        <xdr:cNvGrpSpPr>
          <a:grpSpLocks/>
        </xdr:cNvGrpSpPr>
      </xdr:nvGrpSpPr>
      <xdr:grpSpPr bwMode="auto">
        <a:xfrm>
          <a:off x="46418500" y="1404620"/>
          <a:ext cx="0" cy="157480"/>
          <a:chOff x="5092" y="265"/>
          <a:chExt cx="0" cy="24"/>
        </a:xfrm>
      </xdr:grpSpPr>
      <xdr:sp macro="[0]!HeaderHide" textlink="">
        <xdr:nvSpPr>
          <xdr:cNvPr id="3408" name="Rectangle 336"/>
          <xdr:cNvSpPr>
            <a:spLocks noChangeArrowheads="1"/>
          </xdr:cNvSpPr>
        </xdr:nvSpPr>
        <xdr:spPr bwMode="auto">
          <a:xfrm>
            <a:off x="5092" y="265"/>
            <a:ext cx="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HeaderShow" textlink="">
        <xdr:nvSpPr>
          <xdr:cNvPr id="3409" name="Rectangle 337"/>
          <xdr:cNvSpPr>
            <a:spLocks noChangeArrowheads="1"/>
          </xdr:cNvSpPr>
        </xdr:nvSpPr>
        <xdr:spPr bwMode="auto">
          <a:xfrm>
            <a:off x="5092" y="265"/>
            <a:ext cx="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46</xdr:col>
      <xdr:colOff>0</xdr:colOff>
      <xdr:row>6</xdr:row>
      <xdr:rowOff>1905</xdr:rowOff>
    </xdr:from>
    <xdr:to>
      <xdr:col>46</xdr:col>
      <xdr:colOff>0</xdr:colOff>
      <xdr:row>6</xdr:row>
      <xdr:rowOff>78105</xdr:rowOff>
    </xdr:to>
    <xdr:sp macro="[0]!HeaderHide" textlink="">
      <xdr:nvSpPr>
        <xdr:cNvPr id="3411" name="Rectangle 339"/>
        <xdr:cNvSpPr>
          <a:spLocks noChangeArrowheads="1"/>
        </xdr:cNvSpPr>
      </xdr:nvSpPr>
      <xdr:spPr bwMode="auto">
        <a:xfrm>
          <a:off x="45087540" y="1821180"/>
          <a:ext cx="0" cy="7620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clientData/>
  </xdr:twoCellAnchor>
  <xdr:twoCellAnchor>
    <xdr:from>
      <xdr:col>46</xdr:col>
      <xdr:colOff>0</xdr:colOff>
      <xdr:row>6</xdr:row>
      <xdr:rowOff>1905</xdr:rowOff>
    </xdr:from>
    <xdr:to>
      <xdr:col>46</xdr:col>
      <xdr:colOff>0</xdr:colOff>
      <xdr:row>6</xdr:row>
      <xdr:rowOff>78105</xdr:rowOff>
    </xdr:to>
    <xdr:sp macro="[0]!HeaderShow" textlink="">
      <xdr:nvSpPr>
        <xdr:cNvPr id="3412" name="Rectangle 340"/>
        <xdr:cNvSpPr>
          <a:spLocks noChangeArrowheads="1"/>
        </xdr:cNvSpPr>
      </xdr:nvSpPr>
      <xdr:spPr bwMode="auto">
        <a:xfrm>
          <a:off x="45087540" y="1821180"/>
          <a:ext cx="0" cy="7620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clientData/>
  </xdr:twoCellAnchor>
  <xdr:twoCellAnchor>
    <xdr:from>
      <xdr:col>46</xdr:col>
      <xdr:colOff>0</xdr:colOff>
      <xdr:row>6</xdr:row>
      <xdr:rowOff>1905</xdr:rowOff>
    </xdr:from>
    <xdr:to>
      <xdr:col>46</xdr:col>
      <xdr:colOff>0</xdr:colOff>
      <xdr:row>6</xdr:row>
      <xdr:rowOff>1905</xdr:rowOff>
    </xdr:to>
    <xdr:sp macro="[0]!HeaderHide" textlink="">
      <xdr:nvSpPr>
        <xdr:cNvPr id="3414" name="Rectangle 342"/>
        <xdr:cNvSpPr>
          <a:spLocks noChangeArrowheads="1"/>
        </xdr:cNvSpPr>
      </xdr:nvSpPr>
      <xdr:spPr bwMode="auto">
        <a:xfrm>
          <a:off x="45087540" y="1569720"/>
          <a:ext cx="0" cy="20574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clientData/>
  </xdr:twoCellAnchor>
  <xdr:twoCellAnchor>
    <xdr:from>
      <xdr:col>46</xdr:col>
      <xdr:colOff>0</xdr:colOff>
      <xdr:row>6</xdr:row>
      <xdr:rowOff>1905</xdr:rowOff>
    </xdr:from>
    <xdr:to>
      <xdr:col>46</xdr:col>
      <xdr:colOff>0</xdr:colOff>
      <xdr:row>6</xdr:row>
      <xdr:rowOff>1905</xdr:rowOff>
    </xdr:to>
    <xdr:sp macro="[0]!HeaderShow" textlink="">
      <xdr:nvSpPr>
        <xdr:cNvPr id="3415" name="Rectangle 343"/>
        <xdr:cNvSpPr>
          <a:spLocks noChangeArrowheads="1"/>
        </xdr:cNvSpPr>
      </xdr:nvSpPr>
      <xdr:spPr bwMode="auto">
        <a:xfrm>
          <a:off x="45087540" y="1569720"/>
          <a:ext cx="0" cy="20574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clientData/>
  </xdr:twoCellAnchor>
  <xdr:twoCellAnchor>
    <xdr:from>
      <xdr:col>1</xdr:col>
      <xdr:colOff>1005840</xdr:colOff>
      <xdr:row>4</xdr:row>
      <xdr:rowOff>22860</xdr:rowOff>
    </xdr:from>
    <xdr:to>
      <xdr:col>7</xdr:col>
      <xdr:colOff>800100</xdr:colOff>
      <xdr:row>4</xdr:row>
      <xdr:rowOff>224028</xdr:rowOff>
    </xdr:to>
    <xdr:grpSp>
      <xdr:nvGrpSpPr>
        <xdr:cNvPr id="3995" name="Group 865"/>
        <xdr:cNvGrpSpPr>
          <a:grpSpLocks/>
        </xdr:cNvGrpSpPr>
      </xdr:nvGrpSpPr>
      <xdr:grpSpPr bwMode="auto">
        <a:xfrm>
          <a:off x="1310640" y="866140"/>
          <a:ext cx="6682740" cy="201168"/>
          <a:chOff x="172" y="111"/>
          <a:chExt cx="876" cy="24"/>
        </a:xfrm>
      </xdr:grpSpPr>
      <xdr:sp macro="[0]!Results_3" textlink="">
        <xdr:nvSpPr>
          <xdr:cNvPr id="3703" name="Rectangle 379"/>
          <xdr:cNvSpPr>
            <a:spLocks noChangeArrowheads="1"/>
          </xdr:cNvSpPr>
        </xdr:nvSpPr>
        <xdr:spPr bwMode="auto">
          <a:xfrm>
            <a:off x="291" y="111"/>
            <a:ext cx="12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Portfolio Acct</a:t>
            </a:r>
          </a:p>
        </xdr:txBody>
      </xdr:sp>
      <xdr:sp macro="[0]!Results_7" textlink="">
        <xdr:nvSpPr>
          <xdr:cNvPr id="3704" name="Rectangle 380"/>
          <xdr:cNvSpPr>
            <a:spLocks noChangeArrowheads="1"/>
          </xdr:cNvSpPr>
        </xdr:nvSpPr>
        <xdr:spPr bwMode="auto">
          <a:xfrm>
            <a:off x="529" y="111"/>
            <a:ext cx="127"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Social Sec</a:t>
            </a:r>
          </a:p>
        </xdr:txBody>
      </xdr:sp>
      <xdr:sp macro="[0]!Results_5" textlink="">
        <xdr:nvSpPr>
          <xdr:cNvPr id="3705" name="Rectangle 381"/>
          <xdr:cNvSpPr>
            <a:spLocks noChangeArrowheads="1"/>
          </xdr:cNvSpPr>
        </xdr:nvSpPr>
        <xdr:spPr bwMode="auto">
          <a:xfrm>
            <a:off x="410" y="111"/>
            <a:ext cx="12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Taxes</a:t>
            </a:r>
          </a:p>
        </xdr:txBody>
      </xdr:sp>
      <xdr:sp macro="[0]!Results_6" textlink="">
        <xdr:nvSpPr>
          <xdr:cNvPr id="3706" name="Rectangle 382"/>
          <xdr:cNvSpPr>
            <a:spLocks noChangeArrowheads="1"/>
          </xdr:cNvSpPr>
        </xdr:nvSpPr>
        <xdr:spPr bwMode="auto">
          <a:xfrm>
            <a:off x="656" y="111"/>
            <a:ext cx="131"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Roth Conv</a:t>
            </a:r>
          </a:p>
        </xdr:txBody>
      </xdr:sp>
      <xdr:sp macro="[0]!Results_4" textlink="">
        <xdr:nvSpPr>
          <xdr:cNvPr id="3707" name="Rectangle 383"/>
          <xdr:cNvSpPr>
            <a:spLocks noChangeArrowheads="1"/>
          </xdr:cNvSpPr>
        </xdr:nvSpPr>
        <xdr:spPr bwMode="auto">
          <a:xfrm>
            <a:off x="917" y="111"/>
            <a:ext cx="131"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Comparison</a:t>
            </a:r>
          </a:p>
        </xdr:txBody>
      </xdr:sp>
      <xdr:sp macro="[0]!Results_2" textlink="">
        <xdr:nvSpPr>
          <xdr:cNvPr id="3708" name="Rectangle 384"/>
          <xdr:cNvSpPr>
            <a:spLocks noChangeArrowheads="1"/>
          </xdr:cNvSpPr>
        </xdr:nvSpPr>
        <xdr:spPr bwMode="auto">
          <a:xfrm>
            <a:off x="787" y="111"/>
            <a:ext cx="131"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Base Case</a:t>
            </a:r>
          </a:p>
        </xdr:txBody>
      </xdr:sp>
      <xdr:sp macro="[0]!Results_1" textlink="">
        <xdr:nvSpPr>
          <xdr:cNvPr id="3709" name="Rectangle 385"/>
          <xdr:cNvSpPr>
            <a:spLocks noChangeArrowheads="1"/>
          </xdr:cNvSpPr>
        </xdr:nvSpPr>
        <xdr:spPr bwMode="auto">
          <a:xfrm>
            <a:off x="172" y="111"/>
            <a:ext cx="12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Case Results</a:t>
            </a:r>
          </a:p>
        </xdr:txBody>
      </xdr:sp>
    </xdr:grpSp>
    <xdr:clientData/>
  </xdr:twoCellAnchor>
  <xdr:twoCellAnchor>
    <xdr:from>
      <xdr:col>1</xdr:col>
      <xdr:colOff>24765</xdr:colOff>
      <xdr:row>411</xdr:row>
      <xdr:rowOff>163195</xdr:rowOff>
    </xdr:from>
    <xdr:to>
      <xdr:col>1</xdr:col>
      <xdr:colOff>935565</xdr:colOff>
      <xdr:row>412</xdr:row>
      <xdr:rowOff>155575</xdr:rowOff>
    </xdr:to>
    <xdr:sp macro="[0]!gotop" textlink="">
      <xdr:nvSpPr>
        <xdr:cNvPr id="3466" name="Rectangle 394"/>
        <xdr:cNvSpPr>
          <a:spLocks noChangeArrowheads="1"/>
        </xdr:cNvSpPr>
      </xdr:nvSpPr>
      <xdr:spPr bwMode="auto">
        <a:xfrm>
          <a:off x="329565" y="88992075"/>
          <a:ext cx="910800" cy="18542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4</xdr:col>
      <xdr:colOff>180340</xdr:colOff>
      <xdr:row>21</xdr:row>
      <xdr:rowOff>0</xdr:rowOff>
    </xdr:from>
    <xdr:to>
      <xdr:col>8</xdr:col>
      <xdr:colOff>165100</xdr:colOff>
      <xdr:row>22</xdr:row>
      <xdr:rowOff>71120</xdr:rowOff>
    </xdr:to>
    <xdr:graphicFrame macro="">
      <xdr:nvGraphicFramePr>
        <xdr:cNvPr id="3997" name="Chart 39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22860</xdr:colOff>
      <xdr:row>147</xdr:row>
      <xdr:rowOff>38100</xdr:rowOff>
    </xdr:from>
    <xdr:to>
      <xdr:col>0</xdr:col>
      <xdr:colOff>297180</xdr:colOff>
      <xdr:row>148</xdr:row>
      <xdr:rowOff>1905</xdr:rowOff>
    </xdr:to>
    <xdr:sp macro="[0]!gotop" textlink="">
      <xdr:nvSpPr>
        <xdr:cNvPr id="3741" name="Rectangle 388"/>
        <xdr:cNvSpPr>
          <a:spLocks noChangeArrowheads="1"/>
        </xdr:cNvSpPr>
      </xdr:nvSpPr>
      <xdr:spPr bwMode="auto">
        <a:xfrm>
          <a:off x="22860" y="23919180"/>
          <a:ext cx="27432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ctr" upright="1"/>
        <a:lstStyle/>
        <a:p>
          <a:pPr algn="ctr" rtl="0">
            <a:defRPr sz="1000"/>
          </a:pPr>
          <a:r>
            <a:rPr lang="en-US" sz="1000" b="1" i="0" u="none" strike="noStrike" baseline="0">
              <a:solidFill>
                <a:srgbClr val="000000"/>
              </a:solidFill>
              <a:latin typeface="Arial"/>
              <a:cs typeface="Arial"/>
            </a:rPr>
            <a:t>top</a:t>
          </a:r>
        </a:p>
      </xdr:txBody>
    </xdr:sp>
    <xdr:clientData/>
  </xdr:twoCellAnchor>
  <xdr:twoCellAnchor>
    <xdr:from>
      <xdr:col>6</xdr:col>
      <xdr:colOff>0</xdr:colOff>
      <xdr:row>24</xdr:row>
      <xdr:rowOff>22860</xdr:rowOff>
    </xdr:from>
    <xdr:to>
      <xdr:col>6</xdr:col>
      <xdr:colOff>769620</xdr:colOff>
      <xdr:row>24</xdr:row>
      <xdr:rowOff>220980</xdr:rowOff>
    </xdr:to>
    <xdr:grpSp>
      <xdr:nvGrpSpPr>
        <xdr:cNvPr id="4002" name="Group 707"/>
        <xdr:cNvGrpSpPr>
          <a:grpSpLocks/>
        </xdr:cNvGrpSpPr>
      </xdr:nvGrpSpPr>
      <xdr:grpSpPr bwMode="auto">
        <a:xfrm>
          <a:off x="6217920" y="7134860"/>
          <a:ext cx="769620" cy="198120"/>
          <a:chOff x="808" y="1669"/>
          <a:chExt cx="101" cy="26"/>
        </a:xfrm>
      </xdr:grpSpPr>
      <xdr:sp macro="[0]!Port_Hide" textlink="">
        <xdr:nvSpPr>
          <xdr:cNvPr id="6" name="Rectangle 514"/>
          <xdr:cNvSpPr>
            <a:spLocks noChangeArrowheads="1"/>
          </xdr:cNvSpPr>
        </xdr:nvSpPr>
        <xdr:spPr bwMode="auto">
          <a:xfrm>
            <a:off x="859" y="1669"/>
            <a:ext cx="50" cy="26"/>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Port_Show" textlink="">
        <xdr:nvSpPr>
          <xdr:cNvPr id="7" name="Rectangle 515"/>
          <xdr:cNvSpPr>
            <a:spLocks noChangeArrowheads="1"/>
          </xdr:cNvSpPr>
        </xdr:nvSpPr>
        <xdr:spPr bwMode="auto">
          <a:xfrm>
            <a:off x="808" y="1669"/>
            <a:ext cx="51" cy="26"/>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0</xdr:col>
      <xdr:colOff>302260</xdr:colOff>
      <xdr:row>200</xdr:row>
      <xdr:rowOff>231140</xdr:rowOff>
    </xdr:from>
    <xdr:to>
      <xdr:col>3</xdr:col>
      <xdr:colOff>906780</xdr:colOff>
      <xdr:row>202</xdr:row>
      <xdr:rowOff>2049780</xdr:rowOff>
    </xdr:to>
    <xdr:graphicFrame macro="">
      <xdr:nvGraphicFramePr>
        <xdr:cNvPr id="4004" name="Chart 6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160020</xdr:colOff>
      <xdr:row>201</xdr:row>
      <xdr:rowOff>20320</xdr:rowOff>
    </xdr:from>
    <xdr:to>
      <xdr:col>8</xdr:col>
      <xdr:colOff>144780</xdr:colOff>
      <xdr:row>202</xdr:row>
      <xdr:rowOff>2072640</xdr:rowOff>
    </xdr:to>
    <xdr:graphicFrame macro="">
      <xdr:nvGraphicFramePr>
        <xdr:cNvPr id="4005" name="Chart 39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93980</xdr:colOff>
      <xdr:row>200</xdr:row>
      <xdr:rowOff>226060</xdr:rowOff>
    </xdr:from>
    <xdr:to>
      <xdr:col>21</xdr:col>
      <xdr:colOff>78740</xdr:colOff>
      <xdr:row>202</xdr:row>
      <xdr:rowOff>2044700</xdr:rowOff>
    </xdr:to>
    <xdr:graphicFrame macro="">
      <xdr:nvGraphicFramePr>
        <xdr:cNvPr id="4006" name="Chart 39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261620</xdr:colOff>
      <xdr:row>336</xdr:row>
      <xdr:rowOff>200660</xdr:rowOff>
    </xdr:from>
    <xdr:to>
      <xdr:col>3</xdr:col>
      <xdr:colOff>942340</xdr:colOff>
      <xdr:row>338</xdr:row>
      <xdr:rowOff>68580</xdr:rowOff>
    </xdr:to>
    <xdr:graphicFrame macro="">
      <xdr:nvGraphicFramePr>
        <xdr:cNvPr id="4007" name="Chart 68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406400</xdr:colOff>
      <xdr:row>337</xdr:row>
      <xdr:rowOff>2540</xdr:rowOff>
    </xdr:from>
    <xdr:to>
      <xdr:col>8</xdr:col>
      <xdr:colOff>162560</xdr:colOff>
      <xdr:row>338</xdr:row>
      <xdr:rowOff>73660</xdr:rowOff>
    </xdr:to>
    <xdr:graphicFrame macro="">
      <xdr:nvGraphicFramePr>
        <xdr:cNvPr id="4008" name="Chart 68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703580</xdr:colOff>
      <xdr:row>337</xdr:row>
      <xdr:rowOff>10160</xdr:rowOff>
    </xdr:from>
    <xdr:to>
      <xdr:col>12</xdr:col>
      <xdr:colOff>459740</xdr:colOff>
      <xdr:row>338</xdr:row>
      <xdr:rowOff>81280</xdr:rowOff>
    </xdr:to>
    <xdr:graphicFrame macro="">
      <xdr:nvGraphicFramePr>
        <xdr:cNvPr id="4009" name="Chart 6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73660</xdr:colOff>
      <xdr:row>336</xdr:row>
      <xdr:rowOff>200660</xdr:rowOff>
    </xdr:from>
    <xdr:to>
      <xdr:col>16</xdr:col>
      <xdr:colOff>805180</xdr:colOff>
      <xdr:row>338</xdr:row>
      <xdr:rowOff>68580</xdr:rowOff>
    </xdr:to>
    <xdr:graphicFrame macro="">
      <xdr:nvGraphicFramePr>
        <xdr:cNvPr id="4010" name="Chart 6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0</xdr:colOff>
      <xdr:row>216</xdr:row>
      <xdr:rowOff>22860</xdr:rowOff>
    </xdr:from>
    <xdr:to>
      <xdr:col>6</xdr:col>
      <xdr:colOff>769620</xdr:colOff>
      <xdr:row>217</xdr:row>
      <xdr:rowOff>0</xdr:rowOff>
    </xdr:to>
    <xdr:grpSp>
      <xdr:nvGrpSpPr>
        <xdr:cNvPr id="4011" name="Group 587"/>
        <xdr:cNvGrpSpPr>
          <a:grpSpLocks/>
        </xdr:cNvGrpSpPr>
      </xdr:nvGrpSpPr>
      <xdr:grpSpPr bwMode="auto">
        <a:xfrm>
          <a:off x="6217920" y="41302940"/>
          <a:ext cx="769620" cy="210820"/>
          <a:chOff x="1" y="2305"/>
          <a:chExt cx="96" cy="24"/>
        </a:xfrm>
      </xdr:grpSpPr>
      <xdr:sp macro="[0]!Port_Hide" textlink="">
        <xdr:nvSpPr>
          <xdr:cNvPr id="4" name="Rectangle 514"/>
          <xdr:cNvSpPr>
            <a:spLocks noChangeArrowheads="1"/>
          </xdr:cNvSpPr>
        </xdr:nvSpPr>
        <xdr:spPr bwMode="auto">
          <a:xfrm>
            <a:off x="49" y="2305"/>
            <a:ext cx="48"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Port_Show" textlink="">
        <xdr:nvSpPr>
          <xdr:cNvPr id="5" name="Rectangle 515"/>
          <xdr:cNvSpPr>
            <a:spLocks noChangeArrowheads="1"/>
          </xdr:cNvSpPr>
        </xdr:nvSpPr>
        <xdr:spPr bwMode="auto">
          <a:xfrm>
            <a:off x="1" y="2305"/>
            <a:ext cx="48"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9</xdr:col>
      <xdr:colOff>22860</xdr:colOff>
      <xdr:row>4</xdr:row>
      <xdr:rowOff>22860</xdr:rowOff>
    </xdr:from>
    <xdr:to>
      <xdr:col>9</xdr:col>
      <xdr:colOff>937260</xdr:colOff>
      <xdr:row>4</xdr:row>
      <xdr:rowOff>205740</xdr:rowOff>
    </xdr:to>
    <xdr:grpSp>
      <xdr:nvGrpSpPr>
        <xdr:cNvPr id="4012" name="Group 698"/>
        <xdr:cNvGrpSpPr>
          <a:grpSpLocks/>
        </xdr:cNvGrpSpPr>
      </xdr:nvGrpSpPr>
      <xdr:grpSpPr bwMode="auto">
        <a:xfrm>
          <a:off x="9166860" y="866140"/>
          <a:ext cx="914400" cy="182880"/>
          <a:chOff x="881" y="8"/>
          <a:chExt cx="121" cy="24"/>
        </a:xfrm>
      </xdr:grpSpPr>
      <xdr:sp macro="[0]!HeaderHide" textlink="">
        <xdr:nvSpPr>
          <xdr:cNvPr id="19844" name="Rectangle 2436"/>
          <xdr:cNvSpPr>
            <a:spLocks noChangeArrowheads="1"/>
          </xdr:cNvSpPr>
        </xdr:nvSpPr>
        <xdr:spPr bwMode="auto">
          <a:xfrm>
            <a:off x="942" y="8"/>
            <a:ext cx="61"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HeaderShow" textlink="">
        <xdr:nvSpPr>
          <xdr:cNvPr id="19845" name="Rectangle 2437"/>
          <xdr:cNvSpPr>
            <a:spLocks noChangeArrowheads="1"/>
          </xdr:cNvSpPr>
        </xdr:nvSpPr>
        <xdr:spPr bwMode="auto">
          <a:xfrm>
            <a:off x="881" y="8"/>
            <a:ext cx="61"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0</xdr:col>
      <xdr:colOff>0</xdr:colOff>
      <xdr:row>97</xdr:row>
      <xdr:rowOff>22860</xdr:rowOff>
    </xdr:from>
    <xdr:to>
      <xdr:col>0</xdr:col>
      <xdr:colOff>274320</xdr:colOff>
      <xdr:row>97</xdr:row>
      <xdr:rowOff>205740</xdr:rowOff>
    </xdr:to>
    <xdr:sp macro="[0]!gotop" textlink="">
      <xdr:nvSpPr>
        <xdr:cNvPr id="3821" name="Rectangle 388"/>
        <xdr:cNvSpPr>
          <a:spLocks noChangeArrowheads="1"/>
        </xdr:cNvSpPr>
      </xdr:nvSpPr>
      <xdr:spPr bwMode="auto">
        <a:xfrm>
          <a:off x="0" y="14478000"/>
          <a:ext cx="27432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ctr" upright="1"/>
        <a:lstStyle/>
        <a:p>
          <a:pPr algn="ctr" rtl="0">
            <a:defRPr sz="1000"/>
          </a:pPr>
          <a:r>
            <a:rPr lang="en-US" sz="1000" b="1" i="0" u="none" strike="noStrike" baseline="0">
              <a:solidFill>
                <a:srgbClr val="000000"/>
              </a:solidFill>
              <a:latin typeface="Arial"/>
              <a:cs typeface="Arial"/>
            </a:rPr>
            <a:t>top</a:t>
          </a:r>
        </a:p>
      </xdr:txBody>
    </xdr:sp>
    <xdr:clientData/>
  </xdr:twoCellAnchor>
  <xdr:twoCellAnchor>
    <xdr:from>
      <xdr:col>0</xdr:col>
      <xdr:colOff>0</xdr:colOff>
      <xdr:row>349</xdr:row>
      <xdr:rowOff>22860</xdr:rowOff>
    </xdr:from>
    <xdr:to>
      <xdr:col>0</xdr:col>
      <xdr:colOff>274320</xdr:colOff>
      <xdr:row>349</xdr:row>
      <xdr:rowOff>205740</xdr:rowOff>
    </xdr:to>
    <xdr:sp macro="[0]!gotop" textlink="">
      <xdr:nvSpPr>
        <xdr:cNvPr id="3822" name="Rectangle 388"/>
        <xdr:cNvSpPr>
          <a:spLocks noChangeArrowheads="1"/>
        </xdr:cNvSpPr>
      </xdr:nvSpPr>
      <xdr:spPr bwMode="auto">
        <a:xfrm>
          <a:off x="0" y="48348900"/>
          <a:ext cx="27432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ctr" upright="1"/>
        <a:lstStyle/>
        <a:p>
          <a:pPr algn="ctr" rtl="0">
            <a:defRPr sz="1000"/>
          </a:pPr>
          <a:r>
            <a:rPr lang="en-US" sz="1000" b="1" i="0" u="none" strike="noStrike" baseline="0">
              <a:solidFill>
                <a:srgbClr val="000000"/>
              </a:solidFill>
              <a:latin typeface="Arial"/>
              <a:cs typeface="Arial"/>
            </a:rPr>
            <a:t>top</a:t>
          </a:r>
        </a:p>
      </xdr:txBody>
    </xdr:sp>
    <xdr:clientData/>
  </xdr:twoCellAnchor>
  <xdr:twoCellAnchor>
    <xdr:from>
      <xdr:col>0</xdr:col>
      <xdr:colOff>0</xdr:colOff>
      <xdr:row>188</xdr:row>
      <xdr:rowOff>28575</xdr:rowOff>
    </xdr:from>
    <xdr:to>
      <xdr:col>0</xdr:col>
      <xdr:colOff>274320</xdr:colOff>
      <xdr:row>188</xdr:row>
      <xdr:rowOff>211455</xdr:rowOff>
    </xdr:to>
    <xdr:sp macro="[0]!gotop" textlink="">
      <xdr:nvSpPr>
        <xdr:cNvPr id="3823" name="Rectangle 388"/>
        <xdr:cNvSpPr>
          <a:spLocks noChangeArrowheads="1"/>
        </xdr:cNvSpPr>
      </xdr:nvSpPr>
      <xdr:spPr bwMode="auto">
        <a:xfrm>
          <a:off x="0" y="30106620"/>
          <a:ext cx="27432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ctr" upright="1"/>
        <a:lstStyle/>
        <a:p>
          <a:pPr algn="ctr" rtl="0">
            <a:defRPr sz="1000"/>
          </a:pPr>
          <a:r>
            <a:rPr lang="en-US" sz="1000" b="1" i="0" u="none" strike="noStrike" baseline="0">
              <a:solidFill>
                <a:srgbClr val="000000"/>
              </a:solidFill>
              <a:latin typeface="Arial"/>
              <a:cs typeface="Arial"/>
            </a:rPr>
            <a:t>top</a:t>
          </a:r>
        </a:p>
      </xdr:txBody>
    </xdr:sp>
    <xdr:clientData/>
  </xdr:twoCellAnchor>
  <xdr:twoCellAnchor>
    <xdr:from>
      <xdr:col>0</xdr:col>
      <xdr:colOff>0</xdr:colOff>
      <xdr:row>328</xdr:row>
      <xdr:rowOff>22860</xdr:rowOff>
    </xdr:from>
    <xdr:to>
      <xdr:col>0</xdr:col>
      <xdr:colOff>274320</xdr:colOff>
      <xdr:row>329</xdr:row>
      <xdr:rowOff>5715</xdr:rowOff>
    </xdr:to>
    <xdr:sp macro="[0]!gotop" textlink="">
      <xdr:nvSpPr>
        <xdr:cNvPr id="3824" name="Rectangle 388"/>
        <xdr:cNvSpPr>
          <a:spLocks noChangeArrowheads="1"/>
        </xdr:cNvSpPr>
      </xdr:nvSpPr>
      <xdr:spPr bwMode="auto">
        <a:xfrm>
          <a:off x="0" y="41673780"/>
          <a:ext cx="27432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ctr" upright="1"/>
        <a:lstStyle/>
        <a:p>
          <a:pPr algn="ctr" rtl="0">
            <a:defRPr sz="1000"/>
          </a:pPr>
          <a:r>
            <a:rPr lang="en-US" sz="1000" b="1" i="0" u="none" strike="noStrike" baseline="0">
              <a:solidFill>
                <a:srgbClr val="000000"/>
              </a:solidFill>
              <a:latin typeface="Arial"/>
              <a:cs typeface="Arial"/>
            </a:rPr>
            <a:t>top</a:t>
          </a:r>
        </a:p>
      </xdr:txBody>
    </xdr:sp>
    <xdr:clientData/>
  </xdr:twoCellAnchor>
  <xdr:twoCellAnchor>
    <xdr:from>
      <xdr:col>0</xdr:col>
      <xdr:colOff>0</xdr:colOff>
      <xdr:row>217</xdr:row>
      <xdr:rowOff>22861</xdr:rowOff>
    </xdr:from>
    <xdr:to>
      <xdr:col>0</xdr:col>
      <xdr:colOff>274320</xdr:colOff>
      <xdr:row>218</xdr:row>
      <xdr:rowOff>1</xdr:rowOff>
    </xdr:to>
    <xdr:sp macro="[0]!gotop" textlink="">
      <xdr:nvSpPr>
        <xdr:cNvPr id="3825" name="Rectangle 388"/>
        <xdr:cNvSpPr>
          <a:spLocks noChangeArrowheads="1"/>
        </xdr:cNvSpPr>
      </xdr:nvSpPr>
      <xdr:spPr bwMode="auto">
        <a:xfrm>
          <a:off x="0" y="51625501"/>
          <a:ext cx="274320" cy="18034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ctr" upright="1"/>
        <a:lstStyle/>
        <a:p>
          <a:pPr algn="ctr" rtl="0">
            <a:defRPr sz="1000"/>
          </a:pPr>
          <a:r>
            <a:rPr lang="en-US" sz="1000" b="1" i="0" u="none" strike="noStrike" baseline="0">
              <a:solidFill>
                <a:srgbClr val="000000"/>
              </a:solidFill>
              <a:latin typeface="Arial"/>
              <a:cs typeface="Arial"/>
            </a:rPr>
            <a:t>top</a:t>
          </a:r>
        </a:p>
      </xdr:txBody>
    </xdr:sp>
    <xdr:clientData/>
  </xdr:twoCellAnchor>
  <xdr:twoCellAnchor>
    <xdr:from>
      <xdr:col>12</xdr:col>
      <xdr:colOff>716280</xdr:colOff>
      <xdr:row>200</xdr:row>
      <xdr:rowOff>213360</xdr:rowOff>
    </xdr:from>
    <xdr:to>
      <xdr:col>16</xdr:col>
      <xdr:colOff>701040</xdr:colOff>
      <xdr:row>202</xdr:row>
      <xdr:rowOff>2032000</xdr:rowOff>
    </xdr:to>
    <xdr:graphicFrame macro="">
      <xdr:nvGraphicFramePr>
        <xdr:cNvPr id="4018" name="Chart 8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0</xdr:colOff>
      <xdr:row>96</xdr:row>
      <xdr:rowOff>22860</xdr:rowOff>
    </xdr:from>
    <xdr:to>
      <xdr:col>6</xdr:col>
      <xdr:colOff>769620</xdr:colOff>
      <xdr:row>96</xdr:row>
      <xdr:rowOff>220980</xdr:rowOff>
    </xdr:to>
    <xdr:grpSp>
      <xdr:nvGrpSpPr>
        <xdr:cNvPr id="4019" name="Group 862"/>
        <xdr:cNvGrpSpPr>
          <a:grpSpLocks/>
        </xdr:cNvGrpSpPr>
      </xdr:nvGrpSpPr>
      <xdr:grpSpPr bwMode="auto">
        <a:xfrm>
          <a:off x="6217920" y="14450060"/>
          <a:ext cx="769620" cy="198120"/>
          <a:chOff x="815" y="1870"/>
          <a:chExt cx="101" cy="26"/>
        </a:xfrm>
      </xdr:grpSpPr>
      <xdr:sp macro="[0]!SS_Hide" textlink="">
        <xdr:nvSpPr>
          <xdr:cNvPr id="2" name="Rectangle 514"/>
          <xdr:cNvSpPr>
            <a:spLocks noChangeArrowheads="1"/>
          </xdr:cNvSpPr>
        </xdr:nvSpPr>
        <xdr:spPr bwMode="auto">
          <a:xfrm>
            <a:off x="866" y="1870"/>
            <a:ext cx="50" cy="26"/>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SS_Show" textlink="">
        <xdr:nvSpPr>
          <xdr:cNvPr id="3" name="Rectangle 515"/>
          <xdr:cNvSpPr>
            <a:spLocks noChangeArrowheads="1"/>
          </xdr:cNvSpPr>
        </xdr:nvSpPr>
        <xdr:spPr bwMode="auto">
          <a:xfrm>
            <a:off x="815" y="1870"/>
            <a:ext cx="51" cy="26"/>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6</xdr:col>
      <xdr:colOff>7620</xdr:colOff>
      <xdr:row>146</xdr:row>
      <xdr:rowOff>22860</xdr:rowOff>
    </xdr:from>
    <xdr:to>
      <xdr:col>6</xdr:col>
      <xdr:colOff>777240</xdr:colOff>
      <xdr:row>146</xdr:row>
      <xdr:rowOff>220980</xdr:rowOff>
    </xdr:to>
    <xdr:grpSp>
      <xdr:nvGrpSpPr>
        <xdr:cNvPr id="4020" name="Group 864"/>
        <xdr:cNvGrpSpPr>
          <a:grpSpLocks/>
        </xdr:cNvGrpSpPr>
      </xdr:nvGrpSpPr>
      <xdr:grpSpPr bwMode="auto">
        <a:xfrm>
          <a:off x="6225540" y="24406860"/>
          <a:ext cx="769620" cy="198120"/>
          <a:chOff x="823" y="4132"/>
          <a:chExt cx="101" cy="26"/>
        </a:xfrm>
      </xdr:grpSpPr>
      <xdr:sp macro="[0]!Roth_Hide" textlink="">
        <xdr:nvSpPr>
          <xdr:cNvPr id="3586" name="Rectangle 514"/>
          <xdr:cNvSpPr>
            <a:spLocks noChangeArrowheads="1"/>
          </xdr:cNvSpPr>
        </xdr:nvSpPr>
        <xdr:spPr bwMode="auto">
          <a:xfrm>
            <a:off x="874" y="4132"/>
            <a:ext cx="50" cy="26"/>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Roth_Show" textlink="">
        <xdr:nvSpPr>
          <xdr:cNvPr id="3587" name="Rectangle 515"/>
          <xdr:cNvSpPr>
            <a:spLocks noChangeArrowheads="1"/>
          </xdr:cNvSpPr>
        </xdr:nvSpPr>
        <xdr:spPr bwMode="auto">
          <a:xfrm>
            <a:off x="823" y="4132"/>
            <a:ext cx="51" cy="26"/>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8</xdr:col>
      <xdr:colOff>111760</xdr:colOff>
      <xdr:row>162</xdr:row>
      <xdr:rowOff>20320</xdr:rowOff>
    </xdr:from>
    <xdr:to>
      <xdr:col>12</xdr:col>
      <xdr:colOff>391160</xdr:colOff>
      <xdr:row>169</xdr:row>
      <xdr:rowOff>193040</xdr:rowOff>
    </xdr:to>
    <xdr:graphicFrame macro="">
      <xdr:nvGraphicFramePr>
        <xdr:cNvPr id="4041" name="Chart 40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294640</xdr:colOff>
      <xdr:row>116</xdr:row>
      <xdr:rowOff>162560</xdr:rowOff>
    </xdr:from>
    <xdr:to>
      <xdr:col>11</xdr:col>
      <xdr:colOff>487680</xdr:colOff>
      <xdr:row>124</xdr:row>
      <xdr:rowOff>101600</xdr:rowOff>
    </xdr:to>
    <xdr:graphicFrame macro="">
      <xdr:nvGraphicFramePr>
        <xdr:cNvPr id="4042" name="Chart 97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375920</xdr:colOff>
      <xdr:row>200</xdr:row>
      <xdr:rowOff>213360</xdr:rowOff>
    </xdr:from>
    <xdr:to>
      <xdr:col>12</xdr:col>
      <xdr:colOff>360680</xdr:colOff>
      <xdr:row>202</xdr:row>
      <xdr:rowOff>2032000</xdr:rowOff>
    </xdr:to>
    <xdr:graphicFrame macro="">
      <xdr:nvGraphicFramePr>
        <xdr:cNvPr id="64" name="Chart 2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0</xdr:colOff>
      <xdr:row>21</xdr:row>
      <xdr:rowOff>0</xdr:rowOff>
    </xdr:from>
    <xdr:to>
      <xdr:col>3</xdr:col>
      <xdr:colOff>909320</xdr:colOff>
      <xdr:row>22</xdr:row>
      <xdr:rowOff>71120</xdr:rowOff>
    </xdr:to>
    <xdr:graphicFrame macro="">
      <xdr:nvGraphicFramePr>
        <xdr:cNvPr id="55" name="Chart 2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xdr:col>
      <xdr:colOff>619760</xdr:colOff>
      <xdr:row>21</xdr:row>
      <xdr:rowOff>10160</xdr:rowOff>
    </xdr:from>
    <xdr:to>
      <xdr:col>16</xdr:col>
      <xdr:colOff>604520</xdr:colOff>
      <xdr:row>22</xdr:row>
      <xdr:rowOff>81280</xdr:rowOff>
    </xdr:to>
    <xdr:graphicFrame macro="">
      <xdr:nvGraphicFramePr>
        <xdr:cNvPr id="56" name="Chart 9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xdr:col>
      <xdr:colOff>822960</xdr:colOff>
      <xdr:row>20</xdr:row>
      <xdr:rowOff>193040</xdr:rowOff>
    </xdr:from>
    <xdr:to>
      <xdr:col>20</xdr:col>
      <xdr:colOff>807720</xdr:colOff>
      <xdr:row>22</xdr:row>
      <xdr:rowOff>40640</xdr:rowOff>
    </xdr:to>
    <xdr:graphicFrame macro="">
      <xdr:nvGraphicFramePr>
        <xdr:cNvPr id="57" name="Chart 10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21</xdr:col>
      <xdr:colOff>50800</xdr:colOff>
      <xdr:row>23</xdr:row>
      <xdr:rowOff>101600</xdr:rowOff>
    </xdr:from>
    <xdr:to>
      <xdr:col>24</xdr:col>
      <xdr:colOff>782320</xdr:colOff>
      <xdr:row>81</xdr:row>
      <xdr:rowOff>182880</xdr:rowOff>
    </xdr:to>
    <xdr:graphicFrame macro="">
      <xdr:nvGraphicFramePr>
        <xdr:cNvPr id="58" name="Chart 40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21</xdr:col>
      <xdr:colOff>0</xdr:colOff>
      <xdr:row>21</xdr:row>
      <xdr:rowOff>0</xdr:rowOff>
    </xdr:from>
    <xdr:to>
      <xdr:col>24</xdr:col>
      <xdr:colOff>731520</xdr:colOff>
      <xdr:row>22</xdr:row>
      <xdr:rowOff>71120</xdr:rowOff>
    </xdr:to>
    <xdr:graphicFrame macro="">
      <xdr:nvGraphicFramePr>
        <xdr:cNvPr id="60" name="Chart 240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25</xdr:col>
      <xdr:colOff>0</xdr:colOff>
      <xdr:row>21</xdr:row>
      <xdr:rowOff>0</xdr:rowOff>
    </xdr:from>
    <xdr:to>
      <xdr:col>28</xdr:col>
      <xdr:colOff>960120</xdr:colOff>
      <xdr:row>22</xdr:row>
      <xdr:rowOff>71120</xdr:rowOff>
    </xdr:to>
    <xdr:graphicFrame macro="">
      <xdr:nvGraphicFramePr>
        <xdr:cNvPr id="62"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29</xdr:col>
      <xdr:colOff>264160</xdr:colOff>
      <xdr:row>21</xdr:row>
      <xdr:rowOff>20320</xdr:rowOff>
    </xdr:from>
    <xdr:to>
      <xdr:col>33</xdr:col>
      <xdr:colOff>248920</xdr:colOff>
      <xdr:row>22</xdr:row>
      <xdr:rowOff>91440</xdr:rowOff>
    </xdr:to>
    <xdr:graphicFrame macro="">
      <xdr:nvGraphicFramePr>
        <xdr:cNvPr id="63" name="Chart 118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0</xdr:colOff>
      <xdr:row>92</xdr:row>
      <xdr:rowOff>0</xdr:rowOff>
    </xdr:from>
    <xdr:to>
      <xdr:col>3</xdr:col>
      <xdr:colOff>680720</xdr:colOff>
      <xdr:row>93</xdr:row>
      <xdr:rowOff>71120</xdr:rowOff>
    </xdr:to>
    <xdr:graphicFrame macro="">
      <xdr:nvGraphicFramePr>
        <xdr:cNvPr id="65" name="Chart 40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4</xdr:col>
      <xdr:colOff>0</xdr:colOff>
      <xdr:row>92</xdr:row>
      <xdr:rowOff>0</xdr:rowOff>
    </xdr:from>
    <xdr:to>
      <xdr:col>7</xdr:col>
      <xdr:colOff>731520</xdr:colOff>
      <xdr:row>93</xdr:row>
      <xdr:rowOff>71120</xdr:rowOff>
    </xdr:to>
    <xdr:graphicFrame macro="">
      <xdr:nvGraphicFramePr>
        <xdr:cNvPr id="66" name="Chart 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8</xdr:col>
      <xdr:colOff>0</xdr:colOff>
      <xdr:row>92</xdr:row>
      <xdr:rowOff>0</xdr:rowOff>
    </xdr:from>
    <xdr:to>
      <xdr:col>11</xdr:col>
      <xdr:colOff>731520</xdr:colOff>
      <xdr:row>93</xdr:row>
      <xdr:rowOff>71120</xdr:rowOff>
    </xdr:to>
    <xdr:graphicFrame macro="">
      <xdr:nvGraphicFramePr>
        <xdr:cNvPr id="67" name="Chart 17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12</xdr:col>
      <xdr:colOff>0</xdr:colOff>
      <xdr:row>92</xdr:row>
      <xdr:rowOff>0</xdr:rowOff>
    </xdr:from>
    <xdr:to>
      <xdr:col>15</xdr:col>
      <xdr:colOff>731520</xdr:colOff>
      <xdr:row>93</xdr:row>
      <xdr:rowOff>71120</xdr:rowOff>
    </xdr:to>
    <xdr:graphicFrame macro="">
      <xdr:nvGraphicFramePr>
        <xdr:cNvPr id="68" name="Chart 4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15</xdr:col>
      <xdr:colOff>71120</xdr:colOff>
      <xdr:row>95</xdr:row>
      <xdr:rowOff>182880</xdr:rowOff>
    </xdr:from>
    <xdr:to>
      <xdr:col>18</xdr:col>
      <xdr:colOff>802640</xdr:colOff>
      <xdr:row>104</xdr:row>
      <xdr:rowOff>162560</xdr:rowOff>
    </xdr:to>
    <xdr:graphicFrame macro="">
      <xdr:nvGraphicFramePr>
        <xdr:cNvPr id="69" name="Chart 118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11</xdr:col>
      <xdr:colOff>111760</xdr:colOff>
      <xdr:row>95</xdr:row>
      <xdr:rowOff>172720</xdr:rowOff>
    </xdr:from>
    <xdr:to>
      <xdr:col>14</xdr:col>
      <xdr:colOff>843280</xdr:colOff>
      <xdr:row>104</xdr:row>
      <xdr:rowOff>152400</xdr:rowOff>
    </xdr:to>
    <xdr:graphicFrame macro="">
      <xdr:nvGraphicFramePr>
        <xdr:cNvPr id="70"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22860</xdr:colOff>
      <xdr:row>260</xdr:row>
      <xdr:rowOff>182880</xdr:rowOff>
    </xdr:from>
    <xdr:to>
      <xdr:col>1</xdr:col>
      <xdr:colOff>388620</xdr:colOff>
      <xdr:row>261</xdr:row>
      <xdr:rowOff>175260</xdr:rowOff>
    </xdr:to>
    <xdr:sp macro="[0]!gotop" textlink="">
      <xdr:nvSpPr>
        <xdr:cNvPr id="19849" name="Rectangle 2278"/>
        <xdr:cNvSpPr>
          <a:spLocks noChangeArrowheads="1"/>
        </xdr:cNvSpPr>
      </xdr:nvSpPr>
      <xdr:spPr bwMode="auto">
        <a:xfrm>
          <a:off x="327660" y="47358300"/>
          <a:ext cx="36576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7432" rIns="36576" bIns="0" anchor="ctr" upright="1"/>
        <a:lstStyle/>
        <a:p>
          <a:pPr algn="ctr" rtl="0">
            <a:defRPr sz="1000"/>
          </a:pPr>
          <a:r>
            <a:rPr lang="en-US" sz="1000" b="1" i="0" u="none" strike="noStrike" baseline="0">
              <a:solidFill>
                <a:srgbClr val="000000"/>
              </a:solidFill>
              <a:latin typeface="Arial"/>
              <a:cs typeface="Arial"/>
            </a:rPr>
            <a:t>top </a:t>
          </a:r>
        </a:p>
      </xdr:txBody>
    </xdr:sp>
    <xdr:clientData/>
  </xdr:twoCellAnchor>
  <xdr:twoCellAnchor>
    <xdr:from>
      <xdr:col>1</xdr:col>
      <xdr:colOff>797560</xdr:colOff>
      <xdr:row>2</xdr:row>
      <xdr:rowOff>30480</xdr:rowOff>
    </xdr:from>
    <xdr:to>
      <xdr:col>4</xdr:col>
      <xdr:colOff>985520</xdr:colOff>
      <xdr:row>2</xdr:row>
      <xdr:rowOff>213360</xdr:rowOff>
    </xdr:to>
    <xdr:grpSp>
      <xdr:nvGrpSpPr>
        <xdr:cNvPr id="19901" name="Group 2384"/>
        <xdr:cNvGrpSpPr>
          <a:grpSpLocks/>
        </xdr:cNvGrpSpPr>
      </xdr:nvGrpSpPr>
      <xdr:grpSpPr bwMode="auto">
        <a:xfrm>
          <a:off x="1102360" y="497840"/>
          <a:ext cx="4566920" cy="182880"/>
          <a:chOff x="128" y="58"/>
          <a:chExt cx="598" cy="24"/>
        </a:xfrm>
      </xdr:grpSpPr>
      <xdr:sp macro="[0]!Full_1" textlink="">
        <xdr:nvSpPr>
          <xdr:cNvPr id="19687" name="Rectangle 2279"/>
          <xdr:cNvSpPr>
            <a:spLocks noChangeArrowheads="1"/>
          </xdr:cNvSpPr>
        </xdr:nvSpPr>
        <xdr:spPr bwMode="auto">
          <a:xfrm>
            <a:off x="128" y="58"/>
            <a:ext cx="12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Balances</a:t>
            </a:r>
          </a:p>
        </xdr:txBody>
      </xdr:sp>
      <xdr:sp macro="[0]!Full_2" textlink="">
        <xdr:nvSpPr>
          <xdr:cNvPr id="19688" name="Rectangle 2280"/>
          <xdr:cNvSpPr>
            <a:spLocks noChangeArrowheads="1"/>
          </xdr:cNvSpPr>
        </xdr:nvSpPr>
        <xdr:spPr bwMode="auto">
          <a:xfrm>
            <a:off x="248" y="58"/>
            <a:ext cx="12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Earnings</a:t>
            </a:r>
          </a:p>
        </xdr:txBody>
      </xdr:sp>
      <xdr:sp macro="[0]!Full_3" textlink="">
        <xdr:nvSpPr>
          <xdr:cNvPr id="19689" name="Rectangle 2281"/>
          <xdr:cNvSpPr>
            <a:spLocks noChangeArrowheads="1"/>
          </xdr:cNvSpPr>
        </xdr:nvSpPr>
        <xdr:spPr bwMode="auto">
          <a:xfrm>
            <a:off x="367" y="58"/>
            <a:ext cx="12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Acct Changes</a:t>
            </a:r>
          </a:p>
        </xdr:txBody>
      </xdr:sp>
      <xdr:sp macro="[0]!Full_4" textlink="">
        <xdr:nvSpPr>
          <xdr:cNvPr id="19690" name="Rectangle 2282"/>
          <xdr:cNvSpPr>
            <a:spLocks noChangeArrowheads="1"/>
          </xdr:cNvSpPr>
        </xdr:nvSpPr>
        <xdr:spPr bwMode="auto">
          <a:xfrm>
            <a:off x="487" y="58"/>
            <a:ext cx="12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Expenses</a:t>
            </a:r>
          </a:p>
        </xdr:txBody>
      </xdr:sp>
      <xdr:sp macro="[0]!Full_5" textlink="">
        <xdr:nvSpPr>
          <xdr:cNvPr id="19691" name="Rectangle 2283"/>
          <xdr:cNvSpPr>
            <a:spLocks noChangeArrowheads="1"/>
          </xdr:cNvSpPr>
        </xdr:nvSpPr>
        <xdr:spPr bwMode="auto">
          <a:xfrm>
            <a:off x="606" y="58"/>
            <a:ext cx="12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Summary</a:t>
            </a:r>
          </a:p>
        </xdr:txBody>
      </xdr:sp>
    </xdr:grpSp>
    <xdr:clientData/>
  </xdr:twoCellAnchor>
  <xdr:twoCellAnchor>
    <xdr:from>
      <xdr:col>8</xdr:col>
      <xdr:colOff>22860</xdr:colOff>
      <xdr:row>0</xdr:row>
      <xdr:rowOff>60960</xdr:rowOff>
    </xdr:from>
    <xdr:to>
      <xdr:col>8</xdr:col>
      <xdr:colOff>944880</xdr:colOff>
      <xdr:row>0</xdr:row>
      <xdr:rowOff>243840</xdr:rowOff>
    </xdr:to>
    <xdr:grpSp>
      <xdr:nvGrpSpPr>
        <xdr:cNvPr id="19902" name="Group 2471"/>
        <xdr:cNvGrpSpPr>
          <a:grpSpLocks/>
        </xdr:cNvGrpSpPr>
      </xdr:nvGrpSpPr>
      <xdr:grpSpPr bwMode="auto">
        <a:xfrm>
          <a:off x="8689340" y="60960"/>
          <a:ext cx="922020" cy="182880"/>
          <a:chOff x="1139" y="8"/>
          <a:chExt cx="121" cy="24"/>
        </a:xfrm>
      </xdr:grpSpPr>
      <xdr:sp macro="[0]!_xludf.Hide" textlink="">
        <xdr:nvSpPr>
          <xdr:cNvPr id="19861" name="Rectangle 2306"/>
          <xdr:cNvSpPr>
            <a:spLocks noChangeArrowheads="1"/>
          </xdr:cNvSpPr>
        </xdr:nvSpPr>
        <xdr:spPr bwMode="auto">
          <a:xfrm>
            <a:off x="1200" y="8"/>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Show" textlink="">
        <xdr:nvSpPr>
          <xdr:cNvPr id="19715" name="Rectangle 2307"/>
          <xdr:cNvSpPr>
            <a:spLocks noChangeArrowheads="1"/>
          </xdr:cNvSpPr>
        </xdr:nvSpPr>
        <xdr:spPr bwMode="auto">
          <a:xfrm>
            <a:off x="1139" y="8"/>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6</xdr:col>
      <xdr:colOff>60960</xdr:colOff>
      <xdr:row>275</xdr:row>
      <xdr:rowOff>22860</xdr:rowOff>
    </xdr:from>
    <xdr:to>
      <xdr:col>7</xdr:col>
      <xdr:colOff>15240</xdr:colOff>
      <xdr:row>276</xdr:row>
      <xdr:rowOff>7620</xdr:rowOff>
    </xdr:to>
    <xdr:grpSp>
      <xdr:nvGrpSpPr>
        <xdr:cNvPr id="19903" name="Group 2481"/>
        <xdr:cNvGrpSpPr>
          <a:grpSpLocks/>
        </xdr:cNvGrpSpPr>
      </xdr:nvGrpSpPr>
      <xdr:grpSpPr bwMode="auto">
        <a:xfrm>
          <a:off x="6776720" y="29832300"/>
          <a:ext cx="929640" cy="180340"/>
          <a:chOff x="888" y="6574"/>
          <a:chExt cx="122" cy="24"/>
        </a:xfrm>
      </xdr:grpSpPr>
      <xdr:sp macro="[0]!Hide_Supporting" textlink="">
        <xdr:nvSpPr>
          <xdr:cNvPr id="19776" name="Rectangle 2368"/>
          <xdr:cNvSpPr>
            <a:spLocks noChangeArrowheads="1"/>
          </xdr:cNvSpPr>
        </xdr:nvSpPr>
        <xdr:spPr bwMode="auto">
          <a:xfrm>
            <a:off x="950" y="6574"/>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Show_Supporting" textlink="">
        <xdr:nvSpPr>
          <xdr:cNvPr id="19777" name="Rectangle 2369"/>
          <xdr:cNvSpPr>
            <a:spLocks noChangeArrowheads="1"/>
          </xdr:cNvSpPr>
        </xdr:nvSpPr>
        <xdr:spPr bwMode="auto">
          <a:xfrm>
            <a:off x="888" y="6574"/>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6</xdr:col>
      <xdr:colOff>7620</xdr:colOff>
      <xdr:row>0</xdr:row>
      <xdr:rowOff>60960</xdr:rowOff>
    </xdr:from>
    <xdr:to>
      <xdr:col>6</xdr:col>
      <xdr:colOff>929640</xdr:colOff>
      <xdr:row>0</xdr:row>
      <xdr:rowOff>243840</xdr:rowOff>
    </xdr:to>
    <xdr:grpSp>
      <xdr:nvGrpSpPr>
        <xdr:cNvPr id="19904" name="Group 2469"/>
        <xdr:cNvGrpSpPr>
          <a:grpSpLocks/>
        </xdr:cNvGrpSpPr>
      </xdr:nvGrpSpPr>
      <xdr:grpSpPr bwMode="auto">
        <a:xfrm>
          <a:off x="6723380" y="60960"/>
          <a:ext cx="922020" cy="182880"/>
          <a:chOff x="881" y="8"/>
          <a:chExt cx="121" cy="24"/>
        </a:xfrm>
      </xdr:grpSpPr>
      <xdr:sp macro="[0]!HeaderHide" textlink="">
        <xdr:nvSpPr>
          <xdr:cNvPr id="19844" name="Rectangle 2436"/>
          <xdr:cNvSpPr>
            <a:spLocks noChangeArrowheads="1"/>
          </xdr:cNvSpPr>
        </xdr:nvSpPr>
        <xdr:spPr bwMode="auto">
          <a:xfrm>
            <a:off x="942" y="8"/>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HeaderShow" textlink="">
        <xdr:nvSpPr>
          <xdr:cNvPr id="19845" name="Rectangle 2437"/>
          <xdr:cNvSpPr>
            <a:spLocks noChangeArrowheads="1"/>
          </xdr:cNvSpPr>
        </xdr:nvSpPr>
        <xdr:spPr bwMode="auto">
          <a:xfrm>
            <a:off x="881" y="8"/>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1</xdr:col>
      <xdr:colOff>7620</xdr:colOff>
      <xdr:row>387</xdr:row>
      <xdr:rowOff>30480</xdr:rowOff>
    </xdr:from>
    <xdr:to>
      <xdr:col>1</xdr:col>
      <xdr:colOff>373380</xdr:colOff>
      <xdr:row>388</xdr:row>
      <xdr:rowOff>15240</xdr:rowOff>
    </xdr:to>
    <xdr:sp macro="[0]!gotop" textlink="">
      <xdr:nvSpPr>
        <xdr:cNvPr id="19890" name="Rectangle 2278"/>
        <xdr:cNvSpPr>
          <a:spLocks noChangeArrowheads="1"/>
        </xdr:cNvSpPr>
      </xdr:nvSpPr>
      <xdr:spPr bwMode="auto">
        <a:xfrm>
          <a:off x="312420" y="70134480"/>
          <a:ext cx="36576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7432" rIns="36576" bIns="0" anchor="ctr" upright="1"/>
        <a:lstStyle/>
        <a:p>
          <a:pPr algn="ctr" rtl="0">
            <a:defRPr sz="1000"/>
          </a:pPr>
          <a:r>
            <a:rPr lang="en-US" sz="1000" b="1" i="0" u="none" strike="noStrike" baseline="0">
              <a:solidFill>
                <a:srgbClr val="000000"/>
              </a:solidFill>
              <a:latin typeface="Arial"/>
              <a:cs typeface="Arial"/>
            </a:rPr>
            <a:t>top</a:t>
          </a:r>
        </a:p>
      </xdr:txBody>
    </xdr:sp>
    <xdr:clientData/>
  </xdr:twoCellAnchor>
  <xdr:twoCellAnchor>
    <xdr:from>
      <xdr:col>1</xdr:col>
      <xdr:colOff>22860</xdr:colOff>
      <xdr:row>515</xdr:row>
      <xdr:rowOff>182880</xdr:rowOff>
    </xdr:from>
    <xdr:to>
      <xdr:col>1</xdr:col>
      <xdr:colOff>388620</xdr:colOff>
      <xdr:row>516</xdr:row>
      <xdr:rowOff>175260</xdr:rowOff>
    </xdr:to>
    <xdr:sp macro="[0]!gotop" textlink="">
      <xdr:nvSpPr>
        <xdr:cNvPr id="19891" name="Rectangle 2278"/>
        <xdr:cNvSpPr>
          <a:spLocks noChangeArrowheads="1"/>
        </xdr:cNvSpPr>
      </xdr:nvSpPr>
      <xdr:spPr bwMode="auto">
        <a:xfrm>
          <a:off x="327660" y="93969840"/>
          <a:ext cx="365760" cy="19050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7432" rIns="36576" bIns="0" anchor="ctr" upright="1"/>
        <a:lstStyle/>
        <a:p>
          <a:pPr algn="ctr" rtl="0">
            <a:defRPr sz="1000"/>
          </a:pPr>
          <a:r>
            <a:rPr lang="en-US" sz="1000" b="1" i="0" u="none" strike="noStrike" baseline="0">
              <a:solidFill>
                <a:srgbClr val="000000"/>
              </a:solidFill>
              <a:latin typeface="Arial"/>
              <a:cs typeface="Arial"/>
            </a:rPr>
            <a:t>top</a:t>
          </a:r>
        </a:p>
      </xdr:txBody>
    </xdr:sp>
    <xdr:clientData/>
  </xdr:twoCellAnchor>
  <xdr:twoCellAnchor>
    <xdr:from>
      <xdr:col>1</xdr:col>
      <xdr:colOff>1483360</xdr:colOff>
      <xdr:row>3</xdr:row>
      <xdr:rowOff>20320</xdr:rowOff>
    </xdr:from>
    <xdr:to>
      <xdr:col>3</xdr:col>
      <xdr:colOff>416560</xdr:colOff>
      <xdr:row>3</xdr:row>
      <xdr:rowOff>203200</xdr:rowOff>
    </xdr:to>
    <xdr:grpSp>
      <xdr:nvGrpSpPr>
        <xdr:cNvPr id="3" name="Group 2"/>
        <xdr:cNvGrpSpPr/>
      </xdr:nvGrpSpPr>
      <xdr:grpSpPr>
        <a:xfrm>
          <a:off x="1788160" y="721360"/>
          <a:ext cx="2407920" cy="182880"/>
          <a:chOff x="304800" y="924560"/>
          <a:chExt cx="2397760" cy="182880"/>
        </a:xfrm>
      </xdr:grpSpPr>
      <xdr:sp macro="[0]!AGI_Full" textlink="">
        <xdr:nvSpPr>
          <xdr:cNvPr id="21" name="Rectangle 1942"/>
          <xdr:cNvSpPr>
            <a:spLocks noChangeArrowheads="1"/>
          </xdr:cNvSpPr>
        </xdr:nvSpPr>
        <xdr:spPr bwMode="auto">
          <a:xfrm>
            <a:off x="989225" y="924560"/>
            <a:ext cx="542185"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ctr" upright="1"/>
          <a:lstStyle/>
          <a:p>
            <a:pPr algn="ctr" rtl="0">
              <a:defRPr sz="1000"/>
            </a:pPr>
            <a:r>
              <a:rPr lang="en-US" sz="1000" b="1" i="0" u="none" strike="noStrike" baseline="0">
                <a:solidFill>
                  <a:srgbClr val="000000"/>
                </a:solidFill>
                <a:latin typeface="Arial"/>
                <a:cs typeface="Arial"/>
              </a:rPr>
              <a:t>AGI</a:t>
            </a:r>
          </a:p>
        </xdr:txBody>
      </xdr:sp>
      <xdr:sp macro="[0]!Module7.Full_MAGI" textlink="">
        <xdr:nvSpPr>
          <xdr:cNvPr id="22" name="Rectangle 1942"/>
          <xdr:cNvSpPr>
            <a:spLocks noChangeArrowheads="1"/>
          </xdr:cNvSpPr>
        </xdr:nvSpPr>
        <xdr:spPr bwMode="auto">
          <a:xfrm>
            <a:off x="1534160" y="924560"/>
            <a:ext cx="542185"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ctr" upright="1"/>
          <a:lstStyle/>
          <a:p>
            <a:pPr algn="ctr" rtl="0">
              <a:defRPr sz="1000"/>
            </a:pPr>
            <a:r>
              <a:rPr lang="en-US" sz="1000" b="1" i="0" u="none" strike="noStrike" baseline="0">
                <a:solidFill>
                  <a:srgbClr val="000000"/>
                </a:solidFill>
                <a:latin typeface="Arial"/>
                <a:cs typeface="Arial"/>
              </a:rPr>
              <a:t>MAGI</a:t>
            </a:r>
          </a:p>
        </xdr:txBody>
      </xdr:sp>
      <xdr:sp macro="[0]!Module7.Adj_Expenses" textlink="">
        <xdr:nvSpPr>
          <xdr:cNvPr id="23" name="Rectangle 1610"/>
          <xdr:cNvSpPr>
            <a:spLocks noChangeArrowheads="1"/>
          </xdr:cNvSpPr>
        </xdr:nvSpPr>
        <xdr:spPr bwMode="auto">
          <a:xfrm>
            <a:off x="304800" y="924560"/>
            <a:ext cx="68580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Expenses</a:t>
            </a:r>
          </a:p>
        </xdr:txBody>
      </xdr:sp>
      <xdr:sp macro="[0]!AGI_State" textlink="">
        <xdr:nvSpPr>
          <xdr:cNvPr id="24" name="Rectangle 1942"/>
          <xdr:cNvSpPr>
            <a:spLocks noChangeArrowheads="1"/>
          </xdr:cNvSpPr>
        </xdr:nvSpPr>
        <xdr:spPr bwMode="auto">
          <a:xfrm>
            <a:off x="2062480" y="924560"/>
            <a:ext cx="64008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anchorCtr="0" upright="1"/>
          <a:lstStyle/>
          <a:p>
            <a:pPr algn="ctr" rtl="0">
              <a:defRPr sz="1000"/>
            </a:pPr>
            <a:r>
              <a:rPr lang="en-US" sz="1000" b="1" i="0" u="none" strike="noStrike" baseline="0">
                <a:solidFill>
                  <a:srgbClr val="000000"/>
                </a:solidFill>
                <a:latin typeface="Arial"/>
                <a:cs typeface="Arial"/>
              </a:rPr>
              <a:t>State tax</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22860</xdr:colOff>
      <xdr:row>261</xdr:row>
      <xdr:rowOff>22860</xdr:rowOff>
    </xdr:from>
    <xdr:to>
      <xdr:col>1</xdr:col>
      <xdr:colOff>647700</xdr:colOff>
      <xdr:row>262</xdr:row>
      <xdr:rowOff>15240</xdr:rowOff>
    </xdr:to>
    <xdr:sp macro="[0]!gotop" textlink="">
      <xdr:nvSpPr>
        <xdr:cNvPr id="17675" name="Rectangle 2315"/>
        <xdr:cNvSpPr>
          <a:spLocks noChangeArrowheads="1"/>
        </xdr:cNvSpPr>
      </xdr:nvSpPr>
      <xdr:spPr bwMode="auto">
        <a:xfrm>
          <a:off x="327660" y="47487840"/>
          <a:ext cx="62484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1</xdr:col>
      <xdr:colOff>784860</xdr:colOff>
      <xdr:row>2</xdr:row>
      <xdr:rowOff>20320</xdr:rowOff>
    </xdr:from>
    <xdr:to>
      <xdr:col>4</xdr:col>
      <xdr:colOff>1036320</xdr:colOff>
      <xdr:row>2</xdr:row>
      <xdr:rowOff>213360</xdr:rowOff>
    </xdr:to>
    <xdr:grpSp>
      <xdr:nvGrpSpPr>
        <xdr:cNvPr id="17983" name="Group 2433"/>
        <xdr:cNvGrpSpPr>
          <a:grpSpLocks/>
        </xdr:cNvGrpSpPr>
      </xdr:nvGrpSpPr>
      <xdr:grpSpPr bwMode="auto">
        <a:xfrm>
          <a:off x="1089660" y="457200"/>
          <a:ext cx="4630420" cy="193040"/>
          <a:chOff x="128" y="58"/>
          <a:chExt cx="598" cy="24"/>
        </a:xfrm>
      </xdr:grpSpPr>
      <xdr:sp macro="[0]!Base_1" textlink="">
        <xdr:nvSpPr>
          <xdr:cNvPr id="17677" name="Rectangle 2317"/>
          <xdr:cNvSpPr>
            <a:spLocks noChangeArrowheads="1"/>
          </xdr:cNvSpPr>
        </xdr:nvSpPr>
        <xdr:spPr bwMode="auto">
          <a:xfrm>
            <a:off x="128" y="58"/>
            <a:ext cx="12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Balances</a:t>
            </a:r>
          </a:p>
        </xdr:txBody>
      </xdr:sp>
      <xdr:sp macro="[0]!Base_2" textlink="">
        <xdr:nvSpPr>
          <xdr:cNvPr id="17678" name="Rectangle 2318"/>
          <xdr:cNvSpPr>
            <a:spLocks noChangeArrowheads="1"/>
          </xdr:cNvSpPr>
        </xdr:nvSpPr>
        <xdr:spPr bwMode="auto">
          <a:xfrm>
            <a:off x="248" y="58"/>
            <a:ext cx="118"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Earnings</a:t>
            </a:r>
          </a:p>
        </xdr:txBody>
      </xdr:sp>
      <xdr:sp macro="[0]!Base_3" textlink="">
        <xdr:nvSpPr>
          <xdr:cNvPr id="17679" name="Rectangle 2319"/>
          <xdr:cNvSpPr>
            <a:spLocks noChangeArrowheads="1"/>
          </xdr:cNvSpPr>
        </xdr:nvSpPr>
        <xdr:spPr bwMode="auto">
          <a:xfrm>
            <a:off x="367" y="58"/>
            <a:ext cx="12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Acct Changes</a:t>
            </a:r>
          </a:p>
        </xdr:txBody>
      </xdr:sp>
      <xdr:sp macro="[0]!Base_4" textlink="">
        <xdr:nvSpPr>
          <xdr:cNvPr id="17680" name="Rectangle 2320"/>
          <xdr:cNvSpPr>
            <a:spLocks noChangeArrowheads="1"/>
          </xdr:cNvSpPr>
        </xdr:nvSpPr>
        <xdr:spPr bwMode="auto">
          <a:xfrm>
            <a:off x="487" y="58"/>
            <a:ext cx="118"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Expenses</a:t>
            </a:r>
          </a:p>
        </xdr:txBody>
      </xdr:sp>
      <xdr:sp macro="[0]!Base_5" textlink="">
        <xdr:nvSpPr>
          <xdr:cNvPr id="17681" name="Rectangle 2321"/>
          <xdr:cNvSpPr>
            <a:spLocks noChangeArrowheads="1"/>
          </xdr:cNvSpPr>
        </xdr:nvSpPr>
        <xdr:spPr bwMode="auto">
          <a:xfrm>
            <a:off x="606" y="58"/>
            <a:ext cx="12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Summary</a:t>
            </a:r>
          </a:p>
        </xdr:txBody>
      </xdr:sp>
    </xdr:grpSp>
    <xdr:clientData/>
  </xdr:twoCellAnchor>
  <xdr:twoCellAnchor>
    <xdr:from>
      <xdr:col>1</xdr:col>
      <xdr:colOff>22860</xdr:colOff>
      <xdr:row>516</xdr:row>
      <xdr:rowOff>7620</xdr:rowOff>
    </xdr:from>
    <xdr:to>
      <xdr:col>1</xdr:col>
      <xdr:colOff>647700</xdr:colOff>
      <xdr:row>516</xdr:row>
      <xdr:rowOff>190500</xdr:rowOff>
    </xdr:to>
    <xdr:sp macro="[0]!gotop" textlink="">
      <xdr:nvSpPr>
        <xdr:cNvPr id="17781" name="Rectangle 2421"/>
        <xdr:cNvSpPr>
          <a:spLocks noChangeArrowheads="1"/>
        </xdr:cNvSpPr>
      </xdr:nvSpPr>
      <xdr:spPr bwMode="auto">
        <a:xfrm>
          <a:off x="327660" y="74416920"/>
          <a:ext cx="62484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8</xdr:col>
      <xdr:colOff>22860</xdr:colOff>
      <xdr:row>0</xdr:row>
      <xdr:rowOff>60960</xdr:rowOff>
    </xdr:from>
    <xdr:to>
      <xdr:col>8</xdr:col>
      <xdr:colOff>944880</xdr:colOff>
      <xdr:row>0</xdr:row>
      <xdr:rowOff>243840</xdr:rowOff>
    </xdr:to>
    <xdr:grpSp>
      <xdr:nvGrpSpPr>
        <xdr:cNvPr id="17985" name="Group 2606"/>
        <xdr:cNvGrpSpPr>
          <a:grpSpLocks/>
        </xdr:cNvGrpSpPr>
      </xdr:nvGrpSpPr>
      <xdr:grpSpPr bwMode="auto">
        <a:xfrm>
          <a:off x="8689340" y="60960"/>
          <a:ext cx="922020" cy="167640"/>
          <a:chOff x="1139" y="8"/>
          <a:chExt cx="121" cy="24"/>
        </a:xfrm>
      </xdr:grpSpPr>
      <xdr:sp macro="[0]!_xludf.Hide" textlink="">
        <xdr:nvSpPr>
          <xdr:cNvPr id="17967" name="Rectangle 2306"/>
          <xdr:cNvSpPr>
            <a:spLocks noChangeArrowheads="1"/>
          </xdr:cNvSpPr>
        </xdr:nvSpPr>
        <xdr:spPr bwMode="auto">
          <a:xfrm>
            <a:off x="1200" y="8"/>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Show" textlink="">
        <xdr:nvSpPr>
          <xdr:cNvPr id="19715" name="Rectangle 2307"/>
          <xdr:cNvSpPr>
            <a:spLocks noChangeArrowheads="1"/>
          </xdr:cNvSpPr>
        </xdr:nvSpPr>
        <xdr:spPr bwMode="auto">
          <a:xfrm>
            <a:off x="1139" y="8"/>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6</xdr:col>
      <xdr:colOff>7620</xdr:colOff>
      <xdr:row>0</xdr:row>
      <xdr:rowOff>60960</xdr:rowOff>
    </xdr:from>
    <xdr:to>
      <xdr:col>6</xdr:col>
      <xdr:colOff>929640</xdr:colOff>
      <xdr:row>0</xdr:row>
      <xdr:rowOff>243840</xdr:rowOff>
    </xdr:to>
    <xdr:grpSp>
      <xdr:nvGrpSpPr>
        <xdr:cNvPr id="17986" name="Group 2609"/>
        <xdr:cNvGrpSpPr>
          <a:grpSpLocks/>
        </xdr:cNvGrpSpPr>
      </xdr:nvGrpSpPr>
      <xdr:grpSpPr bwMode="auto">
        <a:xfrm>
          <a:off x="6723380" y="60960"/>
          <a:ext cx="922020" cy="167640"/>
          <a:chOff x="881" y="8"/>
          <a:chExt cx="121" cy="24"/>
        </a:xfrm>
      </xdr:grpSpPr>
      <xdr:sp macro="[0]!HeaderHide" textlink="">
        <xdr:nvSpPr>
          <xdr:cNvPr id="19844" name="Rectangle 2436"/>
          <xdr:cNvSpPr>
            <a:spLocks noChangeArrowheads="1"/>
          </xdr:cNvSpPr>
        </xdr:nvSpPr>
        <xdr:spPr bwMode="auto">
          <a:xfrm>
            <a:off x="942" y="8"/>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HeaderShow" textlink="">
        <xdr:nvSpPr>
          <xdr:cNvPr id="19845" name="Rectangle 2437"/>
          <xdr:cNvSpPr>
            <a:spLocks noChangeArrowheads="1"/>
          </xdr:cNvSpPr>
        </xdr:nvSpPr>
        <xdr:spPr bwMode="auto">
          <a:xfrm>
            <a:off x="881" y="8"/>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6</xdr:col>
      <xdr:colOff>60960</xdr:colOff>
      <xdr:row>275</xdr:row>
      <xdr:rowOff>22860</xdr:rowOff>
    </xdr:from>
    <xdr:to>
      <xdr:col>7</xdr:col>
      <xdr:colOff>15240</xdr:colOff>
      <xdr:row>276</xdr:row>
      <xdr:rowOff>7620</xdr:rowOff>
    </xdr:to>
    <xdr:grpSp>
      <xdr:nvGrpSpPr>
        <xdr:cNvPr id="17987" name="Group 2616"/>
        <xdr:cNvGrpSpPr>
          <a:grpSpLocks/>
        </xdr:cNvGrpSpPr>
      </xdr:nvGrpSpPr>
      <xdr:grpSpPr bwMode="auto">
        <a:xfrm>
          <a:off x="6776720" y="29690060"/>
          <a:ext cx="929640" cy="180340"/>
          <a:chOff x="888" y="6574"/>
          <a:chExt cx="122" cy="24"/>
        </a:xfrm>
      </xdr:grpSpPr>
      <xdr:sp macro="[0]!Hide_Supporting" textlink="">
        <xdr:nvSpPr>
          <xdr:cNvPr id="19776" name="Rectangle 2368"/>
          <xdr:cNvSpPr>
            <a:spLocks noChangeArrowheads="1"/>
          </xdr:cNvSpPr>
        </xdr:nvSpPr>
        <xdr:spPr bwMode="auto">
          <a:xfrm>
            <a:off x="950" y="6574"/>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Show_Supporting" textlink="">
        <xdr:nvSpPr>
          <xdr:cNvPr id="19777" name="Rectangle 2369"/>
          <xdr:cNvSpPr>
            <a:spLocks noChangeArrowheads="1"/>
          </xdr:cNvSpPr>
        </xdr:nvSpPr>
        <xdr:spPr bwMode="auto">
          <a:xfrm>
            <a:off x="888" y="6574"/>
            <a:ext cx="60"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876300</xdr:colOff>
      <xdr:row>329</xdr:row>
      <xdr:rowOff>22860</xdr:rowOff>
    </xdr:from>
    <xdr:to>
      <xdr:col>3</xdr:col>
      <xdr:colOff>716280</xdr:colOff>
      <xdr:row>329</xdr:row>
      <xdr:rowOff>205740</xdr:rowOff>
    </xdr:to>
    <xdr:sp macro="[0]!gotop" textlink="">
      <xdr:nvSpPr>
        <xdr:cNvPr id="6177" name="Rectangle 33"/>
        <xdr:cNvSpPr>
          <a:spLocks noChangeArrowheads="1"/>
        </xdr:cNvSpPr>
      </xdr:nvSpPr>
      <xdr:spPr bwMode="auto">
        <a:xfrm>
          <a:off x="4030980" y="41071800"/>
          <a:ext cx="73152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3</xdr:col>
      <xdr:colOff>38100</xdr:colOff>
      <xdr:row>294</xdr:row>
      <xdr:rowOff>30480</xdr:rowOff>
    </xdr:from>
    <xdr:to>
      <xdr:col>3</xdr:col>
      <xdr:colOff>769620</xdr:colOff>
      <xdr:row>294</xdr:row>
      <xdr:rowOff>213360</xdr:rowOff>
    </xdr:to>
    <xdr:sp macro="[0]!gotop" textlink="">
      <xdr:nvSpPr>
        <xdr:cNvPr id="6184" name="Rectangle 40"/>
        <xdr:cNvSpPr>
          <a:spLocks noChangeArrowheads="1"/>
        </xdr:cNvSpPr>
      </xdr:nvSpPr>
      <xdr:spPr bwMode="auto">
        <a:xfrm>
          <a:off x="4084320" y="35394900"/>
          <a:ext cx="73152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2</xdr:col>
      <xdr:colOff>876300</xdr:colOff>
      <xdr:row>171</xdr:row>
      <xdr:rowOff>22860</xdr:rowOff>
    </xdr:from>
    <xdr:to>
      <xdr:col>3</xdr:col>
      <xdr:colOff>716280</xdr:colOff>
      <xdr:row>171</xdr:row>
      <xdr:rowOff>205740</xdr:rowOff>
    </xdr:to>
    <xdr:sp macro="[0]!gotop" textlink="">
      <xdr:nvSpPr>
        <xdr:cNvPr id="6185" name="Rectangle 41"/>
        <xdr:cNvSpPr>
          <a:spLocks noChangeArrowheads="1"/>
        </xdr:cNvSpPr>
      </xdr:nvSpPr>
      <xdr:spPr bwMode="auto">
        <a:xfrm>
          <a:off x="4030980" y="16466820"/>
          <a:ext cx="73152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2</xdr:col>
      <xdr:colOff>876300</xdr:colOff>
      <xdr:row>92</xdr:row>
      <xdr:rowOff>22860</xdr:rowOff>
    </xdr:from>
    <xdr:to>
      <xdr:col>3</xdr:col>
      <xdr:colOff>716280</xdr:colOff>
      <xdr:row>92</xdr:row>
      <xdr:rowOff>205740</xdr:rowOff>
    </xdr:to>
    <xdr:sp macro="[0]!gotop" textlink="">
      <xdr:nvSpPr>
        <xdr:cNvPr id="6186" name="Rectangle 42"/>
        <xdr:cNvSpPr>
          <a:spLocks noChangeArrowheads="1"/>
        </xdr:cNvSpPr>
      </xdr:nvSpPr>
      <xdr:spPr bwMode="auto">
        <a:xfrm>
          <a:off x="4030980" y="5913120"/>
          <a:ext cx="73152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2</xdr:col>
      <xdr:colOff>830580</xdr:colOff>
      <xdr:row>250</xdr:row>
      <xdr:rowOff>30480</xdr:rowOff>
    </xdr:from>
    <xdr:to>
      <xdr:col>3</xdr:col>
      <xdr:colOff>670560</xdr:colOff>
      <xdr:row>250</xdr:row>
      <xdr:rowOff>213360</xdr:rowOff>
    </xdr:to>
    <xdr:sp macro="[0]!gotop" textlink="">
      <xdr:nvSpPr>
        <xdr:cNvPr id="6270" name="Rectangle 126"/>
        <xdr:cNvSpPr>
          <a:spLocks noChangeArrowheads="1"/>
        </xdr:cNvSpPr>
      </xdr:nvSpPr>
      <xdr:spPr bwMode="auto">
        <a:xfrm>
          <a:off x="3985260" y="26822400"/>
          <a:ext cx="731520" cy="18288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go to top</a:t>
          </a:r>
        </a:p>
      </xdr:txBody>
    </xdr:sp>
    <xdr:clientData/>
  </xdr:twoCellAnchor>
  <xdr:twoCellAnchor>
    <xdr:from>
      <xdr:col>1</xdr:col>
      <xdr:colOff>711200</xdr:colOff>
      <xdr:row>2</xdr:row>
      <xdr:rowOff>0</xdr:rowOff>
    </xdr:from>
    <xdr:to>
      <xdr:col>5</xdr:col>
      <xdr:colOff>673100</xdr:colOff>
      <xdr:row>2</xdr:row>
      <xdr:rowOff>198120</xdr:rowOff>
    </xdr:to>
    <xdr:grpSp>
      <xdr:nvGrpSpPr>
        <xdr:cNvPr id="3" name="Group 2"/>
        <xdr:cNvGrpSpPr/>
      </xdr:nvGrpSpPr>
      <xdr:grpSpPr>
        <a:xfrm>
          <a:off x="1016000" y="436880"/>
          <a:ext cx="5499100" cy="198120"/>
          <a:chOff x="975360" y="436880"/>
          <a:chExt cx="5499100" cy="198120"/>
        </a:xfrm>
      </xdr:grpSpPr>
      <xdr:sp macro="[0]!TaxTables_1" textlink="">
        <xdr:nvSpPr>
          <xdr:cNvPr id="6178" name="Rectangle 34"/>
          <xdr:cNvSpPr>
            <a:spLocks noChangeArrowheads="1"/>
          </xdr:cNvSpPr>
        </xdr:nvSpPr>
        <xdr:spPr bwMode="auto">
          <a:xfrm>
            <a:off x="975360" y="436880"/>
            <a:ext cx="921594" cy="19812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Tax Factors</a:t>
            </a:r>
          </a:p>
        </xdr:txBody>
      </xdr:sp>
      <xdr:sp macro="[0]!TaxTables_2" textlink="">
        <xdr:nvSpPr>
          <xdr:cNvPr id="6179" name="Rectangle 35"/>
          <xdr:cNvSpPr>
            <a:spLocks noChangeArrowheads="1"/>
          </xdr:cNvSpPr>
        </xdr:nvSpPr>
        <xdr:spPr bwMode="auto">
          <a:xfrm>
            <a:off x="1896954" y="436880"/>
            <a:ext cx="898745" cy="19812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Filing Jointly</a:t>
            </a:r>
          </a:p>
        </xdr:txBody>
      </xdr:sp>
      <xdr:sp macro="[0]!TaxTables_3" textlink="">
        <xdr:nvSpPr>
          <xdr:cNvPr id="6180" name="Rectangle 36"/>
          <xdr:cNvSpPr>
            <a:spLocks noChangeArrowheads="1"/>
          </xdr:cNvSpPr>
        </xdr:nvSpPr>
        <xdr:spPr bwMode="auto">
          <a:xfrm>
            <a:off x="2810932" y="436880"/>
            <a:ext cx="921594" cy="19812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Filing Single</a:t>
            </a:r>
          </a:p>
        </xdr:txBody>
      </xdr:sp>
      <xdr:sp macro="[0]!TaxTables_4" textlink="">
        <xdr:nvSpPr>
          <xdr:cNvPr id="6181" name="Rectangle 37"/>
          <xdr:cNvSpPr>
            <a:spLocks noChangeArrowheads="1"/>
          </xdr:cNvSpPr>
        </xdr:nvSpPr>
        <xdr:spPr bwMode="auto">
          <a:xfrm>
            <a:off x="3732526" y="436880"/>
            <a:ext cx="898745" cy="19812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State Rates</a:t>
            </a:r>
          </a:p>
        </xdr:txBody>
      </xdr:sp>
      <xdr:sp macro="[0]!TaxTables_4a" textlink="">
        <xdr:nvSpPr>
          <xdr:cNvPr id="6182" name="Rectangle 38"/>
          <xdr:cNvSpPr>
            <a:spLocks noChangeArrowheads="1"/>
          </xdr:cNvSpPr>
        </xdr:nvSpPr>
        <xdr:spPr bwMode="auto">
          <a:xfrm>
            <a:off x="4638888" y="436880"/>
            <a:ext cx="921594" cy="19812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Tax Rates</a:t>
            </a:r>
          </a:p>
        </xdr:txBody>
      </xdr:sp>
      <xdr:sp macro="[0]!TaxTables_5" textlink="">
        <xdr:nvSpPr>
          <xdr:cNvPr id="6295" name="Rectangle 128"/>
          <xdr:cNvSpPr>
            <a:spLocks noChangeArrowheads="1"/>
          </xdr:cNvSpPr>
        </xdr:nvSpPr>
        <xdr:spPr bwMode="auto">
          <a:xfrm>
            <a:off x="5560482" y="436880"/>
            <a:ext cx="913978" cy="19812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Data Tables</a:t>
            </a:r>
          </a:p>
        </xdr:txBody>
      </xdr:sp>
    </xdr:grpSp>
    <xdr:clientData/>
  </xdr:twoCellAnchor>
  <xdr:twoCellAnchor>
    <xdr:from>
      <xdr:col>7</xdr:col>
      <xdr:colOff>7620</xdr:colOff>
      <xdr:row>2</xdr:row>
      <xdr:rowOff>0</xdr:rowOff>
    </xdr:from>
    <xdr:to>
      <xdr:col>8</xdr:col>
      <xdr:colOff>30480</xdr:colOff>
      <xdr:row>2</xdr:row>
      <xdr:rowOff>198120</xdr:rowOff>
    </xdr:to>
    <xdr:grpSp>
      <xdr:nvGrpSpPr>
        <xdr:cNvPr id="6321" name="Group 166"/>
        <xdr:cNvGrpSpPr>
          <a:grpSpLocks/>
        </xdr:cNvGrpSpPr>
      </xdr:nvGrpSpPr>
      <xdr:grpSpPr bwMode="auto">
        <a:xfrm>
          <a:off x="7637780" y="436880"/>
          <a:ext cx="916940" cy="198120"/>
          <a:chOff x="881" y="8"/>
          <a:chExt cx="121" cy="24"/>
        </a:xfrm>
      </xdr:grpSpPr>
      <xdr:sp macro="[0]!HeaderHide" textlink="">
        <xdr:nvSpPr>
          <xdr:cNvPr id="19844" name="Rectangle 2436"/>
          <xdr:cNvSpPr>
            <a:spLocks noChangeArrowheads="1"/>
          </xdr:cNvSpPr>
        </xdr:nvSpPr>
        <xdr:spPr bwMode="auto">
          <a:xfrm>
            <a:off x="941" y="8"/>
            <a:ext cx="61"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HeaderShow" textlink="">
        <xdr:nvSpPr>
          <xdr:cNvPr id="19845" name="Rectangle 2437"/>
          <xdr:cNvSpPr>
            <a:spLocks noChangeArrowheads="1"/>
          </xdr:cNvSpPr>
        </xdr:nvSpPr>
        <xdr:spPr bwMode="auto">
          <a:xfrm>
            <a:off x="881" y="8"/>
            <a:ext cx="61" cy="24"/>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twoCellAnchor>
    <xdr:from>
      <xdr:col>2</xdr:col>
      <xdr:colOff>50800</xdr:colOff>
      <xdr:row>25</xdr:row>
      <xdr:rowOff>20320</xdr:rowOff>
    </xdr:from>
    <xdr:to>
      <xdr:col>3</xdr:col>
      <xdr:colOff>86360</xdr:colOff>
      <xdr:row>26</xdr:row>
      <xdr:rowOff>5080</xdr:rowOff>
    </xdr:to>
    <xdr:grpSp>
      <xdr:nvGrpSpPr>
        <xdr:cNvPr id="2" name="Group 1"/>
        <xdr:cNvGrpSpPr/>
      </xdr:nvGrpSpPr>
      <xdr:grpSpPr>
        <a:xfrm>
          <a:off x="3210560" y="5212080"/>
          <a:ext cx="929640" cy="182880"/>
          <a:chOff x="4053840" y="4958080"/>
          <a:chExt cx="929640" cy="187960"/>
        </a:xfrm>
      </xdr:grpSpPr>
      <xdr:sp macro="[0]!Taxes_Medicare_Hide" textlink="">
        <xdr:nvSpPr>
          <xdr:cNvPr id="19" name="Rectangle 2368"/>
          <xdr:cNvSpPr>
            <a:spLocks noChangeArrowheads="1"/>
          </xdr:cNvSpPr>
        </xdr:nvSpPr>
        <xdr:spPr bwMode="auto">
          <a:xfrm>
            <a:off x="4526280" y="4958080"/>
            <a:ext cx="457200" cy="18796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hide</a:t>
            </a:r>
          </a:p>
        </xdr:txBody>
      </xdr:sp>
      <xdr:sp macro="[0]!Taxes_Medicare_Show" textlink="">
        <xdr:nvSpPr>
          <xdr:cNvPr id="20" name="Rectangle 2369"/>
          <xdr:cNvSpPr>
            <a:spLocks noChangeArrowheads="1"/>
          </xdr:cNvSpPr>
        </xdr:nvSpPr>
        <xdr:spPr bwMode="auto">
          <a:xfrm>
            <a:off x="4053840" y="4958080"/>
            <a:ext cx="457200" cy="18796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0" anchor="t" upright="1"/>
          <a:lstStyle/>
          <a:p>
            <a:pPr algn="ctr" rtl="0">
              <a:defRPr sz="1000"/>
            </a:pPr>
            <a:r>
              <a:rPr lang="en-US" sz="1000" b="1" i="0" u="none" strike="noStrike" baseline="0">
                <a:solidFill>
                  <a:srgbClr val="000000"/>
                </a:solidFill>
                <a:latin typeface="Arial"/>
                <a:cs typeface="Arial"/>
              </a:rPr>
              <a:t>show</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7620</xdr:colOff>
      <xdr:row>10</xdr:row>
      <xdr:rowOff>7620</xdr:rowOff>
    </xdr:from>
    <xdr:to>
      <xdr:col>2</xdr:col>
      <xdr:colOff>7620</xdr:colOff>
      <xdr:row>11</xdr:row>
      <xdr:rowOff>30480</xdr:rowOff>
    </xdr:to>
    <xdr:sp macro="[0]!ORP_1" textlink="">
      <xdr:nvSpPr>
        <xdr:cNvPr id="21522" name="Rectangle 3"/>
        <xdr:cNvSpPr>
          <a:spLocks noChangeArrowheads="1"/>
        </xdr:cNvSpPr>
      </xdr:nvSpPr>
      <xdr:spPr bwMode="auto">
        <a:xfrm>
          <a:off x="708660" y="2293620"/>
          <a:ext cx="731520" cy="251460"/>
        </a:xfrm>
        <a:prstGeom prst="rect">
          <a:avLst/>
        </a:prstGeom>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Copy</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solidFill>
          <a:srgbClr xmlns:mc="http://schemas.openxmlformats.org/markup-compatibility/2006" xmlns:a14="http://schemas.microsoft.com/office/drawing/2010/main" val="CCFFFF" mc:Ignorable="a14" a14:legacySpreadsheetColorIndex="41"/>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27432" tIns="22860" rIns="27432" bIns="0" anchor="t" anchorCtr="0" upright="1"/>
      <a:lstStyle>
        <a:defPPr algn="ctr" rtl="0">
          <a:defRPr sz="1000" b="1" i="0" u="none" strike="noStrike" baseline="0">
            <a:solidFill>
              <a:srgbClr val="000000"/>
            </a:solidFill>
            <a:latin typeface="Arial"/>
            <a:cs typeface="Arial"/>
          </a:defRPr>
        </a:defPPr>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290000" mc:Ignorable="a14" a14:legacySpreadsheetColorIndex="41"/>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3" Type="http://schemas.openxmlformats.org/officeDocument/2006/relationships/hyperlink" Target="https://www.bogleheads.org/wiki/Historical_and_expected_returns" TargetMode="External"/><Relationship Id="rId18" Type="http://schemas.openxmlformats.org/officeDocument/2006/relationships/hyperlink" Target="http://www.aaii.com/journal/article/social-security-strategies-for-couples.touch" TargetMode="External"/><Relationship Id="rId26" Type="http://schemas.openxmlformats.org/officeDocument/2006/relationships/hyperlink" Target="https://www.irs.gov/uac/About-Publication-590B" TargetMode="External"/><Relationship Id="rId39" Type="http://schemas.openxmlformats.org/officeDocument/2006/relationships/hyperlink" Target="https://www.kitces.com/blog/irmaa-medicare-part-b-part-d-premium-surcharges-new-2018-magi-thresholds/" TargetMode="External"/><Relationship Id="rId21" Type="http://schemas.openxmlformats.org/officeDocument/2006/relationships/hyperlink" Target="http://inflationdata.com/inflation/Consumer_Price_Index/HistoricalCPI.aspx?reloaded=true" TargetMode="External"/><Relationship Id="rId34" Type="http://schemas.openxmlformats.org/officeDocument/2006/relationships/hyperlink" Target="http://www.kitces.com/blog/understanding-the-two-5-year-rules-for-roth-ira-contributions-and-conversions/" TargetMode="External"/><Relationship Id="rId42" Type="http://schemas.openxmlformats.org/officeDocument/2006/relationships/hyperlink" Target="https://www.bogleheads.org/wiki/Social_Security" TargetMode="External"/><Relationship Id="rId47" Type="http://schemas.openxmlformats.org/officeDocument/2006/relationships/ctrlProp" Target="../ctrlProps/ctrlProp2.xml"/><Relationship Id="rId50" Type="http://schemas.openxmlformats.org/officeDocument/2006/relationships/comments" Target="../comments1.xml"/><Relationship Id="rId7" Type="http://schemas.openxmlformats.org/officeDocument/2006/relationships/hyperlink" Target="https://www.bogleheads.org/" TargetMode="External"/><Relationship Id="rId2" Type="http://schemas.openxmlformats.org/officeDocument/2006/relationships/hyperlink" Target="http://www.firecalc.com/" TargetMode="External"/><Relationship Id="rId16" Type="http://schemas.openxmlformats.org/officeDocument/2006/relationships/hyperlink" Target="http://www.obliviousinvestor.com/social-security-strategies-for-married-couples/" TargetMode="External"/><Relationship Id="rId29" Type="http://schemas.openxmlformats.org/officeDocument/2006/relationships/hyperlink" Target="http://www.ssa.gov/oact/STATS/table4c6.html" TargetMode="External"/><Relationship Id="rId11" Type="http://schemas.openxmlformats.org/officeDocument/2006/relationships/hyperlink" Target="http://www.bogleheads.org/wiki/Simba%27s_backtesting_spreadsheet" TargetMode="External"/><Relationship Id="rId24" Type="http://schemas.openxmlformats.org/officeDocument/2006/relationships/hyperlink" Target="https://www.irs.gov/uac/About-Publication-915" TargetMode="External"/><Relationship Id="rId32" Type="http://schemas.openxmlformats.org/officeDocument/2006/relationships/hyperlink" Target="http://www.bogleheads.org/wiki/Roth_IRA_conversion" TargetMode="External"/><Relationship Id="rId37" Type="http://schemas.openxmlformats.org/officeDocument/2006/relationships/hyperlink" Target="https://www.kitces.com/blog/final-gop-tax-plan-summary-tcja-2017-individual-tax-brackets-pass-through-strategies/" TargetMode="External"/><Relationship Id="rId40" Type="http://schemas.openxmlformats.org/officeDocument/2006/relationships/hyperlink" Target="https://www.bogleheads.org/wiki/Safe_withdrawal_rates" TargetMode="External"/><Relationship Id="rId45" Type="http://schemas.openxmlformats.org/officeDocument/2006/relationships/vmlDrawing" Target="../drawings/vmlDrawing1.vml"/><Relationship Id="rId5" Type="http://schemas.openxmlformats.org/officeDocument/2006/relationships/hyperlink" Target="http://www.libreoffice.org/" TargetMode="External"/><Relationship Id="rId15" Type="http://schemas.openxmlformats.org/officeDocument/2006/relationships/hyperlink" Target="https://www.immediateannuities.com/" TargetMode="External"/><Relationship Id="rId23" Type="http://schemas.openxmlformats.org/officeDocument/2006/relationships/hyperlink" Target="http://taxfoundation.org/blog/monday-map-state-income-taxes-social-security-benefits" TargetMode="External"/><Relationship Id="rId28" Type="http://schemas.openxmlformats.org/officeDocument/2006/relationships/hyperlink" Target="https://www.irs.gov/publications/p590b" TargetMode="External"/><Relationship Id="rId36" Type="http://schemas.openxmlformats.org/officeDocument/2006/relationships/hyperlink" Target="https://www.bogleheads.org/wiki/Qualified_charitable_distributions" TargetMode="External"/><Relationship Id="rId49" Type="http://schemas.openxmlformats.org/officeDocument/2006/relationships/ctrlProp" Target="../ctrlProps/ctrlProp4.xml"/><Relationship Id="rId10" Type="http://schemas.openxmlformats.org/officeDocument/2006/relationships/hyperlink" Target="http://www.openoffice.org/product/index.html" TargetMode="External"/><Relationship Id="rId19" Type="http://schemas.openxmlformats.org/officeDocument/2006/relationships/hyperlink" Target="https://www.irs.gov/Retirement-Plans/Retirement-Plans-FAQs-regarding-Required-Minimum-Distributions" TargetMode="External"/><Relationship Id="rId31" Type="http://schemas.openxmlformats.org/officeDocument/2006/relationships/hyperlink" Target="http://www.investopedia.com/articles/retirement/03/030403.asp" TargetMode="External"/><Relationship Id="rId44" Type="http://schemas.openxmlformats.org/officeDocument/2006/relationships/drawing" Target="../drawings/drawing1.xml"/><Relationship Id="rId4" Type="http://schemas.openxmlformats.org/officeDocument/2006/relationships/hyperlink" Target="https://support.google.com/docs/topic/20322" TargetMode="External"/><Relationship Id="rId9" Type="http://schemas.openxmlformats.org/officeDocument/2006/relationships/hyperlink" Target="https://onedrive.live.com/" TargetMode="External"/><Relationship Id="rId14" Type="http://schemas.openxmlformats.org/officeDocument/2006/relationships/hyperlink" Target="http://www.bogleheads.org/forum/viewtopic.php?f=10&amp;t=88005" TargetMode="External"/><Relationship Id="rId22" Type="http://schemas.openxmlformats.org/officeDocument/2006/relationships/hyperlink" Target="https://taxfoundation.org/federal-tax/individual-consumption-taxes/" TargetMode="External"/><Relationship Id="rId27" Type="http://schemas.openxmlformats.org/officeDocument/2006/relationships/hyperlink" Target="http://www.ssa.gov/cola/" TargetMode="External"/><Relationship Id="rId30" Type="http://schemas.openxmlformats.org/officeDocument/2006/relationships/hyperlink" Target="https://taxfoundation.org/state-individual-income-tax-rates-brackets-2018/" TargetMode="External"/><Relationship Id="rId35" Type="http://schemas.openxmlformats.org/officeDocument/2006/relationships/hyperlink" Target="https://www.kitces.com/blog/qualified-charitable-distribution-qcd-from-ira-to-satisfy-rmd-rules-and-requirements/" TargetMode="External"/><Relationship Id="rId43" Type="http://schemas.openxmlformats.org/officeDocument/2006/relationships/printerSettings" Target="../printerSettings/printerSettings1.bin"/><Relationship Id="rId48" Type="http://schemas.openxmlformats.org/officeDocument/2006/relationships/ctrlProp" Target="../ctrlProps/ctrlProp3.xml"/><Relationship Id="rId8" Type="http://schemas.openxmlformats.org/officeDocument/2006/relationships/hyperlink" Target="http://www.ksosoft.com/product/spreadsheets-pro" TargetMode="External"/><Relationship Id="rId3" Type="http://schemas.openxmlformats.org/officeDocument/2006/relationships/hyperlink" Target="https://retirementplans.vanguard.com/VGApp/pe/pubeducation/calculators/RetirementNestEggCalc.jsf" TargetMode="External"/><Relationship Id="rId12" Type="http://schemas.openxmlformats.org/officeDocument/2006/relationships/hyperlink" Target="http://www.moneychimp.com/features/market_cagr.htm" TargetMode="External"/><Relationship Id="rId17" Type="http://schemas.openxmlformats.org/officeDocument/2006/relationships/hyperlink" Target="http://www.bogleheads.org/wiki/SPIA" TargetMode="External"/><Relationship Id="rId25" Type="http://schemas.openxmlformats.org/officeDocument/2006/relationships/hyperlink" Target="https://www.irs.gov/uac/About-Publication-590A" TargetMode="External"/><Relationship Id="rId33" Type="http://schemas.openxmlformats.org/officeDocument/2006/relationships/hyperlink" Target="http://fairmark.com/retirement/roth-accounts/" TargetMode="External"/><Relationship Id="rId38" Type="http://schemas.openxmlformats.org/officeDocument/2006/relationships/hyperlink" Target="https://www.bogleheads.org/wiki/Lazy_portfolios" TargetMode="External"/><Relationship Id="rId46" Type="http://schemas.openxmlformats.org/officeDocument/2006/relationships/ctrlProp" Target="../ctrlProps/ctrlProp1.xml"/><Relationship Id="rId20" Type="http://schemas.openxmlformats.org/officeDocument/2006/relationships/hyperlink" Target="http://inflationdata.com/Inflation/Inflation_Rate/CurrentInflation.asp" TargetMode="External"/><Relationship Id="rId41" Type="http://schemas.openxmlformats.org/officeDocument/2006/relationships/hyperlink" Target="https://www.bogleheads.org/wiki/Category:Retirement_spending" TargetMode="External"/><Relationship Id="rId1" Type="http://schemas.openxmlformats.org/officeDocument/2006/relationships/hyperlink" Target="http://www.i-orp.com/" TargetMode="External"/><Relationship Id="rId6" Type="http://schemas.openxmlformats.org/officeDocument/2006/relationships/hyperlink" Target="https://www.bogleheads.org/forum/viewtopic.php?f=1&amp;t=97352&amp;p=1405885"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printerSettings" Target="../printerSettings/printerSettings2.bin"/><Relationship Id="rId7" Type="http://schemas.openxmlformats.org/officeDocument/2006/relationships/ctrlProp" Target="../ctrlProps/ctrlProp6.xml"/><Relationship Id="rId2" Type="http://schemas.openxmlformats.org/officeDocument/2006/relationships/hyperlink" Target="http://www.ssa.gov/OACT/ProgData/ar_drc.html" TargetMode="External"/><Relationship Id="rId1" Type="http://schemas.openxmlformats.org/officeDocument/2006/relationships/hyperlink" Target="https://www.kiplinger.com/article/retirement/T051-C000-S004-delaying-social-security-boosts-the-value-of-colas.html" TargetMode="External"/><Relationship Id="rId6" Type="http://schemas.openxmlformats.org/officeDocument/2006/relationships/ctrlProp" Target="../ctrlProps/ctrlProp5.xml"/><Relationship Id="rId5" Type="http://schemas.openxmlformats.org/officeDocument/2006/relationships/vmlDrawing" Target="../drawings/vmlDrawing2.vml"/><Relationship Id="rId10" Type="http://schemas.openxmlformats.org/officeDocument/2006/relationships/comments" Target="../comments2.xml"/><Relationship Id="rId4" Type="http://schemas.openxmlformats.org/officeDocument/2006/relationships/drawing" Target="../drawings/drawing2.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7.vml"/><Relationship Id="rId3" Type="http://schemas.openxmlformats.org/officeDocument/2006/relationships/hyperlink" Target="https://www.ssa.gov/oact/STATS/table4c6.html" TargetMode="External"/><Relationship Id="rId7" Type="http://schemas.openxmlformats.org/officeDocument/2006/relationships/drawing" Target="../drawings/drawing7.xml"/><Relationship Id="rId2" Type="http://schemas.openxmlformats.org/officeDocument/2006/relationships/hyperlink" Target="https://www.irs.gov/publications/p590b/index.html" TargetMode="External"/><Relationship Id="rId1" Type="http://schemas.openxmlformats.org/officeDocument/2006/relationships/hyperlink" Target="http://inflationdata.com/Inflation/Inflation_Rate/CurrentInflation.asp" TargetMode="External"/><Relationship Id="rId6" Type="http://schemas.openxmlformats.org/officeDocument/2006/relationships/printerSettings" Target="../printerSettings/printerSettings7.bin"/><Relationship Id="rId5" Type="http://schemas.openxmlformats.org/officeDocument/2006/relationships/hyperlink" Target="https://www.medicare.gov/drug-coverage-part-d/costs-for-medicare-drug-coverage/monthly-premium-for-drug-plans" TargetMode="External"/><Relationship Id="rId4" Type="http://schemas.openxmlformats.org/officeDocument/2006/relationships/hyperlink" Target="https://www.medicare.gov/your-medicare-costs/part-b-costs" TargetMode="External"/><Relationship Id="rId9"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www.i-orp.com/"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9"/>
    <pageSetUpPr autoPageBreaks="0"/>
  </sheetPr>
  <dimension ref="A1:AJ718"/>
  <sheetViews>
    <sheetView showGridLines="0" showRowColHeaders="0" tabSelected="1" zoomScale="85" zoomScaleNormal="90" workbookViewId="0"/>
  </sheetViews>
  <sheetFormatPr defaultColWidth="0" defaultRowHeight="15" zeroHeight="1"/>
  <cols>
    <col min="1" max="1" width="3.6328125" customWidth="1"/>
    <col min="2" max="2" width="9.90625" customWidth="1"/>
    <col min="3" max="3" width="68.81640625" customWidth="1"/>
    <col min="4" max="4" width="1.6328125" customWidth="1"/>
    <col min="5" max="5" width="11.81640625" customWidth="1"/>
    <col min="6" max="7" width="15.6328125" customWidth="1"/>
    <col min="8" max="8" width="7.90625" customWidth="1"/>
    <col min="9" max="9" width="8.1796875" customWidth="1"/>
    <col min="10" max="10" width="10.08984375" customWidth="1"/>
    <col min="11" max="11" width="14" hidden="1" customWidth="1"/>
  </cols>
  <sheetData>
    <row r="1" spans="1:36" ht="21">
      <c r="A1" s="1068"/>
      <c r="B1" s="772"/>
      <c r="C1" s="772" t="s">
        <v>1616</v>
      </c>
      <c r="E1" s="1297" t="s">
        <v>2352</v>
      </c>
      <c r="F1" s="1298"/>
      <c r="G1" s="1298"/>
      <c r="H1" s="1"/>
      <c r="I1" s="1"/>
      <c r="J1" s="189"/>
      <c r="M1" s="311" t="s">
        <v>1430</v>
      </c>
      <c r="N1" s="282"/>
      <c r="O1" s="282"/>
      <c r="AJ1" s="3"/>
    </row>
    <row r="2" spans="1:36" ht="17.399999999999999" customHeight="1">
      <c r="E2" s="1172" t="s">
        <v>580</v>
      </c>
    </row>
    <row r="3" spans="1:36" ht="13.2" customHeight="1">
      <c r="C3" s="814"/>
      <c r="D3" s="112"/>
      <c r="E3" s="112"/>
      <c r="F3" s="112"/>
      <c r="G3" s="112"/>
      <c r="H3" s="112"/>
      <c r="I3" s="112"/>
      <c r="J3" s="112"/>
      <c r="L3" s="112"/>
      <c r="M3" s="112"/>
      <c r="N3" s="112"/>
      <c r="O3" s="112"/>
    </row>
    <row r="4" spans="1:36" ht="15.75" customHeight="1">
      <c r="C4" s="112"/>
      <c r="D4" s="112"/>
      <c r="E4" s="112"/>
      <c r="F4" s="112"/>
      <c r="G4" s="112"/>
      <c r="H4" s="112"/>
      <c r="I4" s="112"/>
      <c r="J4" s="112"/>
      <c r="K4" s="112"/>
      <c r="L4" s="112"/>
      <c r="M4" s="112"/>
      <c r="N4" s="112"/>
      <c r="O4" s="112"/>
    </row>
    <row r="5" spans="1:36" ht="139.94999999999999" customHeight="1">
      <c r="C5" s="1134" t="s">
        <v>2275</v>
      </c>
      <c r="D5" s="815"/>
      <c r="E5" s="815"/>
      <c r="F5" s="112"/>
      <c r="G5" s="112"/>
      <c r="H5" s="112"/>
      <c r="I5" s="112"/>
      <c r="J5" s="112"/>
      <c r="K5" s="112"/>
      <c r="L5" s="112"/>
      <c r="M5" s="112"/>
      <c r="N5" s="112"/>
      <c r="O5" s="112"/>
    </row>
    <row r="6" spans="1:36" ht="147.75" customHeight="1">
      <c r="C6" s="1501" t="s">
        <v>2201</v>
      </c>
      <c r="D6" s="815"/>
      <c r="E6" s="815"/>
      <c r="F6" s="112"/>
      <c r="G6" s="112"/>
      <c r="H6" s="112"/>
      <c r="I6" s="112"/>
      <c r="J6" s="112"/>
      <c r="K6" s="112"/>
      <c r="L6" s="112"/>
      <c r="M6" s="112"/>
      <c r="N6" s="112"/>
      <c r="O6" s="112"/>
    </row>
    <row r="7" spans="1:36" ht="241.2" customHeight="1">
      <c r="B7" s="812"/>
      <c r="C7" s="1134" t="s">
        <v>2276</v>
      </c>
      <c r="D7" s="247"/>
      <c r="E7" s="247"/>
      <c r="F7" s="247"/>
      <c r="G7" s="247"/>
      <c r="H7" s="247"/>
      <c r="I7" s="247"/>
      <c r="J7" s="247"/>
      <c r="K7" s="247"/>
      <c r="L7" s="247"/>
      <c r="M7" s="247"/>
      <c r="N7" s="247"/>
      <c r="O7" s="247"/>
    </row>
    <row r="8" spans="1:36" ht="106.95" customHeight="1">
      <c r="B8" s="812"/>
      <c r="C8" s="813" t="s">
        <v>1281</v>
      </c>
      <c r="D8" s="247"/>
      <c r="E8" s="247"/>
      <c r="F8" s="247"/>
      <c r="G8" s="247"/>
      <c r="H8" s="247"/>
      <c r="I8" s="247"/>
      <c r="J8" s="247"/>
      <c r="K8" s="247"/>
      <c r="L8" s="247"/>
      <c r="M8" s="247"/>
      <c r="N8" s="247"/>
      <c r="O8" s="247"/>
    </row>
    <row r="9" spans="1:36" ht="149.4" customHeight="1">
      <c r="B9" s="812"/>
      <c r="C9" s="1134" t="s">
        <v>1282</v>
      </c>
      <c r="D9" s="260"/>
      <c r="E9" s="260"/>
      <c r="F9" s="260"/>
      <c r="G9" s="260"/>
      <c r="H9" s="260"/>
      <c r="I9" s="260"/>
      <c r="J9" s="260"/>
      <c r="K9" s="260"/>
      <c r="L9" s="260"/>
      <c r="M9" s="260"/>
      <c r="N9" s="260"/>
      <c r="O9" s="260"/>
    </row>
    <row r="10" spans="1:36" ht="79.2" customHeight="1">
      <c r="B10" s="812"/>
      <c r="C10" s="1501" t="s">
        <v>1962</v>
      </c>
      <c r="D10" s="260"/>
      <c r="E10" s="260"/>
      <c r="F10" s="260"/>
      <c r="G10" s="260"/>
      <c r="H10" s="260"/>
      <c r="I10" s="260"/>
      <c r="J10" s="260"/>
      <c r="K10" s="260"/>
      <c r="L10" s="260"/>
      <c r="M10" s="260"/>
      <c r="N10" s="260"/>
      <c r="O10" s="260"/>
    </row>
    <row r="11" spans="1:36" ht="124.2" customHeight="1">
      <c r="B11" s="337"/>
      <c r="C11" s="1501" t="s">
        <v>2269</v>
      </c>
      <c r="D11" s="337"/>
      <c r="E11" s="337"/>
      <c r="F11" s="337"/>
      <c r="G11" s="337"/>
      <c r="H11" s="337"/>
      <c r="I11" s="337"/>
      <c r="J11" s="337"/>
      <c r="K11" s="337"/>
      <c r="L11" s="337"/>
      <c r="M11" s="337"/>
      <c r="N11" s="337"/>
      <c r="O11" s="337"/>
    </row>
    <row r="12" spans="1:36" ht="131.4" customHeight="1">
      <c r="B12" s="337"/>
      <c r="C12" s="1134" t="s">
        <v>2277</v>
      </c>
      <c r="D12" s="337"/>
      <c r="E12" s="337"/>
      <c r="F12" s="337"/>
      <c r="G12" s="337"/>
      <c r="H12" s="337"/>
      <c r="I12" s="337"/>
      <c r="J12" s="337"/>
      <c r="K12" s="337"/>
      <c r="L12" s="337"/>
      <c r="M12" s="337"/>
      <c r="N12" s="337"/>
      <c r="O12" s="337"/>
    </row>
    <row r="13" spans="1:36" ht="90.75" customHeight="1">
      <c r="B13" s="337"/>
      <c r="C13" s="1501" t="s">
        <v>2202</v>
      </c>
      <c r="D13" s="337"/>
      <c r="E13" s="337"/>
      <c r="F13" s="337"/>
      <c r="G13" s="337"/>
      <c r="H13" s="337"/>
      <c r="I13" s="337"/>
      <c r="J13" s="337"/>
      <c r="K13" s="337"/>
      <c r="L13" s="337"/>
      <c r="M13" s="337"/>
      <c r="N13" s="337"/>
      <c r="O13" s="337"/>
    </row>
    <row r="14" spans="1:36" ht="170.4" customHeight="1">
      <c r="B14" s="337"/>
      <c r="C14" s="813" t="s">
        <v>1401</v>
      </c>
      <c r="D14" s="337"/>
      <c r="E14" s="337"/>
      <c r="F14" s="337"/>
      <c r="G14" s="337"/>
      <c r="H14" s="337"/>
      <c r="I14" s="337"/>
      <c r="J14" s="337"/>
      <c r="K14" s="337"/>
      <c r="L14" s="337"/>
      <c r="M14" s="337"/>
      <c r="N14" s="337"/>
      <c r="O14" s="337"/>
    </row>
    <row r="15" spans="1:36" ht="132.75" customHeight="1">
      <c r="B15" s="337"/>
      <c r="C15" s="1501" t="s">
        <v>2203</v>
      </c>
      <c r="D15" s="337"/>
      <c r="E15" s="337"/>
      <c r="F15" s="337"/>
      <c r="G15" s="337"/>
      <c r="H15" s="337"/>
      <c r="I15" s="337"/>
      <c r="J15" s="337"/>
      <c r="K15" s="337"/>
      <c r="L15" s="337"/>
      <c r="M15" s="337"/>
      <c r="N15" s="337"/>
      <c r="O15" s="337"/>
    </row>
    <row r="16" spans="1:36" ht="108" customHeight="1">
      <c r="B16" s="337"/>
      <c r="C16" s="1501" t="s">
        <v>1929</v>
      </c>
      <c r="D16" s="337"/>
      <c r="E16" s="337"/>
      <c r="F16" s="337"/>
      <c r="G16" s="337"/>
      <c r="H16" s="337"/>
      <c r="I16" s="337"/>
      <c r="J16" s="337"/>
      <c r="K16" s="337"/>
      <c r="L16" s="337"/>
      <c r="M16" s="337"/>
      <c r="N16" s="337"/>
      <c r="O16" s="337"/>
    </row>
    <row r="17" spans="2:36" ht="217.95" customHeight="1">
      <c r="B17" s="337"/>
      <c r="C17" s="1134" t="s">
        <v>159</v>
      </c>
      <c r="D17" s="337"/>
      <c r="E17" s="337"/>
      <c r="F17" s="337"/>
      <c r="G17" s="337"/>
      <c r="H17" s="337"/>
      <c r="I17" s="337"/>
      <c r="J17" s="337"/>
      <c r="K17" s="337"/>
      <c r="L17" s="337"/>
      <c r="M17" s="337"/>
      <c r="N17" s="337"/>
      <c r="O17" s="337"/>
    </row>
    <row r="18" spans="2:36">
      <c r="H18" s="1"/>
      <c r="I18" s="1"/>
      <c r="J18" s="1"/>
      <c r="AJ18" s="3"/>
    </row>
    <row r="19" spans="2:36" ht="18" thickBot="1">
      <c r="C19" s="283" t="s">
        <v>903</v>
      </c>
      <c r="D19" s="283"/>
      <c r="E19" s="247"/>
      <c r="F19" s="247"/>
      <c r="G19" s="1"/>
      <c r="H19" s="1"/>
      <c r="I19" s="1"/>
      <c r="J19" s="1"/>
      <c r="AJ19" s="3"/>
    </row>
    <row r="20" spans="2:36" ht="16.2" thickBot="1">
      <c r="C20" s="1300" t="s">
        <v>58</v>
      </c>
      <c r="E20" s="1306" t="s">
        <v>61</v>
      </c>
      <c r="F20" s="1306"/>
      <c r="G20" s="616"/>
      <c r="H20" s="1"/>
      <c r="I20" s="1"/>
      <c r="AJ20" s="3"/>
    </row>
    <row r="21" spans="2:36" ht="15.6">
      <c r="C21" s="728" t="s">
        <v>80</v>
      </c>
      <c r="E21" s="246"/>
      <c r="I21" s="1"/>
      <c r="J21" s="1"/>
      <c r="AJ21" s="3"/>
    </row>
    <row r="22" spans="2:36" ht="15.6">
      <c r="C22" s="203" t="s">
        <v>1146</v>
      </c>
      <c r="E22" s="112" t="s">
        <v>2198</v>
      </c>
      <c r="I22" s="140"/>
      <c r="J22" s="140"/>
      <c r="K22" s="140"/>
      <c r="L22" s="140"/>
      <c r="M22" s="140"/>
      <c r="N22" s="140"/>
      <c r="AJ22" s="3"/>
    </row>
    <row r="23" spans="2:36" ht="15.6">
      <c r="C23" s="246" t="s">
        <v>56</v>
      </c>
      <c r="E23" s="112" t="s">
        <v>60</v>
      </c>
      <c r="I23" s="140"/>
      <c r="J23" s="140"/>
      <c r="K23" s="140"/>
      <c r="L23" s="140"/>
      <c r="M23" s="140"/>
      <c r="N23" s="140"/>
      <c r="AJ23" s="3"/>
    </row>
    <row r="24" spans="2:36" ht="15.6">
      <c r="C24" s="246" t="s">
        <v>55</v>
      </c>
      <c r="E24" s="638"/>
      <c r="H24" s="1"/>
      <c r="I24" s="1"/>
      <c r="J24" s="1"/>
      <c r="AJ24" s="3"/>
    </row>
    <row r="25" spans="2:36" ht="15.6">
      <c r="C25" s="246" t="s">
        <v>57</v>
      </c>
      <c r="E25" s="203" t="s">
        <v>299</v>
      </c>
      <c r="H25" s="1"/>
      <c r="I25" s="1"/>
      <c r="J25" s="1"/>
      <c r="AJ25" s="3"/>
    </row>
    <row r="26" spans="2:36" ht="15.6">
      <c r="C26" s="246" t="s">
        <v>2199</v>
      </c>
      <c r="E26" s="203"/>
      <c r="H26" s="1"/>
      <c r="I26" s="1"/>
      <c r="J26" s="1"/>
      <c r="AJ26" s="3"/>
    </row>
    <row r="27" spans="2:36" ht="15.6">
      <c r="C27" s="140" t="s">
        <v>2270</v>
      </c>
      <c r="G27" s="155"/>
      <c r="H27" s="155"/>
      <c r="I27" s="155"/>
      <c r="J27" s="155"/>
      <c r="K27" s="155"/>
      <c r="L27" s="155"/>
      <c r="M27" s="155"/>
      <c r="N27" s="155"/>
      <c r="O27" s="155"/>
      <c r="AJ27" s="3"/>
    </row>
    <row r="28" spans="2:36" ht="7.2" customHeight="1">
      <c r="B28" s="155"/>
      <c r="C28" s="155"/>
      <c r="D28" s="155"/>
      <c r="E28" s="155"/>
      <c r="F28" s="155"/>
      <c r="G28" s="155"/>
      <c r="H28" s="155"/>
      <c r="I28" s="155"/>
      <c r="J28" s="155"/>
      <c r="K28" s="155"/>
      <c r="L28" s="155"/>
      <c r="M28" s="155"/>
      <c r="N28" s="155"/>
      <c r="O28" s="155"/>
      <c r="AJ28" s="3"/>
    </row>
    <row r="29" spans="2:36" ht="19.95" customHeight="1">
      <c r="B29" s="171"/>
      <c r="C29" s="1535" t="s">
        <v>2271</v>
      </c>
      <c r="D29" s="171"/>
      <c r="E29" s="171"/>
      <c r="F29" s="171"/>
      <c r="H29" s="1"/>
      <c r="I29" s="1"/>
      <c r="J29" s="1"/>
      <c r="AJ29" s="3"/>
    </row>
    <row r="30" spans="2:36" ht="19.95" customHeight="1">
      <c r="B30" s="171"/>
      <c r="C30" s="1299"/>
      <c r="D30" s="171"/>
      <c r="E30" s="171"/>
      <c r="F30" s="171"/>
      <c r="H30" s="1"/>
      <c r="I30" s="1"/>
      <c r="J30" s="1"/>
      <c r="AJ30" s="3"/>
    </row>
    <row r="31" spans="2:36" ht="18" thickBot="1">
      <c r="B31" s="283" t="s">
        <v>1335</v>
      </c>
      <c r="C31" s="268"/>
      <c r="D31" s="283"/>
      <c r="E31" s="247"/>
      <c r="F31" s="247"/>
      <c r="G31" s="247"/>
      <c r="H31" s="247"/>
      <c r="I31" s="247"/>
      <c r="J31" s="247"/>
      <c r="K31" s="247"/>
      <c r="L31" s="247"/>
      <c r="M31" s="247"/>
      <c r="N31" s="247"/>
      <c r="O31" s="247"/>
      <c r="AJ31" s="3"/>
    </row>
    <row r="32" spans="2:36" ht="15.6">
      <c r="C32" s="878" t="s">
        <v>245</v>
      </c>
      <c r="G32" s="189"/>
      <c r="H32" s="189"/>
      <c r="I32" s="189"/>
      <c r="J32" s="189"/>
      <c r="K32" s="189"/>
      <c r="L32" s="189"/>
      <c r="M32" s="189"/>
      <c r="N32" s="189"/>
      <c r="O32" s="189"/>
      <c r="AJ32" s="3"/>
    </row>
    <row r="33" spans="2:36" ht="15.6">
      <c r="C33" s="769" t="s">
        <v>200</v>
      </c>
      <c r="F33" s="21"/>
      <c r="G33" s="189"/>
      <c r="H33" s="189"/>
      <c r="I33" s="189"/>
      <c r="J33" s="189"/>
      <c r="K33" s="189"/>
      <c r="L33" s="189"/>
      <c r="M33" s="189"/>
      <c r="N33" s="189"/>
      <c r="O33" s="189"/>
      <c r="AJ33" s="3"/>
    </row>
    <row r="34" spans="2:36" ht="15.6">
      <c r="C34" s="769" t="s">
        <v>571</v>
      </c>
      <c r="F34" s="21"/>
      <c r="G34" s="189"/>
      <c r="H34" s="189"/>
      <c r="I34" s="189"/>
      <c r="J34" s="189"/>
      <c r="AJ34" s="3"/>
    </row>
    <row r="35" spans="2:36">
      <c r="C35" s="769" t="s">
        <v>1244</v>
      </c>
      <c r="F35" s="21"/>
      <c r="AJ35" s="3"/>
    </row>
    <row r="36" spans="2:36" ht="15.6">
      <c r="F36" s="21"/>
      <c r="G36" s="189"/>
      <c r="H36" s="189"/>
      <c r="I36" s="189"/>
      <c r="J36" s="189"/>
      <c r="K36" s="189"/>
      <c r="L36" s="189"/>
      <c r="AJ36" s="3"/>
    </row>
    <row r="37" spans="2:36" ht="15.6">
      <c r="C37" s="878" t="s">
        <v>2247</v>
      </c>
      <c r="E37" s="878"/>
      <c r="F37" s="1"/>
      <c r="G37" s="987"/>
      <c r="H37" s="3"/>
      <c r="I37" s="3"/>
      <c r="AJ37" s="3"/>
    </row>
    <row r="38" spans="2:36">
      <c r="C38" s="539" t="s">
        <v>2255</v>
      </c>
      <c r="E38" s="539"/>
      <c r="H38" s="3"/>
      <c r="I38" s="3"/>
      <c r="AJ38" s="3"/>
    </row>
    <row r="39" spans="2:36">
      <c r="C39" s="539" t="s">
        <v>2251</v>
      </c>
      <c r="E39" s="539"/>
      <c r="H39" s="770" t="s">
        <v>1468</v>
      </c>
      <c r="AJ39" s="3"/>
    </row>
    <row r="40" spans="2:36" ht="15.6">
      <c r="C40" s="539" t="s">
        <v>2254</v>
      </c>
      <c r="E40" s="539"/>
      <c r="G40" s="1636" t="s">
        <v>1457</v>
      </c>
      <c r="H40" s="257"/>
      <c r="I40" s="257"/>
      <c r="J40" s="257"/>
      <c r="K40" s="257"/>
      <c r="L40" s="136"/>
      <c r="M40" s="136"/>
      <c r="N40" s="136"/>
      <c r="O40" s="136"/>
      <c r="AJ40" s="3"/>
    </row>
    <row r="41" spans="2:36" ht="15.6">
      <c r="C41" s="539" t="s">
        <v>2250</v>
      </c>
      <c r="F41" s="21"/>
      <c r="G41" s="770" t="s">
        <v>345</v>
      </c>
      <c r="H41" s="282"/>
      <c r="J41" s="282"/>
      <c r="K41" s="282"/>
      <c r="L41" s="136"/>
      <c r="M41" s="136"/>
      <c r="N41" s="136"/>
      <c r="O41" s="136"/>
      <c r="AJ41" s="3"/>
    </row>
    <row r="42" spans="2:36" ht="15.6">
      <c r="B42" s="171"/>
      <c r="C42" s="539" t="s">
        <v>2252</v>
      </c>
      <c r="E42" s="539"/>
      <c r="G42" s="770" t="s">
        <v>1456</v>
      </c>
      <c r="H42" s="282"/>
      <c r="I42" s="282"/>
      <c r="J42" s="282"/>
      <c r="K42" s="282"/>
      <c r="L42" s="136"/>
      <c r="M42" s="136"/>
      <c r="N42" s="136"/>
      <c r="O42" s="136"/>
      <c r="AJ42" s="3"/>
    </row>
    <row r="43" spans="2:36" ht="15.6">
      <c r="B43" s="770"/>
      <c r="C43" s="539" t="s">
        <v>2253</v>
      </c>
      <c r="E43" s="539"/>
      <c r="G43" s="770" t="s">
        <v>1336</v>
      </c>
      <c r="H43" s="282"/>
      <c r="I43" s="282"/>
      <c r="J43" s="282"/>
      <c r="K43" s="282"/>
      <c r="L43" s="136"/>
      <c r="M43" s="136"/>
      <c r="N43" s="136"/>
      <c r="O43" s="136"/>
      <c r="AJ43" s="3"/>
    </row>
    <row r="44" spans="2:36" ht="15.6">
      <c r="B44" s="770"/>
      <c r="C44" s="539" t="s">
        <v>2348</v>
      </c>
      <c r="H44" s="282"/>
      <c r="I44" s="282"/>
      <c r="J44" s="282"/>
      <c r="K44" s="282"/>
      <c r="L44" s="136"/>
      <c r="M44" s="136"/>
      <c r="N44" s="136"/>
      <c r="O44" s="136"/>
      <c r="AJ44" s="3"/>
    </row>
    <row r="45" spans="2:36" ht="15.6">
      <c r="B45" s="770"/>
      <c r="C45" s="770"/>
      <c r="G45" s="877"/>
      <c r="H45" s="282"/>
      <c r="I45" s="282"/>
      <c r="J45" s="282"/>
      <c r="K45" s="282"/>
      <c r="L45" s="136"/>
      <c r="M45" s="136"/>
      <c r="N45" s="136"/>
      <c r="O45" s="136"/>
      <c r="AJ45" s="3"/>
    </row>
    <row r="46" spans="2:36" ht="18" thickBot="1">
      <c r="B46" s="770"/>
      <c r="C46" s="1308" t="s">
        <v>1101</v>
      </c>
      <c r="D46" s="754"/>
      <c r="E46" s="754"/>
      <c r="F46" s="754"/>
      <c r="G46" s="877"/>
      <c r="H46" s="282"/>
      <c r="I46" s="282"/>
      <c r="J46" s="282"/>
      <c r="K46" s="282"/>
      <c r="L46" s="136"/>
      <c r="M46" s="136"/>
      <c r="N46" s="136"/>
      <c r="O46" s="136"/>
      <c r="AJ46" s="3"/>
    </row>
    <row r="47" spans="2:36" ht="15.6">
      <c r="B47" s="1307"/>
      <c r="C47" s="1638" t="s">
        <v>726</v>
      </c>
      <c r="D47" s="1039"/>
      <c r="G47" s="877"/>
      <c r="H47" s="282"/>
      <c r="I47" s="282"/>
      <c r="J47" s="282"/>
      <c r="K47" s="282"/>
      <c r="L47" s="136"/>
      <c r="M47" s="136"/>
      <c r="N47" s="136"/>
      <c r="O47" s="136"/>
      <c r="AJ47" s="3"/>
    </row>
    <row r="48" spans="2:36" ht="15.6">
      <c r="B48" s="770"/>
      <c r="C48" s="770" t="s">
        <v>833</v>
      </c>
      <c r="G48" s="877"/>
      <c r="H48" s="282"/>
      <c r="I48" s="282"/>
      <c r="J48" s="282"/>
      <c r="K48" s="282"/>
      <c r="L48" s="136"/>
      <c r="M48" s="136"/>
      <c r="N48" s="136"/>
      <c r="O48" s="136"/>
      <c r="AJ48" s="3"/>
    </row>
    <row r="49" spans="2:36" ht="15.6">
      <c r="B49" s="770"/>
      <c r="C49" s="1631" t="s">
        <v>2124</v>
      </c>
      <c r="G49" s="877"/>
      <c r="H49" s="282"/>
      <c r="I49" s="282"/>
      <c r="J49" s="282"/>
      <c r="K49" s="282"/>
      <c r="L49" s="136"/>
      <c r="M49" s="136"/>
      <c r="N49" s="136"/>
      <c r="O49" s="136"/>
      <c r="AJ49" s="3"/>
    </row>
    <row r="50" spans="2:36" ht="15.6">
      <c r="B50" s="770"/>
      <c r="G50" s="877"/>
      <c r="H50" s="282"/>
      <c r="I50" s="282"/>
      <c r="J50" s="282"/>
      <c r="K50" s="282"/>
      <c r="L50" s="136"/>
      <c r="M50" s="136"/>
      <c r="N50" s="136"/>
      <c r="O50" s="136"/>
      <c r="AJ50" s="3"/>
    </row>
    <row r="51" spans="2:36" ht="15.6">
      <c r="B51" s="770"/>
      <c r="C51" s="1637" t="s">
        <v>1334</v>
      </c>
      <c r="G51" s="877"/>
      <c r="H51" s="282"/>
      <c r="I51" s="282"/>
      <c r="J51" s="282"/>
      <c r="K51" s="282"/>
      <c r="L51" s="136"/>
      <c r="M51" s="136"/>
      <c r="N51" s="136"/>
      <c r="O51" s="136"/>
      <c r="AJ51" s="3"/>
    </row>
    <row r="52" spans="2:36" ht="15.6">
      <c r="B52" s="770"/>
      <c r="C52" s="359" t="s">
        <v>2125</v>
      </c>
      <c r="G52" s="877"/>
      <c r="H52" s="282"/>
      <c r="I52" s="282"/>
      <c r="J52" s="282"/>
      <c r="K52" s="282"/>
      <c r="L52" s="136"/>
      <c r="M52" s="136"/>
      <c r="N52" s="136"/>
      <c r="O52" s="136"/>
      <c r="AJ52" s="3"/>
    </row>
    <row r="53" spans="2:36" ht="15.6">
      <c r="B53" s="770"/>
      <c r="C53" s="359" t="s">
        <v>2126</v>
      </c>
      <c r="G53" s="877"/>
      <c r="H53" s="282"/>
      <c r="I53" s="282"/>
      <c r="J53" s="282"/>
      <c r="K53" s="282"/>
      <c r="L53" s="136"/>
      <c r="M53" s="136"/>
      <c r="N53" s="136"/>
      <c r="O53" s="136"/>
      <c r="AJ53" s="3"/>
    </row>
    <row r="54" spans="2:36" ht="15.6">
      <c r="B54" s="770"/>
      <c r="C54" s="359" t="s">
        <v>2127</v>
      </c>
      <c r="G54" s="877"/>
      <c r="H54" s="282"/>
      <c r="I54" s="282"/>
      <c r="J54" s="282"/>
      <c r="K54" s="282"/>
      <c r="L54" s="136"/>
      <c r="M54" s="136"/>
      <c r="N54" s="136"/>
      <c r="O54" s="136"/>
      <c r="AJ54" s="3"/>
    </row>
    <row r="55" spans="2:36" ht="15.6">
      <c r="B55" s="770"/>
      <c r="C55" s="770"/>
      <c r="G55" s="877"/>
      <c r="H55" s="282"/>
      <c r="I55" s="282"/>
      <c r="J55" s="282"/>
      <c r="K55" s="282"/>
      <c r="L55" s="136"/>
      <c r="M55" s="136"/>
      <c r="N55" s="136"/>
      <c r="O55" s="136"/>
      <c r="AJ55" s="3"/>
    </row>
    <row r="56" spans="2:36" ht="15.6">
      <c r="B56" s="770"/>
      <c r="C56" s="1637" t="s">
        <v>2119</v>
      </c>
      <c r="G56" s="877"/>
      <c r="H56" s="282"/>
      <c r="I56" s="282"/>
      <c r="J56" s="282"/>
      <c r="K56" s="282"/>
      <c r="L56" s="136"/>
      <c r="M56" s="136"/>
      <c r="N56" s="136"/>
      <c r="O56" s="136"/>
      <c r="AJ56" s="3"/>
    </row>
    <row r="57" spans="2:36" ht="15.6">
      <c r="B57" s="770"/>
      <c r="C57" s="1636" t="s">
        <v>2132</v>
      </c>
      <c r="G57" s="877"/>
      <c r="H57" s="282"/>
      <c r="I57" s="282"/>
      <c r="J57" s="282"/>
      <c r="K57" s="282"/>
      <c r="L57" s="136"/>
      <c r="M57" s="136"/>
      <c r="N57" s="136"/>
      <c r="O57" s="136"/>
      <c r="AJ57" s="3"/>
    </row>
    <row r="58" spans="2:36" ht="15.6">
      <c r="B58" s="770"/>
      <c r="C58" s="770" t="s">
        <v>1092</v>
      </c>
      <c r="G58" s="877"/>
      <c r="H58" s="282"/>
      <c r="I58" s="282"/>
      <c r="J58" s="282"/>
      <c r="K58" s="282"/>
      <c r="L58" s="136"/>
      <c r="M58" s="136"/>
      <c r="N58" s="136"/>
      <c r="O58" s="136"/>
      <c r="AJ58" s="3"/>
    </row>
    <row r="59" spans="2:36" ht="15.6">
      <c r="B59" s="770"/>
      <c r="C59" s="770" t="s">
        <v>1093</v>
      </c>
      <c r="G59" s="877"/>
      <c r="H59" s="282"/>
      <c r="I59" s="282"/>
      <c r="J59" s="282"/>
      <c r="K59" s="282"/>
      <c r="L59" s="136"/>
      <c r="M59" s="136"/>
      <c r="N59" s="136"/>
      <c r="O59" s="136"/>
      <c r="AJ59" s="3"/>
    </row>
    <row r="60" spans="2:36" ht="15.6">
      <c r="B60" s="770"/>
      <c r="C60" s="986" t="s">
        <v>867</v>
      </c>
      <c r="G60" s="877"/>
      <c r="H60" s="282"/>
      <c r="I60" s="282"/>
      <c r="J60" s="282"/>
      <c r="K60" s="282"/>
      <c r="L60" s="136"/>
      <c r="M60" s="136"/>
      <c r="N60" s="136"/>
      <c r="O60" s="136"/>
      <c r="AJ60" s="3"/>
    </row>
    <row r="61" spans="2:36" ht="15.6">
      <c r="B61" s="770"/>
      <c r="C61" s="989" t="s">
        <v>2118</v>
      </c>
      <c r="G61" s="877"/>
      <c r="H61" s="282"/>
      <c r="I61" s="282"/>
      <c r="J61" s="282"/>
      <c r="K61" s="282"/>
      <c r="L61" s="136"/>
      <c r="M61" s="136"/>
      <c r="N61" s="136"/>
      <c r="O61" s="136"/>
      <c r="AJ61" s="3"/>
    </row>
    <row r="62" spans="2:36" ht="15.6">
      <c r="B62" s="770"/>
      <c r="G62" s="877"/>
      <c r="H62" s="282"/>
      <c r="I62" s="282"/>
      <c r="J62" s="282"/>
      <c r="K62" s="282"/>
      <c r="L62" s="136"/>
      <c r="M62" s="136"/>
      <c r="N62" s="136"/>
      <c r="O62" s="136"/>
      <c r="AJ62" s="3"/>
    </row>
    <row r="63" spans="2:36" ht="15.6">
      <c r="B63" s="770"/>
      <c r="C63" s="1637" t="s">
        <v>729</v>
      </c>
      <c r="G63" s="877"/>
      <c r="H63" s="282"/>
      <c r="I63" s="282"/>
      <c r="J63" s="282"/>
      <c r="K63" s="282"/>
      <c r="L63" s="136"/>
      <c r="M63" s="136"/>
      <c r="N63" s="136"/>
      <c r="O63" s="136"/>
      <c r="AJ63" s="3"/>
    </row>
    <row r="64" spans="2:36" ht="15.6">
      <c r="B64" s="770"/>
      <c r="C64" s="1631" t="s">
        <v>2106</v>
      </c>
      <c r="G64" s="877"/>
      <c r="H64" s="282"/>
      <c r="I64" s="282"/>
      <c r="J64" s="282"/>
      <c r="K64" s="282"/>
      <c r="L64" s="136"/>
      <c r="M64" s="136"/>
      <c r="N64" s="136"/>
      <c r="O64" s="136"/>
      <c r="AJ64" s="3"/>
    </row>
    <row r="65" spans="2:36" ht="15.6">
      <c r="B65" s="770"/>
      <c r="C65" s="359" t="s">
        <v>2107</v>
      </c>
      <c r="G65" s="877"/>
      <c r="H65" s="282"/>
      <c r="I65" s="282"/>
      <c r="J65" s="282"/>
      <c r="K65" s="282"/>
      <c r="L65" s="136"/>
      <c r="M65" s="136"/>
      <c r="N65" s="136"/>
      <c r="O65" s="136"/>
      <c r="AJ65" s="3"/>
    </row>
    <row r="66" spans="2:36" ht="15.6">
      <c r="B66" s="770"/>
      <c r="G66" s="877"/>
      <c r="H66" s="282"/>
      <c r="I66" s="282"/>
      <c r="J66" s="282"/>
      <c r="K66" s="282"/>
      <c r="L66" s="136"/>
      <c r="M66" s="136"/>
      <c r="N66" s="136"/>
      <c r="O66" s="136"/>
      <c r="AJ66" s="3"/>
    </row>
    <row r="67" spans="2:36" ht="15.6">
      <c r="B67" s="770"/>
      <c r="C67" s="1121" t="s">
        <v>1675</v>
      </c>
      <c r="G67" s="877"/>
      <c r="H67" s="282"/>
      <c r="I67" s="282"/>
      <c r="J67" s="282"/>
      <c r="K67" s="282"/>
      <c r="L67" s="136"/>
      <c r="M67" s="136"/>
      <c r="N67" s="136"/>
      <c r="O67" s="136"/>
      <c r="AJ67" s="3"/>
    </row>
    <row r="68" spans="2:36" ht="15.6">
      <c r="B68" s="770"/>
      <c r="C68" s="1632" t="s">
        <v>2131</v>
      </c>
      <c r="G68" s="877"/>
      <c r="H68" s="282"/>
      <c r="I68" s="282"/>
      <c r="J68" s="282"/>
      <c r="K68" s="282"/>
      <c r="L68" s="136"/>
      <c r="M68" s="136"/>
      <c r="N68" s="136"/>
      <c r="O68" s="136"/>
      <c r="AJ68" s="3"/>
    </row>
    <row r="69" spans="2:36" ht="15.6">
      <c r="B69" s="770"/>
      <c r="C69" s="1633" t="s">
        <v>2130</v>
      </c>
      <c r="G69" s="877"/>
      <c r="H69" s="282"/>
      <c r="I69" s="282"/>
      <c r="J69" s="282"/>
      <c r="K69" s="282"/>
      <c r="L69" s="136"/>
      <c r="M69" s="136"/>
      <c r="N69" s="136"/>
      <c r="O69" s="136"/>
      <c r="AJ69" s="3"/>
    </row>
    <row r="70" spans="2:36" ht="15.6">
      <c r="B70" s="770"/>
      <c r="C70" s="989" t="s">
        <v>2108</v>
      </c>
      <c r="G70" s="877"/>
      <c r="H70" s="282"/>
      <c r="I70" s="282"/>
      <c r="J70" s="282"/>
      <c r="K70" s="282"/>
      <c r="L70" s="136"/>
      <c r="M70" s="136"/>
      <c r="N70" s="136"/>
      <c r="O70" s="136"/>
      <c r="AJ70" s="3"/>
    </row>
    <row r="71" spans="2:36" ht="15.6">
      <c r="B71" s="770"/>
      <c r="C71" s="989" t="s">
        <v>2110</v>
      </c>
      <c r="G71" s="877"/>
      <c r="H71" s="282"/>
      <c r="I71" s="282"/>
      <c r="J71" s="282"/>
      <c r="K71" s="282"/>
      <c r="L71" s="136"/>
      <c r="M71" s="136"/>
      <c r="N71" s="136"/>
      <c r="O71" s="136"/>
      <c r="AJ71" s="3"/>
    </row>
    <row r="72" spans="2:36" ht="15.6">
      <c r="B72" s="770"/>
      <c r="C72" s="989" t="s">
        <v>2109</v>
      </c>
      <c r="G72" s="877"/>
      <c r="H72" s="282"/>
      <c r="I72" s="282"/>
      <c r="J72" s="282"/>
      <c r="K72" s="282"/>
      <c r="L72" s="136"/>
      <c r="M72" s="136"/>
      <c r="N72" s="136"/>
      <c r="O72" s="136"/>
      <c r="AJ72" s="3"/>
    </row>
    <row r="73" spans="2:36" ht="15.6">
      <c r="B73" s="770"/>
      <c r="G73" s="877"/>
      <c r="H73" s="282"/>
      <c r="I73" s="282"/>
      <c r="J73" s="282"/>
      <c r="K73" s="282"/>
      <c r="L73" s="136"/>
      <c r="M73" s="136"/>
      <c r="N73" s="136"/>
      <c r="O73" s="136"/>
      <c r="AJ73" s="3"/>
    </row>
    <row r="74" spans="2:36" ht="15.6">
      <c r="B74" s="770"/>
      <c r="C74" s="1121" t="s">
        <v>539</v>
      </c>
      <c r="G74" s="877"/>
      <c r="H74" s="282"/>
      <c r="I74" s="282"/>
      <c r="J74" s="282"/>
      <c r="K74" s="282"/>
      <c r="L74" s="136"/>
      <c r="M74" s="136"/>
      <c r="N74" s="136"/>
      <c r="O74" s="136"/>
      <c r="AJ74" s="3"/>
    </row>
    <row r="75" spans="2:36" ht="15.6">
      <c r="B75" s="770"/>
      <c r="C75" s="989" t="s">
        <v>2111</v>
      </c>
      <c r="G75" s="877"/>
      <c r="H75" s="282"/>
      <c r="I75" s="282"/>
      <c r="J75" s="282"/>
      <c r="K75" s="282"/>
      <c r="L75" s="136"/>
      <c r="M75" s="136"/>
      <c r="N75" s="136"/>
      <c r="O75" s="136"/>
      <c r="AJ75" s="3"/>
    </row>
    <row r="76" spans="2:36" ht="15.6">
      <c r="B76" s="770"/>
      <c r="C76" s="989"/>
      <c r="G76" s="877"/>
      <c r="H76" s="282"/>
      <c r="I76" s="282"/>
      <c r="J76" s="282"/>
      <c r="K76" s="282"/>
      <c r="L76" s="136"/>
      <c r="M76" s="136"/>
      <c r="N76" s="136"/>
      <c r="O76" s="136"/>
      <c r="AJ76" s="3"/>
    </row>
    <row r="77" spans="2:36" ht="15.6">
      <c r="B77" s="770"/>
      <c r="C77" s="1121" t="s">
        <v>1505</v>
      </c>
      <c r="G77" s="877"/>
      <c r="H77" s="282"/>
      <c r="I77" s="282"/>
      <c r="J77" s="282"/>
      <c r="K77" s="282"/>
      <c r="L77" s="136"/>
      <c r="M77" s="136"/>
      <c r="N77" s="136"/>
      <c r="O77" s="136"/>
      <c r="AJ77" s="3"/>
    </row>
    <row r="78" spans="2:36" ht="15.6">
      <c r="B78" s="770"/>
      <c r="C78" s="989" t="s">
        <v>2112</v>
      </c>
      <c r="G78" s="877"/>
      <c r="H78" s="282"/>
      <c r="I78" s="282"/>
      <c r="J78" s="282"/>
      <c r="K78" s="282"/>
      <c r="L78" s="136"/>
      <c r="M78" s="136"/>
      <c r="N78" s="136"/>
      <c r="O78" s="136"/>
      <c r="AJ78" s="3"/>
    </row>
    <row r="79" spans="2:36" ht="15.75" customHeight="1">
      <c r="B79" s="770"/>
      <c r="C79" s="989" t="s">
        <v>2115</v>
      </c>
      <c r="G79" s="877"/>
      <c r="H79" s="282"/>
      <c r="I79" s="282"/>
      <c r="J79" s="282"/>
      <c r="K79" s="282"/>
      <c r="L79" s="136"/>
      <c r="M79" s="136"/>
      <c r="N79" s="136"/>
      <c r="O79" s="136"/>
      <c r="AJ79" s="3"/>
    </row>
    <row r="80" spans="2:36" ht="15.6">
      <c r="B80" s="770"/>
      <c r="C80" s="1632" t="s">
        <v>2114</v>
      </c>
      <c r="G80" s="877"/>
      <c r="H80" s="282"/>
      <c r="I80" s="282"/>
      <c r="J80" s="282"/>
      <c r="K80" s="282"/>
      <c r="L80" s="136"/>
      <c r="M80" s="136"/>
      <c r="N80" s="136"/>
      <c r="O80" s="136"/>
      <c r="AJ80" s="3"/>
    </row>
    <row r="81" spans="2:36" ht="15.6">
      <c r="B81" s="770"/>
      <c r="C81" s="989" t="s">
        <v>2113</v>
      </c>
      <c r="G81" s="877"/>
      <c r="H81" s="282"/>
      <c r="I81" s="282"/>
      <c r="J81" s="282"/>
      <c r="K81" s="282"/>
      <c r="L81" s="136"/>
      <c r="M81" s="136"/>
      <c r="N81" s="136"/>
      <c r="O81" s="136"/>
      <c r="AJ81" s="3"/>
    </row>
    <row r="82" spans="2:36" ht="15.6">
      <c r="B82" s="770"/>
      <c r="C82" s="989" t="s">
        <v>1502</v>
      </c>
      <c r="G82" s="877"/>
      <c r="H82" s="282"/>
      <c r="I82" s="282"/>
      <c r="J82" s="282"/>
      <c r="K82" s="282"/>
      <c r="L82" s="136"/>
      <c r="M82" s="136"/>
      <c r="N82" s="136"/>
      <c r="O82" s="136"/>
      <c r="AJ82" s="3"/>
    </row>
    <row r="83" spans="2:36" ht="15.6">
      <c r="B83" s="770"/>
      <c r="C83" s="989" t="s">
        <v>1526</v>
      </c>
      <c r="G83" s="877"/>
      <c r="H83" s="282"/>
      <c r="I83" s="282"/>
      <c r="J83" s="282"/>
      <c r="K83" s="282"/>
      <c r="L83" s="136"/>
      <c r="M83" s="136"/>
      <c r="N83" s="136"/>
      <c r="O83" s="136"/>
      <c r="AJ83" s="3"/>
    </row>
    <row r="84" spans="2:36" ht="15.6">
      <c r="B84" s="770"/>
      <c r="C84" s="989" t="s">
        <v>2116</v>
      </c>
      <c r="G84" s="877"/>
      <c r="H84" s="282"/>
      <c r="I84" s="282"/>
      <c r="J84" s="282"/>
      <c r="K84" s="282"/>
      <c r="L84" s="136"/>
      <c r="M84" s="136"/>
      <c r="N84" s="136"/>
      <c r="O84" s="136"/>
      <c r="AJ84" s="3"/>
    </row>
    <row r="85" spans="2:36" ht="15.6">
      <c r="B85" s="172"/>
      <c r="C85" s="1633" t="s">
        <v>2117</v>
      </c>
      <c r="D85" s="282"/>
      <c r="G85" s="282"/>
      <c r="H85" s="282"/>
      <c r="I85" s="282"/>
      <c r="J85" s="282"/>
      <c r="K85" s="282"/>
      <c r="L85" s="136"/>
      <c r="M85" s="136"/>
      <c r="N85" s="136"/>
      <c r="O85" s="136"/>
      <c r="AJ85" s="3"/>
    </row>
    <row r="86" spans="2:36" ht="15.6">
      <c r="B86" s="172"/>
      <c r="C86" s="986"/>
      <c r="D86" s="282"/>
      <c r="G86" s="282"/>
      <c r="H86" s="282"/>
      <c r="I86" s="282"/>
      <c r="J86" s="282"/>
      <c r="K86" s="282"/>
      <c r="L86" s="136"/>
      <c r="M86" s="136"/>
      <c r="N86" s="136"/>
      <c r="O86" s="136"/>
      <c r="AJ86" s="3"/>
    </row>
    <row r="87" spans="2:36" ht="15.6">
      <c r="B87" s="172"/>
      <c r="C87" s="1121" t="s">
        <v>1504</v>
      </c>
      <c r="D87" s="282"/>
      <c r="G87" s="282"/>
      <c r="H87" s="282"/>
      <c r="I87" s="282"/>
      <c r="J87" s="282"/>
      <c r="K87" s="282"/>
      <c r="L87" s="136"/>
      <c r="M87" s="136"/>
      <c r="N87" s="136"/>
      <c r="O87" s="136"/>
      <c r="AJ87" s="3"/>
    </row>
    <row r="88" spans="2:36" ht="15.6">
      <c r="B88" s="172"/>
      <c r="C88" s="359" t="s">
        <v>2128</v>
      </c>
      <c r="D88" s="282"/>
      <c r="G88" s="282"/>
      <c r="H88" s="282"/>
      <c r="I88" s="282"/>
      <c r="J88" s="282"/>
      <c r="K88" s="282"/>
      <c r="L88" s="136"/>
      <c r="M88" s="136"/>
      <c r="N88" s="136"/>
      <c r="O88" s="136"/>
      <c r="AJ88" s="3"/>
    </row>
    <row r="89" spans="2:36" ht="15.6">
      <c r="B89" s="172"/>
      <c r="C89" s="359" t="s">
        <v>2120</v>
      </c>
      <c r="D89" s="282"/>
      <c r="G89" s="282"/>
      <c r="H89" s="282"/>
      <c r="I89" s="282"/>
      <c r="J89" s="282"/>
      <c r="K89" s="282"/>
      <c r="L89" s="136"/>
      <c r="M89" s="136"/>
      <c r="N89" s="136"/>
      <c r="O89" s="136"/>
      <c r="AJ89" s="3"/>
    </row>
    <row r="90" spans="2:36" ht="15.6">
      <c r="B90" s="172"/>
      <c r="C90" s="1631" t="s">
        <v>2121</v>
      </c>
      <c r="D90" s="282"/>
      <c r="G90" s="282"/>
      <c r="H90" s="282"/>
      <c r="I90" s="282"/>
      <c r="J90" s="282"/>
      <c r="K90" s="282"/>
      <c r="L90" s="136"/>
      <c r="M90" s="136"/>
      <c r="N90" s="136"/>
      <c r="O90" s="136"/>
      <c r="AJ90" s="3"/>
    </row>
    <row r="91" spans="2:36" ht="15.6">
      <c r="B91" s="172"/>
      <c r="C91" s="1631" t="s">
        <v>2122</v>
      </c>
      <c r="D91" s="282"/>
      <c r="G91" s="282"/>
      <c r="H91" s="282"/>
      <c r="I91" s="282"/>
      <c r="J91" s="282"/>
      <c r="K91" s="282"/>
      <c r="L91" s="136"/>
      <c r="M91" s="136"/>
      <c r="N91" s="136"/>
      <c r="O91" s="136"/>
      <c r="AJ91" s="3"/>
    </row>
    <row r="92" spans="2:36" ht="15.6">
      <c r="B92" s="172"/>
      <c r="C92" s="986"/>
      <c r="D92" s="282"/>
      <c r="G92" s="282"/>
      <c r="H92" s="282"/>
      <c r="I92" s="282"/>
      <c r="J92" s="282"/>
      <c r="K92" s="282"/>
      <c r="L92" s="136"/>
      <c r="M92" s="136"/>
      <c r="N92" s="136"/>
      <c r="O92" s="136"/>
      <c r="AJ92" s="3"/>
    </row>
    <row r="93" spans="2:36" ht="15.6">
      <c r="B93" s="172"/>
      <c r="C93" s="1121" t="s">
        <v>727</v>
      </c>
      <c r="D93" s="282"/>
      <c r="G93" s="282"/>
      <c r="H93" s="282"/>
      <c r="I93" s="282"/>
      <c r="J93" s="282"/>
      <c r="K93" s="282"/>
      <c r="L93" s="136"/>
      <c r="M93" s="136"/>
      <c r="N93" s="136"/>
      <c r="O93" s="136"/>
      <c r="AJ93" s="3"/>
    </row>
    <row r="94" spans="2:36" ht="15.6">
      <c r="B94" s="172"/>
      <c r="C94" s="989" t="s">
        <v>2129</v>
      </c>
      <c r="D94" s="282"/>
      <c r="G94" s="282"/>
      <c r="H94" s="282"/>
      <c r="I94" s="282"/>
      <c r="J94" s="282"/>
      <c r="K94" s="282"/>
      <c r="L94" s="136"/>
      <c r="M94" s="136"/>
      <c r="N94" s="136"/>
      <c r="O94" s="136"/>
      <c r="AJ94" s="3"/>
    </row>
    <row r="95" spans="2:36" ht="15.6">
      <c r="B95" s="172"/>
      <c r="C95" s="989" t="s">
        <v>2123</v>
      </c>
      <c r="D95" s="282"/>
      <c r="G95" s="282"/>
      <c r="H95" s="282"/>
      <c r="I95" s="282"/>
      <c r="J95" s="282"/>
      <c r="K95" s="282"/>
      <c r="L95" s="136"/>
      <c r="M95" s="136"/>
      <c r="N95" s="136"/>
      <c r="O95" s="136"/>
      <c r="AJ95" s="3"/>
    </row>
    <row r="96" spans="2:36" ht="15.6">
      <c r="B96" s="172"/>
      <c r="C96" s="986"/>
      <c r="D96" s="282"/>
      <c r="G96" s="282"/>
      <c r="H96" s="282"/>
      <c r="I96" s="282"/>
      <c r="J96" s="282"/>
      <c r="K96" s="282"/>
      <c r="L96" s="136"/>
      <c r="M96" s="136"/>
      <c r="N96" s="136"/>
      <c r="O96" s="136"/>
      <c r="AJ96" s="3"/>
    </row>
    <row r="97" spans="2:36" ht="15.6">
      <c r="B97" s="172"/>
      <c r="C97" s="986"/>
      <c r="D97" s="282"/>
      <c r="G97" s="282"/>
      <c r="H97" s="282"/>
      <c r="I97" s="282"/>
      <c r="J97" s="282"/>
      <c r="K97" s="282"/>
      <c r="L97" s="136"/>
      <c r="M97" s="136"/>
      <c r="N97" s="136"/>
      <c r="O97" s="136"/>
      <c r="AJ97" s="3"/>
    </row>
    <row r="98" spans="2:36" ht="17.399999999999999">
      <c r="B98" s="315"/>
      <c r="C98" s="315" t="s">
        <v>1469</v>
      </c>
      <c r="D98" s="315"/>
      <c r="E98" s="315"/>
      <c r="F98" s="315"/>
      <c r="G98" s="315"/>
      <c r="H98" s="315"/>
      <c r="I98" s="247"/>
      <c r="J98" s="247"/>
      <c r="K98" s="247"/>
      <c r="L98" s="247"/>
      <c r="M98" s="247"/>
      <c r="N98" s="247"/>
      <c r="O98" s="247"/>
      <c r="AJ98" s="3"/>
    </row>
    <row r="99" spans="2:36" ht="7.95" customHeight="1">
      <c r="B99" s="260"/>
      <c r="C99" s="260"/>
      <c r="D99" s="260"/>
      <c r="E99" s="260"/>
      <c r="F99" s="260"/>
      <c r="G99" s="260"/>
      <c r="H99" s="260"/>
      <c r="I99" s="260"/>
      <c r="J99" s="260"/>
      <c r="K99" s="260"/>
      <c r="L99" s="260"/>
      <c r="M99" s="260"/>
      <c r="N99" s="260"/>
      <c r="O99" s="260"/>
      <c r="AJ99" s="3"/>
    </row>
    <row r="100" spans="2:36" ht="210" customHeight="1">
      <c r="B100" s="260"/>
      <c r="C100" s="973" t="s">
        <v>288</v>
      </c>
      <c r="D100" s="260"/>
      <c r="E100" s="260"/>
      <c r="F100" s="260"/>
      <c r="G100" s="260"/>
      <c r="H100" s="260"/>
      <c r="I100" s="260"/>
      <c r="J100" s="260"/>
      <c r="K100" s="260"/>
      <c r="L100" s="260"/>
      <c r="M100" s="260"/>
      <c r="N100" s="260"/>
      <c r="O100" s="260"/>
      <c r="AJ100" s="3"/>
    </row>
    <row r="101" spans="2:36" ht="45">
      <c r="B101" s="260"/>
      <c r="C101" s="973" t="s">
        <v>59</v>
      </c>
      <c r="D101" s="260"/>
      <c r="E101" s="260"/>
      <c r="F101" s="260"/>
      <c r="G101" s="260"/>
      <c r="H101" s="260"/>
      <c r="I101" s="260"/>
      <c r="J101" s="260"/>
      <c r="K101" s="260"/>
      <c r="L101" s="260"/>
      <c r="M101" s="260"/>
      <c r="N101" s="260"/>
      <c r="O101" s="260"/>
      <c r="AJ101" s="3"/>
    </row>
    <row r="102" spans="2:36" ht="10.199999999999999" customHeight="1">
      <c r="B102" s="99"/>
      <c r="H102" s="1"/>
      <c r="I102" s="1"/>
      <c r="J102" s="1"/>
      <c r="AJ102" s="3"/>
    </row>
    <row r="103" spans="2:36" ht="17.399999999999999">
      <c r="B103" s="315" t="s">
        <v>1582</v>
      </c>
      <c r="C103" s="315"/>
      <c r="D103" s="139"/>
      <c r="E103" s="770" t="s">
        <v>499</v>
      </c>
      <c r="F103" s="315"/>
      <c r="G103" s="315"/>
      <c r="H103" s="315"/>
      <c r="I103" s="247"/>
      <c r="J103" s="247"/>
      <c r="K103" s="247"/>
      <c r="L103" s="247"/>
      <c r="M103" s="247"/>
      <c r="N103" s="247"/>
      <c r="O103" s="247"/>
      <c r="AJ103" s="3"/>
    </row>
    <row r="104" spans="2:36">
      <c r="B104" s="384" t="s">
        <v>100</v>
      </c>
      <c r="C104" s="384"/>
      <c r="D104" s="384"/>
      <c r="E104" s="384"/>
      <c r="F104" s="384"/>
      <c r="G104" s="395"/>
      <c r="H104" s="395"/>
      <c r="I104" s="395"/>
      <c r="J104" s="395"/>
      <c r="K104" s="395"/>
      <c r="L104" s="395"/>
      <c r="M104" s="395"/>
      <c r="N104" s="395"/>
      <c r="O104" s="395"/>
      <c r="AJ104" s="3"/>
    </row>
    <row r="105" spans="2:36" ht="15.6">
      <c r="B105" s="384" t="s">
        <v>487</v>
      </c>
      <c r="C105" s="384"/>
      <c r="D105" s="384"/>
      <c r="E105" s="384"/>
      <c r="F105" s="384"/>
      <c r="G105" s="395"/>
      <c r="H105" s="395"/>
      <c r="I105" s="395"/>
      <c r="J105" s="395"/>
      <c r="K105" s="395"/>
      <c r="L105" s="189"/>
      <c r="M105" s="189"/>
      <c r="N105" s="1"/>
      <c r="O105" s="1"/>
      <c r="AJ105" s="3"/>
    </row>
    <row r="106" spans="2:36" ht="11.4" customHeight="1">
      <c r="G106" s="1"/>
      <c r="H106" s="1"/>
      <c r="I106" s="1"/>
      <c r="J106" s="1"/>
      <c r="K106" s="1"/>
      <c r="L106" s="1"/>
      <c r="M106" s="1"/>
      <c r="N106" s="1"/>
      <c r="O106" s="1"/>
    </row>
    <row r="107" spans="2:36" ht="17.399999999999999">
      <c r="B107" s="315" t="s">
        <v>1581</v>
      </c>
      <c r="C107" s="315"/>
      <c r="D107" s="315"/>
      <c r="E107" s="315"/>
      <c r="F107" s="315"/>
      <c r="G107" s="315"/>
      <c r="H107" s="315"/>
      <c r="I107" s="247"/>
      <c r="J107" s="247"/>
      <c r="K107" s="247"/>
      <c r="L107" s="247"/>
      <c r="M107" s="247"/>
      <c r="N107" s="247"/>
      <c r="O107" s="247"/>
    </row>
    <row r="108" spans="2:36" s="21" customFormat="1">
      <c r="B108" s="385" t="s">
        <v>141</v>
      </c>
      <c r="C108" s="385"/>
      <c r="D108" s="385"/>
      <c r="E108" s="385"/>
      <c r="F108" s="385"/>
      <c r="G108" s="150"/>
      <c r="H108" s="150"/>
      <c r="I108" s="150"/>
      <c r="J108" s="150"/>
      <c r="K108" s="150"/>
      <c r="L108" s="150"/>
      <c r="M108" s="150"/>
      <c r="N108" s="150"/>
      <c r="O108" s="150"/>
    </row>
    <row r="109" spans="2:36" s="21" customFormat="1">
      <c r="B109" s="159" t="s">
        <v>935</v>
      </c>
      <c r="C109" s="159"/>
      <c r="D109" s="159"/>
      <c r="E109" s="159"/>
      <c r="F109" s="159"/>
      <c r="G109" s="150"/>
      <c r="H109" s="150"/>
      <c r="I109" s="150"/>
      <c r="J109" s="150"/>
      <c r="K109" s="150"/>
      <c r="L109" s="150"/>
      <c r="M109" s="150"/>
      <c r="N109" s="150"/>
      <c r="O109" s="150"/>
    </row>
    <row r="110" spans="2:36" s="21" customFormat="1">
      <c r="B110" s="155" t="s">
        <v>2292</v>
      </c>
      <c r="C110" s="159"/>
      <c r="D110" s="159"/>
      <c r="E110" s="159"/>
      <c r="F110" s="159"/>
      <c r="G110" s="150"/>
      <c r="H110" s="150"/>
      <c r="I110" s="150"/>
      <c r="J110" s="150"/>
      <c r="K110" s="150"/>
      <c r="L110" s="150"/>
      <c r="M110" s="150"/>
      <c r="N110" s="150"/>
      <c r="O110" s="150"/>
    </row>
    <row r="111" spans="2:36" s="21" customFormat="1">
      <c r="B111" s="159" t="s">
        <v>1002</v>
      </c>
      <c r="C111" s="159"/>
      <c r="D111" s="159"/>
      <c r="E111" s="159"/>
      <c r="F111" s="159"/>
      <c r="G111" s="150"/>
      <c r="H111" s="150"/>
      <c r="I111" s="150"/>
      <c r="J111" s="150"/>
      <c r="K111" s="150"/>
      <c r="L111" s="150"/>
      <c r="M111" s="150"/>
      <c r="N111" s="150"/>
      <c r="O111" s="150"/>
    </row>
    <row r="112" spans="2:36" s="21" customFormat="1" ht="9.75" customHeight="1">
      <c r="B112" s="178"/>
      <c r="C112" s="178"/>
      <c r="D112" s="178"/>
      <c r="E112" s="178"/>
      <c r="F112" s="178"/>
      <c r="G112" s="396"/>
      <c r="H112" s="396"/>
      <c r="I112" s="396"/>
      <c r="J112" s="397"/>
      <c r="K112" s="397"/>
      <c r="L112" s="397"/>
      <c r="M112" s="397"/>
      <c r="N112" s="397"/>
      <c r="O112" s="397"/>
    </row>
    <row r="113" spans="2:15" s="21" customFormat="1" ht="17.399999999999999">
      <c r="B113" s="1140" t="s">
        <v>366</v>
      </c>
      <c r="C113" s="150" t="s">
        <v>367</v>
      </c>
      <c r="D113" s="247"/>
      <c r="E113" s="247"/>
      <c r="F113" s="247"/>
      <c r="G113" s="247"/>
      <c r="H113" s="247"/>
      <c r="I113" s="247"/>
      <c r="J113" s="392"/>
      <c r="K113" s="392"/>
      <c r="L113" s="392"/>
      <c r="M113" s="392"/>
      <c r="N113" s="392"/>
      <c r="O113" s="392"/>
    </row>
    <row r="114" spans="2:15" ht="19.95" customHeight="1">
      <c r="G114" s="1"/>
      <c r="H114" s="1"/>
      <c r="I114" s="1"/>
      <c r="J114" s="1"/>
      <c r="K114" s="1"/>
      <c r="L114" s="1"/>
      <c r="M114" s="1"/>
      <c r="N114" s="1"/>
      <c r="O114" s="1"/>
    </row>
    <row r="115" spans="2:15" ht="17.399999999999999">
      <c r="B115" s="315" t="s">
        <v>540</v>
      </c>
      <c r="C115" s="1775"/>
      <c r="D115" s="139"/>
      <c r="E115" s="816"/>
      <c r="F115" s="315"/>
      <c r="G115" s="315"/>
      <c r="H115" s="315"/>
      <c r="I115" s="247"/>
      <c r="J115" s="247"/>
      <c r="K115" s="247"/>
      <c r="L115" s="247"/>
      <c r="M115" s="247"/>
      <c r="N115" s="247"/>
      <c r="O115" s="247"/>
    </row>
    <row r="116" spans="2:15" ht="17.399999999999999">
      <c r="B116" s="398" t="s">
        <v>2349</v>
      </c>
      <c r="D116" s="1"/>
      <c r="E116" s="853"/>
      <c r="F116" s="247"/>
      <c r="G116" s="247"/>
      <c r="H116" s="247"/>
      <c r="I116" s="247"/>
      <c r="J116" s="247"/>
      <c r="K116" s="247"/>
      <c r="L116" s="247"/>
      <c r="M116" s="247"/>
      <c r="N116" s="247"/>
      <c r="O116" s="247"/>
    </row>
    <row r="117" spans="2:15" ht="17.399999999999999">
      <c r="B117" s="1146">
        <v>43623</v>
      </c>
      <c r="C117" s="539" t="s">
        <v>2351</v>
      </c>
      <c r="D117" s="1"/>
      <c r="E117" s="853"/>
      <c r="F117" s="247"/>
      <c r="G117" s="247"/>
      <c r="H117" s="247"/>
      <c r="I117" s="247"/>
      <c r="J117" s="247"/>
      <c r="K117" s="247"/>
      <c r="L117" s="247"/>
      <c r="M117" s="247"/>
      <c r="N117" s="247"/>
      <c r="O117" s="247"/>
    </row>
    <row r="118" spans="2:15" ht="17.399999999999999">
      <c r="B118" s="1146">
        <v>43606</v>
      </c>
      <c r="C118" s="539" t="s">
        <v>2350</v>
      </c>
      <c r="D118" s="1"/>
      <c r="E118" s="853"/>
      <c r="F118" s="247"/>
      <c r="G118" s="247"/>
      <c r="H118" s="247"/>
      <c r="I118" s="247"/>
      <c r="J118" s="247"/>
      <c r="K118" s="247"/>
      <c r="L118" s="247"/>
      <c r="M118" s="247"/>
      <c r="N118" s="247"/>
      <c r="O118" s="247"/>
    </row>
    <row r="119" spans="2:15" ht="17.399999999999999">
      <c r="B119" s="398">
        <v>19.100000000000001</v>
      </c>
      <c r="C119" s="539"/>
      <c r="D119" s="1"/>
      <c r="E119" s="853"/>
      <c r="F119" s="247"/>
      <c r="G119" s="247"/>
      <c r="H119" s="247"/>
      <c r="I119" s="247"/>
      <c r="J119" s="247"/>
      <c r="K119" s="247"/>
      <c r="L119" s="247"/>
      <c r="M119" s="247"/>
      <c r="N119" s="247"/>
      <c r="O119" s="247"/>
    </row>
    <row r="120" spans="2:15" ht="17.399999999999999">
      <c r="B120" s="1146">
        <v>43577</v>
      </c>
      <c r="C120" s="539" t="s">
        <v>2347</v>
      </c>
      <c r="D120" s="1"/>
      <c r="E120" s="853"/>
      <c r="F120" s="247"/>
      <c r="G120" s="247"/>
      <c r="H120" s="247"/>
      <c r="I120" s="247"/>
      <c r="J120" s="247"/>
      <c r="K120" s="247"/>
      <c r="L120" s="247"/>
      <c r="M120" s="247"/>
      <c r="N120" s="247"/>
      <c r="O120" s="247"/>
    </row>
    <row r="121" spans="2:15" ht="17.399999999999999">
      <c r="B121" s="1146">
        <v>43575</v>
      </c>
      <c r="C121" s="539" t="s">
        <v>2346</v>
      </c>
      <c r="D121" s="1"/>
      <c r="E121" s="853"/>
      <c r="F121" s="247"/>
      <c r="G121" s="247"/>
      <c r="H121" s="247"/>
      <c r="I121" s="247"/>
      <c r="J121" s="247"/>
      <c r="K121" s="247"/>
      <c r="L121" s="247"/>
      <c r="M121" s="247"/>
      <c r="N121" s="247"/>
      <c r="O121" s="247"/>
    </row>
    <row r="122" spans="2:15" ht="17.399999999999999">
      <c r="B122" s="1146">
        <v>43538</v>
      </c>
      <c r="C122" s="539" t="s">
        <v>2344</v>
      </c>
      <c r="D122" s="1"/>
      <c r="E122" s="853"/>
      <c r="F122" s="247"/>
      <c r="G122" s="247"/>
      <c r="H122" s="247"/>
      <c r="I122" s="247"/>
      <c r="J122" s="247"/>
      <c r="K122" s="247"/>
      <c r="L122" s="247"/>
      <c r="M122" s="247"/>
      <c r="N122" s="247"/>
      <c r="O122" s="247"/>
    </row>
    <row r="123" spans="2:15" ht="17.399999999999999">
      <c r="B123" s="1146" t="s">
        <v>2343</v>
      </c>
      <c r="C123" s="539" t="s">
        <v>2336</v>
      </c>
      <c r="D123" s="1"/>
      <c r="E123" s="853"/>
      <c r="F123" s="247"/>
      <c r="G123" s="247"/>
      <c r="H123" s="247"/>
      <c r="I123" s="247"/>
      <c r="J123" s="247"/>
      <c r="K123" s="247"/>
      <c r="L123" s="247"/>
      <c r="M123" s="247"/>
      <c r="N123" s="247"/>
      <c r="O123" s="247"/>
    </row>
    <row r="124" spans="2:15" ht="17.399999999999999">
      <c r="B124" s="1146">
        <v>43525</v>
      </c>
      <c r="C124" s="539" t="s">
        <v>2324</v>
      </c>
      <c r="D124" s="1"/>
      <c r="E124" s="853"/>
      <c r="F124" s="247"/>
      <c r="G124" s="247"/>
      <c r="H124" s="247"/>
      <c r="I124" s="247"/>
      <c r="J124" s="247"/>
      <c r="K124" s="247"/>
      <c r="L124" s="247"/>
      <c r="M124" s="247"/>
      <c r="N124" s="247"/>
      <c r="O124" s="247"/>
    </row>
    <row r="125" spans="2:15" ht="17.399999999999999">
      <c r="B125" s="247"/>
      <c r="C125" s="539" t="s">
        <v>2310</v>
      </c>
      <c r="D125" s="1"/>
      <c r="E125" s="853"/>
      <c r="F125" s="247"/>
      <c r="G125" s="247"/>
      <c r="H125" s="247"/>
      <c r="I125" s="247"/>
      <c r="J125" s="247"/>
      <c r="K125" s="247"/>
      <c r="L125" s="247"/>
      <c r="M125" s="247"/>
      <c r="N125" s="247"/>
      <c r="O125" s="247"/>
    </row>
    <row r="126" spans="2:15" ht="17.399999999999999">
      <c r="B126" s="247"/>
      <c r="C126" s="539" t="s">
        <v>2315</v>
      </c>
      <c r="D126" s="1"/>
      <c r="E126" s="853"/>
      <c r="F126" s="247"/>
      <c r="G126" s="247"/>
      <c r="H126" s="247"/>
      <c r="I126" s="247"/>
      <c r="J126" s="247"/>
      <c r="K126" s="247"/>
      <c r="L126" s="247"/>
      <c r="M126" s="247"/>
      <c r="N126" s="247"/>
      <c r="O126" s="247"/>
    </row>
    <row r="127" spans="2:15" ht="17.399999999999999">
      <c r="B127" s="247"/>
      <c r="C127" s="539" t="s">
        <v>2249</v>
      </c>
      <c r="D127" s="1"/>
      <c r="E127" s="853"/>
      <c r="F127" s="247"/>
      <c r="G127" s="247"/>
      <c r="H127" s="247"/>
      <c r="I127" s="247"/>
      <c r="J127" s="247"/>
      <c r="K127" s="247"/>
      <c r="L127" s="247"/>
      <c r="M127" s="247"/>
      <c r="N127" s="247"/>
      <c r="O127" s="247"/>
    </row>
    <row r="128" spans="2:15" ht="17.399999999999999">
      <c r="B128" s="247"/>
      <c r="C128" s="539" t="s">
        <v>2330</v>
      </c>
      <c r="D128" s="1"/>
      <c r="E128" s="853"/>
      <c r="F128" s="247"/>
      <c r="G128" s="247"/>
      <c r="H128" s="247"/>
      <c r="I128" s="247"/>
      <c r="J128" s="247"/>
      <c r="K128" s="247"/>
      <c r="L128" s="247"/>
      <c r="M128" s="247"/>
      <c r="N128" s="247"/>
      <c r="O128" s="247"/>
    </row>
    <row r="129" spans="2:15" ht="17.399999999999999">
      <c r="B129" s="247"/>
      <c r="C129" s="539" t="s">
        <v>2332</v>
      </c>
      <c r="D129" s="1"/>
      <c r="E129" s="853"/>
      <c r="F129" s="247"/>
      <c r="G129" s="247"/>
      <c r="H129" s="247"/>
      <c r="I129" s="247"/>
      <c r="J129" s="247"/>
      <c r="K129" s="247"/>
      <c r="L129" s="247"/>
      <c r="M129" s="247"/>
      <c r="N129" s="247"/>
      <c r="O129" s="247"/>
    </row>
    <row r="130" spans="2:15" ht="17.399999999999999">
      <c r="B130" s="247"/>
      <c r="C130" s="539" t="s">
        <v>2248</v>
      </c>
      <c r="D130" s="1"/>
      <c r="E130" s="853"/>
      <c r="F130" s="247"/>
      <c r="G130" s="247"/>
      <c r="H130" s="247"/>
      <c r="I130" s="247"/>
      <c r="J130" s="247"/>
      <c r="K130" s="247"/>
      <c r="L130" s="247"/>
      <c r="M130" s="247"/>
      <c r="N130" s="247"/>
      <c r="O130" s="247"/>
    </row>
    <row r="131" spans="2:15" ht="17.399999999999999">
      <c r="B131" s="247"/>
      <c r="C131" s="539" t="s">
        <v>2266</v>
      </c>
      <c r="D131" s="1"/>
      <c r="E131" s="853"/>
      <c r="F131" s="247"/>
      <c r="G131" s="247"/>
      <c r="H131" s="247"/>
      <c r="I131" s="247"/>
      <c r="J131" s="247"/>
      <c r="K131" s="247"/>
      <c r="L131" s="247"/>
      <c r="M131" s="247"/>
      <c r="N131" s="247"/>
      <c r="O131" s="247"/>
    </row>
    <row r="132" spans="2:15" ht="17.399999999999999">
      <c r="B132" s="247"/>
      <c r="C132" s="247"/>
      <c r="D132" s="1"/>
      <c r="E132" s="853"/>
      <c r="F132" s="247"/>
      <c r="G132" s="247"/>
      <c r="H132" s="247"/>
      <c r="I132" s="247"/>
      <c r="J132" s="247"/>
      <c r="K132" s="247"/>
      <c r="L132" s="247"/>
      <c r="M132" s="247"/>
      <c r="N132" s="247"/>
      <c r="O132" s="247"/>
    </row>
    <row r="133" spans="2:15" ht="17.399999999999999">
      <c r="B133" s="398">
        <v>19</v>
      </c>
      <c r="C133" s="539" t="s">
        <v>2029</v>
      </c>
      <c r="D133" s="539"/>
      <c r="E133" s="539"/>
      <c r="F133" s="539"/>
      <c r="G133" s="539"/>
      <c r="H133" s="539"/>
      <c r="I133" s="247"/>
      <c r="J133" s="247"/>
      <c r="K133" s="247"/>
      <c r="L133" s="247"/>
      <c r="M133" s="247"/>
      <c r="N133" s="247"/>
      <c r="O133" s="247"/>
    </row>
    <row r="134" spans="2:15" ht="17.399999999999999">
      <c r="B134" s="1146">
        <v>43466</v>
      </c>
      <c r="C134" s="539" t="s">
        <v>2039</v>
      </c>
      <c r="D134" s="539"/>
      <c r="E134" s="539"/>
      <c r="F134" s="539"/>
      <c r="G134" s="539"/>
      <c r="H134" s="539"/>
      <c r="I134" s="247"/>
      <c r="J134" s="247"/>
      <c r="K134" s="247"/>
      <c r="L134" s="247"/>
      <c r="M134" s="247"/>
      <c r="N134" s="247"/>
      <c r="O134" s="247"/>
    </row>
    <row r="135" spans="2:15" ht="17.399999999999999">
      <c r="B135" s="247"/>
      <c r="C135" s="539" t="s">
        <v>2207</v>
      </c>
      <c r="D135" s="539"/>
      <c r="E135" s="539"/>
      <c r="F135" s="539"/>
      <c r="G135" s="539"/>
      <c r="H135" s="539"/>
      <c r="I135" s="247"/>
      <c r="J135" s="247"/>
      <c r="K135" s="247"/>
      <c r="L135" s="247"/>
      <c r="M135" s="247"/>
      <c r="N135" s="247"/>
      <c r="O135" s="247"/>
    </row>
    <row r="136" spans="2:15" ht="17.399999999999999">
      <c r="B136" s="247"/>
      <c r="C136" s="539" t="s">
        <v>2208</v>
      </c>
      <c r="D136" s="539"/>
      <c r="E136" s="539"/>
      <c r="F136" s="539"/>
      <c r="G136" s="539"/>
      <c r="H136" s="539"/>
      <c r="I136" s="247"/>
      <c r="J136" s="247"/>
      <c r="K136" s="247"/>
      <c r="L136" s="247"/>
      <c r="M136" s="247"/>
      <c r="N136" s="247"/>
      <c r="O136" s="247"/>
    </row>
    <row r="137" spans="2:15" ht="17.399999999999999">
      <c r="B137" s="247"/>
      <c r="C137" s="539" t="s">
        <v>2206</v>
      </c>
      <c r="D137" s="539"/>
      <c r="E137" s="539"/>
      <c r="F137" s="539"/>
      <c r="G137" s="539"/>
      <c r="H137" s="539"/>
      <c r="I137" s="247"/>
      <c r="J137" s="247"/>
      <c r="K137" s="247"/>
      <c r="L137" s="247"/>
      <c r="M137" s="247"/>
      <c r="N137" s="247"/>
      <c r="O137" s="247"/>
    </row>
    <row r="138" spans="2:15" ht="17.399999999999999">
      <c r="B138" s="247"/>
      <c r="C138" s="539" t="s">
        <v>2200</v>
      </c>
      <c r="D138" s="539"/>
      <c r="E138" s="539"/>
      <c r="F138" s="539"/>
      <c r="G138" s="539"/>
      <c r="H138" s="539"/>
      <c r="I138" s="247"/>
      <c r="J138" s="247"/>
      <c r="K138" s="247"/>
      <c r="L138" s="247"/>
      <c r="M138" s="247"/>
      <c r="N138" s="247"/>
      <c r="O138" s="247"/>
    </row>
    <row r="139" spans="2:15" ht="17.399999999999999">
      <c r="B139" s="247"/>
      <c r="C139" s="539" t="s">
        <v>2205</v>
      </c>
      <c r="D139" s="539"/>
      <c r="E139" s="539"/>
      <c r="F139" s="539"/>
      <c r="G139" s="539"/>
      <c r="H139" s="539"/>
      <c r="I139" s="247"/>
      <c r="J139" s="247"/>
      <c r="K139" s="247"/>
      <c r="L139" s="247"/>
      <c r="M139" s="247"/>
      <c r="N139" s="247"/>
      <c r="O139" s="247"/>
    </row>
    <row r="140" spans="2:15" ht="17.399999999999999">
      <c r="B140" s="247"/>
      <c r="C140" s="539" t="s">
        <v>2323</v>
      </c>
      <c r="D140" s="539"/>
      <c r="E140" s="539"/>
      <c r="F140" s="539"/>
      <c r="G140" s="539"/>
      <c r="H140" s="539"/>
      <c r="I140" s="247"/>
      <c r="J140" s="247"/>
      <c r="K140" s="247"/>
      <c r="L140" s="247"/>
      <c r="M140" s="247"/>
      <c r="N140" s="247"/>
      <c r="O140" s="247"/>
    </row>
    <row r="141" spans="2:15" ht="17.399999999999999">
      <c r="B141" s="247"/>
      <c r="C141" s="539" t="s">
        <v>2321</v>
      </c>
      <c r="D141" s="539"/>
      <c r="E141" s="539"/>
      <c r="F141" s="539"/>
      <c r="G141" s="539"/>
      <c r="H141" s="539"/>
      <c r="I141" s="247"/>
      <c r="J141" s="247"/>
      <c r="K141" s="247"/>
      <c r="L141" s="247"/>
      <c r="M141" s="247"/>
      <c r="N141" s="247"/>
      <c r="O141" s="247"/>
    </row>
    <row r="142" spans="2:15" ht="17.399999999999999">
      <c r="B142" s="247"/>
      <c r="C142" s="539" t="s">
        <v>2322</v>
      </c>
      <c r="D142" s="539"/>
      <c r="E142" s="539"/>
      <c r="F142" s="539"/>
      <c r="G142" s="539"/>
      <c r="H142" s="539"/>
      <c r="I142" s="247"/>
      <c r="J142" s="247"/>
      <c r="K142" s="247"/>
      <c r="L142" s="247"/>
      <c r="M142" s="247"/>
      <c r="N142" s="247"/>
      <c r="O142" s="247"/>
    </row>
    <row r="143" spans="2:15" ht="17.399999999999999">
      <c r="B143" s="247"/>
      <c r="D143" s="539"/>
      <c r="E143" s="539"/>
      <c r="F143" s="539"/>
      <c r="G143" s="539"/>
      <c r="H143" s="539"/>
      <c r="I143" s="247"/>
      <c r="J143" s="247"/>
      <c r="K143" s="247"/>
      <c r="L143" s="247"/>
      <c r="M143" s="247"/>
      <c r="N143" s="247"/>
      <c r="O143" s="247"/>
    </row>
    <row r="144" spans="2:15" ht="17.399999999999999">
      <c r="B144" s="247"/>
      <c r="C144" s="539"/>
      <c r="D144" s="539"/>
      <c r="E144" s="539"/>
      <c r="F144" s="539"/>
      <c r="G144" s="539"/>
      <c r="H144" s="539"/>
      <c r="I144" s="247"/>
      <c r="J144" s="247"/>
      <c r="K144" s="247"/>
      <c r="L144" s="247"/>
      <c r="M144" s="247"/>
      <c r="N144" s="247"/>
      <c r="O144" s="247"/>
    </row>
    <row r="145" spans="2:15" ht="17.399999999999999">
      <c r="B145" s="247"/>
      <c r="C145" s="539"/>
      <c r="D145" s="539"/>
      <c r="E145" s="539"/>
      <c r="F145" s="539"/>
      <c r="G145" s="539"/>
      <c r="H145" s="539"/>
      <c r="I145" s="247"/>
      <c r="J145" s="247"/>
      <c r="K145" s="247"/>
      <c r="L145" s="247"/>
      <c r="M145" s="247"/>
      <c r="N145" s="247"/>
      <c r="O145" s="247"/>
    </row>
    <row r="146" spans="2:15" ht="17.399999999999999">
      <c r="B146" s="398">
        <v>18.2</v>
      </c>
      <c r="C146" s="539"/>
      <c r="D146" s="539"/>
      <c r="E146" s="539"/>
      <c r="F146" s="539"/>
      <c r="G146" s="539"/>
      <c r="H146" s="539"/>
      <c r="I146" s="247"/>
      <c r="J146" s="247"/>
      <c r="K146" s="247"/>
      <c r="L146" s="247"/>
      <c r="M146" s="247"/>
      <c r="N146" s="247"/>
      <c r="O146" s="247"/>
    </row>
    <row r="147" spans="2:15" ht="17.399999999999999">
      <c r="B147" s="1146">
        <v>43428</v>
      </c>
      <c r="C147" s="539" t="s">
        <v>2160</v>
      </c>
      <c r="D147" s="539"/>
      <c r="E147" s="539"/>
      <c r="F147" s="539"/>
      <c r="G147" s="539"/>
      <c r="H147" s="539"/>
      <c r="I147" s="247"/>
      <c r="J147" s="247"/>
      <c r="K147" s="247"/>
      <c r="L147" s="247"/>
      <c r="M147" s="247"/>
      <c r="N147" s="247"/>
      <c r="O147" s="247"/>
    </row>
    <row r="148" spans="2:15" ht="17.399999999999999">
      <c r="B148" s="1146">
        <v>43390</v>
      </c>
      <c r="C148" s="539" t="s">
        <v>2031</v>
      </c>
      <c r="D148" s="539"/>
      <c r="E148" s="539"/>
      <c r="F148" s="539"/>
      <c r="G148" s="539"/>
      <c r="H148" s="539"/>
      <c r="I148" s="247"/>
      <c r="J148" s="247"/>
      <c r="K148" s="247"/>
      <c r="L148" s="247"/>
      <c r="M148" s="247"/>
      <c r="N148" s="247"/>
      <c r="O148" s="247"/>
    </row>
    <row r="149" spans="2:15" ht="17.399999999999999">
      <c r="B149" s="1146">
        <v>43351</v>
      </c>
      <c r="C149" s="539" t="s">
        <v>2022</v>
      </c>
      <c r="D149" s="1"/>
      <c r="E149" s="853"/>
      <c r="F149" s="247"/>
      <c r="G149" s="247"/>
      <c r="H149" s="247"/>
      <c r="I149" s="247"/>
      <c r="J149" s="247"/>
      <c r="K149" s="247"/>
      <c r="L149" s="247"/>
      <c r="M149" s="247"/>
      <c r="N149" s="247"/>
      <c r="O149" s="247"/>
    </row>
    <row r="150" spans="2:15" ht="17.399999999999999">
      <c r="C150" s="539" t="s">
        <v>2023</v>
      </c>
      <c r="D150" s="1"/>
      <c r="E150" s="853"/>
      <c r="F150" s="247"/>
      <c r="G150" s="247"/>
      <c r="H150" s="247"/>
      <c r="I150" s="247"/>
      <c r="J150" s="247"/>
      <c r="K150" s="247"/>
      <c r="L150" s="247"/>
      <c r="M150" s="247"/>
      <c r="N150" s="247"/>
      <c r="O150" s="247"/>
    </row>
    <row r="151" spans="2:15" ht="17.399999999999999">
      <c r="C151" s="539" t="s">
        <v>2217</v>
      </c>
      <c r="D151" s="1"/>
      <c r="E151" s="853"/>
      <c r="F151" s="247"/>
      <c r="G151" s="247"/>
      <c r="H151" s="247"/>
      <c r="I151" s="247"/>
      <c r="J151" s="247"/>
      <c r="K151" s="247"/>
      <c r="L151" s="247"/>
      <c r="M151" s="247"/>
      <c r="N151" s="247"/>
      <c r="O151" s="247"/>
    </row>
    <row r="152" spans="2:15" ht="17.399999999999999">
      <c r="B152" s="247"/>
      <c r="C152" s="247"/>
      <c r="D152" s="1"/>
      <c r="E152" s="853"/>
      <c r="F152" s="247"/>
      <c r="G152" s="247"/>
      <c r="H152" s="247"/>
      <c r="I152" s="247"/>
      <c r="J152" s="247"/>
      <c r="K152" s="247"/>
      <c r="L152" s="247"/>
      <c r="M152" s="247"/>
      <c r="N152" s="247"/>
      <c r="O152" s="247"/>
    </row>
    <row r="153" spans="2:15" ht="17.399999999999999">
      <c r="B153" s="398">
        <v>18.100000000000001</v>
      </c>
      <c r="C153" s="539" t="s">
        <v>1918</v>
      </c>
      <c r="D153" s="1"/>
      <c r="E153" s="853"/>
      <c r="F153" s="247"/>
      <c r="G153" s="247"/>
      <c r="H153" s="247"/>
      <c r="I153" s="247"/>
      <c r="J153" s="247"/>
      <c r="K153" s="247"/>
      <c r="L153" s="247"/>
      <c r="M153" s="247"/>
      <c r="N153" s="247"/>
      <c r="O153" s="247"/>
    </row>
    <row r="154" spans="2:15" ht="17.399999999999999">
      <c r="B154" s="1146">
        <v>43205</v>
      </c>
      <c r="C154" s="524" t="s">
        <v>1997</v>
      </c>
      <c r="D154" s="1"/>
      <c r="E154" s="853"/>
      <c r="F154" s="247"/>
      <c r="G154" s="247"/>
      <c r="H154" s="247"/>
      <c r="I154" s="247"/>
      <c r="J154" s="247"/>
      <c r="K154" s="247"/>
      <c r="L154" s="247"/>
      <c r="M154" s="247"/>
      <c r="N154" s="247"/>
      <c r="O154" s="247"/>
    </row>
    <row r="155" spans="2:15" ht="17.399999999999999">
      <c r="B155" s="398"/>
      <c r="C155" s="539" t="s">
        <v>1996</v>
      </c>
      <c r="D155" s="1"/>
      <c r="E155" s="853"/>
      <c r="F155" s="247"/>
      <c r="G155" s="247"/>
      <c r="H155" s="247"/>
      <c r="I155" s="247"/>
      <c r="J155" s="247"/>
      <c r="K155" s="247"/>
      <c r="L155" s="247"/>
      <c r="M155" s="247"/>
      <c r="N155" s="247"/>
      <c r="O155" s="247"/>
    </row>
    <row r="156" spans="2:15" ht="17.399999999999999">
      <c r="B156" s="398"/>
      <c r="C156" s="539" t="s">
        <v>2015</v>
      </c>
      <c r="D156" s="1"/>
      <c r="E156" s="853"/>
      <c r="F156" s="247"/>
      <c r="G156" s="247"/>
      <c r="H156" s="247"/>
      <c r="I156" s="247"/>
      <c r="J156" s="247"/>
      <c r="K156" s="247"/>
      <c r="L156" s="247"/>
      <c r="M156" s="247"/>
      <c r="N156" s="247"/>
      <c r="O156" s="247"/>
    </row>
    <row r="157" spans="2:15" ht="17.399999999999999">
      <c r="B157" s="398"/>
      <c r="C157" s="539" t="s">
        <v>2008</v>
      </c>
      <c r="D157" s="1"/>
      <c r="E157" s="853"/>
      <c r="F157" s="247"/>
      <c r="G157" s="247"/>
      <c r="H157" s="247"/>
      <c r="I157" s="247"/>
      <c r="J157" s="247"/>
      <c r="K157" s="247"/>
      <c r="L157" s="247"/>
      <c r="M157" s="247"/>
      <c r="N157" s="247"/>
      <c r="O157" s="247"/>
    </row>
    <row r="158" spans="2:15" ht="17.399999999999999">
      <c r="B158" s="398"/>
      <c r="C158" s="539" t="s">
        <v>2009</v>
      </c>
      <c r="D158" s="1"/>
      <c r="E158" s="853"/>
      <c r="F158" s="247"/>
      <c r="G158" s="247"/>
      <c r="H158" s="247"/>
      <c r="I158" s="247"/>
      <c r="J158" s="247"/>
      <c r="K158" s="247"/>
      <c r="L158" s="247"/>
      <c r="M158" s="247"/>
      <c r="N158" s="247"/>
      <c r="O158" s="247"/>
    </row>
    <row r="159" spans="2:15" ht="17.399999999999999">
      <c r="B159" s="398"/>
      <c r="C159" s="539" t="s">
        <v>2011</v>
      </c>
      <c r="D159" s="1"/>
      <c r="E159" s="853"/>
      <c r="F159" s="247"/>
      <c r="G159" s="247"/>
      <c r="H159" s="247"/>
      <c r="I159" s="247"/>
      <c r="J159" s="247"/>
      <c r="K159" s="247"/>
      <c r="L159" s="247"/>
      <c r="M159" s="247"/>
      <c r="N159" s="247"/>
      <c r="O159" s="247"/>
    </row>
    <row r="160" spans="2:15" ht="17.399999999999999">
      <c r="B160" s="398"/>
      <c r="C160" s="539" t="s">
        <v>2010</v>
      </c>
      <c r="D160" s="1"/>
      <c r="E160" s="853"/>
      <c r="F160" s="247"/>
      <c r="G160" s="247"/>
      <c r="H160" s="247"/>
      <c r="I160" s="247"/>
      <c r="J160" s="247"/>
      <c r="K160" s="247"/>
      <c r="L160" s="247"/>
      <c r="M160" s="247"/>
      <c r="N160" s="247"/>
      <c r="O160" s="247"/>
    </row>
    <row r="161" spans="2:15" ht="17.399999999999999">
      <c r="B161" s="398"/>
      <c r="C161" s="539" t="s">
        <v>2016</v>
      </c>
      <c r="D161" s="1"/>
      <c r="E161" s="853"/>
      <c r="F161" s="247"/>
      <c r="G161" s="247"/>
      <c r="H161" s="247"/>
      <c r="I161" s="247"/>
      <c r="J161" s="247"/>
      <c r="K161" s="247"/>
      <c r="L161" s="247"/>
      <c r="M161" s="247"/>
      <c r="N161" s="247"/>
      <c r="O161" s="247"/>
    </row>
    <row r="162" spans="2:15" ht="17.399999999999999">
      <c r="B162" s="398"/>
      <c r="C162" s="539" t="s">
        <v>2019</v>
      </c>
      <c r="D162" s="1"/>
      <c r="E162" s="853"/>
      <c r="F162" s="247"/>
      <c r="G162" s="247"/>
      <c r="H162" s="247"/>
      <c r="I162" s="247"/>
      <c r="J162" s="247"/>
      <c r="K162" s="247"/>
      <c r="L162" s="247"/>
      <c r="M162" s="247"/>
      <c r="N162" s="247"/>
      <c r="O162" s="247"/>
    </row>
    <row r="163" spans="2:15" ht="17.399999999999999">
      <c r="B163" s="398"/>
      <c r="C163" s="539" t="s">
        <v>1832</v>
      </c>
      <c r="D163" s="1"/>
      <c r="E163" s="853"/>
      <c r="F163" s="247"/>
      <c r="G163" s="247"/>
      <c r="H163" s="247"/>
      <c r="I163" s="247"/>
      <c r="J163" s="247"/>
      <c r="K163" s="247"/>
      <c r="L163" s="247"/>
      <c r="M163" s="247"/>
      <c r="N163" s="247"/>
      <c r="O163" s="247"/>
    </row>
    <row r="164" spans="2:15" ht="17.399999999999999">
      <c r="B164" s="398"/>
      <c r="D164" s="1"/>
      <c r="E164" s="853"/>
      <c r="F164" s="247"/>
      <c r="G164" s="247"/>
      <c r="H164" s="247"/>
      <c r="I164" s="247"/>
      <c r="J164" s="247"/>
      <c r="K164" s="247"/>
      <c r="L164" s="247"/>
      <c r="M164" s="247"/>
      <c r="N164" s="247"/>
      <c r="O164" s="247"/>
    </row>
    <row r="165" spans="2:15" ht="17.399999999999999">
      <c r="B165" s="398">
        <v>18</v>
      </c>
      <c r="C165" t="s">
        <v>317</v>
      </c>
      <c r="D165" s="1"/>
      <c r="E165" s="853"/>
      <c r="F165" s="247"/>
      <c r="G165" s="247"/>
      <c r="H165" s="247"/>
      <c r="I165" s="247"/>
      <c r="J165" s="247"/>
      <c r="K165" s="247"/>
      <c r="L165" s="247"/>
      <c r="M165" s="247"/>
      <c r="N165" s="247"/>
      <c r="O165" s="247"/>
    </row>
    <row r="166" spans="2:15" ht="17.399999999999999">
      <c r="B166" s="1146">
        <v>43101</v>
      </c>
      <c r="C166" t="s">
        <v>1438</v>
      </c>
      <c r="D166" s="1"/>
      <c r="E166" s="853"/>
      <c r="F166" s="247"/>
      <c r="G166" s="247"/>
      <c r="H166" s="247"/>
      <c r="I166" s="247"/>
      <c r="J166" s="247"/>
      <c r="K166" s="247"/>
      <c r="L166" s="247"/>
      <c r="M166" s="247"/>
      <c r="N166" s="247"/>
      <c r="O166" s="247"/>
    </row>
    <row r="167" spans="2:15" ht="17.399999999999999">
      <c r="B167" s="247"/>
      <c r="C167" s="21" t="s">
        <v>1775</v>
      </c>
      <c r="D167" s="1"/>
      <c r="E167" s="853"/>
      <c r="F167" s="247"/>
      <c r="G167" s="247"/>
      <c r="H167" s="247"/>
      <c r="I167" s="247"/>
      <c r="J167" s="247"/>
      <c r="K167" s="247"/>
      <c r="L167" s="247"/>
      <c r="M167" s="247"/>
      <c r="N167" s="247"/>
      <c r="O167" s="247"/>
    </row>
    <row r="168" spans="2:15" ht="17.399999999999999">
      <c r="B168" s="247"/>
      <c r="C168" s="21" t="s">
        <v>1776</v>
      </c>
      <c r="D168" s="1"/>
      <c r="E168" s="853"/>
      <c r="F168" s="247"/>
      <c r="G168" s="247"/>
      <c r="H168" s="247"/>
      <c r="I168" s="247"/>
      <c r="J168" s="247"/>
      <c r="K168" s="247"/>
      <c r="L168" s="247"/>
      <c r="M168" s="247"/>
      <c r="N168" s="247"/>
      <c r="O168" s="247"/>
    </row>
    <row r="169" spans="2:15" ht="17.399999999999999">
      <c r="B169" s="247"/>
      <c r="C169" s="539" t="s">
        <v>1802</v>
      </c>
      <c r="D169" s="1"/>
      <c r="E169" s="853"/>
      <c r="F169" s="247"/>
      <c r="G169" s="247"/>
      <c r="H169" s="247"/>
      <c r="I169" s="247"/>
      <c r="J169" s="247"/>
      <c r="K169" s="247"/>
      <c r="L169" s="247"/>
      <c r="M169" s="247"/>
      <c r="N169" s="247"/>
      <c r="O169" s="247"/>
    </row>
    <row r="170" spans="2:15" ht="17.399999999999999" customHeight="1">
      <c r="B170" s="247"/>
      <c r="C170" t="s">
        <v>1801</v>
      </c>
      <c r="D170" s="1"/>
      <c r="E170" s="853"/>
      <c r="F170" s="247"/>
      <c r="G170" s="247"/>
      <c r="H170" s="247"/>
      <c r="I170" s="247"/>
      <c r="J170" s="247"/>
      <c r="K170" s="247"/>
      <c r="L170" s="247"/>
      <c r="M170" s="247"/>
      <c r="N170" s="247"/>
      <c r="O170" s="247"/>
    </row>
    <row r="171" spans="2:15" ht="17.399999999999999" customHeight="1">
      <c r="B171" s="272" t="s">
        <v>1804</v>
      </c>
      <c r="C171" s="539" t="s">
        <v>1805</v>
      </c>
      <c r="D171" s="1"/>
      <c r="E171" s="853"/>
      <c r="F171" s="247"/>
      <c r="G171" s="247"/>
      <c r="H171" s="247"/>
      <c r="I171" s="247"/>
      <c r="J171" s="247"/>
      <c r="K171" s="247"/>
      <c r="L171" s="247"/>
      <c r="M171" s="247"/>
      <c r="N171" s="247"/>
      <c r="O171" s="247"/>
    </row>
    <row r="172" spans="2:15" ht="17.399999999999999">
      <c r="B172" s="247"/>
      <c r="C172" s="539" t="s">
        <v>1806</v>
      </c>
      <c r="D172" s="1"/>
      <c r="E172" s="853"/>
      <c r="F172" s="247"/>
      <c r="G172" s="247"/>
      <c r="H172" s="247"/>
      <c r="I172" s="247"/>
      <c r="J172" s="247"/>
      <c r="K172" s="247"/>
      <c r="L172" s="247"/>
      <c r="M172" s="247"/>
      <c r="N172" s="247"/>
      <c r="O172" s="247"/>
    </row>
    <row r="173" spans="2:15" ht="17.399999999999999">
      <c r="B173" s="247"/>
      <c r="C173" s="539" t="s">
        <v>1807</v>
      </c>
      <c r="D173" s="1"/>
      <c r="E173" s="853"/>
      <c r="F173" s="247"/>
      <c r="G173" s="247"/>
      <c r="H173" s="247"/>
      <c r="I173" s="247"/>
      <c r="J173" s="247"/>
      <c r="K173" s="247"/>
      <c r="L173" s="247"/>
      <c r="M173" s="247"/>
      <c r="N173" s="247"/>
      <c r="O173" s="247"/>
    </row>
    <row r="174" spans="2:15" ht="17.399999999999999">
      <c r="B174" s="247"/>
      <c r="C174" s="539" t="s">
        <v>1808</v>
      </c>
      <c r="D174" s="1"/>
      <c r="E174" s="853"/>
      <c r="F174" s="247"/>
      <c r="G174" s="247"/>
      <c r="H174" s="247"/>
      <c r="I174" s="247"/>
      <c r="J174" s="247"/>
      <c r="K174" s="247"/>
      <c r="L174" s="247"/>
      <c r="M174" s="247"/>
      <c r="N174" s="247"/>
      <c r="O174" s="247"/>
    </row>
    <row r="175" spans="2:15" ht="17.399999999999999">
      <c r="B175" s="247"/>
      <c r="C175" s="539" t="s">
        <v>1809</v>
      </c>
      <c r="D175" s="1"/>
      <c r="E175" s="853"/>
      <c r="F175" s="247"/>
      <c r="G175" s="247"/>
      <c r="H175" s="247"/>
      <c r="I175" s="247"/>
      <c r="J175" s="247"/>
      <c r="K175" s="247"/>
      <c r="L175" s="247"/>
      <c r="M175" s="247"/>
      <c r="N175" s="247"/>
      <c r="O175" s="247"/>
    </row>
    <row r="176" spans="2:15" ht="17.399999999999999">
      <c r="B176" s="247"/>
      <c r="C176" s="539" t="s">
        <v>1811</v>
      </c>
      <c r="D176" s="1"/>
      <c r="E176" s="853"/>
      <c r="F176" s="247"/>
      <c r="G176" s="247"/>
      <c r="H176" s="247"/>
      <c r="I176" s="247"/>
      <c r="J176" s="247"/>
      <c r="K176" s="247"/>
      <c r="L176" s="247"/>
      <c r="M176" s="247"/>
      <c r="N176" s="247"/>
      <c r="O176" s="247"/>
    </row>
    <row r="177" spans="2:15" ht="17.399999999999999">
      <c r="B177" s="247"/>
      <c r="C177" s="539" t="s">
        <v>1841</v>
      </c>
      <c r="D177" s="1"/>
      <c r="E177" s="853"/>
      <c r="F177" s="247"/>
      <c r="G177" s="247"/>
      <c r="H177" s="247"/>
      <c r="I177" s="247"/>
      <c r="J177" s="247"/>
      <c r="K177" s="247"/>
      <c r="L177" s="247"/>
      <c r="M177" s="247"/>
      <c r="N177" s="247"/>
      <c r="O177" s="247"/>
    </row>
    <row r="178" spans="2:15" ht="17.399999999999999">
      <c r="B178" s="247"/>
      <c r="C178" s="539"/>
      <c r="D178" s="1"/>
      <c r="E178" s="853"/>
      <c r="F178" s="247"/>
      <c r="G178" s="247"/>
      <c r="H178" s="247"/>
      <c r="I178" s="247"/>
      <c r="J178" s="247"/>
      <c r="K178" s="247"/>
      <c r="L178" s="247"/>
      <c r="M178" s="247"/>
      <c r="N178" s="247"/>
      <c r="O178" s="247"/>
    </row>
    <row r="179" spans="2:15" ht="17.399999999999999">
      <c r="B179" s="247"/>
      <c r="C179" s="539"/>
      <c r="D179" s="1"/>
      <c r="E179" s="853"/>
      <c r="F179" s="247"/>
      <c r="G179" s="247"/>
      <c r="H179" s="247"/>
      <c r="I179" s="247"/>
      <c r="J179" s="247"/>
      <c r="K179" s="247"/>
      <c r="L179" s="247"/>
      <c r="M179" s="247"/>
      <c r="N179" s="247"/>
      <c r="O179" s="247"/>
    </row>
    <row r="180" spans="2:15" ht="17.399999999999999">
      <c r="B180" s="247"/>
      <c r="C180" s="539"/>
      <c r="D180" s="1"/>
      <c r="E180" s="853"/>
      <c r="F180" s="247"/>
      <c r="G180" s="247"/>
      <c r="H180" s="247"/>
      <c r="I180" s="247"/>
      <c r="J180" s="247"/>
      <c r="K180" s="247"/>
      <c r="L180" s="247"/>
      <c r="M180" s="247"/>
      <c r="N180" s="247"/>
      <c r="O180" s="247"/>
    </row>
    <row r="181" spans="2:15" ht="17.399999999999999">
      <c r="B181" s="247"/>
      <c r="C181" s="539"/>
      <c r="D181" s="1"/>
      <c r="E181" s="853"/>
      <c r="F181" s="247"/>
      <c r="G181" s="247"/>
      <c r="H181" s="247"/>
      <c r="I181" s="247"/>
      <c r="J181" s="247"/>
      <c r="K181" s="247"/>
      <c r="L181" s="247"/>
      <c r="M181" s="247"/>
      <c r="N181" s="247"/>
      <c r="O181" s="247"/>
    </row>
    <row r="182" spans="2:15" ht="17.399999999999999">
      <c r="B182" s="1146">
        <v>42899</v>
      </c>
      <c r="C182" t="s">
        <v>1597</v>
      </c>
      <c r="D182" s="1"/>
      <c r="E182" s="853"/>
      <c r="F182" s="247"/>
      <c r="G182" s="247"/>
      <c r="H182" s="247"/>
      <c r="I182" s="247"/>
      <c r="J182" s="247"/>
      <c r="K182" s="247"/>
      <c r="L182" s="247"/>
      <c r="M182" s="247"/>
      <c r="N182" s="247"/>
      <c r="O182" s="247"/>
    </row>
    <row r="183" spans="2:15" ht="17.399999999999999">
      <c r="B183" s="1146">
        <v>42893</v>
      </c>
      <c r="C183" t="s">
        <v>1644</v>
      </c>
      <c r="D183" s="1"/>
      <c r="E183" s="853"/>
      <c r="F183" s="247"/>
      <c r="G183" s="247"/>
      <c r="H183" s="247"/>
      <c r="I183" s="247"/>
      <c r="J183" s="247"/>
      <c r="K183" s="247"/>
      <c r="L183" s="247"/>
      <c r="M183" s="247"/>
      <c r="N183" s="247"/>
      <c r="O183" s="247"/>
    </row>
    <row r="184" spans="2:15" ht="17.399999999999999">
      <c r="B184" s="1146">
        <v>42845</v>
      </c>
      <c r="C184" t="s">
        <v>1645</v>
      </c>
      <c r="D184" s="1"/>
      <c r="E184" s="853"/>
      <c r="F184" s="247"/>
      <c r="G184" s="247"/>
      <c r="H184" s="247"/>
      <c r="I184" s="247"/>
      <c r="J184" s="247"/>
      <c r="K184" s="247"/>
      <c r="L184" s="247"/>
      <c r="M184" s="247"/>
      <c r="N184" s="247"/>
      <c r="O184" s="247"/>
    </row>
    <row r="185" spans="2:15" ht="17.399999999999999">
      <c r="B185" s="1146">
        <v>42816</v>
      </c>
      <c r="C185" t="s">
        <v>949</v>
      </c>
      <c r="D185" s="1"/>
      <c r="E185" s="853"/>
      <c r="F185" s="247"/>
      <c r="G185" s="247"/>
      <c r="H185" s="247"/>
      <c r="I185" s="247"/>
      <c r="J185" s="247"/>
      <c r="K185" s="247"/>
      <c r="L185" s="247"/>
      <c r="M185" s="247"/>
      <c r="N185" s="247"/>
      <c r="O185" s="247"/>
    </row>
    <row r="186" spans="2:15" ht="17.399999999999999">
      <c r="B186" s="1146">
        <v>42812</v>
      </c>
      <c r="C186" t="s">
        <v>950</v>
      </c>
      <c r="D186" s="1"/>
      <c r="E186" s="853"/>
      <c r="F186" s="247"/>
      <c r="G186" s="247"/>
      <c r="H186" s="247"/>
      <c r="I186" s="247"/>
      <c r="J186" s="247"/>
      <c r="K186" s="247"/>
      <c r="L186" s="247"/>
      <c r="M186" s="247"/>
      <c r="N186" s="247"/>
      <c r="O186" s="247"/>
    </row>
    <row r="187" spans="2:15" ht="17.399999999999999">
      <c r="B187" s="1146">
        <v>42745</v>
      </c>
      <c r="C187" t="s">
        <v>1376</v>
      </c>
      <c r="D187" s="1"/>
      <c r="E187" s="853"/>
      <c r="F187" s="247"/>
      <c r="G187" s="247"/>
      <c r="H187" s="247"/>
      <c r="I187" s="247"/>
      <c r="J187" s="247"/>
      <c r="K187" s="247"/>
      <c r="L187" s="247"/>
      <c r="M187" s="247"/>
      <c r="N187" s="247"/>
      <c r="O187" s="247"/>
    </row>
    <row r="188" spans="2:15" ht="17.399999999999999">
      <c r="B188" s="1146">
        <v>42748</v>
      </c>
      <c r="C188" t="s">
        <v>683</v>
      </c>
      <c r="D188" s="1"/>
      <c r="E188" s="853"/>
      <c r="F188" s="247"/>
      <c r="G188" s="247"/>
      <c r="H188" s="247"/>
      <c r="I188" s="247"/>
      <c r="J188" s="247"/>
      <c r="K188" s="247"/>
      <c r="L188" s="247"/>
      <c r="M188" s="247"/>
      <c r="N188" s="247"/>
      <c r="O188" s="247"/>
    </row>
    <row r="189" spans="2:15" ht="17.399999999999999">
      <c r="B189" s="247"/>
      <c r="C189" s="247"/>
      <c r="D189" s="1"/>
      <c r="E189" s="853"/>
      <c r="F189" s="247"/>
      <c r="G189" s="247"/>
      <c r="H189" s="247"/>
      <c r="I189" s="247"/>
      <c r="J189" s="247"/>
      <c r="K189" s="247"/>
      <c r="L189" s="247"/>
      <c r="M189" s="247"/>
      <c r="N189" s="247"/>
      <c r="O189" s="247"/>
    </row>
    <row r="190" spans="2:15" ht="17.399999999999999">
      <c r="B190" s="398">
        <v>17</v>
      </c>
      <c r="C190" t="s">
        <v>565</v>
      </c>
      <c r="D190" s="1"/>
      <c r="E190" s="853"/>
      <c r="F190" s="247"/>
      <c r="G190" s="247"/>
      <c r="H190" s="247"/>
      <c r="I190" s="247"/>
      <c r="J190" s="247"/>
      <c r="K190" s="247"/>
      <c r="L190" s="247"/>
      <c r="M190" s="247"/>
      <c r="N190" s="247"/>
      <c r="O190" s="247"/>
    </row>
    <row r="191" spans="2:15" ht="17.399999999999999">
      <c r="B191" s="398"/>
      <c r="C191" t="s">
        <v>566</v>
      </c>
      <c r="D191" s="1"/>
      <c r="E191" s="853"/>
      <c r="F191" s="247"/>
      <c r="G191" s="247"/>
      <c r="H191" s="247"/>
      <c r="I191" s="247"/>
      <c r="J191" s="247"/>
      <c r="K191" s="247"/>
      <c r="L191" s="247"/>
      <c r="M191" s="247"/>
      <c r="N191" s="247"/>
      <c r="O191" s="247"/>
    </row>
    <row r="192" spans="2:15" ht="17.399999999999999">
      <c r="B192" s="142"/>
      <c r="C192" t="s">
        <v>8</v>
      </c>
      <c r="D192" s="1"/>
      <c r="E192" s="853"/>
      <c r="F192" s="247"/>
      <c r="G192" s="247"/>
      <c r="H192" s="247"/>
      <c r="I192" s="247"/>
      <c r="J192" s="247"/>
      <c r="K192" s="247"/>
      <c r="L192" s="247"/>
      <c r="M192" s="247"/>
      <c r="N192" s="247"/>
      <c r="O192" s="247"/>
    </row>
    <row r="193" spans="2:15" ht="17.399999999999999">
      <c r="B193" s="247"/>
      <c r="C193" t="s">
        <v>29</v>
      </c>
      <c r="D193" s="1"/>
      <c r="E193" s="853"/>
      <c r="F193" s="247"/>
      <c r="G193" s="247"/>
      <c r="H193" s="247"/>
      <c r="I193" s="247"/>
      <c r="J193" s="247"/>
      <c r="K193" s="247"/>
      <c r="L193" s="247"/>
      <c r="M193" s="247"/>
      <c r="N193" s="247"/>
      <c r="O193" s="247"/>
    </row>
    <row r="194" spans="2:15" ht="17.399999999999999">
      <c r="B194" s="247"/>
      <c r="C194" t="s">
        <v>318</v>
      </c>
      <c r="D194" s="1"/>
      <c r="E194" s="853"/>
      <c r="F194" s="247"/>
      <c r="G194" s="247"/>
      <c r="H194" s="247"/>
      <c r="I194" s="247"/>
      <c r="J194" s="247"/>
      <c r="K194" s="247"/>
      <c r="L194" s="247"/>
      <c r="M194" s="247"/>
      <c r="N194" s="247"/>
      <c r="O194" s="247"/>
    </row>
    <row r="195" spans="2:15" ht="17.399999999999999">
      <c r="B195" s="247"/>
      <c r="C195" t="s">
        <v>277</v>
      </c>
      <c r="D195" s="1"/>
      <c r="E195" s="853"/>
      <c r="F195" s="247"/>
      <c r="G195" s="247"/>
      <c r="H195" s="247"/>
      <c r="I195" s="247"/>
      <c r="J195" s="247"/>
      <c r="K195" s="247"/>
      <c r="L195" s="247"/>
      <c r="M195" s="247"/>
      <c r="N195" s="247"/>
      <c r="O195" s="247"/>
    </row>
    <row r="196" spans="2:15" ht="17.399999999999999">
      <c r="B196" s="247"/>
      <c r="C196" t="s">
        <v>457</v>
      </c>
      <c r="D196" s="1"/>
      <c r="E196" s="853"/>
      <c r="F196" s="247"/>
      <c r="G196" s="247"/>
      <c r="H196" s="247"/>
      <c r="I196" s="247"/>
      <c r="J196" s="247"/>
      <c r="K196" s="247"/>
      <c r="L196" s="247"/>
      <c r="M196" s="247"/>
      <c r="N196" s="247"/>
      <c r="O196" s="247"/>
    </row>
    <row r="197" spans="2:15" ht="17.399999999999999">
      <c r="B197" s="247"/>
      <c r="C197" t="s">
        <v>631</v>
      </c>
      <c r="D197" s="1"/>
      <c r="E197" s="853"/>
      <c r="F197" s="247"/>
      <c r="G197" s="247"/>
      <c r="H197" s="247"/>
      <c r="I197" s="247"/>
      <c r="J197" s="247"/>
      <c r="K197" s="247"/>
      <c r="L197" s="247"/>
      <c r="M197" s="247"/>
      <c r="N197" s="247"/>
      <c r="O197" s="247"/>
    </row>
    <row r="198" spans="2:15" ht="17.399999999999999">
      <c r="B198" s="247"/>
      <c r="C198" t="s">
        <v>30</v>
      </c>
      <c r="D198" s="1"/>
      <c r="E198" s="853"/>
      <c r="F198" s="247"/>
      <c r="G198" s="247"/>
      <c r="H198" s="247"/>
      <c r="I198" s="247"/>
      <c r="J198" s="247"/>
      <c r="K198" s="247"/>
      <c r="L198" s="247"/>
      <c r="M198" s="247"/>
      <c r="N198" s="247"/>
      <c r="O198" s="247"/>
    </row>
    <row r="199" spans="2:15" ht="17.399999999999999">
      <c r="B199" s="5" t="s">
        <v>31</v>
      </c>
      <c r="C199" t="s">
        <v>76</v>
      </c>
      <c r="D199" s="1"/>
      <c r="E199" s="853"/>
      <c r="F199" s="247"/>
      <c r="G199" s="247"/>
      <c r="H199" s="247"/>
      <c r="I199" s="247"/>
      <c r="J199" s="247"/>
      <c r="K199" s="247"/>
      <c r="L199" s="247"/>
      <c r="M199" s="247"/>
      <c r="N199" s="247"/>
      <c r="O199" s="247"/>
    </row>
    <row r="200" spans="2:15" ht="17.399999999999999">
      <c r="B200" s="5"/>
      <c r="C200" t="s">
        <v>868</v>
      </c>
      <c r="D200" s="1"/>
      <c r="E200" s="853"/>
      <c r="F200" s="247"/>
      <c r="G200" s="247"/>
      <c r="H200" s="247"/>
      <c r="I200" s="247"/>
      <c r="J200" s="247"/>
      <c r="K200" s="247"/>
      <c r="L200" s="247"/>
      <c r="M200" s="247"/>
      <c r="N200" s="247"/>
      <c r="O200" s="247"/>
    </row>
    <row r="201" spans="2:15" ht="17.399999999999999">
      <c r="B201" s="247"/>
      <c r="C201" s="150" t="s">
        <v>1051</v>
      </c>
      <c r="D201" s="1"/>
      <c r="E201" s="853"/>
      <c r="F201" s="247"/>
      <c r="G201" s="247"/>
      <c r="H201" s="247"/>
      <c r="I201" s="247"/>
      <c r="J201" s="247"/>
      <c r="K201" s="247"/>
      <c r="L201" s="247"/>
      <c r="M201" s="247"/>
      <c r="N201" s="247"/>
      <c r="O201" s="247"/>
    </row>
    <row r="202" spans="2:15" ht="17.399999999999999">
      <c r="B202" s="247"/>
      <c r="C202" s="150"/>
      <c r="D202" s="1"/>
      <c r="E202" s="853"/>
      <c r="F202" s="247"/>
      <c r="G202" s="247"/>
      <c r="H202" s="247"/>
      <c r="I202" s="247"/>
      <c r="J202" s="247"/>
      <c r="K202" s="247"/>
      <c r="L202" s="247"/>
      <c r="M202" s="247"/>
      <c r="N202" s="247"/>
      <c r="O202" s="247"/>
    </row>
    <row r="203" spans="2:15" ht="17.399999999999999">
      <c r="B203" s="5">
        <v>16.3</v>
      </c>
      <c r="C203" t="s">
        <v>1</v>
      </c>
      <c r="D203" s="1"/>
      <c r="E203" s="853"/>
      <c r="F203" s="247"/>
      <c r="G203" s="247"/>
      <c r="H203" s="247"/>
      <c r="I203" s="247"/>
      <c r="J203" s="247"/>
      <c r="K203" s="247"/>
      <c r="L203" s="247"/>
      <c r="M203" s="247"/>
      <c r="N203" s="247"/>
      <c r="O203" s="247"/>
    </row>
    <row r="204" spans="2:15" ht="17.399999999999999">
      <c r="B204" s="142">
        <v>42659</v>
      </c>
      <c r="C204" s="138" t="s">
        <v>1324</v>
      </c>
      <c r="D204" s="1"/>
      <c r="E204" s="853"/>
      <c r="F204" s="247"/>
      <c r="G204" s="247"/>
      <c r="H204" s="247"/>
      <c r="I204" s="247"/>
      <c r="J204" s="247"/>
      <c r="K204" s="247"/>
      <c r="L204" s="247"/>
      <c r="M204" s="247"/>
      <c r="N204" s="247"/>
      <c r="O204" s="247"/>
    </row>
    <row r="205" spans="2:15" ht="17.399999999999999">
      <c r="B205" s="5"/>
      <c r="C205" s="138" t="s">
        <v>1746</v>
      </c>
      <c r="D205" s="1"/>
      <c r="E205" s="853"/>
      <c r="F205" s="247"/>
      <c r="G205" s="247"/>
      <c r="H205" s="247"/>
      <c r="I205" s="247"/>
      <c r="J205" s="247"/>
      <c r="K205" s="247"/>
      <c r="L205" s="247"/>
      <c r="M205" s="247"/>
      <c r="N205" s="247"/>
      <c r="O205" s="247"/>
    </row>
    <row r="206" spans="2:15" ht="17.399999999999999">
      <c r="B206" s="5"/>
      <c r="C206" s="138" t="s">
        <v>1262</v>
      </c>
      <c r="D206" s="1"/>
      <c r="E206" s="853"/>
      <c r="F206" s="247"/>
      <c r="G206" s="247"/>
      <c r="H206" s="247"/>
      <c r="I206" s="247"/>
      <c r="J206" s="247"/>
      <c r="K206" s="247"/>
      <c r="L206" s="247"/>
      <c r="M206" s="247"/>
      <c r="N206" s="247"/>
      <c r="O206" s="247"/>
    </row>
    <row r="207" spans="2:15" ht="17.399999999999999">
      <c r="B207" s="5"/>
      <c r="C207" s="150" t="s">
        <v>898</v>
      </c>
      <c r="D207" s="1"/>
      <c r="E207" s="853"/>
      <c r="F207" s="247"/>
      <c r="G207" s="247"/>
      <c r="H207" s="247"/>
      <c r="I207" s="247"/>
      <c r="J207" s="247"/>
      <c r="K207" s="247"/>
      <c r="L207" s="247"/>
      <c r="M207" s="247"/>
      <c r="N207" s="247"/>
      <c r="O207" s="247"/>
    </row>
    <row r="208" spans="2:15" ht="17.399999999999999">
      <c r="B208" s="5"/>
      <c r="C208" s="138" t="s">
        <v>1648</v>
      </c>
      <c r="D208" s="1"/>
      <c r="E208" s="853"/>
      <c r="F208" s="247"/>
      <c r="G208" s="247"/>
      <c r="H208" s="247"/>
      <c r="I208" s="247"/>
      <c r="J208" s="247"/>
      <c r="K208" s="247"/>
      <c r="L208" s="247"/>
      <c r="M208" s="247"/>
      <c r="N208" s="247"/>
      <c r="O208" s="247"/>
    </row>
    <row r="209" spans="2:15" ht="17.399999999999999">
      <c r="B209" s="5"/>
      <c r="C209" s="138" t="s">
        <v>41</v>
      </c>
      <c r="D209" s="1"/>
      <c r="E209" s="853"/>
      <c r="F209" s="247"/>
      <c r="G209" s="247"/>
      <c r="H209" s="247"/>
      <c r="I209" s="247"/>
      <c r="J209" s="247"/>
      <c r="K209" s="247"/>
      <c r="L209" s="247"/>
      <c r="M209" s="247"/>
      <c r="N209" s="247"/>
      <c r="O209" s="247"/>
    </row>
    <row r="210" spans="2:15" ht="17.399999999999999">
      <c r="B210" s="5"/>
      <c r="C210" s="150" t="s">
        <v>953</v>
      </c>
      <c r="D210" s="1"/>
      <c r="E210" s="853"/>
      <c r="F210" s="247"/>
      <c r="G210" s="247"/>
      <c r="H210" s="247"/>
      <c r="I210" s="247"/>
      <c r="J210" s="247"/>
      <c r="K210" s="247"/>
      <c r="L210" s="247"/>
      <c r="M210" s="247"/>
      <c r="N210" s="247"/>
      <c r="O210" s="247"/>
    </row>
    <row r="211" spans="2:15" ht="17.399999999999999">
      <c r="B211" s="247"/>
      <c r="C211" s="150" t="s">
        <v>952</v>
      </c>
      <c r="D211" s="1"/>
      <c r="E211" s="853"/>
      <c r="F211" s="247"/>
      <c r="G211" s="247"/>
      <c r="H211" s="247"/>
      <c r="I211" s="247"/>
      <c r="J211" s="247"/>
      <c r="K211" s="247"/>
      <c r="L211" s="247"/>
      <c r="M211" s="247"/>
      <c r="N211" s="247"/>
      <c r="O211" s="247"/>
    </row>
    <row r="212" spans="2:15" ht="17.399999999999999">
      <c r="B212" s="247"/>
      <c r="C212" s="150" t="s">
        <v>1068</v>
      </c>
      <c r="D212" s="1"/>
      <c r="E212" s="853"/>
      <c r="F212" s="247"/>
      <c r="G212" s="247"/>
      <c r="H212" s="247"/>
      <c r="I212" s="247"/>
      <c r="J212" s="247"/>
      <c r="K212" s="247"/>
      <c r="L212" s="247"/>
      <c r="M212" s="247"/>
      <c r="N212" s="247"/>
      <c r="O212" s="247"/>
    </row>
    <row r="213" spans="2:15" ht="17.399999999999999">
      <c r="B213" s="247"/>
      <c r="C213" s="150" t="s">
        <v>1463</v>
      </c>
      <c r="D213" s="1"/>
      <c r="E213" s="853"/>
      <c r="F213" s="247"/>
      <c r="G213" s="247"/>
      <c r="H213" s="247"/>
      <c r="I213" s="247"/>
      <c r="J213" s="247"/>
      <c r="K213" s="247"/>
      <c r="L213" s="247"/>
      <c r="M213" s="247"/>
      <c r="N213" s="247"/>
      <c r="O213" s="247"/>
    </row>
    <row r="214" spans="2:15" ht="17.399999999999999">
      <c r="B214" s="247"/>
      <c r="C214" s="247"/>
      <c r="D214" s="1"/>
      <c r="E214" s="853"/>
      <c r="F214" s="247"/>
      <c r="G214" s="247"/>
      <c r="H214" s="247"/>
      <c r="I214" s="247"/>
      <c r="J214" s="247"/>
      <c r="K214" s="247"/>
      <c r="L214" s="247"/>
      <c r="M214" s="247"/>
      <c r="N214" s="247"/>
      <c r="O214" s="247"/>
    </row>
    <row r="215" spans="2:15" ht="17.399999999999999">
      <c r="B215" s="5">
        <v>16.2</v>
      </c>
      <c r="C215" t="s">
        <v>450</v>
      </c>
      <c r="D215" s="1"/>
      <c r="E215" s="853"/>
      <c r="F215" s="247"/>
      <c r="G215" s="247"/>
      <c r="H215" s="247"/>
      <c r="I215" s="247"/>
      <c r="J215" s="247"/>
      <c r="K215" s="247"/>
      <c r="L215" s="247"/>
      <c r="M215" s="247"/>
      <c r="N215" s="247"/>
      <c r="O215" s="247"/>
    </row>
    <row r="216" spans="2:15" ht="17.399999999999999">
      <c r="B216" s="142">
        <v>42573</v>
      </c>
      <c r="C216" t="s">
        <v>458</v>
      </c>
      <c r="D216" s="1"/>
      <c r="E216" s="853"/>
      <c r="F216" s="247"/>
      <c r="G216" s="247"/>
      <c r="H216" s="247"/>
      <c r="I216" s="247"/>
      <c r="J216" s="247"/>
      <c r="K216" s="247"/>
      <c r="L216" s="247"/>
      <c r="M216" s="247"/>
      <c r="N216" s="247"/>
      <c r="O216" s="247"/>
    </row>
    <row r="217" spans="2:15" ht="17.399999999999999">
      <c r="B217" s="142"/>
      <c r="C217" t="s">
        <v>231</v>
      </c>
      <c r="D217" s="1"/>
      <c r="E217" s="853"/>
      <c r="F217" s="247"/>
      <c r="G217" s="247"/>
      <c r="H217" s="247"/>
      <c r="I217" s="247"/>
      <c r="J217" s="247"/>
      <c r="K217" s="247"/>
      <c r="L217" s="247"/>
      <c r="M217" s="247"/>
      <c r="N217" s="247"/>
      <c r="O217" s="247"/>
    </row>
    <row r="218" spans="2:15" ht="17.399999999999999">
      <c r="B218" s="247"/>
      <c r="C218" s="150" t="s">
        <v>325</v>
      </c>
      <c r="D218" s="1"/>
      <c r="E218" s="853"/>
      <c r="F218" s="247"/>
      <c r="G218" s="247"/>
      <c r="H218" s="247"/>
      <c r="I218" s="247"/>
      <c r="J218" s="247"/>
      <c r="K218" s="247"/>
      <c r="L218" s="247"/>
      <c r="M218" s="247"/>
      <c r="N218" s="247"/>
      <c r="O218" s="247"/>
    </row>
    <row r="219" spans="2:15" ht="17.399999999999999">
      <c r="B219" s="247"/>
      <c r="C219" s="150" t="s">
        <v>721</v>
      </c>
      <c r="D219" s="1"/>
      <c r="E219" s="853"/>
      <c r="F219" s="247"/>
      <c r="G219" s="247"/>
      <c r="H219" s="247"/>
      <c r="I219" s="247"/>
      <c r="J219" s="247"/>
      <c r="K219" s="247"/>
      <c r="L219" s="247"/>
      <c r="M219" s="247"/>
      <c r="N219" s="247"/>
      <c r="O219" s="247"/>
    </row>
    <row r="220" spans="2:15" ht="17.399999999999999">
      <c r="B220" s="247"/>
      <c r="C220" s="138" t="s">
        <v>701</v>
      </c>
      <c r="D220" s="1"/>
      <c r="E220" s="853"/>
      <c r="F220" s="247"/>
      <c r="G220" s="247"/>
      <c r="H220" s="247"/>
      <c r="I220" s="247"/>
      <c r="J220" s="247"/>
      <c r="K220" s="247"/>
      <c r="L220" s="247"/>
      <c r="M220" s="247"/>
      <c r="N220" s="247"/>
      <c r="O220" s="247"/>
    </row>
    <row r="221" spans="2:15" ht="17.399999999999999">
      <c r="B221" s="247"/>
      <c r="C221" s="150"/>
      <c r="D221" s="1"/>
      <c r="E221" s="853"/>
      <c r="F221" s="247"/>
      <c r="G221" s="247"/>
      <c r="H221" s="247"/>
      <c r="I221" s="247"/>
      <c r="J221" s="247"/>
      <c r="K221" s="247"/>
      <c r="L221" s="247"/>
      <c r="M221" s="247"/>
      <c r="N221" s="247"/>
      <c r="O221" s="247"/>
    </row>
    <row r="222" spans="2:15" ht="17.399999999999999">
      <c r="B222" s="398">
        <v>16</v>
      </c>
      <c r="C222" s="150" t="s">
        <v>1266</v>
      </c>
      <c r="D222" s="1"/>
      <c r="E222" s="853"/>
      <c r="F222" s="247"/>
      <c r="G222" s="247"/>
      <c r="H222" s="247"/>
      <c r="I222" s="247"/>
      <c r="J222" s="247"/>
      <c r="K222" s="247"/>
      <c r="L222" s="247"/>
      <c r="M222" s="247"/>
      <c r="N222" s="247"/>
      <c r="O222" s="247"/>
    </row>
    <row r="223" spans="2:15" ht="17.399999999999999">
      <c r="B223" s="142">
        <v>42372</v>
      </c>
      <c r="C223" s="150" t="s">
        <v>1159</v>
      </c>
      <c r="D223" s="1"/>
      <c r="E223" s="853"/>
      <c r="F223" s="247"/>
      <c r="G223" s="247"/>
      <c r="H223" s="247"/>
      <c r="I223" s="247"/>
      <c r="J223" s="247"/>
      <c r="K223" s="247"/>
      <c r="L223" s="247"/>
      <c r="M223" s="247"/>
      <c r="N223" s="247"/>
      <c r="O223" s="247"/>
    </row>
    <row r="224" spans="2:15" ht="17.399999999999999">
      <c r="B224" s="247"/>
      <c r="C224" s="150" t="s">
        <v>1123</v>
      </c>
      <c r="D224" s="1"/>
      <c r="E224" s="853"/>
      <c r="F224" s="247"/>
      <c r="G224" s="247"/>
      <c r="H224" s="247"/>
      <c r="I224" s="247"/>
      <c r="J224" s="247"/>
      <c r="K224" s="247"/>
      <c r="L224" s="247"/>
      <c r="M224" s="247"/>
      <c r="N224" s="247"/>
      <c r="O224" s="247"/>
    </row>
    <row r="225" spans="2:15" ht="17.399999999999999">
      <c r="B225" s="247"/>
      <c r="C225" s="138" t="s">
        <v>1177</v>
      </c>
      <c r="D225" s="1"/>
      <c r="E225" s="853"/>
      <c r="F225" s="247"/>
      <c r="G225" s="247"/>
      <c r="H225" s="247"/>
      <c r="I225" s="247"/>
      <c r="J225" s="247"/>
      <c r="K225" s="247"/>
      <c r="L225" s="247"/>
      <c r="M225" s="247"/>
      <c r="N225" s="247"/>
      <c r="O225" s="247"/>
    </row>
    <row r="226" spans="2:15" ht="17.399999999999999">
      <c r="B226" s="247"/>
      <c r="C226" s="138" t="s">
        <v>304</v>
      </c>
      <c r="D226" s="1"/>
      <c r="E226" s="853"/>
      <c r="F226" s="247"/>
      <c r="G226" s="247"/>
      <c r="H226" s="247"/>
      <c r="I226" s="247"/>
      <c r="J226" s="247"/>
      <c r="K226" s="247"/>
      <c r="L226" s="247"/>
      <c r="M226" s="247"/>
      <c r="N226" s="247"/>
      <c r="O226" s="247"/>
    </row>
    <row r="227" spans="2:15" ht="17.399999999999999">
      <c r="B227" s="247"/>
      <c r="C227" s="138" t="s">
        <v>1451</v>
      </c>
      <c r="D227" s="1"/>
      <c r="E227" s="853"/>
      <c r="F227" s="247"/>
      <c r="G227" s="247"/>
      <c r="H227" s="247"/>
      <c r="I227" s="247"/>
      <c r="J227" s="247"/>
      <c r="K227" s="247"/>
      <c r="L227" s="247"/>
      <c r="M227" s="247"/>
      <c r="N227" s="247"/>
      <c r="O227" s="247"/>
    </row>
    <row r="228" spans="2:15" ht="17.399999999999999">
      <c r="B228" s="247"/>
      <c r="C228" s="138" t="s">
        <v>1001</v>
      </c>
      <c r="D228" s="1"/>
      <c r="E228" s="853"/>
      <c r="F228" s="247"/>
      <c r="G228" s="247"/>
      <c r="H228" s="247"/>
      <c r="I228" s="247"/>
      <c r="J228" s="247"/>
      <c r="K228" s="247"/>
      <c r="L228" s="247"/>
      <c r="M228" s="247"/>
      <c r="N228" s="247"/>
      <c r="O228" s="247"/>
    </row>
    <row r="229" spans="2:15" ht="17.399999999999999">
      <c r="B229" s="247"/>
      <c r="C229" s="138" t="s">
        <v>1450</v>
      </c>
      <c r="D229" s="1"/>
      <c r="E229" s="853"/>
      <c r="F229" s="247"/>
      <c r="G229" s="247"/>
      <c r="H229" s="247"/>
      <c r="I229" s="247"/>
      <c r="J229" s="247"/>
      <c r="K229" s="247"/>
      <c r="L229" s="247"/>
      <c r="M229" s="247"/>
      <c r="N229" s="247"/>
      <c r="O229" s="247"/>
    </row>
    <row r="230" spans="2:15" ht="17.399999999999999">
      <c r="B230" s="247"/>
      <c r="C230" s="150"/>
      <c r="D230" s="1"/>
      <c r="E230" s="853"/>
      <c r="F230" s="247"/>
      <c r="G230" s="247"/>
      <c r="H230" s="247"/>
      <c r="I230" s="247"/>
      <c r="J230" s="247"/>
      <c r="K230" s="247"/>
      <c r="L230" s="247"/>
      <c r="M230" s="247"/>
      <c r="N230" s="247"/>
      <c r="O230" s="247"/>
    </row>
    <row r="231" spans="2:15" ht="17.399999999999999">
      <c r="B231" s="398">
        <v>15.2</v>
      </c>
      <c r="C231" s="150" t="s">
        <v>1653</v>
      </c>
      <c r="D231" s="247"/>
      <c r="E231" s="247"/>
      <c r="F231" s="247"/>
      <c r="G231" s="247"/>
      <c r="H231" s="247"/>
      <c r="I231" s="247"/>
      <c r="J231" s="247"/>
      <c r="K231" s="247"/>
      <c r="L231" s="247"/>
      <c r="M231" s="247"/>
      <c r="N231" s="247"/>
      <c r="O231" s="247"/>
    </row>
    <row r="232" spans="2:15" ht="17.399999999999999">
      <c r="B232" s="142">
        <v>42282</v>
      </c>
      <c r="C232" s="150" t="s">
        <v>1310</v>
      </c>
      <c r="D232" s="247"/>
      <c r="E232" s="247"/>
      <c r="F232" s="247"/>
      <c r="G232" s="247"/>
      <c r="H232" s="247"/>
      <c r="I232" s="247"/>
      <c r="J232" s="247"/>
      <c r="K232" s="247"/>
      <c r="L232" s="247"/>
      <c r="M232" s="247"/>
      <c r="N232" s="247"/>
      <c r="O232" s="247"/>
    </row>
    <row r="233" spans="2:15" ht="17.399999999999999">
      <c r="B233" s="247"/>
      <c r="C233" s="150" t="s">
        <v>1158</v>
      </c>
      <c r="D233" s="247"/>
      <c r="E233" s="247"/>
      <c r="F233" s="247"/>
      <c r="G233" s="247"/>
      <c r="H233" s="247"/>
      <c r="I233" s="247"/>
      <c r="J233" s="247"/>
      <c r="K233" s="247"/>
      <c r="L233" s="247"/>
      <c r="M233" s="247"/>
      <c r="N233" s="247"/>
      <c r="O233" s="247"/>
    </row>
    <row r="234" spans="2:15" ht="17.399999999999999">
      <c r="B234" s="247"/>
      <c r="C234" s="138" t="s">
        <v>1654</v>
      </c>
      <c r="D234" s="247"/>
      <c r="E234" s="247"/>
      <c r="F234" s="247"/>
      <c r="G234" s="247"/>
      <c r="H234" s="247"/>
      <c r="I234" s="247"/>
      <c r="J234" s="247"/>
      <c r="K234" s="247"/>
      <c r="L234" s="247"/>
      <c r="M234" s="247"/>
      <c r="N234" s="247"/>
      <c r="O234" s="247"/>
    </row>
    <row r="235" spans="2:15" ht="17.399999999999999">
      <c r="B235" s="247"/>
      <c r="C235" s="138" t="s">
        <v>1061</v>
      </c>
      <c r="D235" s="247"/>
      <c r="E235" s="247"/>
      <c r="F235" s="247"/>
      <c r="G235" s="247"/>
      <c r="H235" s="247"/>
      <c r="I235" s="247"/>
      <c r="J235" s="247"/>
      <c r="K235" s="247"/>
      <c r="L235" s="247"/>
      <c r="M235" s="247"/>
      <c r="N235" s="247"/>
      <c r="O235" s="247"/>
    </row>
    <row r="236" spans="2:15" ht="17.399999999999999">
      <c r="B236" s="247"/>
      <c r="C236" s="138" t="s">
        <v>1490</v>
      </c>
      <c r="D236" s="247"/>
      <c r="E236" s="247"/>
      <c r="F236" s="247"/>
      <c r="G236" s="247"/>
      <c r="H236" s="247"/>
      <c r="I236" s="247"/>
      <c r="J236" s="247"/>
      <c r="K236" s="247"/>
      <c r="L236" s="247"/>
      <c r="M236" s="247"/>
      <c r="N236" s="247"/>
      <c r="O236" s="247"/>
    </row>
    <row r="237" spans="2:15" ht="17.399999999999999">
      <c r="B237" s="247"/>
      <c r="C237" s="138" t="s">
        <v>1655</v>
      </c>
      <c r="D237" s="247"/>
      <c r="E237" s="247"/>
      <c r="F237" s="247"/>
      <c r="G237" s="247"/>
      <c r="H237" s="247"/>
      <c r="I237" s="247"/>
      <c r="J237" s="247"/>
      <c r="K237" s="247"/>
      <c r="L237" s="247"/>
      <c r="M237" s="247"/>
      <c r="N237" s="247"/>
      <c r="O237" s="247"/>
    </row>
    <row r="238" spans="2:15" ht="17.399999999999999">
      <c r="B238" s="247"/>
      <c r="C238" s="138" t="s">
        <v>281</v>
      </c>
      <c r="D238" s="247"/>
      <c r="E238" s="247"/>
      <c r="F238" s="247"/>
      <c r="G238" s="247"/>
      <c r="H238" s="247"/>
      <c r="I238" s="247"/>
      <c r="J238" s="247"/>
      <c r="K238" s="247"/>
      <c r="L238" s="247"/>
      <c r="M238" s="247"/>
      <c r="N238" s="247"/>
      <c r="O238" s="247"/>
    </row>
    <row r="239" spans="2:15" ht="17.399999999999999">
      <c r="B239" s="247"/>
      <c r="C239" s="150"/>
      <c r="D239" s="247"/>
      <c r="E239" s="247"/>
      <c r="F239" s="247"/>
      <c r="G239" s="247"/>
      <c r="H239" s="247"/>
      <c r="I239" s="247"/>
      <c r="J239" s="247"/>
      <c r="K239" s="247"/>
      <c r="L239" s="247"/>
      <c r="M239" s="247"/>
      <c r="N239" s="247"/>
      <c r="O239" s="247"/>
    </row>
    <row r="240" spans="2:15" ht="17.399999999999999">
      <c r="B240" s="398">
        <v>15.1</v>
      </c>
      <c r="C240" s="150" t="s">
        <v>1117</v>
      </c>
      <c r="D240" s="247"/>
      <c r="E240" s="247"/>
      <c r="F240" s="247"/>
      <c r="G240" s="247"/>
      <c r="H240" s="247"/>
      <c r="I240" s="247"/>
      <c r="J240" s="247"/>
      <c r="K240" s="247"/>
      <c r="L240" s="247"/>
      <c r="M240" s="247"/>
      <c r="N240" s="247"/>
      <c r="O240" s="247"/>
    </row>
    <row r="241" spans="2:15" ht="17.399999999999999">
      <c r="B241" s="142">
        <v>42039</v>
      </c>
      <c r="C241" s="150" t="s">
        <v>682</v>
      </c>
      <c r="D241" s="247"/>
      <c r="E241" s="247"/>
      <c r="F241" s="247"/>
      <c r="G241" s="247"/>
      <c r="H241" s="247"/>
      <c r="I241" s="247"/>
      <c r="J241" s="247"/>
      <c r="K241" s="247"/>
      <c r="L241" s="247"/>
      <c r="M241" s="247"/>
      <c r="N241" s="247"/>
      <c r="O241" s="247"/>
    </row>
    <row r="242" spans="2:15" ht="17.399999999999999">
      <c r="B242" s="788"/>
      <c r="C242" s="150" t="s">
        <v>1127</v>
      </c>
      <c r="D242" s="247"/>
      <c r="E242" s="247"/>
      <c r="F242" s="247"/>
      <c r="G242" s="247"/>
      <c r="H242" s="247"/>
      <c r="I242" s="247"/>
      <c r="J242" s="247"/>
      <c r="K242" s="247"/>
      <c r="L242" s="247"/>
      <c r="M242" s="247"/>
      <c r="N242" s="247"/>
      <c r="O242" s="247"/>
    </row>
    <row r="243" spans="2:15" ht="17.399999999999999">
      <c r="B243" s="788"/>
      <c r="C243" s="138" t="s">
        <v>490</v>
      </c>
      <c r="D243" s="247"/>
      <c r="E243" s="247"/>
      <c r="F243" s="247"/>
      <c r="G243" s="247"/>
      <c r="H243" s="247"/>
      <c r="I243" s="247"/>
      <c r="J243" s="247"/>
      <c r="K243" s="247"/>
      <c r="L243" s="247"/>
      <c r="M243" s="247"/>
      <c r="N243" s="247"/>
      <c r="O243" s="247"/>
    </row>
    <row r="244" spans="2:15" ht="17.399999999999999">
      <c r="B244" s="788"/>
      <c r="C244" s="138" t="s">
        <v>1053</v>
      </c>
      <c r="D244" s="247"/>
      <c r="E244" s="247"/>
      <c r="F244" s="247"/>
      <c r="G244" s="247"/>
      <c r="H244" s="247"/>
      <c r="I244" s="247"/>
      <c r="J244" s="247"/>
      <c r="K244" s="247"/>
      <c r="L244" s="247"/>
      <c r="M244" s="247"/>
      <c r="N244" s="247"/>
      <c r="O244" s="247"/>
    </row>
    <row r="245" spans="2:15" ht="17.399999999999999">
      <c r="B245" s="142"/>
      <c r="C245" s="150"/>
      <c r="D245" s="247"/>
      <c r="E245" s="247"/>
      <c r="F245" s="247"/>
      <c r="G245" s="247"/>
      <c r="H245" s="247"/>
      <c r="I245" s="247"/>
      <c r="J245" s="247"/>
      <c r="K245" s="247"/>
      <c r="L245" s="247"/>
      <c r="M245" s="247"/>
      <c r="N245" s="247"/>
      <c r="O245" s="247"/>
    </row>
    <row r="246" spans="2:15" ht="17.399999999999999">
      <c r="B246" s="398">
        <v>15</v>
      </c>
      <c r="C246" s="150" t="s">
        <v>1069</v>
      </c>
      <c r="D246" s="247"/>
      <c r="E246" s="247"/>
      <c r="F246" s="247"/>
      <c r="G246" s="247"/>
      <c r="H246" s="247"/>
      <c r="I246" s="247"/>
      <c r="J246" s="247"/>
      <c r="K246" s="247"/>
      <c r="L246" s="247"/>
      <c r="M246" s="247"/>
      <c r="N246" s="247"/>
      <c r="O246" s="247"/>
    </row>
    <row r="247" spans="2:15" ht="17.399999999999999">
      <c r="B247" s="142">
        <v>42005</v>
      </c>
      <c r="C247" s="150" t="s">
        <v>1632</v>
      </c>
      <c r="D247" s="247"/>
      <c r="E247" s="247"/>
      <c r="F247" s="247"/>
      <c r="G247" s="247"/>
      <c r="H247" s="247"/>
      <c r="I247" s="247"/>
      <c r="J247" s="247"/>
      <c r="K247" s="247"/>
      <c r="L247" s="247"/>
      <c r="M247" s="247"/>
      <c r="N247" s="247"/>
      <c r="O247" s="247"/>
    </row>
    <row r="248" spans="2:15" ht="17.399999999999999">
      <c r="B248" s="398"/>
      <c r="C248" s="150" t="s">
        <v>398</v>
      </c>
      <c r="D248" s="247"/>
      <c r="E248" s="247"/>
      <c r="F248" s="247"/>
      <c r="G248" s="247"/>
      <c r="H248" s="247"/>
      <c r="I248" s="247"/>
      <c r="J248" s="247"/>
      <c r="K248" s="247"/>
      <c r="L248" s="247"/>
      <c r="M248" s="247"/>
      <c r="N248" s="247"/>
      <c r="O248" s="247"/>
    </row>
    <row r="249" spans="2:15" ht="17.399999999999999">
      <c r="B249" s="398"/>
      <c r="C249" s="150" t="s">
        <v>611</v>
      </c>
      <c r="D249" s="247"/>
      <c r="E249" s="247"/>
      <c r="F249" s="247"/>
      <c r="G249" s="247"/>
      <c r="H249" s="247"/>
      <c r="I249" s="247"/>
      <c r="J249" s="247"/>
      <c r="K249" s="247"/>
      <c r="L249" s="247"/>
      <c r="M249" s="247"/>
      <c r="N249" s="247"/>
      <c r="O249" s="247"/>
    </row>
    <row r="250" spans="2:15" ht="17.399999999999999">
      <c r="B250" s="398"/>
      <c r="C250" s="138" t="s">
        <v>869</v>
      </c>
      <c r="D250" s="247"/>
      <c r="E250" s="247"/>
      <c r="F250" s="247"/>
      <c r="G250" s="247"/>
      <c r="H250" s="247"/>
      <c r="I250" s="247"/>
      <c r="J250" s="247"/>
      <c r="K250" s="247"/>
      <c r="L250" s="247"/>
      <c r="M250" s="247"/>
      <c r="N250" s="247"/>
      <c r="O250" s="247"/>
    </row>
    <row r="251" spans="2:15" ht="17.399999999999999">
      <c r="C251" s="150" t="s">
        <v>855</v>
      </c>
      <c r="D251" s="247"/>
      <c r="E251" s="247"/>
      <c r="F251" s="247"/>
      <c r="G251" s="247"/>
      <c r="H251" s="247"/>
      <c r="I251" s="247"/>
      <c r="J251" s="247"/>
      <c r="K251" s="247"/>
      <c r="L251" s="247"/>
      <c r="M251" s="247"/>
      <c r="N251" s="247"/>
      <c r="O251" s="247"/>
    </row>
    <row r="252" spans="2:15" ht="17.399999999999999">
      <c r="B252" s="5"/>
      <c r="C252" s="150" t="s">
        <v>712</v>
      </c>
      <c r="D252" s="247"/>
      <c r="E252" s="247"/>
      <c r="F252" s="247"/>
      <c r="G252" s="247"/>
      <c r="H252" s="247"/>
      <c r="I252" s="247"/>
      <c r="J252" s="247"/>
      <c r="K252" s="247"/>
      <c r="L252" s="247"/>
      <c r="M252" s="247"/>
      <c r="N252" s="247"/>
      <c r="O252" s="247"/>
    </row>
    <row r="253" spans="2:15" ht="17.399999999999999">
      <c r="B253" s="5"/>
      <c r="C253" s="150" t="s">
        <v>854</v>
      </c>
      <c r="D253" s="247"/>
      <c r="E253" s="247"/>
      <c r="F253" s="247"/>
      <c r="G253" s="247"/>
      <c r="H253" s="247"/>
      <c r="I253" s="247"/>
      <c r="J253" s="247"/>
      <c r="K253" s="247"/>
      <c r="L253" s="247"/>
      <c r="M253" s="247"/>
      <c r="N253" s="247"/>
      <c r="O253" s="247"/>
    </row>
    <row r="254" spans="2:15" ht="17.399999999999999">
      <c r="B254" s="5"/>
      <c r="C254" s="150" t="s">
        <v>615</v>
      </c>
      <c r="D254" s="247"/>
      <c r="E254" s="247"/>
      <c r="F254" s="247"/>
      <c r="G254" s="247"/>
      <c r="H254" s="247"/>
      <c r="I254" s="247"/>
      <c r="J254" s="247"/>
      <c r="K254" s="247"/>
      <c r="L254" s="247"/>
      <c r="M254" s="247"/>
      <c r="N254" s="247"/>
      <c r="O254" s="247"/>
    </row>
    <row r="255" spans="2:15" ht="17.399999999999999">
      <c r="B255" s="5"/>
      <c r="C255" s="138" t="s">
        <v>1268</v>
      </c>
      <c r="D255" s="247"/>
      <c r="E255" s="247"/>
      <c r="F255" s="247"/>
      <c r="G255" s="247"/>
      <c r="H255" s="247"/>
      <c r="I255" s="247"/>
      <c r="J255" s="247"/>
      <c r="K255" s="247"/>
      <c r="L255" s="247"/>
      <c r="M255" s="247"/>
      <c r="N255" s="247"/>
      <c r="O255" s="247"/>
    </row>
    <row r="256" spans="2:15" ht="17.399999999999999">
      <c r="B256" s="5"/>
      <c r="C256" s="138" t="s">
        <v>1267</v>
      </c>
      <c r="D256" s="247"/>
      <c r="E256" s="247"/>
      <c r="F256" s="247"/>
      <c r="G256" s="247"/>
      <c r="H256" s="247"/>
      <c r="I256" s="247"/>
      <c r="J256" s="247"/>
      <c r="K256" s="247"/>
      <c r="L256" s="247"/>
      <c r="M256" s="247"/>
      <c r="N256" s="247"/>
      <c r="O256" s="247"/>
    </row>
    <row r="257" spans="2:15" ht="17.399999999999999">
      <c r="B257" s="5"/>
      <c r="C257" s="138" t="s">
        <v>946</v>
      </c>
      <c r="D257" s="247"/>
      <c r="E257" s="247"/>
      <c r="F257" s="247"/>
      <c r="G257" s="247"/>
      <c r="H257" s="247"/>
      <c r="I257" s="247"/>
      <c r="J257" s="247"/>
      <c r="K257" s="247"/>
      <c r="L257" s="247"/>
      <c r="M257" s="247"/>
      <c r="N257" s="247"/>
      <c r="O257" s="247"/>
    </row>
    <row r="258" spans="2:15" ht="17.399999999999999">
      <c r="B258" s="5"/>
      <c r="C258" s="138" t="s">
        <v>616</v>
      </c>
      <c r="D258" s="247"/>
      <c r="E258" s="247"/>
      <c r="F258" s="247"/>
      <c r="G258" s="247"/>
      <c r="H258" s="247"/>
      <c r="I258" s="247"/>
      <c r="J258" s="247"/>
      <c r="K258" s="247"/>
      <c r="L258" s="247"/>
      <c r="M258" s="247"/>
      <c r="N258" s="247"/>
      <c r="O258" s="247"/>
    </row>
    <row r="259" spans="2:15" ht="17.399999999999999">
      <c r="B259" s="5"/>
      <c r="C259" s="150" t="s">
        <v>1142</v>
      </c>
      <c r="D259" s="247"/>
      <c r="E259" s="247"/>
      <c r="F259" s="247"/>
      <c r="G259" s="247"/>
      <c r="H259" s="247"/>
      <c r="I259" s="247"/>
      <c r="J259" s="247"/>
      <c r="K259" s="247"/>
      <c r="L259" s="247"/>
      <c r="M259" s="247"/>
      <c r="N259" s="247"/>
      <c r="O259" s="247"/>
    </row>
    <row r="260" spans="2:15" ht="17.399999999999999">
      <c r="B260" s="5"/>
      <c r="C260" s="138" t="s">
        <v>1130</v>
      </c>
      <c r="D260" s="247"/>
      <c r="E260" s="247"/>
      <c r="F260" s="247"/>
      <c r="G260" s="247"/>
      <c r="H260" s="247"/>
      <c r="I260" s="247"/>
      <c r="J260" s="247"/>
      <c r="K260" s="247"/>
      <c r="L260" s="247"/>
      <c r="M260" s="247"/>
      <c r="N260" s="247"/>
      <c r="O260" s="247"/>
    </row>
    <row r="261" spans="2:15" ht="17.399999999999999">
      <c r="B261" s="5"/>
      <c r="C261" s="138" t="s">
        <v>612</v>
      </c>
      <c r="D261" s="247"/>
      <c r="E261" s="247"/>
      <c r="F261" s="247"/>
      <c r="G261" s="247"/>
      <c r="H261" s="247"/>
      <c r="I261" s="247"/>
      <c r="J261" s="247"/>
      <c r="K261" s="247"/>
      <c r="L261" s="247"/>
      <c r="M261" s="247"/>
      <c r="N261" s="247"/>
      <c r="O261" s="247"/>
    </row>
    <row r="262" spans="2:15" ht="17.399999999999999">
      <c r="B262" s="5"/>
      <c r="C262" s="138" t="s">
        <v>1302</v>
      </c>
      <c r="D262" s="247"/>
      <c r="E262" s="247"/>
      <c r="F262" s="247"/>
      <c r="G262" s="247"/>
      <c r="H262" s="247"/>
      <c r="I262" s="247"/>
      <c r="J262" s="247"/>
      <c r="K262" s="247"/>
      <c r="L262" s="247"/>
      <c r="M262" s="247"/>
      <c r="N262" s="247"/>
      <c r="O262" s="247"/>
    </row>
    <row r="263" spans="2:15" ht="17.399999999999999">
      <c r="B263" s="5"/>
      <c r="C263" s="138" t="s">
        <v>947</v>
      </c>
      <c r="D263" s="247"/>
      <c r="E263" s="247"/>
      <c r="F263" s="247"/>
      <c r="G263" s="247"/>
      <c r="H263" s="247"/>
      <c r="I263" s="247"/>
      <c r="J263" s="247"/>
      <c r="K263" s="247"/>
      <c r="L263" s="247"/>
      <c r="M263" s="247"/>
      <c r="N263" s="247"/>
      <c r="O263" s="247"/>
    </row>
    <row r="264" spans="2:15" ht="17.399999999999999">
      <c r="B264" s="5"/>
      <c r="C264" s="138" t="s">
        <v>1225</v>
      </c>
      <c r="D264" s="247"/>
      <c r="E264" s="247"/>
      <c r="F264" s="247"/>
      <c r="G264" s="247"/>
      <c r="H264" s="247"/>
      <c r="I264" s="247"/>
      <c r="J264" s="247"/>
      <c r="K264" s="247"/>
      <c r="L264" s="247"/>
      <c r="M264" s="247"/>
      <c r="N264" s="247"/>
      <c r="O264" s="247"/>
    </row>
    <row r="265" spans="2:15" ht="17.399999999999999">
      <c r="B265" s="5"/>
      <c r="C265" s="138" t="s">
        <v>447</v>
      </c>
      <c r="D265" s="247"/>
      <c r="E265" s="247"/>
      <c r="F265" s="247"/>
      <c r="G265" s="247"/>
      <c r="H265" s="247"/>
      <c r="I265" s="247"/>
      <c r="J265" s="247"/>
      <c r="K265" s="247"/>
      <c r="L265" s="247"/>
      <c r="M265" s="247"/>
      <c r="N265" s="247"/>
      <c r="O265" s="247"/>
    </row>
    <row r="266" spans="2:15" ht="17.399999999999999">
      <c r="B266" s="5"/>
      <c r="C266" s="138" t="s">
        <v>1527</v>
      </c>
      <c r="D266" s="247"/>
      <c r="E266" s="247"/>
      <c r="F266" s="247"/>
      <c r="G266" s="247"/>
      <c r="H266" s="247"/>
      <c r="I266" s="247"/>
      <c r="J266" s="247"/>
      <c r="K266" s="247"/>
      <c r="L266" s="247"/>
      <c r="M266" s="247"/>
      <c r="N266" s="247"/>
      <c r="O266" s="247"/>
    </row>
    <row r="267" spans="2:15" ht="17.399999999999999">
      <c r="B267" s="5"/>
      <c r="C267" s="138" t="s">
        <v>1669</v>
      </c>
      <c r="D267" s="247"/>
      <c r="E267" s="247"/>
      <c r="F267" s="247"/>
      <c r="G267" s="247"/>
      <c r="H267" s="247"/>
      <c r="I267" s="247"/>
      <c r="J267" s="247"/>
      <c r="K267" s="247"/>
      <c r="L267" s="247"/>
      <c r="M267" s="247"/>
      <c r="N267" s="247"/>
      <c r="O267" s="247"/>
    </row>
    <row r="268" spans="2:15" ht="17.399999999999999">
      <c r="B268" s="5"/>
      <c r="C268" s="138"/>
      <c r="D268" s="247"/>
      <c r="E268" s="247"/>
      <c r="F268" s="247"/>
      <c r="G268" s="247"/>
      <c r="H268" s="247"/>
      <c r="I268" s="247"/>
      <c r="J268" s="247"/>
      <c r="K268" s="247"/>
      <c r="L268" s="247"/>
      <c r="M268" s="247"/>
      <c r="N268" s="247"/>
      <c r="O268" s="247"/>
    </row>
    <row r="269" spans="2:15" ht="17.399999999999999">
      <c r="B269" s="5">
        <v>14.93</v>
      </c>
      <c r="C269" s="150" t="s">
        <v>1241</v>
      </c>
      <c r="D269" s="247"/>
      <c r="E269" s="247"/>
      <c r="F269" s="247"/>
      <c r="G269" s="247"/>
      <c r="H269" s="247"/>
      <c r="I269" s="247"/>
      <c r="J269" s="247"/>
      <c r="K269" s="247"/>
      <c r="L269" s="247"/>
      <c r="M269" s="247"/>
      <c r="N269" s="247"/>
      <c r="O269" s="247"/>
    </row>
    <row r="270" spans="2:15" ht="17.399999999999999">
      <c r="B270" s="142">
        <v>41921</v>
      </c>
      <c r="C270" s="150" t="s">
        <v>1242</v>
      </c>
      <c r="D270" s="247"/>
      <c r="E270" s="247"/>
      <c r="F270" s="247"/>
      <c r="G270" s="247"/>
      <c r="H270" s="247"/>
      <c r="I270" s="247"/>
      <c r="J270" s="247"/>
      <c r="K270" s="247"/>
      <c r="L270" s="247"/>
      <c r="M270" s="247"/>
      <c r="N270" s="247"/>
      <c r="O270" s="247"/>
    </row>
    <row r="271" spans="2:15" ht="17.399999999999999">
      <c r="B271" s="5"/>
      <c r="C271" s="150" t="s">
        <v>1243</v>
      </c>
      <c r="D271" s="247"/>
      <c r="E271" s="247"/>
      <c r="F271" s="247"/>
      <c r="G271" s="247"/>
      <c r="H271" s="247"/>
      <c r="I271" s="247"/>
      <c r="J271" s="247"/>
      <c r="K271" s="247"/>
      <c r="L271" s="247"/>
      <c r="M271" s="247"/>
      <c r="N271" s="247"/>
      <c r="O271" s="247"/>
    </row>
    <row r="272" spans="2:15" ht="17.399999999999999">
      <c r="B272" s="5"/>
      <c r="C272" s="150" t="s">
        <v>1501</v>
      </c>
      <c r="D272" s="247"/>
      <c r="E272" s="247"/>
      <c r="F272" s="247"/>
      <c r="G272" s="247"/>
      <c r="H272" s="247"/>
      <c r="I272" s="247"/>
      <c r="J272" s="247"/>
      <c r="K272" s="247"/>
      <c r="L272" s="247"/>
      <c r="M272" s="247"/>
      <c r="N272" s="247"/>
      <c r="O272" s="247"/>
    </row>
    <row r="273" spans="2:15" ht="17.399999999999999">
      <c r="B273" s="5"/>
      <c r="C273" s="138" t="s">
        <v>754</v>
      </c>
      <c r="D273" s="247"/>
      <c r="E273" s="247"/>
      <c r="F273" s="247"/>
      <c r="G273" s="247"/>
      <c r="H273" s="247"/>
      <c r="I273" s="247"/>
      <c r="J273" s="247"/>
      <c r="K273" s="247"/>
      <c r="L273" s="247"/>
      <c r="M273" s="247"/>
      <c r="N273" s="247"/>
      <c r="O273" s="247"/>
    </row>
    <row r="274" spans="2:15" ht="17.399999999999999">
      <c r="B274" s="247"/>
      <c r="C274" s="150"/>
      <c r="D274" s="247"/>
      <c r="E274" s="247"/>
      <c r="F274" s="247"/>
      <c r="G274" s="247"/>
      <c r="H274" s="247"/>
      <c r="I274" s="247"/>
      <c r="J274" s="247"/>
      <c r="K274" s="247"/>
      <c r="L274" s="247"/>
      <c r="M274" s="247"/>
      <c r="N274" s="247"/>
      <c r="O274" s="247"/>
    </row>
    <row r="275" spans="2:15" ht="17.399999999999999">
      <c r="B275" s="5">
        <v>14.9</v>
      </c>
      <c r="C275" s="150" t="s">
        <v>708</v>
      </c>
      <c r="D275" s="247"/>
      <c r="E275" s="247"/>
      <c r="F275" s="247"/>
      <c r="G275" s="247"/>
      <c r="H275" s="247"/>
      <c r="I275" s="247"/>
      <c r="J275" s="247"/>
      <c r="K275" s="247"/>
      <c r="L275" s="247"/>
      <c r="M275" s="247"/>
      <c r="N275" s="247"/>
      <c r="O275" s="247"/>
    </row>
    <row r="276" spans="2:15" ht="17.399999999999999">
      <c r="B276" s="142">
        <v>41921</v>
      </c>
      <c r="C276" s="150" t="s">
        <v>709</v>
      </c>
      <c r="D276" s="247"/>
      <c r="E276" s="247"/>
      <c r="F276" s="247"/>
      <c r="G276" s="247"/>
      <c r="H276" s="247"/>
      <c r="I276" s="247"/>
      <c r="J276" s="247"/>
      <c r="K276" s="247"/>
      <c r="L276" s="247"/>
      <c r="M276" s="247"/>
      <c r="N276" s="247"/>
      <c r="O276" s="247"/>
    </row>
    <row r="277" spans="2:15" ht="17.399999999999999">
      <c r="B277" s="142"/>
      <c r="C277" s="150" t="s">
        <v>1483</v>
      </c>
      <c r="D277" s="247"/>
      <c r="E277" s="247"/>
      <c r="F277" s="247"/>
      <c r="G277" s="247"/>
      <c r="H277" s="247"/>
      <c r="I277" s="247"/>
      <c r="J277" s="247"/>
      <c r="K277" s="247"/>
      <c r="L277" s="247"/>
      <c r="M277" s="247"/>
      <c r="N277" s="247"/>
      <c r="O277" s="247"/>
    </row>
    <row r="278" spans="2:15" ht="17.399999999999999">
      <c r="B278" s="142"/>
      <c r="C278" s="138" t="s">
        <v>550</v>
      </c>
      <c r="D278" s="247"/>
      <c r="E278" s="247"/>
      <c r="F278" s="247"/>
      <c r="G278" s="247"/>
      <c r="H278" s="247"/>
      <c r="I278" s="247"/>
      <c r="J278" s="247"/>
      <c r="K278" s="247"/>
      <c r="L278" s="247"/>
      <c r="M278" s="247"/>
      <c r="N278" s="247"/>
      <c r="O278" s="247"/>
    </row>
    <row r="279" spans="2:15" ht="17.399999999999999">
      <c r="B279" s="142"/>
      <c r="C279" s="138" t="s">
        <v>1072</v>
      </c>
      <c r="D279" s="247"/>
      <c r="E279" s="247"/>
      <c r="F279" s="247"/>
      <c r="G279" s="247"/>
      <c r="H279" s="247"/>
      <c r="I279" s="247"/>
      <c r="J279" s="247"/>
      <c r="K279" s="247"/>
      <c r="L279" s="247"/>
      <c r="M279" s="247"/>
      <c r="N279" s="247"/>
      <c r="O279" s="247"/>
    </row>
    <row r="280" spans="2:15" ht="17.399999999999999">
      <c r="B280" s="142"/>
      <c r="C280" s="138" t="s">
        <v>1073</v>
      </c>
      <c r="D280" s="247"/>
      <c r="E280" s="247"/>
      <c r="F280" s="247"/>
      <c r="G280" s="247"/>
      <c r="H280" s="247"/>
      <c r="I280" s="247"/>
      <c r="J280" s="247"/>
      <c r="K280" s="247"/>
      <c r="L280" s="247"/>
      <c r="M280" s="247"/>
      <c r="N280" s="247"/>
      <c r="O280" s="247"/>
    </row>
    <row r="281" spans="2:15" ht="17.399999999999999">
      <c r="B281" s="142"/>
      <c r="C281" s="138" t="s">
        <v>562</v>
      </c>
      <c r="D281" s="247"/>
      <c r="E281" s="247"/>
      <c r="F281" s="247"/>
      <c r="G281" s="247"/>
      <c r="H281" s="247"/>
      <c r="I281" s="247"/>
      <c r="J281" s="247"/>
      <c r="K281" s="247"/>
      <c r="L281" s="247"/>
      <c r="M281" s="247"/>
      <c r="N281" s="247"/>
      <c r="O281" s="247"/>
    </row>
    <row r="282" spans="2:15" ht="17.399999999999999">
      <c r="B282" s="142"/>
      <c r="C282" s="138" t="s">
        <v>280</v>
      </c>
      <c r="D282" s="247"/>
      <c r="E282" s="247"/>
      <c r="F282" s="247"/>
      <c r="G282" s="247"/>
      <c r="H282" s="247"/>
      <c r="I282" s="247"/>
      <c r="J282" s="247"/>
      <c r="K282" s="247"/>
      <c r="L282" s="247"/>
      <c r="M282" s="247"/>
      <c r="N282" s="247"/>
      <c r="O282" s="247"/>
    </row>
    <row r="283" spans="2:15" ht="17.399999999999999">
      <c r="B283" s="142"/>
      <c r="C283" s="138" t="s">
        <v>551</v>
      </c>
      <c r="D283" s="247"/>
      <c r="E283" s="247"/>
      <c r="F283" s="247"/>
      <c r="G283" s="247"/>
      <c r="H283" s="247"/>
      <c r="I283" s="247"/>
      <c r="J283" s="247"/>
      <c r="K283" s="247"/>
      <c r="L283" s="247"/>
      <c r="M283" s="247"/>
      <c r="N283" s="247"/>
      <c r="O283" s="247"/>
    </row>
    <row r="284" spans="2:15" ht="17.399999999999999">
      <c r="B284" s="5">
        <v>14.8</v>
      </c>
      <c r="C284" s="150" t="s">
        <v>478</v>
      </c>
      <c r="D284" s="247"/>
      <c r="E284" s="247"/>
      <c r="F284" s="247"/>
      <c r="G284" s="247"/>
      <c r="H284" s="247"/>
      <c r="I284" s="247"/>
      <c r="J284" s="247"/>
      <c r="K284" s="247"/>
      <c r="L284" s="247"/>
      <c r="M284" s="247"/>
      <c r="N284" s="247"/>
      <c r="O284" s="247"/>
    </row>
    <row r="285" spans="2:15" ht="17.399999999999999">
      <c r="B285" s="142">
        <v>41908</v>
      </c>
      <c r="C285" s="150" t="s">
        <v>241</v>
      </c>
      <c r="D285" s="247"/>
      <c r="E285" s="247"/>
      <c r="F285" s="247"/>
      <c r="G285" s="247"/>
      <c r="H285" s="247"/>
      <c r="I285" s="247"/>
      <c r="J285" s="247"/>
      <c r="K285" s="247"/>
      <c r="L285" s="247"/>
      <c r="M285" s="247"/>
      <c r="N285" s="247"/>
      <c r="O285" s="247"/>
    </row>
    <row r="286" spans="2:15" ht="17.399999999999999">
      <c r="B286" s="5"/>
      <c r="C286" s="150" t="s">
        <v>1021</v>
      </c>
      <c r="D286" s="247"/>
      <c r="E286" s="247"/>
      <c r="F286" s="247"/>
      <c r="G286" s="247"/>
      <c r="H286" s="247"/>
      <c r="I286" s="247"/>
      <c r="J286" s="247"/>
      <c r="K286" s="247"/>
      <c r="L286" s="247"/>
      <c r="M286" s="247"/>
      <c r="N286" s="247"/>
      <c r="O286" s="247"/>
    </row>
    <row r="287" spans="2:15" ht="17.399999999999999">
      <c r="B287" s="5"/>
      <c r="C287" s="150" t="s">
        <v>206</v>
      </c>
      <c r="D287" s="247"/>
      <c r="E287" s="247"/>
      <c r="F287" s="247"/>
      <c r="G287" s="247"/>
      <c r="H287" s="247"/>
      <c r="I287" s="247"/>
      <c r="J287" s="247"/>
      <c r="K287" s="247"/>
      <c r="L287" s="247"/>
      <c r="M287" s="247"/>
      <c r="N287" s="247"/>
      <c r="O287" s="247"/>
    </row>
    <row r="288" spans="2:15" ht="17.399999999999999">
      <c r="B288" s="5"/>
      <c r="C288" s="138" t="s">
        <v>561</v>
      </c>
      <c r="D288" s="247"/>
      <c r="E288" s="247"/>
      <c r="F288" s="247"/>
      <c r="G288" s="247"/>
      <c r="H288" s="247"/>
      <c r="I288" s="247"/>
      <c r="J288" s="247"/>
      <c r="K288" s="247"/>
      <c r="L288" s="247"/>
      <c r="M288" s="247"/>
      <c r="N288" s="247"/>
      <c r="O288" s="247"/>
    </row>
    <row r="289" spans="2:15" ht="17.399999999999999">
      <c r="B289" s="5"/>
      <c r="C289" s="150" t="s">
        <v>47</v>
      </c>
      <c r="D289" s="247"/>
      <c r="E289" s="247"/>
      <c r="F289" s="247"/>
      <c r="G289" s="247"/>
      <c r="H289" s="247"/>
      <c r="I289" s="247"/>
      <c r="J289" s="247"/>
      <c r="K289" s="247"/>
      <c r="L289" s="247"/>
      <c r="M289" s="247"/>
      <c r="N289" s="247"/>
      <c r="O289" s="247"/>
    </row>
    <row r="290" spans="2:15" ht="17.399999999999999">
      <c r="B290" s="5"/>
      <c r="C290" s="138" t="s">
        <v>343</v>
      </c>
      <c r="D290" s="247"/>
      <c r="E290" s="247"/>
      <c r="F290" s="247"/>
      <c r="G290" s="247"/>
      <c r="H290" s="247"/>
      <c r="I290" s="247"/>
      <c r="J290" s="247"/>
      <c r="K290" s="247"/>
      <c r="L290" s="247"/>
      <c r="M290" s="247"/>
      <c r="N290" s="247"/>
      <c r="O290" s="247"/>
    </row>
    <row r="291" spans="2:15" ht="17.399999999999999">
      <c r="B291" s="5"/>
      <c r="C291" s="138" t="s">
        <v>278</v>
      </c>
      <c r="D291" s="247"/>
      <c r="E291" s="247"/>
      <c r="F291" s="247"/>
      <c r="G291" s="247"/>
      <c r="H291" s="247"/>
      <c r="I291" s="247"/>
      <c r="J291" s="247"/>
      <c r="K291" s="247"/>
      <c r="L291" s="247"/>
      <c r="M291" s="247"/>
      <c r="N291" s="247"/>
      <c r="O291" s="247"/>
    </row>
    <row r="292" spans="2:15" ht="17.399999999999999">
      <c r="B292" s="5"/>
      <c r="C292" s="138" t="s">
        <v>280</v>
      </c>
      <c r="D292" s="247"/>
      <c r="E292" s="247"/>
      <c r="F292" s="247"/>
      <c r="G292" s="247"/>
      <c r="H292" s="247"/>
      <c r="I292" s="247"/>
      <c r="J292" s="247"/>
      <c r="K292" s="247"/>
      <c r="L292" s="247"/>
      <c r="M292" s="247"/>
      <c r="N292" s="247"/>
      <c r="O292" s="247"/>
    </row>
    <row r="293" spans="2:15" ht="17.399999999999999">
      <c r="B293" s="5"/>
      <c r="C293" s="150"/>
      <c r="D293" s="247"/>
      <c r="E293" s="247"/>
      <c r="F293" s="247"/>
      <c r="G293" s="247"/>
      <c r="H293" s="247"/>
      <c r="I293" s="247"/>
      <c r="J293" s="247"/>
      <c r="K293" s="247"/>
      <c r="L293" s="247"/>
      <c r="M293" s="247"/>
      <c r="N293" s="247"/>
      <c r="O293" s="247"/>
    </row>
    <row r="294" spans="2:15" ht="17.399999999999999">
      <c r="B294" s="5">
        <v>14.7</v>
      </c>
      <c r="C294" s="150" t="s">
        <v>749</v>
      </c>
      <c r="D294" s="247"/>
      <c r="E294" s="247"/>
      <c r="F294" s="247"/>
      <c r="G294" s="247"/>
      <c r="H294" s="247"/>
      <c r="I294" s="247"/>
      <c r="J294" s="247"/>
      <c r="K294" s="247"/>
      <c r="L294" s="247"/>
      <c r="M294" s="247"/>
      <c r="N294" s="247"/>
      <c r="O294" s="247"/>
    </row>
    <row r="295" spans="2:15" ht="17.399999999999999">
      <c r="B295" s="142">
        <v>41843</v>
      </c>
      <c r="C295" s="150" t="s">
        <v>1574</v>
      </c>
      <c r="D295" s="247"/>
      <c r="E295" s="247"/>
      <c r="F295" s="247"/>
      <c r="G295" s="247"/>
      <c r="H295" s="247"/>
      <c r="I295" s="247"/>
      <c r="J295" s="247"/>
      <c r="K295" s="247"/>
      <c r="L295" s="247"/>
      <c r="M295" s="247"/>
      <c r="N295" s="247"/>
      <c r="O295" s="247"/>
    </row>
    <row r="296" spans="2:15" ht="17.399999999999999">
      <c r="B296" s="5" t="s">
        <v>839</v>
      </c>
      <c r="C296" s="150" t="s">
        <v>429</v>
      </c>
      <c r="D296" s="247"/>
      <c r="E296" s="247"/>
      <c r="F296" s="247"/>
      <c r="G296" s="247"/>
      <c r="H296" s="247"/>
      <c r="I296" s="247"/>
      <c r="J296" s="247"/>
      <c r="K296" s="247"/>
      <c r="L296" s="247"/>
      <c r="M296" s="247"/>
      <c r="N296" s="247"/>
      <c r="O296" s="247"/>
    </row>
    <row r="297" spans="2:15" ht="17.399999999999999">
      <c r="B297" s="5" t="s">
        <v>840</v>
      </c>
      <c r="C297" s="138" t="s">
        <v>430</v>
      </c>
      <c r="D297" s="247"/>
      <c r="E297" s="247"/>
      <c r="F297" s="247"/>
      <c r="G297" s="247"/>
      <c r="H297" s="247"/>
      <c r="I297" s="247"/>
      <c r="J297" s="247"/>
      <c r="K297" s="247"/>
      <c r="L297" s="247"/>
      <c r="M297" s="247"/>
      <c r="N297" s="247"/>
      <c r="O297" s="247"/>
    </row>
    <row r="298" spans="2:15" ht="17.399999999999999">
      <c r="B298" s="142">
        <v>41846</v>
      </c>
      <c r="C298" s="138" t="s">
        <v>731</v>
      </c>
      <c r="D298" s="247"/>
      <c r="E298" s="247"/>
      <c r="F298" s="247"/>
      <c r="G298" s="247"/>
      <c r="H298" s="247"/>
      <c r="I298" s="247"/>
      <c r="J298" s="247"/>
      <c r="K298" s="247"/>
      <c r="L298" s="247"/>
      <c r="M298" s="247"/>
      <c r="N298" s="247"/>
      <c r="O298" s="247"/>
    </row>
    <row r="299" spans="2:15" ht="17.399999999999999">
      <c r="B299" s="5"/>
      <c r="C299" s="138" t="s">
        <v>1615</v>
      </c>
      <c r="D299" s="247"/>
      <c r="E299" s="247"/>
      <c r="F299" s="247"/>
      <c r="G299" s="247"/>
      <c r="H299" s="247"/>
      <c r="I299" s="247"/>
      <c r="J299" s="247"/>
      <c r="K299" s="247"/>
      <c r="L299" s="247"/>
      <c r="M299" s="247"/>
      <c r="N299" s="247"/>
      <c r="O299" s="247"/>
    </row>
    <row r="300" spans="2:15" ht="17.399999999999999">
      <c r="B300" s="5"/>
      <c r="C300" s="138" t="s">
        <v>930</v>
      </c>
      <c r="D300" s="247"/>
      <c r="E300" s="247"/>
      <c r="F300" s="247"/>
      <c r="G300" s="247"/>
      <c r="H300" s="247"/>
      <c r="I300" s="247"/>
      <c r="J300" s="247"/>
      <c r="K300" s="247"/>
      <c r="L300" s="247"/>
      <c r="M300" s="247"/>
      <c r="N300" s="247"/>
      <c r="O300" s="247"/>
    </row>
    <row r="301" spans="2:15" ht="17.399999999999999">
      <c r="B301" s="5"/>
      <c r="C301" s="150" t="s">
        <v>1413</v>
      </c>
      <c r="D301" s="247"/>
      <c r="E301" s="247"/>
      <c r="F301" s="247"/>
      <c r="G301" s="247"/>
      <c r="H301" s="247"/>
      <c r="I301" s="247"/>
      <c r="J301" s="247"/>
      <c r="K301" s="247"/>
      <c r="L301" s="247"/>
      <c r="M301" s="247"/>
      <c r="N301" s="247"/>
      <c r="O301" s="247"/>
    </row>
    <row r="302" spans="2:15" ht="17.399999999999999">
      <c r="B302" s="5"/>
      <c r="C302" s="138" t="s">
        <v>766</v>
      </c>
      <c r="D302" s="247"/>
      <c r="E302" s="247"/>
      <c r="F302" s="247"/>
      <c r="G302" s="247"/>
      <c r="H302" s="247"/>
      <c r="I302" s="247"/>
      <c r="J302" s="247"/>
      <c r="K302" s="247"/>
      <c r="L302" s="247"/>
      <c r="M302" s="247"/>
      <c r="N302" s="247"/>
      <c r="O302" s="247"/>
    </row>
    <row r="303" spans="2:15" ht="17.399999999999999">
      <c r="B303" s="5"/>
      <c r="C303" s="138" t="s">
        <v>767</v>
      </c>
      <c r="D303" s="247"/>
      <c r="E303" s="247"/>
      <c r="F303" s="247"/>
      <c r="G303" s="247"/>
      <c r="H303" s="247"/>
      <c r="I303" s="247"/>
      <c r="J303" s="247"/>
      <c r="K303" s="247"/>
      <c r="L303" s="247"/>
      <c r="M303" s="247"/>
      <c r="N303" s="247"/>
      <c r="O303" s="247"/>
    </row>
    <row r="304" spans="2:15" ht="17.399999999999999">
      <c r="B304" s="5"/>
      <c r="C304" s="138" t="s">
        <v>475</v>
      </c>
      <c r="D304" s="247"/>
      <c r="E304" s="247"/>
      <c r="F304" s="247"/>
      <c r="G304" s="247"/>
      <c r="H304" s="247"/>
      <c r="I304" s="247"/>
      <c r="J304" s="247"/>
      <c r="K304" s="247"/>
      <c r="L304" s="247"/>
      <c r="M304" s="247"/>
      <c r="N304" s="247"/>
      <c r="O304" s="247"/>
    </row>
    <row r="305" spans="2:15" ht="17.399999999999999">
      <c r="B305" s="5"/>
      <c r="C305" s="138" t="s">
        <v>201</v>
      </c>
      <c r="D305" s="247"/>
      <c r="E305" s="247"/>
      <c r="F305" s="247"/>
      <c r="G305" s="247"/>
      <c r="H305" s="247"/>
      <c r="I305" s="247"/>
      <c r="J305" s="247"/>
      <c r="K305" s="247"/>
      <c r="L305" s="247"/>
      <c r="M305" s="247"/>
      <c r="N305" s="247"/>
      <c r="O305" s="247"/>
    </row>
    <row r="306" spans="2:15" ht="17.399999999999999">
      <c r="B306" s="5"/>
      <c r="C306" s="150" t="s">
        <v>1274</v>
      </c>
      <c r="D306" s="247"/>
      <c r="E306" s="247"/>
      <c r="F306" s="247"/>
      <c r="G306" s="247"/>
      <c r="H306" s="247"/>
      <c r="I306" s="247"/>
      <c r="J306" s="247"/>
      <c r="K306" s="247"/>
      <c r="L306" s="247"/>
      <c r="M306" s="247"/>
      <c r="N306" s="247"/>
      <c r="O306" s="247"/>
    </row>
    <row r="307" spans="2:15" ht="17.399999999999999">
      <c r="B307" s="5"/>
      <c r="C307" s="138" t="s">
        <v>402</v>
      </c>
      <c r="D307" s="247"/>
      <c r="E307" s="247"/>
      <c r="F307" s="247"/>
      <c r="G307" s="247"/>
      <c r="H307" s="247"/>
      <c r="I307" s="247"/>
      <c r="J307" s="247"/>
      <c r="K307" s="247"/>
      <c r="L307" s="247"/>
      <c r="M307" s="247"/>
      <c r="N307" s="247"/>
      <c r="O307" s="247"/>
    </row>
    <row r="308" spans="2:15" ht="17.399999999999999">
      <c r="B308" s="5"/>
      <c r="C308" s="138" t="s">
        <v>52</v>
      </c>
      <c r="D308" s="247"/>
      <c r="E308" s="247"/>
      <c r="F308" s="247"/>
      <c r="G308" s="247"/>
      <c r="H308" s="247"/>
      <c r="I308" s="247"/>
      <c r="J308" s="247"/>
      <c r="K308" s="247"/>
      <c r="L308" s="247"/>
      <c r="M308" s="247"/>
      <c r="N308" s="247"/>
      <c r="O308" s="247"/>
    </row>
    <row r="309" spans="2:15" ht="17.399999999999999">
      <c r="B309" s="5"/>
      <c r="C309" s="138" t="s">
        <v>1576</v>
      </c>
      <c r="D309" s="247"/>
      <c r="E309" s="247"/>
      <c r="F309" s="247"/>
      <c r="G309" s="247"/>
      <c r="H309" s="247"/>
      <c r="I309" s="247"/>
      <c r="J309" s="247"/>
      <c r="K309" s="247"/>
      <c r="L309" s="247"/>
      <c r="M309" s="247"/>
      <c r="N309" s="247"/>
      <c r="O309" s="247"/>
    </row>
    <row r="310" spans="2:15" ht="17.399999999999999">
      <c r="B310" s="5"/>
      <c r="C310" s="150" t="s">
        <v>1710</v>
      </c>
      <c r="D310" s="247"/>
      <c r="E310" s="247"/>
      <c r="F310" s="247"/>
      <c r="G310" s="247"/>
      <c r="H310" s="247"/>
      <c r="I310" s="247"/>
      <c r="J310" s="247"/>
      <c r="K310" s="247"/>
      <c r="L310" s="247"/>
      <c r="M310" s="247"/>
      <c r="N310" s="247"/>
      <c r="O310" s="247"/>
    </row>
    <row r="311" spans="2:15" ht="17.399999999999999">
      <c r="B311" s="5"/>
      <c r="C311" s="138" t="s">
        <v>1575</v>
      </c>
      <c r="D311" s="247"/>
      <c r="E311" s="247"/>
      <c r="F311" s="247"/>
      <c r="G311" s="247"/>
      <c r="H311" s="247"/>
      <c r="I311" s="247"/>
      <c r="J311" s="247"/>
      <c r="K311" s="247"/>
      <c r="L311" s="247"/>
      <c r="M311" s="247"/>
      <c r="N311" s="247"/>
      <c r="O311" s="247"/>
    </row>
    <row r="312" spans="2:15" ht="17.399999999999999">
      <c r="B312" s="5"/>
      <c r="C312" s="138" t="s">
        <v>202</v>
      </c>
      <c r="D312" s="247"/>
      <c r="E312" s="247"/>
      <c r="F312" s="247"/>
      <c r="G312" s="247"/>
      <c r="H312" s="247"/>
      <c r="I312" s="247"/>
      <c r="J312" s="247"/>
      <c r="K312" s="247"/>
      <c r="L312" s="247"/>
      <c r="M312" s="247"/>
      <c r="N312" s="247"/>
      <c r="O312" s="247"/>
    </row>
    <row r="313" spans="2:15" ht="17.399999999999999">
      <c r="B313" s="5"/>
      <c r="C313" s="138" t="s">
        <v>681</v>
      </c>
      <c r="D313" s="247"/>
      <c r="E313" s="247"/>
      <c r="F313" s="247"/>
      <c r="G313" s="247"/>
      <c r="H313" s="247"/>
      <c r="I313" s="247"/>
      <c r="J313" s="247"/>
      <c r="K313" s="247"/>
      <c r="L313" s="247"/>
      <c r="M313" s="247"/>
      <c r="N313" s="247"/>
      <c r="O313" s="247"/>
    </row>
    <row r="314" spans="2:15" ht="17.399999999999999">
      <c r="B314" s="5"/>
      <c r="C314" s="150"/>
      <c r="D314" s="247"/>
      <c r="E314" s="247"/>
      <c r="F314" s="247"/>
      <c r="G314" s="247"/>
      <c r="H314" s="247"/>
      <c r="I314" s="247"/>
      <c r="J314" s="247"/>
      <c r="K314" s="247"/>
      <c r="L314" s="247"/>
      <c r="M314" s="247"/>
      <c r="N314" s="247"/>
      <c r="O314" s="247"/>
    </row>
    <row r="315" spans="2:15" ht="17.399999999999999">
      <c r="B315" s="5">
        <v>14.65</v>
      </c>
      <c r="C315" s="150" t="s">
        <v>546</v>
      </c>
      <c r="D315" s="247"/>
      <c r="E315" s="247"/>
      <c r="F315" s="247"/>
      <c r="G315" s="247"/>
      <c r="H315" s="247"/>
      <c r="I315" s="247"/>
      <c r="J315" s="247"/>
      <c r="K315" s="247"/>
      <c r="L315" s="247"/>
      <c r="M315" s="247"/>
      <c r="N315" s="247"/>
      <c r="O315" s="247"/>
    </row>
    <row r="316" spans="2:15" ht="17.399999999999999">
      <c r="B316" s="142">
        <v>41781</v>
      </c>
      <c r="C316" t="s">
        <v>1089</v>
      </c>
      <c r="D316" s="147"/>
      <c r="E316" s="147"/>
      <c r="F316" s="141"/>
      <c r="G316" s="141"/>
      <c r="H316" s="141"/>
      <c r="I316" s="141"/>
      <c r="J316" s="141"/>
      <c r="K316" s="141"/>
      <c r="L316" s="141"/>
      <c r="M316" s="141"/>
      <c r="N316" s="141"/>
      <c r="O316" s="141"/>
    </row>
    <row r="317" spans="2:15" ht="17.399999999999999">
      <c r="C317" s="143" t="s">
        <v>301</v>
      </c>
      <c r="D317" s="147"/>
      <c r="E317" s="147"/>
      <c r="F317" s="141"/>
      <c r="G317" s="141"/>
      <c r="H317" s="141"/>
      <c r="I317" s="141"/>
      <c r="J317" s="141"/>
      <c r="K317" s="141"/>
      <c r="L317" s="141"/>
      <c r="M317" s="141"/>
      <c r="N317" s="141"/>
      <c r="O317" s="141"/>
    </row>
    <row r="318" spans="2:15" ht="17.399999999999999">
      <c r="B318" s="142"/>
      <c r="C318" s="143" t="s">
        <v>297</v>
      </c>
      <c r="D318" s="147"/>
      <c r="E318" s="147"/>
      <c r="F318" s="141"/>
      <c r="G318" s="141"/>
      <c r="H318" s="141"/>
      <c r="I318" s="141"/>
      <c r="J318" s="141"/>
      <c r="K318" s="141"/>
      <c r="L318" s="141"/>
      <c r="M318" s="141"/>
      <c r="N318" s="141"/>
      <c r="O318" s="141"/>
    </row>
    <row r="319" spans="2:15" ht="17.399999999999999">
      <c r="B319" s="142"/>
      <c r="C319" s="143" t="s">
        <v>300</v>
      </c>
      <c r="D319" s="147"/>
      <c r="E319" s="147"/>
      <c r="F319" s="141"/>
      <c r="G319" s="141"/>
      <c r="H319" s="141"/>
      <c r="I319" s="141"/>
      <c r="J319" s="141"/>
      <c r="K319" s="141"/>
      <c r="L319" s="141"/>
      <c r="M319" s="141"/>
      <c r="N319" s="141"/>
      <c r="O319" s="141"/>
    </row>
    <row r="320" spans="2:15" ht="17.399999999999999">
      <c r="B320" s="142"/>
      <c r="C320" s="143" t="s">
        <v>1270</v>
      </c>
      <c r="D320" s="147"/>
      <c r="E320" s="147"/>
      <c r="F320" s="141"/>
      <c r="G320" s="141"/>
      <c r="H320" s="141"/>
      <c r="I320" s="141"/>
      <c r="J320" s="141"/>
      <c r="K320" s="141"/>
      <c r="L320" s="141"/>
      <c r="M320" s="141"/>
      <c r="N320" s="141"/>
      <c r="O320" s="141"/>
    </row>
    <row r="321" spans="1:15" ht="17.399999999999999">
      <c r="B321" s="142"/>
      <c r="C321" s="143" t="s">
        <v>1008</v>
      </c>
      <c r="D321" s="147"/>
      <c r="E321" s="147"/>
      <c r="F321" s="141"/>
      <c r="G321" s="141"/>
      <c r="H321" s="141"/>
      <c r="I321" s="141"/>
      <c r="J321" s="141"/>
      <c r="K321" s="141"/>
      <c r="L321" s="141"/>
      <c r="M321" s="141"/>
      <c r="N321" s="141"/>
      <c r="O321" s="141"/>
    </row>
    <row r="322" spans="1:15" ht="17.399999999999999">
      <c r="A322" s="1"/>
      <c r="B322" s="5"/>
      <c r="C322" s="276" t="s">
        <v>1448</v>
      </c>
      <c r="D322" s="147"/>
      <c r="E322" s="147"/>
      <c r="F322" s="141"/>
      <c r="G322" s="141"/>
      <c r="H322" s="141"/>
      <c r="I322" s="141"/>
      <c r="J322" s="141"/>
      <c r="K322" s="141"/>
      <c r="L322" s="141"/>
      <c r="M322" s="141"/>
      <c r="N322" s="141"/>
      <c r="O322" s="141"/>
    </row>
    <row r="323" spans="1:15" ht="17.399999999999999">
      <c r="A323" s="1"/>
      <c r="B323" s="6"/>
      <c r="C323" s="208"/>
      <c r="D323" s="390"/>
      <c r="E323" s="390"/>
      <c r="F323" s="393"/>
      <c r="G323" s="393"/>
      <c r="H323" s="393"/>
      <c r="I323" s="141"/>
      <c r="J323" s="141"/>
      <c r="K323" s="141"/>
      <c r="L323" s="141"/>
      <c r="M323" s="141"/>
      <c r="N323" s="141"/>
      <c r="O323" s="141"/>
    </row>
    <row r="324" spans="1:15" ht="17.399999999999999">
      <c r="A324" s="1"/>
      <c r="B324" s="5">
        <v>14.6</v>
      </c>
      <c r="C324" s="143" t="s">
        <v>1364</v>
      </c>
      <c r="D324" s="147"/>
      <c r="E324" s="147"/>
      <c r="F324" s="141"/>
      <c r="G324" s="141"/>
      <c r="H324" s="141"/>
      <c r="I324" s="141"/>
      <c r="J324" s="141"/>
      <c r="K324" s="141"/>
      <c r="L324" s="141"/>
      <c r="M324" s="141"/>
      <c r="N324" s="141"/>
      <c r="O324" s="141"/>
    </row>
    <row r="325" spans="1:15" ht="17.399999999999999">
      <c r="A325" s="1"/>
      <c r="B325" s="142">
        <v>41769</v>
      </c>
      <c r="C325" s="143" t="s">
        <v>1365</v>
      </c>
      <c r="D325" s="147"/>
      <c r="E325" s="147"/>
      <c r="F325" s="141"/>
      <c r="G325" s="141"/>
      <c r="H325" s="141"/>
      <c r="I325" s="141"/>
      <c r="J325" s="141"/>
      <c r="K325" s="141"/>
      <c r="L325" s="141"/>
      <c r="M325" s="141"/>
      <c r="N325" s="141"/>
      <c r="O325" s="141"/>
    </row>
    <row r="326" spans="1:15" ht="17.399999999999999">
      <c r="A326" s="1"/>
      <c r="B326" s="5"/>
      <c r="C326" s="143" t="s">
        <v>1542</v>
      </c>
      <c r="D326" s="147"/>
      <c r="E326" s="147"/>
      <c r="F326" s="141"/>
      <c r="G326" s="141"/>
      <c r="H326" s="141"/>
      <c r="I326" s="141"/>
      <c r="J326" s="141"/>
      <c r="K326" s="141"/>
      <c r="L326" s="141"/>
      <c r="M326" s="141"/>
      <c r="N326" s="141"/>
      <c r="O326" s="141"/>
    </row>
    <row r="327" spans="1:15" ht="17.399999999999999">
      <c r="A327" s="1"/>
      <c r="B327" s="1"/>
      <c r="C327" s="143" t="s">
        <v>493</v>
      </c>
      <c r="D327" s="147"/>
      <c r="E327" s="147"/>
      <c r="F327" s="141"/>
      <c r="G327" s="141"/>
      <c r="H327" s="141"/>
      <c r="I327" s="141"/>
      <c r="J327" s="141"/>
      <c r="K327" s="141"/>
      <c r="L327" s="141"/>
      <c r="M327" s="141"/>
      <c r="N327" s="141"/>
      <c r="O327" s="141"/>
    </row>
    <row r="328" spans="1:15" ht="17.399999999999999">
      <c r="A328" s="1"/>
      <c r="B328" s="142"/>
      <c r="C328" s="143" t="s">
        <v>879</v>
      </c>
      <c r="D328" s="147"/>
      <c r="E328" s="147"/>
      <c r="F328" s="141"/>
      <c r="G328" s="141"/>
      <c r="H328" s="141"/>
      <c r="I328" s="141"/>
      <c r="J328" s="141"/>
      <c r="K328" s="141"/>
      <c r="L328" s="141"/>
      <c r="M328" s="141"/>
      <c r="N328" s="141"/>
      <c r="O328" s="141"/>
    </row>
    <row r="329" spans="1:15" ht="17.399999999999999">
      <c r="A329" s="1"/>
      <c r="B329" s="142"/>
      <c r="C329" s="143" t="s">
        <v>1579</v>
      </c>
      <c r="D329" s="147"/>
      <c r="E329" s="147"/>
      <c r="F329" s="141"/>
      <c r="G329" s="141"/>
      <c r="H329" s="141"/>
      <c r="I329" s="141"/>
      <c r="J329" s="141"/>
      <c r="K329" s="141"/>
      <c r="L329" s="141"/>
      <c r="M329" s="141"/>
      <c r="N329" s="141"/>
      <c r="O329" s="141"/>
    </row>
    <row r="330" spans="1:15" ht="17.399999999999999">
      <c r="A330" s="1"/>
      <c r="B330" s="142"/>
      <c r="C330" s="276" t="s">
        <v>802</v>
      </c>
      <c r="D330" s="147"/>
      <c r="E330" s="147"/>
      <c r="F330" s="141"/>
      <c r="G330" s="141"/>
      <c r="H330" s="141"/>
      <c r="I330" s="141"/>
      <c r="J330" s="141"/>
      <c r="K330" s="141"/>
      <c r="L330" s="141"/>
      <c r="M330" s="141"/>
      <c r="N330" s="141"/>
      <c r="O330" s="141"/>
    </row>
    <row r="331" spans="1:15" ht="17.399999999999999">
      <c r="A331" s="1"/>
      <c r="B331" s="142"/>
      <c r="C331" s="143" t="s">
        <v>613</v>
      </c>
      <c r="D331" s="147"/>
      <c r="E331" s="147"/>
      <c r="F331" s="141"/>
      <c r="G331" s="141"/>
      <c r="H331" s="141"/>
      <c r="I331" s="141"/>
      <c r="J331" s="141"/>
      <c r="K331" s="141"/>
      <c r="L331" s="141"/>
      <c r="M331" s="141"/>
      <c r="N331" s="141"/>
      <c r="O331" s="141"/>
    </row>
    <row r="332" spans="1:15" ht="17.399999999999999">
      <c r="A332" s="1"/>
      <c r="B332" s="142"/>
      <c r="C332" s="143" t="s">
        <v>1584</v>
      </c>
      <c r="D332" s="147"/>
      <c r="E332" s="147"/>
      <c r="F332" s="141"/>
      <c r="G332" s="141"/>
      <c r="H332" s="141"/>
      <c r="I332" s="141"/>
      <c r="J332" s="141"/>
      <c r="K332" s="141"/>
      <c r="L332" s="141"/>
      <c r="M332" s="141"/>
      <c r="N332" s="141"/>
      <c r="O332" s="141"/>
    </row>
    <row r="333" spans="1:15" ht="17.399999999999999">
      <c r="A333" s="1"/>
      <c r="B333" s="142"/>
      <c r="C333" s="143" t="s">
        <v>560</v>
      </c>
      <c r="D333" s="147"/>
      <c r="E333" s="147"/>
      <c r="F333" s="141"/>
      <c r="G333" s="141"/>
      <c r="H333" s="141"/>
      <c r="I333" s="141"/>
      <c r="J333" s="141"/>
      <c r="K333" s="141"/>
      <c r="L333" s="141"/>
      <c r="M333" s="141"/>
      <c r="N333" s="141"/>
      <c r="O333" s="141"/>
    </row>
    <row r="334" spans="1:15" ht="17.399999999999999">
      <c r="A334" s="1"/>
      <c r="B334" s="142"/>
      <c r="C334" s="143" t="s">
        <v>1251</v>
      </c>
      <c r="D334" s="147"/>
      <c r="E334" s="147"/>
      <c r="F334" s="141"/>
      <c r="G334" s="141"/>
      <c r="H334" s="141"/>
      <c r="I334" s="141"/>
      <c r="J334" s="141"/>
      <c r="K334" s="141"/>
      <c r="L334" s="141"/>
      <c r="M334" s="141"/>
      <c r="N334" s="141"/>
      <c r="O334" s="141"/>
    </row>
    <row r="335" spans="1:15" ht="17.399999999999999">
      <c r="A335" s="1"/>
      <c r="B335" s="393"/>
      <c r="C335" s="139"/>
      <c r="D335" s="393"/>
      <c r="E335" s="393"/>
      <c r="F335" s="393"/>
      <c r="G335" s="393"/>
      <c r="H335" s="393"/>
      <c r="I335" s="141"/>
      <c r="J335" s="141"/>
      <c r="K335" s="141"/>
      <c r="L335" s="141"/>
      <c r="M335" s="141"/>
      <c r="N335" s="141"/>
      <c r="O335" s="141"/>
    </row>
    <row r="336" spans="1:15" ht="17.399999999999999">
      <c r="A336" s="1"/>
      <c r="B336" s="398">
        <v>14.5</v>
      </c>
      <c r="C336" s="1" t="s">
        <v>607</v>
      </c>
      <c r="D336" s="141"/>
      <c r="E336" s="141"/>
      <c r="F336" s="141"/>
      <c r="G336" s="141"/>
      <c r="H336" s="141"/>
      <c r="I336" s="141"/>
      <c r="J336" s="141"/>
      <c r="K336" s="141"/>
      <c r="L336" s="141"/>
      <c r="M336" s="141"/>
      <c r="N336" s="141"/>
      <c r="O336" s="141"/>
    </row>
    <row r="337" spans="1:15" ht="17.399999999999999">
      <c r="A337" s="1"/>
      <c r="B337" s="142">
        <v>41760</v>
      </c>
      <c r="C337" s="1" t="s">
        <v>1253</v>
      </c>
      <c r="D337" s="141"/>
      <c r="E337" s="141"/>
      <c r="F337" s="141"/>
      <c r="G337" s="141"/>
      <c r="H337" s="141"/>
      <c r="I337" s="141"/>
      <c r="J337" s="141"/>
      <c r="K337" s="141"/>
      <c r="L337" s="141"/>
      <c r="M337" s="141"/>
      <c r="N337" s="141"/>
      <c r="O337" s="141"/>
    </row>
    <row r="338" spans="1:15" ht="17.399999999999999">
      <c r="A338" s="1"/>
      <c r="B338" s="5"/>
      <c r="C338" s="1" t="s">
        <v>1684</v>
      </c>
      <c r="D338" s="141"/>
      <c r="E338" s="141"/>
      <c r="F338" s="141"/>
      <c r="G338" s="141"/>
      <c r="H338" s="141"/>
      <c r="I338" s="141"/>
      <c r="J338" s="141"/>
      <c r="K338" s="141"/>
      <c r="L338" s="141"/>
      <c r="M338" s="141"/>
      <c r="N338" s="141"/>
      <c r="O338" s="141"/>
    </row>
    <row r="339" spans="1:15" ht="17.399999999999999">
      <c r="A339" s="1"/>
      <c r="B339" s="5"/>
      <c r="C339" s="1" t="s">
        <v>1252</v>
      </c>
      <c r="D339" s="141"/>
      <c r="E339" s="141"/>
      <c r="F339" s="141"/>
      <c r="G339" s="141"/>
      <c r="H339" s="141"/>
      <c r="I339" s="141"/>
      <c r="J339" s="141"/>
      <c r="K339" s="141"/>
      <c r="L339" s="141"/>
      <c r="M339" s="141"/>
      <c r="N339" s="141"/>
      <c r="O339" s="141"/>
    </row>
    <row r="340" spans="1:15" ht="17.399999999999999">
      <c r="A340" s="1"/>
      <c r="B340" s="5"/>
      <c r="C340" s="1" t="s">
        <v>506</v>
      </c>
      <c r="D340" s="141"/>
      <c r="E340" s="141"/>
      <c r="F340" s="141"/>
      <c r="G340" s="141"/>
      <c r="H340" s="141"/>
      <c r="I340" s="141"/>
      <c r="J340" s="141"/>
      <c r="K340" s="141"/>
      <c r="L340" s="141"/>
      <c r="M340" s="141"/>
      <c r="N340" s="141"/>
      <c r="O340" s="141"/>
    </row>
    <row r="341" spans="1:15" ht="17.399999999999999">
      <c r="A341" s="1"/>
      <c r="B341" s="5"/>
      <c r="C341" s="1" t="s">
        <v>1221</v>
      </c>
      <c r="D341" s="141"/>
      <c r="E341" s="141"/>
      <c r="F341" s="141"/>
      <c r="G341" s="141"/>
      <c r="H341" s="141"/>
      <c r="I341" s="141"/>
      <c r="J341" s="141"/>
      <c r="K341" s="141"/>
      <c r="L341" s="141"/>
      <c r="M341" s="141"/>
      <c r="N341" s="141"/>
      <c r="O341" s="141"/>
    </row>
    <row r="342" spans="1:15" ht="17.399999999999999">
      <c r="A342" s="1"/>
      <c r="B342" s="5"/>
      <c r="C342" s="1" t="s">
        <v>197</v>
      </c>
      <c r="D342" s="141"/>
      <c r="E342" s="141"/>
      <c r="F342" s="141"/>
      <c r="G342" s="141"/>
      <c r="H342" s="141"/>
      <c r="I342" s="141"/>
      <c r="J342" s="141"/>
      <c r="K342" s="141"/>
      <c r="L342" s="141"/>
      <c r="M342" s="141"/>
      <c r="N342" s="141"/>
      <c r="O342" s="141"/>
    </row>
    <row r="343" spans="1:15" ht="17.399999999999999">
      <c r="A343" s="1"/>
      <c r="B343" s="5"/>
      <c r="C343" s="1" t="s">
        <v>214</v>
      </c>
      <c r="D343" s="141"/>
      <c r="E343" s="141"/>
      <c r="F343" s="141"/>
      <c r="G343" s="141"/>
      <c r="H343" s="141"/>
      <c r="I343" s="141"/>
      <c r="J343" s="141"/>
      <c r="K343" s="141"/>
      <c r="L343" s="141"/>
      <c r="M343" s="141"/>
      <c r="N343" s="141"/>
      <c r="O343" s="141"/>
    </row>
    <row r="344" spans="1:15" ht="17.399999999999999">
      <c r="A344" s="1"/>
      <c r="B344" s="5"/>
      <c r="C344" s="1" t="s">
        <v>198</v>
      </c>
      <c r="D344" s="141"/>
      <c r="E344" s="141"/>
      <c r="F344" s="141"/>
      <c r="G344" s="141"/>
      <c r="H344" s="141"/>
      <c r="I344" s="141"/>
      <c r="J344" s="141"/>
      <c r="K344" s="141"/>
      <c r="L344" s="141"/>
      <c r="M344" s="141"/>
      <c r="N344" s="141"/>
      <c r="O344" s="141"/>
    </row>
    <row r="345" spans="1:15" ht="17.399999999999999">
      <c r="A345" s="1"/>
      <c r="B345" s="5"/>
      <c r="C345" s="1" t="s">
        <v>1164</v>
      </c>
      <c r="D345" s="141"/>
      <c r="E345" s="141"/>
      <c r="F345" s="141"/>
      <c r="G345" s="141"/>
      <c r="H345" s="141"/>
      <c r="I345" s="141"/>
      <c r="J345" s="141"/>
      <c r="K345" s="141"/>
      <c r="L345" s="141"/>
      <c r="M345" s="141"/>
      <c r="N345" s="141"/>
      <c r="O345" s="141"/>
    </row>
    <row r="346" spans="1:15" ht="17.399999999999999">
      <c r="A346" s="1"/>
      <c r="B346" s="5"/>
      <c r="C346" s="1" t="s">
        <v>1087</v>
      </c>
      <c r="D346" s="141"/>
      <c r="E346" s="141"/>
      <c r="F346" s="141"/>
      <c r="G346" s="141"/>
      <c r="H346" s="141"/>
      <c r="I346" s="141"/>
      <c r="J346" s="141"/>
      <c r="K346" s="141"/>
      <c r="L346" s="141"/>
      <c r="M346" s="141"/>
      <c r="N346" s="141"/>
      <c r="O346" s="141"/>
    </row>
    <row r="347" spans="1:15" ht="17.399999999999999">
      <c r="A347" s="1"/>
      <c r="B347" s="5"/>
      <c r="C347" s="1" t="s">
        <v>480</v>
      </c>
      <c r="D347" s="141"/>
      <c r="E347" s="141"/>
      <c r="F347" s="141"/>
      <c r="G347" s="141"/>
      <c r="H347" s="141"/>
      <c r="I347" s="141"/>
      <c r="J347" s="141"/>
      <c r="K347" s="141"/>
      <c r="L347" s="141"/>
      <c r="M347" s="141"/>
      <c r="N347" s="141"/>
      <c r="O347" s="141"/>
    </row>
    <row r="348" spans="1:15" ht="17.399999999999999">
      <c r="A348" s="1"/>
      <c r="B348" s="5"/>
      <c r="C348" s="1" t="s">
        <v>605</v>
      </c>
      <c r="D348" s="141"/>
      <c r="E348" s="141"/>
      <c r="F348" s="141"/>
      <c r="G348" s="141"/>
      <c r="H348" s="141"/>
      <c r="I348" s="141"/>
      <c r="J348" s="141"/>
      <c r="K348" s="141"/>
      <c r="L348" s="141"/>
      <c r="M348" s="141"/>
      <c r="N348" s="141"/>
      <c r="O348" s="141"/>
    </row>
    <row r="349" spans="1:15" ht="17.399999999999999">
      <c r="A349" s="1"/>
      <c r="B349" s="393"/>
      <c r="C349" s="139"/>
      <c r="D349" s="393"/>
      <c r="E349" s="393"/>
      <c r="F349" s="393"/>
      <c r="G349" s="393"/>
      <c r="H349" s="393"/>
      <c r="I349" s="141"/>
      <c r="J349" s="141"/>
      <c r="K349" s="141"/>
      <c r="L349" s="141"/>
      <c r="M349" s="141"/>
      <c r="N349" s="141"/>
      <c r="O349" s="141"/>
    </row>
    <row r="350" spans="1:15" ht="17.399999999999999">
      <c r="A350" s="1"/>
      <c r="B350" s="398">
        <v>14.3</v>
      </c>
      <c r="C350" s="1" t="s">
        <v>1239</v>
      </c>
      <c r="D350" s="141"/>
      <c r="E350" s="141"/>
      <c r="F350" s="141"/>
      <c r="G350" s="141"/>
      <c r="H350" s="141"/>
      <c r="I350" s="141"/>
      <c r="J350" s="141"/>
      <c r="K350" s="141"/>
      <c r="L350" s="141"/>
      <c r="M350" s="141"/>
      <c r="N350" s="141"/>
      <c r="O350" s="141"/>
    </row>
    <row r="351" spans="1:15" ht="17.399999999999999">
      <c r="A351" s="1"/>
      <c r="B351" s="142">
        <v>41726</v>
      </c>
      <c r="C351" s="143" t="s">
        <v>583</v>
      </c>
      <c r="D351" s="141"/>
      <c r="E351" s="141"/>
      <c r="F351" s="141"/>
      <c r="G351" s="141"/>
      <c r="H351" s="141"/>
      <c r="I351" s="141"/>
      <c r="J351" s="141"/>
      <c r="K351" s="141"/>
      <c r="L351" s="141"/>
      <c r="M351" s="141"/>
      <c r="N351" s="141"/>
      <c r="O351" s="141"/>
    </row>
    <row r="352" spans="1:15" ht="17.399999999999999">
      <c r="A352" s="1"/>
      <c r="B352" s="398"/>
      <c r="C352" s="143" t="s">
        <v>1634</v>
      </c>
      <c r="D352" s="141"/>
      <c r="E352" s="141"/>
      <c r="F352" s="141"/>
      <c r="G352" s="141"/>
      <c r="H352" s="141"/>
      <c r="I352" s="141"/>
      <c r="J352" s="141"/>
      <c r="K352" s="141"/>
      <c r="L352" s="141"/>
      <c r="M352" s="141"/>
      <c r="N352" s="141"/>
      <c r="O352" s="141"/>
    </row>
    <row r="353" spans="1:16" ht="17.399999999999999">
      <c r="A353" s="1"/>
      <c r="B353" s="398"/>
      <c r="C353" s="143" t="s">
        <v>35</v>
      </c>
      <c r="D353" s="141"/>
      <c r="E353" s="141"/>
      <c r="F353" s="141"/>
      <c r="G353" s="141"/>
      <c r="H353" s="141"/>
      <c r="I353" s="141"/>
      <c r="J353" s="141"/>
      <c r="K353" s="141"/>
      <c r="L353" s="141"/>
      <c r="M353" s="141"/>
      <c r="N353" s="141"/>
      <c r="O353" s="141"/>
    </row>
    <row r="354" spans="1:16" ht="17.399999999999999">
      <c r="A354" s="1"/>
      <c r="B354" s="398"/>
      <c r="C354" s="143" t="s">
        <v>1240</v>
      </c>
      <c r="D354" s="141"/>
      <c r="E354" s="141"/>
      <c r="F354" s="141"/>
      <c r="G354" s="141"/>
      <c r="H354" s="141"/>
      <c r="I354" s="141"/>
      <c r="J354" s="141"/>
      <c r="K354" s="141"/>
      <c r="L354" s="141"/>
      <c r="M354" s="141"/>
      <c r="N354" s="141"/>
      <c r="O354" s="141"/>
    </row>
    <row r="355" spans="1:16" ht="17.399999999999999">
      <c r="A355" s="1"/>
      <c r="B355" s="393"/>
      <c r="C355" s="393"/>
      <c r="D355" s="393"/>
      <c r="E355" s="393"/>
      <c r="F355" s="393"/>
      <c r="G355" s="393"/>
      <c r="H355" s="393"/>
      <c r="I355" s="141"/>
      <c r="J355" s="141"/>
      <c r="K355" s="141"/>
      <c r="L355" s="141"/>
      <c r="M355" s="141"/>
      <c r="N355" s="141"/>
      <c r="O355" s="141"/>
    </row>
    <row r="356" spans="1:16" ht="17.399999999999999">
      <c r="A356" s="1"/>
      <c r="B356" s="398">
        <v>14.2</v>
      </c>
      <c r="C356" s="143" t="s">
        <v>1518</v>
      </c>
      <c r="D356" s="141"/>
      <c r="E356" s="141"/>
      <c r="F356" s="141"/>
      <c r="G356" s="141"/>
      <c r="H356" s="141"/>
      <c r="I356" s="141"/>
      <c r="J356" s="141"/>
      <c r="K356" s="141"/>
      <c r="L356" s="141"/>
      <c r="M356" s="141"/>
      <c r="N356" s="141"/>
      <c r="O356" s="141"/>
    </row>
    <row r="357" spans="1:16" ht="17.399999999999999">
      <c r="A357" s="1"/>
      <c r="B357" s="142">
        <v>41714</v>
      </c>
      <c r="C357" s="143" t="s">
        <v>1656</v>
      </c>
      <c r="D357" s="141"/>
      <c r="E357" s="141"/>
      <c r="F357" s="141"/>
      <c r="G357" s="141"/>
      <c r="H357" s="141"/>
      <c r="I357" s="141"/>
      <c r="J357" s="141"/>
      <c r="K357" s="141"/>
      <c r="L357" s="141"/>
      <c r="M357" s="141"/>
      <c r="N357" s="141"/>
      <c r="O357" s="141"/>
    </row>
    <row r="358" spans="1:16" ht="17.399999999999999">
      <c r="A358" s="1"/>
      <c r="B358" s="393"/>
      <c r="C358" s="393"/>
      <c r="D358" s="393"/>
      <c r="E358" s="393"/>
      <c r="F358" s="393"/>
      <c r="G358" s="393"/>
      <c r="H358" s="393"/>
      <c r="I358" s="141"/>
      <c r="J358" s="141"/>
      <c r="K358" s="141"/>
      <c r="L358" s="141"/>
      <c r="M358" s="141"/>
      <c r="N358" s="141"/>
      <c r="O358" s="141"/>
      <c r="P358" s="1"/>
    </row>
    <row r="359" spans="1:16" ht="15.6">
      <c r="A359" s="1"/>
      <c r="B359" s="398">
        <v>14.1</v>
      </c>
      <c r="C359" s="150" t="s">
        <v>1029</v>
      </c>
      <c r="D359" s="150"/>
      <c r="E359" s="150"/>
      <c r="F359" s="150"/>
      <c r="G359" s="150"/>
      <c r="H359" s="150"/>
      <c r="I359" s="150"/>
      <c r="J359" s="150"/>
      <c r="K359" s="150"/>
      <c r="L359" s="150"/>
      <c r="M359" s="150"/>
      <c r="N359" s="150"/>
      <c r="O359" s="150"/>
    </row>
    <row r="360" spans="1:16" ht="15.6">
      <c r="A360" s="1"/>
      <c r="B360" s="142">
        <v>41704</v>
      </c>
      <c r="C360" s="150" t="s">
        <v>777</v>
      </c>
      <c r="D360" s="150"/>
      <c r="E360" s="150"/>
      <c r="F360" s="150"/>
      <c r="G360" s="150"/>
      <c r="H360" s="150"/>
      <c r="I360" s="150"/>
      <c r="J360" s="150"/>
      <c r="K360" s="150"/>
      <c r="L360" s="150"/>
      <c r="M360" s="150"/>
      <c r="N360" s="150"/>
      <c r="O360" s="150"/>
    </row>
    <row r="361" spans="1:16" ht="15.6">
      <c r="A361" s="1"/>
      <c r="B361" s="398"/>
      <c r="C361" s="260" t="s">
        <v>1062</v>
      </c>
      <c r="D361" s="260"/>
      <c r="E361" s="260"/>
      <c r="F361" s="260"/>
      <c r="G361" s="260"/>
      <c r="H361" s="158"/>
      <c r="I361" s="158"/>
      <c r="J361" s="158"/>
      <c r="K361" s="158"/>
      <c r="L361" s="158"/>
      <c r="M361" s="158"/>
      <c r="N361" s="158"/>
      <c r="O361" s="158"/>
    </row>
    <row r="362" spans="1:16" ht="15.6">
      <c r="A362" s="1"/>
      <c r="B362" s="398"/>
      <c r="C362" s="150" t="s">
        <v>1362</v>
      </c>
      <c r="D362" s="150"/>
      <c r="E362" s="150"/>
      <c r="F362" s="150"/>
      <c r="G362" s="150"/>
      <c r="H362" s="150"/>
      <c r="I362" s="150"/>
      <c r="J362" s="150"/>
      <c r="K362" s="150"/>
      <c r="L362" s="150"/>
      <c r="M362" s="150"/>
      <c r="N362" s="150"/>
      <c r="O362" s="150"/>
    </row>
    <row r="363" spans="1:16" ht="15.6">
      <c r="A363" s="1"/>
      <c r="B363" s="398"/>
      <c r="C363" s="150" t="s">
        <v>34</v>
      </c>
      <c r="D363" s="150"/>
      <c r="E363" s="150"/>
      <c r="F363" s="150"/>
      <c r="G363" s="150"/>
      <c r="H363" s="150"/>
      <c r="I363" s="150"/>
      <c r="J363" s="150"/>
      <c r="K363" s="150"/>
      <c r="L363" s="150"/>
      <c r="M363" s="150"/>
      <c r="N363" s="150"/>
      <c r="O363" s="150"/>
    </row>
    <row r="364" spans="1:16" ht="17.399999999999999">
      <c r="A364" s="1"/>
      <c r="B364" s="393"/>
      <c r="C364" s="393"/>
      <c r="D364" s="393"/>
      <c r="E364" s="393"/>
      <c r="F364" s="393"/>
      <c r="G364" s="393"/>
      <c r="H364" s="393"/>
      <c r="I364" s="141"/>
      <c r="J364" s="141"/>
      <c r="K364" s="141"/>
      <c r="L364" s="141"/>
      <c r="M364" s="141"/>
      <c r="N364" s="141"/>
      <c r="O364" s="141"/>
    </row>
    <row r="365" spans="1:16" ht="15.6">
      <c r="A365" s="1"/>
      <c r="B365" s="398">
        <v>14</v>
      </c>
      <c r="C365" s="150" t="s">
        <v>167</v>
      </c>
      <c r="D365" s="150"/>
      <c r="E365" s="150"/>
      <c r="F365" s="150"/>
      <c r="G365" s="150"/>
      <c r="H365" s="150"/>
      <c r="I365" s="150"/>
      <c r="J365" s="150"/>
      <c r="K365" s="150"/>
      <c r="L365" s="150"/>
      <c r="M365" s="150"/>
      <c r="N365" s="150"/>
      <c r="O365" s="150"/>
    </row>
    <row r="366" spans="1:16" ht="17.399999999999999" customHeight="1">
      <c r="A366" s="1"/>
      <c r="B366" s="142">
        <v>41640</v>
      </c>
      <c r="C366" s="150" t="s">
        <v>1167</v>
      </c>
      <c r="D366" s="150"/>
      <c r="E366" s="150"/>
      <c r="F366" s="150"/>
      <c r="G366" s="150"/>
      <c r="H366" s="150"/>
      <c r="I366" s="150"/>
      <c r="J366" s="150"/>
      <c r="K366" s="150"/>
      <c r="L366" s="150"/>
      <c r="M366" s="150"/>
      <c r="N366" s="150"/>
      <c r="O366" s="150"/>
    </row>
    <row r="367" spans="1:16" ht="17.399999999999999" customHeight="1">
      <c r="A367" s="1"/>
      <c r="B367" s="142"/>
      <c r="C367" s="260" t="s">
        <v>1043</v>
      </c>
      <c r="D367" s="260"/>
      <c r="E367" s="260"/>
      <c r="F367" s="260"/>
      <c r="G367" s="260"/>
      <c r="H367" s="158"/>
      <c r="I367" s="158"/>
      <c r="J367" s="158"/>
      <c r="K367" s="158"/>
      <c r="L367" s="158"/>
      <c r="M367" s="158"/>
      <c r="N367" s="158"/>
      <c r="O367" s="158"/>
    </row>
    <row r="368" spans="1:16" ht="17.399999999999999" customHeight="1">
      <c r="A368" s="1"/>
      <c r="B368" s="142"/>
      <c r="C368" s="150" t="s">
        <v>584</v>
      </c>
      <c r="D368" s="150"/>
      <c r="E368" s="150"/>
      <c r="F368" s="150"/>
      <c r="G368" s="150"/>
      <c r="H368" s="150"/>
      <c r="I368" s="150"/>
      <c r="J368" s="150"/>
      <c r="K368" s="150"/>
      <c r="L368" s="150"/>
      <c r="M368" s="150"/>
      <c r="N368" s="150"/>
      <c r="O368" s="150"/>
    </row>
    <row r="369" spans="1:15" ht="17.399999999999999" customHeight="1">
      <c r="A369" s="1"/>
      <c r="B369" s="142"/>
      <c r="C369" s="150" t="s">
        <v>1018</v>
      </c>
      <c r="D369" s="150"/>
      <c r="E369" s="150"/>
      <c r="F369" s="150"/>
      <c r="G369" s="150"/>
      <c r="H369" s="150"/>
      <c r="I369" s="150"/>
      <c r="J369" s="150"/>
      <c r="K369" s="150"/>
      <c r="L369" s="150"/>
      <c r="M369" s="150"/>
      <c r="N369" s="150"/>
      <c r="O369" s="150"/>
    </row>
    <row r="370" spans="1:15" ht="17.399999999999999" customHeight="1">
      <c r="A370" s="1"/>
      <c r="B370" s="142"/>
      <c r="C370" s="150" t="s">
        <v>1594</v>
      </c>
      <c r="D370" s="150"/>
      <c r="E370" s="150"/>
      <c r="F370" s="150"/>
      <c r="G370" s="150"/>
      <c r="H370" s="150"/>
      <c r="I370" s="150"/>
      <c r="J370" s="150"/>
      <c r="K370" s="150"/>
      <c r="L370" s="150"/>
      <c r="M370" s="150"/>
      <c r="N370" s="150"/>
      <c r="O370" s="150"/>
    </row>
    <row r="371" spans="1:15" ht="17.399999999999999" customHeight="1">
      <c r="A371" s="1"/>
      <c r="B371" s="142"/>
      <c r="C371" s="150" t="s">
        <v>153</v>
      </c>
      <c r="D371" s="150"/>
      <c r="E371" s="150"/>
      <c r="F371" s="150"/>
      <c r="G371" s="150"/>
      <c r="H371" s="150"/>
      <c r="I371" s="150"/>
      <c r="J371" s="150"/>
      <c r="K371" s="150"/>
      <c r="L371" s="150"/>
      <c r="M371" s="150"/>
      <c r="N371" s="150"/>
      <c r="O371" s="150"/>
    </row>
    <row r="372" spans="1:15" ht="17.399999999999999" customHeight="1">
      <c r="A372" s="1"/>
      <c r="B372" s="142"/>
      <c r="C372" s="150" t="s">
        <v>585</v>
      </c>
      <c r="D372" s="150"/>
      <c r="E372" s="150"/>
      <c r="F372" s="150"/>
      <c r="G372" s="150"/>
      <c r="H372" s="150"/>
      <c r="I372" s="150"/>
      <c r="J372" s="150"/>
      <c r="K372" s="150"/>
      <c r="L372" s="150"/>
      <c r="M372" s="150"/>
      <c r="N372" s="150"/>
      <c r="O372" s="150"/>
    </row>
    <row r="373" spans="1:15" ht="17.399999999999999" customHeight="1">
      <c r="A373" s="1"/>
      <c r="B373" s="142"/>
      <c r="C373" s="150" t="s">
        <v>737</v>
      </c>
      <c r="D373" s="150"/>
      <c r="E373" s="150"/>
      <c r="F373" s="150"/>
      <c r="G373" s="150"/>
      <c r="H373" s="150"/>
      <c r="I373" s="150"/>
      <c r="J373" s="150"/>
      <c r="K373" s="150"/>
      <c r="L373" s="150"/>
      <c r="M373" s="150"/>
      <c r="N373" s="150"/>
      <c r="O373" s="150"/>
    </row>
    <row r="374" spans="1:15" ht="17.399999999999999" customHeight="1">
      <c r="A374" s="1"/>
      <c r="B374" s="142"/>
      <c r="C374" s="150" t="s">
        <v>1023</v>
      </c>
      <c r="D374" s="150"/>
      <c r="E374" s="150"/>
      <c r="F374" s="150"/>
      <c r="G374" s="150"/>
      <c r="H374" s="150"/>
      <c r="I374" s="150"/>
      <c r="J374" s="150"/>
      <c r="K374" s="150"/>
      <c r="L374" s="150"/>
      <c r="M374" s="150"/>
      <c r="N374" s="150"/>
      <c r="O374" s="150"/>
    </row>
    <row r="375" spans="1:15" ht="17.399999999999999">
      <c r="A375" s="1"/>
      <c r="B375" s="141"/>
      <c r="C375" s="150" t="s">
        <v>1229</v>
      </c>
      <c r="D375" s="150"/>
      <c r="E375" s="150"/>
      <c r="F375" s="150"/>
      <c r="G375" s="150"/>
      <c r="H375" s="150"/>
      <c r="I375" s="150"/>
      <c r="J375" s="150"/>
      <c r="K375" s="150"/>
      <c r="L375" s="150"/>
      <c r="M375" s="150"/>
      <c r="N375" s="150"/>
      <c r="O375" s="150"/>
    </row>
    <row r="376" spans="1:15" ht="17.399999999999999">
      <c r="A376" s="1"/>
      <c r="B376" s="141"/>
      <c r="C376" s="150" t="s">
        <v>622</v>
      </c>
      <c r="D376" s="150"/>
      <c r="E376" s="150"/>
      <c r="F376" s="150"/>
      <c r="G376" s="150"/>
      <c r="H376" s="150"/>
      <c r="I376" s="150"/>
      <c r="J376" s="150"/>
      <c r="K376" s="150"/>
      <c r="L376" s="150"/>
      <c r="M376" s="150"/>
      <c r="N376" s="150"/>
      <c r="O376" s="150"/>
    </row>
    <row r="377" spans="1:15" ht="17.399999999999999">
      <c r="A377" s="1"/>
      <c r="B377" s="141"/>
      <c r="C377" s="150" t="s">
        <v>1045</v>
      </c>
      <c r="D377" s="150"/>
      <c r="E377" s="150"/>
      <c r="F377" s="150"/>
      <c r="G377" s="150"/>
      <c r="H377" s="150"/>
      <c r="I377" s="150"/>
      <c r="J377" s="150"/>
      <c r="K377" s="150"/>
      <c r="L377" s="150"/>
      <c r="M377" s="150"/>
      <c r="N377" s="150"/>
      <c r="O377" s="150"/>
    </row>
    <row r="378" spans="1:15" ht="17.399999999999999">
      <c r="A378" s="1"/>
      <c r="B378" s="141"/>
      <c r="C378" s="150" t="s">
        <v>940</v>
      </c>
      <c r="D378" s="150"/>
      <c r="E378" s="150"/>
      <c r="F378" s="150"/>
      <c r="G378" s="150"/>
      <c r="H378" s="150"/>
      <c r="I378" s="150"/>
      <c r="J378" s="150"/>
      <c r="K378" s="150"/>
      <c r="L378" s="150"/>
      <c r="M378" s="150"/>
      <c r="N378" s="150"/>
      <c r="O378" s="150"/>
    </row>
    <row r="379" spans="1:15" ht="17.399999999999999">
      <c r="A379" s="1"/>
      <c r="B379" s="141"/>
      <c r="C379" s="260" t="s">
        <v>1361</v>
      </c>
      <c r="D379" s="260"/>
      <c r="E379" s="260"/>
      <c r="F379" s="260"/>
      <c r="G379" s="260"/>
      <c r="H379" s="158"/>
      <c r="I379" s="158"/>
      <c r="J379" s="158"/>
      <c r="K379" s="158"/>
      <c r="L379" s="158"/>
      <c r="M379" s="158"/>
      <c r="N379" s="158"/>
      <c r="O379" s="158"/>
    </row>
    <row r="380" spans="1:15" ht="17.399999999999999">
      <c r="A380" s="1"/>
      <c r="B380" s="141"/>
      <c r="C380" s="399" t="s">
        <v>497</v>
      </c>
      <c r="D380" s="1"/>
      <c r="E380" s="1"/>
      <c r="F380" s="1"/>
      <c r="G380" s="1"/>
    </row>
    <row r="381" spans="1:15" ht="17.399999999999999">
      <c r="A381" s="1"/>
      <c r="B381" s="141"/>
      <c r="C381" s="150" t="s">
        <v>750</v>
      </c>
      <c r="D381" s="150"/>
      <c r="E381" s="150"/>
      <c r="F381" s="150"/>
      <c r="G381" s="150"/>
      <c r="H381" s="150"/>
      <c r="I381" s="150"/>
      <c r="J381" s="150"/>
      <c r="K381" s="150"/>
      <c r="L381" s="150"/>
      <c r="M381" s="150"/>
      <c r="N381" s="150"/>
      <c r="O381" s="150"/>
    </row>
    <row r="382" spans="1:15" ht="17.399999999999999">
      <c r="A382" s="1"/>
      <c r="B382" s="141"/>
      <c r="C382" s="150" t="s">
        <v>541</v>
      </c>
      <c r="D382" s="150"/>
      <c r="E382" s="150"/>
      <c r="F382" s="150"/>
      <c r="G382" s="150"/>
      <c r="H382" s="150"/>
      <c r="I382" s="150"/>
      <c r="J382" s="150"/>
      <c r="K382" s="150"/>
      <c r="L382" s="150"/>
      <c r="M382" s="150"/>
      <c r="N382" s="150"/>
      <c r="O382" s="150"/>
    </row>
    <row r="383" spans="1:15" ht="17.399999999999999">
      <c r="A383" s="1"/>
      <c r="B383" s="141"/>
      <c r="C383" s="150" t="s">
        <v>915</v>
      </c>
      <c r="D383" s="150"/>
      <c r="E383" s="150"/>
      <c r="F383" s="150"/>
      <c r="G383" s="150"/>
      <c r="H383" s="150"/>
      <c r="I383" s="150"/>
      <c r="J383" s="150"/>
      <c r="K383" s="150"/>
      <c r="L383" s="150"/>
      <c r="M383" s="150"/>
      <c r="N383" s="150"/>
      <c r="O383" s="150"/>
    </row>
    <row r="384" spans="1:15" ht="17.399999999999999">
      <c r="A384" s="1"/>
      <c r="B384" s="141"/>
      <c r="C384" s="260" t="s">
        <v>1245</v>
      </c>
      <c r="D384" s="260"/>
      <c r="E384" s="260"/>
      <c r="F384" s="260"/>
      <c r="G384" s="260"/>
      <c r="H384" s="158"/>
      <c r="I384" s="158"/>
      <c r="J384" s="158"/>
      <c r="K384" s="158"/>
      <c r="L384" s="158"/>
      <c r="M384" s="158"/>
      <c r="N384" s="158"/>
      <c r="O384" s="158"/>
    </row>
    <row r="385" spans="1:15" ht="17.399999999999999">
      <c r="A385" s="1"/>
      <c r="B385" s="141"/>
      <c r="C385" s="260" t="s">
        <v>1066</v>
      </c>
      <c r="D385" s="260"/>
      <c r="E385" s="260"/>
      <c r="F385" s="260"/>
      <c r="G385" s="260"/>
      <c r="H385" s="158"/>
      <c r="I385" s="158"/>
      <c r="J385" s="158"/>
      <c r="K385" s="158"/>
      <c r="L385" s="158"/>
      <c r="M385" s="158"/>
      <c r="N385" s="158"/>
      <c r="O385" s="158"/>
    </row>
    <row r="386" spans="1:15" ht="17.399999999999999">
      <c r="A386" s="1"/>
      <c r="B386" s="141"/>
      <c r="C386" s="150" t="s">
        <v>800</v>
      </c>
      <c r="D386" s="150"/>
      <c r="E386" s="150"/>
      <c r="F386" s="150"/>
      <c r="G386" s="150"/>
      <c r="H386" s="150"/>
      <c r="I386" s="150"/>
      <c r="J386" s="150"/>
      <c r="K386" s="150"/>
      <c r="L386" s="150"/>
      <c r="M386" s="150"/>
      <c r="N386" s="150"/>
      <c r="O386" s="150"/>
    </row>
    <row r="387" spans="1:15" ht="17.399999999999999">
      <c r="A387" s="1"/>
      <c r="B387" s="141"/>
      <c r="C387" s="150" t="s">
        <v>1598</v>
      </c>
      <c r="D387" s="150"/>
      <c r="E387" s="150"/>
      <c r="F387" s="150"/>
      <c r="G387" s="150"/>
      <c r="H387" s="150"/>
      <c r="I387" s="150"/>
      <c r="J387" s="150"/>
      <c r="K387" s="150"/>
      <c r="L387" s="150"/>
      <c r="M387" s="150"/>
      <c r="N387" s="150"/>
      <c r="O387" s="150"/>
    </row>
    <row r="388" spans="1:15" ht="17.399999999999999">
      <c r="A388" s="1"/>
      <c r="B388" s="141"/>
      <c r="C388" s="150" t="s">
        <v>1046</v>
      </c>
      <c r="D388" s="150"/>
      <c r="E388" s="150"/>
      <c r="F388" s="150"/>
      <c r="G388" s="150"/>
      <c r="H388" s="150"/>
      <c r="I388" s="150"/>
      <c r="J388" s="150"/>
      <c r="K388" s="150"/>
      <c r="L388" s="150"/>
      <c r="M388" s="150"/>
      <c r="N388" s="150"/>
      <c r="O388" s="150"/>
    </row>
    <row r="389" spans="1:15" ht="17.399999999999999">
      <c r="A389" s="1"/>
      <c r="B389" s="141"/>
      <c r="C389" s="150" t="s">
        <v>1175</v>
      </c>
      <c r="D389" s="150"/>
      <c r="E389" s="150"/>
      <c r="F389" s="150"/>
      <c r="G389" s="150"/>
      <c r="H389" s="150"/>
      <c r="I389" s="150"/>
      <c r="J389" s="150"/>
      <c r="K389" s="150"/>
      <c r="L389" s="150"/>
      <c r="M389" s="150"/>
      <c r="N389" s="150"/>
      <c r="O389" s="150"/>
    </row>
    <row r="390" spans="1:15" ht="17.399999999999999">
      <c r="A390" s="1"/>
      <c r="B390" s="141"/>
      <c r="C390" s="150" t="s">
        <v>899</v>
      </c>
      <c r="D390" s="150"/>
      <c r="E390" s="150"/>
      <c r="F390" s="150"/>
      <c r="G390" s="150"/>
      <c r="H390" s="150"/>
      <c r="I390" s="150"/>
      <c r="J390" s="150"/>
      <c r="K390" s="150"/>
      <c r="L390" s="150"/>
      <c r="M390" s="150"/>
      <c r="N390" s="150"/>
      <c r="O390" s="150"/>
    </row>
    <row r="391" spans="1:15" ht="17.399999999999999">
      <c r="A391" s="1"/>
      <c r="B391" s="141"/>
      <c r="C391" s="150" t="s">
        <v>624</v>
      </c>
      <c r="D391" s="150"/>
      <c r="E391" s="150"/>
      <c r="F391" s="150"/>
      <c r="G391" s="150"/>
      <c r="H391" s="150"/>
      <c r="I391" s="150"/>
      <c r="J391" s="150"/>
      <c r="K391" s="150"/>
      <c r="L391" s="150"/>
      <c r="M391" s="150"/>
      <c r="N391" s="150"/>
      <c r="O391" s="150"/>
    </row>
    <row r="392" spans="1:15" ht="17.399999999999999">
      <c r="A392" s="1"/>
      <c r="B392" s="141"/>
      <c r="C392" s="150" t="s">
        <v>1044</v>
      </c>
      <c r="D392" s="150"/>
      <c r="E392" s="150"/>
      <c r="F392" s="150"/>
      <c r="G392" s="150"/>
      <c r="H392" s="150"/>
      <c r="I392" s="150"/>
      <c r="J392" s="150"/>
      <c r="K392" s="150"/>
      <c r="L392" s="150"/>
      <c r="M392" s="150"/>
      <c r="N392" s="150"/>
      <c r="O392" s="150"/>
    </row>
    <row r="393" spans="1:15" ht="17.399999999999999">
      <c r="A393" s="1"/>
      <c r="B393" s="141"/>
      <c r="C393" s="260" t="s">
        <v>1359</v>
      </c>
      <c r="D393" s="260"/>
      <c r="E393" s="260"/>
      <c r="F393" s="260"/>
      <c r="G393" s="260"/>
      <c r="H393" s="158"/>
      <c r="I393" s="158"/>
      <c r="J393" s="158"/>
      <c r="K393" s="158"/>
      <c r="L393" s="158"/>
      <c r="M393" s="158"/>
      <c r="N393" s="158"/>
      <c r="O393" s="158"/>
    </row>
    <row r="394" spans="1:15" ht="17.399999999999999">
      <c r="A394" s="1"/>
      <c r="B394" s="141"/>
      <c r="C394" s="150" t="s">
        <v>558</v>
      </c>
      <c r="D394" s="150"/>
      <c r="E394" s="150"/>
      <c r="F394" s="150"/>
      <c r="G394" s="150"/>
      <c r="H394" s="150"/>
      <c r="I394" s="150"/>
      <c r="J394" s="150"/>
      <c r="K394" s="150"/>
      <c r="L394" s="150"/>
      <c r="M394" s="150"/>
      <c r="N394" s="150"/>
      <c r="O394" s="150"/>
    </row>
    <row r="395" spans="1:15" ht="17.399999999999999">
      <c r="A395" s="1"/>
      <c r="B395" s="141"/>
      <c r="C395" s="150" t="s">
        <v>1377</v>
      </c>
      <c r="D395" s="150"/>
      <c r="E395" s="150"/>
      <c r="F395" s="150"/>
      <c r="G395" s="150"/>
      <c r="H395" s="150"/>
      <c r="I395" s="150"/>
      <c r="J395" s="150"/>
      <c r="K395" s="150"/>
      <c r="L395" s="150"/>
      <c r="M395" s="150"/>
      <c r="N395" s="150"/>
      <c r="O395" s="150"/>
    </row>
    <row r="396" spans="1:15" ht="17.399999999999999">
      <c r="A396" s="1"/>
      <c r="B396" s="141"/>
      <c r="C396" s="150" t="s">
        <v>1358</v>
      </c>
      <c r="D396" s="150"/>
      <c r="E396" s="150"/>
      <c r="F396" s="150"/>
      <c r="G396" s="150"/>
      <c r="H396" s="150"/>
      <c r="I396" s="150"/>
      <c r="J396" s="150"/>
      <c r="K396" s="150"/>
      <c r="L396" s="150"/>
      <c r="M396" s="150"/>
      <c r="N396" s="150"/>
      <c r="O396" s="150"/>
    </row>
    <row r="397" spans="1:15" ht="17.399999999999999">
      <c r="A397" s="1"/>
      <c r="B397" s="141"/>
      <c r="C397" s="150" t="s">
        <v>1446</v>
      </c>
      <c r="D397" s="150"/>
      <c r="E397" s="150"/>
      <c r="F397" s="150"/>
      <c r="G397" s="150"/>
      <c r="H397" s="150"/>
      <c r="I397" s="150"/>
      <c r="J397" s="150"/>
      <c r="K397" s="150"/>
      <c r="L397" s="150"/>
      <c r="M397" s="150"/>
      <c r="N397" s="150"/>
      <c r="O397" s="150"/>
    </row>
    <row r="398" spans="1:15" ht="17.399999999999999">
      <c r="A398" s="1"/>
      <c r="B398" s="141"/>
      <c r="C398" s="150" t="s">
        <v>702</v>
      </c>
      <c r="D398" s="150"/>
      <c r="E398" s="150"/>
      <c r="F398" s="150"/>
      <c r="G398" s="150"/>
      <c r="H398" s="150"/>
      <c r="I398" s="150"/>
      <c r="J398" s="150"/>
      <c r="K398" s="150"/>
      <c r="L398" s="150"/>
      <c r="M398" s="150"/>
      <c r="N398" s="150"/>
      <c r="O398" s="150"/>
    </row>
    <row r="399" spans="1:15" ht="17.399999999999999">
      <c r="A399" s="1"/>
      <c r="B399" s="141"/>
      <c r="C399" s="260" t="s">
        <v>832</v>
      </c>
      <c r="D399" s="260"/>
      <c r="E399" s="260"/>
      <c r="F399" s="260"/>
      <c r="G399" s="260"/>
      <c r="H399" s="158"/>
      <c r="I399" s="158"/>
      <c r="J399" s="158"/>
      <c r="K399" s="158"/>
      <c r="L399" s="158"/>
      <c r="M399" s="158"/>
      <c r="N399" s="158"/>
      <c r="O399" s="158"/>
    </row>
    <row r="400" spans="1:15" ht="17.399999999999999">
      <c r="A400" s="1"/>
      <c r="B400" s="141"/>
      <c r="C400" s="150" t="s">
        <v>713</v>
      </c>
      <c r="D400" s="150"/>
      <c r="E400" s="150"/>
      <c r="F400" s="150"/>
      <c r="G400" s="150"/>
      <c r="H400" s="150"/>
      <c r="I400" s="150"/>
      <c r="J400" s="150"/>
      <c r="K400" s="150"/>
      <c r="L400" s="150"/>
      <c r="M400" s="150"/>
      <c r="N400" s="150"/>
      <c r="O400" s="150"/>
    </row>
    <row r="401" spans="1:21" ht="17.399999999999999">
      <c r="A401" s="1"/>
      <c r="B401" s="393"/>
      <c r="C401" s="208"/>
      <c r="D401" s="393"/>
      <c r="E401" s="393"/>
      <c r="F401" s="393"/>
      <c r="G401" s="393"/>
      <c r="H401" s="393"/>
      <c r="I401" s="141"/>
      <c r="J401" s="141"/>
      <c r="K401" s="141"/>
      <c r="L401" s="141"/>
      <c r="M401" s="141"/>
      <c r="N401" s="141"/>
      <c r="O401" s="141"/>
    </row>
    <row r="402" spans="1:21" ht="15.6">
      <c r="A402" s="1"/>
      <c r="B402" s="398">
        <v>13.1</v>
      </c>
      <c r="C402" s="150" t="s">
        <v>834</v>
      </c>
      <c r="D402" s="150"/>
      <c r="E402" s="150"/>
      <c r="F402" s="150"/>
      <c r="G402" s="150"/>
      <c r="H402" s="150"/>
      <c r="I402" s="150"/>
      <c r="J402" s="150"/>
      <c r="K402" s="150"/>
      <c r="L402" s="150"/>
      <c r="M402" s="150"/>
      <c r="N402" s="150"/>
      <c r="O402" s="150"/>
    </row>
    <row r="403" spans="1:21" ht="17.399999999999999">
      <c r="A403" s="1"/>
      <c r="B403" s="142">
        <v>41332</v>
      </c>
      <c r="C403" s="141"/>
      <c r="D403" s="141"/>
      <c r="E403" s="141"/>
      <c r="F403" s="141"/>
      <c r="G403" s="141"/>
      <c r="H403" s="141"/>
      <c r="I403" s="141"/>
      <c r="J403" s="141"/>
      <c r="K403" s="141"/>
      <c r="L403" s="141"/>
      <c r="M403" s="141"/>
      <c r="N403" s="141"/>
      <c r="O403" s="141"/>
    </row>
    <row r="404" spans="1:21" s="1" customFormat="1" ht="17.399999999999999">
      <c r="B404" s="393"/>
      <c r="C404" s="393"/>
      <c r="D404" s="393"/>
      <c r="E404" s="393"/>
      <c r="F404" s="393"/>
      <c r="G404" s="393"/>
      <c r="H404" s="393"/>
      <c r="I404" s="141"/>
      <c r="J404" s="141"/>
      <c r="K404" s="141"/>
      <c r="L404" s="141"/>
      <c r="M404" s="141"/>
      <c r="N404" s="141"/>
      <c r="O404" s="141"/>
    </row>
    <row r="405" spans="1:21" ht="15.6">
      <c r="A405" s="1"/>
      <c r="B405" s="398">
        <v>13</v>
      </c>
      <c r="C405" s="150" t="s">
        <v>850</v>
      </c>
      <c r="D405" s="150"/>
      <c r="E405" s="150"/>
      <c r="F405" s="150"/>
      <c r="G405" s="150"/>
      <c r="H405" s="150"/>
      <c r="I405" s="150"/>
      <c r="J405" s="150"/>
      <c r="K405" s="150"/>
      <c r="L405" s="150"/>
      <c r="M405" s="150"/>
      <c r="N405" s="150"/>
      <c r="O405" s="150"/>
    </row>
    <row r="406" spans="1:21" ht="15.6">
      <c r="A406" s="1"/>
      <c r="B406" s="142">
        <v>41284</v>
      </c>
      <c r="C406" s="150" t="s">
        <v>148</v>
      </c>
      <c r="D406" s="150"/>
      <c r="E406" s="150"/>
      <c r="F406" s="150"/>
      <c r="G406" s="150"/>
      <c r="H406" s="150"/>
      <c r="I406" s="150"/>
      <c r="J406" s="150"/>
      <c r="K406" s="150"/>
      <c r="L406" s="150"/>
      <c r="M406" s="150"/>
      <c r="N406" s="150"/>
      <c r="O406" s="150"/>
    </row>
    <row r="407" spans="1:21" ht="15.6">
      <c r="A407" s="1"/>
      <c r="B407" s="142"/>
      <c r="C407" s="150" t="s">
        <v>283</v>
      </c>
      <c r="D407" s="150"/>
      <c r="E407" s="150"/>
      <c r="F407" s="150"/>
      <c r="G407" s="150"/>
      <c r="H407" s="150"/>
      <c r="I407" s="150"/>
      <c r="J407" s="150"/>
      <c r="K407" s="150"/>
      <c r="L407" s="150"/>
      <c r="M407" s="150"/>
      <c r="N407" s="150"/>
      <c r="O407" s="150"/>
    </row>
    <row r="408" spans="1:21" ht="15.6">
      <c r="A408" s="1"/>
      <c r="B408" s="142"/>
      <c r="C408" s="150" t="s">
        <v>623</v>
      </c>
      <c r="D408" s="150"/>
      <c r="E408" s="150"/>
      <c r="F408" s="150"/>
      <c r="G408" s="150"/>
      <c r="H408" s="150"/>
      <c r="I408" s="150"/>
      <c r="J408" s="150"/>
      <c r="K408" s="150"/>
      <c r="L408" s="150"/>
      <c r="M408" s="150"/>
      <c r="N408" s="150"/>
      <c r="O408" s="150"/>
    </row>
    <row r="409" spans="1:21" ht="15.6">
      <c r="A409" s="1"/>
      <c r="B409" s="142"/>
      <c r="C409" s="150" t="s">
        <v>284</v>
      </c>
      <c r="D409" s="150"/>
      <c r="E409" s="150"/>
      <c r="F409" s="150"/>
      <c r="G409" s="150"/>
      <c r="H409" s="150"/>
      <c r="I409" s="150"/>
      <c r="J409" s="150"/>
      <c r="K409" s="150"/>
      <c r="L409" s="150"/>
      <c r="M409" s="150"/>
      <c r="N409" s="150"/>
      <c r="O409" s="150"/>
    </row>
    <row r="410" spans="1:21" ht="15.6">
      <c r="A410" s="1"/>
      <c r="B410" s="142"/>
      <c r="C410" s="260" t="s">
        <v>1125</v>
      </c>
      <c r="D410" s="260"/>
      <c r="E410" s="260"/>
      <c r="F410" s="260"/>
      <c r="G410" s="260"/>
      <c r="H410" s="158"/>
      <c r="I410" s="158"/>
      <c r="J410" s="158"/>
      <c r="K410" s="158"/>
      <c r="L410" s="158"/>
      <c r="M410" s="158"/>
      <c r="N410" s="158"/>
      <c r="O410" s="158"/>
    </row>
    <row r="411" spans="1:21" ht="15.6">
      <c r="A411" s="1"/>
      <c r="B411" s="142"/>
      <c r="C411" s="260" t="s">
        <v>1467</v>
      </c>
      <c r="D411" s="260"/>
      <c r="E411" s="260"/>
      <c r="F411" s="260"/>
      <c r="G411" s="260"/>
      <c r="H411" s="158"/>
      <c r="I411" s="158"/>
      <c r="J411" s="158"/>
      <c r="K411" s="158"/>
      <c r="L411" s="158"/>
      <c r="M411" s="158"/>
      <c r="N411" s="158"/>
      <c r="O411" s="158"/>
    </row>
    <row r="412" spans="1:21" ht="15.6">
      <c r="A412" s="1"/>
      <c r="B412" s="142"/>
      <c r="C412" s="260" t="s">
        <v>1140</v>
      </c>
      <c r="D412" s="260"/>
      <c r="E412" s="260"/>
      <c r="F412" s="260"/>
      <c r="G412" s="260"/>
      <c r="H412" s="158"/>
      <c r="I412" s="158"/>
      <c r="J412" s="158"/>
      <c r="K412" s="158"/>
      <c r="L412" s="158"/>
      <c r="M412" s="158"/>
      <c r="N412" s="158"/>
      <c r="O412" s="158"/>
    </row>
    <row r="413" spans="1:21" ht="15.6">
      <c r="A413" s="1"/>
      <c r="B413" s="142"/>
      <c r="C413" s="260" t="s">
        <v>1571</v>
      </c>
      <c r="D413" s="260"/>
      <c r="E413" s="260"/>
      <c r="F413" s="260"/>
      <c r="G413" s="260"/>
      <c r="H413" s="158"/>
      <c r="I413" s="158"/>
      <c r="J413" s="158"/>
      <c r="K413" s="158"/>
      <c r="L413" s="158"/>
      <c r="M413" s="158"/>
      <c r="N413" s="158"/>
      <c r="O413" s="158"/>
    </row>
    <row r="414" spans="1:21" ht="17.399999999999999">
      <c r="A414" s="1"/>
      <c r="B414" s="393"/>
      <c r="C414" s="6"/>
      <c r="D414" s="390"/>
      <c r="E414" s="390"/>
      <c r="F414" s="390"/>
      <c r="G414" s="390"/>
      <c r="H414" s="390"/>
      <c r="I414" s="147"/>
      <c r="J414" s="147"/>
      <c r="K414" s="147"/>
      <c r="L414" s="147"/>
      <c r="M414" s="147"/>
      <c r="N414" s="147"/>
      <c r="O414" s="147"/>
      <c r="P414" s="1"/>
      <c r="Q414" s="1"/>
      <c r="R414" s="1"/>
      <c r="S414" s="1"/>
      <c r="T414" s="1"/>
      <c r="U414" s="1"/>
    </row>
    <row r="415" spans="1:21" ht="15.6">
      <c r="A415" s="1"/>
      <c r="B415" s="398">
        <v>5.7</v>
      </c>
      <c r="C415" s="260" t="s">
        <v>1647</v>
      </c>
      <c r="D415" s="260"/>
      <c r="E415" s="260"/>
      <c r="F415" s="260"/>
      <c r="G415" s="260"/>
      <c r="H415" s="260"/>
      <c r="I415" s="260"/>
      <c r="J415" s="260"/>
      <c r="K415" s="260"/>
      <c r="L415" s="260"/>
      <c r="M415" s="260"/>
      <c r="N415" s="260"/>
      <c r="O415" s="260"/>
    </row>
    <row r="416" spans="1:21" ht="15.6">
      <c r="A416" s="1"/>
      <c r="B416" s="134">
        <v>41249</v>
      </c>
      <c r="C416" s="260" t="s">
        <v>1124</v>
      </c>
      <c r="D416" s="260"/>
      <c r="E416" s="260"/>
      <c r="F416" s="260"/>
      <c r="G416" s="260"/>
      <c r="H416" s="260"/>
      <c r="I416" s="260"/>
      <c r="J416" s="260"/>
      <c r="K416" s="260"/>
      <c r="L416" s="260"/>
      <c r="M416" s="260"/>
      <c r="N416" s="260"/>
      <c r="O416" s="260"/>
    </row>
    <row r="417" spans="1:15" ht="15.6">
      <c r="A417" s="1"/>
      <c r="B417" s="134"/>
      <c r="C417" s="260" t="s">
        <v>1151</v>
      </c>
      <c r="D417" s="260"/>
      <c r="E417" s="260"/>
      <c r="F417" s="260"/>
      <c r="G417" s="260"/>
      <c r="H417" s="260"/>
      <c r="I417" s="260"/>
      <c r="J417" s="260"/>
      <c r="K417" s="260"/>
      <c r="L417" s="260"/>
      <c r="M417" s="260"/>
      <c r="N417" s="260"/>
      <c r="O417" s="260"/>
    </row>
    <row r="418" spans="1:15" ht="15.6">
      <c r="A418" s="1"/>
      <c r="B418" s="7"/>
      <c r="C418" s="139"/>
      <c r="D418" s="139"/>
      <c r="E418" s="139"/>
      <c r="F418" s="139"/>
      <c r="G418" s="139"/>
      <c r="H418" s="139"/>
      <c r="I418" s="1"/>
      <c r="J418" s="1"/>
      <c r="K418" s="1"/>
      <c r="L418" s="1"/>
      <c r="M418" s="1"/>
    </row>
    <row r="419" spans="1:15" ht="15.6">
      <c r="A419" s="1"/>
      <c r="B419" s="398">
        <v>5.6</v>
      </c>
      <c r="C419" s="260" t="s">
        <v>690</v>
      </c>
      <c r="D419" s="260"/>
      <c r="E419" s="260"/>
      <c r="F419" s="260"/>
      <c r="G419" s="260"/>
      <c r="H419" s="260"/>
      <c r="I419" s="260"/>
      <c r="J419" s="260"/>
      <c r="K419" s="260"/>
      <c r="L419" s="260"/>
      <c r="M419" s="260"/>
      <c r="N419" s="260"/>
      <c r="O419" s="260"/>
    </row>
    <row r="420" spans="1:15" ht="15.6">
      <c r="A420" s="1"/>
      <c r="B420" s="134">
        <v>41247</v>
      </c>
      <c r="C420" s="260" t="s">
        <v>1539</v>
      </c>
      <c r="D420" s="260"/>
      <c r="E420" s="260"/>
      <c r="F420" s="260"/>
      <c r="G420" s="260"/>
      <c r="H420" s="260"/>
      <c r="I420" s="260"/>
      <c r="J420" s="260"/>
      <c r="K420" s="260"/>
      <c r="L420" s="260"/>
      <c r="M420" s="260"/>
      <c r="N420" s="260"/>
      <c r="O420" s="260"/>
    </row>
    <row r="421" spans="1:15" ht="15.6">
      <c r="A421" s="1"/>
      <c r="B421" s="7"/>
      <c r="C421" s="139"/>
      <c r="D421" s="139"/>
      <c r="E421" s="139"/>
      <c r="F421" s="139"/>
      <c r="G421" s="139"/>
      <c r="H421" s="139"/>
      <c r="I421" s="1"/>
      <c r="J421" s="1"/>
      <c r="K421" s="1"/>
      <c r="L421" s="1"/>
      <c r="M421" s="1"/>
    </row>
    <row r="422" spans="1:15" ht="15.6">
      <c r="A422" s="1"/>
      <c r="B422" s="398">
        <v>5.5</v>
      </c>
      <c r="C422" s="260" t="s">
        <v>340</v>
      </c>
      <c r="D422" s="260"/>
      <c r="E422" s="260"/>
      <c r="F422" s="260"/>
      <c r="G422" s="260"/>
      <c r="H422" s="158"/>
      <c r="I422" s="158"/>
      <c r="J422" s="158"/>
      <c r="K422" s="158"/>
      <c r="L422" s="158"/>
      <c r="M422" s="158"/>
      <c r="N422" s="158"/>
      <c r="O422" s="158"/>
    </row>
    <row r="423" spans="1:15" ht="15.6">
      <c r="A423" s="1"/>
      <c r="B423" s="134">
        <v>41229</v>
      </c>
      <c r="C423" s="260" t="s">
        <v>715</v>
      </c>
      <c r="D423" s="260"/>
      <c r="E423" s="260"/>
      <c r="F423" s="260"/>
      <c r="G423" s="260"/>
      <c r="H423" s="158"/>
      <c r="I423" s="158"/>
      <c r="J423" s="158"/>
      <c r="K423" s="158"/>
      <c r="L423" s="158"/>
      <c r="M423" s="158"/>
      <c r="N423" s="158"/>
      <c r="O423" s="158"/>
    </row>
    <row r="424" spans="1:15">
      <c r="A424" s="1"/>
      <c r="B424" s="1"/>
      <c r="C424" s="260" t="s">
        <v>716</v>
      </c>
      <c r="D424" s="260"/>
      <c r="E424" s="260"/>
      <c r="F424" s="260"/>
      <c r="G424" s="260"/>
      <c r="H424" s="158"/>
      <c r="I424" s="158"/>
      <c r="J424" s="158"/>
      <c r="K424" s="158"/>
      <c r="L424" s="158"/>
      <c r="M424" s="158"/>
      <c r="N424" s="158"/>
      <c r="O424" s="158"/>
    </row>
    <row r="425" spans="1:15" ht="15.6">
      <c r="A425" s="1"/>
      <c r="B425" s="70"/>
      <c r="C425" s="260" t="s">
        <v>1550</v>
      </c>
      <c r="D425" s="260"/>
      <c r="E425" s="260"/>
      <c r="F425" s="260"/>
      <c r="G425" s="260"/>
      <c r="H425" s="260"/>
      <c r="I425" s="260"/>
      <c r="J425" s="260"/>
      <c r="K425" s="260"/>
      <c r="L425" s="260"/>
      <c r="M425" s="260"/>
      <c r="N425" s="260"/>
      <c r="O425" s="260"/>
    </row>
    <row r="426" spans="1:15" ht="15.6">
      <c r="A426" s="1"/>
      <c r="B426" s="70"/>
      <c r="C426" s="194" t="s">
        <v>1099</v>
      </c>
      <c r="D426" s="194"/>
      <c r="E426" s="194"/>
      <c r="F426" s="194"/>
      <c r="G426" s="194"/>
      <c r="H426" s="194"/>
      <c r="I426" s="194"/>
      <c r="J426" s="194"/>
      <c r="K426" s="194"/>
      <c r="L426" s="194"/>
      <c r="M426" s="194"/>
      <c r="N426" s="194"/>
      <c r="O426" s="194"/>
    </row>
    <row r="427" spans="1:15" ht="15.6">
      <c r="A427" s="1"/>
      <c r="B427" s="70"/>
      <c r="C427" s="194" t="s">
        <v>479</v>
      </c>
      <c r="D427" s="194"/>
      <c r="E427" s="194"/>
      <c r="F427" s="194"/>
      <c r="G427" s="194"/>
      <c r="H427" s="194"/>
      <c r="I427" s="194"/>
      <c r="J427" s="194"/>
      <c r="K427" s="194"/>
      <c r="L427" s="194"/>
      <c r="M427" s="194"/>
      <c r="N427" s="194"/>
      <c r="O427" s="194"/>
    </row>
    <row r="428" spans="1:15" ht="15.6">
      <c r="A428" s="1"/>
      <c r="B428" s="7"/>
      <c r="C428" s="139"/>
      <c r="D428" s="139"/>
      <c r="E428" s="139"/>
      <c r="F428" s="139"/>
      <c r="G428" s="139"/>
      <c r="H428" s="139"/>
      <c r="I428" s="1"/>
      <c r="J428" s="1"/>
      <c r="K428" s="1"/>
      <c r="L428" s="1"/>
      <c r="M428" s="1"/>
    </row>
    <row r="429" spans="1:15" ht="15.6">
      <c r="A429" s="1"/>
      <c r="B429" s="398">
        <v>5.0999999999999996</v>
      </c>
      <c r="C429" s="260" t="s">
        <v>658</v>
      </c>
      <c r="D429" s="260"/>
      <c r="E429" s="260"/>
      <c r="F429" s="260"/>
      <c r="G429" s="260"/>
      <c r="H429" s="260"/>
      <c r="I429" s="260"/>
      <c r="J429" s="260"/>
      <c r="K429" s="260"/>
      <c r="L429" s="260"/>
      <c r="M429" s="260"/>
      <c r="N429" s="260"/>
      <c r="O429" s="260"/>
    </row>
    <row r="430" spans="1:15" ht="15.6">
      <c r="A430" s="1"/>
      <c r="B430" s="134">
        <v>41199</v>
      </c>
      <c r="C430" s="260" t="s">
        <v>659</v>
      </c>
      <c r="D430" s="260"/>
      <c r="E430" s="260"/>
      <c r="F430" s="260"/>
      <c r="G430" s="260"/>
      <c r="H430" s="260"/>
      <c r="I430" s="260"/>
      <c r="J430" s="260"/>
      <c r="K430" s="260"/>
      <c r="L430" s="260"/>
      <c r="M430" s="260"/>
      <c r="N430" s="260"/>
      <c r="O430" s="260"/>
    </row>
    <row r="431" spans="1:15" ht="15.6">
      <c r="A431" s="1"/>
      <c r="B431" s="7"/>
      <c r="C431" s="139"/>
      <c r="D431" s="139"/>
      <c r="E431" s="139"/>
      <c r="F431" s="139"/>
      <c r="G431" s="139"/>
      <c r="H431" s="139"/>
      <c r="I431" s="1"/>
      <c r="J431" s="1"/>
      <c r="K431" s="1"/>
      <c r="L431" s="1"/>
      <c r="M431" s="1"/>
    </row>
    <row r="432" spans="1:15" ht="15.6">
      <c r="A432" s="1"/>
      <c r="B432" s="398">
        <v>5</v>
      </c>
      <c r="C432" s="260" t="s">
        <v>1497</v>
      </c>
      <c r="D432" s="260"/>
      <c r="E432" s="260"/>
      <c r="F432" s="260"/>
      <c r="G432" s="260"/>
      <c r="H432" s="260"/>
      <c r="I432" s="260"/>
      <c r="J432" s="260"/>
      <c r="K432" s="260"/>
      <c r="L432" s="260"/>
      <c r="M432" s="260"/>
      <c r="N432" s="260"/>
      <c r="O432" s="260"/>
    </row>
    <row r="433" spans="1:15" ht="15.6">
      <c r="A433" s="1"/>
      <c r="B433" s="134">
        <v>43024</v>
      </c>
      <c r="C433" s="260" t="s">
        <v>1498</v>
      </c>
      <c r="D433" s="260"/>
      <c r="E433" s="260"/>
      <c r="F433" s="260"/>
      <c r="G433" s="260"/>
      <c r="H433" s="260"/>
      <c r="I433" s="260"/>
      <c r="J433" s="260"/>
      <c r="K433" s="260"/>
      <c r="L433" s="260"/>
      <c r="M433" s="260"/>
      <c r="N433" s="260"/>
      <c r="O433" s="260"/>
    </row>
    <row r="434" spans="1:15" ht="15.6">
      <c r="A434" s="1"/>
      <c r="B434" s="70"/>
      <c r="C434" s="260" t="s">
        <v>1599</v>
      </c>
      <c r="D434" s="260"/>
      <c r="E434" s="260"/>
      <c r="F434" s="260"/>
      <c r="G434" s="260"/>
      <c r="H434" s="260"/>
      <c r="I434" s="260"/>
      <c r="J434" s="260"/>
      <c r="K434" s="260"/>
      <c r="L434" s="260"/>
      <c r="M434" s="260"/>
      <c r="N434" s="260"/>
      <c r="O434" s="260"/>
    </row>
    <row r="435" spans="1:15" ht="15.6">
      <c r="A435" s="1"/>
      <c r="B435" s="70"/>
      <c r="C435" s="194" t="s">
        <v>25</v>
      </c>
      <c r="D435" s="194"/>
      <c r="E435" s="194"/>
      <c r="F435" s="194"/>
      <c r="G435" s="194"/>
      <c r="H435" s="194"/>
      <c r="I435" s="194"/>
      <c r="J435" s="194"/>
      <c r="K435" s="194"/>
      <c r="L435" s="194"/>
      <c r="M435" s="194"/>
      <c r="N435" s="194"/>
      <c r="O435" s="194"/>
    </row>
    <row r="436" spans="1:15" ht="15.6">
      <c r="A436" s="1"/>
      <c r="B436" s="70"/>
      <c r="C436" s="194" t="s">
        <v>26</v>
      </c>
      <c r="D436" s="194"/>
      <c r="E436" s="194"/>
      <c r="F436" s="194"/>
      <c r="G436" s="194"/>
      <c r="H436" s="194"/>
      <c r="I436" s="194"/>
      <c r="J436" s="194"/>
      <c r="K436" s="194"/>
      <c r="L436" s="194"/>
      <c r="M436" s="194"/>
      <c r="N436" s="194"/>
      <c r="O436" s="194"/>
    </row>
    <row r="437" spans="1:15" ht="15.6">
      <c r="A437" s="1"/>
      <c r="B437" s="7"/>
      <c r="C437" s="139"/>
      <c r="D437" s="139"/>
      <c r="E437" s="139"/>
      <c r="F437" s="139"/>
      <c r="G437" s="139"/>
      <c r="H437" s="139"/>
      <c r="I437" s="1"/>
      <c r="J437" s="1"/>
      <c r="K437" s="1"/>
      <c r="L437" s="1"/>
      <c r="M437" s="1"/>
    </row>
    <row r="438" spans="1:15" ht="15.6">
      <c r="A438" s="1"/>
      <c r="B438" s="398">
        <v>4.5</v>
      </c>
      <c r="C438" s="194" t="s">
        <v>1338</v>
      </c>
      <c r="D438" s="194"/>
      <c r="E438" s="194"/>
      <c r="F438" s="194"/>
      <c r="G438" s="194"/>
      <c r="H438" s="194"/>
      <c r="I438" s="194"/>
      <c r="J438" s="194"/>
      <c r="K438" s="194"/>
      <c r="L438" s="194"/>
      <c r="M438" s="194"/>
      <c r="N438" s="194"/>
      <c r="O438" s="194"/>
    </row>
    <row r="439" spans="1:15" ht="15.6">
      <c r="A439" s="1"/>
      <c r="B439" s="134">
        <v>41190</v>
      </c>
      <c r="C439" s="194" t="s">
        <v>1303</v>
      </c>
      <c r="D439" s="194"/>
      <c r="E439" s="194"/>
      <c r="F439" s="194"/>
      <c r="G439" s="194"/>
      <c r="H439" s="194"/>
      <c r="I439" s="194"/>
      <c r="J439" s="194"/>
      <c r="K439" s="194"/>
      <c r="L439" s="194"/>
      <c r="M439" s="194"/>
      <c r="N439" s="194"/>
      <c r="O439" s="194"/>
    </row>
    <row r="440" spans="1:15" ht="15.6">
      <c r="A440" s="1"/>
      <c r="B440" s="70"/>
      <c r="C440" s="194" t="s">
        <v>1305</v>
      </c>
      <c r="D440" s="194"/>
      <c r="E440" s="194"/>
      <c r="F440" s="194"/>
      <c r="G440" s="194"/>
      <c r="H440" s="194"/>
      <c r="I440" s="194"/>
      <c r="J440" s="194"/>
      <c r="K440" s="194"/>
      <c r="L440" s="194"/>
      <c r="M440" s="194"/>
      <c r="N440" s="194"/>
      <c r="O440" s="194"/>
    </row>
    <row r="441" spans="1:15">
      <c r="A441" s="1"/>
      <c r="B441" s="400"/>
      <c r="C441" s="260" t="s">
        <v>1304</v>
      </c>
      <c r="D441" s="260"/>
      <c r="E441" s="260"/>
      <c r="F441" s="260"/>
      <c r="G441" s="260"/>
      <c r="H441" s="158"/>
      <c r="I441" s="158"/>
      <c r="J441" s="158"/>
      <c r="K441" s="158"/>
      <c r="L441" s="158"/>
      <c r="M441" s="158"/>
      <c r="N441" s="158"/>
      <c r="O441" s="158"/>
    </row>
    <row r="442" spans="1:15">
      <c r="A442" s="1"/>
      <c r="B442" s="400"/>
      <c r="C442" s="260" t="s">
        <v>988</v>
      </c>
      <c r="D442" s="260"/>
      <c r="E442" s="260"/>
      <c r="F442" s="260"/>
      <c r="G442" s="260"/>
      <c r="H442" s="158"/>
      <c r="I442" s="158"/>
      <c r="J442" s="158"/>
      <c r="K442" s="158"/>
      <c r="L442" s="158"/>
      <c r="M442" s="158"/>
      <c r="N442" s="158"/>
      <c r="O442" s="158"/>
    </row>
    <row r="443" spans="1:15">
      <c r="A443" s="1"/>
      <c r="B443" s="400"/>
      <c r="C443" s="260" t="s">
        <v>331</v>
      </c>
      <c r="D443" s="260"/>
      <c r="E443" s="260"/>
      <c r="F443" s="260"/>
      <c r="G443" s="260"/>
      <c r="H443" s="260"/>
      <c r="I443" s="260"/>
      <c r="J443" s="260"/>
      <c r="K443" s="260"/>
      <c r="L443" s="260"/>
      <c r="M443" s="260"/>
      <c r="N443" s="260"/>
      <c r="O443" s="260"/>
    </row>
    <row r="444" spans="1:15">
      <c r="A444" s="1"/>
      <c r="B444" s="400"/>
      <c r="C444" s="260" t="s">
        <v>418</v>
      </c>
      <c r="D444" s="260"/>
      <c r="E444" s="260"/>
      <c r="F444" s="260"/>
      <c r="G444" s="260"/>
      <c r="H444" s="260"/>
      <c r="I444" s="260"/>
      <c r="J444" s="260"/>
      <c r="K444" s="260"/>
      <c r="L444" s="260"/>
      <c r="M444" s="260"/>
      <c r="N444" s="260"/>
      <c r="O444" s="260"/>
    </row>
    <row r="445" spans="1:15">
      <c r="A445" s="1"/>
      <c r="B445" s="400"/>
      <c r="C445" s="194" t="s">
        <v>564</v>
      </c>
      <c r="D445" s="194"/>
      <c r="E445" s="194"/>
      <c r="F445" s="194"/>
      <c r="G445" s="194"/>
      <c r="H445" s="194"/>
      <c r="I445" s="194"/>
      <c r="J445" s="194"/>
      <c r="K445" s="194"/>
      <c r="L445" s="194"/>
      <c r="M445" s="194"/>
      <c r="N445" s="194"/>
      <c r="O445" s="194"/>
    </row>
    <row r="446" spans="1:15">
      <c r="A446" s="1"/>
      <c r="B446" s="400"/>
      <c r="C446" s="260" t="s">
        <v>419</v>
      </c>
      <c r="D446" s="260"/>
      <c r="E446" s="260"/>
      <c r="F446" s="260"/>
      <c r="G446" s="260"/>
      <c r="H446" s="260"/>
      <c r="I446" s="260"/>
      <c r="J446" s="260"/>
      <c r="K446" s="260"/>
      <c r="L446" s="260"/>
      <c r="M446" s="260"/>
      <c r="N446" s="260"/>
      <c r="O446" s="260"/>
    </row>
    <row r="447" spans="1:15">
      <c r="A447" s="1"/>
      <c r="B447" s="400"/>
      <c r="C447" s="260" t="s">
        <v>1495</v>
      </c>
      <c r="D447" s="260"/>
      <c r="E447" s="260"/>
      <c r="F447" s="260"/>
      <c r="G447" s="260"/>
      <c r="H447" s="260"/>
      <c r="I447" s="260"/>
      <c r="J447" s="260"/>
      <c r="K447" s="260"/>
      <c r="L447" s="260"/>
      <c r="M447" s="260"/>
      <c r="N447" s="260"/>
      <c r="O447" s="260"/>
    </row>
    <row r="448" spans="1:15" ht="15.6">
      <c r="A448" s="1"/>
      <c r="B448" s="70"/>
      <c r="C448" s="1"/>
      <c r="D448" s="1"/>
      <c r="E448" s="1"/>
      <c r="F448" s="1"/>
      <c r="G448" s="1"/>
      <c r="H448" s="1"/>
      <c r="I448" s="1"/>
      <c r="J448" s="1"/>
      <c r="K448" s="1"/>
      <c r="L448" s="1"/>
      <c r="M448" s="1"/>
    </row>
    <row r="449" spans="1:15" ht="15.6">
      <c r="A449" s="1"/>
      <c r="B449" s="398">
        <v>4.0999999999999996</v>
      </c>
      <c r="C449" s="260" t="s">
        <v>229</v>
      </c>
      <c r="D449" s="260"/>
      <c r="E449" s="260"/>
      <c r="F449" s="260"/>
      <c r="G449" s="260"/>
      <c r="H449" s="260"/>
      <c r="I449" s="260"/>
      <c r="J449" s="260"/>
      <c r="K449" s="260"/>
      <c r="L449" s="260"/>
      <c r="M449" s="260"/>
      <c r="N449" s="260"/>
      <c r="O449" s="260"/>
    </row>
    <row r="450" spans="1:15" ht="15.6">
      <c r="A450" s="1"/>
      <c r="B450" s="394">
        <v>41187</v>
      </c>
      <c r="C450" s="139"/>
      <c r="D450" s="139"/>
      <c r="E450" s="139"/>
      <c r="F450" s="139"/>
      <c r="G450" s="139"/>
      <c r="H450" s="139"/>
      <c r="I450" s="1"/>
      <c r="J450" s="1"/>
      <c r="K450" s="1"/>
      <c r="L450" s="1"/>
      <c r="M450" s="1"/>
    </row>
    <row r="451" spans="1:15" ht="15.6">
      <c r="A451" s="1"/>
      <c r="B451" s="398">
        <v>4</v>
      </c>
      <c r="C451" s="401" t="s">
        <v>1187</v>
      </c>
      <c r="D451" s="401"/>
      <c r="E451" s="401"/>
      <c r="F451" s="401"/>
      <c r="G451" s="401"/>
      <c r="H451" s="386"/>
      <c r="I451" s="386"/>
      <c r="J451" s="386"/>
      <c r="K451" s="386"/>
      <c r="L451" s="386"/>
      <c r="M451" s="386"/>
      <c r="N451" s="386"/>
      <c r="O451" s="386"/>
    </row>
    <row r="452" spans="1:15" ht="15.6">
      <c r="A452" s="1"/>
      <c r="B452" s="134">
        <v>41173</v>
      </c>
      <c r="C452" s="401" t="s">
        <v>227</v>
      </c>
      <c r="D452" s="401"/>
      <c r="E452" s="401"/>
      <c r="F452" s="401"/>
      <c r="G452" s="401"/>
      <c r="H452" s="386"/>
      <c r="I452" s="386"/>
      <c r="J452" s="386"/>
      <c r="K452" s="386"/>
      <c r="L452" s="386"/>
      <c r="M452" s="386"/>
      <c r="N452" s="386"/>
      <c r="O452" s="386"/>
    </row>
    <row r="453" spans="1:15">
      <c r="A453" s="1"/>
      <c r="B453" s="400"/>
      <c r="C453" s="401" t="s">
        <v>228</v>
      </c>
      <c r="D453" s="401"/>
      <c r="E453" s="401"/>
      <c r="F453" s="401"/>
      <c r="G453" s="401"/>
      <c r="H453" s="386"/>
      <c r="I453" s="386"/>
      <c r="J453" s="386"/>
      <c r="K453" s="386"/>
      <c r="L453" s="386"/>
      <c r="M453" s="386"/>
      <c r="N453" s="386"/>
      <c r="O453" s="386"/>
    </row>
    <row r="454" spans="1:15">
      <c r="A454" s="1"/>
      <c r="B454" s="1"/>
      <c r="C454" s="260" t="s">
        <v>518</v>
      </c>
      <c r="D454" s="260"/>
      <c r="E454" s="260"/>
      <c r="F454" s="260"/>
      <c r="G454" s="260"/>
      <c r="H454" s="158"/>
      <c r="I454" s="158"/>
      <c r="J454" s="158"/>
      <c r="K454" s="158"/>
      <c r="L454" s="158"/>
      <c r="M454" s="158"/>
      <c r="N454" s="158"/>
      <c r="O454" s="158"/>
    </row>
    <row r="455" spans="1:15">
      <c r="A455" s="1"/>
      <c r="B455" s="1"/>
      <c r="C455" s="260" t="s">
        <v>637</v>
      </c>
      <c r="D455" s="260"/>
      <c r="E455" s="260"/>
      <c r="F455" s="260"/>
      <c r="G455" s="260"/>
      <c r="H455" s="158"/>
      <c r="I455" s="158"/>
      <c r="J455" s="158"/>
      <c r="K455" s="158"/>
      <c r="L455" s="158"/>
      <c r="M455" s="158"/>
      <c r="N455" s="158"/>
      <c r="O455" s="158"/>
    </row>
    <row r="456" spans="1:15">
      <c r="A456" s="1"/>
      <c r="B456" s="1"/>
      <c r="C456" s="260" t="s">
        <v>904</v>
      </c>
      <c r="D456" s="260"/>
      <c r="E456" s="260"/>
      <c r="F456" s="260"/>
      <c r="G456" s="260"/>
      <c r="H456" s="158"/>
      <c r="I456" s="158"/>
      <c r="J456" s="158"/>
      <c r="K456" s="158"/>
      <c r="L456" s="158"/>
      <c r="M456" s="158"/>
      <c r="N456" s="158"/>
      <c r="O456" s="158"/>
    </row>
    <row r="457" spans="1:15">
      <c r="A457" s="1"/>
      <c r="B457" s="1"/>
      <c r="C457" s="260" t="s">
        <v>517</v>
      </c>
      <c r="D457" s="260"/>
      <c r="E457" s="260"/>
      <c r="F457" s="260"/>
      <c r="G457" s="260"/>
      <c r="H457" s="158"/>
      <c r="I457" s="158"/>
      <c r="J457" s="158"/>
      <c r="K457" s="158"/>
      <c r="L457" s="158"/>
      <c r="M457" s="158"/>
      <c r="N457" s="158"/>
      <c r="O457" s="158"/>
    </row>
    <row r="458" spans="1:15">
      <c r="A458" s="1"/>
      <c r="B458" s="1"/>
      <c r="C458" s="260" t="s">
        <v>1485</v>
      </c>
      <c r="D458" s="260"/>
      <c r="E458" s="260"/>
      <c r="F458" s="260"/>
      <c r="G458" s="260"/>
      <c r="H458" s="158"/>
      <c r="I458" s="158"/>
      <c r="J458" s="158"/>
      <c r="K458" s="158"/>
      <c r="L458" s="158"/>
      <c r="M458" s="158"/>
      <c r="N458" s="158"/>
      <c r="O458" s="158"/>
    </row>
    <row r="459" spans="1:15">
      <c r="A459" s="1"/>
      <c r="B459" s="1"/>
      <c r="C459" s="260" t="s">
        <v>905</v>
      </c>
      <c r="D459" s="260"/>
      <c r="E459" s="260"/>
      <c r="F459" s="260"/>
      <c r="G459" s="260"/>
      <c r="H459" s="158"/>
      <c r="I459" s="158"/>
      <c r="J459" s="158"/>
      <c r="K459" s="158"/>
      <c r="L459" s="158"/>
      <c r="M459" s="158"/>
      <c r="N459" s="158"/>
      <c r="O459" s="158"/>
    </row>
    <row r="460" spans="1:15">
      <c r="B460" s="139"/>
      <c r="C460" s="139"/>
      <c r="D460" s="139"/>
      <c r="E460" s="139"/>
      <c r="F460" s="139"/>
      <c r="G460" s="139"/>
      <c r="H460" s="139"/>
    </row>
    <row r="461" spans="1:15" ht="15.6">
      <c r="B461" s="13">
        <v>3.3</v>
      </c>
      <c r="C461" s="158" t="s">
        <v>196</v>
      </c>
      <c r="D461" s="158"/>
      <c r="E461" s="158"/>
      <c r="F461" s="158"/>
      <c r="G461" s="260"/>
      <c r="H461" s="158"/>
      <c r="I461" s="158"/>
      <c r="J461" s="158"/>
      <c r="K461" s="158"/>
      <c r="L461" s="158"/>
      <c r="M461" s="158"/>
      <c r="N461" s="158"/>
      <c r="O461" s="158"/>
    </row>
    <row r="462" spans="1:15" ht="15.6">
      <c r="B462" s="134">
        <v>41154</v>
      </c>
      <c r="C462" s="158" t="s">
        <v>985</v>
      </c>
      <c r="D462" s="158"/>
      <c r="E462" s="158"/>
      <c r="F462" s="158"/>
      <c r="G462" s="260"/>
      <c r="H462" s="158"/>
      <c r="I462" s="158"/>
      <c r="J462" s="158"/>
      <c r="K462" s="158"/>
      <c r="L462" s="158"/>
      <c r="M462" s="158"/>
      <c r="N462" s="158"/>
      <c r="O462" s="158"/>
    </row>
    <row r="463" spans="1:15" ht="15.6">
      <c r="B463" s="13"/>
      <c r="C463" s="158" t="s">
        <v>986</v>
      </c>
      <c r="D463" s="158"/>
      <c r="E463" s="158"/>
      <c r="F463" s="158"/>
      <c r="G463" s="260"/>
      <c r="H463" s="158"/>
      <c r="I463" s="158"/>
      <c r="J463" s="158"/>
      <c r="K463" s="158"/>
      <c r="L463" s="158"/>
      <c r="M463" s="158"/>
      <c r="N463" s="158"/>
      <c r="O463" s="158"/>
    </row>
    <row r="464" spans="1:15" ht="15.6">
      <c r="B464" s="6"/>
      <c r="C464" s="139"/>
      <c r="D464" s="139"/>
      <c r="E464" s="139"/>
      <c r="F464" s="139"/>
      <c r="G464" s="139"/>
      <c r="H464" s="139"/>
    </row>
    <row r="465" spans="2:15" ht="15.6">
      <c r="B465" s="13">
        <v>3.2</v>
      </c>
      <c r="C465" s="158" t="s">
        <v>1416</v>
      </c>
      <c r="D465" s="158"/>
      <c r="E465" s="158"/>
      <c r="F465" s="158"/>
      <c r="G465" s="260"/>
      <c r="H465" s="158"/>
      <c r="I465" s="158"/>
      <c r="J465" s="158"/>
      <c r="K465" s="158"/>
      <c r="L465" s="158"/>
      <c r="M465" s="158"/>
      <c r="N465" s="158"/>
      <c r="O465" s="158"/>
    </row>
    <row r="466" spans="2:15" ht="15.6">
      <c r="B466" s="134">
        <v>41142</v>
      </c>
      <c r="C466" s="337" t="s">
        <v>987</v>
      </c>
      <c r="D466" s="337"/>
      <c r="E466" s="337"/>
      <c r="F466" s="337"/>
      <c r="G466" s="402"/>
      <c r="H466" s="337"/>
      <c r="I466" s="337"/>
      <c r="J466" s="337"/>
      <c r="K466" s="337"/>
      <c r="L466" s="337"/>
      <c r="M466" s="337"/>
      <c r="N466" s="337"/>
      <c r="O466" s="337"/>
    </row>
    <row r="467" spans="2:15" ht="15.6">
      <c r="B467" s="13"/>
      <c r="C467" t="s">
        <v>32</v>
      </c>
      <c r="G467" s="1"/>
    </row>
    <row r="468" spans="2:15" ht="15.6">
      <c r="B468" s="6"/>
      <c r="C468" s="139"/>
      <c r="D468" s="139"/>
      <c r="E468" s="139"/>
      <c r="F468" s="139"/>
      <c r="G468" s="1"/>
    </row>
    <row r="469" spans="2:15" ht="15.6">
      <c r="B469" s="13">
        <v>3.1</v>
      </c>
      <c r="C469" s="158" t="s">
        <v>687</v>
      </c>
      <c r="D469" s="158"/>
      <c r="E469" s="158"/>
      <c r="F469" s="158"/>
      <c r="G469" s="260"/>
      <c r="H469" s="158"/>
      <c r="I469" s="158"/>
      <c r="J469" s="158"/>
      <c r="K469" s="158"/>
      <c r="L469" s="158"/>
      <c r="M469" s="158"/>
      <c r="N469" s="158"/>
      <c r="O469" s="158"/>
    </row>
    <row r="470" spans="2:15" ht="15.6">
      <c r="B470" s="134">
        <v>41141</v>
      </c>
      <c r="C470" s="158" t="s">
        <v>1104</v>
      </c>
      <c r="D470" s="158"/>
      <c r="E470" s="158"/>
      <c r="F470" s="158"/>
      <c r="G470" s="260"/>
      <c r="H470" s="158"/>
      <c r="I470" s="158"/>
      <c r="J470" s="158"/>
      <c r="K470" s="158"/>
      <c r="L470" s="158"/>
      <c r="M470" s="158"/>
      <c r="N470" s="158"/>
      <c r="O470" s="158"/>
    </row>
    <row r="471" spans="2:15" ht="15.6">
      <c r="B471" s="13"/>
      <c r="C471" s="158" t="s">
        <v>689</v>
      </c>
      <c r="D471" s="158"/>
      <c r="E471" s="158"/>
      <c r="F471" s="158"/>
      <c r="G471" s="260"/>
      <c r="H471" s="158"/>
      <c r="I471" s="158"/>
      <c r="J471" s="158"/>
      <c r="K471" s="158"/>
      <c r="L471" s="158"/>
      <c r="M471" s="158"/>
      <c r="N471" s="158"/>
      <c r="O471" s="158"/>
    </row>
    <row r="472" spans="2:15" ht="15.6">
      <c r="B472" s="13"/>
      <c r="C472" s="158" t="s">
        <v>688</v>
      </c>
      <c r="D472" s="158"/>
      <c r="E472" s="158"/>
      <c r="F472" s="158"/>
      <c r="G472" s="260"/>
      <c r="H472" s="158"/>
      <c r="I472" s="158"/>
      <c r="J472" s="158"/>
      <c r="K472" s="158"/>
      <c r="L472" s="158"/>
      <c r="M472" s="158"/>
      <c r="N472" s="158"/>
      <c r="O472" s="158"/>
    </row>
    <row r="473" spans="2:15" ht="15.6">
      <c r="B473" s="6"/>
      <c r="C473" s="139"/>
      <c r="D473" s="139"/>
      <c r="E473" s="139"/>
      <c r="F473" s="139"/>
      <c r="G473" s="139"/>
      <c r="H473" s="139"/>
    </row>
    <row r="474" spans="2:15" ht="15.6">
      <c r="B474" s="104">
        <v>3</v>
      </c>
      <c r="C474" s="158" t="s">
        <v>1105</v>
      </c>
      <c r="D474" s="158"/>
      <c r="E474" s="158"/>
      <c r="F474" s="158"/>
      <c r="G474" s="260"/>
      <c r="H474" s="158"/>
      <c r="I474" s="158"/>
      <c r="J474" s="158"/>
      <c r="K474" s="158"/>
      <c r="L474" s="158"/>
      <c r="M474" s="158"/>
      <c r="N474" s="158"/>
      <c r="O474" s="158"/>
    </row>
    <row r="475" spans="2:15" ht="15.6">
      <c r="B475" s="134">
        <v>41133</v>
      </c>
      <c r="C475" s="158" t="s">
        <v>1106</v>
      </c>
      <c r="D475" s="158"/>
      <c r="E475" s="158"/>
      <c r="F475" s="158"/>
      <c r="G475" s="260"/>
      <c r="H475" s="158"/>
      <c r="I475" s="158"/>
      <c r="J475" s="158"/>
      <c r="K475" s="158"/>
      <c r="L475" s="158"/>
      <c r="M475" s="158"/>
      <c r="N475" s="158"/>
      <c r="O475" s="158"/>
    </row>
    <row r="476" spans="2:15" ht="15.6">
      <c r="B476" s="13"/>
      <c r="C476" s="158" t="s">
        <v>1107</v>
      </c>
      <c r="D476" s="158"/>
      <c r="E476" s="158"/>
      <c r="F476" s="158"/>
      <c r="G476" s="260"/>
      <c r="H476" s="158"/>
      <c r="I476" s="158"/>
      <c r="J476" s="158"/>
      <c r="K476" s="158"/>
      <c r="L476" s="158"/>
      <c r="M476" s="158"/>
      <c r="N476" s="158"/>
      <c r="O476" s="158"/>
    </row>
    <row r="477" spans="2:15" ht="15.6">
      <c r="B477" s="6"/>
      <c r="C477" s="139"/>
      <c r="D477" s="139"/>
      <c r="E477" s="139"/>
      <c r="F477" s="139"/>
      <c r="G477" s="139"/>
      <c r="H477" s="139"/>
    </row>
    <row r="478" spans="2:15" ht="15.6">
      <c r="B478" s="104">
        <v>1</v>
      </c>
      <c r="C478" s="158" t="s">
        <v>199</v>
      </c>
      <c r="G478" s="1"/>
    </row>
    <row r="479" spans="2:15" ht="15.6">
      <c r="B479" s="134">
        <v>41060</v>
      </c>
      <c r="C479" s="101"/>
    </row>
    <row r="480" spans="2:15">
      <c r="B480" s="177" t="s">
        <v>435</v>
      </c>
      <c r="C480" s="177"/>
      <c r="D480" s="177"/>
      <c r="E480" s="177"/>
      <c r="F480" s="177"/>
      <c r="G480" s="177"/>
      <c r="H480" s="177"/>
      <c r="I480" s="177"/>
      <c r="J480" s="177"/>
      <c r="K480" s="177"/>
      <c r="L480" s="177"/>
      <c r="M480" s="177"/>
      <c r="N480" s="177"/>
      <c r="O480" s="177"/>
    </row>
    <row r="481" spans="2:3" ht="15.6">
      <c r="B481" s="13"/>
      <c r="C481" s="101"/>
    </row>
    <row r="482" spans="2:3" ht="15.6">
      <c r="B482" s="13"/>
    </row>
    <row r="483" spans="2:3" ht="15.6">
      <c r="B483" s="13"/>
    </row>
    <row r="484" spans="2:3" ht="15.6">
      <c r="B484" s="13"/>
    </row>
    <row r="485" spans="2:3" ht="15.6" hidden="1">
      <c r="B485" s="13"/>
    </row>
    <row r="486" spans="2:3" ht="15.6" hidden="1">
      <c r="B486" s="13"/>
    </row>
    <row r="487" spans="2:3" hidden="1"/>
    <row r="488" spans="2:3" s="3" customFormat="1" hidden="1"/>
    <row r="489" spans="2:3" hidden="1"/>
    <row r="490" spans="2:3" hidden="1"/>
    <row r="491" spans="2:3" hidden="1"/>
    <row r="492" spans="2:3" hidden="1"/>
    <row r="493" spans="2:3" hidden="1"/>
    <row r="494" spans="2:3" hidden="1"/>
    <row r="495" spans="2:3" hidden="1"/>
    <row r="496" spans="2:3"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sheetData>
  <sheetProtection formatCells="0" formatColumns="0" formatRows="0"/>
  <phoneticPr fontId="13" type="noConversion"/>
  <hyperlinks>
    <hyperlink ref="C33" r:id="rId1" display="ORP - Optimal Retirement Planner.  An excellent retirement financial planning tool"/>
    <hyperlink ref="C34" r:id="rId2"/>
    <hyperlink ref="C35" r:id="rId3"/>
    <hyperlink ref="G41" r:id="rId4"/>
    <hyperlink ref="G42" r:id="rId5" display="LibreOffice"/>
    <hyperlink ref="B113" r:id="rId6" location="p1405885"/>
    <hyperlink ref="E103" r:id="rId7"/>
    <hyperlink ref="G40" r:id="rId8"/>
    <hyperlink ref="H39" r:id="rId9"/>
    <hyperlink ref="G43" r:id="rId10"/>
    <hyperlink ref="C53" r:id="rId11" display="Simba Backtesting Spreadsheet"/>
    <hyperlink ref="C54" r:id="rId12" display="CAGR vs Average Calculator"/>
    <hyperlink ref="C52" r:id="rId13" display="Boglehead Wiki: Historical and Expected Returns"/>
    <hyperlink ref="C48" r:id="rId14" location="p1263681" display="Taylor Laymore's Three Fund Portfolio Discussion"/>
    <hyperlink ref="C65" r:id="rId15" display="immediateannuities.com/"/>
    <hyperlink ref="C58" r:id="rId16" display="Social Security Strategies for Married Couples"/>
    <hyperlink ref="C64" r:id="rId17" display="Bogleheads Wiki: Single Premium Immediate Annuity"/>
    <hyperlink ref="C59" r:id="rId18" display="Social Security Strategies for Couples"/>
    <hyperlink ref="C75" r:id="rId19" display="IRS: FAQ on Required Minimum Distributions"/>
    <hyperlink ref="C70" r:id="rId20" display="Inflation"/>
    <hyperlink ref="C71" r:id="rId21" display="CPI"/>
    <hyperlink ref="C79" r:id="rId22" display="Tax Foundation: Individual Taxes"/>
    <hyperlink ref="C81" r:id="rId23" display="Map of state taxes on SS benefits (2013)"/>
    <hyperlink ref="C82" r:id="rId24"/>
    <hyperlink ref="C83" r:id="rId25"/>
    <hyperlink ref="C84" r:id="rId26" display="Publication 590-B - IRA Distributions"/>
    <hyperlink ref="C60" r:id="rId27"/>
    <hyperlink ref="C85" r:id="rId28" location="en_US_2017_publink1000231217" display="Publication 590-B - Tables I and III"/>
    <hyperlink ref="C61" r:id="rId29" display="SS Admin: Actuarial Life Table"/>
    <hyperlink ref="C80" r:id="rId30"/>
    <hyperlink ref="C89" r:id="rId31" location="axzz2ENPuUkd9" display="Tax Treatment Of Roth IRA Distributions "/>
    <hyperlink ref="C88" r:id="rId32" display="Bogleheads' Roth IRA Conversion Wiki"/>
    <hyperlink ref="C90" r:id="rId33" location="conversions" display="Roth IRA and Other Roth Retirement Accounts"/>
    <hyperlink ref="C91" r:id="rId34" display="Understanding The Two 5-Year Rules For Roth IRA Contributions And Conversions"/>
    <hyperlink ref="C95" r:id="rId35" display="Rules And Requirements For Doing A Qualified Charitable Distribution (QCD) From An IRA"/>
    <hyperlink ref="C94" r:id="rId36" display="BH Wiki: Qualified Charitable Distributions"/>
    <hyperlink ref="C78" r:id="rId37" display="Individual Tax Planning Under The Tax Cuts And Jobs Act Of 2017 - Nerd's Eye View - Dec 21"/>
    <hyperlink ref="C49" r:id="rId38" display="Bogleheads' Wiki: Lazy Portfolios"/>
    <hyperlink ref="C72" r:id="rId39" display="Medicare Income-Related Monthly Adjustment Amount"/>
    <hyperlink ref="C69" r:id="rId40"/>
    <hyperlink ref="C68" r:id="rId41"/>
    <hyperlink ref="C57" r:id="rId42"/>
  </hyperlinks>
  <pageMargins left="0.75" right="0.75" top="1" bottom="1" header="0.5" footer="0.5"/>
  <pageSetup scale="51" orientation="portrait" horizontalDpi="300" r:id="rId43"/>
  <headerFooter alignWithMargins="0"/>
  <rowBreaks count="3" manualBreakCount="3">
    <brk id="267" max="8" man="1"/>
    <brk id="334" max="8" man="1"/>
    <brk id="404" max="8" man="1"/>
  </rowBreaks>
  <colBreaks count="1" manualBreakCount="1">
    <brk id="7" max="426" man="1"/>
  </colBreaks>
  <ignoredErrors>
    <ignoredError sqref="B123" twoDigitTextYear="1"/>
  </ignoredErrors>
  <drawing r:id="rId44"/>
  <legacyDrawing r:id="rId45"/>
  <mc:AlternateContent xmlns:mc="http://schemas.openxmlformats.org/markup-compatibility/2006">
    <mc:Choice Requires="x14">
      <controls>
        <mc:AlternateContent xmlns:mc="http://schemas.openxmlformats.org/markup-compatibility/2006">
          <mc:Choice Requires="x14">
            <control shapeId="8247" r:id="rId46" name="Button 55">
              <controlPr defaultSize="0" print="0" autoFill="0" autoPict="0" macro="[0]!Results_1">
                <anchor moveWithCells="1" sizeWithCells="1">
                  <from>
                    <xdr:col>255</xdr:col>
                    <xdr:colOff>0</xdr:colOff>
                    <xdr:row>6</xdr:row>
                    <xdr:rowOff>998220</xdr:rowOff>
                  </from>
                  <to>
                    <xdr:col>255</xdr:col>
                    <xdr:colOff>0</xdr:colOff>
                    <xdr:row>6</xdr:row>
                    <xdr:rowOff>1280160</xdr:rowOff>
                  </to>
                </anchor>
              </controlPr>
            </control>
          </mc:Choice>
        </mc:AlternateContent>
        <mc:AlternateContent xmlns:mc="http://schemas.openxmlformats.org/markup-compatibility/2006">
          <mc:Choice Requires="x14">
            <control shapeId="8248" r:id="rId47" name="Button 56">
              <controlPr defaultSize="0" print="0" autoFill="0" autoPict="0" macro="[0]!Results_1">
                <anchor moveWithCells="1" sizeWithCells="1">
                  <from>
                    <xdr:col>255</xdr:col>
                    <xdr:colOff>0</xdr:colOff>
                    <xdr:row>6</xdr:row>
                    <xdr:rowOff>1363980</xdr:rowOff>
                  </from>
                  <to>
                    <xdr:col>255</xdr:col>
                    <xdr:colOff>0</xdr:colOff>
                    <xdr:row>6</xdr:row>
                    <xdr:rowOff>1645920</xdr:rowOff>
                  </to>
                </anchor>
              </controlPr>
            </control>
          </mc:Choice>
        </mc:AlternateContent>
        <mc:AlternateContent xmlns:mc="http://schemas.openxmlformats.org/markup-compatibility/2006">
          <mc:Choice Requires="x14">
            <control shapeId="8249" r:id="rId48" name="Button 57">
              <controlPr defaultSize="0" print="0" autoFill="0" autoPict="0" macro="[0]!Results_1">
                <anchor moveWithCells="1" sizeWithCells="1">
                  <from>
                    <xdr:col>255</xdr:col>
                    <xdr:colOff>0</xdr:colOff>
                    <xdr:row>6</xdr:row>
                    <xdr:rowOff>1363980</xdr:rowOff>
                  </from>
                  <to>
                    <xdr:col>255</xdr:col>
                    <xdr:colOff>0</xdr:colOff>
                    <xdr:row>6</xdr:row>
                    <xdr:rowOff>1645920</xdr:rowOff>
                  </to>
                </anchor>
              </controlPr>
            </control>
          </mc:Choice>
        </mc:AlternateContent>
        <mc:AlternateContent xmlns:mc="http://schemas.openxmlformats.org/markup-compatibility/2006">
          <mc:Choice Requires="x14">
            <control shapeId="8250" r:id="rId49" name="Button 58">
              <controlPr defaultSize="0" print="0" autoFill="0" autoPict="0" macro="[0]!Results_1">
                <anchor moveWithCells="1" sizeWithCells="1">
                  <from>
                    <xdr:col>255</xdr:col>
                    <xdr:colOff>0</xdr:colOff>
                    <xdr:row>6</xdr:row>
                    <xdr:rowOff>1165860</xdr:rowOff>
                  </from>
                  <to>
                    <xdr:col>255</xdr:col>
                    <xdr:colOff>0</xdr:colOff>
                    <xdr:row>6</xdr:row>
                    <xdr:rowOff>1447800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indexed="10"/>
    <pageSetUpPr autoPageBreaks="0"/>
  </sheetPr>
  <dimension ref="A1:CL776"/>
  <sheetViews>
    <sheetView showGridLines="0" showRowColHeaders="0" zoomScale="75" zoomScaleNormal="75" workbookViewId="0"/>
  </sheetViews>
  <sheetFormatPr defaultColWidth="0" defaultRowHeight="15"/>
  <cols>
    <col min="1" max="1" width="3.6328125" customWidth="1"/>
    <col min="2" max="2" width="11.1796875" customWidth="1"/>
    <col min="3" max="3" width="12.6328125" customWidth="1"/>
    <col min="4" max="9" width="10.6328125" customWidth="1"/>
    <col min="10" max="10" width="11" customWidth="1"/>
    <col min="11" max="16" width="10.6328125" customWidth="1"/>
    <col min="17" max="25" width="9.6328125" customWidth="1"/>
    <col min="26" max="26" width="9.6328125" style="86" hidden="1" customWidth="1"/>
    <col min="27" max="28" width="9.6328125" hidden="1" customWidth="1"/>
    <col min="29" max="29" width="11" hidden="1" customWidth="1"/>
    <col min="30" max="30" width="10.54296875" hidden="1" customWidth="1"/>
    <col min="31" max="37" width="9.6328125" hidden="1" customWidth="1"/>
    <col min="38" max="44" width="9.6328125" customWidth="1"/>
    <col min="45" max="48" width="10.6328125" customWidth="1"/>
    <col min="49" max="49" width="10.6328125" style="3" customWidth="1"/>
    <col min="50" max="53" width="8.6328125" style="3" customWidth="1"/>
    <col min="54" max="57" width="8.6328125" customWidth="1"/>
    <col min="58" max="61" width="8.6328125" hidden="1" customWidth="1"/>
    <col min="62" max="85" width="10.54296875" hidden="1" customWidth="1"/>
    <col min="86" max="86" width="10.54296875" style="3" hidden="1" customWidth="1"/>
    <col min="87" max="90" width="10.54296875" hidden="1" customWidth="1"/>
  </cols>
  <sheetData>
    <row r="1" spans="1:61" ht="18" customHeight="1" thickBot="1">
      <c r="A1" s="1089" t="s">
        <v>1109</v>
      </c>
      <c r="B1" s="771"/>
      <c r="C1" s="771"/>
      <c r="D1" s="771"/>
      <c r="E1" s="251"/>
      <c r="F1" s="709" t="s">
        <v>1363</v>
      </c>
      <c r="G1" s="709" t="s">
        <v>705</v>
      </c>
      <c r="J1" s="1647" t="str">
        <f>Version</f>
        <v>Version 19.1a - June 7, 2019</v>
      </c>
      <c r="K1" s="1119"/>
      <c r="L1" s="1119"/>
      <c r="N1" s="1172" t="s">
        <v>1238</v>
      </c>
      <c r="P1" s="1171" t="s">
        <v>580</v>
      </c>
      <c r="Q1" s="293"/>
      <c r="S1" s="1172" t="s">
        <v>1025</v>
      </c>
      <c r="U1" s="1420" t="s">
        <v>1430</v>
      </c>
      <c r="Y1" s="1171" t="s">
        <v>1024</v>
      </c>
      <c r="Z1" s="1177"/>
      <c r="AA1" s="821"/>
      <c r="AB1" s="821"/>
      <c r="AC1" s="821"/>
      <c r="AD1" s="821"/>
      <c r="AE1" s="821"/>
      <c r="AF1" s="821"/>
      <c r="AG1" s="821"/>
      <c r="AH1" s="821"/>
      <c r="AI1" s="821"/>
      <c r="AJ1" s="821"/>
      <c r="AK1" s="821"/>
      <c r="AL1" s="171" t="s">
        <v>1617</v>
      </c>
      <c r="AM1" s="3"/>
      <c r="AN1" s="3"/>
      <c r="AO1" s="3"/>
      <c r="AP1" s="3"/>
      <c r="AQ1" s="3"/>
      <c r="AR1" s="3"/>
      <c r="AS1" s="3"/>
      <c r="AT1" s="3"/>
      <c r="AU1" s="3"/>
      <c r="AV1" s="3"/>
      <c r="BB1" s="3"/>
      <c r="BC1" s="3"/>
      <c r="BD1" s="3"/>
    </row>
    <row r="2" spans="1:61" ht="18" customHeight="1">
      <c r="D2" s="20"/>
      <c r="E2" s="249"/>
      <c r="F2" s="249"/>
      <c r="G2" s="249"/>
      <c r="H2" s="249"/>
      <c r="I2" s="249"/>
      <c r="J2" s="249"/>
      <c r="K2" s="249"/>
      <c r="N2" s="1172" t="s">
        <v>392</v>
      </c>
      <c r="S2" s="1172" t="s">
        <v>1026</v>
      </c>
      <c r="U2" s="1420" t="s">
        <v>1430</v>
      </c>
      <c r="Z2" s="477" t="s">
        <v>1011</v>
      </c>
      <c r="AA2" s="930" t="s">
        <v>1549</v>
      </c>
    </row>
    <row r="3" spans="1:61" ht="16.95" customHeight="1">
      <c r="B3" s="659" t="s">
        <v>1378</v>
      </c>
      <c r="D3" s="20"/>
      <c r="E3" s="249"/>
      <c r="F3" s="249"/>
      <c r="G3" s="249"/>
      <c r="H3" s="249"/>
      <c r="I3" s="249"/>
      <c r="J3" s="249"/>
      <c r="K3" s="249"/>
      <c r="S3" s="1172" t="s">
        <v>1027</v>
      </c>
      <c r="U3" s="1420" t="s">
        <v>2226</v>
      </c>
      <c r="Z3" s="1"/>
      <c r="AA3" s="1"/>
      <c r="AB3" s="22" t="s">
        <v>1071</v>
      </c>
      <c r="AI3" s="454"/>
      <c r="AJ3" s="1550"/>
      <c r="AK3" s="524"/>
    </row>
    <row r="4" spans="1:61" ht="19.95" customHeight="1">
      <c r="D4" s="20"/>
      <c r="E4" s="249"/>
      <c r="F4" s="249"/>
      <c r="G4" s="249"/>
      <c r="H4" s="249"/>
      <c r="I4" s="249"/>
      <c r="K4" s="249"/>
      <c r="P4" s="1105"/>
      <c r="Q4" s="1120"/>
      <c r="Z4" s="1"/>
      <c r="AA4" s="1"/>
      <c r="AB4" s="849" t="s">
        <v>1798</v>
      </c>
    </row>
    <row r="5" spans="1:61" ht="19.95" customHeight="1" thickBot="1">
      <c r="B5" s="1270" t="s">
        <v>496</v>
      </c>
      <c r="D5" s="1184"/>
      <c r="E5" s="246"/>
      <c r="L5" s="1"/>
      <c r="M5" s="1"/>
      <c r="N5" s="1"/>
      <c r="O5" s="1"/>
      <c r="Q5" s="1"/>
      <c r="R5" s="1037"/>
      <c r="S5" s="1265"/>
      <c r="T5" s="1037"/>
      <c r="U5" s="1037"/>
      <c r="V5" s="1037"/>
      <c r="W5" s="1037"/>
      <c r="X5" s="1037"/>
      <c r="Y5" s="1"/>
      <c r="Z5" s="1667" t="s">
        <v>2169</v>
      </c>
      <c r="AB5" s="849" t="s">
        <v>1799</v>
      </c>
      <c r="AC5" s="1"/>
      <c r="AD5" s="1"/>
      <c r="AE5" s="1"/>
      <c r="AF5" s="1"/>
      <c r="AG5" s="1"/>
      <c r="AH5" s="586"/>
      <c r="AI5" s="1"/>
      <c r="AJ5" s="1"/>
      <c r="AK5" s="1"/>
      <c r="AL5" s="1"/>
      <c r="AM5" s="1"/>
      <c r="AN5" s="1"/>
      <c r="AO5" s="1"/>
      <c r="AP5" s="1"/>
      <c r="AQ5" s="1"/>
      <c r="AR5" s="1"/>
      <c r="AS5" s="1"/>
      <c r="AT5" s="1"/>
      <c r="AU5" s="1"/>
      <c r="AV5" s="1"/>
      <c r="AW5" s="89"/>
      <c r="AX5" s="89"/>
      <c r="AY5" s="89"/>
      <c r="AZ5" s="89"/>
      <c r="BA5" s="89"/>
      <c r="BB5" s="1"/>
      <c r="BC5" s="1"/>
      <c r="BD5" s="1"/>
      <c r="BE5" s="1"/>
      <c r="BF5" s="1"/>
      <c r="BG5" s="1"/>
      <c r="BH5" s="1"/>
      <c r="BI5" s="1"/>
    </row>
    <row r="6" spans="1:61" ht="19.95" customHeight="1" thickBot="1">
      <c r="B6" s="1556" t="s">
        <v>2227</v>
      </c>
      <c r="C6" s="698"/>
      <c r="D6" s="698"/>
      <c r="E6" s="698"/>
      <c r="F6" s="698"/>
      <c r="G6" s="698"/>
      <c r="H6" s="698"/>
      <c r="I6" s="698"/>
      <c r="J6" s="698"/>
      <c r="K6" s="698"/>
      <c r="L6" s="698"/>
      <c r="M6" s="698"/>
      <c r="N6" s="698"/>
      <c r="O6" s="1245"/>
      <c r="P6" s="699"/>
      <c r="Q6" s="1557" t="s">
        <v>314</v>
      </c>
      <c r="R6" s="413"/>
      <c r="S6" s="711"/>
      <c r="T6" s="711" t="s">
        <v>2234</v>
      </c>
      <c r="U6" s="413"/>
      <c r="V6" s="413"/>
      <c r="W6" s="413"/>
      <c r="X6" s="413"/>
      <c r="Z6" s="183"/>
      <c r="AA6" s="1"/>
      <c r="AB6" s="1421" t="s">
        <v>2050</v>
      </c>
      <c r="AC6" s="1"/>
      <c r="AD6" s="1"/>
      <c r="AE6" s="1"/>
      <c r="AF6" s="1"/>
      <c r="AG6" s="1"/>
      <c r="AH6" s="586"/>
      <c r="AI6" s="1"/>
      <c r="AJ6" s="1"/>
      <c r="AK6" s="1"/>
      <c r="AL6" s="1"/>
      <c r="AM6" s="1"/>
      <c r="AN6" s="1"/>
      <c r="AO6" s="1"/>
      <c r="AP6" s="1"/>
      <c r="AQ6" s="1"/>
      <c r="AR6" s="1"/>
      <c r="AS6" s="1"/>
      <c r="AT6" s="1"/>
      <c r="AU6" s="1"/>
      <c r="AV6" s="1"/>
      <c r="AW6" s="89"/>
      <c r="AX6" s="89"/>
      <c r="AY6" s="89"/>
      <c r="AZ6" s="89"/>
      <c r="BA6" s="89"/>
      <c r="BB6" s="1"/>
      <c r="BC6" s="1"/>
      <c r="BD6" s="1"/>
      <c r="BE6" s="1"/>
      <c r="BF6" s="1"/>
      <c r="BG6" s="1"/>
      <c r="BH6" s="1"/>
      <c r="BI6" s="1"/>
    </row>
    <row r="7" spans="1:61" ht="16.2" customHeight="1">
      <c r="B7" s="680"/>
      <c r="C7" s="680"/>
      <c r="D7" s="680"/>
      <c r="E7" s="680"/>
      <c r="F7" s="680"/>
      <c r="G7" s="680"/>
      <c r="H7" s="680"/>
      <c r="I7" s="680"/>
      <c r="J7" s="680"/>
      <c r="K7" s="680"/>
      <c r="L7" s="1244"/>
      <c r="M7" s="680"/>
      <c r="N7" s="1244"/>
      <c r="O7" s="1246"/>
      <c r="P7" s="1"/>
      <c r="Q7" s="1"/>
      <c r="R7" s="539" t="str">
        <f>IF(Sum_Rnd=1000,"($000)",IF(Sum_Rnd=100,"($00)"))</f>
        <v>($000)</v>
      </c>
      <c r="S7" s="586"/>
      <c r="T7" s="1"/>
      <c r="U7" s="1"/>
      <c r="V7" s="1"/>
      <c r="W7" s="1"/>
      <c r="X7" s="1"/>
      <c r="Z7" s="183"/>
      <c r="AB7" s="974" t="s">
        <v>1800</v>
      </c>
      <c r="AC7" s="1"/>
      <c r="AE7" s="1"/>
      <c r="AL7" s="1"/>
      <c r="AM7" s="1"/>
      <c r="AN7" s="1"/>
      <c r="AO7" s="1"/>
      <c r="AP7" s="1"/>
      <c r="AQ7" s="1"/>
      <c r="AR7" s="1"/>
      <c r="AS7" s="1"/>
      <c r="AT7" s="1"/>
      <c r="AU7" s="1"/>
      <c r="AV7" s="1"/>
      <c r="AW7" s="89"/>
      <c r="AX7" s="89"/>
      <c r="AY7" s="89"/>
      <c r="AZ7" s="89"/>
      <c r="BA7" s="89"/>
      <c r="BB7" s="1"/>
      <c r="BC7" s="1"/>
      <c r="BD7" s="1"/>
      <c r="BE7" s="1"/>
      <c r="BF7" s="1"/>
      <c r="BG7" s="1"/>
      <c r="BH7" s="1"/>
      <c r="BI7" s="1"/>
    </row>
    <row r="8" spans="1:61" ht="16.2" customHeight="1" thickBot="1">
      <c r="A8" s="740" t="s">
        <v>240</v>
      </c>
      <c r="C8" s="1395"/>
      <c r="D8" s="1395"/>
      <c r="E8" s="1395"/>
      <c r="F8" s="1395"/>
      <c r="G8" s="1395"/>
      <c r="H8" s="776"/>
      <c r="I8" s="776"/>
      <c r="J8" s="776"/>
      <c r="K8" s="431"/>
      <c r="L8" s="1394"/>
      <c r="M8" s="1566" t="s">
        <v>275</v>
      </c>
      <c r="N8" s="1"/>
      <c r="O8" s="1"/>
      <c r="P8" s="1"/>
      <c r="Q8" s="1395"/>
      <c r="S8" s="1"/>
      <c r="T8" s="1"/>
      <c r="U8" s="1"/>
      <c r="V8" s="1"/>
      <c r="W8" s="1"/>
      <c r="X8" s="1"/>
      <c r="Z8" s="183"/>
      <c r="AB8" s="849" t="s">
        <v>1659</v>
      </c>
      <c r="AE8" s="1"/>
      <c r="AL8" s="1"/>
      <c r="AM8" s="1"/>
      <c r="AN8" s="1"/>
      <c r="AO8" s="1"/>
      <c r="AP8" s="1"/>
      <c r="AQ8" s="1"/>
      <c r="AR8" s="1"/>
      <c r="AS8" s="1"/>
      <c r="AT8" s="1"/>
      <c r="AU8" s="1"/>
      <c r="AV8" s="1"/>
      <c r="AW8" s="89"/>
      <c r="AX8" s="89"/>
      <c r="AY8" s="89"/>
      <c r="AZ8" s="89"/>
      <c r="BA8" s="89"/>
      <c r="BB8" s="1"/>
      <c r="BC8" s="1"/>
      <c r="BD8" s="1"/>
      <c r="BE8" s="1"/>
      <c r="BF8" s="1"/>
      <c r="BG8" s="1"/>
      <c r="BH8" s="1"/>
      <c r="BI8" s="1"/>
    </row>
    <row r="9" spans="1:61" ht="19.95" customHeight="1">
      <c r="A9" s="409"/>
      <c r="B9" s="409"/>
      <c r="C9" s="409"/>
      <c r="D9" s="1074" t="s">
        <v>1445</v>
      </c>
      <c r="E9" s="1412" t="str">
        <f>IF(Error_Check&gt;0,"An error has been detected. Look below for message.",".")</f>
        <v>.</v>
      </c>
      <c r="F9" s="1395"/>
      <c r="G9" s="754"/>
      <c r="H9" s="410"/>
      <c r="I9" s="410"/>
      <c r="J9" s="852"/>
      <c r="K9" s="1248" t="s">
        <v>274</v>
      </c>
      <c r="L9" s="413"/>
      <c r="M9" s="1393"/>
      <c r="N9" s="1387" t="s">
        <v>2145</v>
      </c>
      <c r="O9" s="1387" t="s">
        <v>2146</v>
      </c>
      <c r="P9" s="1387" t="s">
        <v>1546</v>
      </c>
      <c r="Q9" s="1263"/>
      <c r="S9" s="1"/>
      <c r="T9" s="1"/>
      <c r="U9" s="1"/>
      <c r="V9" s="1"/>
      <c r="W9" s="1"/>
      <c r="X9" s="1"/>
      <c r="Z9" s="183"/>
      <c r="AE9" s="1"/>
      <c r="AL9" s="1"/>
      <c r="AM9" s="1"/>
      <c r="AN9" s="1"/>
      <c r="AO9" s="1"/>
      <c r="AP9" s="1"/>
      <c r="AQ9" s="1"/>
      <c r="AR9" s="1"/>
      <c r="AS9" s="1"/>
      <c r="AT9" s="1"/>
      <c r="AU9" s="1"/>
      <c r="AV9" s="1"/>
      <c r="AW9" s="89"/>
      <c r="AX9" s="89"/>
      <c r="AY9" s="89"/>
      <c r="AZ9" s="89"/>
      <c r="BA9" s="89"/>
      <c r="BB9" s="1"/>
      <c r="BC9" s="1"/>
      <c r="BD9" s="1"/>
      <c r="BE9" s="1"/>
      <c r="BF9" s="1"/>
      <c r="BG9" s="1"/>
      <c r="BH9" s="1"/>
      <c r="BI9" s="1"/>
    </row>
    <row r="10" spans="1:61" ht="16.2" customHeight="1">
      <c r="E10" s="1396"/>
      <c r="G10" s="1397"/>
      <c r="H10" s="798"/>
      <c r="I10" s="798"/>
      <c r="J10" s="1037"/>
      <c r="K10" s="1091"/>
      <c r="L10" s="1"/>
      <c r="M10" s="1238" t="s">
        <v>309</v>
      </c>
      <c r="N10" s="1388" t="s">
        <v>1431</v>
      </c>
      <c r="O10" s="1388" t="s">
        <v>1431</v>
      </c>
      <c r="P10" s="1388" t="s">
        <v>2145</v>
      </c>
      <c r="Q10" s="1091"/>
      <c r="S10" s="1"/>
      <c r="T10" s="1"/>
      <c r="U10" s="1"/>
      <c r="V10" s="1"/>
      <c r="W10" s="1"/>
      <c r="X10" s="1"/>
      <c r="Z10" s="183"/>
      <c r="AA10" s="7" t="s">
        <v>306</v>
      </c>
      <c r="AB10" s="29"/>
      <c r="AC10" s="64" t="s">
        <v>2138</v>
      </c>
      <c r="AD10" s="64" t="s">
        <v>1700</v>
      </c>
      <c r="AF10" s="1639" t="s">
        <v>246</v>
      </c>
      <c r="AI10" s="1381" t="s">
        <v>2138</v>
      </c>
      <c r="AJ10" s="1381" t="s">
        <v>1700</v>
      </c>
      <c r="AK10" s="179" t="s">
        <v>248</v>
      </c>
      <c r="AL10" s="1"/>
      <c r="AM10" s="70"/>
      <c r="AN10" s="1"/>
      <c r="AO10" s="1"/>
      <c r="AP10" s="1"/>
      <c r="AQ10" s="1"/>
      <c r="AR10" s="1"/>
      <c r="AS10" s="1"/>
      <c r="AT10" s="1"/>
      <c r="AU10" s="1"/>
      <c r="AV10" s="1"/>
      <c r="AW10" s="89"/>
      <c r="AX10" s="89"/>
      <c r="AY10" s="89"/>
      <c r="AZ10" s="89"/>
      <c r="BA10" s="89"/>
      <c r="BB10" s="1"/>
      <c r="BC10" s="1"/>
      <c r="BD10" s="1"/>
      <c r="BE10" s="1"/>
      <c r="BF10" s="1"/>
      <c r="BG10" s="1"/>
      <c r="BH10" s="1"/>
      <c r="BI10" s="1"/>
    </row>
    <row r="11" spans="1:61" ht="18" customHeight="1" thickBot="1">
      <c r="D11" s="659" t="s">
        <v>581</v>
      </c>
      <c r="E11" s="1565" t="s">
        <v>1836</v>
      </c>
      <c r="F11" s="287"/>
      <c r="H11" s="659" t="s">
        <v>695</v>
      </c>
      <c r="I11" s="1565" t="s">
        <v>252</v>
      </c>
      <c r="K11" s="1240"/>
      <c r="L11" s="431"/>
      <c r="M11" s="1243" t="s">
        <v>273</v>
      </c>
      <c r="N11" s="1389" t="s">
        <v>285</v>
      </c>
      <c r="O11" s="1389" t="s">
        <v>285</v>
      </c>
      <c r="P11" s="1388" t="s">
        <v>285</v>
      </c>
      <c r="Q11" s="1658"/>
      <c r="S11" s="1"/>
      <c r="T11" s="1"/>
      <c r="U11" s="1"/>
      <c r="V11" s="1"/>
      <c r="W11" s="1"/>
      <c r="X11" s="1"/>
      <c r="AA11" s="21" t="s">
        <v>1701</v>
      </c>
      <c r="AC11" s="29">
        <f>+Details!F19-IF(AND(Setup!$E$176=Base!$F$7,Setup!$E$173="y"),Setup!$E$174+Setup!$E$175,0)</f>
        <v>1000000</v>
      </c>
      <c r="AD11" s="29">
        <f>+Base!F19-IF(AND(Setup!$E$176=Base!$F$7,Setup!$E$173="y"),Setup!$E$174+Setup!$E$175,0)</f>
        <v>1000000</v>
      </c>
      <c r="AF11" s="70" t="s">
        <v>1769</v>
      </c>
      <c r="AI11" s="1"/>
      <c r="AJ11" s="1"/>
      <c r="AK11" s="1"/>
      <c r="AL11" s="1"/>
      <c r="AP11" s="1"/>
      <c r="AQ11" s="1"/>
      <c r="AR11" s="1"/>
      <c r="AS11" s="1"/>
      <c r="AT11" s="1"/>
      <c r="AU11" s="1"/>
      <c r="AV11" s="1"/>
      <c r="AW11" s="89"/>
      <c r="AX11" s="89"/>
      <c r="AY11" s="89"/>
      <c r="AZ11" s="89"/>
      <c r="BA11" s="89"/>
      <c r="BB11" s="1"/>
      <c r="BC11" s="1"/>
      <c r="BD11" s="1"/>
      <c r="BE11" s="1"/>
      <c r="BF11" s="1"/>
      <c r="BG11" s="1"/>
      <c r="BH11" s="1"/>
      <c r="BI11" s="1"/>
    </row>
    <row r="12" spans="1:61" ht="18" customHeight="1">
      <c r="C12" s="22"/>
      <c r="D12" s="12" t="s">
        <v>1563</v>
      </c>
      <c r="E12" s="1598" t="s">
        <v>1133</v>
      </c>
      <c r="F12" s="1609" t="str">
        <f>IF(Include_Roth="y"," included",".")</f>
        <v>.</v>
      </c>
      <c r="G12" s="602"/>
      <c r="H12" s="338" t="s">
        <v>48</v>
      </c>
      <c r="I12" s="1597">
        <v>100</v>
      </c>
      <c r="J12" s="429"/>
      <c r="K12" s="1091"/>
      <c r="L12" s="272" t="str">
        <f>"Portfolio in " &amp; Final_Year</f>
        <v>Portfolio in 2048</v>
      </c>
      <c r="M12" s="431">
        <f ca="1">+Details!$E$19</f>
        <v>2702400</v>
      </c>
      <c r="N12" s="429">
        <v>2702400</v>
      </c>
      <c r="O12" s="429">
        <v>2674000</v>
      </c>
      <c r="P12" s="1264">
        <v>2834100</v>
      </c>
      <c r="Q12" s="1037"/>
      <c r="S12" s="539"/>
      <c r="T12" s="539"/>
      <c r="U12" s="539"/>
      <c r="V12" s="539"/>
      <c r="W12" s="539"/>
      <c r="X12" s="539"/>
      <c r="AA12" s="21" t="s">
        <v>573</v>
      </c>
      <c r="AC12" s="29">
        <f>+Details!E85+Details!E107</f>
        <v>500000</v>
      </c>
      <c r="AD12" s="29">
        <f>+Base!E85+Base!E107</f>
        <v>500000</v>
      </c>
      <c r="AF12" s="1" t="s">
        <v>247</v>
      </c>
      <c r="AI12" s="88">
        <f ca="1">+Summary!E49</f>
        <v>1</v>
      </c>
      <c r="AJ12" s="88">
        <f ca="1">+Summary!E97</f>
        <v>1</v>
      </c>
      <c r="AK12" s="1102" t="s">
        <v>249</v>
      </c>
      <c r="AL12" s="1"/>
      <c r="AP12" s="1"/>
      <c r="AQ12" s="1"/>
      <c r="AR12" s="1"/>
      <c r="AS12" s="1"/>
      <c r="AT12" s="1"/>
      <c r="AU12" s="1"/>
      <c r="AV12" s="1"/>
      <c r="AW12" s="89"/>
      <c r="AX12" s="89"/>
      <c r="AY12" s="89"/>
      <c r="AZ12" s="89"/>
      <c r="BA12" s="89"/>
      <c r="BB12" s="1"/>
      <c r="BC12" s="1"/>
      <c r="BD12" s="1"/>
      <c r="BE12" s="1"/>
      <c r="BF12" s="1"/>
      <c r="BG12" s="1"/>
      <c r="BH12" s="1"/>
      <c r="BI12" s="1"/>
    </row>
    <row r="13" spans="1:61" ht="18" customHeight="1">
      <c r="C13" s="22"/>
      <c r="D13" s="12" t="s">
        <v>1564</v>
      </c>
      <c r="E13" s="1597" t="s">
        <v>1133</v>
      </c>
      <c r="F13" s="1609" t="str">
        <f>IF(SS_Comparison="y"," using",".")</f>
        <v>.</v>
      </c>
      <c r="G13" s="143"/>
      <c r="H13" s="383" t="s">
        <v>49</v>
      </c>
      <c r="I13" s="1599">
        <v>10000</v>
      </c>
      <c r="J13" s="1144"/>
      <c r="K13" s="1091"/>
      <c r="L13" s="1391" t="str">
        <f>First_Year &amp; " living expenses"</f>
        <v>2019 living expenses</v>
      </c>
      <c r="M13" s="431">
        <f>Living_Expenses</f>
        <v>70000</v>
      </c>
      <c r="N13" s="429">
        <v>70000</v>
      </c>
      <c r="O13" s="429">
        <v>70000</v>
      </c>
      <c r="P13" s="1241">
        <v>70000</v>
      </c>
      <c r="Q13" s="1091"/>
      <c r="T13" s="539"/>
      <c r="U13" s="539"/>
      <c r="V13" s="539"/>
      <c r="W13" s="539"/>
      <c r="X13" s="539"/>
      <c r="AA13" s="21" t="s">
        <v>1702</v>
      </c>
      <c r="AC13" s="73">
        <f>+Details!E28+Details!E31+Details!E63+Details!E34+Details!E37+Details!E64+Details!E38+Details!E62</f>
        <v>2708500</v>
      </c>
      <c r="AD13" s="73">
        <f>+Base!E28+Base!E31+Base!E63+Base!E34+Base!E37+Base!E64+Base!E38+Base!E62</f>
        <v>2708500</v>
      </c>
      <c r="AF13" s="89" t="s">
        <v>403</v>
      </c>
      <c r="AI13" s="88" t="str">
        <f ca="1">+Results!D81</f>
        <v>.</v>
      </c>
      <c r="AJ13" s="88" t="str">
        <f ca="1">+Results!D273</f>
        <v>.</v>
      </c>
      <c r="AK13" s="1">
        <v>0</v>
      </c>
      <c r="AL13" s="1"/>
      <c r="AP13" s="1"/>
      <c r="AQ13" s="1"/>
      <c r="AR13" s="1"/>
      <c r="AS13" s="1"/>
      <c r="AT13" s="1"/>
      <c r="AU13" s="1"/>
      <c r="AV13" s="1"/>
      <c r="AW13" s="89"/>
      <c r="AX13" s="89"/>
      <c r="AY13" s="89"/>
      <c r="AZ13" s="89"/>
      <c r="BA13" s="89"/>
      <c r="BB13" s="1"/>
      <c r="BC13" s="1"/>
      <c r="BD13" s="1"/>
      <c r="BE13" s="1"/>
      <c r="BF13" s="1"/>
      <c r="BG13" s="1"/>
      <c r="BH13" s="1"/>
      <c r="BI13" s="1"/>
    </row>
    <row r="14" spans="1:61" ht="18" customHeight="1">
      <c r="B14" s="604"/>
      <c r="C14" s="22"/>
      <c r="G14" s="285"/>
      <c r="H14" s="12" t="s">
        <v>1143</v>
      </c>
      <c r="I14" s="1600" t="s">
        <v>1133</v>
      </c>
      <c r="J14" s="429"/>
      <c r="K14" s="1091"/>
      <c r="L14" s="1391" t="s">
        <v>255</v>
      </c>
      <c r="M14" s="431">
        <f>+Details!$E$202</f>
        <v>279600</v>
      </c>
      <c r="N14" s="429">
        <v>279600</v>
      </c>
      <c r="O14" s="429">
        <v>257200</v>
      </c>
      <c r="P14" s="1241">
        <v>204700</v>
      </c>
      <c r="T14" s="539"/>
      <c r="U14" s="539"/>
      <c r="V14" s="539"/>
      <c r="W14" s="539"/>
      <c r="X14" s="539"/>
      <c r="AA14" s="21" t="s">
        <v>1703</v>
      </c>
      <c r="AC14" s="29">
        <f>+Details!E61</f>
        <v>1516900</v>
      </c>
      <c r="AD14" s="29">
        <f>+Base!E61</f>
        <v>1516900</v>
      </c>
      <c r="AF14" s="22" t="s">
        <v>1770</v>
      </c>
      <c r="AI14" s="1"/>
      <c r="AJ14" s="1"/>
      <c r="AK14" s="1"/>
      <c r="AL14" s="1"/>
      <c r="AP14" s="1"/>
      <c r="AQ14" s="1"/>
      <c r="AR14" s="1"/>
      <c r="AS14" s="1"/>
      <c r="AT14" s="1"/>
      <c r="AU14" s="1"/>
      <c r="AV14" s="1"/>
      <c r="AW14" s="89"/>
      <c r="AX14" s="89"/>
      <c r="AY14" s="89"/>
      <c r="AZ14" s="89"/>
      <c r="BA14" s="89"/>
      <c r="BB14" s="1"/>
      <c r="BC14" s="1"/>
      <c r="BD14" s="1"/>
      <c r="BE14" s="1"/>
      <c r="BF14" s="1"/>
      <c r="BG14" s="1"/>
      <c r="BH14" s="1"/>
      <c r="BI14" s="1"/>
    </row>
    <row r="15" spans="1:61" ht="18" customHeight="1">
      <c r="C15" s="22"/>
      <c r="D15" s="659" t="s">
        <v>685</v>
      </c>
      <c r="E15" s="1173"/>
      <c r="F15" s="1174"/>
      <c r="G15" s="276"/>
      <c r="H15" s="343" t="s">
        <v>183</v>
      </c>
      <c r="I15" s="1601">
        <v>0.03</v>
      </c>
      <c r="J15" s="1239"/>
      <c r="K15" s="1091"/>
      <c r="L15" s="1391" t="s">
        <v>482</v>
      </c>
      <c r="M15" s="431">
        <f>+Details!$E$61</f>
        <v>1516900</v>
      </c>
      <c r="N15" s="429">
        <v>1516900</v>
      </c>
      <c r="O15" s="429">
        <v>1245900</v>
      </c>
      <c r="P15" s="1241">
        <v>1516900</v>
      </c>
      <c r="T15" s="539"/>
      <c r="U15" s="539"/>
      <c r="V15" s="539"/>
      <c r="W15" s="539"/>
      <c r="X15" s="539"/>
      <c r="AA15" s="21" t="s">
        <v>980</v>
      </c>
      <c r="AC15" s="29">
        <f>+Details!E70</f>
        <v>549600</v>
      </c>
      <c r="AD15" s="29">
        <f>+Base!E70</f>
        <v>549600</v>
      </c>
      <c r="AF15" s="91" t="s">
        <v>1186</v>
      </c>
      <c r="AI15" s="88">
        <f ca="1">+Setup!AC23</f>
        <v>0</v>
      </c>
      <c r="AJ15" s="88">
        <f ca="1">+Setup!AD23</f>
        <v>0</v>
      </c>
      <c r="AK15" s="1">
        <v>0</v>
      </c>
      <c r="AL15" s="1"/>
      <c r="AP15" s="1"/>
      <c r="AQ15" s="1"/>
      <c r="AR15" s="1"/>
      <c r="AS15" s="1"/>
      <c r="AT15" s="1"/>
      <c r="AU15" s="1"/>
      <c r="AV15" s="1"/>
      <c r="AW15" s="89"/>
      <c r="AX15" s="89"/>
      <c r="AY15" s="89"/>
      <c r="AZ15" s="89"/>
      <c r="BA15" s="89"/>
      <c r="BB15" s="1"/>
      <c r="BC15" s="1"/>
      <c r="BD15" s="1"/>
      <c r="BE15" s="1"/>
      <c r="BF15" s="1"/>
      <c r="BG15" s="1"/>
      <c r="BH15" s="1"/>
      <c r="BI15" s="1"/>
    </row>
    <row r="16" spans="1:61" ht="18" customHeight="1">
      <c r="D16" s="12" t="s">
        <v>1565</v>
      </c>
      <c r="E16" s="1597" t="s">
        <v>1133</v>
      </c>
      <c r="F16" s="1538" t="str">
        <f>IF(E16="y"," excluding",".")</f>
        <v>.</v>
      </c>
      <c r="K16" s="1091"/>
      <c r="L16" s="272" t="s">
        <v>1074</v>
      </c>
      <c r="M16" s="431">
        <f>+Details!$E$133</f>
        <v>0</v>
      </c>
      <c r="N16" s="429">
        <v>0</v>
      </c>
      <c r="O16" s="429">
        <v>0</v>
      </c>
      <c r="P16" s="1241">
        <v>274000</v>
      </c>
      <c r="Q16" s="1"/>
      <c r="R16" s="212"/>
      <c r="T16" s="539"/>
      <c r="U16" s="539"/>
      <c r="V16" s="539"/>
      <c r="W16" s="539"/>
      <c r="X16" s="539"/>
      <c r="AA16" s="21" t="s">
        <v>1531</v>
      </c>
      <c r="AC16" s="29">
        <f>+Details!E84+Details!E96+Details!E127</f>
        <v>-100000</v>
      </c>
      <c r="AD16" s="29">
        <f>+Base!E84+Base!E96+Base!E127</f>
        <v>-100000</v>
      </c>
      <c r="AF16" s="22" t="s">
        <v>394</v>
      </c>
      <c r="AI16" s="1"/>
      <c r="AJ16" s="1"/>
      <c r="AK16" s="1"/>
      <c r="AL16" s="1"/>
      <c r="AP16" s="1"/>
      <c r="AQ16" s="1"/>
      <c r="AR16" s="1"/>
      <c r="AS16" s="1"/>
      <c r="AT16" s="1"/>
      <c r="AU16" s="1"/>
      <c r="AV16" s="1"/>
      <c r="AW16" s="89"/>
      <c r="AX16" s="89"/>
      <c r="AY16" s="89"/>
      <c r="AZ16" s="89"/>
      <c r="BA16" s="89"/>
      <c r="BB16" s="1"/>
      <c r="BC16" s="1"/>
      <c r="BD16" s="1"/>
      <c r="BE16" s="1"/>
      <c r="BF16" s="1"/>
      <c r="BG16" s="1"/>
      <c r="BH16" s="1"/>
      <c r="BI16" s="1"/>
    </row>
    <row r="17" spans="1:61" ht="18" customHeight="1">
      <c r="C17" s="22"/>
      <c r="D17" s="12" t="s">
        <v>1444</v>
      </c>
      <c r="E17" s="1598" t="s">
        <v>1133</v>
      </c>
      <c r="F17" s="899" t="str">
        <f>IF(E17="y"," using",".")</f>
        <v>.</v>
      </c>
      <c r="H17" s="343"/>
      <c r="I17" s="429"/>
      <c r="J17" s="1457" t="str">
        <f ca="1">IF(OR(Base!$E$8&lt;0,Base!$E$11&lt;0,Base!$E$14&lt;0,Base!$E$17&lt;0,Base!$E$18&lt;0,Details!$E$8&lt;0,Details!$E$11&lt;0,Details!$E$14&lt;0,Details!$E$17&lt;0,Details!$E$18&lt;0),"ALERT: negative final account balances! adjust factors to eliminate","portfolio check: no negative final balances           ")</f>
        <v xml:space="preserve">portfolio check: no negative final balances           </v>
      </c>
      <c r="K17" s="1091"/>
      <c r="L17" s="272" t="str">
        <f>"Roth Conv IRA in "&amp;Final_Year</f>
        <v>Roth Conv IRA in 2048</v>
      </c>
      <c r="M17" s="431">
        <f ca="1">+Details!$E$18</f>
        <v>0</v>
      </c>
      <c r="N17" s="429">
        <v>0</v>
      </c>
      <c r="O17" s="429">
        <v>0</v>
      </c>
      <c r="P17" s="1241">
        <v>1185700</v>
      </c>
      <c r="Q17" s="1"/>
      <c r="R17" s="212"/>
      <c r="S17" s="539"/>
      <c r="T17" s="539"/>
      <c r="U17" s="539"/>
      <c r="V17" s="539"/>
      <c r="W17" s="539"/>
      <c r="X17" s="539"/>
      <c r="Y17" s="140"/>
      <c r="AA17" s="21" t="s">
        <v>1132</v>
      </c>
      <c r="AC17" s="29">
        <f>-Details!E144</f>
        <v>-3104300</v>
      </c>
      <c r="AD17" s="29">
        <f>-Base!E144</f>
        <v>-3104300</v>
      </c>
      <c r="AF17" s="43" t="s">
        <v>397</v>
      </c>
      <c r="AI17" s="88">
        <f>+Details!E482+Details!E486+Details!E498</f>
        <v>0</v>
      </c>
      <c r="AJ17" s="88">
        <f>+Base!E482+Base!E486+Base!E498</f>
        <v>0</v>
      </c>
      <c r="AK17" s="1">
        <v>0</v>
      </c>
      <c r="AL17" s="1"/>
      <c r="AM17" s="1"/>
      <c r="AN17" s="1"/>
      <c r="AO17" s="1"/>
      <c r="AP17" s="1"/>
      <c r="AQ17" s="1"/>
      <c r="AR17" s="1"/>
      <c r="AS17" s="1"/>
      <c r="AT17" s="1"/>
      <c r="AU17" s="1"/>
      <c r="AV17" s="1"/>
      <c r="AW17" s="89"/>
      <c r="AX17" s="89"/>
      <c r="AY17" s="89"/>
      <c r="AZ17" s="89"/>
      <c r="BA17" s="89"/>
      <c r="BB17" s="1"/>
      <c r="BC17" s="1"/>
      <c r="BD17" s="1"/>
      <c r="BE17" s="1"/>
      <c r="BF17" s="1"/>
      <c r="BG17" s="1"/>
      <c r="BH17" s="1"/>
      <c r="BI17" s="1"/>
    </row>
    <row r="18" spans="1:61" ht="18" customHeight="1">
      <c r="A18" s="1065"/>
      <c r="H18" s="343"/>
      <c r="I18" s="429"/>
      <c r="J18" s="589" t="str">
        <f>IF(Negative_Full&gt;0,"Alert! Portfolio has negative beginning yr balances in one or more accounts  for " &amp; Negative_Full &amp; " years   ",".")</f>
        <v>.</v>
      </c>
      <c r="K18" s="1242"/>
      <c r="L18" s="272" t="s">
        <v>1641</v>
      </c>
      <c r="M18" s="431">
        <f>-Details!$E$94</f>
        <v>487400</v>
      </c>
      <c r="N18" s="429">
        <v>487400</v>
      </c>
      <c r="O18" s="429">
        <v>487400</v>
      </c>
      <c r="P18" s="1241">
        <v>0</v>
      </c>
      <c r="R18" s="212"/>
      <c r="S18" s="586"/>
      <c r="T18" s="539"/>
      <c r="U18" s="539"/>
      <c r="V18" s="539"/>
      <c r="W18" s="539"/>
      <c r="X18" s="539"/>
      <c r="Y18" s="140"/>
      <c r="AA18" s="21" t="s">
        <v>1505</v>
      </c>
      <c r="AC18" s="29">
        <f>-SUM(Details!F145:AS145)</f>
        <v>-368300</v>
      </c>
      <c r="AD18" s="29">
        <f>-SUM(Base!F145:AS145)</f>
        <v>-368300</v>
      </c>
      <c r="AJ18" s="1"/>
      <c r="AL18" s="1"/>
      <c r="AM18" s="1"/>
      <c r="AN18" s="1"/>
      <c r="AO18" s="1"/>
      <c r="AP18" s="1"/>
      <c r="AQ18" s="1"/>
      <c r="AR18" s="1"/>
      <c r="AS18" s="1"/>
      <c r="AT18" s="1"/>
      <c r="AU18" s="1"/>
      <c r="AV18" s="1"/>
      <c r="AW18" s="89"/>
      <c r="AX18" s="89"/>
      <c r="AY18" s="89"/>
      <c r="AZ18" s="89"/>
      <c r="BA18" s="89"/>
      <c r="BB18" s="1"/>
      <c r="BC18" s="1"/>
      <c r="BD18" s="1"/>
      <c r="BE18" s="1"/>
      <c r="BF18" s="1"/>
      <c r="BG18" s="1"/>
      <c r="BH18" s="1"/>
      <c r="BI18" s="1"/>
    </row>
    <row r="19" spans="1:61" ht="18" customHeight="1">
      <c r="B19" s="1105"/>
      <c r="F19" s="599"/>
      <c r="H19" s="429"/>
      <c r="I19" s="429"/>
      <c r="J19" s="589" t="str">
        <f>IF(negative_base&gt;0,"Alert! Base case has negative balances for " &amp; negative_base &amp; " years   ",".")</f>
        <v>.</v>
      </c>
      <c r="K19" s="1091"/>
      <c r="L19" s="272" t="str">
        <f>"Base portfolio in " &amp; Final_Year</f>
        <v>Base portfolio in 2048</v>
      </c>
      <c r="M19" s="431">
        <f ca="1">+Base!$E$19</f>
        <v>2702400</v>
      </c>
      <c r="N19" s="429">
        <v>2702400</v>
      </c>
      <c r="O19" s="429">
        <v>2702900</v>
      </c>
      <c r="P19" s="1241">
        <v>2702400</v>
      </c>
      <c r="R19" s="212"/>
      <c r="S19" s="539"/>
      <c r="T19" s="539"/>
      <c r="U19" s="539"/>
      <c r="V19" s="539"/>
      <c r="W19" s="539"/>
      <c r="X19" s="539"/>
      <c r="Y19" s="161"/>
      <c r="AA19" s="21"/>
      <c r="AC19" s="29"/>
      <c r="AD19" s="29"/>
      <c r="AF19" s="539"/>
      <c r="AG19" s="1"/>
      <c r="AH19" s="1"/>
      <c r="AI19" s="1"/>
      <c r="AK19" s="1"/>
      <c r="AL19" s="1"/>
      <c r="AM19" s="1"/>
      <c r="AN19" s="1"/>
      <c r="AO19" s="1"/>
      <c r="AP19" s="1"/>
      <c r="AQ19" s="1"/>
      <c r="AR19" s="1"/>
      <c r="AS19" s="1"/>
      <c r="AT19" s="1"/>
      <c r="AU19" s="1"/>
      <c r="AV19" s="1"/>
      <c r="AW19" s="89"/>
      <c r="AX19" s="89"/>
      <c r="AY19" s="89"/>
      <c r="AZ19" s="89"/>
      <c r="BA19" s="89"/>
      <c r="BB19" s="1"/>
      <c r="BC19" s="1"/>
      <c r="BD19" s="1"/>
      <c r="BE19" s="1"/>
      <c r="BF19" s="1"/>
      <c r="BG19" s="1"/>
      <c r="BH19" s="1"/>
      <c r="BI19" s="1"/>
    </row>
    <row r="20" spans="1:61" ht="19.95" customHeight="1" thickBot="1">
      <c r="A20" s="407"/>
      <c r="B20" s="407"/>
      <c r="C20" s="407"/>
      <c r="D20" s="1073" t="s">
        <v>1561</v>
      </c>
      <c r="G20" s="503"/>
      <c r="H20" s="429"/>
      <c r="I20" s="429"/>
      <c r="J20" s="431"/>
      <c r="K20" s="1392"/>
      <c r="L20" s="269" t="s">
        <v>287</v>
      </c>
      <c r="M20" s="1212">
        <f ca="1">+Quick_Start-M19</f>
        <v>0</v>
      </c>
      <c r="N20" s="1272">
        <v>0</v>
      </c>
      <c r="O20" s="1272">
        <v>-28900</v>
      </c>
      <c r="P20" s="1273">
        <v>131700</v>
      </c>
      <c r="R20" s="212"/>
      <c r="S20" s="539"/>
      <c r="T20" s="539"/>
      <c r="U20" s="539"/>
      <c r="V20" s="539"/>
      <c r="W20" s="539"/>
      <c r="X20" s="539"/>
      <c r="AA20" s="72" t="s">
        <v>1184</v>
      </c>
      <c r="AC20" s="29">
        <f>SUM(AC11:AC18)</f>
        <v>2702400</v>
      </c>
      <c r="AD20" s="29">
        <f>SUM(AD11:AD19)</f>
        <v>2702400</v>
      </c>
      <c r="AG20" s="198"/>
      <c r="AK20" s="1409" t="s">
        <v>1784</v>
      </c>
      <c r="AL20" s="1411"/>
      <c r="AM20" s="1"/>
      <c r="AN20" s="1"/>
      <c r="AO20" s="1"/>
      <c r="AP20" s="1"/>
      <c r="AQ20" s="1"/>
      <c r="AR20" s="1"/>
      <c r="AS20" s="1"/>
      <c r="AT20" s="1"/>
      <c r="AU20" s="1"/>
      <c r="AV20" s="1"/>
      <c r="AW20" s="89"/>
      <c r="AX20" s="89"/>
      <c r="AY20" s="89"/>
      <c r="AZ20" s="89"/>
      <c r="BA20" s="89"/>
      <c r="BB20" s="1"/>
      <c r="BC20" s="1"/>
      <c r="BD20" s="1"/>
      <c r="BE20" s="1"/>
      <c r="BF20" s="1"/>
      <c r="BG20" s="1"/>
      <c r="BH20" s="1"/>
      <c r="BI20" s="1"/>
    </row>
    <row r="21" spans="1:61" ht="16.2" customHeight="1">
      <c r="E21" s="5"/>
      <c r="F21" s="173"/>
      <c r="J21" s="431"/>
      <c r="K21" s="431"/>
      <c r="L21" s="431"/>
      <c r="M21" s="431"/>
      <c r="N21" s="1504"/>
      <c r="O21" s="431"/>
      <c r="P21" s="431"/>
      <c r="R21" s="212"/>
      <c r="S21" s="539"/>
      <c r="T21" s="539"/>
      <c r="U21" s="539"/>
      <c r="V21" s="539"/>
      <c r="W21" s="539"/>
      <c r="X21" s="539"/>
      <c r="AA21" s="72"/>
      <c r="AC21" s="29"/>
      <c r="AD21" s="29"/>
      <c r="AF21" s="198"/>
      <c r="AG21" s="198"/>
      <c r="AJ21" s="1"/>
      <c r="AK21" s="1386" t="s">
        <v>1781</v>
      </c>
      <c r="AL21" s="1"/>
      <c r="AM21" s="1"/>
      <c r="AN21" s="1"/>
      <c r="AO21" s="1"/>
      <c r="AP21" s="1"/>
      <c r="AQ21" s="1"/>
      <c r="AR21" s="1"/>
      <c r="AS21" s="1"/>
      <c r="AT21" s="1"/>
      <c r="AU21" s="1"/>
      <c r="AV21" s="1"/>
      <c r="AW21" s="89"/>
      <c r="AX21" s="89"/>
      <c r="AY21" s="89"/>
      <c r="AZ21" s="89"/>
      <c r="BA21" s="89"/>
      <c r="BB21" s="1"/>
      <c r="BC21" s="1"/>
      <c r="BD21" s="1"/>
      <c r="BE21" s="1"/>
      <c r="BF21" s="1"/>
      <c r="BG21" s="1"/>
      <c r="BH21" s="1"/>
      <c r="BI21" s="1"/>
    </row>
    <row r="22" spans="1:61" ht="16.2" customHeight="1" thickBot="1">
      <c r="D22" s="659" t="s">
        <v>103</v>
      </c>
      <c r="E22" s="1565" t="s">
        <v>1340</v>
      </c>
      <c r="F22" s="1565" t="s">
        <v>1333</v>
      </c>
      <c r="G22" s="1"/>
      <c r="I22" s="661" t="s">
        <v>707</v>
      </c>
      <c r="K22" s="431"/>
      <c r="L22" s="1616" t="s">
        <v>2194</v>
      </c>
      <c r="N22" s="1037"/>
      <c r="O22" s="1037"/>
      <c r="P22" s="431"/>
      <c r="R22" s="212"/>
      <c r="S22" s="539"/>
      <c r="T22" s="586"/>
      <c r="U22" s="539"/>
      <c r="V22" s="586"/>
      <c r="W22" s="539"/>
      <c r="X22" s="539"/>
      <c r="Z22" s="1177"/>
      <c r="AA22" s="72" t="s">
        <v>1185</v>
      </c>
      <c r="AC22" s="29">
        <f ca="1">+Details!E259</f>
        <v>2702400</v>
      </c>
      <c r="AD22" s="29">
        <f ca="1">+Base!E259</f>
        <v>2702400</v>
      </c>
      <c r="AF22" s="198"/>
      <c r="AG22" s="198"/>
      <c r="AK22" s="1386" t="s">
        <v>1782</v>
      </c>
    </row>
    <row r="23" spans="1:61" ht="16.2" thickBot="1">
      <c r="C23" s="589" t="str">
        <f>IF(First_Year&lt;&gt;Tax_Rates_Year,"Error: year &lt;&gt; tax year",".")</f>
        <v>.</v>
      </c>
      <c r="D23" s="8" t="s">
        <v>239</v>
      </c>
      <c r="E23" s="517">
        <v>2019</v>
      </c>
      <c r="F23" s="1415">
        <f>+E23+E24-1</f>
        <v>2048</v>
      </c>
      <c r="G23" s="874"/>
      <c r="H23" s="1353" t="s">
        <v>1333</v>
      </c>
      <c r="I23" s="1817" t="s">
        <v>502</v>
      </c>
      <c r="J23" s="1817"/>
      <c r="K23" s="431"/>
      <c r="L23" s="1527"/>
      <c r="M23" s="1527"/>
      <c r="N23" s="1527"/>
      <c r="O23" s="1527"/>
      <c r="P23" s="431"/>
      <c r="R23" s="212"/>
      <c r="S23" s="1"/>
      <c r="T23" s="1"/>
      <c r="U23" s="1"/>
      <c r="V23" s="1"/>
      <c r="W23" s="1"/>
      <c r="X23" s="1"/>
      <c r="AA23" s="72" t="s">
        <v>432</v>
      </c>
      <c r="AC23" s="29">
        <f ca="1">+AC20-AC22</f>
        <v>0</v>
      </c>
      <c r="AD23" s="29">
        <f ca="1">+AD20-AD22</f>
        <v>0</v>
      </c>
      <c r="AF23" s="198"/>
      <c r="AG23" s="198"/>
      <c r="AJ23" s="1532" t="s">
        <v>2159</v>
      </c>
      <c r="AK23" s="1648">
        <f>IF(SUM(AK24:AK271)&gt;1,1,0)</f>
        <v>0</v>
      </c>
      <c r="AL23" s="1773"/>
    </row>
    <row r="24" spans="1:61" ht="16.2" customHeight="1" thickBot="1">
      <c r="D24" s="8" t="s">
        <v>192</v>
      </c>
      <c r="E24" s="518">
        <v>30</v>
      </c>
      <c r="F24" s="1565" t="s">
        <v>363</v>
      </c>
      <c r="G24" s="1565" t="s">
        <v>244</v>
      </c>
      <c r="H24" s="1353" t="s">
        <v>1704</v>
      </c>
      <c r="I24" s="1355">
        <v>50</v>
      </c>
      <c r="J24" s="757" t="s">
        <v>1290</v>
      </c>
      <c r="L24" s="1527"/>
      <c r="M24" s="1527"/>
      <c r="N24" s="1527"/>
      <c r="O24" s="1527"/>
      <c r="R24" s="212"/>
      <c r="S24" s="1"/>
      <c r="T24" s="1"/>
      <c r="U24" s="1"/>
      <c r="V24" s="1"/>
      <c r="W24" s="1"/>
      <c r="X24" s="1"/>
      <c r="AF24" s="198"/>
      <c r="AG24" s="198"/>
    </row>
    <row r="25" spans="1:61" ht="15.75" customHeight="1">
      <c r="B25" s="99"/>
      <c r="C25" s="589" t="str">
        <f>IF(AND(Spouse_Age=0,Your_End_Input&gt;0),"Error: set End Age = 0",".")</f>
        <v>.</v>
      </c>
      <c r="D25" s="8" t="s">
        <v>193</v>
      </c>
      <c r="E25" s="519">
        <v>62</v>
      </c>
      <c r="F25" s="519">
        <v>85</v>
      </c>
      <c r="G25" s="1357">
        <f>IF(E25=0,"",+E25+$E$24-1)</f>
        <v>91</v>
      </c>
      <c r="H25" s="1354">
        <f>IF(Your_End_Input=0,Your_Age_End,F25)</f>
        <v>85</v>
      </c>
      <c r="I25" s="675">
        <f>VLOOKUP($I$24,'Tax Tables'!$AC$338:$AE$458,2,0)+$I$24</f>
        <v>79.599999999999994</v>
      </c>
      <c r="J25" s="756" t="s">
        <v>503</v>
      </c>
      <c r="L25" s="1527"/>
      <c r="M25" s="1527"/>
      <c r="N25" s="1527"/>
      <c r="O25" s="1527"/>
      <c r="Z25" s="391" t="s">
        <v>2045</v>
      </c>
      <c r="AF25" s="539"/>
      <c r="AK25" s="733" t="str">
        <f>IF(IF(C25=".",0,1)&gt;=1,1,"ok")</f>
        <v>ok</v>
      </c>
    </row>
    <row r="26" spans="1:61" ht="15.6">
      <c r="B26" s="99"/>
      <c r="D26" s="1699" t="s">
        <v>218</v>
      </c>
      <c r="E26" s="519">
        <v>61</v>
      </c>
      <c r="F26" s="519"/>
      <c r="G26" s="1356">
        <f>IF(E26=0,0,+E26+$E$24-1)</f>
        <v>90</v>
      </c>
      <c r="H26" s="1354">
        <f>IF(Spouse_End_Input=0,Spouse_Age_End,F26)</f>
        <v>90</v>
      </c>
      <c r="I26" s="675">
        <f>VLOOKUP($I$24,'Tax Tables'!$AC$338:$AE$458,3,0)+$I$24</f>
        <v>83.15</v>
      </c>
      <c r="J26" s="143" t="s">
        <v>504</v>
      </c>
      <c r="L26" s="1527"/>
      <c r="M26" s="1527"/>
      <c r="N26" s="1527"/>
      <c r="O26" s="1527"/>
      <c r="R26" s="776"/>
      <c r="S26" s="776"/>
      <c r="T26" s="776"/>
      <c r="U26" s="776"/>
      <c r="V26" s="776"/>
      <c r="W26" s="776"/>
      <c r="X26" s="776"/>
      <c r="Z26" s="391" t="s">
        <v>2045</v>
      </c>
      <c r="AF26" s="539"/>
      <c r="AG26" s="1"/>
      <c r="AM26" s="1"/>
      <c r="AN26" s="1"/>
      <c r="AO26" s="1"/>
      <c r="AP26" s="1"/>
      <c r="AQ26" s="1"/>
      <c r="AR26" s="1"/>
      <c r="AS26" s="1"/>
      <c r="AT26" s="1"/>
      <c r="AU26" s="1"/>
      <c r="AV26" s="1"/>
      <c r="AW26" s="89"/>
      <c r="AX26" s="89"/>
      <c r="AY26" s="89"/>
      <c r="AZ26" s="89"/>
      <c r="BA26" s="89"/>
      <c r="BB26" s="1"/>
      <c r="BC26" s="1"/>
      <c r="BD26" s="1"/>
      <c r="BE26" s="1"/>
      <c r="BF26" s="1"/>
      <c r="BG26" s="1"/>
      <c r="BH26" s="1"/>
      <c r="BI26" s="1"/>
    </row>
    <row r="27" spans="1:61">
      <c r="B27" s="606"/>
      <c r="E27" s="613" t="str">
        <f>IF(AND(Spouse_Age=0,OR(IRA1_Owner="s",IRA2_Owner="s",Inheritor="s",Inheritor2="s")),"If no spouse - remove other example spouse data",".")</f>
        <v>.</v>
      </c>
      <c r="F27" s="1441" t="str">
        <f>IF(AND(Your_End_Input&gt;0,Spouse_End_Input&gt;0),"Error: only one End Age allowed",".")</f>
        <v>.</v>
      </c>
      <c r="G27" s="301"/>
      <c r="H27" s="530"/>
      <c r="N27" s="1"/>
      <c r="O27" s="1"/>
      <c r="P27" s="1"/>
      <c r="Z27" s="183"/>
      <c r="AF27" s="539"/>
      <c r="AG27" s="1"/>
      <c r="AK27" s="733" t="str">
        <f>IF(IF(F27=".",0,1)&gt;=1,1,"ok")</f>
        <v>ok</v>
      </c>
      <c r="AM27" s="1"/>
      <c r="AN27" s="1"/>
      <c r="AO27" s="1"/>
      <c r="AP27" s="1"/>
      <c r="AQ27" s="1"/>
      <c r="AR27" s="1"/>
      <c r="AS27" s="1"/>
      <c r="AT27" s="1"/>
      <c r="AU27" s="1"/>
      <c r="AV27" s="1"/>
      <c r="AW27" s="89"/>
      <c r="AX27" s="89"/>
      <c r="AY27" s="89"/>
      <c r="AZ27" s="89"/>
      <c r="BA27" s="89"/>
      <c r="BB27" s="1"/>
      <c r="BC27" s="1"/>
      <c r="BD27" s="1"/>
      <c r="BE27" s="1"/>
      <c r="BF27" s="1"/>
      <c r="BG27" s="1"/>
      <c r="BH27" s="1"/>
      <c r="BI27" s="1"/>
    </row>
    <row r="28" spans="1:61" ht="17.399999999999999">
      <c r="B28" s="606"/>
      <c r="D28" s="1442" t="str">
        <f>IF(RMD_Table="o","Alert: Table II (10+ yr younger spouse) in use",".")</f>
        <v>.</v>
      </c>
      <c r="E28" s="1723" t="str">
        <f>IF(Total_Years+Your_Age&lt;Your_End_Input,"Error: Your end age too high",".")</f>
        <v>.</v>
      </c>
      <c r="F28" s="688"/>
      <c r="G28" s="301"/>
      <c r="H28" s="1568" t="s">
        <v>1795</v>
      </c>
      <c r="N28" s="1794" t="s">
        <v>2279</v>
      </c>
      <c r="O28" s="1"/>
      <c r="P28" s="1"/>
      <c r="Q28" s="1265" t="s">
        <v>2195</v>
      </c>
      <c r="S28" s="1037"/>
      <c r="T28" s="1037"/>
      <c r="U28" s="1037"/>
      <c r="V28" s="1037"/>
      <c r="W28" s="1037"/>
      <c r="X28" s="1037"/>
      <c r="Z28" s="183"/>
      <c r="AF28" s="1"/>
      <c r="AG28" s="1"/>
      <c r="AM28" s="1"/>
      <c r="AN28" s="1"/>
      <c r="AO28" s="1"/>
      <c r="AP28" s="1"/>
      <c r="AQ28" s="1"/>
      <c r="AR28" s="1"/>
      <c r="AS28" s="1"/>
      <c r="AT28" s="1"/>
      <c r="AU28" s="1"/>
      <c r="AV28" s="1"/>
      <c r="AW28" s="89"/>
      <c r="AX28" s="89"/>
      <c r="AY28" s="89"/>
      <c r="AZ28" s="89"/>
      <c r="BA28" s="89"/>
      <c r="BB28" s="1"/>
      <c r="BC28" s="1"/>
      <c r="BD28" s="1"/>
      <c r="BE28" s="1"/>
      <c r="BF28" s="1"/>
      <c r="BG28" s="1"/>
      <c r="BH28" s="1"/>
      <c r="BI28" s="1"/>
    </row>
    <row r="29" spans="1:61" ht="18" thickBot="1">
      <c r="B29" s="1"/>
      <c r="C29" s="1"/>
      <c r="D29" s="659" t="s">
        <v>151</v>
      </c>
      <c r="E29" s="1567" t="s">
        <v>1116</v>
      </c>
      <c r="F29" s="1702" t="s">
        <v>51</v>
      </c>
      <c r="G29" s="1565" t="s">
        <v>436</v>
      </c>
      <c r="H29" s="1565" t="s">
        <v>1794</v>
      </c>
      <c r="N29" s="1585" t="s">
        <v>2278</v>
      </c>
      <c r="O29" s="1585"/>
      <c r="P29" s="1"/>
      <c r="Q29" s="1527"/>
      <c r="R29" s="1527"/>
      <c r="S29" s="1527"/>
      <c r="T29" s="1527"/>
      <c r="U29" s="1527"/>
      <c r="V29" s="1527"/>
      <c r="W29" s="1527"/>
      <c r="X29" s="1527"/>
      <c r="Z29" s="391"/>
      <c r="AF29" s="1"/>
      <c r="AG29" s="1"/>
      <c r="AM29" s="1"/>
      <c r="AN29" s="1"/>
      <c r="AO29" s="1"/>
      <c r="AP29" s="1"/>
      <c r="AQ29" s="1"/>
      <c r="AR29" s="1"/>
      <c r="AS29" s="1"/>
      <c r="AT29" s="1"/>
      <c r="AU29" s="1"/>
      <c r="AV29" s="1"/>
      <c r="AW29" s="89"/>
      <c r="AX29" s="89"/>
      <c r="AY29" s="89"/>
      <c r="AZ29" s="89"/>
      <c r="BA29" s="89"/>
      <c r="BB29" s="1"/>
      <c r="BC29" s="1"/>
      <c r="BD29" s="1"/>
      <c r="BE29" s="1"/>
      <c r="BF29" s="1"/>
      <c r="BG29" s="1"/>
      <c r="BH29" s="1"/>
      <c r="BI29" s="1"/>
    </row>
    <row r="30" spans="1:61" ht="15.6">
      <c r="C30" s="981" t="str">
        <f>IF(OR(AND(tIRA_Begin&gt;0,IRA1_Owner=0),AND(tIRA_Begin&gt;0,IRA_RMD_Age=0)),"Error: enter data &gt;&gt;",".")</f>
        <v>.</v>
      </c>
      <c r="D30" s="8" t="s">
        <v>1031</v>
      </c>
      <c r="E30" s="1598">
        <v>71</v>
      </c>
      <c r="F30" s="1598" t="s">
        <v>851</v>
      </c>
      <c r="G30" s="135">
        <f>IF(IRA_RMD_Age&gt;0,HLOOKUP(IRA_RMD_Age,IF(IRA1_Owner="y",Details!$F$4:$AS$18,Details!$F$5:$AS$18),IF(IRA1_Owner="y",6,5),TRUE),"")</f>
        <v>383200</v>
      </c>
      <c r="H30" s="1416">
        <f>IF(IRA_RMD_Age&gt;0,IF(IRA1_Owner="y",-HLOOKUP(IRA_RMD_Age,Details!$F$4:$AS$148,88,TRUE),-HLOOKUP(IRA_RMD_Age,Details!$F$5:$AS$148,87,TRUE)),"")</f>
        <v>9000</v>
      </c>
      <c r="K30" s="248"/>
      <c r="L30" s="248"/>
      <c r="N30" s="1355">
        <v>100000</v>
      </c>
      <c r="O30" s="1358" t="s">
        <v>1122</v>
      </c>
      <c r="P30" s="140"/>
      <c r="Q30" s="1527"/>
      <c r="R30" s="1527"/>
      <c r="S30" s="1527"/>
      <c r="T30" s="1527"/>
      <c r="U30" s="1527"/>
      <c r="V30" s="1527"/>
      <c r="W30" s="1527"/>
      <c r="X30" s="1527"/>
      <c r="Z30" s="391" t="s">
        <v>2046</v>
      </c>
      <c r="AF30" s="140"/>
      <c r="AG30" s="140"/>
      <c r="AK30" s="982" t="str">
        <f>IF(IF(C30=".",0,1)+IF(C30=".",0,1)&gt;=1,1,"ok")</f>
        <v>ok</v>
      </c>
      <c r="AM30" s="140"/>
      <c r="AN30" s="140"/>
      <c r="AO30" s="140"/>
      <c r="AP30" s="140"/>
      <c r="AQ30" s="140"/>
      <c r="AR30" s="140"/>
      <c r="AS30" s="140"/>
      <c r="AT30" s="140"/>
      <c r="AU30" s="140"/>
      <c r="AV30" s="140"/>
      <c r="AW30" s="777"/>
      <c r="AX30" s="777"/>
      <c r="AY30" s="777"/>
      <c r="AZ30" s="777"/>
      <c r="BA30" s="777"/>
      <c r="BB30" s="140"/>
      <c r="BC30" s="140"/>
      <c r="BD30" s="140"/>
      <c r="BE30" s="140"/>
      <c r="BF30" s="140"/>
      <c r="BG30" s="140"/>
      <c r="BH30" s="140"/>
      <c r="BI30" s="140"/>
    </row>
    <row r="31" spans="1:61" ht="15.6">
      <c r="B31" s="736"/>
      <c r="C31" s="589" t="str">
        <f>IF(OR(AND(tIRA_Begin2&gt;0,IRA2_Owner=0),AND(tIRA_Begin2&gt;0,IRA_RMD_Age2=0)),"Error: enter data &gt;&gt;",".")</f>
        <v>.</v>
      </c>
      <c r="D31" s="8" t="s">
        <v>522</v>
      </c>
      <c r="E31" s="1597">
        <v>70</v>
      </c>
      <c r="F31" s="1597" t="s">
        <v>1110</v>
      </c>
      <c r="G31" s="135">
        <f>IF(IRA_RMD_Age2&gt;0,HLOOKUP(IRA_RMD_Age2,IF(IRA2_Owner="y",Details!$F$4:$AS$18,Details!$F$5:$AS$18),IF(IRA2_Owner="y",7,6),TRUE),"")</f>
        <v>411700</v>
      </c>
      <c r="H31" s="1416">
        <f>IF(IRA_RMD_Age2&gt;0,IF(IRA2_Owner="y",-HLOOKUP(IRA_RMD_Age2,Details!$F$4:$AS$148,96,TRUE),-HLOOKUP(IRA_RMD_Age2,Details!$F$5:$AS$148,95,TRUE)),"")</f>
        <v>0</v>
      </c>
      <c r="K31" s="248"/>
      <c r="L31" s="248"/>
      <c r="M31" s="248"/>
      <c r="N31" s="474">
        <v>71</v>
      </c>
      <c r="O31" s="881" t="s">
        <v>1289</v>
      </c>
      <c r="P31" s="140"/>
      <c r="Q31" s="1527"/>
      <c r="R31" s="1527"/>
      <c r="S31" s="1527"/>
      <c r="T31" s="1527"/>
      <c r="U31" s="1527"/>
      <c r="V31" s="1527"/>
      <c r="W31" s="1527"/>
      <c r="X31" s="1527"/>
      <c r="Z31" s="391" t="s">
        <v>2046</v>
      </c>
      <c r="AA31" s="140"/>
      <c r="AB31" s="140"/>
      <c r="AC31" s="140"/>
      <c r="AD31" s="140"/>
      <c r="AE31" s="140"/>
      <c r="AF31" s="140"/>
      <c r="AG31" s="140"/>
      <c r="AK31" s="982" t="str">
        <f>IF(IF(C31=".",0,1)+IF(C31=".",0,1)&gt;=1,1,"ok")</f>
        <v>ok</v>
      </c>
      <c r="AM31" s="140"/>
      <c r="AN31" s="140"/>
      <c r="AO31" s="140"/>
      <c r="AP31" s="140"/>
      <c r="AQ31" s="140"/>
      <c r="AR31" s="140"/>
      <c r="AS31" s="140"/>
      <c r="AT31" s="140"/>
      <c r="AU31" s="140"/>
      <c r="AV31" s="140"/>
      <c r="AW31" s="777"/>
      <c r="AX31" s="777"/>
      <c r="AY31" s="777"/>
      <c r="AZ31" s="777"/>
      <c r="BA31" s="777"/>
      <c r="BB31" s="140"/>
      <c r="BC31" s="140"/>
      <c r="BD31" s="140"/>
      <c r="BE31" s="140"/>
      <c r="BF31" s="140"/>
      <c r="BG31" s="140"/>
      <c r="BH31" s="140"/>
      <c r="BI31" s="140"/>
    </row>
    <row r="32" spans="1:61" ht="15.6">
      <c r="B32" s="1413"/>
      <c r="D32" s="8" t="str">
        <f>"Inherited IRA 1" &amp; IF(AND(Inherit_tIRA&gt;0,Inheritance="y")," at age " &amp; Inherit_Age &amp; " ","")</f>
        <v xml:space="preserve">Inherited IRA 1 at age 77 </v>
      </c>
      <c r="E32" s="1597">
        <v>78</v>
      </c>
      <c r="F32" s="1597" t="s">
        <v>851</v>
      </c>
      <c r="G32" s="135">
        <f>IF(Spouse_Age&gt;0,IF(iIRA_RMD_Age&gt;0,HLOOKUP(iIRA_RMD_Age,IF(Inheritor="y",Details!$F$4:$AS$18,Details!$F$5:$AS$18),IF(Inheritor="y",9,8),TRUE),""),"")</f>
        <v>36000</v>
      </c>
      <c r="H32" s="1416">
        <f>IF(iIRA_RMD_Age&gt;0,IF(Inheritor="y",-HLOOKUP(iIRA_RMD_Age,Details!$F$4:$AS$148,106,TRUE),-HLOOKUP(iIRA_RMD_Age,Details!$F$5:$AS$148,107,TRUE)),"")</f>
        <v>-10.8</v>
      </c>
      <c r="K32" s="727"/>
      <c r="L32" s="211"/>
      <c r="M32" s="212"/>
      <c r="N32" s="1359">
        <f>VLOOKUP(N31,'Tax Tables'!$G$338:$I$388,2)</f>
        <v>26.5</v>
      </c>
      <c r="O32" s="89" t="s">
        <v>698</v>
      </c>
      <c r="P32" s="161"/>
      <c r="Q32" s="1527"/>
      <c r="R32" s="1527"/>
      <c r="S32" s="1527"/>
      <c r="T32" s="1527"/>
      <c r="U32" s="1527"/>
      <c r="V32" s="1527"/>
      <c r="W32" s="1527"/>
      <c r="X32" s="1527"/>
      <c r="Z32" s="391" t="s">
        <v>2046</v>
      </c>
      <c r="AA32" s="22" t="s">
        <v>305</v>
      </c>
      <c r="AF32" s="161"/>
      <c r="AG32" s="161"/>
      <c r="AM32" s="161"/>
      <c r="AN32" s="161"/>
      <c r="AO32" s="161"/>
      <c r="AP32" s="161"/>
      <c r="AQ32" s="161"/>
      <c r="AR32" s="161"/>
      <c r="AS32" s="161"/>
      <c r="AT32" s="161"/>
      <c r="AU32" s="161"/>
      <c r="AV32" s="161"/>
      <c r="AW32" s="778"/>
      <c r="AX32" s="778"/>
      <c r="AY32" s="778"/>
      <c r="AZ32" s="778"/>
      <c r="BA32" s="778"/>
      <c r="BB32" s="161"/>
      <c r="BC32" s="161"/>
      <c r="BD32" s="161"/>
      <c r="BE32" s="161"/>
      <c r="BF32" s="161"/>
      <c r="BG32" s="161"/>
      <c r="BH32" s="161"/>
      <c r="BI32" s="161"/>
    </row>
    <row r="33" spans="1:63" ht="15.6">
      <c r="B33" s="1413"/>
      <c r="D33" s="8" t="str">
        <f>"Inherited IRA 2 " &amp; IF(AND(Inherit_tIRA2&gt;0,Inheritance2="y"),"at age " &amp; Inherit_Age2 &amp; " ","")</f>
        <v xml:space="preserve">Inherited IRA 2 at age 72 </v>
      </c>
      <c r="E33" s="1597">
        <v>73</v>
      </c>
      <c r="F33" s="1597" t="s">
        <v>1110</v>
      </c>
      <c r="G33" s="1414">
        <f>IF(Spouse_Age&gt;0,IF(iIRA_RMD_Age2&gt;0,HLOOKUP(iIRA_RMD_Age2,IF(Inheritor2="y",Details!$F$4:$AS$18,Details!$F$5:$AS$18),IF(Inheritor2="y",10,9),TRUE),""),"")</f>
        <v>60000</v>
      </c>
      <c r="H33" s="1417">
        <f>IF(iIRA_RMD_Age2&gt;0,IF(Inheritor2="y",-HLOOKUP(iIRA_RMD_Age2,Details!$F$4:$AS$148,107,TRUE),-HLOOKUP(iIRA_RMD_Age2,Details!$F$5:$AS$148,106,TRUE)),"")</f>
        <v>0</v>
      </c>
      <c r="K33" s="727"/>
      <c r="L33" s="211"/>
      <c r="M33" s="212"/>
      <c r="N33" s="545">
        <f>N30/VLOOKUP(N31,'Tax Tables'!$G$338:$I$388,2)</f>
        <v>3773.5849056603774</v>
      </c>
      <c r="O33" s="102" t="s">
        <v>1082</v>
      </c>
      <c r="P33" s="161"/>
      <c r="Q33" s="1527"/>
      <c r="R33" s="1527"/>
      <c r="S33" s="1527"/>
      <c r="T33" s="1527"/>
      <c r="U33" s="1527"/>
      <c r="V33" s="1527"/>
      <c r="W33" s="1527"/>
      <c r="X33" s="1527"/>
      <c r="Z33" s="391" t="s">
        <v>2046</v>
      </c>
      <c r="AA33" s="539" t="str">
        <f>"Taxable " &amp; CHAR(10) &amp; TEXT(Summary!F8,"$#,##0")</f>
        <v>Taxable 
$200</v>
      </c>
      <c r="AB33" s="161"/>
      <c r="AC33" s="539" t="str">
        <f>"IRAs " &amp; CHAR(10)  &amp; TEXT(Summary!G8+Summary!H8,"$#,##0")</f>
        <v>IRAs 
$700</v>
      </c>
      <c r="AD33" s="161"/>
      <c r="AE33" s="539" t="str">
        <f>"Roth IRAs " &amp; CHAR(10) &amp; TEXT(Summary!I8+Summary!J8,"$#,##0")</f>
        <v>Roth IRAs 
$100</v>
      </c>
      <c r="AF33" s="161"/>
      <c r="AG33" s="161"/>
      <c r="AH33" s="161"/>
      <c r="AI33" s="161"/>
      <c r="AM33" s="161"/>
      <c r="AN33" s="161"/>
      <c r="AO33" s="161"/>
      <c r="AP33" s="161"/>
      <c r="AQ33" s="161"/>
      <c r="AR33" s="161"/>
      <c r="AS33" s="161"/>
      <c r="AT33" s="161"/>
      <c r="AU33" s="161"/>
      <c r="AV33" s="161"/>
      <c r="AW33" s="778"/>
      <c r="AX33" s="778"/>
      <c r="AY33" s="778"/>
      <c r="AZ33" s="778"/>
      <c r="BA33" s="778"/>
      <c r="BB33" s="161"/>
      <c r="BC33" s="161"/>
      <c r="BD33" s="161"/>
      <c r="BE33" s="161"/>
      <c r="BF33" s="161"/>
      <c r="BG33" s="161"/>
      <c r="BH33" s="161"/>
      <c r="BI33" s="161"/>
    </row>
    <row r="34" spans="1:63" ht="15" customHeight="1">
      <c r="D34" s="534"/>
      <c r="E34" s="555" t="str">
        <f>IF(OR(AND(Inheritance="y",Inherit_tIRA&gt;0,iIRA_RMD_Age=0),AND(Inheritance2="y",Inherit_tIRA2&gt;0,iIRA_RMD_Age2=0))," ","") &amp; IF(OR(AND(Inheritance="y",Inherit_tIRA&gt;0,iIRA_RMD_Age&lt;=Inherit_Age),AND(Inheritance2="y",Inherit_tIRA2&gt;0,iIRA_RMD_Age2&lt;=Inherit_Age2)),"Error: Inherited IRA RMD age not +1 year &gt; inherited age",".")</f>
        <v>.</v>
      </c>
      <c r="F34" s="528" t="str">
        <f>IF(AND(Spouse_Age=0,OR(IRA1_Owner="s",IRA2_Owner="s",Inheritor="s",Inheritor2="s")),"Error: no spouse age - y required above",".")</f>
        <v>.</v>
      </c>
      <c r="H34" s="364"/>
      <c r="K34" s="212"/>
      <c r="L34" s="219"/>
      <c r="M34" s="212"/>
      <c r="N34" s="1092">
        <f>+N33/N30</f>
        <v>3.7735849056603772E-2</v>
      </c>
      <c r="O34" s="102" t="s">
        <v>694</v>
      </c>
      <c r="Q34" s="1527"/>
      <c r="R34" s="1527"/>
      <c r="S34" s="1527"/>
      <c r="T34" s="1527"/>
      <c r="U34" s="1527"/>
      <c r="V34" s="1527"/>
      <c r="W34" s="1527"/>
      <c r="X34" s="1527"/>
      <c r="AA34" s="539" t="str">
        <f ca="1">"Taxable " &amp; CHAR(10) &amp; TEXT(Summary!F48,"$#,##0")</f>
        <v>Taxable 
$1,539</v>
      </c>
      <c r="AC34" s="539" t="str">
        <f ca="1">"IRAs " &amp; CHAR(10)  &amp; TEXT(Summary!G48+Summary!H48,"$#,##0")</f>
        <v>IRAs 
$726</v>
      </c>
      <c r="AE34" s="539" t="str">
        <f ca="1">"Roth IRAs " &amp; CHAR(10) &amp; TEXT(Summary!I48+Summary!J48,"$#,##0")</f>
        <v>Roth IRAs 
$438</v>
      </c>
      <c r="AK34" s="982" t="str">
        <f>IF(IF(E34=".",0,1)+IF(F34=".",0,1)&gt;=1,1,"ok")</f>
        <v>ok</v>
      </c>
    </row>
    <row r="35" spans="1:63" ht="19.95" customHeight="1">
      <c r="C35" s="555" t="str">
        <f>IF(OR(AND(Inheritance="y",Inherit_tIRA&gt;0,iIRA_RMD_Age=0),AND(Inheritance2="y",Inherit_tIRA2&gt;0,iIRA_RMD_Age2=0)),"Beneficiary age missing","") &amp; IF(OR(AND(Inheritance="y",Inherit_tIRA&gt;0,iIRA_RMD_Age&lt;=Inherit_Age),AND(Inheritance2="y",Inherit_tIRA2&gt;0,iIRA_RMD_Age2&lt;=Inherit_Age2))," ",".")</f>
        <v>.</v>
      </c>
      <c r="D35" s="960" t="str">
        <f>IF(AND(Spouse_Age&lt;&gt;0,Your_Age-Spouse_Age&gt;10,RMD_Table="d",OR(IRA_RMD_Age&gt;0,IRA_RMD_Age2&gt;0)),"10 yr age diff. Go to Tax Tables - Data Tables to get instructions.",".")</f>
        <v>.</v>
      </c>
      <c r="H35" s="365"/>
      <c r="I35" s="798"/>
      <c r="J35" s="798"/>
      <c r="K35" s="212"/>
      <c r="L35" s="31"/>
      <c r="Q35" s="1527"/>
      <c r="R35" s="1527"/>
      <c r="S35" s="1527"/>
      <c r="T35" s="1527"/>
      <c r="U35" s="1527"/>
      <c r="V35" s="1527"/>
      <c r="W35" s="1527"/>
      <c r="X35" s="1527"/>
      <c r="AA35" s="539" t="str">
        <f>"Earnings " &amp; TEXT(Summary!M48,"$#,##0")</f>
        <v>Earnings $751</v>
      </c>
      <c r="AC35" s="539" t="str">
        <f>"Earnings " &amp; TEXT(Summary!N$48+Summary!O$48,"$#,##0")</f>
        <v>Earnings $1,435</v>
      </c>
      <c r="AE35" s="539" t="str">
        <f>"Earnings " &amp; TEXT(Summary!P48+Summary!Q48,"$#,##0")</f>
        <v>Earnings $386</v>
      </c>
      <c r="AK35" s="982" t="str">
        <f>IF(IF(D35=".",0,1)+IF(D35=".",0,1)&gt;=1,1,"ok")</f>
        <v>ok</v>
      </c>
    </row>
    <row r="36" spans="1:63" ht="19.95" customHeight="1">
      <c r="A36" s="407"/>
      <c r="B36" s="407"/>
      <c r="C36" s="407"/>
      <c r="D36" s="1073" t="s">
        <v>1121</v>
      </c>
      <c r="F36" s="625" t="str">
        <f>IF(AND(Spouse_Age&gt;0,Filing_Status="s"),"Alert: Single tax filing status selected with Spouse Age entered. OK if for SS spousal benefit.",".")</f>
        <v>.</v>
      </c>
      <c r="G36" s="365"/>
      <c r="K36" s="416"/>
      <c r="Q36" s="1527"/>
      <c r="R36" s="1527"/>
      <c r="S36" s="1527"/>
      <c r="T36" s="1527"/>
      <c r="U36" s="1527"/>
      <c r="V36" s="1527"/>
      <c r="W36" s="1527"/>
      <c r="X36" s="1527"/>
      <c r="AA36" s="539" t="str">
        <f>"SS benefits " &amp; TEXT(Summary!R48+Summary!S48,"$#,##0")</f>
        <v>SS benefits $1,517</v>
      </c>
      <c r="AC36" s="539" t="str">
        <f>"Inherited " &amp; TEXT(-Summary!AF$48,"$#,##0")</f>
        <v>Inherited $100</v>
      </c>
      <c r="AE36" s="539" t="str">
        <f>"Roth Conv " &amp; TEXT(Summary!AO48,"$#,##0")</f>
        <v>Roth Conv $0</v>
      </c>
      <c r="AK36" s="1409" t="s">
        <v>1785</v>
      </c>
    </row>
    <row r="37" spans="1:63" ht="19.95" customHeight="1" thickBot="1">
      <c r="A37" s="410"/>
      <c r="B37" s="410"/>
      <c r="C37" s="410"/>
      <c r="D37" s="416"/>
      <c r="F37" s="625"/>
      <c r="G37" s="365"/>
      <c r="K37" s="212"/>
      <c r="N37" s="509" t="s">
        <v>1712</v>
      </c>
      <c r="O37" s="268"/>
      <c r="P37" s="268"/>
      <c r="Q37" s="1527"/>
      <c r="R37" s="1527"/>
      <c r="S37" s="1527"/>
      <c r="T37" s="1527"/>
      <c r="U37" s="1527"/>
      <c r="V37" s="1527"/>
      <c r="W37" s="1527"/>
      <c r="X37" s="1527"/>
      <c r="AA37" s="539" t="str">
        <f>"Other income " &amp; TEXT(Summary!T48+Summary!U48+Summary!V48,"$#,##0")</f>
        <v>Other income $695</v>
      </c>
      <c r="AC37" s="539" t="str">
        <f>"Withdrawals " &amp; TEXT(Summary!AE$48+Summary!AT$48-Summary!AX$48+Summary!AY$48+Summary!BC$48+Summary!BG$48,"$#,##0")</f>
        <v>Withdrawals $354</v>
      </c>
      <c r="AE37" s="539" t="str">
        <f>"Withdrawals " &amp; TEXT(Summary!BL$48+Summary!BM$48+Summary!BP$48 &amp; "  ","$#,##0")</f>
        <v>Withdrawals $51</v>
      </c>
    </row>
    <row r="38" spans="1:63" ht="16.2" customHeight="1">
      <c r="D38" s="659" t="s">
        <v>101</v>
      </c>
      <c r="E38" s="1568" t="s">
        <v>975</v>
      </c>
      <c r="F38" s="1568" t="s">
        <v>1333</v>
      </c>
      <c r="N38" s="522" t="str">
        <f ca="1">IF(OR(Base!$E$8&lt;0,Base!$E$11&lt;0,Base!$E$14&lt;0,Base!$E$17&lt;0,Base!$E$18&lt;0,Details!$E$8&lt;0,Details!$E$11&lt;0,Details!$E$14&lt;0,Details!$E$17&lt;0,Details!$E$18&lt;0),"Negative final account balances - adjust factors","No negative final balances")</f>
        <v>No negative final balances</v>
      </c>
      <c r="Q38" s="1527"/>
      <c r="R38" s="1527"/>
      <c r="S38" s="1527"/>
      <c r="T38" s="1527"/>
      <c r="U38" s="1527"/>
      <c r="V38" s="1527"/>
      <c r="W38" s="1527"/>
      <c r="X38" s="1527"/>
      <c r="AA38" s="539" t="str">
        <f>"Inherited " &amp; TEXT(-Summary!AA$48,"$#,##0")</f>
        <v>Inherited $100</v>
      </c>
      <c r="AC38" s="539" t="str">
        <f>"RMD " &amp; TEXT(Summary!AN$48+Summary!AU$48+Summary!AZ$48+Summary!BD$48,"$#,##0")</f>
        <v>RMD $1,150</v>
      </c>
    </row>
    <row r="39" spans="1:63" ht="18" customHeight="1" thickBot="1">
      <c r="D39" s="659" t="s">
        <v>102</v>
      </c>
      <c r="E39" s="1565" t="s">
        <v>557</v>
      </c>
      <c r="F39" s="1565" t="s">
        <v>557</v>
      </c>
      <c r="N39" s="140" t="str">
        <f>IF(OR(negative_base&gt;0,Negative_Full&gt;0),"Negative yearly balance detected","No negative yearly balances")</f>
        <v>No negative yearly balances</v>
      </c>
      <c r="Q39" s="1527"/>
      <c r="R39" s="1527"/>
      <c r="S39" s="1527"/>
      <c r="T39" s="1527"/>
      <c r="U39" s="1527"/>
      <c r="V39" s="1527"/>
      <c r="W39" s="1527"/>
      <c r="X39" s="1527"/>
      <c r="AA39" s="539" t="str">
        <f>"Expenses " &amp; TEXT(Summary!Y48,"$#,##0")</f>
        <v>Expenses $3,105</v>
      </c>
      <c r="AC39" s="539" t="str">
        <f>"Roth Conv " &amp; TEXT(Summary!AO$48,"$#,##0")</f>
        <v>Roth Conv $0</v>
      </c>
    </row>
    <row r="40" spans="1:63" ht="15.6">
      <c r="D40" s="454" t="s">
        <v>1081</v>
      </c>
      <c r="E40" s="715">
        <v>200000</v>
      </c>
      <c r="F40" s="1360">
        <f ca="1">+Details!E8</f>
        <v>1538900</v>
      </c>
      <c r="K40" s="339"/>
      <c r="N40" s="144" t="str">
        <f ca="1">IF(OR(Details!$E$8&lt;0,Details!$E$11&lt;0,Details!$E$14&lt;0,Details!$E$18&lt;0),"Full: Ending balance " &amp; Details!$E$8,".")</f>
        <v>.</v>
      </c>
      <c r="Q40" s="1527"/>
      <c r="R40" s="1527"/>
      <c r="S40" s="1527"/>
      <c r="T40" s="1527"/>
      <c r="U40" s="1527"/>
      <c r="V40" s="1527"/>
      <c r="W40" s="1527"/>
      <c r="X40" s="1527"/>
      <c r="Y40" s="776"/>
      <c r="AA40" s="539" t="str">
        <f>"Taxes " &amp; TEXT(Summary!Z48,"$#,##0")</f>
        <v>Taxes $371</v>
      </c>
      <c r="AB40" s="158"/>
      <c r="AD40" s="158"/>
      <c r="AE40" s="158"/>
      <c r="AF40" s="158"/>
      <c r="AG40" s="158"/>
      <c r="AH40" s="158"/>
      <c r="AI40" s="158"/>
      <c r="AJ40" s="158"/>
      <c r="AK40" s="158"/>
      <c r="AM40" s="158"/>
      <c r="AN40" s="158"/>
      <c r="AO40" s="158"/>
      <c r="AP40" s="158"/>
      <c r="AQ40" s="158"/>
      <c r="AR40" s="158"/>
      <c r="AS40" s="158"/>
      <c r="AT40" s="158"/>
      <c r="AU40" s="158"/>
      <c r="AV40" s="158"/>
      <c r="AW40" s="387"/>
      <c r="AX40" s="387"/>
      <c r="AY40" s="387"/>
      <c r="AZ40" s="387"/>
      <c r="BA40" s="387"/>
      <c r="BB40" s="158"/>
      <c r="BC40" s="158"/>
      <c r="BD40" s="158"/>
      <c r="BE40" s="158"/>
      <c r="BF40" s="158"/>
      <c r="BG40" s="158"/>
      <c r="BH40" s="158"/>
      <c r="BI40" s="158"/>
    </row>
    <row r="41" spans="1:63" ht="15.6">
      <c r="D41" s="8" t="s">
        <v>1031</v>
      </c>
      <c r="E41" s="1361">
        <v>500000</v>
      </c>
      <c r="F41" s="608">
        <f ca="1">+Details!E9</f>
        <v>337700</v>
      </c>
      <c r="N41" s="144" t="str">
        <f>IF(Negative_Full&gt;0,"Full: Negative for " &amp; Negative_Full &amp; " years",".")</f>
        <v>.</v>
      </c>
      <c r="Q41" s="1527"/>
      <c r="R41" s="1527"/>
      <c r="S41" s="1527"/>
      <c r="T41" s="1527"/>
      <c r="U41" s="1527"/>
      <c r="V41" s="1527"/>
      <c r="W41" s="1527"/>
      <c r="X41" s="1527"/>
      <c r="Y41" s="776"/>
      <c r="AA41" s="354" t="str">
        <f>"Special Evt " &amp; TEXT(-Summary!AB$48-Summary!AC$48-Summary!AD$48,"$#,##0")</f>
        <v>Special Evt $300</v>
      </c>
      <c r="AB41" s="160"/>
      <c r="AD41" s="160"/>
      <c r="AE41" s="539" t="str">
        <f>"Portfolio " &amp; CHAR(10) &amp; TEXT(Summary!K8,"$#,##0")</f>
        <v>Portfolio 
$1,000</v>
      </c>
      <c r="AF41" s="160"/>
      <c r="AG41" s="160"/>
      <c r="AH41" s="160"/>
      <c r="AI41" s="160"/>
      <c r="AJ41" s="160"/>
      <c r="AK41" s="160"/>
      <c r="AM41" s="160"/>
      <c r="AN41" s="160"/>
      <c r="AO41" s="160"/>
      <c r="AP41" s="160"/>
      <c r="AQ41" s="160"/>
      <c r="AR41" s="160"/>
      <c r="AS41" s="160"/>
      <c r="AT41" s="160"/>
      <c r="AU41" s="160"/>
      <c r="AV41" s="160"/>
      <c r="AW41" s="779"/>
      <c r="AX41" s="779"/>
      <c r="AY41" s="779"/>
      <c r="AZ41" s="779"/>
      <c r="BA41" s="779"/>
      <c r="BB41" s="160"/>
      <c r="BC41" s="160"/>
      <c r="BD41" s="160"/>
      <c r="BE41" s="160"/>
      <c r="BF41" s="160"/>
      <c r="BG41" s="160"/>
      <c r="BH41" s="160"/>
      <c r="BI41" s="160"/>
    </row>
    <row r="42" spans="1:63" ht="15.6">
      <c r="D42" s="8" t="s">
        <v>522</v>
      </c>
      <c r="E42" s="1362">
        <v>200000</v>
      </c>
      <c r="F42" s="608">
        <f ca="1">+Details!E10</f>
        <v>388100</v>
      </c>
      <c r="N42" s="144" t="str">
        <f ca="1">IF(OR(Base!$E$8&lt;0,Base!$E$11&lt;0,Base!$E$14&lt;0,Base!$E$18&lt;0),"Base: Ending balance " &amp; Base!$E$8,".")</f>
        <v>.</v>
      </c>
      <c r="Q42" s="1527"/>
      <c r="R42" s="1527"/>
      <c r="S42" s="1527"/>
      <c r="T42" s="1527"/>
      <c r="U42" s="1527"/>
      <c r="V42" s="1527"/>
      <c r="W42" s="1527"/>
      <c r="X42" s="1527"/>
      <c r="Y42" s="776"/>
      <c r="Z42" s="1177"/>
      <c r="AA42" s="539" t="str">
        <f>"RMD&amp;With " &amp; TEXT(Summary!BR$48,"$#,##0")</f>
        <v>RMD&amp;With $1,655</v>
      </c>
      <c r="AE42" s="539" t="str">
        <f ca="1">"Portfolio " &amp; CHAR(10) &amp; TEXT(Summary!K48,"$#,##0")</f>
        <v>Portfolio 
$2,703</v>
      </c>
      <c r="AF42" s="160"/>
      <c r="AG42" s="160"/>
      <c r="AH42" s="160"/>
      <c r="AI42" s="160"/>
      <c r="AJ42" s="160"/>
      <c r="AM42" s="160"/>
      <c r="AN42" s="160"/>
      <c r="AO42" s="160"/>
      <c r="AP42" s="160"/>
      <c r="AQ42" s="160"/>
      <c r="AR42" s="160"/>
      <c r="AS42" s="160"/>
      <c r="AT42" s="160"/>
      <c r="AU42" s="160"/>
      <c r="AV42" s="160"/>
      <c r="AW42" s="779"/>
      <c r="AX42" s="779"/>
      <c r="AY42" s="779"/>
      <c r="AZ42" s="779"/>
      <c r="BA42" s="779"/>
      <c r="BB42" s="160"/>
      <c r="BC42" s="160"/>
      <c r="BD42" s="160"/>
      <c r="BE42" s="160"/>
      <c r="BF42" s="160"/>
      <c r="BG42" s="160"/>
      <c r="BH42" s="160"/>
      <c r="BI42" s="160"/>
    </row>
    <row r="43" spans="1:63" ht="15.6">
      <c r="D43" s="8" t="s">
        <v>763</v>
      </c>
      <c r="E43" s="470">
        <v>75000</v>
      </c>
      <c r="F43" s="608">
        <f ca="1">+Details!E15</f>
        <v>416600</v>
      </c>
      <c r="N43" s="144" t="str">
        <f>IF(negative_base&gt;0,"Base: Negative for " &amp; negative_base &amp; " years",".")</f>
        <v>.</v>
      </c>
      <c r="O43" s="1"/>
      <c r="Q43" s="1527"/>
      <c r="R43" s="1527"/>
      <c r="S43" s="1527"/>
      <c r="T43" s="1527"/>
      <c r="U43" s="1527"/>
      <c r="V43" s="1527"/>
      <c r="W43" s="1527"/>
      <c r="X43" s="1527"/>
      <c r="Y43" s="158"/>
      <c r="Z43" s="1178"/>
      <c r="AA43" s="158"/>
      <c r="AB43" s="160"/>
      <c r="AC43" s="158"/>
      <c r="AD43" s="160"/>
    </row>
    <row r="44" spans="1:63" ht="15.6">
      <c r="D44" s="8" t="s">
        <v>764</v>
      </c>
      <c r="E44" s="470">
        <v>25000</v>
      </c>
      <c r="F44" s="608">
        <f ca="1">+Details!E16</f>
        <v>21100</v>
      </c>
      <c r="H44" s="1"/>
      <c r="P44" s="1"/>
      <c r="Q44" s="1527"/>
      <c r="R44" s="1527"/>
      <c r="S44" s="1527"/>
      <c r="T44" s="1527"/>
      <c r="U44" s="1527"/>
      <c r="V44" s="1527"/>
      <c r="W44" s="1527"/>
      <c r="X44" s="1527"/>
      <c r="AA44" s="204">
        <v>3</v>
      </c>
      <c r="AB44" s="580" t="str">
        <f>CHOOSE(AA44,"y","s"," ")</f>
        <v xml:space="preserve"> </v>
      </c>
      <c r="AC44" t="s">
        <v>289</v>
      </c>
      <c r="AE44" s="140"/>
      <c r="AF44" s="140"/>
      <c r="AG44" s="140"/>
      <c r="AH44" s="140"/>
      <c r="AI44" s="140"/>
      <c r="AJ44" s="140"/>
      <c r="AK44" s="140"/>
      <c r="AM44" s="140"/>
      <c r="AN44" s="140"/>
      <c r="AO44" s="140"/>
      <c r="AP44" s="140"/>
      <c r="AQ44" s="140"/>
      <c r="AR44" s="140"/>
      <c r="AS44" s="140"/>
      <c r="AT44" s="140"/>
      <c r="AU44" s="140"/>
      <c r="AV44" s="140"/>
      <c r="AW44" s="777"/>
      <c r="AX44" s="777"/>
      <c r="AY44" s="777"/>
      <c r="AZ44" s="777"/>
      <c r="BA44" s="777"/>
      <c r="BB44" s="140"/>
      <c r="BC44" s="140"/>
      <c r="BD44" s="140"/>
      <c r="BE44" s="140"/>
      <c r="BF44" s="140"/>
      <c r="BG44" s="140"/>
      <c r="BH44" s="140"/>
      <c r="BI44" s="140"/>
      <c r="BJ44" s="140"/>
      <c r="BK44" s="140"/>
    </row>
    <row r="45" spans="1:63" ht="16.2" thickBot="1">
      <c r="D45" s="338" t="s">
        <v>323</v>
      </c>
      <c r="E45" s="971">
        <v>0</v>
      </c>
      <c r="F45" s="31">
        <f ca="1">+Details!E18</f>
        <v>0</v>
      </c>
      <c r="H45" s="1"/>
      <c r="P45" s="1"/>
      <c r="Q45" s="1527"/>
      <c r="R45" s="1527"/>
      <c r="S45" s="1527"/>
      <c r="T45" s="1527"/>
      <c r="U45" s="1527"/>
      <c r="V45" s="1527"/>
      <c r="W45" s="1527"/>
      <c r="X45" s="1527"/>
      <c r="Y45" s="140"/>
      <c r="Z45" s="245"/>
      <c r="AA45" s="411" t="s">
        <v>1466</v>
      </c>
      <c r="AB45" s="411"/>
      <c r="AC45" s="140"/>
      <c r="AD45" s="140"/>
      <c r="AE45" s="140"/>
      <c r="AF45" s="140"/>
      <c r="AG45" s="140"/>
      <c r="AH45" s="140"/>
      <c r="AI45" s="140"/>
      <c r="AJ45" s="140"/>
      <c r="AK45" s="140"/>
      <c r="AM45" s="140"/>
      <c r="AN45" s="140"/>
      <c r="AO45" s="140"/>
      <c r="AP45" s="140"/>
      <c r="AQ45" s="140"/>
      <c r="AR45" s="140"/>
      <c r="AS45" s="140"/>
      <c r="AT45" s="140"/>
      <c r="AU45" s="140"/>
      <c r="AV45" s="140"/>
      <c r="AW45" s="777"/>
      <c r="AX45" s="777"/>
      <c r="AY45" s="777"/>
      <c r="AZ45" s="777"/>
      <c r="BA45" s="777"/>
      <c r="BB45" s="140"/>
      <c r="BC45" s="140"/>
      <c r="BD45" s="140"/>
      <c r="BE45" s="140"/>
      <c r="BF45" s="140"/>
      <c r="BG45" s="140"/>
      <c r="BH45" s="140"/>
      <c r="BI45" s="140"/>
      <c r="BJ45" s="140"/>
      <c r="BK45" s="140"/>
    </row>
    <row r="46" spans="1:63" ht="15.6">
      <c r="D46" s="8" t="s">
        <v>1208</v>
      </c>
      <c r="E46" s="972">
        <v>0</v>
      </c>
      <c r="F46" s="38">
        <f ca="1">+Details!E14</f>
        <v>0</v>
      </c>
      <c r="H46" s="1"/>
      <c r="P46" s="1"/>
      <c r="Q46" s="1527"/>
      <c r="R46" s="1527"/>
      <c r="S46" s="1527"/>
      <c r="T46" s="1527"/>
      <c r="U46" s="1527"/>
      <c r="V46" s="1527"/>
      <c r="W46" s="1527"/>
      <c r="X46" s="1527"/>
      <c r="Z46" s="245"/>
      <c r="AA46" s="657" t="s">
        <v>863</v>
      </c>
      <c r="AB46" s="467" t="s">
        <v>851</v>
      </c>
      <c r="AD46" s="930" t="s">
        <v>1012</v>
      </c>
      <c r="AF46" s="539"/>
      <c r="AG46" s="1"/>
      <c r="AH46" s="1"/>
      <c r="AI46" s="1"/>
      <c r="AJ46" s="140"/>
      <c r="AK46" s="140"/>
      <c r="AM46" s="140"/>
      <c r="AN46" s="140"/>
      <c r="AO46" s="140"/>
      <c r="AP46" s="140"/>
      <c r="AQ46" s="140"/>
      <c r="AR46" s="140"/>
      <c r="AS46" s="140"/>
      <c r="AT46" s="140"/>
      <c r="AU46" s="140"/>
      <c r="AV46" s="140"/>
      <c r="AW46" s="777"/>
      <c r="AX46" s="777"/>
      <c r="AY46" s="777"/>
      <c r="AZ46" s="777"/>
      <c r="BA46" s="777"/>
      <c r="BB46" s="140"/>
      <c r="BC46" s="140"/>
      <c r="BD46" s="140"/>
      <c r="BE46" s="140"/>
      <c r="BF46" s="140"/>
      <c r="BG46" s="140"/>
      <c r="BH46" s="140"/>
      <c r="BI46" s="140"/>
      <c r="BJ46" s="140"/>
      <c r="BK46" s="140"/>
    </row>
    <row r="47" spans="1:63" ht="15.6">
      <c r="D47" s="8" t="s">
        <v>342</v>
      </c>
      <c r="E47" s="62">
        <f>SUM(E40:E46)</f>
        <v>1000000</v>
      </c>
      <c r="F47" s="31">
        <f ca="1">SUM(F40:F46)</f>
        <v>2702400</v>
      </c>
      <c r="G47" s="601"/>
      <c r="H47" s="338"/>
      <c r="J47" s="599"/>
      <c r="O47" s="143"/>
      <c r="P47" s="1"/>
      <c r="Q47" s="1"/>
      <c r="Z47" s="245"/>
      <c r="AA47" s="8" t="s">
        <v>865</v>
      </c>
      <c r="AB47" s="462">
        <v>40000</v>
      </c>
      <c r="AF47" s="539"/>
      <c r="AG47" s="1"/>
      <c r="AH47" s="1"/>
      <c r="AI47" s="1"/>
      <c r="AJ47" s="140"/>
      <c r="AK47" s="140"/>
      <c r="AM47" s="140"/>
      <c r="AN47" s="140"/>
      <c r="AO47" s="140"/>
      <c r="AP47" s="140"/>
      <c r="AQ47" s="140"/>
      <c r="AR47" s="140"/>
      <c r="AS47" s="140"/>
      <c r="AT47" s="140"/>
      <c r="AU47" s="140"/>
      <c r="AV47" s="140"/>
      <c r="AW47" s="777"/>
      <c r="AX47" s="777"/>
      <c r="AY47" s="777"/>
      <c r="AZ47" s="777"/>
      <c r="BA47" s="777"/>
      <c r="BB47" s="140"/>
      <c r="BC47" s="140"/>
      <c r="BD47" s="140"/>
      <c r="BE47" s="140"/>
      <c r="BF47" s="140"/>
      <c r="BG47" s="140"/>
      <c r="BH47" s="140"/>
      <c r="BI47" s="140"/>
      <c r="BJ47" s="140"/>
      <c r="BK47" s="140"/>
    </row>
    <row r="48" spans="1:63" ht="15.6">
      <c r="D48" s="8"/>
      <c r="E48" s="62"/>
      <c r="F48" s="31"/>
      <c r="G48" s="601"/>
      <c r="H48" s="338"/>
      <c r="J48" s="599"/>
      <c r="O48" s="143"/>
      <c r="P48" s="1"/>
      <c r="Z48" s="245"/>
      <c r="AA48" s="8" t="s">
        <v>864</v>
      </c>
      <c r="AB48" s="462">
        <v>60000</v>
      </c>
      <c r="AF48" s="539"/>
      <c r="AG48" s="1"/>
      <c r="AH48" s="1"/>
      <c r="AI48" s="1"/>
      <c r="AJ48" s="140"/>
      <c r="AK48" s="140"/>
      <c r="AM48" s="140"/>
      <c r="AN48" s="140"/>
      <c r="AO48" s="140"/>
      <c r="AP48" s="140"/>
      <c r="AQ48" s="140"/>
      <c r="AR48" s="140"/>
      <c r="AS48" s="140"/>
      <c r="AT48" s="140"/>
      <c r="AU48" s="140"/>
      <c r="AV48" s="140"/>
      <c r="AW48" s="777"/>
      <c r="AX48" s="777"/>
      <c r="AY48" s="777"/>
      <c r="AZ48" s="777"/>
      <c r="BA48" s="777"/>
      <c r="BB48" s="140"/>
      <c r="BC48" s="140"/>
      <c r="BD48" s="140"/>
      <c r="BE48" s="140"/>
      <c r="BF48" s="140"/>
      <c r="BG48" s="140"/>
      <c r="BH48" s="140"/>
      <c r="BI48" s="140"/>
      <c r="BJ48" s="140"/>
      <c r="BK48" s="140"/>
    </row>
    <row r="49" spans="1:63" ht="15.6">
      <c r="D49" s="8"/>
      <c r="E49" s="31"/>
      <c r="F49" s="31"/>
      <c r="G49" s="601"/>
      <c r="J49" s="599"/>
      <c r="O49" s="143"/>
      <c r="P49" s="1"/>
      <c r="Y49" s="140"/>
      <c r="Z49" s="245"/>
      <c r="AA49" s="8" t="s">
        <v>1568</v>
      </c>
      <c r="AB49" s="474">
        <v>72</v>
      </c>
      <c r="AC49" s="140"/>
      <c r="AD49" s="140"/>
      <c r="AE49" s="140"/>
      <c r="AF49" s="140"/>
      <c r="AG49" s="140"/>
      <c r="AH49" s="140"/>
      <c r="AI49" s="140"/>
      <c r="AJ49" s="140"/>
      <c r="AK49" s="140"/>
      <c r="AM49" s="140"/>
      <c r="AN49" s="140"/>
      <c r="AO49" s="140"/>
      <c r="AP49" s="140"/>
      <c r="AQ49" s="140"/>
      <c r="AR49" s="140"/>
      <c r="AS49" s="140"/>
      <c r="AT49" s="140"/>
      <c r="AU49" s="140"/>
      <c r="AV49" s="140"/>
      <c r="AW49" s="777"/>
      <c r="AX49" s="777"/>
      <c r="AY49" s="777"/>
      <c r="AZ49" s="777"/>
      <c r="BA49" s="777"/>
      <c r="BB49" s="140"/>
      <c r="BC49" s="140"/>
      <c r="BD49" s="140"/>
      <c r="BE49" s="140"/>
      <c r="BF49" s="140"/>
      <c r="BG49" s="140"/>
      <c r="BH49" s="140"/>
      <c r="BI49" s="140"/>
      <c r="BJ49" s="140"/>
      <c r="BK49" s="140"/>
    </row>
    <row r="50" spans="1:63" ht="19.95" customHeight="1">
      <c r="A50" s="407"/>
      <c r="B50" s="407"/>
      <c r="C50" s="407"/>
      <c r="D50" s="1073" t="s">
        <v>795</v>
      </c>
      <c r="E50" s="31"/>
      <c r="F50" s="31"/>
      <c r="G50" s="601"/>
      <c r="J50" s="599"/>
      <c r="O50" s="143"/>
      <c r="P50" s="1"/>
      <c r="Y50" s="140"/>
      <c r="Z50" s="1407">
        <v>3</v>
      </c>
      <c r="AA50" s="140"/>
      <c r="AB50" s="140"/>
      <c r="AC50" s="140"/>
      <c r="AD50" s="112" t="s">
        <v>1840</v>
      </c>
      <c r="AE50" s="140"/>
      <c r="AF50" s="140"/>
      <c r="AG50" s="140" t="s">
        <v>2040</v>
      </c>
      <c r="AH50" s="140"/>
      <c r="AI50" s="415" t="s">
        <v>768</v>
      </c>
      <c r="AJ50" s="140"/>
      <c r="AK50" s="1409" t="s">
        <v>1786</v>
      </c>
      <c r="AM50" s="140"/>
      <c r="AN50" s="140"/>
      <c r="AO50" s="140"/>
      <c r="AP50" s="140"/>
      <c r="AQ50" s="140"/>
      <c r="AR50" s="140"/>
      <c r="AS50" s="140"/>
      <c r="AT50" s="140"/>
      <c r="AU50" s="140"/>
      <c r="AV50" s="140"/>
      <c r="AW50" s="777"/>
      <c r="AX50" s="777"/>
      <c r="AY50" s="777"/>
      <c r="AZ50" s="777"/>
      <c r="BA50" s="777"/>
      <c r="BB50" s="140"/>
      <c r="BC50" s="140"/>
      <c r="BD50" s="140"/>
      <c r="BE50" s="140"/>
      <c r="BF50" s="140"/>
      <c r="BG50" s="140"/>
      <c r="BH50" s="140"/>
      <c r="BI50" s="140"/>
      <c r="BJ50" s="140"/>
      <c r="BK50" s="140"/>
    </row>
    <row r="51" spans="1:63" ht="19.95" customHeight="1">
      <c r="A51" s="410"/>
      <c r="B51" s="410"/>
      <c r="C51" s="410"/>
      <c r="D51" s="838"/>
      <c r="E51" s="31"/>
      <c r="F51" s="31"/>
      <c r="G51" s="601"/>
      <c r="J51" s="599"/>
      <c r="O51" s="143"/>
      <c r="P51" s="1"/>
      <c r="Y51" s="140"/>
      <c r="Z51" s="245"/>
      <c r="AA51" s="140"/>
      <c r="AB51" s="140"/>
      <c r="AC51" s="140"/>
      <c r="AD51" s="1172" t="s">
        <v>315</v>
      </c>
      <c r="AE51" s="75"/>
      <c r="AF51" s="140"/>
      <c r="AG51" t="s">
        <v>2042</v>
      </c>
      <c r="AH51" s="140"/>
      <c r="AJ51" s="140"/>
      <c r="AK51" s="140"/>
      <c r="AM51" s="140"/>
      <c r="AN51" s="140"/>
      <c r="AO51" s="140"/>
      <c r="AP51" s="140"/>
      <c r="AQ51" s="140"/>
      <c r="AR51" s="140"/>
      <c r="AS51" s="140"/>
      <c r="AT51" s="140"/>
      <c r="AU51" s="140"/>
      <c r="AV51" s="140"/>
      <c r="AW51" s="777"/>
      <c r="AX51" s="777"/>
      <c r="AY51" s="777"/>
      <c r="AZ51" s="777"/>
      <c r="BA51" s="777"/>
      <c r="BB51" s="140"/>
      <c r="BC51" s="140"/>
      <c r="BD51" s="140"/>
      <c r="BE51" s="140"/>
      <c r="BF51" s="140"/>
      <c r="BG51" s="140"/>
      <c r="BH51" s="140"/>
      <c r="BI51" s="140"/>
      <c r="BJ51" s="140"/>
      <c r="BK51" s="140"/>
    </row>
    <row r="52" spans="1:63" ht="15.6">
      <c r="D52" s="8"/>
      <c r="E52" s="31"/>
      <c r="F52" s="31"/>
      <c r="G52" s="601"/>
      <c r="J52" s="599"/>
      <c r="O52" s="143"/>
      <c r="P52" s="1"/>
      <c r="Y52" s="140"/>
      <c r="Z52" s="245"/>
      <c r="AA52" s="140"/>
      <c r="AB52" s="140"/>
      <c r="AC52" s="140"/>
      <c r="AD52" s="140"/>
      <c r="AE52" s="140"/>
      <c r="AF52" s="140"/>
      <c r="AG52" s="140" t="s">
        <v>2104</v>
      </c>
      <c r="AH52" s="140"/>
      <c r="AJ52" s="140"/>
      <c r="AK52" s="140"/>
      <c r="AM52" s="140"/>
      <c r="AN52" s="140"/>
      <c r="AO52" s="140"/>
      <c r="AP52" s="140"/>
      <c r="AQ52" s="140"/>
      <c r="AR52" s="140"/>
      <c r="AS52" s="140"/>
      <c r="AT52" s="140"/>
      <c r="AU52" s="140"/>
      <c r="AV52" s="140"/>
      <c r="AW52" s="777"/>
      <c r="AX52" s="777"/>
      <c r="AY52" s="777"/>
      <c r="AZ52" s="777"/>
      <c r="BA52" s="777"/>
      <c r="BB52" s="140"/>
      <c r="BC52" s="140"/>
      <c r="BD52" s="140"/>
      <c r="BE52" s="140"/>
      <c r="BF52" s="140"/>
      <c r="BG52" s="140"/>
      <c r="BH52" s="140"/>
      <c r="BI52" s="140"/>
      <c r="BJ52" s="140"/>
      <c r="BK52" s="140"/>
    </row>
    <row r="53" spans="1:63" ht="18" customHeight="1" thickBot="1">
      <c r="D53" s="659" t="s">
        <v>138</v>
      </c>
      <c r="E53" s="1597" t="s">
        <v>1578</v>
      </c>
      <c r="F53" s="1363" t="str">
        <f>IF(Use_Class="a"," using account metod"," using asset class method")</f>
        <v xml:space="preserve"> using asset class method</v>
      </c>
      <c r="L53" s="817" t="s">
        <v>796</v>
      </c>
      <c r="M53" s="817"/>
      <c r="N53" s="817"/>
      <c r="Y53" s="140"/>
      <c r="Z53" s="245"/>
      <c r="AA53" s="140"/>
      <c r="AB53" s="140"/>
      <c r="AC53" s="140"/>
      <c r="AD53" s="140"/>
      <c r="AE53" s="140"/>
      <c r="AF53" s="140"/>
      <c r="AG53" s="140"/>
      <c r="AH53" s="140"/>
      <c r="AJ53" s="140"/>
      <c r="AK53" s="140"/>
      <c r="AM53" s="140"/>
      <c r="AN53" s="140"/>
      <c r="AO53" s="140"/>
      <c r="AP53" s="140"/>
      <c r="AQ53" s="140"/>
      <c r="AR53" s="140"/>
      <c r="AS53" s="140"/>
      <c r="AT53" s="140"/>
      <c r="AU53" s="140"/>
      <c r="AV53" s="140"/>
      <c r="AW53" s="777"/>
      <c r="AX53" s="777"/>
      <c r="AY53" s="777"/>
      <c r="AZ53" s="777"/>
      <c r="BA53" s="777"/>
      <c r="BB53" s="140"/>
      <c r="BC53" s="140"/>
      <c r="BD53" s="140"/>
      <c r="BE53" s="140"/>
      <c r="BF53" s="140"/>
      <c r="BG53" s="140"/>
      <c r="BH53" s="140"/>
      <c r="BI53" s="140"/>
      <c r="BJ53" s="140"/>
      <c r="BK53" s="140"/>
    </row>
    <row r="54" spans="1:63" ht="15.6">
      <c r="F54" s="477"/>
      <c r="G54" s="1"/>
      <c r="I54" s="1604" t="s">
        <v>1257</v>
      </c>
      <c r="J54" s="656"/>
      <c r="L54" s="1569" t="s">
        <v>341</v>
      </c>
      <c r="M54" s="1569" t="s">
        <v>977</v>
      </c>
      <c r="N54" s="758"/>
      <c r="Y54" s="140"/>
      <c r="AA54" s="140"/>
      <c r="AB54" s="140"/>
      <c r="AC54" s="140"/>
      <c r="AD54" s="140"/>
      <c r="AE54" s="140"/>
      <c r="AF54" s="140"/>
      <c r="AG54" s="140"/>
      <c r="AH54" s="140"/>
      <c r="AI54" s="140"/>
      <c r="AJ54" s="140"/>
      <c r="AK54" s="821"/>
      <c r="AM54" s="140"/>
      <c r="AN54" s="140"/>
      <c r="AO54" s="140"/>
      <c r="AP54" s="140"/>
      <c r="AQ54" s="140"/>
      <c r="AR54" s="140"/>
      <c r="AS54" s="140"/>
      <c r="AT54" s="140"/>
      <c r="AU54" s="140"/>
      <c r="AV54" s="140"/>
      <c r="AW54" s="777"/>
      <c r="AX54" s="777"/>
      <c r="AY54" s="777"/>
      <c r="AZ54" s="777"/>
      <c r="BA54" s="777"/>
      <c r="BB54" s="140"/>
      <c r="BC54" s="140"/>
      <c r="BD54" s="140"/>
      <c r="BE54" s="140"/>
      <c r="BF54" s="140"/>
      <c r="BG54" s="140"/>
      <c r="BH54" s="140"/>
      <c r="BI54" s="140"/>
      <c r="BJ54" s="140"/>
      <c r="BK54" s="140"/>
    </row>
    <row r="55" spans="1:63" ht="18" thickBot="1">
      <c r="B55" s="1"/>
      <c r="C55" s="1"/>
      <c r="D55" s="659" t="s">
        <v>2165</v>
      </c>
      <c r="E55" s="1558" t="s">
        <v>1332</v>
      </c>
      <c r="F55" s="659" t="s">
        <v>1796</v>
      </c>
      <c r="G55" s="1558" t="s">
        <v>1476</v>
      </c>
      <c r="I55" s="1565" t="s">
        <v>975</v>
      </c>
      <c r="J55" s="1565" t="str">
        <f>IF(OR(Use_Class="c",Change_Age&gt;=0),"Change " &amp; IF(Change_Age&gt;0,Change_Age-Your_Age+First_Year,First_Year),"No Change")</f>
        <v>Change 2037</v>
      </c>
      <c r="L55" s="765">
        <v>0.6</v>
      </c>
      <c r="M55" s="512">
        <v>0.08</v>
      </c>
      <c r="N55" s="164" t="s">
        <v>500</v>
      </c>
      <c r="Y55" s="140"/>
      <c r="Z55" s="245"/>
      <c r="AA55" s="140"/>
      <c r="AB55" s="140"/>
      <c r="AC55" s="140"/>
      <c r="AD55" s="140"/>
      <c r="AE55" s="140"/>
      <c r="AF55" s="140"/>
      <c r="AG55" s="140"/>
      <c r="AH55" s="140"/>
      <c r="AI55" s="140"/>
      <c r="AJ55" s="140"/>
      <c r="AK55" s="140"/>
      <c r="AM55" s="140"/>
      <c r="AN55" s="140"/>
      <c r="AO55" s="140"/>
      <c r="AP55" s="140"/>
      <c r="AQ55" s="140"/>
      <c r="AR55" s="140"/>
      <c r="AS55" s="140"/>
      <c r="AT55" s="140"/>
      <c r="AU55" s="140"/>
      <c r="AV55" s="140"/>
      <c r="AW55" s="777"/>
      <c r="AX55" s="777"/>
      <c r="AY55" s="777"/>
      <c r="AZ55" s="777"/>
      <c r="BA55" s="777"/>
      <c r="BB55" s="140"/>
      <c r="BC55" s="140"/>
      <c r="BD55" s="140"/>
      <c r="BE55" s="140"/>
      <c r="BF55" s="140"/>
      <c r="BG55" s="140"/>
      <c r="BH55" s="140"/>
      <c r="BI55" s="140"/>
      <c r="BJ55" s="140"/>
      <c r="BK55" s="140"/>
    </row>
    <row r="56" spans="1:63" ht="15.6">
      <c r="D56" s="8" t="s">
        <v>1081</v>
      </c>
      <c r="E56" s="512">
        <v>7.0000000000000007E-2</v>
      </c>
      <c r="F56" s="8" t="s">
        <v>758</v>
      </c>
      <c r="G56" s="612">
        <v>7.4999999999999997E-2</v>
      </c>
      <c r="H56" s="1365" t="s">
        <v>1081</v>
      </c>
      <c r="I56" s="660">
        <f t="shared" ref="I56:I61" si="0">IF(Use_Class="a",E56,I66)</f>
        <v>0.05</v>
      </c>
      <c r="J56" s="854">
        <f t="shared" ref="J56:J61" si="1">IF(AND(Use_Class="c",$E$77&gt;0),I79,I56)</f>
        <v>4.1000000000000002E-2</v>
      </c>
      <c r="L56" s="513">
        <v>0.39</v>
      </c>
      <c r="M56" s="513">
        <v>0.04</v>
      </c>
      <c r="N56" s="799" t="s">
        <v>501</v>
      </c>
      <c r="Y56" s="140"/>
      <c r="Z56" s="245"/>
      <c r="AA56" s="140"/>
      <c r="AB56" s="140"/>
      <c r="AC56" s="140"/>
      <c r="AD56" s="140"/>
      <c r="AE56" s="140"/>
      <c r="AF56" s="140"/>
      <c r="AG56" s="140"/>
      <c r="AH56" s="140"/>
      <c r="AI56" s="140"/>
      <c r="AJ56" s="140"/>
      <c r="AK56" s="140"/>
      <c r="AM56" s="140"/>
      <c r="AN56" s="140"/>
      <c r="AO56" s="140"/>
      <c r="AP56" s="140"/>
      <c r="AQ56" s="140"/>
      <c r="AR56" s="140"/>
      <c r="AS56" s="140"/>
      <c r="AT56" s="140"/>
      <c r="AU56" s="140"/>
      <c r="AV56" s="140"/>
      <c r="AW56" s="777"/>
      <c r="AX56" s="777"/>
      <c r="AY56" s="777"/>
      <c r="AZ56" s="777"/>
      <c r="BA56" s="777"/>
      <c r="BB56" s="140"/>
      <c r="BC56" s="140"/>
      <c r="BD56" s="140"/>
      <c r="BE56" s="140"/>
      <c r="BF56" s="140"/>
      <c r="BG56" s="140"/>
      <c r="BH56" s="140"/>
      <c r="BI56" s="140"/>
      <c r="BJ56" s="140"/>
      <c r="BK56" s="140"/>
    </row>
    <row r="57" spans="1:63" ht="15.6">
      <c r="D57" s="8" t="s">
        <v>1031</v>
      </c>
      <c r="E57" s="513">
        <v>5.5E-2</v>
      </c>
      <c r="F57" s="8" t="s">
        <v>1487</v>
      </c>
      <c r="G57" s="513">
        <v>4.4999999999999998E-2</v>
      </c>
      <c r="H57" s="8" t="s">
        <v>1031</v>
      </c>
      <c r="I57" s="591">
        <f t="shared" si="0"/>
        <v>6.5000000000000002E-2</v>
      </c>
      <c r="J57" s="854">
        <f t="shared" si="1"/>
        <v>5.6000000000000001E-2</v>
      </c>
      <c r="L57" s="513">
        <v>0</v>
      </c>
      <c r="M57" s="513">
        <v>0.04</v>
      </c>
      <c r="N57" s="799" t="s">
        <v>845</v>
      </c>
      <c r="Y57" s="140"/>
      <c r="Z57" s="245"/>
      <c r="AA57" s="140"/>
      <c r="AB57" s="140"/>
      <c r="AC57" s="140"/>
      <c r="AD57" s="140"/>
      <c r="AE57" s="140"/>
      <c r="AF57" s="140"/>
      <c r="AG57" s="140"/>
      <c r="AH57" s="140"/>
      <c r="AI57" s="140"/>
      <c r="AJ57" s="140"/>
      <c r="AK57" s="140"/>
      <c r="AM57" s="140"/>
      <c r="AN57" s="140"/>
      <c r="AO57" s="140"/>
      <c r="AP57" s="140"/>
      <c r="AQ57" s="140"/>
      <c r="AR57" s="140"/>
      <c r="AS57" s="140"/>
      <c r="AT57" s="140"/>
      <c r="AU57" s="140"/>
      <c r="AV57" s="140"/>
      <c r="AW57" s="777"/>
      <c r="AX57" s="777"/>
      <c r="AY57" s="777"/>
      <c r="AZ57" s="777"/>
      <c r="BA57" s="777"/>
      <c r="BB57" s="140"/>
      <c r="BC57" s="140"/>
      <c r="BD57" s="140"/>
      <c r="BE57" s="140"/>
      <c r="BF57" s="140"/>
      <c r="BG57" s="140"/>
      <c r="BH57" s="140"/>
      <c r="BI57" s="140"/>
      <c r="BJ57" s="140"/>
      <c r="BK57" s="140"/>
    </row>
    <row r="58" spans="1:63" ht="15.6">
      <c r="D58" s="8" t="s">
        <v>522</v>
      </c>
      <c r="E58" s="513">
        <v>0.05</v>
      </c>
      <c r="F58" s="8" t="s">
        <v>846</v>
      </c>
      <c r="G58" s="513">
        <v>0.03</v>
      </c>
      <c r="H58" s="8" t="s">
        <v>522</v>
      </c>
      <c r="I58" s="591">
        <f t="shared" si="0"/>
        <v>5.8999999999999997E-2</v>
      </c>
      <c r="J58" s="854">
        <f t="shared" si="1"/>
        <v>5.2999999999999999E-2</v>
      </c>
      <c r="L58" s="513">
        <v>0.01</v>
      </c>
      <c r="M58" s="513">
        <v>8.0000000000000002E-3</v>
      </c>
      <c r="N58" s="799" t="s">
        <v>711</v>
      </c>
      <c r="Y58" s="140"/>
      <c r="Z58" s="245"/>
      <c r="AA58" s="140"/>
      <c r="AB58" s="140"/>
      <c r="AC58" s="140"/>
      <c r="AD58" s="140"/>
      <c r="AE58" s="140"/>
      <c r="AF58" s="140"/>
      <c r="AG58" s="140"/>
      <c r="AH58" s="140"/>
      <c r="AI58" s="140"/>
      <c r="AJ58" s="140"/>
      <c r="AK58" s="140"/>
      <c r="AM58" s="140"/>
      <c r="AN58" s="140"/>
      <c r="AO58" s="140"/>
      <c r="AP58" s="140"/>
      <c r="AQ58" s="140"/>
      <c r="AR58" s="140"/>
      <c r="AS58" s="140"/>
      <c r="AT58" s="140"/>
      <c r="AU58" s="140"/>
      <c r="AV58" s="140"/>
      <c r="AW58" s="777"/>
      <c r="AX58" s="777"/>
      <c r="AY58" s="777"/>
      <c r="AZ58" s="777"/>
      <c r="BA58" s="777"/>
      <c r="BB58" s="140"/>
      <c r="BC58" s="140"/>
      <c r="BD58" s="140"/>
      <c r="BE58" s="140"/>
      <c r="BF58" s="140"/>
      <c r="BG58" s="140"/>
      <c r="BH58" s="140"/>
      <c r="BI58" s="140"/>
      <c r="BJ58" s="140"/>
      <c r="BK58" s="140"/>
    </row>
    <row r="59" spans="1:63" ht="15.6">
      <c r="C59" s="747" t="str">
        <f>IF(AND(Include_Roth="y",Roth_Return=0),"Alert: 0% earnings rate for Roth conversion account",".")</f>
        <v>.</v>
      </c>
      <c r="D59" s="454" t="s">
        <v>763</v>
      </c>
      <c r="E59" s="513">
        <v>0.05</v>
      </c>
      <c r="F59" s="8" t="s">
        <v>1020</v>
      </c>
      <c r="G59" s="513">
        <v>1.4999999999999999E-2</v>
      </c>
      <c r="H59" s="454" t="s">
        <v>763</v>
      </c>
      <c r="I59" s="591">
        <f t="shared" si="0"/>
        <v>6.2E-2</v>
      </c>
      <c r="J59" s="854">
        <f t="shared" si="1"/>
        <v>5.2999999999999999E-2</v>
      </c>
      <c r="L59" s="513">
        <v>0</v>
      </c>
      <c r="M59" s="513">
        <v>0</v>
      </c>
      <c r="N59" s="799" t="s">
        <v>614</v>
      </c>
      <c r="Y59" s="140"/>
      <c r="Z59" s="245"/>
      <c r="AA59" s="140"/>
      <c r="AB59" s="140"/>
      <c r="AC59" s="140"/>
      <c r="AD59" s="140"/>
      <c r="AE59" s="140"/>
      <c r="AF59" s="140"/>
      <c r="AG59" s="140"/>
      <c r="AH59" s="140"/>
      <c r="AI59" s="140"/>
      <c r="AJ59" s="140"/>
      <c r="AK59" s="140"/>
      <c r="AM59" s="140"/>
      <c r="AN59" s="140"/>
      <c r="AO59" s="140"/>
      <c r="AP59" s="140"/>
      <c r="AQ59" s="140"/>
      <c r="AR59" s="140"/>
      <c r="AS59" s="140"/>
      <c r="AT59" s="140"/>
      <c r="AU59" s="140"/>
      <c r="AV59" s="140"/>
      <c r="AW59" s="777"/>
      <c r="AX59" s="777"/>
      <c r="AY59" s="777"/>
      <c r="AZ59" s="777"/>
      <c r="BA59" s="777"/>
      <c r="BB59" s="140"/>
      <c r="BC59" s="140"/>
      <c r="BD59" s="140"/>
      <c r="BE59" s="140"/>
      <c r="BF59" s="140"/>
      <c r="BG59" s="140"/>
      <c r="BH59" s="140"/>
      <c r="BI59" s="140"/>
      <c r="BJ59" s="140"/>
      <c r="BK59" s="140"/>
    </row>
    <row r="60" spans="1:63" ht="15.6">
      <c r="B60" s="1443" t="s">
        <v>2027</v>
      </c>
      <c r="C60" s="747"/>
      <c r="D60" s="454" t="s">
        <v>764</v>
      </c>
      <c r="E60" s="513">
        <v>4.4999999999999998E-2</v>
      </c>
      <c r="F60" s="8"/>
      <c r="G60" s="926" t="str">
        <f>IF(Use_Class="a","not using","using")</f>
        <v>using</v>
      </c>
      <c r="H60" s="454" t="s">
        <v>764</v>
      </c>
      <c r="I60" s="591">
        <f t="shared" si="0"/>
        <v>5.7000000000000002E-2</v>
      </c>
      <c r="J60" s="854">
        <f t="shared" si="1"/>
        <v>5.2999999999999999E-2</v>
      </c>
      <c r="L60" s="766">
        <f>SUM(L55:L59)</f>
        <v>1</v>
      </c>
      <c r="M60" s="767">
        <f>+(100*L55*M55+100*L56*M56+100*L57*M57+100*L58*M58+100*L59*M59)/100</f>
        <v>6.368E-2</v>
      </c>
      <c r="N60" s="143" t="s">
        <v>1332</v>
      </c>
      <c r="P60" s="144"/>
      <c r="Q60" s="1"/>
      <c r="Y60" s="140"/>
      <c r="Z60" s="245"/>
      <c r="AA60" s="140"/>
      <c r="AB60" s="140"/>
      <c r="AC60" s="140"/>
      <c r="AD60" s="140"/>
      <c r="AE60" s="140"/>
      <c r="AF60" s="140"/>
      <c r="AG60" s="140"/>
      <c r="AH60" s="140"/>
      <c r="AI60" s="140"/>
      <c r="AJ60" s="140"/>
      <c r="AK60" s="140"/>
      <c r="AM60" s="140"/>
      <c r="AN60" s="140"/>
      <c r="AO60" s="140"/>
      <c r="AP60" s="140"/>
      <c r="AQ60" s="140"/>
      <c r="AR60" s="140"/>
      <c r="AS60" s="140"/>
      <c r="AT60" s="140"/>
      <c r="AU60" s="140"/>
      <c r="AV60" s="140"/>
      <c r="AW60" s="777"/>
      <c r="AX60" s="777"/>
      <c r="AY60" s="777"/>
      <c r="AZ60" s="777"/>
      <c r="BA60" s="777"/>
      <c r="BB60" s="140"/>
      <c r="BC60" s="140"/>
      <c r="BD60" s="140"/>
      <c r="BE60" s="140"/>
      <c r="BF60" s="140"/>
      <c r="BG60" s="140"/>
      <c r="BH60" s="140"/>
      <c r="BI60" s="140"/>
      <c r="BJ60" s="140"/>
      <c r="BK60" s="140"/>
    </row>
    <row r="61" spans="1:63" ht="15.6">
      <c r="B61" s="1443" t="s">
        <v>2027</v>
      </c>
      <c r="C61" s="747"/>
      <c r="D61" s="454" t="s">
        <v>323</v>
      </c>
      <c r="E61" s="513">
        <v>0.05</v>
      </c>
      <c r="F61" s="8"/>
      <c r="G61" s="591"/>
      <c r="H61" s="454" t="s">
        <v>2025</v>
      </c>
      <c r="I61" s="591">
        <f t="shared" si="0"/>
        <v>6.3E-2</v>
      </c>
      <c r="J61" s="854">
        <f t="shared" si="1"/>
        <v>5.2999999999999999E-2</v>
      </c>
      <c r="L61" s="591"/>
      <c r="M61" s="591"/>
      <c r="N61" s="799"/>
      <c r="P61" s="144"/>
      <c r="Q61" s="1"/>
      <c r="Y61" s="140"/>
      <c r="Z61" s="245"/>
      <c r="AA61" s="140"/>
      <c r="AB61" s="140"/>
      <c r="AC61" s="140"/>
      <c r="AD61" s="140"/>
      <c r="AE61" s="140"/>
      <c r="AF61" s="140"/>
      <c r="AG61" s="140"/>
      <c r="AH61" s="140"/>
      <c r="AI61" s="140"/>
      <c r="AJ61" s="140"/>
      <c r="AK61" s="140"/>
      <c r="AM61" s="140"/>
      <c r="AN61" s="140"/>
      <c r="AO61" s="140"/>
      <c r="AP61" s="140"/>
      <c r="AQ61" s="140"/>
      <c r="AR61" s="140"/>
      <c r="AS61" s="140"/>
      <c r="AT61" s="140"/>
      <c r="AU61" s="140"/>
      <c r="AV61" s="140"/>
      <c r="AW61" s="777"/>
      <c r="AX61" s="777"/>
      <c r="AY61" s="777"/>
      <c r="AZ61" s="777"/>
      <c r="BA61" s="777"/>
      <c r="BB61" s="140"/>
      <c r="BC61" s="140"/>
      <c r="BD61" s="140"/>
      <c r="BE61" s="140"/>
      <c r="BF61" s="140"/>
      <c r="BG61" s="140"/>
      <c r="BH61" s="140"/>
      <c r="BI61" s="140"/>
      <c r="BJ61" s="140"/>
      <c r="BK61" s="140"/>
    </row>
    <row r="62" spans="1:63" ht="15.6">
      <c r="B62" s="477"/>
      <c r="D62" s="8"/>
      <c r="E62" s="1364" t="str">
        <f>IF(Use_Class="a","using","not using")</f>
        <v>not using</v>
      </c>
      <c r="T62" s="776"/>
      <c r="U62" s="776"/>
      <c r="V62" s="776"/>
      <c r="W62" s="776"/>
      <c r="X62" s="212"/>
      <c r="Y62" s="140"/>
      <c r="Z62" s="245"/>
      <c r="AA62" s="140"/>
      <c r="AB62" s="140"/>
      <c r="AC62" s="140"/>
      <c r="AD62" s="140"/>
      <c r="AE62" s="140"/>
      <c r="AF62" s="140"/>
      <c r="AG62" s="140"/>
      <c r="AH62" s="140"/>
      <c r="AI62" s="140"/>
      <c r="AJ62" s="140"/>
      <c r="AK62" s="140"/>
      <c r="AM62" s="140"/>
      <c r="AN62" s="140"/>
      <c r="AO62" s="140"/>
      <c r="AP62" s="140"/>
      <c r="AQ62" s="140"/>
      <c r="AR62" s="140"/>
      <c r="AS62" s="140"/>
      <c r="AT62" s="140"/>
      <c r="AU62" s="140"/>
      <c r="AV62" s="140"/>
      <c r="AW62" s="777"/>
      <c r="AX62" s="777"/>
      <c r="AY62" s="777"/>
      <c r="AZ62" s="777"/>
      <c r="BA62" s="777"/>
      <c r="BB62" s="140"/>
      <c r="BC62" s="140"/>
      <c r="BD62" s="140"/>
      <c r="BE62" s="140"/>
      <c r="BF62" s="140"/>
      <c r="BG62" s="140"/>
      <c r="BH62" s="140"/>
      <c r="BI62" s="140"/>
      <c r="BJ62" s="140"/>
      <c r="BK62" s="140"/>
    </row>
    <row r="63" spans="1:63" ht="19.95" customHeight="1">
      <c r="S63" s="776"/>
      <c r="T63" s="776"/>
      <c r="U63" s="776"/>
      <c r="V63" s="776"/>
      <c r="W63" s="776"/>
      <c r="X63" s="212"/>
      <c r="Y63" s="140"/>
      <c r="Z63" s="245"/>
      <c r="AA63" s="140" t="s">
        <v>2173</v>
      </c>
      <c r="AB63" s="140"/>
      <c r="AC63" s="140"/>
      <c r="AD63" s="140"/>
      <c r="AE63" s="140"/>
      <c r="AF63" s="140"/>
      <c r="AG63" s="140"/>
      <c r="AH63" s="140"/>
      <c r="AI63" s="140"/>
      <c r="AJ63" s="140"/>
      <c r="AK63" s="140"/>
      <c r="AM63" s="140"/>
      <c r="AN63" s="140"/>
      <c r="AO63" s="140"/>
      <c r="AP63" s="140"/>
      <c r="AQ63" s="140"/>
      <c r="AR63" s="140"/>
      <c r="AS63" s="140"/>
      <c r="AT63" s="140"/>
      <c r="AU63" s="140"/>
      <c r="AV63" s="140"/>
      <c r="AW63" s="777"/>
      <c r="AX63" s="777"/>
      <c r="AY63" s="777"/>
      <c r="AZ63" s="777"/>
      <c r="BA63" s="777"/>
      <c r="BB63" s="140"/>
      <c r="BC63" s="140"/>
      <c r="BD63" s="140"/>
      <c r="BE63" s="140"/>
      <c r="BF63" s="140"/>
      <c r="BG63" s="140"/>
      <c r="BH63" s="140"/>
      <c r="BI63" s="140"/>
      <c r="BJ63" s="140"/>
      <c r="BK63" s="140"/>
    </row>
    <row r="64" spans="1:63" ht="17.399999999999999">
      <c r="D64" s="659" t="s">
        <v>2163</v>
      </c>
      <c r="F64" s="658"/>
      <c r="H64" s="1570" t="s">
        <v>711</v>
      </c>
      <c r="I64" s="1571" t="s">
        <v>344</v>
      </c>
      <c r="J64" s="1572" t="s">
        <v>1032</v>
      </c>
      <c r="K64" s="1572"/>
      <c r="L64" s="1572"/>
      <c r="M64" s="789"/>
      <c r="N64" s="789"/>
      <c r="R64" s="1"/>
      <c r="S64" s="1"/>
      <c r="T64" s="776"/>
      <c r="U64" s="776"/>
      <c r="V64" s="776"/>
      <c r="W64" s="776"/>
      <c r="X64" s="212"/>
      <c r="Y64" s="140"/>
      <c r="Z64" s="245"/>
      <c r="AA64" s="140"/>
      <c r="AB64" s="140"/>
      <c r="AC64" s="140"/>
      <c r="AD64" s="140"/>
      <c r="AE64" s="140"/>
      <c r="AF64" s="140"/>
      <c r="AG64" s="140"/>
      <c r="AH64" s="140"/>
      <c r="AI64" s="140"/>
      <c r="AJ64" s="140"/>
      <c r="AK64" s="140"/>
      <c r="AM64" s="140"/>
      <c r="AN64" s="140"/>
      <c r="AO64" s="140"/>
      <c r="AP64" s="140"/>
      <c r="AQ64" s="140"/>
      <c r="AR64" s="140"/>
      <c r="AS64" s="140"/>
      <c r="AT64" s="140"/>
      <c r="AU64" s="140"/>
      <c r="AV64" s="140"/>
      <c r="AW64" s="777"/>
      <c r="AX64" s="777"/>
      <c r="AY64" s="777"/>
      <c r="AZ64" s="777"/>
      <c r="BA64" s="777"/>
      <c r="BB64" s="140"/>
      <c r="BC64" s="140"/>
      <c r="BD64" s="140"/>
      <c r="BE64" s="140"/>
      <c r="BF64" s="140"/>
      <c r="BG64" s="140"/>
      <c r="BH64" s="140"/>
      <c r="BI64" s="140"/>
      <c r="BJ64" s="140"/>
      <c r="BK64" s="140"/>
    </row>
    <row r="65" spans="2:63" ht="18" thickBot="1">
      <c r="B65" s="477"/>
      <c r="D65" s="659" t="s">
        <v>2162</v>
      </c>
      <c r="E65" s="1558" t="s">
        <v>756</v>
      </c>
      <c r="F65" s="1558" t="s">
        <v>757</v>
      </c>
      <c r="G65" s="1558" t="s">
        <v>845</v>
      </c>
      <c r="H65" s="1558" t="s">
        <v>847</v>
      </c>
      <c r="I65" s="1558" t="s">
        <v>977</v>
      </c>
      <c r="J65" s="1565" t="s">
        <v>635</v>
      </c>
      <c r="K65" s="1558" t="s">
        <v>756</v>
      </c>
      <c r="L65" s="1558" t="s">
        <v>757</v>
      </c>
      <c r="M65" s="1558" t="s">
        <v>845</v>
      </c>
      <c r="N65" s="1558" t="s">
        <v>848</v>
      </c>
      <c r="T65" s="140"/>
      <c r="U65" s="140"/>
      <c r="V65" s="140"/>
      <c r="W65" s="140"/>
      <c r="X65" s="140"/>
      <c r="Y65" s="140"/>
      <c r="Z65" s="245"/>
      <c r="AA65" s="140"/>
      <c r="AB65" s="140"/>
      <c r="AC65" s="140"/>
      <c r="AD65" s="140"/>
      <c r="AE65" s="140"/>
      <c r="AF65" s="140"/>
      <c r="AG65" s="140"/>
      <c r="AH65" s="140"/>
      <c r="AI65" s="140"/>
      <c r="AJ65" s="140"/>
      <c r="AK65" s="140"/>
      <c r="AM65" s="140"/>
      <c r="AN65" s="140"/>
      <c r="AO65" s="140"/>
      <c r="AP65" s="140"/>
      <c r="AQ65" s="140"/>
      <c r="AR65" s="140"/>
      <c r="AS65" s="140"/>
      <c r="AT65" s="140"/>
      <c r="AU65" s="140"/>
      <c r="AV65" s="140"/>
      <c r="AW65" s="777"/>
      <c r="AX65" s="777"/>
      <c r="AY65" s="777"/>
      <c r="AZ65" s="777"/>
      <c r="BA65" s="777"/>
      <c r="BB65" s="140"/>
      <c r="BC65" s="140"/>
      <c r="BD65" s="140"/>
      <c r="BE65" s="140"/>
      <c r="BF65" s="140"/>
      <c r="BG65" s="140"/>
      <c r="BH65" s="140"/>
      <c r="BI65" s="140"/>
      <c r="BJ65" s="140"/>
      <c r="BK65" s="140"/>
    </row>
    <row r="66" spans="2:63" ht="15.6">
      <c r="B66" s="477"/>
      <c r="C66" s="555"/>
      <c r="D66" s="657" t="s">
        <v>1081</v>
      </c>
      <c r="E66" s="600">
        <v>0.45</v>
      </c>
      <c r="F66" s="600">
        <v>0</v>
      </c>
      <c r="G66" s="600">
        <v>0.5</v>
      </c>
      <c r="H66" s="859">
        <f t="shared" ref="H66:H71" si="2">ROUND((1-E66-F66-G66),3)</f>
        <v>0.05</v>
      </c>
      <c r="I66" s="591">
        <f>ROUND(+G$56*E66+G$57*F66+G$58*G66+G$59*H66,3)</f>
        <v>0.05</v>
      </c>
      <c r="J66" s="31">
        <f>+Taxable_Begin</f>
        <v>200000</v>
      </c>
      <c r="K66" s="31">
        <f t="shared" ref="K66:M69" si="3">ROUND((+E66*$J66)/Round_To,0)*Round_To</f>
        <v>90000</v>
      </c>
      <c r="L66" s="31">
        <f t="shared" si="3"/>
        <v>0</v>
      </c>
      <c r="M66" s="31">
        <f t="shared" si="3"/>
        <v>100000</v>
      </c>
      <c r="N66" s="31">
        <f t="shared" ref="N66:N71" si="4">+J66-K66-L66-M66</f>
        <v>10000</v>
      </c>
      <c r="T66" s="140"/>
      <c r="U66" s="140"/>
      <c r="V66" s="140"/>
      <c r="W66" s="140"/>
      <c r="X66" s="140"/>
      <c r="Y66" s="140"/>
      <c r="Z66" s="245"/>
      <c r="AA66" s="140"/>
      <c r="AB66" s="140"/>
      <c r="AC66" s="140"/>
      <c r="AD66" s="140"/>
      <c r="AE66" s="140"/>
      <c r="AF66" s="140"/>
      <c r="AG66" s="140"/>
      <c r="AH66" s="140"/>
      <c r="AI66" s="140"/>
      <c r="AJ66" s="140"/>
      <c r="AK66" s="140"/>
      <c r="AM66" s="140"/>
      <c r="AN66" s="140"/>
      <c r="AO66" s="140"/>
      <c r="AP66" s="140"/>
      <c r="AQ66" s="140"/>
      <c r="AR66" s="140"/>
      <c r="AS66" s="140"/>
      <c r="AT66" s="140"/>
      <c r="AU66" s="140"/>
      <c r="AV66" s="140"/>
      <c r="AW66" s="777"/>
      <c r="AX66" s="777"/>
      <c r="AY66" s="777"/>
      <c r="AZ66" s="777"/>
      <c r="BA66" s="777"/>
      <c r="BB66" s="140"/>
      <c r="BC66" s="140"/>
      <c r="BD66" s="140"/>
      <c r="BE66" s="140"/>
      <c r="BF66" s="140"/>
      <c r="BG66" s="140"/>
      <c r="BH66" s="140"/>
      <c r="BI66" s="140"/>
      <c r="BJ66" s="140"/>
      <c r="BK66" s="140"/>
    </row>
    <row r="67" spans="2:63" ht="15.6">
      <c r="B67" s="477"/>
      <c r="C67" s="555"/>
      <c r="D67" s="8" t="s">
        <v>1031</v>
      </c>
      <c r="E67" s="598">
        <v>0.65</v>
      </c>
      <c r="F67" s="598">
        <v>0.35</v>
      </c>
      <c r="G67" s="857"/>
      <c r="H67" s="591">
        <f t="shared" si="2"/>
        <v>0</v>
      </c>
      <c r="I67" s="591">
        <f>ROUND(+G$56*E67+G$57*F67+G$59*H67,3)</f>
        <v>6.5000000000000002E-2</v>
      </c>
      <c r="J67" s="31">
        <f>+tIRA_Begin</f>
        <v>500000</v>
      </c>
      <c r="K67" s="31">
        <f t="shared" si="3"/>
        <v>325000</v>
      </c>
      <c r="L67" s="31">
        <f t="shared" si="3"/>
        <v>175000</v>
      </c>
      <c r="M67" s="31">
        <f t="shared" si="3"/>
        <v>0</v>
      </c>
      <c r="N67" s="31">
        <f t="shared" si="4"/>
        <v>0</v>
      </c>
      <c r="T67" s="140"/>
      <c r="U67" s="140"/>
      <c r="V67" s="140"/>
      <c r="W67" s="140"/>
      <c r="X67" s="140"/>
      <c r="Y67" s="140"/>
      <c r="Z67" s="245"/>
      <c r="AA67" s="140"/>
      <c r="AB67" s="140"/>
      <c r="AC67" s="140"/>
      <c r="AD67" s="140"/>
      <c r="AE67" s="140"/>
      <c r="AF67" s="140"/>
      <c r="AG67" s="140"/>
      <c r="AH67" s="140"/>
      <c r="AI67" s="140"/>
      <c r="AJ67" s="140"/>
      <c r="AK67" s="140"/>
      <c r="AM67" s="140"/>
      <c r="AN67" s="140"/>
      <c r="AO67" s="140"/>
      <c r="AP67" s="140"/>
      <c r="AQ67" s="140"/>
      <c r="AR67" s="140"/>
      <c r="AS67" s="140"/>
      <c r="AT67" s="140"/>
      <c r="AU67" s="140"/>
      <c r="AV67" s="140"/>
      <c r="AW67" s="777"/>
      <c r="AX67" s="777"/>
      <c r="AY67" s="777"/>
      <c r="AZ67" s="777"/>
      <c r="BA67" s="777"/>
      <c r="BB67" s="140"/>
      <c r="BC67" s="140"/>
      <c r="BD67" s="140"/>
      <c r="BE67" s="140"/>
      <c r="BF67" s="140"/>
      <c r="BG67" s="140"/>
      <c r="BH67" s="140"/>
      <c r="BI67" s="140"/>
      <c r="BJ67" s="140"/>
      <c r="BK67" s="140"/>
    </row>
    <row r="68" spans="2:63" ht="15.6">
      <c r="B68" s="477"/>
      <c r="C68" s="555"/>
      <c r="D68" s="8" t="s">
        <v>522</v>
      </c>
      <c r="E68" s="513">
        <v>0.5</v>
      </c>
      <c r="F68" s="513">
        <v>0.45</v>
      </c>
      <c r="G68" s="858"/>
      <c r="H68" s="591">
        <f t="shared" si="2"/>
        <v>0.05</v>
      </c>
      <c r="I68" s="591">
        <f>ROUND(+G$56*E68+G$57*F68+G$59*H68,3)</f>
        <v>5.8999999999999997E-2</v>
      </c>
      <c r="J68" s="31">
        <f>+tIRA_Begin2</f>
        <v>200000</v>
      </c>
      <c r="K68" s="31">
        <f t="shared" si="3"/>
        <v>100000</v>
      </c>
      <c r="L68" s="31">
        <f t="shared" si="3"/>
        <v>90000</v>
      </c>
      <c r="M68" s="31">
        <f t="shared" si="3"/>
        <v>0</v>
      </c>
      <c r="N68" s="31">
        <f t="shared" si="4"/>
        <v>10000</v>
      </c>
      <c r="T68" s="140"/>
      <c r="U68" s="140"/>
      <c r="V68" s="140"/>
      <c r="W68" s="140"/>
      <c r="X68" s="140"/>
      <c r="Y68" s="140"/>
      <c r="Z68" s="245"/>
      <c r="AA68" s="140"/>
      <c r="AB68" s="140"/>
      <c r="AC68" s="140"/>
      <c r="AD68" s="140"/>
      <c r="AE68" s="140"/>
      <c r="AF68" s="140"/>
      <c r="AG68" s="140"/>
      <c r="AH68" s="140"/>
      <c r="AI68" s="140"/>
      <c r="AJ68" s="140"/>
      <c r="AK68" s="140"/>
      <c r="AM68" s="140"/>
      <c r="AN68" s="140"/>
      <c r="AO68" s="140"/>
      <c r="AP68" s="140"/>
      <c r="AQ68" s="140"/>
      <c r="AR68" s="140"/>
      <c r="AS68" s="140"/>
      <c r="AT68" s="140"/>
      <c r="AU68" s="140"/>
      <c r="AV68" s="140"/>
      <c r="AW68" s="777"/>
      <c r="AX68" s="777"/>
      <c r="AY68" s="777"/>
      <c r="AZ68" s="777"/>
      <c r="BA68" s="777"/>
      <c r="BB68" s="140"/>
      <c r="BC68" s="140"/>
      <c r="BD68" s="140"/>
      <c r="BE68" s="140"/>
      <c r="BF68" s="140"/>
      <c r="BG68" s="140"/>
      <c r="BH68" s="140"/>
      <c r="BI68" s="140"/>
      <c r="BJ68" s="140"/>
      <c r="BK68" s="140"/>
    </row>
    <row r="69" spans="2:63" ht="15.6">
      <c r="B69" s="477"/>
      <c r="D69" s="454" t="s">
        <v>763</v>
      </c>
      <c r="E69" s="598">
        <v>0.6</v>
      </c>
      <c r="F69" s="598">
        <v>0.35</v>
      </c>
      <c r="G69" s="858"/>
      <c r="H69" s="591">
        <f t="shared" si="2"/>
        <v>0.05</v>
      </c>
      <c r="I69" s="591">
        <f>ROUND(+G$56*E69+G$57*F69+G$59*H69,3)</f>
        <v>6.2E-2</v>
      </c>
      <c r="J69" s="88">
        <f>Roth_Begin</f>
        <v>75000</v>
      </c>
      <c r="K69" s="88">
        <f t="shared" si="3"/>
        <v>45000</v>
      </c>
      <c r="L69" s="88">
        <f t="shared" si="3"/>
        <v>26300</v>
      </c>
      <c r="M69" s="88">
        <f t="shared" si="3"/>
        <v>0</v>
      </c>
      <c r="N69" s="88">
        <f t="shared" si="4"/>
        <v>3700</v>
      </c>
      <c r="T69" s="140"/>
      <c r="U69" s="140"/>
      <c r="V69" s="140"/>
      <c r="W69" s="140"/>
      <c r="X69" s="140"/>
      <c r="Y69" s="140"/>
      <c r="Z69" s="245"/>
      <c r="AA69" s="140"/>
      <c r="AB69" s="140"/>
      <c r="AC69" s="140"/>
      <c r="AD69" s="140"/>
      <c r="AE69" s="140"/>
      <c r="AF69" s="140"/>
      <c r="AG69" s="140"/>
      <c r="AH69" s="140"/>
      <c r="AI69" s="140"/>
      <c r="AJ69" s="140"/>
      <c r="AK69" s="140"/>
      <c r="AM69" s="140"/>
      <c r="AN69" s="140"/>
      <c r="AO69" s="140"/>
      <c r="AP69" s="140"/>
      <c r="AQ69" s="140"/>
      <c r="AR69" s="140"/>
      <c r="AS69" s="140"/>
      <c r="AT69" s="140"/>
      <c r="AU69" s="140"/>
      <c r="AV69" s="140"/>
      <c r="AW69" s="777"/>
      <c r="AX69" s="777"/>
      <c r="AY69" s="777"/>
      <c r="AZ69" s="777"/>
      <c r="BA69" s="777"/>
      <c r="BB69" s="140"/>
      <c r="BC69" s="140"/>
      <c r="BD69" s="140"/>
      <c r="BE69" s="140"/>
      <c r="BF69" s="140"/>
      <c r="BG69" s="140"/>
      <c r="BH69" s="140"/>
      <c r="BI69" s="140"/>
      <c r="BJ69" s="140"/>
      <c r="BK69" s="140"/>
    </row>
    <row r="70" spans="2:63" ht="15.6">
      <c r="B70" s="1443" t="s">
        <v>2027</v>
      </c>
      <c r="D70" s="454" t="s">
        <v>764</v>
      </c>
      <c r="E70" s="598">
        <v>0.55000000000000004</v>
      </c>
      <c r="F70" s="598">
        <v>0.3</v>
      </c>
      <c r="G70" s="858"/>
      <c r="H70" s="591">
        <f t="shared" si="2"/>
        <v>0.15</v>
      </c>
      <c r="I70" s="591">
        <f>ROUND(+G$56*E70+G$57*F70+G$59*H70,3)</f>
        <v>5.7000000000000002E-2</v>
      </c>
      <c r="J70" s="88">
        <f>Roth2_Begin</f>
        <v>25000</v>
      </c>
      <c r="K70" s="88">
        <f t="shared" ref="K70:M71" si="5">ROUND((+E70*$J70)/Round_To,0)*Round_To</f>
        <v>13800</v>
      </c>
      <c r="L70" s="88">
        <f t="shared" si="5"/>
        <v>7500</v>
      </c>
      <c r="M70" s="88">
        <f t="shared" si="5"/>
        <v>0</v>
      </c>
      <c r="N70" s="88">
        <f t="shared" si="4"/>
        <v>3700</v>
      </c>
      <c r="T70" s="140"/>
      <c r="U70" s="140"/>
      <c r="V70" s="140"/>
      <c r="W70" s="140"/>
      <c r="X70" s="140"/>
      <c r="Y70" s="140"/>
      <c r="Z70" s="245"/>
      <c r="AA70" s="140"/>
      <c r="AB70" s="140"/>
      <c r="AC70" s="140"/>
      <c r="AD70" s="140"/>
      <c r="AE70" s="140"/>
      <c r="AF70" s="140"/>
      <c r="AG70" s="140"/>
      <c r="AH70" s="140"/>
      <c r="AI70" s="140"/>
      <c r="AJ70" s="140"/>
      <c r="AK70" s="140"/>
      <c r="AM70" s="140"/>
      <c r="AN70" s="140"/>
      <c r="AO70" s="140"/>
      <c r="AP70" s="140"/>
      <c r="AQ70" s="140"/>
      <c r="AR70" s="140"/>
      <c r="AS70" s="140"/>
      <c r="AT70" s="140"/>
      <c r="AU70" s="140"/>
      <c r="AV70" s="140"/>
      <c r="AW70" s="777"/>
      <c r="AX70" s="777"/>
      <c r="AY70" s="777"/>
      <c r="AZ70" s="777"/>
      <c r="BA70" s="777"/>
      <c r="BB70" s="140"/>
      <c r="BC70" s="140"/>
      <c r="BD70" s="140"/>
      <c r="BE70" s="140"/>
      <c r="BF70" s="140"/>
      <c r="BG70" s="140"/>
      <c r="BH70" s="140"/>
      <c r="BI70" s="140"/>
      <c r="BJ70" s="140"/>
      <c r="BK70" s="140"/>
    </row>
    <row r="71" spans="2:63" ht="15.6">
      <c r="B71" s="1443" t="s">
        <v>2027</v>
      </c>
      <c r="D71" s="454" t="s">
        <v>323</v>
      </c>
      <c r="E71" s="598">
        <v>0.6</v>
      </c>
      <c r="F71" s="598">
        <v>0.4</v>
      </c>
      <c r="G71" s="858"/>
      <c r="H71" s="591">
        <f t="shared" si="2"/>
        <v>0</v>
      </c>
      <c r="I71" s="591">
        <f>ROUND(+G$56*E71+G$57*F71+G$59*H71,3)</f>
        <v>6.3E-2</v>
      </c>
      <c r="J71" s="1602">
        <v>0</v>
      </c>
      <c r="K71" s="1602">
        <f t="shared" si="5"/>
        <v>0</v>
      </c>
      <c r="L71" s="1602">
        <f t="shared" si="5"/>
        <v>0</v>
      </c>
      <c r="M71" s="1602">
        <f t="shared" si="5"/>
        <v>0</v>
      </c>
      <c r="N71" s="1602">
        <f t="shared" si="4"/>
        <v>0</v>
      </c>
      <c r="T71" s="140"/>
      <c r="U71" s="140"/>
      <c r="V71" s="140"/>
      <c r="W71" s="140"/>
      <c r="X71" s="140"/>
      <c r="Y71" s="140"/>
      <c r="Z71" s="245"/>
      <c r="AA71" s="140"/>
      <c r="AB71" s="140"/>
      <c r="AC71" s="140"/>
      <c r="AD71" s="140"/>
      <c r="AE71" s="140"/>
      <c r="AF71" s="140"/>
      <c r="AG71" s="140"/>
      <c r="AH71" s="140"/>
      <c r="AI71" s="140"/>
      <c r="AJ71" s="140"/>
      <c r="AK71" s="140"/>
      <c r="AM71" s="140"/>
      <c r="AN71" s="140"/>
      <c r="AO71" s="140"/>
      <c r="AP71" s="140"/>
      <c r="AQ71" s="140"/>
      <c r="AR71" s="140"/>
      <c r="AS71" s="140"/>
      <c r="AT71" s="140"/>
      <c r="AU71" s="140"/>
      <c r="AV71" s="140"/>
      <c r="AW71" s="777"/>
      <c r="AX71" s="777"/>
      <c r="AY71" s="777"/>
      <c r="AZ71" s="777"/>
      <c r="BA71" s="777"/>
      <c r="BB71" s="140"/>
      <c r="BC71" s="140"/>
      <c r="BD71" s="140"/>
      <c r="BE71" s="140"/>
      <c r="BF71" s="140"/>
      <c r="BG71" s="140"/>
      <c r="BH71" s="140"/>
      <c r="BI71" s="140"/>
      <c r="BJ71" s="140"/>
      <c r="BK71" s="140"/>
    </row>
    <row r="72" spans="2:63" ht="15.6">
      <c r="B72" s="477"/>
      <c r="C72" s="589" t="str">
        <f>IF(OR(H66&lt;0,H67&lt;0,H68&lt;0,H69&lt;0),"error: some % &gt; 100",".")</f>
        <v>.</v>
      </c>
      <c r="D72" s="8" t="s">
        <v>279</v>
      </c>
      <c r="E72" s="763">
        <f>$J66*E66+$J67*E67+$J68*E68+$J69*E69+$J70*E70+$J71*E71</f>
        <v>573750</v>
      </c>
      <c r="F72" s="62">
        <f>$J66*F66+$J67*F67+$J68*F68+$J69*F69+$J70*F70+$J71*F71</f>
        <v>298750</v>
      </c>
      <c r="G72" s="62">
        <f>$J66*G66</f>
        <v>100000</v>
      </c>
      <c r="H72" s="62">
        <f>$J66*H66+$J67*H67+$J68*H68+$J69*H69+$J70*H70+$J71*H71</f>
        <v>27500</v>
      </c>
      <c r="J72" s="31">
        <f>SUM(J66:J71)</f>
        <v>1000000</v>
      </c>
      <c r="K72" s="31">
        <f>SUM(K66:K71)</f>
        <v>573800</v>
      </c>
      <c r="L72" s="31">
        <f>SUM(L66:L71)</f>
        <v>298800</v>
      </c>
      <c r="M72" s="31">
        <f>SUM(M66:M71)</f>
        <v>100000</v>
      </c>
      <c r="N72" s="31">
        <f>SUM(N66:N71)</f>
        <v>27400</v>
      </c>
      <c r="T72" s="140"/>
      <c r="U72" s="140"/>
      <c r="V72" s="140"/>
      <c r="W72" s="140"/>
      <c r="X72" s="140"/>
      <c r="Y72" s="140"/>
      <c r="Z72" s="245"/>
      <c r="AA72" s="140"/>
      <c r="AB72" s="140"/>
      <c r="AC72" s="140"/>
      <c r="AD72" s="140"/>
      <c r="AE72" s="140"/>
      <c r="AF72" s="140"/>
      <c r="AG72" s="140"/>
      <c r="AH72" s="140"/>
      <c r="AI72" s="140"/>
      <c r="AJ72" s="140"/>
      <c r="AK72" s="140"/>
      <c r="AM72" s="140"/>
      <c r="AN72" s="140"/>
      <c r="AO72" s="140"/>
      <c r="AP72" s="140"/>
      <c r="AQ72" s="140"/>
      <c r="AR72" s="140"/>
      <c r="AS72" s="140"/>
      <c r="AT72" s="140"/>
      <c r="AU72" s="140"/>
      <c r="AV72" s="140"/>
      <c r="AW72" s="777"/>
      <c r="AX72" s="777"/>
      <c r="AY72" s="777"/>
      <c r="AZ72" s="777"/>
      <c r="BA72" s="777"/>
      <c r="BB72" s="140"/>
      <c r="BC72" s="140"/>
      <c r="BD72" s="140"/>
      <c r="BE72" s="140"/>
      <c r="BF72" s="140"/>
      <c r="BG72" s="140"/>
      <c r="BH72" s="140"/>
      <c r="BI72" s="140"/>
      <c r="BJ72" s="140"/>
      <c r="BK72" s="140"/>
    </row>
    <row r="73" spans="2:63" ht="15.6">
      <c r="B73" s="477"/>
      <c r="D73" s="338" t="s">
        <v>1489</v>
      </c>
      <c r="E73" s="591">
        <f>ROUND(+E72/IF($E$47&gt;0,$E$47,1),3)</f>
        <v>0.57399999999999995</v>
      </c>
      <c r="F73" s="591">
        <f>ROUND(+F72/IF($E$47&gt;0,$E$47,1),3)</f>
        <v>0.29899999999999999</v>
      </c>
      <c r="G73" s="591">
        <f>ROUND(+G72/IF($E$47&gt;0,$E$47,1),3)</f>
        <v>0.1</v>
      </c>
      <c r="H73" s="591">
        <f>1-Stock_Alloc_Beg-Bond_Alloc_Beg-TaxEx_Alloc_Beg</f>
        <v>2.7000000000000052E-2</v>
      </c>
      <c r="I73" s="591">
        <f>+E73+F73+G73+H73</f>
        <v>1</v>
      </c>
      <c r="T73" s="140"/>
      <c r="U73" s="140"/>
      <c r="V73" s="140"/>
      <c r="W73" s="140"/>
      <c r="X73" s="140"/>
      <c r="Y73" s="140"/>
      <c r="Z73" s="245"/>
      <c r="AA73" s="140"/>
      <c r="AB73" s="140"/>
      <c r="AC73" s="140"/>
      <c r="AD73" s="140"/>
      <c r="AE73" s="140"/>
      <c r="AF73" s="140"/>
      <c r="AG73" s="140"/>
      <c r="AH73" s="140"/>
      <c r="AI73" s="140"/>
      <c r="AJ73" s="140"/>
      <c r="AK73" s="140"/>
      <c r="AM73" s="140"/>
      <c r="AN73" s="140"/>
      <c r="AO73" s="140"/>
      <c r="AP73" s="140"/>
      <c r="AQ73" s="140"/>
      <c r="AR73" s="140"/>
      <c r="AS73" s="140"/>
      <c r="AT73" s="140"/>
      <c r="AU73" s="140"/>
      <c r="AV73" s="140"/>
      <c r="AW73" s="777"/>
      <c r="AX73" s="777"/>
      <c r="AY73" s="777"/>
      <c r="AZ73" s="777"/>
      <c r="BA73" s="777"/>
      <c r="BB73" s="140"/>
      <c r="BC73" s="140"/>
      <c r="BD73" s="140"/>
      <c r="BE73" s="140"/>
      <c r="BF73" s="140"/>
      <c r="BG73" s="140"/>
      <c r="BH73" s="140"/>
      <c r="BI73" s="140"/>
      <c r="BJ73" s="140"/>
      <c r="BK73" s="140"/>
    </row>
    <row r="74" spans="2:63" ht="15.6">
      <c r="B74" s="477"/>
      <c r="D74" s="1533" t="s">
        <v>2166</v>
      </c>
      <c r="E74" s="1141">
        <v>0.6</v>
      </c>
      <c r="F74" s="1141">
        <v>0.3</v>
      </c>
      <c r="G74" s="1141">
        <v>0.1</v>
      </c>
      <c r="H74" s="591">
        <f>1-Stock_Alloc_BegTar-Bond_Alloc_BegTar-TaxEx_Alloc_BegTar</f>
        <v>0</v>
      </c>
      <c r="I74" s="591">
        <f>+E74+F74+G74+H74</f>
        <v>0.99999999999999989</v>
      </c>
      <c r="J74" s="1447" t="str">
        <f>IF(I74&lt;&gt;1,"must be 100%",".")</f>
        <v>.</v>
      </c>
      <c r="K74" s="1"/>
      <c r="R74" s="140"/>
      <c r="S74" s="140"/>
      <c r="T74" s="140"/>
      <c r="U74" s="140"/>
      <c r="V74" s="140"/>
      <c r="W74" s="140"/>
      <c r="X74" s="140"/>
      <c r="Y74" s="140"/>
      <c r="Z74" s="1177"/>
      <c r="AA74" s="140"/>
      <c r="AB74" s="140"/>
      <c r="AC74" s="140"/>
      <c r="AD74" s="140"/>
      <c r="AE74" s="140"/>
      <c r="AF74" s="140"/>
      <c r="AG74" s="140"/>
      <c r="AH74" s="140"/>
      <c r="AI74" s="140"/>
      <c r="AJ74" s="140"/>
      <c r="AK74" s="821"/>
      <c r="AM74" s="140"/>
      <c r="AN74" s="140"/>
      <c r="AO74" s="140"/>
      <c r="AP74" s="140"/>
      <c r="AQ74" s="140"/>
      <c r="AR74" s="140"/>
      <c r="AS74" s="140"/>
      <c r="AT74" s="140"/>
      <c r="AU74" s="140"/>
      <c r="AV74" s="140"/>
      <c r="AW74" s="777"/>
      <c r="AX74" s="777"/>
      <c r="AY74" s="777"/>
      <c r="AZ74" s="777"/>
      <c r="BA74" s="777"/>
      <c r="BB74" s="140"/>
      <c r="BC74" s="140"/>
      <c r="BD74" s="140"/>
      <c r="BE74" s="140"/>
      <c r="BF74" s="140"/>
      <c r="BG74" s="140"/>
      <c r="BH74" s="140"/>
      <c r="BI74" s="140"/>
      <c r="BJ74" s="140"/>
      <c r="BK74" s="140"/>
    </row>
    <row r="75" spans="2:63" ht="15.6">
      <c r="B75" s="477"/>
      <c r="D75" s="338"/>
      <c r="E75" s="842"/>
      <c r="F75" s="842"/>
      <c r="G75" s="842"/>
      <c r="H75" s="842"/>
      <c r="I75" s="591"/>
      <c r="K75" s="1"/>
      <c r="R75" s="140"/>
      <c r="S75" s="140"/>
      <c r="T75" s="140"/>
      <c r="U75" s="140"/>
      <c r="V75" s="140"/>
      <c r="W75" s="140"/>
      <c r="X75" s="140"/>
      <c r="Y75" s="140"/>
      <c r="Z75" s="1177"/>
      <c r="AA75" s="140"/>
      <c r="AB75" s="140"/>
      <c r="AC75" s="140"/>
      <c r="AD75" s="140"/>
      <c r="AE75" s="140"/>
      <c r="AF75" s="140"/>
      <c r="AG75" s="140"/>
      <c r="AH75" s="140"/>
      <c r="AI75" s="140"/>
      <c r="AJ75" s="140"/>
      <c r="AK75" s="821"/>
      <c r="AM75" s="140"/>
      <c r="AN75" s="140"/>
      <c r="AO75" s="140"/>
      <c r="AP75" s="140"/>
      <c r="AQ75" s="140"/>
      <c r="AR75" s="140"/>
      <c r="AS75" s="140"/>
      <c r="AT75" s="140"/>
      <c r="AU75" s="140"/>
      <c r="AV75" s="140"/>
      <c r="AW75" s="777"/>
      <c r="AX75" s="777"/>
      <c r="AY75" s="777"/>
      <c r="AZ75" s="777"/>
      <c r="BA75" s="777"/>
      <c r="BB75" s="140"/>
      <c r="BC75" s="140"/>
      <c r="BD75" s="140"/>
      <c r="BE75" s="140"/>
      <c r="BF75" s="140"/>
      <c r="BG75" s="140"/>
      <c r="BH75" s="140"/>
      <c r="BI75" s="140"/>
      <c r="BJ75" s="140"/>
      <c r="BK75" s="140"/>
    </row>
    <row r="76" spans="2:63" ht="15.6">
      <c r="I76" s="603"/>
      <c r="R76" s="140"/>
      <c r="S76" s="140"/>
      <c r="T76" s="140"/>
      <c r="U76" s="140"/>
      <c r="V76" s="140"/>
      <c r="W76" s="140"/>
      <c r="X76" s="140"/>
      <c r="Y76" s="140"/>
      <c r="Z76" s="245"/>
      <c r="AA76" s="140"/>
      <c r="AB76" s="140"/>
      <c r="AC76" s="140"/>
      <c r="AD76" s="140"/>
      <c r="AE76" s="140"/>
      <c r="AF76" s="140"/>
      <c r="AG76" s="140"/>
      <c r="AH76" s="140"/>
      <c r="AI76" s="140"/>
      <c r="AJ76" s="140"/>
      <c r="AK76" s="140"/>
      <c r="AM76" s="140"/>
      <c r="AN76" s="140"/>
      <c r="AO76" s="140"/>
      <c r="AP76" s="140"/>
      <c r="AQ76" s="140"/>
      <c r="AR76" s="140"/>
      <c r="AS76" s="140"/>
      <c r="AT76" s="140"/>
      <c r="AU76" s="140"/>
      <c r="AV76" s="140"/>
      <c r="AW76" s="777"/>
      <c r="AX76" s="777"/>
      <c r="AY76" s="777"/>
      <c r="AZ76" s="777"/>
      <c r="BA76" s="777"/>
      <c r="BB76" s="140"/>
      <c r="BC76" s="140"/>
      <c r="BD76" s="140"/>
      <c r="BE76" s="140"/>
      <c r="BF76" s="140"/>
      <c r="BG76" s="140"/>
      <c r="BH76" s="140"/>
      <c r="BI76" s="140"/>
      <c r="BJ76" s="140"/>
      <c r="BK76" s="140"/>
    </row>
    <row r="77" spans="2:63" ht="17.399999999999999">
      <c r="D77" s="991" t="s">
        <v>184</v>
      </c>
      <c r="E77" s="1575">
        <v>80</v>
      </c>
      <c r="F77" s="1606" t="str">
        <f>"in " &amp; IF(Change_Age&gt;0,Change_Age-Your_Age+First_Year,First_Year)</f>
        <v>in 2037</v>
      </c>
      <c r="G77" s="1607" t="str">
        <f>IF(Change_Age=0,"not using","using")</f>
        <v>using</v>
      </c>
      <c r="H77" s="1570" t="s">
        <v>711</v>
      </c>
      <c r="I77" s="1571" t="s">
        <v>344</v>
      </c>
      <c r="J77" s="1574" t="str">
        <f>"     " &amp; IF(Change_Age&gt;0,Change_Age-Your_Age+First_Year,First_Year) &amp; " Re-Allocation Balances"</f>
        <v xml:space="preserve">     2037 Re-Allocation Balances</v>
      </c>
      <c r="K77" s="1574"/>
      <c r="L77" s="860"/>
      <c r="M77" s="860"/>
      <c r="N77" s="860"/>
    </row>
    <row r="78" spans="2:63" ht="18" thickBot="1">
      <c r="D78" s="991" t="s">
        <v>2026</v>
      </c>
      <c r="E78" s="1573" t="s">
        <v>756</v>
      </c>
      <c r="F78" s="1558" t="s">
        <v>757</v>
      </c>
      <c r="G78" s="1558" t="s">
        <v>845</v>
      </c>
      <c r="H78" s="1608" t="s">
        <v>847</v>
      </c>
      <c r="I78" s="1558" t="s">
        <v>977</v>
      </c>
      <c r="J78" s="1565" t="s">
        <v>635</v>
      </c>
      <c r="K78" s="1558" t="s">
        <v>756</v>
      </c>
      <c r="L78" s="1558" t="s">
        <v>757</v>
      </c>
      <c r="M78" s="1558" t="s">
        <v>845</v>
      </c>
      <c r="N78" s="1558" t="s">
        <v>848</v>
      </c>
      <c r="O78" s="674"/>
    </row>
    <row r="79" spans="2:63" ht="15.6">
      <c r="B79" s="568"/>
      <c r="C79" s="555"/>
      <c r="D79" s="657" t="s">
        <v>1081</v>
      </c>
      <c r="E79" s="612">
        <v>0.25</v>
      </c>
      <c r="F79" s="600">
        <v>0</v>
      </c>
      <c r="G79" s="600">
        <v>0.7</v>
      </c>
      <c r="H79" s="859">
        <f t="shared" ref="H79:H84" si="6">ROUND((1-E79-F79-G79),3)</f>
        <v>0.05</v>
      </c>
      <c r="I79" s="660">
        <f>ROUND(+$G$56*E79+$G$57*F79+$G$58*G79+$G$59*H79,3)</f>
        <v>4.1000000000000002E-2</v>
      </c>
      <c r="J79" s="31">
        <f>IF(E77&gt;0,HLOOKUP($E$77,Details!$F$4:$AS$19,5,TRUE),F40)</f>
        <v>541400</v>
      </c>
      <c r="K79" s="31">
        <f t="shared" ref="K79:M82" si="7">ROUND((+E79*$J79)/Round_To,0)*Round_To</f>
        <v>135400</v>
      </c>
      <c r="L79" s="31">
        <f t="shared" si="7"/>
        <v>0</v>
      </c>
      <c r="M79" s="31">
        <f t="shared" si="7"/>
        <v>379000</v>
      </c>
      <c r="N79" s="31">
        <f t="shared" ref="N79:N84" si="8">+J79-K79-L79-M79</f>
        <v>27000</v>
      </c>
      <c r="Z79" s="170" t="s">
        <v>2092</v>
      </c>
    </row>
    <row r="80" spans="2:63" ht="15.6">
      <c r="B80" s="568"/>
      <c r="C80" s="555"/>
      <c r="D80" s="8" t="s">
        <v>1031</v>
      </c>
      <c r="E80" s="516">
        <v>0.35</v>
      </c>
      <c r="F80" s="598">
        <v>0.65</v>
      </c>
      <c r="G80" s="911"/>
      <c r="H80" s="591">
        <f t="shared" si="6"/>
        <v>0</v>
      </c>
      <c r="I80" s="591">
        <f>ROUND(+$G$56*E80+$G$57*F80+$G$59*H80,3)</f>
        <v>5.6000000000000001E-2</v>
      </c>
      <c r="J80" s="31">
        <f>IF(E77&gt;0,HLOOKUP($E$77,Details!$F$4:$AS$19,6,TRUE)+HLOOKUP($E$77,Details!$F$4:$AS$19,9,TRUE),F41)</f>
        <v>439600</v>
      </c>
      <c r="K80" s="31">
        <f t="shared" si="7"/>
        <v>153900</v>
      </c>
      <c r="L80" s="31">
        <f t="shared" si="7"/>
        <v>285700</v>
      </c>
      <c r="M80" s="31">
        <f t="shared" si="7"/>
        <v>0</v>
      </c>
      <c r="N80" s="31">
        <f t="shared" si="8"/>
        <v>0</v>
      </c>
      <c r="Z80" s="170" t="s">
        <v>2046</v>
      </c>
    </row>
    <row r="81" spans="1:62" ht="15.6">
      <c r="C81" s="555"/>
      <c r="D81" s="8" t="s">
        <v>522</v>
      </c>
      <c r="E81" s="516">
        <v>0.3</v>
      </c>
      <c r="F81" s="513">
        <v>0.65</v>
      </c>
      <c r="H81" s="591">
        <f t="shared" si="6"/>
        <v>0.05</v>
      </c>
      <c r="I81" s="591">
        <f>ROUND(+$G$56*E81+$G$57*F81+$G$59*H81,3)</f>
        <v>5.2999999999999999E-2</v>
      </c>
      <c r="J81" s="31">
        <f>IF(E77&gt;0,HLOOKUP($E$77,Details!$F$4:$AS$19,7,TRUE)+HLOOKUP($E$77,Details!$F$4:$AS$19,10,TRUE),F42)</f>
        <v>521000</v>
      </c>
      <c r="K81" s="31">
        <f t="shared" si="7"/>
        <v>156300</v>
      </c>
      <c r="L81" s="31">
        <f t="shared" si="7"/>
        <v>338700</v>
      </c>
      <c r="M81" s="31">
        <f t="shared" si="7"/>
        <v>0</v>
      </c>
      <c r="N81" s="31">
        <f t="shared" si="8"/>
        <v>26000</v>
      </c>
      <c r="O81" s="591"/>
      <c r="Z81" s="170" t="s">
        <v>2046</v>
      </c>
    </row>
    <row r="82" spans="1:62" ht="15.6">
      <c r="B82" s="492"/>
      <c r="C82" s="555"/>
      <c r="D82" s="454" t="s">
        <v>763</v>
      </c>
      <c r="E82" s="513">
        <v>0.3</v>
      </c>
      <c r="F82" s="598">
        <v>0.65</v>
      </c>
      <c r="G82" s="881"/>
      <c r="H82" s="591">
        <f t="shared" si="6"/>
        <v>0.05</v>
      </c>
      <c r="I82" s="591">
        <f>ROUND(+$G$56*E82+$G$57*F82+$G$59*H82,3)</f>
        <v>5.2999999999999999E-2</v>
      </c>
      <c r="J82" s="88">
        <f>IF(E77&gt;0,HLOOKUP($E$77,Details!$F$4:$AS$19,12,TRUE),F43)</f>
        <v>233200</v>
      </c>
      <c r="K82" s="88">
        <f t="shared" si="7"/>
        <v>70000</v>
      </c>
      <c r="L82" s="88">
        <f t="shared" si="7"/>
        <v>151600</v>
      </c>
      <c r="M82" s="88">
        <f t="shared" si="7"/>
        <v>0</v>
      </c>
      <c r="N82" s="88">
        <f t="shared" si="8"/>
        <v>11600</v>
      </c>
      <c r="O82" s="591"/>
      <c r="T82" s="151"/>
      <c r="Z82" s="170" t="s">
        <v>2046</v>
      </c>
    </row>
    <row r="83" spans="1:62" ht="15.6">
      <c r="B83" s="1443" t="s">
        <v>2027</v>
      </c>
      <c r="C83" s="555"/>
      <c r="D83" s="454" t="s">
        <v>764</v>
      </c>
      <c r="E83" s="513">
        <v>0.3</v>
      </c>
      <c r="F83" s="598">
        <v>0.65</v>
      </c>
      <c r="G83" s="881"/>
      <c r="H83" s="591">
        <f t="shared" si="6"/>
        <v>0.05</v>
      </c>
      <c r="I83" s="591">
        <f>ROUND(+$G$56*E83+$G$57*F83+$G$59*H83,3)</f>
        <v>5.2999999999999999E-2</v>
      </c>
      <c r="J83" s="88">
        <f>IF(E77&gt;0,HLOOKUP($E$77,Details!$F$4:$AS$19,13,TRUE),F44)</f>
        <v>11300</v>
      </c>
      <c r="K83" s="88">
        <f t="shared" ref="K83:M84" si="9">ROUND((+E83*$J83)/Round_To,0)*Round_To</f>
        <v>3400</v>
      </c>
      <c r="L83" s="88">
        <f t="shared" si="9"/>
        <v>7300</v>
      </c>
      <c r="M83" s="88">
        <f t="shared" si="9"/>
        <v>0</v>
      </c>
      <c r="N83" s="88">
        <f t="shared" si="8"/>
        <v>600</v>
      </c>
      <c r="O83" s="591"/>
      <c r="T83" s="151"/>
      <c r="Z83" s="170" t="s">
        <v>2046</v>
      </c>
    </row>
    <row r="84" spans="1:62" ht="15.6">
      <c r="B84" s="1443" t="s">
        <v>2027</v>
      </c>
      <c r="C84" s="555"/>
      <c r="D84" s="454" t="s">
        <v>323</v>
      </c>
      <c r="E84" s="513">
        <v>0.3</v>
      </c>
      <c r="F84" s="598">
        <v>0.65</v>
      </c>
      <c r="G84" s="881"/>
      <c r="H84" s="591">
        <f t="shared" si="6"/>
        <v>0.05</v>
      </c>
      <c r="I84" s="591">
        <f>ROUND(+$G$56*E84+$G$57*F84+$G$59*H84,3)</f>
        <v>5.2999999999999999E-2</v>
      </c>
      <c r="J84" s="1602">
        <f>IF(E77&gt;0,HLOOKUP($E$77,Details!$F$4:$AS$19,15,TRUE),F45)</f>
        <v>0</v>
      </c>
      <c r="K84" s="1602">
        <f t="shared" si="9"/>
        <v>0</v>
      </c>
      <c r="L84" s="1602">
        <f t="shared" si="9"/>
        <v>0</v>
      </c>
      <c r="M84" s="1602">
        <f t="shared" si="9"/>
        <v>0</v>
      </c>
      <c r="N84" s="1602">
        <f t="shared" si="8"/>
        <v>0</v>
      </c>
      <c r="O84" s="591"/>
      <c r="T84" s="151"/>
      <c r="Z84" s="170" t="s">
        <v>2093</v>
      </c>
    </row>
    <row r="85" spans="1:62" ht="15.6">
      <c r="B85" s="492"/>
      <c r="C85" s="589" t="str">
        <f>IF(OR(H79&lt;0,H80&lt;0,H81&lt;0,H82&lt;0),"error: some % &gt; 100",".")</f>
        <v>.</v>
      </c>
      <c r="D85" s="8" t="s">
        <v>279</v>
      </c>
      <c r="E85" s="763">
        <f>$J79*E79+$J80*E80+$J81*E81+$J82*E82+$J83*E83+$J84*E84</f>
        <v>518860</v>
      </c>
      <c r="F85" s="62">
        <f>$J79*F79+$J80*F80+$J81*F81+$J82*F82+$J83*F83+$J84*F84</f>
        <v>783315</v>
      </c>
      <c r="G85" s="62">
        <f>$J79*G79</f>
        <v>378980</v>
      </c>
      <c r="H85" s="62">
        <f>$J79*H79+$J80*H80+$J81*H81+$J82*H82+$J83*H83+$J84*H84</f>
        <v>65345</v>
      </c>
      <c r="I85" s="31"/>
      <c r="J85" s="31">
        <f>SUM(J79:J84)</f>
        <v>1746500</v>
      </c>
      <c r="K85" s="31">
        <f>SUM(K79:K84)</f>
        <v>519000</v>
      </c>
      <c r="L85" s="31">
        <f>SUM(L79:L84)</f>
        <v>783300</v>
      </c>
      <c r="M85" s="31">
        <f>SUM(M79:M84)</f>
        <v>379000</v>
      </c>
      <c r="N85" s="31">
        <f>SUM(N79:N84)</f>
        <v>65200</v>
      </c>
      <c r="O85" s="591"/>
      <c r="R85" s="155"/>
      <c r="S85" s="155"/>
      <c r="T85" s="151"/>
    </row>
    <row r="86" spans="1:62" ht="15.6">
      <c r="B86" s="492"/>
      <c r="D86" s="338" t="s">
        <v>1489</v>
      </c>
      <c r="E86" s="591">
        <f>ROUND(+E85/IF($J$85&gt;0,$J$85,1),3)</f>
        <v>0.29699999999999999</v>
      </c>
      <c r="F86" s="591">
        <f>ROUND(+F85/IF($J$85&gt;0,$J$85,1),3)</f>
        <v>0.44900000000000001</v>
      </c>
      <c r="G86" s="591">
        <f>ROUND(+G85/IF($J$85&gt;0,$J$85,1),3)</f>
        <v>0.217</v>
      </c>
      <c r="H86" s="591">
        <f>1-Stock_Alloc_Chg-Bond_Alloc_Chg-TaxEx_Alloc_Chg</f>
        <v>3.7000000000000061E-2</v>
      </c>
      <c r="I86" s="591">
        <f>+E86+F86+G86+H86</f>
        <v>1</v>
      </c>
      <c r="J86" s="389"/>
      <c r="M86" s="591"/>
      <c r="N86" s="591"/>
      <c r="O86" s="591"/>
    </row>
    <row r="87" spans="1:62" ht="15.6">
      <c r="B87" s="492"/>
      <c r="D87" s="1533" t="s">
        <v>2166</v>
      </c>
      <c r="E87" s="1141">
        <v>0.3</v>
      </c>
      <c r="F87" s="1141">
        <v>0.45</v>
      </c>
      <c r="G87" s="1141">
        <v>0.2</v>
      </c>
      <c r="H87" s="591">
        <f>1-Stock_Alloc_ChgTar-Bond_Alloc_ChgTar-TaxEx_Alloc_ChgTar</f>
        <v>4.9999999999999933E-2</v>
      </c>
      <c r="I87" s="591">
        <f>+E87+F87+G87+H87</f>
        <v>0.99999999999999989</v>
      </c>
      <c r="J87" s="1447" t="str">
        <f>IF(I87&lt;&gt;1,"must be 100%",".")</f>
        <v>.</v>
      </c>
    </row>
    <row r="88" spans="1:62" ht="15.6">
      <c r="B88" s="492"/>
      <c r="D88" s="338"/>
      <c r="E88" s="1141"/>
      <c r="F88" s="1141"/>
      <c r="G88" s="1141"/>
      <c r="H88" s="1141"/>
      <c r="I88" s="591"/>
    </row>
    <row r="89" spans="1:62" ht="16.2" customHeight="1">
      <c r="F89" s="1"/>
    </row>
    <row r="90" spans="1:62" ht="19.95" customHeight="1">
      <c r="A90" s="407"/>
      <c r="B90" s="407"/>
      <c r="C90" s="407"/>
      <c r="D90" s="1073" t="s">
        <v>368</v>
      </c>
      <c r="H90" s="597"/>
      <c r="I90" s="521"/>
      <c r="J90" s="521"/>
      <c r="Z90" s="271"/>
      <c r="AA90" s="155"/>
      <c r="AB90" s="155"/>
      <c r="AC90" s="155"/>
      <c r="AD90" s="155"/>
      <c r="AE90" s="155"/>
      <c r="AF90" s="155"/>
      <c r="AG90" s="155"/>
      <c r="AH90" s="155"/>
      <c r="AI90" s="155"/>
      <c r="AJ90" s="155"/>
      <c r="AK90" s="1409" t="s">
        <v>1787</v>
      </c>
      <c r="AM90" s="155"/>
      <c r="AN90" s="155"/>
      <c r="AO90" s="155"/>
      <c r="AP90" s="155"/>
      <c r="AQ90" s="155"/>
      <c r="AR90" s="155"/>
      <c r="AS90" s="155"/>
      <c r="AT90" s="155"/>
      <c r="AU90" s="155"/>
      <c r="AV90" s="155"/>
      <c r="AW90" s="780"/>
      <c r="AX90" s="780"/>
      <c r="AY90" s="780"/>
      <c r="AZ90" s="780"/>
      <c r="BA90" s="780"/>
      <c r="BB90" s="155"/>
      <c r="BC90" s="155"/>
      <c r="BD90" s="155"/>
      <c r="BE90" s="155"/>
      <c r="BF90" s="155"/>
      <c r="BG90" s="155"/>
      <c r="BH90" s="155"/>
      <c r="BI90" s="155"/>
      <c r="BJ90" s="155"/>
    </row>
    <row r="91" spans="1:62" ht="19.95" customHeight="1">
      <c r="A91" s="410"/>
      <c r="B91" s="410"/>
      <c r="C91" s="410"/>
      <c r="D91" s="416"/>
      <c r="H91" s="597"/>
      <c r="I91" s="521"/>
      <c r="J91" s="521"/>
      <c r="Z91" s="271"/>
      <c r="AA91" s="155"/>
      <c r="AB91" s="155"/>
      <c r="AC91" s="155"/>
      <c r="AD91" s="155"/>
      <c r="AE91" s="155"/>
      <c r="AF91" s="155"/>
      <c r="AG91" s="155"/>
      <c r="AH91" s="155"/>
      <c r="AI91" s="155"/>
      <c r="AJ91" s="155"/>
      <c r="AK91" s="155"/>
      <c r="AM91" s="155"/>
      <c r="AN91" s="155"/>
      <c r="AO91" s="155"/>
      <c r="AP91" s="155"/>
      <c r="AQ91" s="155"/>
      <c r="AR91" s="155"/>
      <c r="AS91" s="155"/>
      <c r="AT91" s="155"/>
      <c r="AU91" s="155"/>
      <c r="AV91" s="155"/>
      <c r="AW91" s="780"/>
      <c r="AX91" s="780"/>
      <c r="AY91" s="780"/>
      <c r="AZ91" s="780"/>
      <c r="BA91" s="780"/>
      <c r="BB91" s="155"/>
      <c r="BC91" s="155"/>
      <c r="BD91" s="155"/>
      <c r="BE91" s="155"/>
      <c r="BF91" s="155"/>
      <c r="BG91" s="155"/>
      <c r="BH91" s="155"/>
      <c r="BI91" s="155"/>
      <c r="BJ91" s="155"/>
    </row>
    <row r="92" spans="1:62" ht="18" customHeight="1" thickBot="1">
      <c r="B92" s="1"/>
      <c r="C92" s="1"/>
      <c r="D92" s="659" t="s">
        <v>2345</v>
      </c>
      <c r="E92" s="1558" t="s">
        <v>1613</v>
      </c>
      <c r="F92" s="1558" t="s">
        <v>516</v>
      </c>
      <c r="G92" s="1565" t="s">
        <v>362</v>
      </c>
      <c r="H92" s="1565" t="s">
        <v>363</v>
      </c>
      <c r="I92" s="1558" t="s">
        <v>635</v>
      </c>
      <c r="J92" s="1576" t="s">
        <v>1493</v>
      </c>
      <c r="K92" s="1616" t="s">
        <v>2196</v>
      </c>
      <c r="L92" s="714"/>
      <c r="Z92" s="115"/>
      <c r="AA92" s="151"/>
      <c r="AB92" s="151"/>
      <c r="AC92" s="151"/>
      <c r="AD92" s="151"/>
      <c r="AE92" s="151"/>
      <c r="AF92" s="151"/>
      <c r="AG92" s="151"/>
      <c r="AH92" s="151"/>
      <c r="AI92" s="151"/>
      <c r="AJ92" s="151"/>
      <c r="AK92" s="151"/>
      <c r="AM92" s="151"/>
      <c r="AN92" s="151"/>
      <c r="AO92" s="151"/>
      <c r="AP92" s="151"/>
      <c r="AQ92" s="151"/>
      <c r="AR92" s="151"/>
      <c r="AS92" s="151"/>
      <c r="AT92" s="151"/>
      <c r="AU92" s="151"/>
      <c r="AV92" s="151"/>
      <c r="AW92" s="781"/>
      <c r="AX92" s="781"/>
      <c r="AY92" s="781"/>
      <c r="AZ92" s="781"/>
      <c r="BA92" s="781"/>
      <c r="BB92" s="151"/>
      <c r="BC92" s="151"/>
      <c r="BD92" s="151"/>
      <c r="BE92" s="151"/>
      <c r="BF92" s="151"/>
      <c r="BG92" s="151"/>
      <c r="BH92" s="151"/>
      <c r="BI92" s="151"/>
      <c r="BJ92" s="151"/>
    </row>
    <row r="93" spans="1:62" ht="15.6">
      <c r="D93" s="11" t="s">
        <v>966</v>
      </c>
      <c r="E93" s="462">
        <v>8000</v>
      </c>
      <c r="F93" s="513">
        <v>0.03</v>
      </c>
      <c r="G93" s="474">
        <v>50</v>
      </c>
      <c r="H93" s="472"/>
      <c r="I93" s="31">
        <f>Details!E66</f>
        <v>381200</v>
      </c>
      <c r="J93" s="232" t="str">
        <f>IF(AND(G93=0,H93=0),First_Year &amp; " - " &amp; Final_Year,IF(G93=0,"",G93-Your_Age+First_Year) &amp; " - " &amp; IF(H93=0,Final_Year,H93-Your_Age+First_Year))</f>
        <v>2007 - 2048</v>
      </c>
      <c r="K93" s="1528"/>
      <c r="Z93" s="115"/>
      <c r="AA93" s="151"/>
      <c r="AB93" s="151"/>
      <c r="AC93" s="151"/>
      <c r="AD93" s="151"/>
      <c r="AE93" s="151"/>
      <c r="AF93" s="151"/>
      <c r="AG93" s="151"/>
      <c r="AH93" s="151"/>
      <c r="AI93" s="151"/>
      <c r="AJ93" s="151"/>
      <c r="AK93" s="151"/>
      <c r="AM93" s="151"/>
      <c r="AN93" s="151"/>
      <c r="AO93" s="151"/>
      <c r="AP93" s="151"/>
      <c r="AQ93" s="151"/>
      <c r="AR93" s="151"/>
      <c r="AS93" s="151"/>
      <c r="AT93" s="151"/>
      <c r="AU93" s="151"/>
      <c r="AV93" s="151"/>
      <c r="AW93" s="781"/>
      <c r="AX93" s="781"/>
      <c r="AY93" s="781"/>
      <c r="AZ93" s="781"/>
      <c r="BA93" s="781"/>
      <c r="BB93" s="151"/>
      <c r="BC93" s="151"/>
      <c r="BD93" s="151"/>
      <c r="BE93" s="151"/>
      <c r="BF93" s="151"/>
      <c r="BG93" s="151"/>
      <c r="BH93" s="151"/>
      <c r="BI93" s="151"/>
      <c r="BJ93" s="151"/>
    </row>
    <row r="94" spans="1:62" ht="15.6">
      <c r="D94" s="11" t="s">
        <v>967</v>
      </c>
      <c r="E94" s="462">
        <v>2000</v>
      </c>
      <c r="F94" s="513">
        <v>0</v>
      </c>
      <c r="G94" s="474">
        <v>50</v>
      </c>
      <c r="H94" s="472">
        <v>85</v>
      </c>
      <c r="I94" s="31">
        <f>Details!E67</f>
        <v>48000</v>
      </c>
      <c r="J94" s="232" t="str">
        <f>IF(AND(G94=0,H94=0),First_Year &amp; " - " &amp; Final_Year,IF(G94=0,"",G94-Your_Age+First_Year) &amp; " - " &amp; IF(H94=0,Final_Year,H94-Your_Age+First_Year))</f>
        <v>2007 - 2042</v>
      </c>
      <c r="K94" s="1530"/>
      <c r="Y94" s="950" t="s">
        <v>1301</v>
      </c>
      <c r="Z94" s="115"/>
      <c r="AA94" s="151"/>
      <c r="AB94" s="151"/>
      <c r="AC94" s="151"/>
      <c r="AD94" s="151"/>
      <c r="AE94" s="151"/>
      <c r="AF94" s="151"/>
      <c r="AG94" s="151"/>
      <c r="AH94" s="151"/>
      <c r="AI94" s="151"/>
      <c r="AJ94" s="151"/>
      <c r="AK94" s="151"/>
      <c r="AM94" s="151"/>
      <c r="AN94" s="151"/>
      <c r="AO94" s="151"/>
      <c r="AP94" s="151"/>
      <c r="AQ94" s="151"/>
      <c r="AR94" s="151"/>
      <c r="AS94" s="151"/>
      <c r="AT94" s="151"/>
      <c r="AU94" s="151"/>
      <c r="AV94" s="151"/>
      <c r="AW94" s="781"/>
      <c r="AX94" s="781"/>
      <c r="AY94" s="781"/>
      <c r="AZ94" s="781"/>
      <c r="BA94" s="781"/>
      <c r="BB94" s="151"/>
      <c r="BC94" s="151"/>
      <c r="BD94" s="151"/>
      <c r="BE94" s="151"/>
      <c r="BF94" s="151"/>
      <c r="BG94" s="151"/>
      <c r="BH94" s="151"/>
      <c r="BI94" s="151"/>
      <c r="BJ94" s="151"/>
    </row>
    <row r="95" spans="1:62" ht="15.75" customHeight="1">
      <c r="D95" s="11" t="s">
        <v>168</v>
      </c>
      <c r="E95" s="653">
        <v>10000</v>
      </c>
      <c r="F95" s="513">
        <v>0.04</v>
      </c>
      <c r="G95" s="474">
        <v>50</v>
      </c>
      <c r="H95" s="515">
        <v>70</v>
      </c>
      <c r="I95" s="406">
        <f>Details!E68</f>
        <v>105400</v>
      </c>
      <c r="J95" s="232" t="str">
        <f>IF(AND(G95=0,H95=0),First_Year &amp; " - " &amp; Final_Year,IF(G95=0,"",G95-Your_Age+First_Year) &amp; " - " &amp; IF(H95=0,Final_Year,H95-Your_Age+First_Year))</f>
        <v>2007 - 2027</v>
      </c>
      <c r="K95" s="1530"/>
      <c r="Z95" s="115"/>
      <c r="AA95" s="151"/>
      <c r="AB95" s="151"/>
      <c r="AC95" s="151"/>
      <c r="AD95" s="151"/>
      <c r="AE95" s="151"/>
      <c r="AF95" s="151"/>
      <c r="AG95" s="151"/>
      <c r="AH95" s="151"/>
      <c r="AI95" s="151"/>
      <c r="AK95" s="733"/>
      <c r="AM95" s="151"/>
      <c r="AN95" s="151"/>
      <c r="AO95" s="151"/>
      <c r="AP95" s="151"/>
      <c r="AQ95" s="151"/>
      <c r="AR95" s="151"/>
      <c r="AS95" s="151"/>
      <c r="AT95" s="151"/>
      <c r="AU95" s="151"/>
      <c r="AV95" s="151"/>
      <c r="AW95" s="781"/>
      <c r="AX95" s="781"/>
      <c r="AY95" s="781"/>
      <c r="AZ95" s="781"/>
      <c r="BA95" s="781"/>
      <c r="BB95" s="151"/>
      <c r="BC95" s="151"/>
      <c r="BD95" s="151"/>
      <c r="BE95" s="151"/>
      <c r="BF95" s="151"/>
      <c r="BG95" s="151"/>
      <c r="BH95" s="151"/>
      <c r="BI95" s="151"/>
      <c r="BJ95" s="151"/>
    </row>
    <row r="96" spans="1:62" ht="15.75" customHeight="1">
      <c r="B96" s="1535"/>
      <c r="D96" s="11" t="s">
        <v>169</v>
      </c>
      <c r="E96" s="462">
        <v>15000</v>
      </c>
      <c r="F96" s="513">
        <v>0</v>
      </c>
      <c r="G96" s="474">
        <v>63</v>
      </c>
      <c r="H96" s="472">
        <v>63</v>
      </c>
      <c r="I96" s="642">
        <f>Details!E69</f>
        <v>15000</v>
      </c>
      <c r="J96" s="232" t="str">
        <f>IF(AND(G96=0,H96=0),First_Year &amp; " - " &amp; Final_Year,IF(G96=0,"",G96-Your_Age+First_Year) &amp; " - " &amp; IF(H96=0,Final_Year,H96-Your_Age+First_Year))</f>
        <v>2020 - 2020</v>
      </c>
      <c r="K96" s="1530"/>
      <c r="Z96" s="1177"/>
      <c r="AA96" s="821"/>
      <c r="AB96" s="821"/>
      <c r="AC96" s="821"/>
      <c r="AD96" s="821"/>
      <c r="AE96" s="821"/>
      <c r="AF96" s="821"/>
      <c r="AG96" s="821"/>
      <c r="AH96" s="821"/>
      <c r="AI96" s="821"/>
      <c r="AK96" s="639"/>
      <c r="AM96" s="151"/>
      <c r="AN96" s="151"/>
      <c r="AO96" s="151"/>
      <c r="AP96" s="151"/>
      <c r="AQ96" s="151"/>
      <c r="AR96" s="151"/>
      <c r="AS96" s="151"/>
      <c r="AT96" s="151"/>
      <c r="AU96" s="151"/>
      <c r="AV96" s="151"/>
      <c r="AW96" s="781"/>
      <c r="AX96" s="781"/>
      <c r="AY96" s="781"/>
      <c r="AZ96" s="781"/>
      <c r="BA96" s="781"/>
      <c r="BB96" s="151"/>
      <c r="BC96" s="151"/>
      <c r="BD96" s="151"/>
      <c r="BE96" s="151"/>
      <c r="BF96" s="151"/>
      <c r="BG96" s="151"/>
      <c r="BH96" s="151"/>
      <c r="BI96" s="151"/>
      <c r="BJ96" s="151"/>
    </row>
    <row r="97" spans="1:63" ht="16.2" customHeight="1" thickBot="1">
      <c r="B97" s="673"/>
      <c r="D97" s="11"/>
      <c r="E97" s="800"/>
      <c r="G97" s="643" t="str">
        <f>IF(OR(AND(E95&gt;0,G95=0),AND(E93&gt;0,G93=0)),"Error: start age required",".")</f>
        <v>.</v>
      </c>
      <c r="I97" s="1546">
        <f>+I93+I94+I95+I96</f>
        <v>549600</v>
      </c>
      <c r="AB97" s="773" t="s">
        <v>1461</v>
      </c>
      <c r="AC97" s="773"/>
      <c r="AD97" s="773"/>
      <c r="AE97" s="773"/>
      <c r="AF97" s="773"/>
      <c r="AG97" s="773"/>
      <c r="AH97" s="773"/>
      <c r="AI97" s="151"/>
      <c r="AK97" s="733" t="str">
        <f>IF(G97=".","ok",1)</f>
        <v>ok</v>
      </c>
      <c r="AM97" s="151"/>
      <c r="AN97" s="151"/>
      <c r="AO97" s="151"/>
      <c r="AP97" s="151"/>
      <c r="AQ97" s="151"/>
      <c r="AR97" s="151"/>
      <c r="AS97" s="151"/>
      <c r="AT97" s="151"/>
      <c r="AU97" s="151"/>
      <c r="AV97" s="151"/>
      <c r="AW97" s="781"/>
      <c r="AX97" s="781"/>
      <c r="AY97" s="781"/>
      <c r="AZ97" s="781"/>
      <c r="BA97" s="781"/>
      <c r="BB97" s="151"/>
      <c r="BC97" s="151"/>
      <c r="BD97" s="151"/>
      <c r="BE97" s="151"/>
      <c r="BF97" s="151"/>
      <c r="BG97" s="151"/>
      <c r="BH97" s="151"/>
      <c r="BI97" s="151"/>
      <c r="BJ97" s="151"/>
    </row>
    <row r="98" spans="1:63" ht="16.2" customHeight="1">
      <c r="G98" s="641"/>
      <c r="H98" s="643" t="str">
        <f>IF(OR(AND(H93&lt;G93,H93&lt;&gt;0),AND(H95&lt;G95,H95&lt;&gt;0)),"Error: end age &lt; start age",".")</f>
        <v>.</v>
      </c>
      <c r="I98" s="31"/>
      <c r="AB98" s="694"/>
      <c r="AC98" s="109"/>
      <c r="AG98" s="313"/>
      <c r="AI98" s="151"/>
      <c r="AK98" s="733" t="str">
        <f>IF(IF(H98=".",0,1)&gt;=1,1,"ok")</f>
        <v>ok</v>
      </c>
      <c r="AM98" s="674"/>
      <c r="AN98" s="674"/>
      <c r="AO98" s="674"/>
      <c r="AP98" s="151"/>
      <c r="AQ98" s="151"/>
      <c r="AR98" s="151"/>
      <c r="AS98" s="151"/>
      <c r="AT98" s="151"/>
      <c r="AU98" s="151"/>
      <c r="AV98" s="151"/>
      <c r="AW98" s="781"/>
      <c r="AX98" s="781"/>
      <c r="AY98" s="781"/>
      <c r="AZ98" s="781"/>
      <c r="BA98" s="781"/>
      <c r="BB98" s="151"/>
      <c r="BC98" s="151"/>
      <c r="BD98" s="151"/>
      <c r="BE98" s="151"/>
      <c r="BF98" s="151"/>
      <c r="BG98" s="151"/>
      <c r="BH98" s="151"/>
      <c r="BI98" s="151"/>
      <c r="BJ98" s="151"/>
    </row>
    <row r="99" spans="1:63" ht="16.2" customHeight="1">
      <c r="B99" s="282"/>
      <c r="D99" s="659"/>
      <c r="E99" s="1577"/>
      <c r="F99" s="1559"/>
      <c r="G99" s="1560"/>
      <c r="H99" s="1561"/>
      <c r="I99" s="1562"/>
      <c r="J99" s="1563"/>
      <c r="K99" s="1564" t="s">
        <v>838</v>
      </c>
      <c r="Q99" s="1418" t="s">
        <v>2268</v>
      </c>
      <c r="AC99" s="203" t="s">
        <v>640</v>
      </c>
      <c r="AD99" s="203"/>
      <c r="AE99" s="203" t="s">
        <v>755</v>
      </c>
      <c r="AF99" s="203"/>
      <c r="AG99" s="203" t="s">
        <v>1406</v>
      </c>
      <c r="AH99" s="203"/>
      <c r="AI99" s="151"/>
      <c r="AK99" s="203"/>
      <c r="AM99" s="203"/>
      <c r="AN99" s="203"/>
      <c r="AO99" s="203"/>
      <c r="AP99" s="151"/>
      <c r="AQ99" s="151"/>
      <c r="AR99" s="151"/>
      <c r="AS99" s="151"/>
      <c r="AT99" s="151"/>
      <c r="AU99" s="151"/>
      <c r="AV99" s="151"/>
      <c r="AW99" s="781"/>
      <c r="AX99" s="781"/>
      <c r="AY99" s="781"/>
      <c r="AZ99" s="781"/>
      <c r="BA99" s="781"/>
      <c r="BB99" s="151"/>
      <c r="BC99" s="151"/>
      <c r="BD99" s="151"/>
      <c r="BE99" s="151"/>
      <c r="BF99" s="151"/>
      <c r="BG99" s="151"/>
      <c r="BH99" s="151"/>
      <c r="BI99" s="151"/>
      <c r="BJ99" s="151"/>
    </row>
    <row r="100" spans="1:63" ht="16.2" customHeight="1" thickBot="1">
      <c r="C100" s="1"/>
      <c r="D100" s="659" t="s">
        <v>104</v>
      </c>
      <c r="E100" s="1558" t="s">
        <v>1613</v>
      </c>
      <c r="F100" s="1772" t="s">
        <v>1293</v>
      </c>
      <c r="G100" s="1558" t="s">
        <v>362</v>
      </c>
      <c r="H100" s="1558" t="s">
        <v>363</v>
      </c>
      <c r="I100" s="1558" t="s">
        <v>1340</v>
      </c>
      <c r="J100" s="1558" t="s">
        <v>635</v>
      </c>
      <c r="K100" s="1558" t="s">
        <v>1291</v>
      </c>
      <c r="Q100" s="1726" t="s">
        <v>2256</v>
      </c>
      <c r="AB100" s="953" t="s">
        <v>271</v>
      </c>
      <c r="AC100" s="761" t="s">
        <v>538</v>
      </c>
      <c r="AD100" s="761" t="s">
        <v>643</v>
      </c>
      <c r="AE100" s="761" t="s">
        <v>538</v>
      </c>
      <c r="AF100" s="761" t="s">
        <v>643</v>
      </c>
      <c r="AG100" s="761" t="s">
        <v>538</v>
      </c>
      <c r="AH100" s="761" t="s">
        <v>643</v>
      </c>
      <c r="AI100" s="157"/>
      <c r="AK100" s="545"/>
      <c r="AM100" s="545"/>
      <c r="AN100" s="545"/>
      <c r="AO100" s="545"/>
      <c r="AP100" s="151"/>
      <c r="AQ100" s="151"/>
      <c r="AR100" s="151"/>
      <c r="AS100" s="151"/>
      <c r="AT100" s="151"/>
      <c r="AU100" s="151"/>
      <c r="AV100" s="151"/>
      <c r="AW100" s="781"/>
      <c r="AX100" s="781"/>
      <c r="AY100" s="781"/>
      <c r="AZ100" s="781"/>
      <c r="BA100" s="781"/>
      <c r="BB100" s="151"/>
      <c r="BC100" s="151"/>
      <c r="BD100" s="151"/>
      <c r="BE100" s="151"/>
      <c r="BF100" s="151"/>
      <c r="BG100" s="151"/>
      <c r="BH100" s="151"/>
      <c r="BI100" s="151"/>
      <c r="BJ100" s="151"/>
    </row>
    <row r="101" spans="1:63" ht="15.75" customHeight="1">
      <c r="A101" s="639"/>
      <c r="B101" s="750"/>
      <c r="C101" s="613" t="str">
        <f>IF(Your_SS=0,".",IF(AND(Your_SS_Start&lt;Your_Age,Spouse_SS_Start&lt;Spouse_Age)," error: actual ages &gt; start ages",IF(Your_SS_Start&lt;Your_Age,"error: your actual age &gt; start age",IF(Spouse_SS_Start&lt;Spouse_Age,"error: spouse age &gt; start age","."))))</f>
        <v>.</v>
      </c>
      <c r="D101" s="11" t="s">
        <v>931</v>
      </c>
      <c r="E101" s="461">
        <v>30000</v>
      </c>
      <c r="F101" s="515">
        <v>66</v>
      </c>
      <c r="G101" s="472">
        <v>70</v>
      </c>
      <c r="H101" s="751" t="str">
        <f>IF(AND(Spouse_End_Input&gt;0,Spouse_SS_CA&gt;Your_SS_CA),Spouse_End_Input,IF(AND(Your_End_Input&gt;0,Spouse_SS_CA&gt;Your_SS_CA),Your_End_Input+Spouse_Age-Your_Age,"--"))</f>
        <v>--</v>
      </c>
      <c r="I101" s="936">
        <f>ROUND(IF(Auto_Spousal="n",Your_SS_Calc,IF(Spousal_SS="you",Your_Spousal,Your_SS_Calc))/Round_To,0)*Round_To</f>
        <v>46400</v>
      </c>
      <c r="J101" s="31">
        <f>+Base!E49</f>
        <v>1065900</v>
      </c>
      <c r="K101" s="672" t="str">
        <f>IF(OR(Your_SS&gt;0,Your_SS_Start&gt;0),IF(OR(Auto_Spousal="n"),"self",IF(AND(Your_Age&gt;0,Your_SS_Calc&gt;=Your_Spousal),"self","spousal")))&amp; " - " &amp; IF(AND(Your_Age&gt;0,OR(Your_SS&gt;0,Auto_Spousal="y")),Your_SS_Year,".")</f>
        <v>self - 2027</v>
      </c>
      <c r="R101" s="1771" t="s">
        <v>1704</v>
      </c>
      <c r="S101" s="1771" t="s">
        <v>1293</v>
      </c>
      <c r="T101" s="1771" t="s">
        <v>1294</v>
      </c>
      <c r="U101" s="1771" t="s">
        <v>175</v>
      </c>
      <c r="AB101" s="582" t="s">
        <v>1296</v>
      </c>
      <c r="AC101" s="88">
        <f>+Your_SS</f>
        <v>30000</v>
      </c>
      <c r="AD101" s="88">
        <f>IF(Spouse_Age&gt;0,+Spouse_SS,0)</f>
        <v>20000</v>
      </c>
      <c r="AE101" s="88">
        <f>IF(Spouse_Age&gt;0,Spouse_SS*0.5,0)</f>
        <v>10000</v>
      </c>
      <c r="AF101" s="88">
        <f>IF(Your_Age&gt;0,Your_SS*0.5)</f>
        <v>15000</v>
      </c>
      <c r="AG101" s="88">
        <f>SS_Add</f>
        <v>0</v>
      </c>
      <c r="AH101" s="88">
        <f>SS_Add_Sp</f>
        <v>0</v>
      </c>
      <c r="AK101" s="88"/>
      <c r="AM101" s="88"/>
      <c r="AN101" s="88"/>
      <c r="AO101" s="88"/>
      <c r="AP101" s="151"/>
      <c r="AQ101" s="151"/>
      <c r="AR101" s="151"/>
      <c r="AS101" s="151"/>
      <c r="AT101" s="151"/>
      <c r="AU101" s="151"/>
      <c r="AV101" s="151"/>
      <c r="AW101" s="781"/>
      <c r="AX101" s="781"/>
      <c r="AY101" s="781"/>
      <c r="AZ101" s="781"/>
      <c r="BA101" s="781"/>
      <c r="BB101" s="151"/>
      <c r="BC101" s="151"/>
      <c r="BD101" s="151"/>
      <c r="BE101" s="151"/>
      <c r="BF101" s="151"/>
      <c r="BG101" s="151"/>
      <c r="BH101" s="151"/>
      <c r="BI101" s="151"/>
      <c r="BJ101" s="151"/>
    </row>
    <row r="102" spans="1:63" ht="15.75" customHeight="1">
      <c r="A102" s="639"/>
      <c r="B102" s="750"/>
      <c r="C102" s="1703" t="str">
        <f>IF(AND(Spouse_Age=0,Spouse_SS&gt;0),"no spouse age - delete data",".")</f>
        <v>.</v>
      </c>
      <c r="D102" s="1700" t="s">
        <v>1562</v>
      </c>
      <c r="E102" s="462">
        <v>20000</v>
      </c>
      <c r="F102" s="474">
        <v>66</v>
      </c>
      <c r="G102" s="474">
        <v>66</v>
      </c>
      <c r="H102" s="752">
        <f>IF(AND(Your_End_Input&gt;0,Your_SS_CA&gt;Spouse_SS_CA),Your_End_Input,IF(AND(Spouse_End_Input&gt;0,Your_SS_CA&gt;Spouse_SS_CA),Spouse_End_Input+Your_Age-Spouse_Age,"--"))</f>
        <v>85</v>
      </c>
      <c r="I102" s="937">
        <f>ROUND(IF(Auto_Spousal="n",Spouse_SS_Calc,IF(Spousal_SS="spouse",Spouse_Spousal,Spouse_SS_Calc))/Round_To,0)*Round_To</f>
        <v>22100</v>
      </c>
      <c r="J102" s="38">
        <f>+Base!E60</f>
        <v>451000</v>
      </c>
      <c r="K102" s="672" t="str">
        <f>IF(Spouse_Age=0,".",IF(OR(Spouse_SS&gt;0,Spouse_SS_Start&gt;0),IF(OR(Auto_Spousal="n"),"self",IF(AND(Spouse_Age&gt;0,Spouse_SS&gt;=Your_SS*0.5),"self","spousal")))) &amp; " - " &amp; IF(AND(Spouse_Age&gt;0,OR(Spouse_SS&gt;0,Auto_Spousal="y")),Spouse_SS_Year,".")</f>
        <v>self - 2024</v>
      </c>
      <c r="Q102" s="205" t="s">
        <v>931</v>
      </c>
      <c r="R102" s="1776">
        <v>62</v>
      </c>
      <c r="S102" s="1776">
        <v>66</v>
      </c>
      <c r="T102" s="1776">
        <v>30000</v>
      </c>
      <c r="U102" s="513">
        <v>0.02</v>
      </c>
      <c r="AB102" s="584" t="s">
        <v>1297</v>
      </c>
      <c r="AC102" s="88">
        <f>+FRA_You</f>
        <v>66</v>
      </c>
      <c r="AD102" s="88">
        <f>+FRA_Spouse</f>
        <v>66</v>
      </c>
      <c r="AK102" s="88"/>
      <c r="AM102" s="585"/>
      <c r="AN102" s="88"/>
      <c r="AO102" s="585"/>
      <c r="AP102" s="157"/>
      <c r="AQ102" s="157"/>
      <c r="AR102" s="157"/>
      <c r="AS102" s="157"/>
      <c r="AT102" s="157"/>
      <c r="AU102" s="157"/>
      <c r="AV102" s="157"/>
      <c r="AW102" s="782"/>
      <c r="AX102" s="782"/>
      <c r="AY102" s="782"/>
      <c r="AZ102" s="782"/>
      <c r="BA102" s="782"/>
      <c r="BB102" s="157"/>
      <c r="BC102" s="157"/>
      <c r="BD102" s="157"/>
      <c r="BE102" s="157"/>
      <c r="BF102" s="157"/>
      <c r="BG102" s="157"/>
      <c r="BH102" s="157"/>
      <c r="BI102" s="157"/>
      <c r="BJ102" s="157"/>
    </row>
    <row r="103" spans="1:63" ht="15.75" customHeight="1">
      <c r="B103" s="528" t="str">
        <f>IF(SS_Started="y",IF(OR(Your_SS_Start=Your_Age,Spouse_SS_Start=Spouse_Age),".","error: start age must = age"),".")</f>
        <v>.</v>
      </c>
      <c r="C103" s="589"/>
      <c r="D103" s="531" t="s">
        <v>477</v>
      </c>
      <c r="E103" s="513">
        <v>0.02</v>
      </c>
      <c r="H103" s="629" t="s">
        <v>279</v>
      </c>
      <c r="I103" s="535">
        <f>+Your_SS_CA+Spouse_SS_CA</f>
        <v>68500</v>
      </c>
      <c r="J103" s="31">
        <f>+J101+J102</f>
        <v>1516900</v>
      </c>
      <c r="K103" s="1"/>
      <c r="Q103" s="205" t="s">
        <v>1562</v>
      </c>
      <c r="R103" s="1777">
        <v>61</v>
      </c>
      <c r="S103" s="1777">
        <v>66</v>
      </c>
      <c r="T103" s="1777">
        <v>20000</v>
      </c>
      <c r="AB103" s="584" t="s">
        <v>772</v>
      </c>
      <c r="AC103" s="88">
        <f>Your_Age</f>
        <v>62</v>
      </c>
      <c r="AD103" s="88">
        <f>Spouse_Age</f>
        <v>61</v>
      </c>
      <c r="AE103" s="88">
        <f>Your_Age</f>
        <v>62</v>
      </c>
      <c r="AF103" s="585">
        <f>Spouse_Age</f>
        <v>61</v>
      </c>
      <c r="AG103" s="88">
        <f>Your_Age</f>
        <v>62</v>
      </c>
      <c r="AH103" s="585">
        <f>Spouse_Age</f>
        <v>61</v>
      </c>
      <c r="AK103" s="733" t="str">
        <f>IF(IF(B103=".",0,1)&gt;=1,1,"ok")</f>
        <v>ok</v>
      </c>
      <c r="AM103" s="88"/>
      <c r="AN103" s="88"/>
      <c r="AO103" s="88"/>
      <c r="BK103" s="140"/>
    </row>
    <row r="104" spans="1:63" ht="15.75" customHeight="1">
      <c r="D104" s="491" t="s">
        <v>1460</v>
      </c>
      <c r="E104" s="463" t="s">
        <v>1133</v>
      </c>
      <c r="F104" s="1493" t="str">
        <f>IF(AND(Auto_Spousal="y"),IF(AND(Spouse_SS_Year&lt;FRA_You,Spousal_SS="spouse"),"Auto error: spouse start year before your start year",IF(AND(Your_SS_Year&lt;FRA_Spouse,Spousal_SS="you"),"Auto error: you start year before spouse start year",".")),".")</f>
        <v>.</v>
      </c>
      <c r="AB104" s="584" t="s">
        <v>1568</v>
      </c>
      <c r="AC104" s="88">
        <f>Your_SS_Start</f>
        <v>70</v>
      </c>
      <c r="AD104" s="88">
        <f>+Spouse_SS_Start</f>
        <v>66</v>
      </c>
      <c r="AE104" s="88">
        <f>Your_SS_Start</f>
        <v>70</v>
      </c>
      <c r="AF104" s="88">
        <f>+Spouse_SS_Start</f>
        <v>66</v>
      </c>
      <c r="AG104" s="88">
        <f>SS_Add_Start</f>
        <v>0</v>
      </c>
      <c r="AH104" s="88">
        <f>SS_Add_Start_Sp</f>
        <v>0</v>
      </c>
      <c r="AM104" s="88"/>
      <c r="AN104" s="88"/>
      <c r="AO104" s="88"/>
      <c r="BK104" s="140"/>
    </row>
    <row r="105" spans="1:63" ht="15.75" customHeight="1">
      <c r="B105" s="528"/>
      <c r="D105" s="1700" t="s">
        <v>1459</v>
      </c>
      <c r="E105" s="962" t="s">
        <v>1133</v>
      </c>
      <c r="F105" s="881"/>
      <c r="G105" s="1031" t="str">
        <f>IF(Auto_Spousal="y",IF(Spouse_Age=0,"must be n","."),".")</f>
        <v>.</v>
      </c>
      <c r="H105" s="8" t="s">
        <v>1342</v>
      </c>
      <c r="I105" s="191">
        <f>ROUND(IF(OR(Spousal_SS="none",AND(Your_SB="self",Spouse_SB="self")),0,IF(Your_Spousal&gt;Spouse_Spousal,Your_Spousal,Spouse_Spousal))/Round_To,0)*Round_To</f>
        <v>0</v>
      </c>
      <c r="J105" s="31">
        <f>IF(Your_SB="spousal",Base!E$40,IF(Spouse_SB="spousal",Base!E$51,0))</f>
        <v>0</v>
      </c>
      <c r="K105" s="475" t="str">
        <f>IF(AND(Your_SB="spousal",Spousal_CA&gt;0,OR(Your_SS&gt;0,Auto_Spousal="y")),"you",IF(AND(OR(Spouse_SB="spousal",Spousal_SS="spouse"),Spousal_CA&gt;0,OR(Spouse_SS&gt;0,Auto_Spousal="y")),"spouse","-"))</f>
        <v>-</v>
      </c>
      <c r="Q105" s="630" t="s">
        <v>2264</v>
      </c>
      <c r="R105" s="630" t="s">
        <v>2262</v>
      </c>
      <c r="S105" s="926"/>
      <c r="T105" s="630" t="s">
        <v>2267</v>
      </c>
      <c r="U105" s="1785"/>
      <c r="V105" s="630" t="s">
        <v>186</v>
      </c>
      <c r="W105" s="1785"/>
      <c r="X105" s="250" t="s">
        <v>2263</v>
      </c>
      <c r="Y105" s="250"/>
      <c r="AB105" s="584" t="s">
        <v>773</v>
      </c>
      <c r="AC105" s="88">
        <f t="shared" ref="AC105:AH105" si="10">+AC104-AC103</f>
        <v>8</v>
      </c>
      <c r="AD105" s="88">
        <f t="shared" si="10"/>
        <v>5</v>
      </c>
      <c r="AE105" s="88">
        <f t="shared" si="10"/>
        <v>8</v>
      </c>
      <c r="AF105" s="88">
        <f t="shared" si="10"/>
        <v>5</v>
      </c>
      <c r="AG105" s="88">
        <f t="shared" si="10"/>
        <v>-62</v>
      </c>
      <c r="AH105" s="88">
        <f t="shared" si="10"/>
        <v>-61</v>
      </c>
      <c r="AK105" s="733"/>
      <c r="AM105" s="18"/>
      <c r="AN105" s="18"/>
      <c r="AO105" s="18"/>
      <c r="BK105" s="140"/>
    </row>
    <row r="106" spans="1:63" ht="15.75" customHeight="1" thickBot="1">
      <c r="B106" s="555" t="str">
        <f>IF(AND(SS_Add&gt;0,SS_Add_End=0),"ending age req'd",".")</f>
        <v>.</v>
      </c>
      <c r="D106" s="11" t="s">
        <v>1299</v>
      </c>
      <c r="E106" s="462"/>
      <c r="G106" s="474"/>
      <c r="H106" s="514"/>
      <c r="I106" s="123">
        <f>ROUND(Your_SS_Add/Round_To,0)*Round_To</f>
        <v>0</v>
      </c>
      <c r="J106" s="300">
        <f>+Base!E42</f>
        <v>0</v>
      </c>
      <c r="K106" s="672" t="str">
        <f>IF(SS_Add=0,"-",HLOOKUP(SS_Add_Start,$E$349:$BE$351,3,TRUE))</f>
        <v>-</v>
      </c>
      <c r="Q106" s="1786" t="s">
        <v>362</v>
      </c>
      <c r="R106" s="1786" t="s">
        <v>538</v>
      </c>
      <c r="S106" s="1786" t="s">
        <v>643</v>
      </c>
      <c r="T106" s="1786" t="s">
        <v>538</v>
      </c>
      <c r="U106" s="1786" t="s">
        <v>643</v>
      </c>
      <c r="V106" s="1786" t="s">
        <v>538</v>
      </c>
      <c r="W106" s="1786" t="s">
        <v>643</v>
      </c>
      <c r="X106" s="1786" t="s">
        <v>538</v>
      </c>
      <c r="Y106" s="1786" t="s">
        <v>643</v>
      </c>
      <c r="Z106" s="391" t="s">
        <v>2048</v>
      </c>
      <c r="AB106" s="584" t="s">
        <v>477</v>
      </c>
      <c r="AC106" s="18">
        <f>(1+SS_COLA)^AC105-1</f>
        <v>0.17165938100226552</v>
      </c>
      <c r="AD106" s="18">
        <f>(1+SS_COLA)^AD105-1</f>
        <v>0.10408080320000002</v>
      </c>
      <c r="AE106" s="18">
        <f>IF(AE101=0,0,(1+SS_COLA)^AE105-1)</f>
        <v>0.17165938100226552</v>
      </c>
      <c r="AF106" s="18">
        <f>IF(AF101=0,0,(1+SS_COLA)^AF105-1)</f>
        <v>0.10408080320000002</v>
      </c>
      <c r="AG106" s="18">
        <f>IF(AG101=0,0,(1+SS_COLA)^AG105-1)</f>
        <v>0</v>
      </c>
      <c r="AH106" s="18">
        <f>IF(AH101=0,0,(1+SS_COLA)^AH105-1)</f>
        <v>0</v>
      </c>
      <c r="AK106" s="733"/>
      <c r="AM106" s="88"/>
      <c r="AN106" s="88"/>
      <c r="AO106" s="88"/>
      <c r="BK106" s="140"/>
    </row>
    <row r="107" spans="1:63" ht="15.75" customHeight="1">
      <c r="B107" s="555" t="str">
        <f>IF(AND(SS_Add_Sp&gt;0,SS_Add_End_Sp=0),"ending age req'd",".")</f>
        <v>.</v>
      </c>
      <c r="C107" s="1"/>
      <c r="D107" s="1700" t="s">
        <v>1562</v>
      </c>
      <c r="E107" s="462"/>
      <c r="G107" s="474"/>
      <c r="H107" s="514"/>
      <c r="I107" s="123">
        <f>ROUND(Spouse_SS_Add/Round_To,0)*Round_To</f>
        <v>0</v>
      </c>
      <c r="J107" s="300">
        <f>+Base!E53</f>
        <v>0</v>
      </c>
      <c r="K107" s="672" t="str">
        <f>IF(SS_Add_Sp=0,"-",HLOOKUP(SS_Add_Start_Sp,$E$350:$BE$351,2,TRUE))</f>
        <v>-</v>
      </c>
      <c r="Q107" s="628">
        <f t="shared" ref="Q107:Q114" si="11">+Q108-1</f>
        <v>62</v>
      </c>
      <c r="R107" s="346">
        <f t="shared" ref="R107:R115" si="12">+T107*(1+$X107)</f>
        <v>22500</v>
      </c>
      <c r="S107" s="346">
        <f t="shared" ref="S107:S115" si="13">+U107*(1+$Y107)</f>
        <v>15300</v>
      </c>
      <c r="T107" s="346">
        <f>+T$111*$V107</f>
        <v>22500</v>
      </c>
      <c r="U107" s="346">
        <f>+U$111*$W107</f>
        <v>15000</v>
      </c>
      <c r="V107" s="581">
        <f>IF(Test_FRA_Y=66,0.75,0.7)</f>
        <v>0.75</v>
      </c>
      <c r="W107" s="581">
        <f>IF(Test_FRA_S=66,0.75,0.7)</f>
        <v>0.75</v>
      </c>
      <c r="X107" s="762">
        <f t="shared" ref="X107:X115" si="14">(1+Test_COLA)^($Q107-Test_Age_Y)-1</f>
        <v>0</v>
      </c>
      <c r="Y107" s="762">
        <f t="shared" ref="Y107:Y115" si="15">(1+Test_COLA)^($Q107-Test_Age_S)-1</f>
        <v>2.0000000000000018E-2</v>
      </c>
      <c r="Z107" s="391" t="s">
        <v>2048</v>
      </c>
      <c r="AB107" s="584" t="s">
        <v>774</v>
      </c>
      <c r="AC107" s="88">
        <f>IF(AND(SS_Started="y",AC103=AC104),0,+AC104-FRA_You)</f>
        <v>4</v>
      </c>
      <c r="AD107" s="88">
        <f>IF(AND(SS_Started="y",AD103=AD104),0,+AD104-FRA_Spouse)</f>
        <v>0</v>
      </c>
      <c r="AE107" s="88">
        <f>IF(AE104=0,0,IF(+AE104-FRA_You&lt;0,AE104-FRA_You,0))</f>
        <v>0</v>
      </c>
      <c r="AF107" s="88">
        <f>IF(AF104=0,0,IF(+AF104-FRA_You&lt;0,AF104-FRA_You,0))</f>
        <v>0</v>
      </c>
      <c r="AG107" s="88"/>
      <c r="AH107" s="88"/>
      <c r="AK107" s="144"/>
      <c r="AM107" s="122"/>
      <c r="AN107" s="122"/>
      <c r="AO107" s="122"/>
      <c r="BK107" s="140"/>
    </row>
    <row r="108" spans="1:63" ht="15.75" customHeight="1">
      <c r="B108" s="1543"/>
      <c r="D108" s="1461" t="s">
        <v>2017</v>
      </c>
      <c r="E108" s="1494">
        <v>0.23</v>
      </c>
      <c r="F108" s="1497">
        <v>2035</v>
      </c>
      <c r="G108" s="1649" t="str">
        <f>IF(OR(SS_re_pc=0,SS_re_yr=0),"&lt; not using","&lt; using")</f>
        <v>&lt; using</v>
      </c>
      <c r="I108" s="1616" t="s">
        <v>2197</v>
      </c>
      <c r="Q108" s="626">
        <f t="shared" si="11"/>
        <v>63</v>
      </c>
      <c r="R108" s="346">
        <f t="shared" si="12"/>
        <v>24480</v>
      </c>
      <c r="S108" s="346">
        <f t="shared" si="13"/>
        <v>16646.400000000001</v>
      </c>
      <c r="T108" s="346">
        <f>+T$111*$V108</f>
        <v>24000</v>
      </c>
      <c r="U108" s="346">
        <f>+U$111*$W108</f>
        <v>16000</v>
      </c>
      <c r="V108" s="581">
        <f>IF(Test_FRA_Y=66,0.8,0.75)</f>
        <v>0.8</v>
      </c>
      <c r="W108" s="581">
        <f>IF(Test_FRA_S=66,0.8,0.75)</f>
        <v>0.8</v>
      </c>
      <c r="X108" s="762">
        <f t="shared" si="14"/>
        <v>2.0000000000000018E-2</v>
      </c>
      <c r="Y108" s="762">
        <f t="shared" si="15"/>
        <v>4.0399999999999991E-2</v>
      </c>
      <c r="AB108" s="584" t="s">
        <v>1295</v>
      </c>
      <c r="AC108" s="122">
        <f>IF(OR(AC104=0,AC104&lt;62,AND(SS_Started="y",AC103=AC104)),0,VLOOKUP(AC104,$AB$131:$AJ$139,5,TRUE)-1)</f>
        <v>0.32000000000000006</v>
      </c>
      <c r="AD108" s="122">
        <f>IF(OR(AD104=0,AD104&lt;62,AND(SS_Started="y",AD103=AD104)),0,VLOOKUP(AD104,$AB$131:$AJ$139,6,TRUE)-1)</f>
        <v>0</v>
      </c>
      <c r="AE108" s="122">
        <f>IF(OR(AE104=0,AE104&lt;62,AND(SS_Started="y",AE103=AE104)),0,IF(OR(AE104=0,AE107=0),0,-VLOOKUP(AE104,$AB$131:$AJ$139,7,TRUE)))</f>
        <v>0</v>
      </c>
      <c r="AF108" s="122">
        <f>IF(OR(AF104=0,AF104&lt;62,AND(SS_Started="y",AF103=AF104)),0,IF(OR(AF104=0,AF107=0),0,-VLOOKUP(AF104,$AB$131:$AJ$139,8,TRUE)))</f>
        <v>0</v>
      </c>
      <c r="AG108" s="122"/>
      <c r="AH108" s="122"/>
      <c r="AI108" s="170" t="s">
        <v>2048</v>
      </c>
      <c r="AK108" s="733"/>
      <c r="AM108" s="88"/>
      <c r="AN108" s="88"/>
      <c r="AO108" s="88"/>
      <c r="BK108" s="140"/>
    </row>
    <row r="109" spans="1:63" ht="15.75" customHeight="1">
      <c r="B109" s="278"/>
      <c r="E109" s="966"/>
      <c r="G109" s="170" t="str">
        <f>IF(SS_Started="n",IF(OR(Your_SS_Start&gt;70,Spouse_SS_Start&gt;70),"Error: an age is over 70 - set benefits started to y","."),".")</f>
        <v>.</v>
      </c>
      <c r="H109" s="1503"/>
      <c r="I109" s="1528" t="s">
        <v>2221</v>
      </c>
      <c r="J109" s="1529"/>
      <c r="K109" s="1528"/>
      <c r="Q109" s="626">
        <f t="shared" si="11"/>
        <v>64</v>
      </c>
      <c r="R109" s="346">
        <f t="shared" si="12"/>
        <v>27060.804</v>
      </c>
      <c r="S109" s="346">
        <f t="shared" si="13"/>
        <v>18401.346719999998</v>
      </c>
      <c r="T109" s="346">
        <f>+T$111*$V109</f>
        <v>26010</v>
      </c>
      <c r="U109" s="346">
        <f>+U$111*$W109</f>
        <v>17340</v>
      </c>
      <c r="V109" s="581">
        <f>IF(Test_FRA_Y=66,0.867,0.8)</f>
        <v>0.86699999999999999</v>
      </c>
      <c r="W109" s="581">
        <f>IF(Test_FRA_S=66,0.867,0.8)</f>
        <v>0.86699999999999999</v>
      </c>
      <c r="X109" s="762">
        <f t="shared" si="14"/>
        <v>4.0399999999999991E-2</v>
      </c>
      <c r="Y109" s="762">
        <f t="shared" si="15"/>
        <v>6.1207999999999929E-2</v>
      </c>
      <c r="AB109" s="584" t="s">
        <v>1366</v>
      </c>
      <c r="AC109" s="88">
        <f>+AC101*(1+AC106)*(1+AC108)</f>
        <v>46397.711487689718</v>
      </c>
      <c r="AD109" s="88">
        <f>+AD101*(1+AD106)*(1+AD108)</f>
        <v>22081.616064000002</v>
      </c>
      <c r="AE109" s="88">
        <f>+AE101*(1+AE106)*IF(AND(AE108&gt;-0.5,AE108&lt;&gt;0),-AE108*2,(1+AE108))</f>
        <v>11716.593810022656</v>
      </c>
      <c r="AF109" s="88">
        <f>+AF101*(1+AF106)*IF(AND(AF108&gt;-0.5,AF108&lt;&gt;0),-AF108*2,(1+AF108))</f>
        <v>16561.212048000001</v>
      </c>
      <c r="AG109" s="88">
        <f>+AG101*(1+AG106)*IF(AND(AG108&gt;-0.5,AG108&lt;&gt;0),-AG108*2,(1+AG108))</f>
        <v>0</v>
      </c>
      <c r="AH109" s="88">
        <f>+AH101*(1+AH106)*IF(AND(AH108&gt;-0.5,AH108&lt;&gt;0),-AH108*2,(1+AH108))</f>
        <v>0</v>
      </c>
      <c r="AM109" s="675"/>
      <c r="AN109" s="675"/>
      <c r="AO109" s="183"/>
      <c r="BK109" s="140"/>
    </row>
    <row r="110" spans="1:63" ht="15.75" customHeight="1">
      <c r="D110" s="659"/>
      <c r="G110" s="251" t="str">
        <f>IF(Auto_Spousal="y",IF(OR(Your_SS_Start&lt;62,Spouse_SS_Start&lt;62),"Error: age below 62","."),".")</f>
        <v>.</v>
      </c>
      <c r="I110" s="1530"/>
      <c r="J110" s="1529"/>
      <c r="K110" s="1531"/>
      <c r="Q110" s="626">
        <f t="shared" si="11"/>
        <v>65</v>
      </c>
      <c r="R110" s="346">
        <f t="shared" si="12"/>
        <v>29703.211919999998</v>
      </c>
      <c r="S110" s="346">
        <f t="shared" si="13"/>
        <v>20198.184105600001</v>
      </c>
      <c r="T110" s="346">
        <f>+T$111*$V110</f>
        <v>27990</v>
      </c>
      <c r="U110" s="346">
        <f>+U$111*$W110</f>
        <v>18660</v>
      </c>
      <c r="V110" s="581">
        <f>IF(Test_FRA_Y=66,0.933,0.867)</f>
        <v>0.93300000000000005</v>
      </c>
      <c r="W110" s="581">
        <f>IF(Test_FRA_S=66,0.933,0.867)</f>
        <v>0.93300000000000005</v>
      </c>
      <c r="X110" s="762">
        <f t="shared" si="14"/>
        <v>6.1207999999999929E-2</v>
      </c>
      <c r="Y110" s="762">
        <f t="shared" si="15"/>
        <v>8.2432159999999977E-2</v>
      </c>
      <c r="AB110" s="584" t="s">
        <v>1292</v>
      </c>
      <c r="AC110" s="1030">
        <f>IF(Your_SS_Start&gt;0,HLOOKUP(Your_SS_Start,$E$349:$BE$351,3,TRUE),0)</f>
        <v>2027</v>
      </c>
      <c r="AD110" s="1030">
        <f>IF(Spouse_SS_Start&gt;0,HLOOKUP(Spouse_SS_Start,$E$350:$BE$351,2,TRUE),0)</f>
        <v>2024</v>
      </c>
      <c r="AE110" s="293" t="s">
        <v>1166</v>
      </c>
      <c r="AF110" s="675" t="str">
        <f>IF(AND(Your_SS*0.5&gt;Spouse_SS),"spouse",IF(AND(Your_SS_Year&gt;=Spouse_SS_Year,Spouse_SS*0.5&gt;Your_SS),"you","none"))</f>
        <v>none</v>
      </c>
      <c r="AG110" s="675"/>
      <c r="AH110" s="183"/>
      <c r="AI110" s="170" t="s">
        <v>2048</v>
      </c>
      <c r="AM110" s="1"/>
      <c r="AN110" s="1"/>
      <c r="AO110" s="1"/>
      <c r="BK110" s="140"/>
    </row>
    <row r="111" spans="1:63" ht="15.75" customHeight="1">
      <c r="B111" s="1"/>
      <c r="C111" s="1"/>
      <c r="D111" s="991" t="s">
        <v>555</v>
      </c>
      <c r="E111" s="926" t="str">
        <f>IF(SS_Comparison="y","&lt; using","not using")</f>
        <v>not using</v>
      </c>
      <c r="F111" s="1554"/>
      <c r="G111" s="1554"/>
      <c r="H111" s="658"/>
      <c r="I111" s="658"/>
      <c r="J111" s="658"/>
      <c r="K111" s="658"/>
      <c r="Q111" s="627">
        <f t="shared" si="11"/>
        <v>66</v>
      </c>
      <c r="R111" s="346">
        <f t="shared" si="12"/>
        <v>32472.964799999998</v>
      </c>
      <c r="S111" s="346">
        <f t="shared" si="13"/>
        <v>22081.616064000002</v>
      </c>
      <c r="T111" s="1787">
        <f>IF($T102&gt;0,IF(Test_FRA_Y=66,$T$102,$T$102*$V111),IF(Test_FRA_Y,Test_PIA_Y,Test_PIA_Y*$V111))</f>
        <v>30000</v>
      </c>
      <c r="U111" s="1787">
        <f>IF($T103&gt;0,IF(Test_FRA_S=66,$T$103,$T$103*$W111),IF(Test_FRA_S,Test_PIA_S,Test_PIA_S*$W111))</f>
        <v>20000</v>
      </c>
      <c r="V111" s="581">
        <f>IF(Test_FRA_Y=66,1,0.933)</f>
        <v>1</v>
      </c>
      <c r="W111" s="581">
        <f>IF(Test_FRA_S=66,1,0.933)</f>
        <v>1</v>
      </c>
      <c r="X111" s="762">
        <f t="shared" si="14"/>
        <v>8.2432159999999977E-2</v>
      </c>
      <c r="Y111" s="762">
        <f t="shared" si="15"/>
        <v>0.10408080320000002</v>
      </c>
      <c r="Z111" s="1787"/>
      <c r="AG111" s="1"/>
      <c r="AH111" s="1"/>
      <c r="AM111" s="1"/>
      <c r="AN111" s="1"/>
      <c r="AO111" s="183"/>
      <c r="BK111" s="140"/>
    </row>
    <row r="112" spans="1:63" ht="15.75" customHeight="1">
      <c r="C112" s="613" t="str">
        <f>IF(Your_SS_Alt=0,".",IF(AND(Your_SS_Start_Alt&lt;Your_Age,Spouse_SS_Start_Alt&lt;Spouse_Age)," error: actual ages &gt; start ages",IF(Your_SS_Start_Alt&lt;Your_Age,"error: your actual age &gt; start age",IF(Spouse_SS_Start_Alt&lt;Spouse_Age,"error: spouse age &gt; start age","."))))</f>
        <v>.</v>
      </c>
      <c r="D112" s="11" t="s">
        <v>931</v>
      </c>
      <c r="E112" s="462">
        <v>30000</v>
      </c>
      <c r="F112" s="1035">
        <f>FRA_You</f>
        <v>66</v>
      </c>
      <c r="G112" s="472">
        <v>62</v>
      </c>
      <c r="H112" s="752" t="str">
        <f>IF(AND(Spouse_End_Input&gt;0,Spouse_SS_CA_Alt&gt;Your_SS_CA_Alt),Spouse_End_Input,IF(AND(Your_End_Input&gt;0,Spouse_SS_CA_Alt&gt;Your_SS_CA_Alt),Your_End_Input+Spouse_Age-Your_Age,"--"))</f>
        <v>--</v>
      </c>
      <c r="I112" s="123">
        <f>ROUND(IF(Auto_Spousal_Alt="n",Your_SS_Calc_Alt,IF(Spousal_SS_Alt="you",Your_Spousal_Alt,Your_SS_Calc_Alt))/Round_To,0)*Round_To</f>
        <v>22500</v>
      </c>
      <c r="J112" s="31">
        <f>+Details!E48</f>
        <v>847900</v>
      </c>
      <c r="K112" s="672" t="str">
        <f>IF(Your_SS_Start_Alt&gt;0,IF(OR(Your_SS_Alt&gt;0,Your_SS_Start_Alt&gt;0),IF(OR(Auto_Spousal_Alt="n"),"self",IF(AND(Your_Age&gt;0,Your_SS_Alt&gt;=Spouse_SS_Alt*0.5),"self","spousal"))) &amp; " - " &amp; IF(AND(Your_Age&gt;0,OR(Your_SS_Alt&gt;0,Auto_Spousal_Alt="y")),Your_SSAlt_Year,"."),0)</f>
        <v>self - 2019</v>
      </c>
      <c r="Q112" s="627">
        <f t="shared" si="11"/>
        <v>67</v>
      </c>
      <c r="R112" s="346">
        <f t="shared" si="12"/>
        <v>35772.218023680005</v>
      </c>
      <c r="S112" s="346">
        <f t="shared" si="13"/>
        <v>24325.108256102401</v>
      </c>
      <c r="T112" s="1788">
        <f>IF($T102&gt;0,IF(Test_FRA_Y=67,$T$102,T$111*$V112),IF(Test_FRA_Y=67,Test_PIA_Y,T$111*$V112))</f>
        <v>32400.000000000004</v>
      </c>
      <c r="U112" s="1788">
        <f>IF($T103&gt;0,IF(Test_FRA_S=67,$T$103,U$111*$W112),IF(Test_FRA_S=67,Test_PIA_S,U$111*$W112))</f>
        <v>21600</v>
      </c>
      <c r="V112" s="581">
        <f>IF(Test_FRA_Y=66,1.08,1)</f>
        <v>1.08</v>
      </c>
      <c r="W112" s="581">
        <f>IF(Test_FRA_S=66,1.08,1)</f>
        <v>1.08</v>
      </c>
      <c r="X112" s="762">
        <f t="shared" si="14"/>
        <v>0.10408080320000002</v>
      </c>
      <c r="Y112" s="762">
        <f t="shared" si="15"/>
        <v>0.12616241926400007</v>
      </c>
      <c r="Z112" s="1787"/>
      <c r="AC112" s="109"/>
      <c r="AE112" s="724"/>
      <c r="AG112" s="1"/>
      <c r="AH112" s="183"/>
      <c r="AK112" s="733" t="str">
        <f>IF(IF(C112=".",0,1)&gt;=1,1,"ok")</f>
        <v>ok</v>
      </c>
      <c r="AM112" s="203"/>
      <c r="AN112" s="203"/>
      <c r="AO112" s="203"/>
      <c r="BK112" s="140"/>
    </row>
    <row r="113" spans="1:63" ht="15.75" customHeight="1">
      <c r="C113" s="1703" t="str">
        <f>IF(AND(Spouse_Age=0,Spouse_SS_Alt&gt;0),"no spouse age - delete data",".")</f>
        <v>.</v>
      </c>
      <c r="D113" s="1700" t="s">
        <v>1562</v>
      </c>
      <c r="E113" s="462">
        <v>20000</v>
      </c>
      <c r="F113" s="1036">
        <f>+FRA_Spouse</f>
        <v>66</v>
      </c>
      <c r="G113" s="474">
        <v>62</v>
      </c>
      <c r="H113" s="752">
        <f>IF(AND(Your_End_Input&gt;0,Your_SS_CA_Alt&gt;Spouse_SS_CA_Alt),Your_End_Input,IF(AND(Spouse_End_Input&gt;0,Your_SS_CA_Alt&gt;Spouse_SS_CA_Alt),Spouse_End_Input+Your_Age-Spouse_Age,"--"))</f>
        <v>85</v>
      </c>
      <c r="I113" s="937">
        <f>ROUND(IF(Auto_Spousal_Alt="n",Spouse_SS_Calc_Alt,IF(Spousal_SS_Alt="spouse",Spouse_Spousal_Alt,Spouse_SS_Calc_Alt))/Round_To,0)*Round_To</f>
        <v>15300</v>
      </c>
      <c r="J113" s="38">
        <f>+Details!E59</f>
        <v>398000</v>
      </c>
      <c r="K113" s="672" t="str">
        <f>IF(Spouse_SS_Start_Alt&gt;0,IF(Spouse_Age=0,".",IF(OR(Spouse_SS_Alt&gt;0,Spouse_SS_Start_Alt&gt;0),IF(OR(Auto_Spousal_Alt="n"),"self",IF(AND(Spouse_Age&gt;0,Spouse_SS_Alt&gt;=Your_SS_Alt*0.5),"self","spousal")))) &amp; " - " &amp; IF(AND(Spouse_Age&gt;0,OR(Spouse_SS_Alt&gt;0,Auto_Spousal_Alt="y")),Spouse_SSAlt_Year,"."),0)</f>
        <v>self - 2020</v>
      </c>
      <c r="Q113" s="626">
        <f t="shared" si="11"/>
        <v>68</v>
      </c>
      <c r="R113" s="346">
        <f t="shared" si="12"/>
        <v>39190.452190387201</v>
      </c>
      <c r="S113" s="346">
        <f t="shared" si="13"/>
        <v>26649.507489463293</v>
      </c>
      <c r="T113" s="346">
        <f>IF(Test_FRA_Y=66,T$111*V113,T$112*V113)</f>
        <v>34800</v>
      </c>
      <c r="U113" s="346">
        <f>IF(FRA_You=66,U$111*W113,U$112*W113)</f>
        <v>23200</v>
      </c>
      <c r="V113" s="581">
        <f>IF(Test_FRA_Y=66,1.16,1.08)</f>
        <v>1.1599999999999999</v>
      </c>
      <c r="W113" s="581">
        <f>IF(Test_FRA_S=66,1.16,1.08)</f>
        <v>1.1599999999999999</v>
      </c>
      <c r="X113" s="762">
        <f t="shared" si="14"/>
        <v>0.12616241926400007</v>
      </c>
      <c r="Y113" s="762">
        <f t="shared" si="15"/>
        <v>0.14868566764927982</v>
      </c>
      <c r="AC113" s="203" t="s">
        <v>640</v>
      </c>
      <c r="AD113" s="203"/>
      <c r="AE113" s="203" t="s">
        <v>755</v>
      </c>
      <c r="AF113" s="203"/>
      <c r="AG113" s="203" t="s">
        <v>1406</v>
      </c>
      <c r="AH113" s="203"/>
      <c r="AK113" s="733" t="str">
        <f>IF(IF(C113=".",0,1)&gt;=1,1,"ok")</f>
        <v>ok</v>
      </c>
      <c r="AM113" s="5"/>
      <c r="AN113" s="545"/>
      <c r="AO113" s="545"/>
      <c r="BK113" s="140"/>
    </row>
    <row r="114" spans="1:63" ht="15.75" customHeight="1" thickBot="1">
      <c r="B114" s="528" t="str">
        <f>IF(SS_Started_Alt="y",IF(OR(Your_SS_Start_Alt=Your_Age,Spouse_SS_Start_Alt=Spouse_Age),".","error: start age must = age"),".")</f>
        <v>.</v>
      </c>
      <c r="D114" s="531" t="s">
        <v>477</v>
      </c>
      <c r="E114" s="513">
        <v>0.02</v>
      </c>
      <c r="H114" s="8" t="s">
        <v>279</v>
      </c>
      <c r="I114" s="938">
        <f>+Your_SS_CA_Alt+Spouse_SS_CA_Alt</f>
        <v>37800</v>
      </c>
      <c r="J114" s="135">
        <f>+J112+J113</f>
        <v>1245900</v>
      </c>
      <c r="K114" s="100"/>
      <c r="Q114" s="626">
        <f t="shared" si="11"/>
        <v>69</v>
      </c>
      <c r="R114" s="346">
        <f t="shared" si="12"/>
        <v>42731.106836553212</v>
      </c>
      <c r="S114" s="346">
        <f t="shared" si="13"/>
        <v>29057.152648856187</v>
      </c>
      <c r="T114" s="346">
        <f>IF(Test_FRA_Y,T$111*V114,T$112*V114)</f>
        <v>37200</v>
      </c>
      <c r="U114" s="346">
        <f>IF(FRA_You=66,U$111*W114,U$112*W114)</f>
        <v>24800</v>
      </c>
      <c r="V114" s="581">
        <f>IF(Test_FRA_Y=66,1.24,1.16)</f>
        <v>1.24</v>
      </c>
      <c r="W114" s="581">
        <f>IF(Test_FRA_S=66,1.24,1.16)</f>
        <v>1.24</v>
      </c>
      <c r="X114" s="762">
        <f t="shared" si="14"/>
        <v>0.14868566764927982</v>
      </c>
      <c r="Y114" s="762">
        <f t="shared" si="15"/>
        <v>0.17165938100226552</v>
      </c>
      <c r="AB114" s="953" t="s">
        <v>272</v>
      </c>
      <c r="AC114" s="607" t="s">
        <v>538</v>
      </c>
      <c r="AD114" s="607" t="s">
        <v>643</v>
      </c>
      <c r="AE114" s="607" t="s">
        <v>538</v>
      </c>
      <c r="AF114" s="607" t="s">
        <v>643</v>
      </c>
      <c r="AG114" s="761" t="s">
        <v>538</v>
      </c>
      <c r="AH114" s="761" t="s">
        <v>643</v>
      </c>
      <c r="AK114" s="733" t="str">
        <f>IF(IF(B114=".",0,1)&gt;=1,1,"ok")</f>
        <v>ok</v>
      </c>
      <c r="AM114" s="88"/>
      <c r="AN114" s="88"/>
      <c r="AO114" s="88"/>
      <c r="BK114" s="140"/>
    </row>
    <row r="115" spans="1:63" ht="15.75" customHeight="1">
      <c r="B115" s="528"/>
      <c r="D115" s="491" t="s">
        <v>1460</v>
      </c>
      <c r="E115" s="463" t="s">
        <v>1133</v>
      </c>
      <c r="F115" s="636" t="str">
        <f>IF(AND(Auto_Spousal_Alt="y"),IF(AND(Spouse_SSAlt_Year&lt;FRA_You,Spousal_SS_Alt="spouse"),"Auto error: spouse start year before you start year",IF(AND(Your_SSAlt_Year&lt;FRA_Spouse,Spousal_SS_Alt="you"),"Auto error: you start year before spouse start year",".")),".")</f>
        <v>.</v>
      </c>
      <c r="Q115" s="626">
        <v>70</v>
      </c>
      <c r="R115" s="346">
        <f t="shared" si="12"/>
        <v>46397.711487689718</v>
      </c>
      <c r="S115" s="346">
        <f t="shared" si="13"/>
        <v>31550.443811629008</v>
      </c>
      <c r="T115" s="346">
        <f>IF(Test_FRA_Y,T$111*V115,T$112*V115)</f>
        <v>39600</v>
      </c>
      <c r="U115" s="346">
        <f>IF(FRA_You=66,U$111*W115,U$112*W115)</f>
        <v>26400</v>
      </c>
      <c r="V115" s="581">
        <f>IF(Test_FRA_Y=66,1.32,1.24)</f>
        <v>1.32</v>
      </c>
      <c r="W115" s="581">
        <f>IF(Test_FRA_S=66,1.32,1.24)</f>
        <v>1.32</v>
      </c>
      <c r="X115" s="762">
        <f t="shared" si="14"/>
        <v>0.17165938100226552</v>
      </c>
      <c r="Y115" s="762">
        <f t="shared" si="15"/>
        <v>0.19509256862231084</v>
      </c>
      <c r="AB115" s="582" t="s">
        <v>1294</v>
      </c>
      <c r="AC115" s="88">
        <f>+Your_SS_Alt</f>
        <v>30000</v>
      </c>
      <c r="AD115" s="88">
        <f>IF(Spouse_Age&gt;0,+Spouse_SS_Alt,0)</f>
        <v>20000</v>
      </c>
      <c r="AE115" s="88">
        <f>IF(Spouse_Age&gt;0,Spouse_SS_Alt*0.5,0)</f>
        <v>10000</v>
      </c>
      <c r="AF115" s="88">
        <f>IF(Your_Age&gt;0,Your_SS_Alt*0.5)</f>
        <v>15000</v>
      </c>
      <c r="AG115" s="88">
        <f>SS_Add_Alt</f>
        <v>5000</v>
      </c>
      <c r="AH115" s="88">
        <f>SS_Add_Alt_Sp</f>
        <v>0</v>
      </c>
      <c r="AK115" s="733"/>
      <c r="AM115" s="585"/>
      <c r="AN115" s="88"/>
      <c r="AO115" s="585"/>
      <c r="BK115" s="140"/>
    </row>
    <row r="116" spans="1:63" ht="15.75" customHeight="1">
      <c r="B116" s="528"/>
      <c r="D116" s="1700" t="s">
        <v>1459</v>
      </c>
      <c r="E116" s="963" t="s">
        <v>1133</v>
      </c>
      <c r="G116" s="1031" t="str">
        <f>IF(Auto_Spousal_Alt="y",IF(Spouse_Age=0,"must be n","."),".")</f>
        <v>.</v>
      </c>
      <c r="H116" s="8" t="s">
        <v>1342</v>
      </c>
      <c r="I116" s="191">
        <f>ROUND(IF(OR(Spousal_SS_Alt="none",AND(Your_SB_Alt="self",Spouse_SB_Alt="self")),0,IF(Your_Spousal_Alt&gt;Spouse_Spousal_Alt,Your_Spousal_Alt,Spouse_Spousal_Alt))/Round_To,0)*Round_To</f>
        <v>0</v>
      </c>
      <c r="J116" s="31">
        <f>IF(Your_SB_Alt="spousal",Details!E$46,IF(Spouse_SB_Alt="spousal",Details!E$57,0))</f>
        <v>0</v>
      </c>
      <c r="K116" s="475" t="str">
        <f>IF(AND(Your_SB_Alt="spousal",Spousal_CA_Alt&gt;0,OR(Your_SS_Alt&gt;0,Auto_Spousal_Alt="y")),"you",IF(AND(OR(Spouse_SB_Alt="spousal",Spousal_SS_Alt="spouse"),Spousal_CA_Alt&gt;0,OR(Spouse_SS_Alt&gt;0,Auto_Spousal_Alt="y")),"spouse","-"))</f>
        <v>-</v>
      </c>
      <c r="AB116" s="584" t="s">
        <v>1297</v>
      </c>
      <c r="AC116" s="88">
        <f>+FRA_You</f>
        <v>66</v>
      </c>
      <c r="AD116" s="88">
        <f>+FRA_Spouse</f>
        <v>66</v>
      </c>
      <c r="AK116" s="733"/>
      <c r="AM116" s="88"/>
      <c r="AN116" s="88"/>
      <c r="AO116" s="88"/>
      <c r="BK116" s="140"/>
    </row>
    <row r="117" spans="1:63" ht="15.75" customHeight="1">
      <c r="B117" s="555" t="str">
        <f>IF(AND(SS_Add_Alt&gt;0,SS_Add_End_Alt=0),"ending age req'd",".")</f>
        <v>.</v>
      </c>
      <c r="C117" s="1"/>
      <c r="D117" s="11" t="s">
        <v>1299</v>
      </c>
      <c r="E117" s="462">
        <v>5000</v>
      </c>
      <c r="G117" s="474">
        <v>62</v>
      </c>
      <c r="H117" s="514">
        <v>69</v>
      </c>
      <c r="I117" s="123">
        <f>ROUND(Your_SS_Add_Alt/Round_To,0)*Round_To</f>
        <v>5000</v>
      </c>
      <c r="J117" s="300">
        <f>+Details!E47</f>
        <v>42800</v>
      </c>
      <c r="K117" s="672">
        <f>IF(OR(SS_Add_Alt=0,SS_Add_Start_Alt&lt;Your_Age),"-",HLOOKUP(SS_Add_Start_Alt,$E$349:$BE$351,3,TRUE))</f>
        <v>2019</v>
      </c>
      <c r="Q117" s="160" t="s">
        <v>2265</v>
      </c>
      <c r="Z117" s="391" t="s">
        <v>2048</v>
      </c>
      <c r="AB117" s="584" t="s">
        <v>772</v>
      </c>
      <c r="AC117" s="88">
        <f>Your_Age</f>
        <v>62</v>
      </c>
      <c r="AD117" s="88">
        <f>Spouse_Age</f>
        <v>61</v>
      </c>
      <c r="AE117" s="88">
        <f>Your_Age</f>
        <v>62</v>
      </c>
      <c r="AF117" s="585">
        <f>Spouse_Age</f>
        <v>61</v>
      </c>
      <c r="AG117" s="88">
        <f>Your_Age</f>
        <v>62</v>
      </c>
      <c r="AH117" s="585">
        <f>Spouse_Age</f>
        <v>61</v>
      </c>
      <c r="AK117" s="144"/>
      <c r="AM117" s="88"/>
      <c r="AN117" s="88"/>
      <c r="AO117" s="88"/>
      <c r="BK117" s="140"/>
    </row>
    <row r="118" spans="1:63" ht="15.75" customHeight="1">
      <c r="B118" s="555" t="str">
        <f>IF(AND(SS_Add_Alt_Sp&gt;0,SS_Add_End_Alt_Sp=0),"ending age req'd",".")</f>
        <v>.</v>
      </c>
      <c r="C118" s="1"/>
      <c r="D118" s="1700" t="s">
        <v>1562</v>
      </c>
      <c r="E118" s="462"/>
      <c r="G118" s="474"/>
      <c r="H118" s="514"/>
      <c r="I118" s="123">
        <f>ROUND(Spouse_SS_Add_Alt/Round_To,0)*Round_To</f>
        <v>0</v>
      </c>
      <c r="J118" s="300">
        <f>+Details!E58</f>
        <v>0</v>
      </c>
      <c r="K118" s="672" t="str">
        <f>IF(OR(SS_Add_Alt_Sp=0,SS_Add_Alt_Sp&lt;Spouse_Age),"-",HLOOKUP(SS_Add_Start_Alt_Sp,$E$350:$BE$351,2,TRUE))</f>
        <v>-</v>
      </c>
      <c r="Z118" s="391" t="s">
        <v>2048</v>
      </c>
      <c r="AB118" s="584" t="s">
        <v>1568</v>
      </c>
      <c r="AC118" s="88">
        <f>Your_SS_Start_Alt</f>
        <v>62</v>
      </c>
      <c r="AD118" s="88">
        <f>+Spouse_SS_Start_Alt</f>
        <v>62</v>
      </c>
      <c r="AE118" s="88">
        <f>Your_SS_Start_Alt</f>
        <v>62</v>
      </c>
      <c r="AF118" s="88">
        <f>+Spouse_SS_Start_Alt</f>
        <v>62</v>
      </c>
      <c r="AG118" s="88">
        <f>SS_Add_Start_Alt</f>
        <v>62</v>
      </c>
      <c r="AH118" s="88">
        <f>SS_Add_Start_Alt_Sp</f>
        <v>0</v>
      </c>
      <c r="AK118" s="733"/>
      <c r="AM118" s="18"/>
      <c r="AN118" s="18"/>
      <c r="AO118" s="18"/>
      <c r="BK118" s="140"/>
    </row>
    <row r="119" spans="1:63" ht="15.75" customHeight="1">
      <c r="B119" s="1543"/>
      <c r="D119" s="1461" t="s">
        <v>2017</v>
      </c>
      <c r="E119" s="1494">
        <v>0.23</v>
      </c>
      <c r="F119" s="1498">
        <v>2035</v>
      </c>
      <c r="G119" s="923" t="str">
        <f>IF(OR(SS_re_pc_alt=0,SS_re_yr_alt=0),"&lt; not using","&lt; using")</f>
        <v>&lt; using</v>
      </c>
      <c r="I119" s="144"/>
      <c r="Z119" s="301"/>
      <c r="AB119" s="584" t="s">
        <v>773</v>
      </c>
      <c r="AC119" s="88">
        <f t="shared" ref="AC119:AH119" si="16">+AC118-AC117</f>
        <v>0</v>
      </c>
      <c r="AD119" s="88">
        <f t="shared" si="16"/>
        <v>1</v>
      </c>
      <c r="AE119" s="88">
        <f t="shared" si="16"/>
        <v>0</v>
      </c>
      <c r="AF119" s="88">
        <f t="shared" si="16"/>
        <v>1</v>
      </c>
      <c r="AG119" s="88">
        <f t="shared" si="16"/>
        <v>0</v>
      </c>
      <c r="AH119" s="88">
        <f t="shared" si="16"/>
        <v>-61</v>
      </c>
      <c r="AM119" s="88"/>
      <c r="AN119" s="88"/>
      <c r="AO119" s="88"/>
      <c r="BK119" s="140"/>
    </row>
    <row r="120" spans="1:63" ht="15.75" customHeight="1">
      <c r="B120" s="555"/>
      <c r="E120" s="251" t="str">
        <f>IF(Auto_Spousal_Alt="y",IF(OR(Your_SS_Start_Alt&lt;62,Spouse_SS_Start_Alt&lt;62),"Error: age below 62","."),".")</f>
        <v>.</v>
      </c>
      <c r="H120" s="170" t="str">
        <f>IF(SS_Started_Alt="n",IF(OR(Your_SS_Start_Alt&gt;70,Spouse_SS_Start_Alt&gt;70),"Error: an age is over 70 - set benefits started to y","."),".")</f>
        <v>.</v>
      </c>
      <c r="Z120" s="245"/>
      <c r="AB120" s="584" t="s">
        <v>477</v>
      </c>
      <c r="AC120" s="18">
        <f>(1+SS_COLA_Alt)^AC119-1</f>
        <v>0</v>
      </c>
      <c r="AD120" s="18">
        <f>(1+SS_COLA_Alt)^AD119-1</f>
        <v>2.0000000000000018E-2</v>
      </c>
      <c r="AE120" s="18">
        <f>IF(AE115=0,0,(1+SS_COLA_Alt)^AE119-1)</f>
        <v>0</v>
      </c>
      <c r="AF120" s="18">
        <f>IF(AF115=0,0,(1+SS_COLA_Alt)^AF119-1)</f>
        <v>2.0000000000000018E-2</v>
      </c>
      <c r="AG120" s="18">
        <f>IF(AG115=0,0,(1+SS_COLA)^AG119-1)</f>
        <v>0</v>
      </c>
      <c r="AH120" s="18">
        <f>IF(AH115=0,0,(1+SS_COLA)^AH119-1)</f>
        <v>0</v>
      </c>
      <c r="AM120" s="122"/>
      <c r="AN120" s="122"/>
      <c r="AO120" s="122"/>
      <c r="BK120" s="140"/>
    </row>
    <row r="121" spans="1:63" ht="15.75" customHeight="1" thickBot="1">
      <c r="B121" s="528"/>
      <c r="D121" s="659" t="s">
        <v>105</v>
      </c>
      <c r="E121" s="144"/>
      <c r="G121" s="716" t="str">
        <f>IF(AND(SPIA_Age&gt;0,SPIA_Start=0),"Error: start age required",".")</f>
        <v>.</v>
      </c>
      <c r="H121" s="567"/>
      <c r="J121" s="1578" t="str">
        <f xml:space="preserve"> "         Funds Available at Age " &amp; SPIA_Age</f>
        <v xml:space="preserve">         Funds Available at Age 76</v>
      </c>
      <c r="K121" s="1578"/>
      <c r="L121" s="1578"/>
      <c r="M121" s="144"/>
      <c r="N121" s="509" t="s">
        <v>1712</v>
      </c>
      <c r="O121" s="268"/>
      <c r="Z121" s="301"/>
      <c r="AB121" s="584" t="s">
        <v>774</v>
      </c>
      <c r="AC121" s="88">
        <f>IF(AND(SS_Started_Alt="y",AC117=AC118),0,+AC118-FRA_You)</f>
        <v>-4</v>
      </c>
      <c r="AD121" s="88">
        <f>IF(AND(SS_Started_Alt="y",AD117=AD118),0,+AD118-FRA_Spouse)</f>
        <v>-4</v>
      </c>
      <c r="AE121" s="88">
        <f>IF(AE118=0,0,IF(+AE118-FRA_You&lt;0,AE118-FRA_You,0))</f>
        <v>-4</v>
      </c>
      <c r="AF121" s="88">
        <f>IF(AF118=0,0,IF(+AF118-FRA_You&lt;0,AF118-FRA_Spouse,0))</f>
        <v>-4</v>
      </c>
      <c r="AG121" s="88"/>
      <c r="AH121" s="88"/>
      <c r="AK121" s="733" t="str">
        <f>IF(IF(G121=".",0,1)&gt;=1,1,"ok")</f>
        <v>ok</v>
      </c>
      <c r="AM121" s="88"/>
      <c r="AN121" s="88"/>
      <c r="AO121" s="88"/>
      <c r="BK121" s="140"/>
    </row>
    <row r="122" spans="1:63" ht="15.75" customHeight="1" thickBot="1">
      <c r="B122" s="1"/>
      <c r="C122" s="1"/>
      <c r="D122" s="659" t="s">
        <v>106</v>
      </c>
      <c r="E122" s="1558" t="s">
        <v>633</v>
      </c>
      <c r="F122" s="658"/>
      <c r="G122" s="1558" t="s">
        <v>1078</v>
      </c>
      <c r="H122" s="1558" t="s">
        <v>1702</v>
      </c>
      <c r="I122" s="1554"/>
      <c r="J122" s="1558" t="s">
        <v>1695</v>
      </c>
      <c r="K122" s="1558" t="s">
        <v>89</v>
      </c>
      <c r="L122" s="1558" t="s">
        <v>1700</v>
      </c>
      <c r="N122" s="522" t="str">
        <f ca="1">IF(OR(Base!$E$8&lt;0,Base!$E$11&lt;0,Base!$E$14&lt;0,Base!$E$17&lt;0,Base!$E$18&lt;0,Details!$E$8&lt;0,Details!$E$11&lt;0,Details!$E$14&lt;0,Details!$E$17&lt;0,Details!$E$18&lt;0),"Negative final account balances - adjust factors","No negative final balances")</f>
        <v>No negative final balances</v>
      </c>
      <c r="Z122" s="391"/>
      <c r="AB122" s="584" t="s">
        <v>775</v>
      </c>
      <c r="AC122" s="122">
        <f>IF(OR(AC118=0,AC118&lt;62,AND(SS_Started_Alt="y",AC117=AC118)),0,VLOOKUP(AC118,$AB$143:$AJ$151,5,TRUE)-1)</f>
        <v>-0.25</v>
      </c>
      <c r="AD122" s="122">
        <f>IF(OR(AD118=0,AD118&lt;62,AND(SS_Started_Alt="y",AD117=AD118)),0,VLOOKUP(AD118,$AB$143:$AJ$151,6,TRUE)-1)</f>
        <v>-0.25</v>
      </c>
      <c r="AE122" s="122">
        <f>IF(OR(AE118=0,AE118&lt;62,AND(SS_Started_Alt="y",AE117=AE118)),0,IF(OR(AE118=0,AE121=0),0,-VLOOKUP(AE118,$AB$143:$AJ$151,7,TRUE)))</f>
        <v>-0.35</v>
      </c>
      <c r="AF122" s="122">
        <f>IF(OR(AF118=0,AF118&lt;62,AND(SS_Started_Alt="y",AF117=AF118)),0,IF(OR(AF118=0,AF121=0),0,-VLOOKUP(AF118,$AB$143:$AJ$151,8,TRUE)))</f>
        <v>-0.35</v>
      </c>
      <c r="AG122" s="122"/>
      <c r="AH122" s="122"/>
      <c r="AI122" s="170" t="s">
        <v>2048</v>
      </c>
      <c r="AK122" s="733" t="str">
        <f>IF(OR(AND(SPIA_From="t",SPIA_Amt&gt;$K$123),AND(SPIA_From="i",SPIA_Amt&gt;$K$124),AND(SPIA_From="r",SPIA_Amt&gt;$K$125)),1,"ok")</f>
        <v>ok</v>
      </c>
      <c r="AM122" s="675"/>
      <c r="AN122" s="675"/>
      <c r="AO122" s="183"/>
      <c r="BK122" s="140"/>
    </row>
    <row r="123" spans="1:63" ht="15.75" customHeight="1">
      <c r="B123" s="921"/>
      <c r="D123" s="11" t="s">
        <v>1030</v>
      </c>
      <c r="E123" s="653">
        <v>100000</v>
      </c>
      <c r="F123" s="532" t="s">
        <v>803</v>
      </c>
      <c r="G123" s="472">
        <v>76</v>
      </c>
      <c r="H123" s="801" t="s">
        <v>476</v>
      </c>
      <c r="I123" s="654">
        <v>9000</v>
      </c>
      <c r="J123" s="1491" t="s">
        <v>1885</v>
      </c>
      <c r="K123" s="1047">
        <f>IF(SPIA_Age&gt;Your_Age,HLOOKUP(SPIA_Age,Details!$F$4:$AS$18,5,TRUE),"")</f>
        <v>344500</v>
      </c>
      <c r="L123" s="1047">
        <f>IF(SPIA_Age&gt;Your_Age,HLOOKUP(SPIA_Age,Base!$F$4:$AS$18,5,TRUE),"")</f>
        <v>344500</v>
      </c>
      <c r="M123" s="1284" t="str">
        <f>IF(AND(SPIA_Amt&gt;0,SPIA_From="t")," using",".")</f>
        <v xml:space="preserve"> using</v>
      </c>
      <c r="N123" s="140" t="str">
        <f>IF(OR(negative_base&gt;0,Negative_Full&gt;0),"Negative yearly balance detected","No negative yearly balances")</f>
        <v>No negative yearly balances</v>
      </c>
      <c r="Z123" s="391" t="s">
        <v>2046</v>
      </c>
      <c r="AB123" s="584" t="s">
        <v>1366</v>
      </c>
      <c r="AC123" s="88">
        <f>+AC115*(1+AC120)*(1+AC122)</f>
        <v>22500</v>
      </c>
      <c r="AD123" s="88">
        <f>+AD115*(1+AD120)*(1+AD122)</f>
        <v>15300</v>
      </c>
      <c r="AE123" s="88">
        <f>+AE115*(1+AE120)*IF(AND(AE122&gt;-0.5,AE122&lt;&gt;0),-AE122*2,(1+AE122))</f>
        <v>7000</v>
      </c>
      <c r="AF123" s="88">
        <f>+AF115*(1+AF120)*IF(AND(AF122&gt;-0.5,AF122&lt;&gt;0),-AF122*2,(1+AF122))</f>
        <v>10710</v>
      </c>
      <c r="AG123" s="88">
        <f>+AG115*(1+AG120)*IF(AND(AG122&gt;-0.5,AG122&lt;&gt;0),-AG122*2,(1+AG122))</f>
        <v>5000</v>
      </c>
      <c r="AH123" s="88">
        <f>+AH115*(1+AH120)*IF(AND(AH122&gt;-0.5,AH122&lt;&gt;0),-AH122*2,(1+AH122))</f>
        <v>0</v>
      </c>
      <c r="AM123" s="1"/>
      <c r="AN123" s="1"/>
      <c r="AO123" s="1"/>
      <c r="BK123" s="140"/>
    </row>
    <row r="124" spans="1:63" ht="15.75" customHeight="1">
      <c r="B124" s="921"/>
      <c r="D124" s="491" t="s">
        <v>1694</v>
      </c>
      <c r="E124" s="631" t="s">
        <v>1494</v>
      </c>
      <c r="F124" s="801" t="s">
        <v>1568</v>
      </c>
      <c r="G124" s="474">
        <v>76</v>
      </c>
      <c r="H124" s="357" t="s">
        <v>477</v>
      </c>
      <c r="I124" s="513">
        <v>0</v>
      </c>
      <c r="J124" s="1491" t="s">
        <v>1886</v>
      </c>
      <c r="K124" s="1047">
        <f>IF(SPIA_Age&gt;Your_Age,HLOOKUP(SPIA_Age,Details!$F$4:$AS$18,6,TRUE),"")</f>
        <v>389600</v>
      </c>
      <c r="L124" s="1047">
        <f>IF(SPIA_Age&gt;Your_Age,HLOOKUP(SPIA_Age,Base!$F$4:$AS$18,6,TRUE),"")</f>
        <v>389600</v>
      </c>
      <c r="M124" s="1284" t="str">
        <f>IF(AND(SPIA_Amt&gt;0,SPIA_From="i")," using",".")</f>
        <v>.</v>
      </c>
      <c r="N124" s="144" t="str">
        <f ca="1">IF(OR(Details!$E$8&lt;0,Details!$E$11&lt;0,Details!$E$14&lt;0,Details!$E$18&lt;0),"Portfolio: Ending balance " &amp; Details!$E$8,".")</f>
        <v>.</v>
      </c>
      <c r="Z124" s="391" t="s">
        <v>2046</v>
      </c>
      <c r="AB124" s="584" t="s">
        <v>1292</v>
      </c>
      <c r="AC124" s="1030">
        <f>IF(AND(Your_SS_Start_Alt&gt;0,Your_SS_Start_Alt&gt;=Your_Age),HLOOKUP(Your_SS_Start_Alt,$E$349:$BE$351,3,TRUE),0)</f>
        <v>2019</v>
      </c>
      <c r="AD124" s="1030">
        <f>IF(AND(Spouse_SS_Start_Alt&gt;0,Spouse_SS_Start_Alt&gt;=Spouse_Age),HLOOKUP(Spouse_SS_Start_Alt,$E$350:$BE$351,2,TRUE),0)</f>
        <v>2020</v>
      </c>
      <c r="AE124" s="293" t="s">
        <v>1166</v>
      </c>
      <c r="AF124" s="675" t="str">
        <f>IF(AND(Your_SS_Alt*0.5&gt;Spouse_SS_Alt),"spouse",IF(AND(Your_SSAlt_Year&gt;=Spouse_SSAlt_Year,Spouse_SS_Alt*0.5&gt;Your_SS_Alt),"you","none"))</f>
        <v>none</v>
      </c>
      <c r="AG124" s="675"/>
      <c r="AH124" s="183"/>
      <c r="AI124" s="170" t="s">
        <v>2048</v>
      </c>
      <c r="BK124" s="140"/>
    </row>
    <row r="125" spans="1:63" ht="15.75" customHeight="1">
      <c r="D125" s="454" t="s">
        <v>2222</v>
      </c>
      <c r="E125" s="764">
        <f>+Base!E65</f>
        <v>144000</v>
      </c>
      <c r="F125" s="801" t="s">
        <v>237</v>
      </c>
      <c r="G125" s="474"/>
      <c r="H125" s="357" t="s">
        <v>77</v>
      </c>
      <c r="I125" s="513">
        <v>0.75</v>
      </c>
      <c r="J125" s="1491" t="s">
        <v>1887</v>
      </c>
      <c r="K125" s="1047">
        <f>IF(SPIA_Age&gt;Your_Age,HLOOKUP(SPIA_Age,Details!$F$4:$AS$18,12,TRUE),"")</f>
        <v>183300</v>
      </c>
      <c r="L125" s="1047">
        <f>IF(SPIA_Age&gt;Your_Age,HLOOKUP(SPIA_Age,Base!$F$4:$AS$18,12,TRUE),"")</f>
        <v>183300</v>
      </c>
      <c r="M125" s="1284" t="str">
        <f>IF(AND(SPIA_Amt&gt;0,SPIA_From="r")," using",".")</f>
        <v>.</v>
      </c>
      <c r="N125" s="144" t="str">
        <f>IF(Negative_Full&gt;0,"Portfolio: negative balances for " &amp; Negative_Full &amp; " years",".")</f>
        <v>.</v>
      </c>
      <c r="Z125" s="391" t="s">
        <v>2046</v>
      </c>
      <c r="AK125" s="733" t="str">
        <f>IF(AND(SPIA_Age&gt;0,SPIA_Start=0),1,"ok")</f>
        <v>ok</v>
      </c>
      <c r="BK125" s="140"/>
    </row>
    <row r="126" spans="1:63" ht="15.75" customHeight="1">
      <c r="C126" s="278" t="str">
        <f>IF(OR(AND(SPIA_From="t",SPIA_Amt&gt;$K$123,SPIA_Amt&gt;0),AND(SPIA_From="i",SPIA_Amt&gt;$K$124,SPIA_Amt&gt;0),AND(SPIA_From="r",SPIA_Amt&gt;$K$125,SPIA_Amt&gt;0)),"Error: Selected account balance too low for purchase in age selected: purchase set to $0.",".")</f>
        <v>.</v>
      </c>
      <c r="H126" s="1545" t="s">
        <v>2020</v>
      </c>
      <c r="I126" s="62">
        <f>+SPIA_Income*SPIA_Excl</f>
        <v>6750</v>
      </c>
      <c r="J126" s="802"/>
      <c r="K126" s="346"/>
      <c r="L126" s="346"/>
      <c r="M126" s="536"/>
      <c r="N126" s="144" t="str">
        <f ca="1">IF(OR(Base!$E$8&lt;0,Base!$E$11&lt;0,Base!$E$14&lt;0,Base!$E$18&lt;0),"Base portfolio: Ending balance " &amp; Base!$E$8,".")</f>
        <v>.</v>
      </c>
      <c r="AK126" s="733" t="str">
        <f>IF(IF(C126=".",0,1)+IF(C127=".",0,1)&gt;=1,1,"ok")</f>
        <v>ok</v>
      </c>
      <c r="BK126" s="140"/>
    </row>
    <row r="127" spans="1:63" ht="15.75" customHeight="1">
      <c r="C127" s="624" t="str">
        <f>IF(OR(AND(SPIA_From="t",SPIA_Amt&gt;$L$123,SPIA_Amt&gt;0),AND(SPIA_From="i",SPIA_Amt&gt;$L$124,SPIA_Amt&gt;0),AND(SPIA_From="r",SPIA_Amt&gt;$L$125,SPIA_Amt&gt;0)),"Error: Base case account balance too low for purchase in age selected: purchase set to $0. Cases may be different.",".")</f>
        <v>.</v>
      </c>
      <c r="F127" s="584"/>
      <c r="G127" s="1342"/>
      <c r="I127" s="591"/>
      <c r="J127" s="802"/>
      <c r="K127" s="346"/>
      <c r="L127" s="346"/>
      <c r="M127" s="536"/>
      <c r="N127" s="144" t="str">
        <f>IF(negative_base&gt;0,"Base portfolio: negative balances for " &amp; negative_base &amp; " years",".")</f>
        <v>.</v>
      </c>
      <c r="AB127" s="1769"/>
      <c r="AC127" s="1770"/>
      <c r="BK127" s="140"/>
    </row>
    <row r="128" spans="1:63" ht="19.95" customHeight="1">
      <c r="A128" s="407"/>
      <c r="B128" s="407"/>
      <c r="C128" s="407"/>
      <c r="D128" s="1073" t="s">
        <v>1812</v>
      </c>
      <c r="H128" s="589"/>
      <c r="J128" s="3"/>
      <c r="L128" s="539"/>
      <c r="Z128" s="1408">
        <v>5</v>
      </c>
      <c r="AB128" s="1769"/>
      <c r="AC128" s="1770"/>
      <c r="AD128" s="1"/>
      <c r="AK128" s="1409" t="s">
        <v>1788</v>
      </c>
      <c r="BK128" s="140"/>
    </row>
    <row r="129" spans="1:62" ht="22.2" customHeight="1" thickBot="1">
      <c r="A129" s="410"/>
      <c r="B129" s="410"/>
      <c r="C129" s="410"/>
      <c r="D129" s="416"/>
      <c r="G129" s="528" t="str">
        <f>IF(Expense_Chg_Year&gt;Your_Age_End,"Error: change age &gt; model end age",".")</f>
        <v>.</v>
      </c>
      <c r="J129" s="1581" t="s">
        <v>1333</v>
      </c>
      <c r="L129" s="539"/>
      <c r="Q129" s="1725" t="s">
        <v>1948</v>
      </c>
      <c r="R129" s="268"/>
      <c r="S129" s="268"/>
      <c r="AB129" s="671" t="s">
        <v>185</v>
      </c>
      <c r="AC129" s="926">
        <f>+FRA_You</f>
        <v>66</v>
      </c>
      <c r="AD129" s="926">
        <f>+FRA_Spouse</f>
        <v>66</v>
      </c>
      <c r="AE129" s="725"/>
      <c r="AF129" s="1033" t="s">
        <v>186</v>
      </c>
      <c r="AH129" s="1033" t="s">
        <v>1298</v>
      </c>
      <c r="AJ129" s="250" t="s">
        <v>175</v>
      </c>
      <c r="AK129" s="982" t="str">
        <f>IF(IF(G129=".",0,1)+IF(G129=".",0,1)&gt;=1,1,"ok")</f>
        <v>ok</v>
      </c>
    </row>
    <row r="130" spans="1:62" ht="19.95" customHeight="1" thickBot="1">
      <c r="B130" s="528"/>
      <c r="D130" s="659" t="s">
        <v>108</v>
      </c>
      <c r="E130" s="1558" t="s">
        <v>1613</v>
      </c>
      <c r="F130" s="1558" t="s">
        <v>1569</v>
      </c>
      <c r="G130" s="1579" t="s">
        <v>1254</v>
      </c>
      <c r="H130" s="1558"/>
      <c r="I130" s="1558" t="s">
        <v>635</v>
      </c>
      <c r="J130" s="1580" t="s">
        <v>89</v>
      </c>
      <c r="L130" s="539"/>
      <c r="Q130" s="974" t="s">
        <v>1947</v>
      </c>
      <c r="R130" s="215"/>
      <c r="S130" s="1482">
        <v>0</v>
      </c>
      <c r="W130" s="557"/>
      <c r="AB130" s="529" t="s">
        <v>362</v>
      </c>
      <c r="AC130" s="529" t="s">
        <v>538</v>
      </c>
      <c r="AD130" s="529" t="s">
        <v>643</v>
      </c>
      <c r="AE130" s="529" t="s">
        <v>1150</v>
      </c>
      <c r="AF130" s="529" t="s">
        <v>538</v>
      </c>
      <c r="AG130" s="529" t="s">
        <v>643</v>
      </c>
      <c r="AH130" s="529" t="s">
        <v>538</v>
      </c>
      <c r="AI130" s="529" t="s">
        <v>643</v>
      </c>
      <c r="AJ130" s="529" t="s">
        <v>1007</v>
      </c>
    </row>
    <row r="131" spans="1:62" ht="18" customHeight="1">
      <c r="B131" s="1"/>
      <c r="C131" s="1"/>
      <c r="D131" s="659" t="s">
        <v>107</v>
      </c>
      <c r="E131" s="685">
        <v>70000</v>
      </c>
      <c r="F131" s="512">
        <v>0.02</v>
      </c>
      <c r="G131" s="472">
        <v>80</v>
      </c>
      <c r="H131" s="512">
        <v>0.2</v>
      </c>
      <c r="I131" s="31">
        <f>+Details!E144</f>
        <v>3104300</v>
      </c>
      <c r="J131" s="431">
        <f ca="1">+Details!$E$19</f>
        <v>2702400</v>
      </c>
      <c r="P131" s="155"/>
      <c r="Q131" s="849" t="s">
        <v>1843</v>
      </c>
      <c r="R131" s="212"/>
      <c r="S131" s="1482">
        <v>5000</v>
      </c>
      <c r="W131" s="557"/>
      <c r="Y131" s="155"/>
      <c r="Z131" s="271"/>
      <c r="AA131" s="155"/>
      <c r="AB131" s="628">
        <f t="shared" ref="AB131:AB138" si="17">+AB132-1</f>
        <v>62</v>
      </c>
      <c r="AC131" s="346">
        <f>+AC$135*$AF131</f>
        <v>22500</v>
      </c>
      <c r="AD131" s="346">
        <f>+AD$135*$AG131</f>
        <v>15000</v>
      </c>
      <c r="AE131" s="346">
        <f>IF(AC$135&gt;+AD$135,AC$135*AH131,AD$135*AH131)</f>
        <v>10500</v>
      </c>
      <c r="AF131" s="581">
        <f>IF(FRA_You=66,0.75,0.7)</f>
        <v>0.75</v>
      </c>
      <c r="AG131" s="581">
        <f>IF(FRA_Spouse=66,0.75,0.7)</f>
        <v>0.75</v>
      </c>
      <c r="AH131" s="581">
        <f>IF(FRA_You=66,0.35,0.325)</f>
        <v>0.35</v>
      </c>
      <c r="AI131" s="581">
        <f>IF(FRA_Spouse=66,0.35,0.325)</f>
        <v>0.35</v>
      </c>
      <c r="AJ131" s="762">
        <f t="shared" ref="AJ131:AJ139" si="18">(1+SS_COLA)^($AB131-Your_Age)-1</f>
        <v>0</v>
      </c>
      <c r="AK131" s="155"/>
      <c r="AM131" s="155"/>
      <c r="AN131" s="155"/>
      <c r="AO131" s="155"/>
      <c r="AP131" s="155"/>
      <c r="AQ131" s="155"/>
      <c r="AR131" s="155"/>
      <c r="AS131" s="155"/>
      <c r="AT131" s="155"/>
      <c r="AU131" s="155"/>
      <c r="AV131" s="155"/>
      <c r="AW131" s="780"/>
      <c r="AX131" s="780"/>
      <c r="AY131" s="780"/>
      <c r="AZ131" s="780"/>
      <c r="BA131" s="780"/>
      <c r="BB131" s="155"/>
      <c r="BC131" s="155"/>
      <c r="BD131" s="155"/>
      <c r="BE131" s="155"/>
      <c r="BF131" s="155"/>
      <c r="BG131" s="155"/>
      <c r="BH131" s="155"/>
      <c r="BI131" s="155"/>
    </row>
    <row r="132" spans="1:62" ht="16.2" customHeight="1">
      <c r="G132" s="1818" t="str">
        <f>IF(Expense_Chg_Year="","",IF(Expense_Change&gt;0,"increased in "&amp;(First_Year+Expense_Chg_Year-Your_Age),IF(Expense_Change&lt;0,"decreased in "&amp;(First_Year+Expense_Chg_Year-Your_Age),"")))</f>
        <v>increased in 2037</v>
      </c>
      <c r="H132" s="1818"/>
      <c r="J132" s="150"/>
      <c r="Q132" s="849" t="s">
        <v>1846</v>
      </c>
      <c r="R132" s="212"/>
      <c r="S132" s="1482">
        <v>3000</v>
      </c>
      <c r="W132" s="1"/>
      <c r="AB132" s="626">
        <f t="shared" si="17"/>
        <v>63</v>
      </c>
      <c r="AC132" s="346">
        <f>+AC$135*$AF132</f>
        <v>24000</v>
      </c>
      <c r="AD132" s="346">
        <f>+AD$135*$AG132</f>
        <v>16000</v>
      </c>
      <c r="AE132" s="346">
        <f>IF(AC$135&gt;+AD$135,AC$135*AH132,AD$135*AH132)</f>
        <v>11250</v>
      </c>
      <c r="AF132" s="581">
        <f>IF(FRA_You=66,0.8,0.75)</f>
        <v>0.8</v>
      </c>
      <c r="AG132" s="581">
        <f>IF(FRA_Spouse=66,0.8,0.75)</f>
        <v>0.8</v>
      </c>
      <c r="AH132" s="581">
        <f>IF(FRA_You=66,0.375,0.35)</f>
        <v>0.375</v>
      </c>
      <c r="AI132" s="581">
        <f>IF(FRA_Spouse=66,0.375,0.35)</f>
        <v>0.375</v>
      </c>
      <c r="AJ132" s="762">
        <f t="shared" si="18"/>
        <v>2.0000000000000018E-2</v>
      </c>
    </row>
    <row r="133" spans="1:62" ht="15.75" customHeight="1">
      <c r="B133" s="1543"/>
      <c r="D133" s="1509" t="s">
        <v>1944</v>
      </c>
      <c r="H133" s="1488" t="s">
        <v>1884</v>
      </c>
      <c r="I133" s="38">
        <f>+Details!E143</f>
        <v>0</v>
      </c>
      <c r="K133" s="150"/>
      <c r="P133" s="150"/>
      <c r="Q133" s="849" t="s">
        <v>1844</v>
      </c>
      <c r="R133" s="212"/>
      <c r="S133" s="1482">
        <v>1000</v>
      </c>
      <c r="Y133" s="150"/>
      <c r="Z133" s="106"/>
      <c r="AA133" s="150"/>
      <c r="AB133" s="626">
        <f t="shared" si="17"/>
        <v>64</v>
      </c>
      <c r="AC133" s="346">
        <f>+AC$135*$AF133</f>
        <v>26010</v>
      </c>
      <c r="AD133" s="346">
        <f>+AD$135*$AG133</f>
        <v>17340</v>
      </c>
      <c r="AE133" s="346">
        <f>IF(AC$135&gt;+AD$135,AC$135*AH133,AD$135*AH133)</f>
        <v>12510</v>
      </c>
      <c r="AF133" s="581">
        <f>IF(FRA_You=66,0.867,0.8)</f>
        <v>0.86699999999999999</v>
      </c>
      <c r="AG133" s="581">
        <f>IF(FRA_Spouse=66,0.867,0.8)</f>
        <v>0.86699999999999999</v>
      </c>
      <c r="AH133" s="581">
        <f>IF(FRA_You=66,0.417,0.375)</f>
        <v>0.41699999999999998</v>
      </c>
      <c r="AI133" s="581">
        <f>IF(FRA_Spouse=66,0.417,0.375)</f>
        <v>0.41699999999999998</v>
      </c>
      <c r="AJ133" s="762">
        <f t="shared" si="18"/>
        <v>4.0399999999999991E-2</v>
      </c>
      <c r="AK133" s="150"/>
      <c r="AM133" s="150"/>
      <c r="AN133" s="150"/>
      <c r="AO133" s="150"/>
      <c r="AP133" s="150"/>
      <c r="AQ133" s="150"/>
      <c r="AR133" s="150"/>
      <c r="AS133" s="150"/>
      <c r="AT133" s="150"/>
      <c r="AU133" s="150"/>
      <c r="AV133" s="150"/>
      <c r="AW133" s="138"/>
      <c r="AX133" s="138"/>
      <c r="AY133" s="138"/>
      <c r="AZ133" s="138"/>
      <c r="BA133" s="138"/>
      <c r="BB133" s="150"/>
      <c r="BC133" s="150"/>
      <c r="BD133" s="150"/>
      <c r="BE133" s="150"/>
      <c r="BF133" s="150"/>
      <c r="BG133" s="150"/>
      <c r="BH133" s="150"/>
      <c r="BI133" s="150"/>
      <c r="BJ133" s="150"/>
    </row>
    <row r="134" spans="1:62" ht="15.75" customHeight="1">
      <c r="D134" s="454" t="s">
        <v>1863</v>
      </c>
      <c r="E134" s="653">
        <v>136</v>
      </c>
      <c r="H134" s="454" t="s">
        <v>635</v>
      </c>
      <c r="I134" s="31">
        <f>+Expense_Total+I133</f>
        <v>3104300</v>
      </c>
      <c r="J134" s="150"/>
      <c r="K134" s="150"/>
      <c r="L134" s="150"/>
      <c r="N134" s="150"/>
      <c r="O134" s="150"/>
      <c r="P134" s="150"/>
      <c r="Q134" s="849" t="s">
        <v>1845</v>
      </c>
      <c r="R134" s="212"/>
      <c r="S134" s="1482">
        <v>2000</v>
      </c>
      <c r="Y134" s="150"/>
      <c r="AA134" s="150"/>
      <c r="AB134" s="626">
        <f t="shared" si="17"/>
        <v>65</v>
      </c>
      <c r="AC134" s="346">
        <f>+AC$135*$AF134</f>
        <v>27990</v>
      </c>
      <c r="AD134" s="346">
        <f>+AD$135*$AG134</f>
        <v>18660</v>
      </c>
      <c r="AE134" s="346">
        <f>IF(AC$135&gt;+AD$135,AC$135*AH134,AD$135*AH134)</f>
        <v>13740</v>
      </c>
      <c r="AF134" s="581">
        <f>IF(FRA_You=66,0.933,0.867)</f>
        <v>0.93300000000000005</v>
      </c>
      <c r="AG134" s="581">
        <f>IF(FRA_Spouse=66,0.933,0.867)</f>
        <v>0.93300000000000005</v>
      </c>
      <c r="AH134" s="581">
        <f>IF(FRA_You=66,0.458,0.417)</f>
        <v>0.45800000000000002</v>
      </c>
      <c r="AI134" s="581">
        <f>IF(FRA_Spouse=66,0.458,0.417)</f>
        <v>0.45800000000000002</v>
      </c>
      <c r="AJ134" s="762">
        <f t="shared" si="18"/>
        <v>6.1207999999999929E-2</v>
      </c>
      <c r="AM134" s="150"/>
      <c r="AN134" s="150"/>
      <c r="AO134" s="150"/>
      <c r="AP134" s="150"/>
      <c r="AQ134" s="150"/>
      <c r="AR134" s="150"/>
      <c r="AS134" s="150"/>
      <c r="AT134" s="150"/>
      <c r="AU134" s="150"/>
      <c r="AV134" s="150"/>
      <c r="AW134" s="138"/>
      <c r="AX134" s="138"/>
      <c r="AY134" s="138"/>
      <c r="AZ134" s="138"/>
      <c r="BA134" s="138"/>
      <c r="BB134" s="150"/>
      <c r="BC134" s="150"/>
      <c r="BD134" s="150"/>
      <c r="BE134" s="150"/>
      <c r="BF134" s="150"/>
      <c r="BG134" s="150"/>
      <c r="BH134" s="150"/>
      <c r="BI134" s="150"/>
      <c r="BJ134" s="150"/>
    </row>
    <row r="135" spans="1:62" ht="15.75" customHeight="1">
      <c r="D135" s="454" t="s">
        <v>1864</v>
      </c>
      <c r="E135" s="653">
        <v>41</v>
      </c>
      <c r="H135" s="637"/>
      <c r="J135" s="150"/>
      <c r="K135" s="150"/>
      <c r="L135" s="150"/>
      <c r="N135" s="150"/>
      <c r="O135" s="150"/>
      <c r="P135" s="150"/>
      <c r="Q135" s="849" t="s">
        <v>1875</v>
      </c>
      <c r="R135" s="212"/>
      <c r="S135" s="1482">
        <v>5000</v>
      </c>
      <c r="Y135" s="150"/>
      <c r="AA135" s="150"/>
      <c r="AB135" s="627">
        <f t="shared" si="17"/>
        <v>66</v>
      </c>
      <c r="AC135" s="583">
        <f>IF(FRA_You=66,Your_SS,Your_SS*$AF135)</f>
        <v>30000</v>
      </c>
      <c r="AD135" s="583">
        <f>IF(FRA_Spouse=66,Spouse_SS,Spouse_SS*$AG135)</f>
        <v>20000</v>
      </c>
      <c r="AE135" s="346">
        <f>IF(AC$135&gt;+AD$135,AC$135*AH135,AD$135*AH135)</f>
        <v>15000</v>
      </c>
      <c r="AF135" s="581">
        <f>IF(FRA_You=66,1,0.933)</f>
        <v>1</v>
      </c>
      <c r="AG135" s="581">
        <f>IF(FRA_Spouse=66,1,0.933)</f>
        <v>1</v>
      </c>
      <c r="AH135" s="581">
        <f>IF(FRA_You=66,0.5,0.458)</f>
        <v>0.5</v>
      </c>
      <c r="AI135" s="581">
        <f>IF(FRA_Spouse=66,0.5,0.458)</f>
        <v>0.5</v>
      </c>
      <c r="AJ135" s="762">
        <f t="shared" si="18"/>
        <v>8.2432159999999977E-2</v>
      </c>
      <c r="AK135" s="982"/>
      <c r="AM135" s="150"/>
      <c r="AN135" s="150"/>
      <c r="AO135" s="150"/>
      <c r="AP135" s="150"/>
      <c r="AQ135" s="150"/>
      <c r="AR135" s="150"/>
      <c r="AS135" s="150"/>
      <c r="AT135" s="150"/>
      <c r="AU135" s="150"/>
      <c r="AV135" s="150"/>
      <c r="AW135" s="138"/>
      <c r="AX135" s="138"/>
      <c r="AY135" s="138"/>
      <c r="AZ135" s="138"/>
      <c r="BA135" s="138"/>
      <c r="BB135" s="150"/>
      <c r="BC135" s="150"/>
      <c r="BD135" s="150"/>
      <c r="BE135" s="150"/>
      <c r="BF135" s="150"/>
      <c r="BG135" s="150"/>
      <c r="BH135" s="150"/>
      <c r="BI135" s="150"/>
      <c r="BJ135" s="150"/>
    </row>
    <row r="136" spans="1:62" ht="15.75" customHeight="1">
      <c r="D136" s="454" t="s">
        <v>1946</v>
      </c>
      <c r="E136" s="487"/>
      <c r="F136" s="487"/>
      <c r="K136" s="150"/>
      <c r="L136" s="150"/>
      <c r="N136" s="150"/>
      <c r="O136" s="150"/>
      <c r="P136" s="150"/>
      <c r="Q136" s="849" t="s">
        <v>1876</v>
      </c>
      <c r="R136" s="212"/>
      <c r="S136" s="1482">
        <v>4000</v>
      </c>
      <c r="Y136" s="150"/>
      <c r="AA136" s="150"/>
      <c r="AB136" s="627">
        <f t="shared" si="17"/>
        <v>67</v>
      </c>
      <c r="AC136" s="1032">
        <f>IF(FRA_You=67,Your_SS,AC$135*$AF136)</f>
        <v>32400.000000000004</v>
      </c>
      <c r="AD136" s="1032">
        <f>IF(FRA_Spouse=67,Spouse_SS,AD$135*$AG136)</f>
        <v>21600</v>
      </c>
      <c r="AE136" s="346">
        <f>IF(FRA_You=66,+AE135,IF(AC$136&gt;+AD$136,AC$136*AH136,AD$136*AH136))</f>
        <v>15000</v>
      </c>
      <c r="AF136" s="581">
        <f>IF(FRA_You=66,1.08,1)</f>
        <v>1.08</v>
      </c>
      <c r="AG136" s="581">
        <f>IF(FRA_Spouse=66,1.08,1)</f>
        <v>1.08</v>
      </c>
      <c r="AH136" s="581">
        <v>0.5</v>
      </c>
      <c r="AI136" s="581">
        <v>0.5</v>
      </c>
      <c r="AJ136" s="762">
        <f t="shared" si="18"/>
        <v>0.10408080320000002</v>
      </c>
      <c r="AK136" s="982"/>
      <c r="AM136" s="150"/>
      <c r="AN136" s="150"/>
      <c r="AO136" s="150"/>
      <c r="AP136" s="150"/>
      <c r="AQ136" s="150"/>
      <c r="AR136" s="150"/>
      <c r="AS136" s="150"/>
      <c r="AT136" s="150"/>
      <c r="AU136" s="150"/>
      <c r="AV136" s="150"/>
      <c r="AW136" s="138"/>
      <c r="AX136" s="138"/>
      <c r="AY136" s="138"/>
      <c r="AZ136" s="138"/>
      <c r="BA136" s="138"/>
      <c r="BB136" s="150"/>
      <c r="BC136" s="150"/>
      <c r="BD136" s="150"/>
      <c r="BE136" s="150"/>
      <c r="BF136" s="150"/>
      <c r="BG136" s="150"/>
      <c r="BH136" s="150"/>
      <c r="BI136" s="150"/>
      <c r="BJ136" s="150"/>
    </row>
    <row r="137" spans="1:62" ht="15.75" customHeight="1">
      <c r="D137" s="293" t="s">
        <v>1945</v>
      </c>
      <c r="E137" s="764">
        <f>+Details!E272</f>
        <v>5376</v>
      </c>
      <c r="F137" s="84" t="str">
        <f>"over " &amp; +Details!D272</f>
        <v>over 4 years</v>
      </c>
      <c r="G137" s="1704" t="str">
        <f>+'Tax Tables'!D61</f>
        <v xml:space="preserve">                          88 89 90 91          </v>
      </c>
      <c r="H137" s="637"/>
      <c r="J137" s="150"/>
      <c r="K137" s="150"/>
      <c r="L137" s="150"/>
      <c r="N137" s="150"/>
      <c r="O137" s="150"/>
      <c r="P137" s="150"/>
      <c r="Q137" s="849" t="s">
        <v>1874</v>
      </c>
      <c r="R137" s="212"/>
      <c r="S137" s="1482">
        <v>10000</v>
      </c>
      <c r="Y137" s="150"/>
      <c r="AA137" s="150"/>
      <c r="AB137" s="626">
        <f t="shared" si="17"/>
        <v>68</v>
      </c>
      <c r="AC137" s="346">
        <f t="shared" ref="AC137:AD139" si="19">IF(FRA_You=66,AC$135*AF137,AC$136*AF137)</f>
        <v>34800</v>
      </c>
      <c r="AD137" s="346">
        <f t="shared" si="19"/>
        <v>23200</v>
      </c>
      <c r="AE137" s="346">
        <f>+AE136</f>
        <v>15000</v>
      </c>
      <c r="AF137" s="581">
        <f>IF(FRA_You=66,1.16,1.08)</f>
        <v>1.1599999999999999</v>
      </c>
      <c r="AG137" s="581">
        <f>IF(FRA_Spouse=66,1.16,1.08)</f>
        <v>1.1599999999999999</v>
      </c>
      <c r="AH137" s="581">
        <v>0.5</v>
      </c>
      <c r="AI137" s="581">
        <v>0.5</v>
      </c>
      <c r="AJ137" s="762">
        <f t="shared" si="18"/>
        <v>0.12616241926400007</v>
      </c>
      <c r="AK137" s="982"/>
      <c r="AM137" s="150"/>
      <c r="AN137" s="150"/>
      <c r="AO137" s="150"/>
      <c r="AP137" s="150"/>
      <c r="AQ137" s="150"/>
      <c r="AR137" s="150"/>
      <c r="AS137" s="150"/>
      <c r="AT137" s="150"/>
      <c r="AU137" s="150"/>
      <c r="AV137" s="150"/>
      <c r="AW137" s="138"/>
      <c r="AX137" s="138"/>
      <c r="AY137" s="138"/>
      <c r="AZ137" s="138"/>
      <c r="BA137" s="138"/>
      <c r="BB137" s="150"/>
      <c r="BC137" s="150"/>
      <c r="BD137" s="150"/>
      <c r="BE137" s="150"/>
      <c r="BF137" s="150"/>
      <c r="BG137" s="150"/>
      <c r="BH137" s="150"/>
      <c r="BI137" s="150"/>
      <c r="BJ137" s="150"/>
    </row>
    <row r="138" spans="1:62" ht="15.75" customHeight="1">
      <c r="D138" s="1536" t="s">
        <v>2007</v>
      </c>
      <c r="E138" s="1491" t="str">
        <f>" " &amp; Details!E273 &amp; " years qualify"</f>
        <v xml:space="preserve"> 1 years qualify</v>
      </c>
      <c r="F138" s="84"/>
      <c r="H138" s="637"/>
      <c r="J138" s="150"/>
      <c r="K138" s="150"/>
      <c r="L138" s="150"/>
      <c r="N138" s="150"/>
      <c r="O138" s="150"/>
      <c r="P138" s="150"/>
      <c r="Q138" s="849" t="s">
        <v>2204</v>
      </c>
      <c r="R138" s="212"/>
      <c r="S138" s="1482">
        <v>1000</v>
      </c>
      <c r="Y138" s="150"/>
      <c r="AA138" s="150"/>
      <c r="AB138" s="626">
        <f t="shared" si="17"/>
        <v>69</v>
      </c>
      <c r="AC138" s="346">
        <f t="shared" si="19"/>
        <v>37200</v>
      </c>
      <c r="AD138" s="346">
        <f t="shared" si="19"/>
        <v>24800</v>
      </c>
      <c r="AE138" s="346">
        <f>+AE137</f>
        <v>15000</v>
      </c>
      <c r="AF138" s="581">
        <f>IF(FRA_You=66,1.24,1.16)</f>
        <v>1.24</v>
      </c>
      <c r="AG138" s="581">
        <f>IF(FRA_Spouse=66,1.24,1.16)</f>
        <v>1.24</v>
      </c>
      <c r="AH138" s="581">
        <v>0.5</v>
      </c>
      <c r="AI138" s="581">
        <v>0.5</v>
      </c>
      <c r="AJ138" s="762">
        <f t="shared" si="18"/>
        <v>0.14868566764927982</v>
      </c>
      <c r="AK138" s="982"/>
      <c r="AM138" s="150"/>
      <c r="AN138" s="150"/>
      <c r="AO138" s="150"/>
      <c r="AP138" s="150"/>
      <c r="AQ138" s="150"/>
      <c r="AR138" s="150"/>
      <c r="AS138" s="150"/>
      <c r="AT138" s="150"/>
      <c r="AU138" s="150"/>
      <c r="AV138" s="150"/>
      <c r="AW138" s="138"/>
      <c r="AX138" s="138"/>
      <c r="AY138" s="138"/>
      <c r="AZ138" s="138"/>
      <c r="BA138" s="138"/>
      <c r="BB138" s="150"/>
      <c r="BC138" s="150"/>
      <c r="BD138" s="150"/>
      <c r="BE138" s="150"/>
      <c r="BF138" s="150"/>
      <c r="BG138" s="150"/>
      <c r="BH138" s="150"/>
      <c r="BI138" s="150"/>
      <c r="BJ138" s="150"/>
    </row>
    <row r="139" spans="1:62" ht="15.75" customHeight="1">
      <c r="N139" s="150"/>
      <c r="O139" s="150"/>
      <c r="P139" s="150"/>
      <c r="Q139" s="849" t="s">
        <v>1873</v>
      </c>
      <c r="R139" s="212"/>
      <c r="S139" s="1482">
        <v>2000</v>
      </c>
      <c r="Y139" s="150"/>
      <c r="Z139" s="106"/>
      <c r="AA139" s="150"/>
      <c r="AB139" s="626">
        <v>70</v>
      </c>
      <c r="AC139" s="346">
        <f t="shared" si="19"/>
        <v>39600</v>
      </c>
      <c r="AD139" s="346">
        <f t="shared" si="19"/>
        <v>26400</v>
      </c>
      <c r="AE139" s="346">
        <f>+AE138</f>
        <v>15000</v>
      </c>
      <c r="AF139" s="581">
        <f>IF(FRA_You=66,1.32,1.24)</f>
        <v>1.32</v>
      </c>
      <c r="AG139" s="581">
        <f>IF(FRA_Spouse=66,1.32,1.24)</f>
        <v>1.32</v>
      </c>
      <c r="AH139" s="581">
        <v>0.5</v>
      </c>
      <c r="AI139" s="581">
        <v>0.5</v>
      </c>
      <c r="AJ139" s="762">
        <f t="shared" si="18"/>
        <v>0.17165938100226552</v>
      </c>
      <c r="AK139" s="150"/>
      <c r="AM139" s="150"/>
      <c r="AN139" s="150"/>
      <c r="AO139" s="150"/>
      <c r="AP139" s="150"/>
      <c r="AQ139" s="150"/>
      <c r="AR139" s="150"/>
      <c r="AS139" s="150"/>
      <c r="AT139" s="150"/>
      <c r="AU139" s="150"/>
      <c r="AV139" s="150"/>
      <c r="AW139" s="138"/>
      <c r="AX139" s="138"/>
      <c r="AY139" s="138"/>
      <c r="AZ139" s="138"/>
      <c r="BA139" s="138"/>
      <c r="BB139" s="150"/>
      <c r="BC139" s="150"/>
      <c r="BD139" s="150"/>
      <c r="BE139" s="150"/>
      <c r="BF139" s="150"/>
      <c r="BG139" s="150"/>
      <c r="BH139" s="150"/>
      <c r="BI139" s="150"/>
      <c r="BJ139" s="150"/>
    </row>
    <row r="140" spans="1:62" ht="19.95" customHeight="1">
      <c r="A140" s="408"/>
      <c r="B140" s="408"/>
      <c r="C140" s="408"/>
      <c r="D140" s="708" t="s">
        <v>1815</v>
      </c>
      <c r="E140" s="1559"/>
      <c r="F140" s="1582" t="s">
        <v>1237</v>
      </c>
      <c r="G140" s="1559"/>
      <c r="H140" s="1559"/>
      <c r="I140" s="1570"/>
      <c r="N140" s="150"/>
      <c r="O140" s="150"/>
      <c r="P140" s="150"/>
      <c r="Q140" s="849" t="s">
        <v>1849</v>
      </c>
      <c r="R140" s="212"/>
      <c r="S140" s="1482">
        <v>6000</v>
      </c>
      <c r="Y140" s="150"/>
      <c r="Z140" s="1408">
        <v>6</v>
      </c>
      <c r="AA140" s="150"/>
      <c r="AK140" s="1409" t="s">
        <v>1789</v>
      </c>
      <c r="AM140" s="150"/>
      <c r="AN140" s="150"/>
      <c r="AO140" s="150"/>
      <c r="AP140" s="150"/>
      <c r="AQ140" s="150"/>
      <c r="AR140" s="150"/>
      <c r="AS140" s="150"/>
      <c r="AT140" s="150"/>
      <c r="AU140" s="150"/>
      <c r="AV140" s="150"/>
      <c r="AW140" s="138"/>
      <c r="AX140" s="138"/>
      <c r="AY140" s="138"/>
      <c r="AZ140" s="138"/>
      <c r="BA140" s="138"/>
      <c r="BB140" s="150"/>
      <c r="BC140" s="150"/>
      <c r="BD140" s="150"/>
      <c r="BE140" s="150"/>
      <c r="BF140" s="150"/>
      <c r="BG140" s="150"/>
      <c r="BH140" s="150"/>
      <c r="BI140" s="150"/>
      <c r="BJ140" s="150"/>
    </row>
    <row r="141" spans="1:62" ht="19.95" customHeight="1" thickBot="1">
      <c r="A141" s="416"/>
      <c r="B141" s="416"/>
      <c r="C141" s="416"/>
      <c r="D141" s="659" t="s">
        <v>1814</v>
      </c>
      <c r="E141" s="1558" t="s">
        <v>1613</v>
      </c>
      <c r="F141" s="1558" t="s">
        <v>516</v>
      </c>
      <c r="G141" s="1558" t="s">
        <v>362</v>
      </c>
      <c r="H141" s="1558" t="s">
        <v>363</v>
      </c>
      <c r="I141" s="1565" t="s">
        <v>635</v>
      </c>
      <c r="J141" s="1584" t="s">
        <v>1881</v>
      </c>
      <c r="K141" s="150"/>
      <c r="L141" s="150"/>
      <c r="M141" s="150"/>
      <c r="N141" s="150"/>
      <c r="O141" s="150"/>
      <c r="P141" s="150"/>
      <c r="Q141" s="849" t="s">
        <v>1930</v>
      </c>
      <c r="R141" s="212"/>
      <c r="S141" s="1482">
        <v>4000</v>
      </c>
      <c r="Y141" s="150"/>
      <c r="Z141" s="106"/>
      <c r="AA141" s="150"/>
      <c r="AB141" s="1034" t="s">
        <v>272</v>
      </c>
      <c r="AC141" s="926">
        <f>+AC129</f>
        <v>66</v>
      </c>
      <c r="AD141" s="926">
        <f>+AD129</f>
        <v>66</v>
      </c>
      <c r="AE141" s="725"/>
      <c r="AF141" s="1033" t="s">
        <v>82</v>
      </c>
      <c r="AG141" s="1033"/>
      <c r="AH141" s="1033" t="s">
        <v>1298</v>
      </c>
      <c r="AK141" s="150"/>
      <c r="AM141" s="150"/>
      <c r="AN141" s="150"/>
      <c r="AO141" s="150"/>
      <c r="AP141" s="150"/>
      <c r="AQ141" s="150"/>
      <c r="AR141" s="150"/>
      <c r="AS141" s="150"/>
      <c r="AT141" s="150"/>
      <c r="AU141" s="150"/>
      <c r="AV141" s="150"/>
      <c r="AW141" s="138"/>
      <c r="AX141" s="138"/>
      <c r="AY141" s="138"/>
      <c r="AZ141" s="138"/>
      <c r="BA141" s="138"/>
      <c r="BB141" s="150"/>
      <c r="BC141" s="150"/>
      <c r="BD141" s="150"/>
      <c r="BE141" s="150"/>
      <c r="BF141" s="150"/>
      <c r="BG141" s="150"/>
      <c r="BH141" s="150"/>
      <c r="BI141" s="150"/>
      <c r="BJ141" s="150"/>
    </row>
    <row r="142" spans="1:62" ht="16.2" customHeight="1" thickBot="1">
      <c r="A142" s="416"/>
      <c r="B142" s="1543"/>
      <c r="C142" s="416"/>
      <c r="D142" s="205" t="s">
        <v>1031</v>
      </c>
      <c r="E142" s="653"/>
      <c r="F142" s="513">
        <v>0</v>
      </c>
      <c r="G142" s="474"/>
      <c r="H142" s="474"/>
      <c r="I142" s="31">
        <f>Details!E87</f>
        <v>0</v>
      </c>
      <c r="J142" s="233" t="str">
        <f>IF(AND(E142&gt;0,G142=0),"Age Error",IF(AND(G142=0,H142=0),"_" &amp; "-" &amp; Final_Year,IF(G142=0,"",G142-Your_Age+First_Year) &amp; "-" &amp; IF(H142=0,Final_Year,H142-Your_Age+First_Year)))</f>
        <v>_-2048</v>
      </c>
      <c r="L142" s="150"/>
      <c r="M142" s="150"/>
      <c r="N142" s="150"/>
      <c r="O142" s="150"/>
      <c r="P142" s="150"/>
      <c r="Q142" s="849" t="s">
        <v>1847</v>
      </c>
      <c r="R142" s="212"/>
      <c r="S142" s="1482">
        <v>500</v>
      </c>
      <c r="Y142" s="150"/>
      <c r="Z142" s="106"/>
      <c r="AA142" s="150"/>
      <c r="AB142" s="529" t="s">
        <v>362</v>
      </c>
      <c r="AC142" s="529" t="s">
        <v>538</v>
      </c>
      <c r="AD142" s="529" t="s">
        <v>643</v>
      </c>
      <c r="AE142" s="529" t="s">
        <v>1150</v>
      </c>
      <c r="AF142" s="529" t="s">
        <v>431</v>
      </c>
      <c r="AG142" s="529" t="s">
        <v>643</v>
      </c>
      <c r="AH142" s="529" t="s">
        <v>538</v>
      </c>
      <c r="AI142" s="529" t="s">
        <v>643</v>
      </c>
      <c r="AJ142" s="529" t="s">
        <v>1007</v>
      </c>
      <c r="AK142" s="150"/>
      <c r="AM142" s="150"/>
      <c r="AN142" s="150"/>
      <c r="AO142" s="150"/>
      <c r="AP142" s="150"/>
      <c r="AQ142" s="150"/>
      <c r="AR142" s="150"/>
      <c r="AS142" s="150"/>
      <c r="AT142" s="150"/>
      <c r="AU142" s="150"/>
      <c r="AV142" s="150"/>
      <c r="AW142" s="138"/>
      <c r="AX142" s="138"/>
      <c r="AY142" s="138"/>
      <c r="AZ142" s="138"/>
      <c r="BA142" s="138"/>
      <c r="BB142" s="150"/>
      <c r="BC142" s="150"/>
      <c r="BD142" s="150"/>
      <c r="BE142" s="150"/>
      <c r="BF142" s="150"/>
      <c r="BG142" s="150"/>
      <c r="BH142" s="150"/>
      <c r="BI142" s="150"/>
      <c r="BJ142" s="150"/>
    </row>
    <row r="143" spans="1:62" ht="16.2" customHeight="1">
      <c r="A143" s="416"/>
      <c r="B143" s="416"/>
      <c r="C143" s="416"/>
      <c r="D143" s="490" t="s">
        <v>522</v>
      </c>
      <c r="E143" s="653">
        <v>6500</v>
      </c>
      <c r="F143" s="513">
        <v>0</v>
      </c>
      <c r="G143" s="474">
        <v>62</v>
      </c>
      <c r="H143" s="474">
        <v>70</v>
      </c>
      <c r="I143" s="31">
        <f>Details!E98</f>
        <v>58500</v>
      </c>
      <c r="J143" s="233" t="str">
        <f>IF(AND(E143&gt;0,G143=0),"Age Error",IF(AND(G143=0,H143=0),"_" &amp; "-" &amp; Final_Year,IF(G143=0,"",G143-Your_Age+First_Year) &amp; "-" &amp; IF(H143=0,Final_Year,H143-Your_Age+First_Year)))</f>
        <v>2019-2027</v>
      </c>
      <c r="L143" s="150"/>
      <c r="M143" s="150"/>
      <c r="N143" s="150"/>
      <c r="O143" s="150"/>
      <c r="P143" s="150"/>
      <c r="Q143" s="849" t="s">
        <v>1848</v>
      </c>
      <c r="R143" s="212"/>
      <c r="S143" s="1482">
        <v>15000</v>
      </c>
      <c r="Y143" s="150"/>
      <c r="Z143" s="106"/>
      <c r="AA143" s="150"/>
      <c r="AB143" s="628">
        <f t="shared" ref="AB143:AB150" si="20">+AB144-1</f>
        <v>62</v>
      </c>
      <c r="AC143" s="346">
        <f>AC$147*$AF143</f>
        <v>22500</v>
      </c>
      <c r="AD143" s="346">
        <f>+AD$147*$AF143</f>
        <v>15000</v>
      </c>
      <c r="AE143" s="346">
        <f t="shared" ref="AE143:AE148" si="21">IF(AC$148&gt;+AD$148,AC$148*AH143,AD$148*AH143)</f>
        <v>11340</v>
      </c>
      <c r="AF143" s="581">
        <f>IF(FRA_You_Alt=66,0.75,0.7)</f>
        <v>0.75</v>
      </c>
      <c r="AG143" s="581">
        <f>IF(FRA_Spouse_Alt=66,0.75,0.7)</f>
        <v>0.75</v>
      </c>
      <c r="AH143" s="581">
        <f>IF(FRA_You_Alt=66,0.35,0.325)</f>
        <v>0.35</v>
      </c>
      <c r="AI143" s="581">
        <f>IF(FRA_Spouse_Alt=66,0.35,0.325)</f>
        <v>0.35</v>
      </c>
      <c r="AJ143" s="762">
        <f t="shared" ref="AJ143:AJ151" si="22">(1+SS_COLA)^($AB143-Your_Age)-1</f>
        <v>0</v>
      </c>
      <c r="AK143" s="150"/>
      <c r="AM143" s="150"/>
      <c r="AN143" s="150"/>
      <c r="AO143" s="150"/>
      <c r="AP143" s="150"/>
      <c r="AQ143" s="150"/>
      <c r="AR143" s="150"/>
      <c r="AS143" s="150"/>
      <c r="AT143" s="150"/>
      <c r="AU143" s="150"/>
      <c r="AV143" s="150"/>
      <c r="AW143" s="138"/>
      <c r="AX143" s="138"/>
      <c r="AY143" s="138"/>
      <c r="AZ143" s="138"/>
      <c r="BA143" s="138"/>
      <c r="BB143" s="150"/>
      <c r="BC143" s="150"/>
      <c r="BD143" s="150"/>
      <c r="BE143" s="150"/>
      <c r="BF143" s="150"/>
      <c r="BG143" s="150"/>
      <c r="BH143" s="150"/>
      <c r="BI143" s="150"/>
      <c r="BJ143" s="150"/>
    </row>
    <row r="144" spans="1:62" ht="16.5" customHeight="1">
      <c r="A144" s="416"/>
      <c r="B144" s="1443" t="s">
        <v>2268</v>
      </c>
      <c r="C144" s="416"/>
      <c r="D144" s="490" t="s">
        <v>2301</v>
      </c>
      <c r="E144" s="653">
        <v>1000</v>
      </c>
      <c r="F144" s="513">
        <v>0.1</v>
      </c>
      <c r="G144" s="474">
        <v>62</v>
      </c>
      <c r="H144" s="474">
        <v>65</v>
      </c>
      <c r="I144" s="31">
        <f>Details!E120</f>
        <v>4600</v>
      </c>
      <c r="J144" s="233" t="str">
        <f>IF(AND(E144&gt;0,G144=0),"Age Error",IF(AND(G144=0,H144=0),"_" &amp; "-" &amp; Final_Year,IF(G144=0,"",G144-Your_Age+First_Year) &amp; "-" &amp; IF(H144=0,Final_Year,H144-Your_Age+First_Year)))</f>
        <v>2019-2022</v>
      </c>
      <c r="K144" s="150"/>
      <c r="L144" s="150"/>
      <c r="M144" s="150"/>
      <c r="N144" s="150"/>
      <c r="O144" s="150"/>
      <c r="P144" s="150"/>
      <c r="Q144" s="849" t="s">
        <v>1931</v>
      </c>
      <c r="R144" s="212"/>
      <c r="S144" s="1482">
        <v>5000</v>
      </c>
      <c r="Y144" s="150"/>
      <c r="Z144" s="106"/>
      <c r="AA144" s="150"/>
      <c r="AB144" s="626">
        <f t="shared" si="20"/>
        <v>63</v>
      </c>
      <c r="AC144" s="346">
        <f>AC$147*$AF144</f>
        <v>24000</v>
      </c>
      <c r="AD144" s="346">
        <f>+AD$147*$AF144</f>
        <v>16000</v>
      </c>
      <c r="AE144" s="346">
        <f t="shared" si="21"/>
        <v>12150.000000000002</v>
      </c>
      <c r="AF144" s="581">
        <f>IF(FRA_You_Alt=66,0.8,0.75)</f>
        <v>0.8</v>
      </c>
      <c r="AG144" s="581">
        <f>IF(FRA_Spouse_Alt=66,0.8,0.75)</f>
        <v>0.8</v>
      </c>
      <c r="AH144" s="581">
        <f>IF(FRA_You_Alt=66,0.375,0.35)</f>
        <v>0.375</v>
      </c>
      <c r="AI144" s="581">
        <f>IF(FRA_Spouse_Alt=66,0.375,0.35)</f>
        <v>0.375</v>
      </c>
      <c r="AJ144" s="762">
        <f t="shared" si="22"/>
        <v>2.0000000000000018E-2</v>
      </c>
      <c r="AK144" s="150"/>
      <c r="AM144" s="150"/>
      <c r="AN144" s="150"/>
      <c r="AO144" s="150"/>
      <c r="AP144" s="150"/>
      <c r="AQ144" s="150"/>
      <c r="AR144" s="150"/>
      <c r="AS144" s="150"/>
      <c r="AT144" s="150"/>
      <c r="AU144" s="150"/>
      <c r="AV144" s="150"/>
      <c r="AW144" s="138"/>
      <c r="AX144" s="138"/>
      <c r="AY144" s="138"/>
      <c r="AZ144" s="138"/>
      <c r="BA144" s="138"/>
      <c r="BB144" s="150"/>
      <c r="BC144" s="150"/>
      <c r="BD144" s="150"/>
      <c r="BE144" s="150"/>
      <c r="BF144" s="150"/>
      <c r="BG144" s="150"/>
      <c r="BH144" s="150"/>
      <c r="BI144" s="150"/>
      <c r="BJ144" s="150"/>
    </row>
    <row r="145" spans="2:62" ht="18" customHeight="1">
      <c r="E145" s="144" t="str">
        <f>IF(Negative_Full&gt;0,"Alert! Portfolio has negative beginning balance in one or more accounts  for " &amp; Negative_Full &amp; " years",".")</f>
        <v>.</v>
      </c>
      <c r="O145" s="150"/>
      <c r="P145" s="150"/>
      <c r="Q145" s="849" t="s">
        <v>1877</v>
      </c>
      <c r="R145" s="212"/>
      <c r="S145" s="1482">
        <v>2000</v>
      </c>
      <c r="Y145" s="150"/>
      <c r="Z145" s="106"/>
      <c r="AA145" s="150"/>
      <c r="AB145" s="626">
        <f t="shared" si="20"/>
        <v>64</v>
      </c>
      <c r="AC145" s="346">
        <f>AC$147*$AF145</f>
        <v>26010</v>
      </c>
      <c r="AD145" s="346">
        <f>+AD$147*$AF145</f>
        <v>17340</v>
      </c>
      <c r="AE145" s="346">
        <f t="shared" si="21"/>
        <v>13510.800000000001</v>
      </c>
      <c r="AF145" s="581">
        <f>IF(FRA_You_Alt=66,0.867,0.8)</f>
        <v>0.86699999999999999</v>
      </c>
      <c r="AG145" s="581">
        <f>IF(FRA_Spouse_Alt=66,0.867,0.8)</f>
        <v>0.86699999999999999</v>
      </c>
      <c r="AH145" s="581">
        <f>IF(FRA_You_Alt=66,0.417,0.375)</f>
        <v>0.41699999999999998</v>
      </c>
      <c r="AI145" s="581">
        <f>IF(FRA_Spouse_Alt=66,0.417,0.375)</f>
        <v>0.41699999999999998</v>
      </c>
      <c r="AJ145" s="762">
        <f t="shared" si="22"/>
        <v>4.0399999999999991E-2</v>
      </c>
      <c r="AK145" s="150"/>
      <c r="AM145" s="150"/>
      <c r="AN145" s="150"/>
      <c r="AO145" s="150"/>
      <c r="AP145" s="150"/>
      <c r="AQ145" s="150"/>
      <c r="AR145" s="150"/>
      <c r="AS145" s="150"/>
      <c r="AT145" s="150"/>
      <c r="AU145" s="150"/>
      <c r="AV145" s="150"/>
      <c r="AW145" s="138"/>
      <c r="AX145" s="138"/>
      <c r="AY145" s="138"/>
      <c r="AZ145" s="138"/>
      <c r="BA145" s="138"/>
      <c r="BB145" s="150"/>
      <c r="BC145" s="150"/>
      <c r="BD145" s="150"/>
      <c r="BE145" s="150"/>
      <c r="BF145" s="150"/>
      <c r="BG145" s="150"/>
      <c r="BH145" s="150"/>
      <c r="BI145" s="150"/>
      <c r="BJ145" s="150"/>
    </row>
    <row r="146" spans="2:62" ht="16.2" customHeight="1">
      <c r="D146" s="659" t="s">
        <v>109</v>
      </c>
      <c r="I146" s="658"/>
      <c r="J146" s="1582" t="s">
        <v>1333</v>
      </c>
      <c r="K146" s="1132"/>
      <c r="O146" s="150"/>
      <c r="P146" s="150"/>
      <c r="Q146" s="849" t="s">
        <v>614</v>
      </c>
      <c r="R146" s="212"/>
      <c r="S146" s="1482">
        <v>4500</v>
      </c>
      <c r="Y146" s="150"/>
      <c r="Z146" s="106"/>
      <c r="AA146" s="150"/>
      <c r="AB146" s="626">
        <f t="shared" si="20"/>
        <v>65</v>
      </c>
      <c r="AC146" s="346">
        <f>AC$147*$AF146</f>
        <v>27990</v>
      </c>
      <c r="AD146" s="346">
        <f>+AD$147*$AF146</f>
        <v>18660</v>
      </c>
      <c r="AE146" s="346">
        <f t="shared" si="21"/>
        <v>14839.200000000003</v>
      </c>
      <c r="AF146" s="581">
        <f>IF(FRA_You_Alt=66,0.933,0.867)</f>
        <v>0.93300000000000005</v>
      </c>
      <c r="AG146" s="581">
        <f>IF(FRA_Spouse_Alt=66,0.933,0.867)</f>
        <v>0.93300000000000005</v>
      </c>
      <c r="AH146" s="581">
        <f>IF(FRA_You_Alt=66,0.458,0.417)</f>
        <v>0.45800000000000002</v>
      </c>
      <c r="AI146" s="581">
        <f>IF(FRA_Spouse_Alt=66,0.458,0.417)</f>
        <v>0.45800000000000002</v>
      </c>
      <c r="AJ146" s="762">
        <f t="shared" si="22"/>
        <v>6.1207999999999929E-2</v>
      </c>
      <c r="AK146" s="150"/>
      <c r="AM146" s="150"/>
      <c r="AN146" s="150"/>
      <c r="AO146" s="150"/>
      <c r="AP146" s="150"/>
      <c r="AQ146" s="150"/>
      <c r="AR146" s="150"/>
      <c r="AS146" s="150"/>
      <c r="AT146" s="150"/>
      <c r="AU146" s="150"/>
      <c r="AV146" s="150"/>
      <c r="AW146" s="138"/>
      <c r="AX146" s="138"/>
      <c r="AY146" s="138"/>
      <c r="AZ146" s="138"/>
      <c r="BA146" s="138"/>
      <c r="BB146" s="150"/>
      <c r="BC146" s="150"/>
      <c r="BD146" s="150"/>
      <c r="BE146" s="150"/>
      <c r="BF146" s="150"/>
      <c r="BG146" s="150"/>
      <c r="BH146" s="150"/>
      <c r="BI146" s="150"/>
      <c r="BJ146" s="150"/>
    </row>
    <row r="147" spans="2:62" ht="16.2" customHeight="1" thickBot="1">
      <c r="C147" s="1038"/>
      <c r="D147" s="205" t="s">
        <v>1535</v>
      </c>
      <c r="E147" s="1447" t="str">
        <f>IF(AND(tIRA_Begin=0,OR(tIRA_Withdr_Compare1&gt;0,tIRA_Withdr_Compare2&gt;0)),"IRA 1 beginning balance is 0",".")</f>
        <v>.</v>
      </c>
      <c r="I147" s="1565" t="s">
        <v>635</v>
      </c>
      <c r="J147" s="1583" t="s">
        <v>436</v>
      </c>
      <c r="K147" s="1132" t="s">
        <v>1493</v>
      </c>
      <c r="L147" s="155"/>
      <c r="M147" s="155"/>
      <c r="N147" s="155"/>
      <c r="O147" s="155"/>
      <c r="Q147" s="849" t="s">
        <v>614</v>
      </c>
      <c r="R147" s="212"/>
      <c r="S147" s="1482"/>
      <c r="Y147" s="155"/>
      <c r="Z147" s="271"/>
      <c r="AA147" s="155"/>
      <c r="AB147" s="627">
        <f t="shared" si="20"/>
        <v>66</v>
      </c>
      <c r="AC147" s="583">
        <f>IF(FRA_You=66,Your_SS_Alt,Your_SS_Alt*$AF147)</f>
        <v>30000</v>
      </c>
      <c r="AD147" s="583">
        <f>IF(FRA_Spouse=66,Spouse_SS_Alt,Spouse_SS_Alt*$AH147)</f>
        <v>20000</v>
      </c>
      <c r="AE147" s="346">
        <f t="shared" si="21"/>
        <v>16200.000000000002</v>
      </c>
      <c r="AF147" s="581">
        <f>IF(FRA_You_Alt=66,1,0.933)</f>
        <v>1</v>
      </c>
      <c r="AG147" s="581">
        <f>IF(FRA_Spouse_Alt=66,1,0.933)</f>
        <v>1</v>
      </c>
      <c r="AH147" s="581">
        <f>IF(FRA_You_Alt=66,0.5,0.458)</f>
        <v>0.5</v>
      </c>
      <c r="AI147" s="581">
        <f>IF(FRA_Spouse_Alt=66,0.5,0.458)</f>
        <v>0.5</v>
      </c>
      <c r="AJ147" s="762">
        <f t="shared" si="22"/>
        <v>8.2432159999999977E-2</v>
      </c>
      <c r="AM147" s="155"/>
      <c r="AN147" s="155"/>
      <c r="AO147" s="155"/>
      <c r="AP147" s="155"/>
      <c r="AQ147" s="155"/>
      <c r="AR147" s="155"/>
      <c r="AS147" s="155"/>
      <c r="AT147" s="155"/>
      <c r="AU147" s="155"/>
      <c r="AV147" s="155"/>
      <c r="AW147" s="780"/>
      <c r="AX147" s="780"/>
      <c r="AY147" s="780"/>
      <c r="AZ147" s="780"/>
      <c r="BA147" s="780"/>
      <c r="BB147" s="155"/>
      <c r="BC147" s="155"/>
      <c r="BD147" s="155"/>
      <c r="BE147" s="155"/>
      <c r="BF147" s="155"/>
      <c r="BG147" s="155"/>
      <c r="BH147" s="155"/>
      <c r="BI147" s="155"/>
      <c r="BJ147" s="155"/>
    </row>
    <row r="148" spans="2:62" ht="16.2" customHeight="1">
      <c r="C148" s="555" t="str">
        <f>IF(E148&gt;0,IF(OR(OR(G148&lt;Your_Age,G148&gt;Your_Age_End),H148&gt;Your_Age_End),"Error: S/E age &lt;&gt; Your Age","."),".")</f>
        <v>.</v>
      </c>
      <c r="D148" s="81" t="s">
        <v>1232</v>
      </c>
      <c r="E148" s="653">
        <v>40000</v>
      </c>
      <c r="F148" s="513">
        <v>0.03</v>
      </c>
      <c r="G148" s="474">
        <v>62</v>
      </c>
      <c r="H148" s="474">
        <v>69</v>
      </c>
      <c r="I148" s="31">
        <f>-Details!E88</f>
        <v>355700</v>
      </c>
      <c r="J148" s="31">
        <f ca="1">+Details!E9</f>
        <v>337700</v>
      </c>
      <c r="K148" s="233" t="str">
        <f>IF(AND(E148&gt;0,G148=0),"Age Error",IF(AND(G148=0,H148=0),"_"&amp;"-"&amp;Final_Year,IF(G148=0,"",G148-Your_Age+First_Year)&amp;"-"&amp;IF(H148=0,Final_Year,H148-Your_Age+First_Year)))</f>
        <v>2019-2026</v>
      </c>
      <c r="L148" s="155"/>
      <c r="M148" s="155"/>
      <c r="N148" s="155"/>
      <c r="O148" s="155"/>
      <c r="Q148" s="849" t="s">
        <v>614</v>
      </c>
      <c r="R148" s="212"/>
      <c r="S148" s="1482"/>
      <c r="Y148" s="155"/>
      <c r="Z148" s="271"/>
      <c r="AA148" s="155"/>
      <c r="AB148" s="627">
        <f t="shared" si="20"/>
        <v>67</v>
      </c>
      <c r="AC148" s="1032">
        <f>IF(FRA_You=67,Your_SS_Alt,AC$147*$AF148)</f>
        <v>32400.000000000004</v>
      </c>
      <c r="AD148" s="1032">
        <f>IF(FRA_Spouse=67,Spouse_SS_Alt,AD$147*$AG148)</f>
        <v>21600</v>
      </c>
      <c r="AE148" s="346">
        <f t="shared" si="21"/>
        <v>16200.000000000002</v>
      </c>
      <c r="AF148" s="581">
        <f>IF(FRA_You_Alt=66,1.08,1)</f>
        <v>1.08</v>
      </c>
      <c r="AG148" s="581">
        <f>IF(FRA_Spouse_Alt=66,1.08,1)</f>
        <v>1.08</v>
      </c>
      <c r="AH148" s="581">
        <v>0.5</v>
      </c>
      <c r="AI148" s="581">
        <v>0.5</v>
      </c>
      <c r="AJ148" s="762">
        <f t="shared" si="22"/>
        <v>0.10408080320000002</v>
      </c>
      <c r="AK148" s="982" t="str">
        <f>IF(IF(C148=".",0,1)+IF(C148=".",0,1)&gt;=1,1,"ok")</f>
        <v>ok</v>
      </c>
      <c r="AM148" s="155"/>
      <c r="AN148" s="155"/>
      <c r="AO148" s="155"/>
      <c r="AP148" s="155"/>
      <c r="AQ148" s="155"/>
      <c r="AR148" s="155"/>
      <c r="AS148" s="155"/>
      <c r="AT148" s="155"/>
      <c r="AU148" s="155"/>
      <c r="AV148" s="155"/>
      <c r="AW148" s="780"/>
      <c r="AX148" s="780"/>
      <c r="AY148" s="780"/>
      <c r="AZ148" s="780"/>
      <c r="BA148" s="780"/>
      <c r="BB148" s="155"/>
      <c r="BC148" s="155"/>
      <c r="BD148" s="155"/>
      <c r="BE148" s="155"/>
      <c r="BF148" s="155"/>
      <c r="BG148" s="155"/>
      <c r="BH148" s="155"/>
      <c r="BI148" s="155"/>
      <c r="BJ148" s="155"/>
    </row>
    <row r="149" spans="2:62" ht="16.2" customHeight="1">
      <c r="C149" s="555" t="str">
        <f>IF(E149&gt;0,IF(OR(OR(G149&lt;Your_Age,G149&gt;Your_Age_End),H149&gt;Your_Age_End),"Error: S/E age &lt;&gt; Your Age","."),".")</f>
        <v>.</v>
      </c>
      <c r="D149" s="81" t="s">
        <v>1233</v>
      </c>
      <c r="E149" s="653">
        <v>10000</v>
      </c>
      <c r="F149" s="513">
        <v>-0.1</v>
      </c>
      <c r="G149" s="474">
        <v>70</v>
      </c>
      <c r="H149" s="474">
        <v>75</v>
      </c>
      <c r="I149" s="31">
        <f>-Details!E89</f>
        <v>46900</v>
      </c>
      <c r="K149" s="233" t="str">
        <f>IF(AND(E149&gt;0,G149=0),"Age Error",IF(AND(G149=0,H149=0),"_"&amp;"-"&amp;Final_Year,IF(G149=0,"",G149-Your_Age+First_Year)&amp;"-"&amp;IF(H149=0,Final_Year,H149-Your_Age+First_Year)))</f>
        <v>2027-2032</v>
      </c>
      <c r="L149" s="155"/>
      <c r="M149" s="155"/>
      <c r="N149" s="155"/>
      <c r="O149" s="155"/>
      <c r="P149" s="155"/>
      <c r="Q149" s="849" t="s">
        <v>614</v>
      </c>
      <c r="R149" s="212"/>
      <c r="S149" s="1482"/>
      <c r="Y149" s="155"/>
      <c r="Z149" s="271"/>
      <c r="AA149" s="155"/>
      <c r="AB149" s="626">
        <f t="shared" si="20"/>
        <v>68</v>
      </c>
      <c r="AC149" s="346">
        <f>IF(FRA_You=66,AC$147*$AF149,AC$148*$AF149)</f>
        <v>34800</v>
      </c>
      <c r="AD149" s="346">
        <f>IF(FRA_Spouse=66,+AD$147*$AG149,+AD$148*$AG149)</f>
        <v>23200</v>
      </c>
      <c r="AE149" s="346">
        <f>+AE148</f>
        <v>16200.000000000002</v>
      </c>
      <c r="AF149" s="581">
        <f>IF(FRA_You_Alt=66,1.16,1.08)</f>
        <v>1.1599999999999999</v>
      </c>
      <c r="AG149" s="581">
        <f>IF(FRA_Spouse_Alt=66,1.16,1.08)</f>
        <v>1.1599999999999999</v>
      </c>
      <c r="AH149" s="581">
        <v>0.5</v>
      </c>
      <c r="AI149" s="581">
        <v>0.5</v>
      </c>
      <c r="AJ149" s="762">
        <f t="shared" si="22"/>
        <v>0.12616241926400007</v>
      </c>
      <c r="AK149" s="982" t="str">
        <f>IF(IF(C149=".",0,1)+IF(C149=".",0,1)&gt;=1,1,"ok")</f>
        <v>ok</v>
      </c>
      <c r="AM149" s="155"/>
      <c r="AN149" s="155"/>
      <c r="AO149" s="155"/>
      <c r="AP149" s="155"/>
      <c r="AQ149" s="155"/>
      <c r="AR149" s="155"/>
      <c r="AS149" s="155"/>
      <c r="AT149" s="155"/>
      <c r="AU149" s="155"/>
      <c r="AV149" s="155"/>
      <c r="AW149" s="780"/>
      <c r="AX149" s="780"/>
      <c r="AY149" s="780"/>
      <c r="AZ149" s="780"/>
      <c r="BA149" s="780"/>
      <c r="BB149" s="155"/>
      <c r="BC149" s="155"/>
      <c r="BD149" s="155"/>
      <c r="BE149" s="155"/>
      <c r="BF149" s="155"/>
      <c r="BG149" s="155"/>
      <c r="BH149" s="155"/>
      <c r="BI149" s="155"/>
      <c r="BJ149" s="155"/>
    </row>
    <row r="150" spans="2:62" ht="16.2" customHeight="1">
      <c r="B150" s="308"/>
      <c r="D150" s="490" t="s">
        <v>1536</v>
      </c>
      <c r="E150" s="1447" t="str">
        <f>IF(OR(AND(tIRA_Begin2=0,E151&gt;0),AND(tIRA_Begin2=0,E167&gt;0)),"IRA 2 beginning balance is 0",".")</f>
        <v>.</v>
      </c>
      <c r="G150" s="643" t="str">
        <f>IF(OR(AND(E148&gt;0,G148=0),AND(E149&gt;0,G149=0),AND(E148&gt;0,G148=0),AND(E149&gt;0,G149=0)),"Error: start age required",".")</f>
        <v>.</v>
      </c>
      <c r="H150" s="640" t="str">
        <f>IF(OR(AND(H148&lt;G148,H148&lt;&gt;0),AND(H164&lt;G164,H164&lt;&gt;0),AND(H149&lt;G149,H149&lt;&gt;0),AND(H165&lt;G165,H165&lt;&gt;0)),"Error: end age &lt; start age",".")</f>
        <v>.</v>
      </c>
      <c r="I150" s="31"/>
      <c r="K150" s="232"/>
      <c r="L150" s="155"/>
      <c r="M150" s="155"/>
      <c r="N150" s="155"/>
      <c r="O150" s="155"/>
      <c r="P150" s="155"/>
      <c r="Q150" s="539" t="s">
        <v>635</v>
      </c>
      <c r="S150" s="31">
        <f>SUM(S130:S149)</f>
        <v>70000</v>
      </c>
      <c r="Y150" s="155"/>
      <c r="Z150" s="271"/>
      <c r="AA150" s="155"/>
      <c r="AB150" s="626">
        <f t="shared" si="20"/>
        <v>69</v>
      </c>
      <c r="AC150" s="346">
        <f>IF(FRA_You=66,AC$147*$AF150,AC$148*$AF150)</f>
        <v>37200</v>
      </c>
      <c r="AD150" s="346">
        <f>IF(FRA_Spouse=66,+AD$147*$AG150,+AD$148*$AG150)</f>
        <v>24800</v>
      </c>
      <c r="AE150" s="346">
        <f>+AE149</f>
        <v>16200.000000000002</v>
      </c>
      <c r="AF150" s="581">
        <f>IF(FRA_You_Alt=66,1.24,1.16)</f>
        <v>1.24</v>
      </c>
      <c r="AG150" s="581">
        <f>IF(FRA_Spouse_Alt=66,1.24,1.16)</f>
        <v>1.24</v>
      </c>
      <c r="AH150" s="581">
        <v>0.5</v>
      </c>
      <c r="AI150" s="581">
        <v>0.5</v>
      </c>
      <c r="AJ150" s="762">
        <f t="shared" si="22"/>
        <v>0.14868566764927982</v>
      </c>
      <c r="AK150" s="733" t="str">
        <f>IF(IF(G150=".",0,1)+IF(H150=".",0,1)&gt;=1,1,"ok")</f>
        <v>ok</v>
      </c>
      <c r="AM150" s="155"/>
      <c r="AN150" s="155"/>
      <c r="AO150" s="155"/>
      <c r="AP150" s="155"/>
      <c r="AQ150" s="155"/>
      <c r="AR150" s="155"/>
      <c r="AS150" s="155"/>
      <c r="AT150" s="155"/>
      <c r="AU150" s="155"/>
      <c r="AV150" s="155"/>
      <c r="AW150" s="780"/>
      <c r="AX150" s="780"/>
      <c r="AY150" s="780"/>
      <c r="AZ150" s="780"/>
      <c r="BA150" s="780"/>
      <c r="BB150" s="155"/>
      <c r="BC150" s="155"/>
      <c r="BD150" s="155"/>
      <c r="BE150" s="155"/>
      <c r="BF150" s="155"/>
      <c r="BG150" s="155"/>
      <c r="BH150" s="155"/>
      <c r="BI150" s="155"/>
      <c r="BJ150" s="155"/>
    </row>
    <row r="151" spans="2:62" ht="16.2" customHeight="1">
      <c r="C151" s="555" t="str">
        <f>IF(E151&gt;0,IF(OR(OR(G151&lt;Your_Age,G151&gt;Your_Age_End),H151&gt;Your_Age_End),"Error: S/E age &lt;&gt; Your Age","."),".")</f>
        <v>.</v>
      </c>
      <c r="D151" s="81" t="s">
        <v>1234</v>
      </c>
      <c r="E151" s="462"/>
      <c r="F151" s="513">
        <v>0</v>
      </c>
      <c r="G151" s="474"/>
      <c r="H151" s="474"/>
      <c r="I151" s="31">
        <f>-Details!E99</f>
        <v>0</v>
      </c>
      <c r="J151" s="31">
        <f ca="1">+Details!E10</f>
        <v>388100</v>
      </c>
      <c r="K151" s="233" t="str">
        <f>IF(AND(E151&gt;0,G151=0),"Age Error",IF(AND(G151=0,H151=0),"_"&amp;"-"&amp;Final_Year,IF(G151=0,"",G151-Your_Age+First_Year)&amp;"-"&amp;IF(H151=0,Final_Year,H151-Your_Age+First_Year)))</f>
        <v>_-2048</v>
      </c>
      <c r="L151" s="155"/>
      <c r="M151" s="155"/>
      <c r="N151" s="155"/>
      <c r="O151" s="155"/>
      <c r="P151" s="155"/>
      <c r="Q151" s="671"/>
      <c r="Y151" s="155"/>
      <c r="Z151" s="271"/>
      <c r="AA151" s="155"/>
      <c r="AB151" s="626">
        <v>70</v>
      </c>
      <c r="AC151" s="346">
        <f>IF(FRA_You=66,AC$147*$AF151,AC$148*$AF151)</f>
        <v>39600</v>
      </c>
      <c r="AD151" s="346">
        <f>IF(FRA_Spouse=66,+AD$147*$AG151,+AD$148*$AG151)</f>
        <v>26400</v>
      </c>
      <c r="AE151" s="346">
        <f>+AE150</f>
        <v>16200.000000000002</v>
      </c>
      <c r="AF151" s="581">
        <f>IF(FRA_You_Alt=66,1.32,1.24)</f>
        <v>1.32</v>
      </c>
      <c r="AG151" s="581">
        <f>IF(FRA_Spouse_Alt=66,1.32,1.24)</f>
        <v>1.32</v>
      </c>
      <c r="AH151" s="581">
        <v>0.5</v>
      </c>
      <c r="AI151" s="581">
        <v>0.5</v>
      </c>
      <c r="AJ151" s="762">
        <f t="shared" si="22"/>
        <v>0.17165938100226552</v>
      </c>
      <c r="AK151" s="982" t="str">
        <f>IF(IF(C151=".",0,1)+IF(C151=".",0,1)&gt;=1,1,"ok")</f>
        <v>ok</v>
      </c>
      <c r="AM151" s="155"/>
      <c r="AN151" s="155"/>
      <c r="AO151" s="155"/>
      <c r="AP151" s="155"/>
      <c r="AQ151" s="155"/>
      <c r="AR151" s="155"/>
      <c r="AS151" s="155"/>
      <c r="AT151" s="155"/>
      <c r="AU151" s="155"/>
      <c r="AV151" s="155"/>
      <c r="AW151" s="780"/>
      <c r="AX151" s="780"/>
      <c r="AY151" s="780"/>
      <c r="AZ151" s="780"/>
      <c r="BA151" s="780"/>
      <c r="BB151" s="155"/>
      <c r="BC151" s="155"/>
      <c r="BD151" s="155"/>
      <c r="BE151" s="155"/>
      <c r="BF151" s="155"/>
      <c r="BG151" s="155"/>
      <c r="BH151" s="155"/>
      <c r="BI151" s="155"/>
      <c r="BJ151" s="155"/>
    </row>
    <row r="152" spans="2:62" ht="16.2" customHeight="1">
      <c r="G152" s="643" t="str">
        <f>IF(AND($E$151&gt;0,$G$151=0,Roth_Begin&gt;0),"Error: start age required",".")</f>
        <v>.</v>
      </c>
      <c r="H152" s="640" t="str">
        <f>IF(AND(OR(H151&lt;G151),H151&lt;&gt;0),"Error: end age &lt; start age",".")</f>
        <v>.</v>
      </c>
      <c r="L152" s="155"/>
      <c r="M152" s="155"/>
      <c r="N152" s="155"/>
      <c r="O152" s="155"/>
      <c r="P152" s="155"/>
      <c r="Q152" s="584"/>
      <c r="R152" s="88"/>
      <c r="S152" s="88"/>
      <c r="T152" s="88"/>
      <c r="U152" s="88"/>
      <c r="V152" s="88"/>
      <c r="Y152" s="155"/>
      <c r="Z152" s="271"/>
      <c r="AA152" s="155"/>
      <c r="AK152" s="733" t="str">
        <f>IF(IF(G152=".",0,1)+IF(H152=".",0,1)&gt;=1,1,"ok")</f>
        <v>ok</v>
      </c>
      <c r="AM152" s="155"/>
      <c r="AN152" s="155"/>
      <c r="AO152" s="155"/>
      <c r="AP152" s="155"/>
      <c r="AQ152" s="155"/>
      <c r="AR152" s="155"/>
      <c r="AS152" s="155"/>
      <c r="AT152" s="155"/>
      <c r="AU152" s="155"/>
      <c r="AV152" s="155"/>
      <c r="AW152" s="780"/>
      <c r="AX152" s="780"/>
      <c r="AY152" s="780"/>
      <c r="AZ152" s="780"/>
      <c r="BA152" s="780"/>
      <c r="BB152" s="155"/>
      <c r="BC152" s="155"/>
      <c r="BD152" s="155"/>
      <c r="BE152" s="155"/>
      <c r="BF152" s="155"/>
      <c r="BG152" s="155"/>
      <c r="BH152" s="155"/>
      <c r="BI152" s="155"/>
      <c r="BJ152" s="155"/>
    </row>
    <row r="153" spans="2:62" ht="16.2" customHeight="1">
      <c r="C153" s="265" t="s">
        <v>630</v>
      </c>
      <c r="D153" s="205" t="s">
        <v>760</v>
      </c>
      <c r="E153" s="647"/>
      <c r="F153" s="360"/>
      <c r="G153" s="643"/>
      <c r="H153" s="640"/>
      <c r="K153" s="336"/>
      <c r="L153" s="155"/>
      <c r="M153" s="155"/>
      <c r="N153" s="155"/>
      <c r="O153" s="155"/>
      <c r="P153" s="155"/>
      <c r="Q153" s="155"/>
      <c r="R153" s="155"/>
      <c r="S153" s="155"/>
      <c r="T153" s="155"/>
      <c r="U153" s="155"/>
      <c r="V153" s="155"/>
      <c r="W153" s="155"/>
      <c r="X153" s="155"/>
      <c r="Y153" s="155"/>
      <c r="Z153" s="271"/>
      <c r="AA153" s="155"/>
      <c r="AM153" s="155"/>
      <c r="AN153" s="155"/>
      <c r="AO153" s="155"/>
      <c r="AP153" s="155"/>
      <c r="AQ153" s="155"/>
      <c r="AR153" s="155"/>
      <c r="AS153" s="155"/>
      <c r="AT153" s="155"/>
      <c r="AU153" s="155"/>
      <c r="AV153" s="155"/>
      <c r="AW153" s="780"/>
      <c r="AX153" s="780"/>
      <c r="AY153" s="780"/>
      <c r="AZ153" s="780"/>
      <c r="BA153" s="780"/>
      <c r="BB153" s="155"/>
      <c r="BC153" s="155"/>
      <c r="BD153" s="155"/>
      <c r="BE153" s="155"/>
      <c r="BF153" s="155"/>
      <c r="BG153" s="155"/>
      <c r="BH153" s="155"/>
      <c r="BI153" s="155"/>
      <c r="BJ153" s="155"/>
    </row>
    <row r="154" spans="2:62" ht="16.2" customHeight="1">
      <c r="C154" s="555" t="str">
        <f>IF(E154&gt;0,IF(OR(OR(G154&lt;Your_Age,G154&gt;Your_Age_End),H154&gt;Your_Age_End),"Error: S/E age &lt;&gt; Your Age","."),".")</f>
        <v>.</v>
      </c>
      <c r="D154" s="81" t="s">
        <v>1232</v>
      </c>
      <c r="E154" s="462">
        <v>500</v>
      </c>
      <c r="F154" s="513">
        <v>0</v>
      </c>
      <c r="G154" s="474">
        <v>80</v>
      </c>
      <c r="H154" s="474"/>
      <c r="I154" s="31">
        <f>-Details!E121</f>
        <v>6000</v>
      </c>
      <c r="J154" s="31">
        <f ca="1">+Details!E15</f>
        <v>416600</v>
      </c>
      <c r="K154" s="233" t="str">
        <f>IF(AND(E154&gt;0,G154=0),"Age Error",IF(AND(G154=0,H154=0),"_"&amp;"-"&amp;Final_Year,IF(G154=0,"",G154-Your_Age+First_Year)&amp;"-"&amp;IF(H154=0,Final_Year,H154-Your_Age+First_Year)))</f>
        <v>2037-2048</v>
      </c>
      <c r="L154" s="155"/>
      <c r="M154" s="155"/>
      <c r="N154" s="155"/>
      <c r="O154" s="155"/>
      <c r="P154" s="155"/>
      <c r="Q154" s="155"/>
      <c r="R154" s="155"/>
      <c r="S154" s="155"/>
      <c r="T154" s="155"/>
      <c r="U154" s="155"/>
      <c r="V154" s="155"/>
      <c r="W154" s="155"/>
      <c r="X154" s="155"/>
      <c r="Y154" s="155"/>
      <c r="Z154" s="271"/>
      <c r="AA154" s="155"/>
      <c r="AK154" s="982" t="str">
        <f>IF(IF(C154=".",0,1)+IF(C154=".",0,1)&gt;=1,1,"ok")</f>
        <v>ok</v>
      </c>
      <c r="AM154" s="155"/>
      <c r="AN154" s="155"/>
      <c r="AO154" s="155"/>
      <c r="AP154" s="155"/>
      <c r="AQ154" s="155"/>
      <c r="AR154" s="155"/>
      <c r="AS154" s="155"/>
      <c r="AT154" s="155"/>
      <c r="AU154" s="155"/>
      <c r="AV154" s="155"/>
      <c r="AW154" s="780"/>
      <c r="AX154" s="780"/>
      <c r="AY154" s="780"/>
      <c r="AZ154" s="780"/>
      <c r="BA154" s="780"/>
      <c r="BB154" s="155"/>
      <c r="BC154" s="155"/>
      <c r="BD154" s="155"/>
      <c r="BE154" s="155"/>
      <c r="BF154" s="155"/>
      <c r="BG154" s="155"/>
      <c r="BH154" s="155"/>
      <c r="BI154" s="155"/>
      <c r="BJ154" s="155"/>
    </row>
    <row r="155" spans="2:62" ht="16.2" customHeight="1">
      <c r="B155" s="1443" t="s">
        <v>2027</v>
      </c>
      <c r="D155" s="81" t="s">
        <v>1233</v>
      </c>
      <c r="E155" s="462">
        <v>500</v>
      </c>
      <c r="F155" s="513">
        <v>0</v>
      </c>
      <c r="G155" s="474">
        <v>80</v>
      </c>
      <c r="H155" s="474"/>
      <c r="I155" s="31">
        <f>-Details!E122</f>
        <v>6000</v>
      </c>
      <c r="J155" s="31"/>
      <c r="K155" s="233" t="str">
        <f>IF(AND(E155&gt;0,G155=0),"Age Error",IF(AND(G155=0,H155=0),"_"&amp;"-"&amp;Final_Year,IF(G155=0,"",G155-Your_Age+First_Year)&amp;"-"&amp;IF(H155=0,Final_Year,H155-Your_Age+First_Year)))</f>
        <v>2037-2048</v>
      </c>
      <c r="L155" s="155"/>
      <c r="M155" s="155"/>
      <c r="N155" s="155"/>
      <c r="O155" s="155"/>
      <c r="P155" s="155"/>
      <c r="Q155" s="155"/>
      <c r="R155" s="155"/>
      <c r="S155" s="155"/>
      <c r="T155" s="155"/>
      <c r="U155" s="155"/>
      <c r="V155" s="155"/>
      <c r="W155" s="155"/>
      <c r="X155" s="155"/>
      <c r="Y155" s="155"/>
      <c r="Z155" s="271"/>
      <c r="AA155" s="155"/>
      <c r="AM155" s="155"/>
      <c r="AN155" s="155"/>
      <c r="AO155" s="155"/>
      <c r="AP155" s="155"/>
      <c r="AQ155" s="155"/>
      <c r="AR155" s="155"/>
      <c r="AS155" s="155"/>
      <c r="AT155" s="155"/>
      <c r="AU155" s="155"/>
      <c r="AV155" s="155"/>
      <c r="AW155" s="780"/>
      <c r="AX155" s="780"/>
      <c r="AY155" s="780"/>
      <c r="AZ155" s="780"/>
      <c r="BA155" s="780"/>
      <c r="BB155" s="155"/>
      <c r="BC155" s="155"/>
      <c r="BD155" s="155"/>
      <c r="BE155" s="155"/>
      <c r="BF155" s="155"/>
      <c r="BG155" s="155"/>
      <c r="BH155" s="155"/>
      <c r="BI155" s="155"/>
      <c r="BJ155" s="155"/>
    </row>
    <row r="156" spans="2:62" ht="16.2" customHeight="1">
      <c r="C156" s="555" t="str">
        <f>IF(E156&gt;0,IF(OR(OR(G156&lt;Your_Age,G156&gt;Your_Age_End),H156&gt;Your_Age_End),"Error: S/E age &lt;&gt; Your Age","."),".")</f>
        <v>.</v>
      </c>
      <c r="D156" s="17" t="s">
        <v>759</v>
      </c>
      <c r="E156" s="462">
        <v>5000</v>
      </c>
      <c r="F156" s="513">
        <v>0.1</v>
      </c>
      <c r="G156" s="474">
        <v>70</v>
      </c>
      <c r="H156" s="474">
        <v>75</v>
      </c>
      <c r="I156" s="31">
        <f>-Details!E124</f>
        <v>38800</v>
      </c>
      <c r="J156" s="31">
        <f ca="1">+Details!E16</f>
        <v>21100</v>
      </c>
      <c r="K156" s="233" t="str">
        <f>IF(AND(E156&gt;0,G156=0),"Age Error",IF(AND(G156=0,H156=0),"_"&amp;"-"&amp;Final_Year,IF(G156=0,"",G156-Your_Age+First_Year)&amp;"-"&amp;IF(H156=0,Final_Year,H156-Your_Age+First_Year)))</f>
        <v>2027-2032</v>
      </c>
      <c r="L156" s="155"/>
      <c r="M156" s="155"/>
      <c r="N156" s="155"/>
      <c r="O156" s="155"/>
      <c r="P156" s="155"/>
      <c r="Q156" s="155"/>
      <c r="R156" s="155"/>
      <c r="S156" s="155"/>
      <c r="T156" s="155"/>
      <c r="U156" s="155"/>
      <c r="V156" s="155"/>
      <c r="W156" s="155"/>
      <c r="X156" s="155"/>
      <c r="Y156" s="155"/>
      <c r="Z156" s="271"/>
      <c r="AA156" s="155"/>
      <c r="AK156" s="982" t="str">
        <f>IF(IF(C156=".",0,1)+IF(C156=".",0,1)&gt;=1,1,"ok")</f>
        <v>ok</v>
      </c>
      <c r="AM156" s="155"/>
      <c r="AN156" s="155"/>
      <c r="AO156" s="155"/>
      <c r="AP156" s="155"/>
      <c r="AQ156" s="155"/>
      <c r="AR156" s="155"/>
      <c r="AS156" s="155"/>
      <c r="AT156" s="155"/>
      <c r="AU156" s="155"/>
      <c r="AV156" s="155"/>
      <c r="AW156" s="780"/>
      <c r="AX156" s="780"/>
      <c r="AY156" s="780"/>
      <c r="AZ156" s="780"/>
      <c r="BA156" s="780"/>
      <c r="BB156" s="155"/>
      <c r="BC156" s="155"/>
      <c r="BD156" s="155"/>
      <c r="BE156" s="155"/>
      <c r="BF156" s="155"/>
      <c r="BG156" s="155"/>
      <c r="BH156" s="155"/>
      <c r="BI156" s="155"/>
      <c r="BJ156" s="155"/>
    </row>
    <row r="157" spans="2:62" ht="16.2" customHeight="1">
      <c r="C157" s="684" t="str">
        <f>IF(AND(Roth_Begin=0,E154&gt;0),"no Roth 1 balance",".") &amp; " " &amp; IF(AND(Roth2_Begin=0,E156&gt;0),"no Roth 2 balance",".")</f>
        <v>. .</v>
      </c>
      <c r="D157" s="336"/>
      <c r="F157" s="360"/>
      <c r="G157" s="643" t="str">
        <f>IF(OR(AND($E$154&gt;0,$G$154=0,Roth_Begin&gt;0),AND($E$156&gt;0,$G$156=0,Roth_Begin&gt;0)),"Error: start age required",".")</f>
        <v>.</v>
      </c>
      <c r="H157" s="1366" t="str">
        <f>IF(OR(AND(OR(H154&lt;G154),H154&lt;&gt;0),AND(OR(H156&lt;G156),H156&lt;&gt;0)),"Error: end age &lt; start age",".")</f>
        <v>.</v>
      </c>
      <c r="K157" s="336"/>
      <c r="L157" s="155"/>
      <c r="M157" s="155"/>
      <c r="N157" s="155"/>
      <c r="O157" s="155"/>
      <c r="P157" s="155"/>
      <c r="Q157" s="155"/>
      <c r="R157" s="155"/>
      <c r="S157" s="155"/>
      <c r="T157" s="155"/>
      <c r="U157" s="155"/>
      <c r="V157" s="155"/>
      <c r="W157" s="155"/>
      <c r="X157" s="155"/>
      <c r="Y157" s="155"/>
      <c r="Z157" s="271"/>
      <c r="AA157" s="155"/>
      <c r="AK157" s="733" t="str">
        <f>IF(IF(G157=".",0,1)+IF(H157=".",0,1)&gt;=1,1,"ok")</f>
        <v>ok</v>
      </c>
      <c r="AM157" s="155"/>
      <c r="AN157" s="155"/>
      <c r="AO157" s="155"/>
      <c r="AP157" s="155"/>
      <c r="AQ157" s="155"/>
      <c r="AR157" s="155"/>
      <c r="AS157" s="155"/>
      <c r="AT157" s="155"/>
      <c r="AU157" s="155"/>
      <c r="AV157" s="155"/>
      <c r="AW157" s="780"/>
      <c r="AX157" s="780"/>
      <c r="AY157" s="780"/>
      <c r="AZ157" s="780"/>
      <c r="BA157" s="780"/>
      <c r="BB157" s="155"/>
      <c r="BC157" s="155"/>
      <c r="BD157" s="155"/>
      <c r="BE157" s="155"/>
      <c r="BF157" s="155"/>
      <c r="BG157" s="155"/>
      <c r="BH157" s="155"/>
      <c r="BI157" s="155"/>
      <c r="BJ157" s="155"/>
    </row>
    <row r="158" spans="2:62" ht="16.2" customHeight="1">
      <c r="D158" s="265" t="s">
        <v>569</v>
      </c>
      <c r="E158" s="923" t="str">
        <f>IF(AND(AND(OR(Inherit_tIRA=0,Inheritance="n"),E159&gt;0),AND(OR(Inherit_tIRA2=0,Inheritance2="n"),E160&gt;0))," no inherited IRA",".")</f>
        <v>.</v>
      </c>
      <c r="F158" s="500"/>
      <c r="G158" s="501"/>
      <c r="H158" s="501"/>
      <c r="I158" s="232"/>
      <c r="K158" s="163"/>
      <c r="L158" s="155"/>
      <c r="M158" s="155"/>
      <c r="N158" s="155"/>
      <c r="O158" s="155"/>
      <c r="P158" s="155"/>
      <c r="Q158" s="155"/>
      <c r="R158" s="155"/>
      <c r="S158" s="155"/>
      <c r="T158" s="155"/>
      <c r="U158" s="155"/>
      <c r="V158" s="155"/>
      <c r="W158" s="155"/>
      <c r="X158" s="155"/>
      <c r="Y158" s="155"/>
      <c r="AM158" s="155"/>
      <c r="AN158" s="155"/>
      <c r="AO158" s="155"/>
      <c r="AP158" s="155"/>
      <c r="AQ158" s="155"/>
      <c r="AR158" s="155"/>
      <c r="AS158" s="155"/>
      <c r="AT158" s="155"/>
      <c r="AU158" s="155"/>
      <c r="AV158" s="155"/>
      <c r="AW158" s="780"/>
      <c r="AX158" s="780"/>
      <c r="AY158" s="780"/>
      <c r="AZ158" s="780"/>
      <c r="BA158" s="780"/>
      <c r="BB158" s="155"/>
      <c r="BC158" s="155"/>
      <c r="BD158" s="155"/>
      <c r="BE158" s="155"/>
      <c r="BF158" s="155"/>
      <c r="BG158" s="155"/>
      <c r="BH158" s="155"/>
      <c r="BI158" s="155"/>
      <c r="BJ158" s="155"/>
    </row>
    <row r="159" spans="2:62" ht="16.2" customHeight="1">
      <c r="C159" s="555" t="str">
        <f>IF(E159&gt;0,IF(OR(OR(G159&lt;Your_Age,G159&gt;Your_Age_End),H159&gt;Your_Age_End),"Error: S/E age &lt;&gt; Your Age","."),".")</f>
        <v>.</v>
      </c>
      <c r="D159" s="18" t="s">
        <v>1031</v>
      </c>
      <c r="E159" s="462">
        <v>4000</v>
      </c>
      <c r="F159" s="513">
        <v>0</v>
      </c>
      <c r="G159" s="474">
        <v>77</v>
      </c>
      <c r="H159" s="474">
        <v>79</v>
      </c>
      <c r="I159" s="31">
        <f>-Details!E113</f>
        <v>12000</v>
      </c>
      <c r="J159" s="31">
        <f ca="1">+Details!E12</f>
        <v>0</v>
      </c>
      <c r="K159" s="233" t="str">
        <f>IF(AND(E159&gt;0,G159=0),"Age Error",IF(AND(G159=0,H159=0),"_"&amp;"-"&amp;Final_Year,IF(G159=0,"",G159-Your_Age+First_Year)&amp;"-"&amp;IF(H159=0,Final_Year,H159-Your_Age+First_Year)))</f>
        <v>2034-2036</v>
      </c>
      <c r="L159" s="155"/>
      <c r="M159" s="155"/>
      <c r="N159" s="155"/>
      <c r="O159" s="155"/>
      <c r="P159" s="155"/>
      <c r="Q159" s="155"/>
      <c r="R159" s="155"/>
      <c r="S159" s="155"/>
      <c r="T159" s="155"/>
      <c r="U159" s="155"/>
      <c r="V159" s="155"/>
      <c r="W159" s="155"/>
      <c r="X159" s="155"/>
      <c r="Y159" s="155"/>
      <c r="Z159" s="271"/>
      <c r="AA159" s="835"/>
      <c r="AD159" s="22" t="s">
        <v>2220</v>
      </c>
      <c r="AK159" s="982" t="str">
        <f>IF(IF(C159=".",0,1)+IF(C159=".",0,1)&gt;=1,1,"ok")</f>
        <v>ok</v>
      </c>
      <c r="AM159" s="155"/>
      <c r="AN159" s="155"/>
      <c r="AO159" s="155"/>
      <c r="AP159" s="155"/>
      <c r="AQ159" s="155"/>
      <c r="AR159" s="155"/>
      <c r="AS159" s="155"/>
      <c r="AT159" s="155"/>
      <c r="AU159" s="155"/>
      <c r="AV159" s="155"/>
      <c r="AW159" s="780"/>
      <c r="AX159" s="780"/>
      <c r="AY159" s="780"/>
      <c r="AZ159" s="780"/>
      <c r="BA159" s="780"/>
      <c r="BB159" s="155"/>
      <c r="BC159" s="155"/>
      <c r="BD159" s="155"/>
      <c r="BE159" s="155"/>
      <c r="BF159" s="155"/>
      <c r="BG159" s="155"/>
      <c r="BH159" s="155"/>
      <c r="BI159" s="155"/>
      <c r="BJ159" s="155"/>
    </row>
    <row r="160" spans="2:62" ht="16.2" customHeight="1">
      <c r="C160" s="555" t="str">
        <f>IF(E160&gt;0,IF(OR(OR(G160&lt;Your_Age,G160&gt;Your_Age_End),H160&gt;Your_Age_End),"Error: S/E age &lt;&gt; Your Age","."),".")</f>
        <v>.</v>
      </c>
      <c r="D160" s="18" t="s">
        <v>522</v>
      </c>
      <c r="E160" s="462">
        <v>1000</v>
      </c>
      <c r="F160" s="513">
        <v>0.1</v>
      </c>
      <c r="G160" s="474">
        <v>78</v>
      </c>
      <c r="H160" s="474">
        <v>80</v>
      </c>
      <c r="I160" s="31">
        <f>-Details!E114</f>
        <v>3300</v>
      </c>
      <c r="J160" s="31">
        <f ca="1">+Details!E13</f>
        <v>0</v>
      </c>
      <c r="K160" s="233" t="str">
        <f>IF(AND(E160&gt;0,G160=0),"Age Error",IF(AND(G160=0,H160=0),"_"&amp;"-"&amp;Final_Year,IF(G160=0,"",G160-Your_Age+First_Year)&amp;"-"&amp;IF(H160=0,Final_Year,H160-Your_Age+First_Year)))</f>
        <v>2035-2037</v>
      </c>
      <c r="L160" s="155"/>
      <c r="M160" s="155"/>
      <c r="N160" s="155"/>
      <c r="O160" s="155"/>
      <c r="P160" s="155"/>
      <c r="Q160" s="155"/>
      <c r="R160" s="155"/>
      <c r="S160" s="155"/>
      <c r="T160" s="155"/>
      <c r="U160" s="155"/>
      <c r="V160" s="155"/>
      <c r="W160" s="155"/>
      <c r="X160" s="155"/>
      <c r="Y160" s="155"/>
      <c r="Z160" s="271"/>
      <c r="AA160" s="22" t="s">
        <v>2219</v>
      </c>
      <c r="AB160" s="1705" t="s">
        <v>2218</v>
      </c>
      <c r="AD160" s="1705">
        <v>62</v>
      </c>
      <c r="AE160" s="1705">
        <v>63</v>
      </c>
      <c r="AF160" s="1705">
        <v>64</v>
      </c>
      <c r="AG160" s="1705">
        <v>65</v>
      </c>
      <c r="AH160" s="1705">
        <v>66</v>
      </c>
      <c r="AI160" s="1705">
        <v>67</v>
      </c>
      <c r="AJ160" s="1705">
        <v>68</v>
      </c>
      <c r="AK160" s="982" t="str">
        <f>IF(IF(C160=".",0,1)+IF(C160=".",0,1)&gt;=1,1,"ok")</f>
        <v>ok</v>
      </c>
      <c r="AM160" s="155"/>
      <c r="AN160" s="155"/>
      <c r="AO160" s="155"/>
      <c r="AP160" s="155"/>
      <c r="AQ160" s="155"/>
      <c r="AR160" s="155"/>
      <c r="AS160" s="155"/>
      <c r="AT160" s="155"/>
      <c r="AU160" s="155"/>
      <c r="AV160" s="155"/>
      <c r="AW160" s="780"/>
      <c r="AX160" s="780"/>
      <c r="AY160" s="780"/>
      <c r="AZ160" s="780"/>
      <c r="BA160" s="780"/>
      <c r="BB160" s="155"/>
      <c r="BC160" s="155"/>
      <c r="BD160" s="155"/>
      <c r="BE160" s="155"/>
      <c r="BF160" s="155"/>
      <c r="BG160" s="155"/>
      <c r="BH160" s="155"/>
      <c r="BI160" s="155"/>
      <c r="BJ160" s="155"/>
    </row>
    <row r="161" spans="1:62" ht="16.2" customHeight="1">
      <c r="D161" s="265"/>
      <c r="F161" s="502"/>
      <c r="G161" s="643" t="str">
        <f>IF(OR(AND(E159&gt;0,G159=0),AND(E160&gt;0,G160=0)),"Error: start age required",".")</f>
        <v>.</v>
      </c>
      <c r="H161" s="640" t="str">
        <f>IF(OR(AND(H159&lt;G159,H159&lt;&gt;0),AND(H160&lt;G160,H160&lt;&gt;0)),"Error: end age &lt; start age",".")</f>
        <v>.</v>
      </c>
      <c r="L161" s="155"/>
      <c r="M161" s="155"/>
      <c r="N161" s="155"/>
      <c r="O161" s="155"/>
      <c r="P161" s="155"/>
      <c r="Q161" s="155"/>
      <c r="R161" s="155"/>
      <c r="S161" s="155"/>
      <c r="T161" s="155"/>
      <c r="U161" s="155"/>
      <c r="V161" s="155"/>
      <c r="W161" s="155"/>
      <c r="X161" s="155"/>
      <c r="Y161" s="155"/>
      <c r="AA161" t="s">
        <v>260</v>
      </c>
      <c r="AB161" s="136">
        <v>66</v>
      </c>
      <c r="AC161" s="86"/>
      <c r="AD161" s="136">
        <v>75</v>
      </c>
      <c r="AE161" s="136">
        <v>80</v>
      </c>
      <c r="AF161" t="s">
        <v>261</v>
      </c>
      <c r="AG161" t="s">
        <v>262</v>
      </c>
      <c r="AH161" s="136">
        <v>100</v>
      </c>
      <c r="AI161" s="136">
        <v>108</v>
      </c>
      <c r="AJ161" s="136">
        <v>132</v>
      </c>
      <c r="AK161" s="733" t="str">
        <f>IF(IF(G161=".",0,1)+IF(H161=".",0,1)&gt;=1,1,"ok")</f>
        <v>ok</v>
      </c>
      <c r="AM161" s="155"/>
      <c r="AN161" s="155"/>
      <c r="AO161" s="155"/>
      <c r="AP161" s="155"/>
      <c r="AQ161" s="155"/>
      <c r="AR161" s="155"/>
      <c r="AS161" s="155"/>
      <c r="AT161" s="155"/>
      <c r="AU161" s="155"/>
      <c r="AV161" s="155"/>
      <c r="AW161" s="780"/>
      <c r="AX161" s="780"/>
      <c r="AY161" s="780"/>
      <c r="AZ161" s="780"/>
      <c r="BA161" s="780"/>
      <c r="BB161" s="155"/>
      <c r="BC161" s="155"/>
      <c r="BD161" s="155"/>
      <c r="BE161" s="155"/>
      <c r="BF161" s="155"/>
      <c r="BG161" s="155"/>
      <c r="BH161" s="155"/>
      <c r="BI161" s="155"/>
      <c r="BJ161" s="155"/>
    </row>
    <row r="162" spans="1:62" ht="16.2" customHeight="1">
      <c r="D162" s="991" t="s">
        <v>1236</v>
      </c>
      <c r="L162" s="70"/>
      <c r="M162" s="1"/>
      <c r="N162" s="1"/>
      <c r="O162" s="674"/>
      <c r="P162" s="164"/>
      <c r="Q162" s="84"/>
      <c r="R162" s="84"/>
      <c r="S162" s="84"/>
      <c r="T162" s="84"/>
      <c r="U162" s="84"/>
      <c r="V162" s="84"/>
      <c r="W162" s="84"/>
      <c r="X162" s="84"/>
      <c r="Y162" s="84"/>
      <c r="AA162" s="136">
        <v>1955</v>
      </c>
      <c r="AB162" t="s">
        <v>263</v>
      </c>
      <c r="AC162" s="86"/>
      <c r="AD162" t="s">
        <v>264</v>
      </c>
      <c r="AE162" t="s">
        <v>265</v>
      </c>
      <c r="AF162" t="s">
        <v>266</v>
      </c>
      <c r="AG162" t="s">
        <v>267</v>
      </c>
      <c r="AH162" t="s">
        <v>268</v>
      </c>
      <c r="AI162" t="s">
        <v>589</v>
      </c>
      <c r="AJ162" t="s">
        <v>590</v>
      </c>
      <c r="AK162" s="84"/>
      <c r="AM162" s="84"/>
      <c r="AN162" s="84"/>
      <c r="AO162" s="84"/>
      <c r="AP162" s="84"/>
      <c r="AQ162" s="84"/>
      <c r="AR162" s="84"/>
      <c r="AS162" s="84"/>
      <c r="AT162" s="84"/>
      <c r="AU162" s="84"/>
      <c r="AV162" s="84"/>
      <c r="AW162" s="783"/>
      <c r="AX162" s="783"/>
      <c r="AY162" s="783"/>
      <c r="AZ162" s="783"/>
      <c r="BA162" s="783"/>
      <c r="BB162" s="84"/>
      <c r="BC162" s="84"/>
      <c r="BD162" s="84"/>
      <c r="BE162" s="84"/>
      <c r="BF162" s="84"/>
      <c r="BG162" s="84"/>
      <c r="BH162" s="84"/>
      <c r="BI162" s="84"/>
      <c r="BJ162" s="84"/>
    </row>
    <row r="163" spans="1:62" ht="15" customHeight="1">
      <c r="A163" s="982"/>
      <c r="C163" s="454" t="s">
        <v>251</v>
      </c>
      <c r="D163" s="1189" t="s">
        <v>1031</v>
      </c>
      <c r="E163" s="1555"/>
      <c r="L163" s="522"/>
      <c r="M163" s="1"/>
      <c r="N163" s="1"/>
      <c r="O163" s="1"/>
      <c r="P163" s="156"/>
      <c r="Q163" s="156"/>
      <c r="R163" s="156"/>
      <c r="S163" s="156"/>
      <c r="T163" s="156"/>
      <c r="U163" s="156"/>
      <c r="V163" s="156"/>
      <c r="W163" s="156"/>
      <c r="X163" s="156"/>
      <c r="Y163" s="156"/>
      <c r="AA163" s="136">
        <v>1956</v>
      </c>
      <c r="AB163" t="s">
        <v>591</v>
      </c>
      <c r="AC163" s="86"/>
      <c r="AD163" t="s">
        <v>592</v>
      </c>
      <c r="AE163" t="s">
        <v>593</v>
      </c>
      <c r="AF163" t="s">
        <v>594</v>
      </c>
      <c r="AG163" t="s">
        <v>595</v>
      </c>
      <c r="AH163" t="s">
        <v>1635</v>
      </c>
      <c r="AI163" t="s">
        <v>1636</v>
      </c>
      <c r="AJ163" t="s">
        <v>1637</v>
      </c>
      <c r="AK163" s="156"/>
      <c r="AM163" s="156"/>
      <c r="AN163" s="156"/>
      <c r="AO163" s="156"/>
      <c r="AP163" s="156"/>
      <c r="AQ163" s="156"/>
      <c r="AR163" s="156"/>
      <c r="AS163" s="156"/>
      <c r="AT163" s="156"/>
      <c r="AU163" s="156"/>
      <c r="AV163" s="156"/>
      <c r="AW163" s="156"/>
      <c r="AX163" s="156"/>
      <c r="AY163" s="156"/>
      <c r="AZ163" s="156"/>
      <c r="BA163" s="156"/>
      <c r="BB163" s="156"/>
      <c r="BC163" s="156"/>
      <c r="BD163" s="156"/>
      <c r="BE163" s="156"/>
      <c r="BF163" s="156"/>
      <c r="BG163" s="156"/>
      <c r="BH163" s="156"/>
      <c r="BI163" s="156"/>
      <c r="BJ163" s="156"/>
    </row>
    <row r="164" spans="1:62" ht="15.6">
      <c r="A164" s="982"/>
      <c r="C164" s="555" t="str">
        <f>IF(AND(tIRA_Withdr_Compare1=0,tIRA_Withdr_Base1&lt;&gt;0),"Error - must be zero",".")</f>
        <v>.</v>
      </c>
      <c r="D164" s="18" t="s">
        <v>1230</v>
      </c>
      <c r="E164" s="654">
        <v>0</v>
      </c>
      <c r="F164" s="1190">
        <f>+Esc_Compare1</f>
        <v>0.03</v>
      </c>
      <c r="G164" s="1191">
        <f>+Start_Compare1</f>
        <v>62</v>
      </c>
      <c r="H164" s="1191">
        <f>+End_Compare1</f>
        <v>69</v>
      </c>
      <c r="I164" s="31"/>
      <c r="J164" s="31">
        <f ca="1">+Base!E9</f>
        <v>337700</v>
      </c>
      <c r="K164" s="233"/>
      <c r="L164" s="173"/>
      <c r="M164" s="1"/>
      <c r="N164" s="1"/>
      <c r="O164" s="1"/>
      <c r="P164" s="173"/>
      <c r="Q164" s="140"/>
      <c r="R164" s="140"/>
      <c r="S164" s="140"/>
      <c r="T164" s="140"/>
      <c r="U164" s="140"/>
      <c r="V164" s="140"/>
      <c r="W164" s="140"/>
      <c r="X164" s="140"/>
      <c r="Y164" s="140"/>
      <c r="AA164" s="136">
        <v>1957</v>
      </c>
      <c r="AB164" t="s">
        <v>1638</v>
      </c>
      <c r="AC164" s="86"/>
      <c r="AD164" t="s">
        <v>1639</v>
      </c>
      <c r="AE164" t="s">
        <v>1640</v>
      </c>
      <c r="AF164" t="s">
        <v>370</v>
      </c>
      <c r="AG164" s="136">
        <v>90</v>
      </c>
      <c r="AH164" t="s">
        <v>371</v>
      </c>
      <c r="AI164" s="136">
        <v>104</v>
      </c>
      <c r="AJ164" s="136">
        <v>128</v>
      </c>
      <c r="AK164" s="140"/>
      <c r="AM164" s="140"/>
      <c r="AN164" s="140"/>
      <c r="AO164" s="140"/>
      <c r="AP164" s="140"/>
      <c r="AQ164" s="140"/>
      <c r="AR164" s="140"/>
      <c r="AS164" s="140"/>
      <c r="AT164" s="140"/>
      <c r="AU164" s="140"/>
      <c r="AV164" s="140"/>
      <c r="AW164" s="777"/>
      <c r="AX164" s="777"/>
      <c r="AY164" s="777"/>
      <c r="AZ164" s="777"/>
      <c r="BA164" s="777"/>
      <c r="BB164" s="140"/>
      <c r="BC164" s="140"/>
      <c r="BD164" s="140"/>
      <c r="BE164" s="140"/>
      <c r="BF164" s="140"/>
      <c r="BG164" s="140"/>
      <c r="BH164" s="140"/>
      <c r="BI164" s="140"/>
      <c r="BJ164" s="140"/>
    </row>
    <row r="165" spans="1:62" ht="16.2" customHeight="1">
      <c r="A165" s="982"/>
      <c r="C165" s="555" t="str">
        <f>IF(AND(tIRA_Withdr_Compare2=0,tIRA_Withdr_Base2&lt;&gt;0),"Error - must be zero",".")</f>
        <v>.</v>
      </c>
      <c r="D165" s="18" t="s">
        <v>1231</v>
      </c>
      <c r="E165" s="653">
        <v>0</v>
      </c>
      <c r="F165" s="1190">
        <f>+Esc_Compare2</f>
        <v>-0.1</v>
      </c>
      <c r="G165" s="1191">
        <f>+Start_Compare2</f>
        <v>70</v>
      </c>
      <c r="H165" s="1191">
        <f>+End_Compare2</f>
        <v>75</v>
      </c>
      <c r="I165" s="88"/>
      <c r="K165" s="233"/>
      <c r="L165" s="362"/>
      <c r="M165" s="1"/>
      <c r="N165" s="1"/>
      <c r="O165" s="362"/>
      <c r="P165" s="1"/>
      <c r="AA165" s="136">
        <v>1958</v>
      </c>
      <c r="AB165" t="s">
        <v>372</v>
      </c>
      <c r="AC165" s="86"/>
      <c r="AD165" t="s">
        <v>373</v>
      </c>
      <c r="AE165" t="s">
        <v>374</v>
      </c>
      <c r="AF165" t="s">
        <v>375</v>
      </c>
      <c r="AG165" t="s">
        <v>376</v>
      </c>
      <c r="AH165" t="s">
        <v>377</v>
      </c>
      <c r="AI165" t="s">
        <v>378</v>
      </c>
      <c r="AJ165" t="s">
        <v>379</v>
      </c>
    </row>
    <row r="166" spans="1:62" ht="16.2" customHeight="1">
      <c r="C166" s="555"/>
      <c r="D166" s="1189" t="s">
        <v>522</v>
      </c>
      <c r="F166" s="1192"/>
      <c r="G166" s="1193"/>
      <c r="H166" s="1193"/>
      <c r="I166" s="164"/>
      <c r="J166" s="164"/>
      <c r="K166" s="156"/>
      <c r="L166" s="362"/>
      <c r="M166" s="1"/>
      <c r="N166" s="1"/>
      <c r="O166" s="362"/>
      <c r="P166" s="1"/>
      <c r="AA166" s="136">
        <v>1959</v>
      </c>
      <c r="AB166" t="s">
        <v>380</v>
      </c>
      <c r="AC166" s="86"/>
      <c r="AD166" t="s">
        <v>381</v>
      </c>
      <c r="AE166" t="s">
        <v>382</v>
      </c>
      <c r="AF166" t="s">
        <v>383</v>
      </c>
      <c r="AG166" t="s">
        <v>384</v>
      </c>
      <c r="AH166" t="s">
        <v>385</v>
      </c>
      <c r="AI166" t="s">
        <v>1203</v>
      </c>
      <c r="AJ166" t="s">
        <v>1204</v>
      </c>
    </row>
    <row r="167" spans="1:62" ht="16.2" customHeight="1">
      <c r="A167" s="982"/>
      <c r="C167" s="555" t="str">
        <f>IF(AND(tIRA_Withdr_Compare3=0,tIRA_Withdr_Base3&lt;&gt;0),"Error - must be zero",".")</f>
        <v>.</v>
      </c>
      <c r="D167" s="18" t="s">
        <v>1235</v>
      </c>
      <c r="E167" s="462">
        <v>0</v>
      </c>
      <c r="F167" s="1190">
        <f>+Esc_Compare3</f>
        <v>0</v>
      </c>
      <c r="G167" s="1191">
        <f>+Start_Compare3</f>
        <v>0</v>
      </c>
      <c r="H167" s="1191">
        <f>+End_Compare3</f>
        <v>0</v>
      </c>
      <c r="I167" s="88"/>
      <c r="J167" s="31">
        <f ca="1">+Base!E10</f>
        <v>388100</v>
      </c>
      <c r="K167" s="233"/>
      <c r="L167" s="362"/>
      <c r="M167" s="1"/>
      <c r="N167" s="1"/>
      <c r="O167" s="362"/>
      <c r="P167" s="1"/>
      <c r="AA167" t="s">
        <v>1114</v>
      </c>
      <c r="AB167" s="136">
        <v>67</v>
      </c>
      <c r="AC167" s="86"/>
      <c r="AD167" s="136">
        <v>70</v>
      </c>
      <c r="AE167" s="136">
        <v>75</v>
      </c>
      <c r="AF167" s="136">
        <v>80</v>
      </c>
      <c r="AG167" t="s">
        <v>261</v>
      </c>
      <c r="AH167" t="s">
        <v>262</v>
      </c>
      <c r="AI167" s="136">
        <v>100</v>
      </c>
      <c r="AJ167" s="136">
        <v>124</v>
      </c>
    </row>
    <row r="168" spans="1:62" ht="19.95" customHeight="1">
      <c r="P168" s="1"/>
      <c r="Z168" s="1408">
        <v>7</v>
      </c>
      <c r="AA168" s="835" t="s">
        <v>1113</v>
      </c>
      <c r="AK168" s="1409" t="s">
        <v>1790</v>
      </c>
    </row>
    <row r="169" spans="1:62" ht="18" customHeight="1">
      <c r="A169" s="407"/>
      <c r="B169" s="407"/>
      <c r="C169" s="407"/>
      <c r="D169" s="1073" t="s">
        <v>369</v>
      </c>
      <c r="E169" s="249"/>
      <c r="G169" s="140"/>
      <c r="H169" s="140"/>
      <c r="L169" s="362"/>
      <c r="M169" s="1"/>
      <c r="N169" s="1"/>
      <c r="O169" s="362"/>
      <c r="P169" s="1"/>
      <c r="R169" s="1"/>
      <c r="S169" s="1"/>
      <c r="AK169" s="733"/>
    </row>
    <row r="170" spans="1:62" ht="18" customHeight="1">
      <c r="E170" s="140"/>
      <c r="G170" s="140"/>
      <c r="H170" s="140"/>
      <c r="I170" s="12"/>
      <c r="K170" s="140"/>
      <c r="L170" s="170"/>
      <c r="M170" s="1"/>
      <c r="N170" s="1"/>
      <c r="O170" s="170"/>
      <c r="R170" s="1"/>
      <c r="S170" s="1"/>
      <c r="AA170" s="1789"/>
      <c r="AB170" s="1789"/>
      <c r="AC170" s="1789"/>
      <c r="AD170" s="1789"/>
      <c r="AE170" s="1789"/>
      <c r="AF170" s="1789"/>
      <c r="AG170" s="1789"/>
      <c r="AH170" s="1789"/>
      <c r="AI170" s="1789"/>
      <c r="AJ170" s="1789"/>
      <c r="AK170" s="733"/>
    </row>
    <row r="171" spans="1:62" ht="16.2" customHeight="1" thickBot="1">
      <c r="D171" s="659" t="s">
        <v>110</v>
      </c>
      <c r="E171" s="1797" t="s">
        <v>121</v>
      </c>
      <c r="F171" s="1797"/>
      <c r="G171" s="1797" t="s">
        <v>656</v>
      </c>
      <c r="H171" s="1797"/>
      <c r="I171" s="1797" t="s">
        <v>657</v>
      </c>
      <c r="J171" s="1797"/>
      <c r="N171" s="246"/>
      <c r="AA171" s="1789"/>
      <c r="AB171" s="1789"/>
      <c r="AC171" s="1789"/>
      <c r="AD171" s="1789"/>
      <c r="AE171" s="1789"/>
      <c r="AF171" s="1789"/>
      <c r="AG171" s="1789"/>
      <c r="AH171" s="1789"/>
      <c r="AI171" s="1789"/>
      <c r="AJ171" s="1789"/>
      <c r="AK171" s="733"/>
    </row>
    <row r="172" spans="1:62" ht="16.2" customHeight="1" thickBot="1">
      <c r="D172" s="1"/>
      <c r="E172" s="1586">
        <v>1</v>
      </c>
      <c r="F172" s="1587">
        <v>2</v>
      </c>
      <c r="G172" s="1588" t="s">
        <v>861</v>
      </c>
      <c r="H172" s="1587" t="s">
        <v>860</v>
      </c>
      <c r="I172" s="1588">
        <v>1</v>
      </c>
      <c r="J172" s="1587">
        <v>2</v>
      </c>
      <c r="K172" s="1040" t="s">
        <v>862</v>
      </c>
      <c r="L172" s="1585" t="s">
        <v>1067</v>
      </c>
      <c r="M172" s="817"/>
      <c r="N172" s="138"/>
      <c r="W172" s="138"/>
      <c r="X172" s="138"/>
      <c r="Y172" s="138"/>
      <c r="AA172" s="1789"/>
      <c r="AB172" s="1789"/>
      <c r="AC172" s="1789"/>
      <c r="AD172" s="1789"/>
      <c r="AE172" s="1789"/>
      <c r="AF172" s="1789"/>
      <c r="AG172" s="1789"/>
      <c r="AH172" s="1789"/>
      <c r="AI172" s="1789"/>
      <c r="AJ172" s="1789"/>
      <c r="AK172" s="733"/>
      <c r="AM172" s="138"/>
      <c r="AN172" s="138"/>
      <c r="AO172" s="138"/>
      <c r="AP172" s="138"/>
      <c r="AQ172" s="138"/>
      <c r="AR172" s="138"/>
      <c r="AS172" s="138"/>
      <c r="AT172" s="138"/>
      <c r="AU172" s="138"/>
      <c r="AV172" s="138"/>
      <c r="AW172" s="138"/>
      <c r="AX172" s="138"/>
      <c r="AY172" s="138"/>
      <c r="AZ172" s="138"/>
      <c r="BA172" s="138"/>
      <c r="BB172" s="138"/>
      <c r="BC172" s="138"/>
      <c r="BD172" s="138"/>
      <c r="BE172" s="138"/>
      <c r="BF172" s="138"/>
      <c r="BG172" s="138"/>
      <c r="BH172" s="138"/>
      <c r="BI172" s="138"/>
      <c r="BJ172" s="138"/>
    </row>
    <row r="173" spans="1:62" ht="15.6">
      <c r="D173" s="12" t="s">
        <v>1492</v>
      </c>
      <c r="E173" s="461" t="s">
        <v>851</v>
      </c>
      <c r="F173" s="467" t="s">
        <v>851</v>
      </c>
      <c r="G173" s="461" t="s">
        <v>851</v>
      </c>
      <c r="H173" s="461" t="s">
        <v>851</v>
      </c>
      <c r="I173" s="461" t="s">
        <v>851</v>
      </c>
      <c r="J173" s="461" t="s">
        <v>851</v>
      </c>
      <c r="K173" s="319"/>
      <c r="L173" s="912">
        <v>260000</v>
      </c>
      <c r="M173" s="493" t="s">
        <v>443</v>
      </c>
      <c r="N173" s="150"/>
      <c r="W173" s="150"/>
      <c r="X173" s="150"/>
      <c r="Y173" s="150"/>
      <c r="AA173" s="1790"/>
      <c r="AB173" s="1790"/>
      <c r="AC173" s="1790"/>
      <c r="AD173" s="1790"/>
      <c r="AE173" s="1790"/>
      <c r="AF173" s="1790"/>
      <c r="AG173" s="1790"/>
      <c r="AH173" s="1790"/>
      <c r="AI173" s="1790"/>
      <c r="AJ173" s="1790"/>
      <c r="AK173" s="733"/>
      <c r="AM173" s="150"/>
      <c r="AN173" s="150"/>
      <c r="AO173" s="150"/>
      <c r="AP173" s="150"/>
      <c r="AQ173" s="150"/>
      <c r="AR173" s="150"/>
      <c r="AS173" s="150"/>
      <c r="AT173" s="150"/>
      <c r="AU173" s="150"/>
      <c r="AV173" s="150"/>
      <c r="AW173" s="138"/>
      <c r="AX173" s="138"/>
      <c r="AY173" s="138"/>
      <c r="AZ173" s="138"/>
      <c r="BA173" s="138"/>
      <c r="BB173" s="150"/>
      <c r="BC173" s="150"/>
      <c r="BD173" s="150"/>
      <c r="BE173" s="150"/>
      <c r="BF173" s="150"/>
      <c r="BG173" s="150"/>
      <c r="BH173" s="150"/>
      <c r="BI173" s="150"/>
      <c r="BJ173" s="150"/>
    </row>
    <row r="174" spans="1:62" ht="15.6">
      <c r="D174" s="1106" t="s">
        <v>2243</v>
      </c>
      <c r="E174" s="462">
        <v>60000</v>
      </c>
      <c r="F174" s="462">
        <v>40000</v>
      </c>
      <c r="G174" s="462">
        <v>100000</v>
      </c>
      <c r="H174" s="462">
        <v>400000</v>
      </c>
      <c r="I174" s="462">
        <v>80000</v>
      </c>
      <c r="J174" s="462">
        <v>20000</v>
      </c>
      <c r="K174" s="970">
        <f>+Details!E85-Details!E84</f>
        <v>500000</v>
      </c>
      <c r="L174" s="466">
        <v>0.02</v>
      </c>
      <c r="M174" s="1" t="s">
        <v>446</v>
      </c>
      <c r="N174" s="194"/>
      <c r="W174" s="158"/>
      <c r="X174" s="158"/>
      <c r="Y174" s="158"/>
      <c r="AA174" s="1790"/>
      <c r="AB174" s="1790"/>
      <c r="AC174" s="1790"/>
      <c r="AD174" s="1790"/>
      <c r="AE174" s="1790"/>
      <c r="AF174" s="1790"/>
      <c r="AG174" s="1790"/>
      <c r="AH174" s="1790"/>
      <c r="AI174" s="1790"/>
      <c r="AJ174" s="1790"/>
      <c r="AK174" s="733"/>
      <c r="AM174" s="158"/>
      <c r="AN174" s="158"/>
      <c r="AO174" s="158"/>
      <c r="AP174" s="158"/>
      <c r="AQ174" s="158"/>
      <c r="AR174" s="158"/>
      <c r="AS174" s="158"/>
      <c r="AT174" s="158"/>
      <c r="AU174" s="158"/>
      <c r="AV174" s="158"/>
      <c r="AW174" s="387"/>
      <c r="AX174" s="387"/>
      <c r="AY174" s="387"/>
      <c r="AZ174" s="387"/>
      <c r="BA174" s="387"/>
      <c r="BB174" s="158"/>
      <c r="BC174" s="158"/>
      <c r="BD174" s="158"/>
      <c r="BE174" s="158"/>
      <c r="BF174" s="158"/>
      <c r="BG174" s="158"/>
      <c r="BH174" s="158"/>
      <c r="BI174" s="158"/>
      <c r="BJ174" s="158"/>
    </row>
    <row r="175" spans="1:62" ht="15.6">
      <c r="D175" s="1106" t="s">
        <v>1208</v>
      </c>
      <c r="E175" s="462">
        <v>40000</v>
      </c>
      <c r="F175" s="462">
        <v>60000</v>
      </c>
      <c r="G175" s="1380" t="s">
        <v>2228</v>
      </c>
      <c r="H175" s="855" t="s">
        <v>2229</v>
      </c>
      <c r="I175" s="734" t="s">
        <v>2230</v>
      </c>
      <c r="J175" s="734" t="s">
        <v>2231</v>
      </c>
      <c r="K175" s="970">
        <f>+Details!$E$107</f>
        <v>100000</v>
      </c>
      <c r="L175" s="760">
        <v>84</v>
      </c>
      <c r="M175" s="1" t="s">
        <v>444</v>
      </c>
      <c r="N175" s="138"/>
      <c r="W175" s="138"/>
      <c r="X175" s="138"/>
      <c r="Y175" s="138"/>
      <c r="AA175" s="1790"/>
      <c r="AB175" s="1790"/>
      <c r="AC175" s="1790"/>
      <c r="AD175" s="1790"/>
      <c r="AE175" s="1790"/>
      <c r="AF175" s="1790"/>
      <c r="AG175" s="1790"/>
      <c r="AH175" s="1790"/>
      <c r="AI175" s="1790"/>
      <c r="AJ175" s="1790"/>
      <c r="AK175" s="733"/>
      <c r="AM175" s="138"/>
      <c r="AN175" s="138"/>
      <c r="AO175" s="138"/>
      <c r="AP175" s="138"/>
      <c r="AQ175" s="138"/>
      <c r="AR175" s="138"/>
      <c r="AS175" s="138"/>
      <c r="AT175" s="138"/>
      <c r="AU175" s="138"/>
      <c r="AV175" s="138"/>
      <c r="AW175" s="138"/>
      <c r="AX175" s="138"/>
      <c r="AY175" s="138"/>
      <c r="AZ175" s="138"/>
      <c r="BA175" s="138"/>
      <c r="BB175" s="138"/>
      <c r="BC175" s="138"/>
      <c r="BD175" s="138"/>
      <c r="BE175" s="138"/>
      <c r="BF175" s="138"/>
      <c r="BG175" s="138"/>
      <c r="BH175" s="138"/>
      <c r="BI175" s="138"/>
      <c r="BJ175" s="138"/>
    </row>
    <row r="176" spans="1:62" ht="16.2" customHeight="1">
      <c r="D176" s="18" t="s">
        <v>324</v>
      </c>
      <c r="E176" s="474">
        <v>77</v>
      </c>
      <c r="F176" s="474">
        <v>72</v>
      </c>
      <c r="G176" s="474">
        <v>86</v>
      </c>
      <c r="H176" s="474">
        <v>84</v>
      </c>
      <c r="I176" s="474">
        <v>72</v>
      </c>
      <c r="J176" s="474">
        <v>74</v>
      </c>
      <c r="K176" s="984" t="str">
        <f>"use: " &amp; Your_Age &amp; "-" &amp; Your_Age_End</f>
        <v>use: 62-91</v>
      </c>
      <c r="L176" s="759">
        <f>+L173*(1+L174)^(L175-Your_Age)</f>
        <v>401954.71440172871</v>
      </c>
      <c r="M176" s="260" t="s">
        <v>445</v>
      </c>
      <c r="AA176" s="1790"/>
      <c r="AB176" s="1790"/>
      <c r="AC176" s="1790"/>
      <c r="AD176" s="1790"/>
      <c r="AE176" s="1790"/>
      <c r="AF176" s="1790"/>
      <c r="AG176" s="1790"/>
      <c r="AH176" s="1790"/>
      <c r="AI176" s="1790"/>
      <c r="AJ176" s="1790"/>
      <c r="AK176" s="733"/>
    </row>
    <row r="177" spans="1:37" ht="16.2" customHeight="1">
      <c r="E177" s="273" t="str">
        <f>IF(E176=0,IF(AND(E173="y",E174&gt;0),"Age Req",""),IF(Inheritor="y",IF(Inherit_tIRA&gt;0,"you ","") &amp; E176-Your_Age+First_Year,IF(Inherit_tIRA&gt;0,"spouse ","") &amp; E176-Spouse_Age+First_Year)) &amp; "  "</f>
        <v xml:space="preserve">you 2034  </v>
      </c>
      <c r="F177" s="273" t="str">
        <f>IF(F176=0,IF(AND(F173="y",F174&gt;0),"Age Req",""),IF(Inheritor2="y",IF(Inherit_tIRA2&gt;0,"you ","") &amp; F176-Your_Age+First_Year,IF(Inherit_tIRA2&gt;0,"spouse ","") &amp; F176-Spouse_Age+First_Year)) &amp; "  "</f>
        <v xml:space="preserve">spouse 2030  </v>
      </c>
      <c r="G177" s="273" t="str">
        <f>IF(G176=0,IF(AND(G173="y",G174&gt;0),"Age Req",""),G176-Your_Age+First_Year) &amp; "  "</f>
        <v xml:space="preserve">2043  </v>
      </c>
      <c r="H177" s="273" t="str">
        <f>IF(H176=0,IF(AND(H173="y",H174&gt;0),"Age Req",""),H176-Your_Age+First_Year) &amp; "  "</f>
        <v xml:space="preserve">2041  </v>
      </c>
      <c r="I177" s="273" t="str">
        <f>IF(I176=0,IF(AND(I173="y",I174&gt;0),"Age Req",""),I176-Your_Age+First_Year) &amp; "  "</f>
        <v xml:space="preserve">2029  </v>
      </c>
      <c r="J177" s="273" t="str">
        <f>IF(J176=0,IF(AND(J173="y",J174&gt;0),"Age Req",""),J176-Your_Age+First_Year) &amp; "  "</f>
        <v xml:space="preserve">2031  </v>
      </c>
      <c r="K177" s="1"/>
      <c r="O177" s="1"/>
      <c r="AA177" s="1790"/>
      <c r="AB177" s="1790"/>
      <c r="AC177" s="1790"/>
      <c r="AD177" s="1790"/>
      <c r="AE177" s="1790"/>
      <c r="AF177" s="1790"/>
      <c r="AG177" s="1790"/>
      <c r="AH177" s="1790"/>
      <c r="AI177" s="1790"/>
      <c r="AJ177" s="1790"/>
      <c r="AK177" s="733" t="str">
        <f>IF(IF(E178=".",0,1)+IF(G178=".",0,1)+IF(J178=".",0,1)&gt;=1,1,"ok")</f>
        <v>ok</v>
      </c>
    </row>
    <row r="178" spans="1:37" ht="16.2" customHeight="1">
      <c r="C178" s="231"/>
      <c r="E178" s="716" t="str">
        <f>IF(AND(E173="y",E174&gt;0,E176=0),"Alert: start age missing",".") &amp; IF(AND(E173="y",E176&lt;IF(Inheritor="y",Your_Age,Spouse_Age),E176&lt;&gt;0),"Alert: event age &lt; inheritor start age","")  &amp; IF(AND(E173="y",E176&gt;IF(Inheritor="y",Your_Age_End,Spouse_Age_End),E176&lt;&gt;0),"Error: event age &gt; end age","")</f>
        <v>.</v>
      </c>
      <c r="F178" s="643"/>
      <c r="G178" s="983" t="str">
        <f>IF(AND(G173="y",G174&gt;0,G176=0),"Alert: start age missing",".") &amp; IF(AND(G173="y",G176&lt;Your_Age,G176&lt;&gt;0),"Alert: event age &lt; your start","") &amp; IF(AND(G173="y",G176&gt;Your_Age_End,G176&lt;&gt;0),"Error: event age &gt; your end age","")</f>
        <v>.</v>
      </c>
      <c r="H178" s="643"/>
      <c r="J178" s="643" t="str">
        <f>IF(AND(I173="y",I174&gt;0,I176=0),"Alert: start age missing",".") &amp; IF(AND(I173="y",I176&lt;Your_Age,I176&lt;&gt;0),"Alert: event age &lt; your start","") &amp; IF(AND(I173="y",I176&gt;Your_Age_End,I176&lt;&gt;0),"Error: event age &gt; your end age","")</f>
        <v>.</v>
      </c>
      <c r="L178" s="1"/>
      <c r="M178" s="1"/>
      <c r="O178" s="1"/>
      <c r="AA178" s="1790"/>
      <c r="AB178" s="1790"/>
      <c r="AC178" s="1790"/>
      <c r="AD178" s="1790"/>
      <c r="AE178" s="1790"/>
      <c r="AF178" s="1790"/>
      <c r="AG178" s="1790"/>
      <c r="AH178" s="1790"/>
      <c r="AI178" s="1790"/>
      <c r="AJ178" s="1790"/>
      <c r="AK178" s="733"/>
    </row>
    <row r="179" spans="1:37" ht="16.2" customHeight="1" thickBot="1">
      <c r="D179" s="659" t="s">
        <v>797</v>
      </c>
      <c r="E179" s="1819" t="s">
        <v>798</v>
      </c>
      <c r="F179" s="1819"/>
      <c r="H179" s="1589" t="s">
        <v>2014</v>
      </c>
      <c r="I179" s="1559"/>
      <c r="J179" s="1590" t="s">
        <v>2013</v>
      </c>
      <c r="K179" s="1590"/>
      <c r="L179" s="1589" t="s">
        <v>2012</v>
      </c>
      <c r="N179" s="1"/>
      <c r="O179" s="313"/>
      <c r="P179" s="313"/>
      <c r="Q179" s="313"/>
      <c r="R179" s="313"/>
      <c r="S179" s="492"/>
      <c r="T179" s="1045"/>
      <c r="U179" s="743"/>
      <c r="V179" s="743"/>
      <c r="AA179" s="1790"/>
      <c r="AB179" s="1790"/>
      <c r="AC179" s="1790"/>
      <c r="AD179" s="1790"/>
      <c r="AE179" s="1790"/>
      <c r="AF179" s="1790"/>
      <c r="AG179" s="1790"/>
      <c r="AH179" s="1790"/>
      <c r="AI179" s="1790"/>
      <c r="AJ179" s="1790"/>
      <c r="AK179" s="733"/>
    </row>
    <row r="180" spans="1:37" ht="16.2" customHeight="1" thickBot="1">
      <c r="C180" s="12" t="s">
        <v>863</v>
      </c>
      <c r="D180" s="462" t="s">
        <v>851</v>
      </c>
      <c r="E180" s="1056">
        <v>1</v>
      </c>
      <c r="F180" s="288">
        <v>2</v>
      </c>
      <c r="H180" s="288">
        <v>1</v>
      </c>
      <c r="I180" s="288">
        <v>2</v>
      </c>
      <c r="J180" s="288">
        <v>1</v>
      </c>
      <c r="K180" s="288">
        <v>2</v>
      </c>
      <c r="L180" s="288">
        <v>1</v>
      </c>
      <c r="M180" s="288">
        <v>2</v>
      </c>
      <c r="N180" s="1"/>
      <c r="O180" s="5"/>
      <c r="P180" s="5"/>
      <c r="Q180" s="5"/>
      <c r="R180" s="262"/>
      <c r="S180" s="492"/>
      <c r="T180" s="1045"/>
      <c r="U180" s="743"/>
      <c r="V180" s="743"/>
      <c r="AA180" s="1790"/>
      <c r="AB180" s="1790"/>
      <c r="AC180" s="1790"/>
      <c r="AD180" s="1790"/>
      <c r="AE180" s="1790"/>
      <c r="AF180" s="1790"/>
      <c r="AG180" s="1790"/>
      <c r="AH180" s="1790"/>
      <c r="AI180" s="1790"/>
      <c r="AJ180" s="1790"/>
      <c r="AK180" s="733"/>
    </row>
    <row r="181" spans="1:37" ht="16.2" customHeight="1">
      <c r="D181" s="1057" t="s">
        <v>43</v>
      </c>
      <c r="E181" s="631" t="s">
        <v>40</v>
      </c>
      <c r="F181" s="631" t="s">
        <v>534</v>
      </c>
      <c r="G181" s="343" t="s">
        <v>1535</v>
      </c>
      <c r="H181" s="62">
        <f t="shared" ref="H181:I184" si="23">+J181+L181</f>
        <v>23500</v>
      </c>
      <c r="I181" s="62">
        <f t="shared" si="23"/>
        <v>22100</v>
      </c>
      <c r="J181" s="1055">
        <f>IF(QCD_Age1&gt;0,-HLOOKUP(QCD_Age1,Details!$F$4:$AS$139,88,TRUE),0)</f>
        <v>9000</v>
      </c>
      <c r="K181" s="1055">
        <f>IF(QCD_Age2&gt;0,-HLOOKUP(QCD_Age2,Details!$F$4:$AS$139,88,TRUE),0)</f>
        <v>0</v>
      </c>
      <c r="L181" s="1055">
        <f>IF(QCD_Age1&gt;0,-HLOOKUP(QCD_Age1,Details!$F$4:$AS$139,87,TRUE)-HLOOKUP(QCD_Age1,Details!$F$4:$AS$139,91,TRUE),0)</f>
        <v>14500</v>
      </c>
      <c r="M181" s="1055">
        <f>IF(QCD_Age2&gt;0,-HLOOKUP(QCD_Age2,Details!$F$4:$AS$139,87,TRUE)-HLOOKUP(QCD_Age2,Details!$F$4:$AS$139,91,TRUE),0)</f>
        <v>22100</v>
      </c>
      <c r="N181" s="949"/>
      <c r="O181" s="88"/>
      <c r="P181" s="88"/>
      <c r="Q181" s="88"/>
      <c r="R181" s="88"/>
      <c r="S181" s="492"/>
      <c r="T181" s="1045"/>
      <c r="U181" s="743"/>
      <c r="V181" s="743"/>
      <c r="Z181" s="245" t="s">
        <v>2046</v>
      </c>
      <c r="AA181" s="539" t="s">
        <v>2049</v>
      </c>
      <c r="AB181" s="1790"/>
      <c r="AC181" s="1790"/>
      <c r="AD181" s="1790"/>
      <c r="AE181" s="1790"/>
      <c r="AF181" s="1790"/>
      <c r="AG181" s="1790"/>
      <c r="AH181" s="1790"/>
      <c r="AI181" s="1790"/>
      <c r="AJ181" s="1790"/>
      <c r="AK181" s="733"/>
    </row>
    <row r="182" spans="1:37" ht="16.2" customHeight="1">
      <c r="D182" s="18" t="s">
        <v>42</v>
      </c>
      <c r="E182" s="520">
        <v>71</v>
      </c>
      <c r="F182" s="474">
        <v>80</v>
      </c>
      <c r="G182" s="383" t="s">
        <v>1536</v>
      </c>
      <c r="H182" s="62">
        <f t="shared" si="23"/>
        <v>15000</v>
      </c>
      <c r="I182" s="62">
        <f t="shared" si="23"/>
        <v>24200</v>
      </c>
      <c r="J182" s="743">
        <f>IF(QCD_Age1&gt;0,-HLOOKUP(QCD_Age1,Details!$F$4:$AS$139,96,TRUE),0)</f>
        <v>0</v>
      </c>
      <c r="K182" s="743">
        <f>IF(QCD_Age2&gt;0,-HLOOKUP(QCD_Age2,Details!$F$4:$AS$139,96,TRUE),0)</f>
        <v>0</v>
      </c>
      <c r="L182" s="743">
        <f>IF(QCD_Age1&gt;0,-HLOOKUP(QCD_Age1,Details!$F$4:$AS$139,95,TRUE)-HLOOKUP(QCD_Age1,Details!$F$4:$AS$139,99,TRUE),0)</f>
        <v>15000</v>
      </c>
      <c r="M182" s="743">
        <f>IF(QCD_Age2&gt;0,-HLOOKUP(QCD_Age2,Details!$F$4:$AS$139,95,TRUE)-HLOOKUP(QCD_Age2,Details!$F$4:$AS$139,99,TRUE),0)</f>
        <v>24200</v>
      </c>
      <c r="N182" s="629"/>
      <c r="O182" s="88"/>
      <c r="P182" s="88"/>
      <c r="Q182" s="88"/>
      <c r="R182" s="88"/>
      <c r="S182" s="492"/>
      <c r="T182" s="1045"/>
      <c r="U182" s="743"/>
      <c r="V182" s="743"/>
      <c r="Z182" s="245" t="s">
        <v>2046</v>
      </c>
      <c r="AA182" s="1790"/>
      <c r="AB182" s="1790"/>
      <c r="AC182" s="1790"/>
      <c r="AD182" s="1790"/>
      <c r="AE182" s="1790"/>
      <c r="AF182" s="1790"/>
      <c r="AG182" s="1790"/>
      <c r="AH182" s="1790"/>
      <c r="AI182" s="1790"/>
      <c r="AJ182" s="1790"/>
      <c r="AK182" s="733"/>
    </row>
    <row r="183" spans="1:37" ht="16.2" customHeight="1">
      <c r="D183" s="15" t="s">
        <v>1003</v>
      </c>
      <c r="E183" s="1051">
        <f>IF(E181="i1",H181,IF(E181="i2",H182,IF(E181="h1",H183,IF(E181="h2",H184,0))))</f>
        <v>15000</v>
      </c>
      <c r="F183" s="797">
        <f>IF(F181="i1",I181,IF(F181="i2",I182,IF(F181="h1",I183,IF(F181="h2",I184,0))))</f>
        <v>2800</v>
      </c>
      <c r="G183" s="8" t="s">
        <v>38</v>
      </c>
      <c r="H183" s="62">
        <f t="shared" si="23"/>
        <v>0</v>
      </c>
      <c r="I183" s="62">
        <f t="shared" si="23"/>
        <v>9591.2000000000007</v>
      </c>
      <c r="J183" s="743">
        <f>IF(QCD_Age1&gt;0,-HLOOKUP(QCD_Age1,Details!$F$4:$AS$139,106,TRUE),0)</f>
        <v>0</v>
      </c>
      <c r="K183" s="743">
        <f>IF(QCD_Age2&gt;0,-HLOOKUP(QCD_Age2,Details!$F$4:$AS$139,106,TRUE),0)</f>
        <v>-8.8000000000000007</v>
      </c>
      <c r="L183" s="743">
        <f>IF(QCD_Age1&gt;0,-HLOOKUP(QCD_Age1,Details!$F$4:$AS$139,109,TRUE)-HLOOKUP(QCD_Age1,Details!$F$4:$AS$139,112,TRUE),0)</f>
        <v>0</v>
      </c>
      <c r="M183" s="743">
        <f>IF(QCD_Age2&gt;0,-HLOOKUP(QCD_Age2,Details!$F$4:$AS$139,109,TRUE)-HLOOKUP(QCD_Age2,Details!$F$4:$AS$139,112,TRUE),0)</f>
        <v>9600</v>
      </c>
      <c r="N183" s="629"/>
      <c r="O183" s="88"/>
      <c r="P183" s="88"/>
      <c r="Q183" s="88"/>
      <c r="R183" s="88"/>
      <c r="S183" s="492"/>
      <c r="T183" s="1045"/>
      <c r="U183" s="743"/>
      <c r="V183" s="743"/>
      <c r="Z183" s="245" t="s">
        <v>2046</v>
      </c>
      <c r="AA183" s="1790"/>
      <c r="AB183" s="1790"/>
      <c r="AC183" s="1790"/>
      <c r="AD183" s="1790"/>
      <c r="AE183" s="1790"/>
      <c r="AF183" s="1790"/>
      <c r="AG183" s="1790"/>
      <c r="AH183" s="1790"/>
      <c r="AI183" s="1790"/>
      <c r="AJ183" s="1790"/>
      <c r="AK183" s="733"/>
    </row>
    <row r="184" spans="1:37" ht="16.2" customHeight="1">
      <c r="D184" s="1046" t="s">
        <v>1745</v>
      </c>
      <c r="E184" s="462">
        <v>15000</v>
      </c>
      <c r="F184" s="462">
        <v>5000</v>
      </c>
      <c r="G184" s="1045" t="s">
        <v>39</v>
      </c>
      <c r="H184" s="62">
        <f t="shared" si="23"/>
        <v>0</v>
      </c>
      <c r="I184" s="62">
        <f t="shared" si="23"/>
        <v>2800</v>
      </c>
      <c r="J184" s="743">
        <f>IF(QCD_Age1&gt;0,-HLOOKUP(QCD_Age1,Details!$F$4:$AS$139,107,TRUE),0)</f>
        <v>0</v>
      </c>
      <c r="K184" s="743">
        <f>IF(QCD_Age2&gt;0,-HLOOKUP(QCD_Age2,Details!$F$4:$AS$139,107,TRUE),0)</f>
        <v>2800</v>
      </c>
      <c r="L184" s="743">
        <f>IF(QCD_Age1&gt;0,-HLOOKUP(QCD_Age1,Details!$F$4:$AS$139,110,TRUE)-HLOOKUP(QCD_Age1,Details!$F$4:$AS$139,113,TRUE),0)</f>
        <v>0</v>
      </c>
      <c r="M184" s="743">
        <f>IF(QCD_Age2&gt;0,-HLOOKUP(QCD_Age2,Details!$F$4:$AS$139,110,TRUE)-HLOOKUP(QCD_Age2,Details!$F$4:$AS$139,113,TRUE),0)</f>
        <v>0</v>
      </c>
      <c r="S184" s="492"/>
      <c r="T184" s="1045"/>
      <c r="U184" s="743"/>
      <c r="V184" s="743"/>
      <c r="Z184" s="245" t="s">
        <v>2046</v>
      </c>
      <c r="AA184" s="1790"/>
      <c r="AB184" s="1790"/>
      <c r="AC184" s="1790"/>
      <c r="AD184" s="1790"/>
      <c r="AE184" s="1790"/>
      <c r="AF184" s="1790"/>
      <c r="AG184" s="1790"/>
      <c r="AH184" s="1790"/>
      <c r="AI184" s="1790"/>
      <c r="AJ184" s="1790"/>
      <c r="AK184" s="733"/>
    </row>
    <row r="185" spans="1:37" ht="16.2" customHeight="1">
      <c r="D185" s="8" t="s">
        <v>45</v>
      </c>
      <c r="E185" s="474">
        <v>5</v>
      </c>
      <c r="F185" s="474">
        <v>5</v>
      </c>
      <c r="H185" s="743"/>
      <c r="I185" s="743"/>
      <c r="J185" s="273"/>
      <c r="K185" s="1"/>
      <c r="O185" s="1"/>
      <c r="Q185" s="18"/>
      <c r="R185" s="492"/>
      <c r="S185" s="492"/>
      <c r="T185" s="1045"/>
      <c r="U185" s="743"/>
      <c r="V185" s="743"/>
      <c r="AA185" s="1790"/>
      <c r="AB185" s="1790"/>
      <c r="AC185" s="1790"/>
      <c r="AD185" s="1790"/>
      <c r="AE185" s="1790"/>
      <c r="AF185" s="1790"/>
      <c r="AG185" s="1790"/>
      <c r="AH185" s="1790"/>
      <c r="AI185" s="1790"/>
      <c r="AJ185" s="1790"/>
      <c r="AK185" s="733"/>
    </row>
    <row r="186" spans="1:37" ht="16.2" customHeight="1">
      <c r="D186" s="8" t="s">
        <v>279</v>
      </c>
      <c r="E186" s="1049">
        <f>+QCD_Amt1*QCD1_Cnt</f>
        <v>75000</v>
      </c>
      <c r="F186" s="1049">
        <f>+QCD_Amt2*QCD2_Cnt</f>
        <v>25000</v>
      </c>
      <c r="G186" s="338" t="s">
        <v>1156</v>
      </c>
      <c r="H186" s="743">
        <f>+Details!E506</f>
        <v>0</v>
      </c>
      <c r="I186" s="1058" t="str">
        <f>IF(H186&gt;0,"Error: one or more months of donations are under-funded",".")</f>
        <v>.</v>
      </c>
      <c r="J186" s="273"/>
      <c r="K186" s="1"/>
      <c r="O186" s="1"/>
      <c r="Q186" s="18"/>
      <c r="R186" s="492"/>
      <c r="S186" s="492"/>
      <c r="T186" s="1045"/>
      <c r="U186" s="743"/>
      <c r="V186" s="743"/>
      <c r="AA186" s="1790"/>
      <c r="AB186" s="1790"/>
      <c r="AC186" s="1790"/>
      <c r="AD186" s="1790"/>
      <c r="AE186" s="1790"/>
      <c r="AF186" s="1790"/>
      <c r="AG186" s="1790"/>
      <c r="AH186" s="1790"/>
      <c r="AI186" s="1790"/>
      <c r="AJ186" s="1790"/>
      <c r="AK186" s="733" t="str">
        <f>IF(IF(I186=".",0,1)&gt;=1,1,"ok")</f>
        <v>ok</v>
      </c>
    </row>
    <row r="187" spans="1:37" ht="16.2" customHeight="1">
      <c r="E187" s="86" t="str">
        <f>IF(Qual1="y",IF(QCD_Src1="i1","IRA 1",IF(QCD_Src1="i2","IRA 2",IF(QCD_Src1="h1","Inherited IRA 1",IF(QCD_Src1="h2","Inherited IRA 2",".")))),"")</f>
        <v>IRA 2</v>
      </c>
      <c r="F187" s="86" t="str">
        <f>IF(Qual1="y",IF(QCD_Src2="i1","IRA 1",IF(QCD_Src2="i2","IRA 2",IF(QCD_Src2="h1","Inhr IRA 1",IF(QCD_Src2="h2","Inhr IRA 2",".")))),"")</f>
        <v>Inhr IRA 2</v>
      </c>
      <c r="G187" s="338"/>
      <c r="H187" s="62">
        <f>+Details!E513</f>
        <v>0</v>
      </c>
      <c r="I187" s="1058" t="str">
        <f>IF(H187&gt;0,"Error: one or more months of donations are under-funded",".")</f>
        <v>.</v>
      </c>
      <c r="N187" s="1"/>
      <c r="O187" s="1"/>
      <c r="Q187" s="1"/>
      <c r="AA187" s="1790"/>
      <c r="AB187" s="1790"/>
      <c r="AC187" s="1790"/>
      <c r="AD187" s="1790"/>
      <c r="AE187" s="1790"/>
      <c r="AF187" s="1790"/>
      <c r="AG187" s="1790"/>
      <c r="AH187" s="1790"/>
      <c r="AI187" s="1790"/>
      <c r="AJ187" s="1790"/>
      <c r="AK187" s="733" t="str">
        <f>IF(IF(I187=".",0,1)&gt;=1,1,"ok")</f>
        <v>ok</v>
      </c>
    </row>
    <row r="188" spans="1:37" ht="16.2" customHeight="1">
      <c r="E188" s="86"/>
      <c r="F188" s="1418" t="str">
        <f>IF(QCD_Age2+QCD2_Cnt&gt;Your_Age_End,"Error: Age or modeling period error",".")</f>
        <v>.</v>
      </c>
      <c r="G188" s="338"/>
      <c r="H188" s="62"/>
      <c r="I188" s="1058"/>
      <c r="N188" s="1"/>
      <c r="O188" s="1"/>
      <c r="Q188" s="1"/>
      <c r="AA188" s="1790"/>
      <c r="AB188" s="1790"/>
      <c r="AC188" s="1790"/>
      <c r="AD188" s="1790"/>
      <c r="AE188" s="1790"/>
      <c r="AF188" s="1790"/>
      <c r="AG188" s="1790"/>
      <c r="AH188" s="1790"/>
      <c r="AI188" s="1790"/>
      <c r="AJ188" s="1790"/>
      <c r="AK188" s="733"/>
    </row>
    <row r="189" spans="1:37" ht="19.95" customHeight="1">
      <c r="A189" s="407"/>
      <c r="B189" s="407"/>
      <c r="C189" s="710"/>
      <c r="D189" s="1073" t="s">
        <v>1633</v>
      </c>
      <c r="J189" s="1793" t="s">
        <v>2273</v>
      </c>
      <c r="P189" s="1"/>
      <c r="AA189" s="1790"/>
      <c r="AB189" s="1790"/>
      <c r="AC189" s="1790"/>
      <c r="AD189" s="1790"/>
      <c r="AE189" s="1790"/>
      <c r="AF189" s="1790"/>
      <c r="AG189" s="1790"/>
      <c r="AH189" s="1790"/>
      <c r="AI189" s="1790"/>
      <c r="AJ189" s="1790"/>
      <c r="AK189" s="733"/>
    </row>
    <row r="190" spans="1:37" ht="16.95" customHeight="1">
      <c r="E190" s="173" t="str">
        <f>IF(AND(E192="m",Spouse_Age="")," Error: No Spouse Age-use 's'",IF(AND(Spouse_Age=0,E192="m")," Error: No Spouse Age-use 's'","."))</f>
        <v>.</v>
      </c>
      <c r="F190" s="8"/>
      <c r="J190" s="8"/>
      <c r="O190" s="1"/>
      <c r="P190" s="1"/>
      <c r="Q190" s="1"/>
      <c r="R190" s="1623" t="s">
        <v>1960</v>
      </c>
      <c r="S190" s="1"/>
      <c r="U190" s="1656"/>
      <c r="V190" s="1793" t="s">
        <v>2311</v>
      </c>
      <c r="Z190" s="1408">
        <v>8</v>
      </c>
      <c r="AA190" s="1790"/>
      <c r="AB190" s="1790"/>
      <c r="AC190" s="1790"/>
      <c r="AD190" s="1790"/>
      <c r="AE190" s="1790"/>
      <c r="AF190" s="1790"/>
      <c r="AG190" s="1790"/>
      <c r="AH190" s="1790"/>
      <c r="AI190" s="1790"/>
      <c r="AJ190" s="1790"/>
      <c r="AK190" s="1409" t="s">
        <v>1791</v>
      </c>
    </row>
    <row r="191" spans="1:37" ht="16.2" customHeight="1" thickBot="1">
      <c r="D191" s="659" t="s">
        <v>111</v>
      </c>
      <c r="E191" s="1565" t="s">
        <v>1479</v>
      </c>
      <c r="G191" s="1418" t="s">
        <v>2043</v>
      </c>
      <c r="H191" s="1565" t="s">
        <v>1246</v>
      </c>
      <c r="Q191" s="1"/>
      <c r="R191" s="17" t="s">
        <v>1917</v>
      </c>
      <c r="S191" s="468" t="s">
        <v>1176</v>
      </c>
      <c r="T191" s="17" t="s">
        <v>1986</v>
      </c>
      <c r="U191" s="1519">
        <v>2018</v>
      </c>
      <c r="V191" s="896" t="s">
        <v>889</v>
      </c>
      <c r="W191" s="896" t="s">
        <v>1989</v>
      </c>
      <c r="X191" s="112" t="s">
        <v>2294</v>
      </c>
      <c r="Y191" s="1485" t="s">
        <v>1916</v>
      </c>
      <c r="AA191" s="1790"/>
      <c r="AB191" s="1790"/>
      <c r="AC191" s="1790"/>
      <c r="AD191" s="1790"/>
      <c r="AE191" s="1790"/>
      <c r="AF191" s="1790"/>
      <c r="AG191" s="1790"/>
      <c r="AH191" s="1790"/>
      <c r="AI191" s="1790"/>
      <c r="AJ191" s="1790"/>
      <c r="AK191" s="733" t="str">
        <f>IF(IF(E190=".",0,1)&gt;=1,1,"ok")</f>
        <v>ok</v>
      </c>
    </row>
    <row r="192" spans="1:37" ht="16.2" customHeight="1" thickBot="1">
      <c r="D192" s="1699" t="s">
        <v>253</v>
      </c>
      <c r="E192" s="468" t="s">
        <v>1176</v>
      </c>
      <c r="G192" s="8" t="s">
        <v>10</v>
      </c>
      <c r="H192" s="1650"/>
      <c r="N192" s="817" t="s">
        <v>1210</v>
      </c>
      <c r="O192" s="1390"/>
      <c r="P192" s="1519">
        <v>2019</v>
      </c>
      <c r="Q192" s="1518"/>
      <c r="R192" s="509"/>
      <c r="S192" s="1524" t="str">
        <f>IF(TaxCalc_Status="m","married","single")</f>
        <v>married</v>
      </c>
      <c r="T192" s="509"/>
      <c r="U192" s="607" t="s">
        <v>302</v>
      </c>
      <c r="V192" s="607" t="s">
        <v>888</v>
      </c>
      <c r="W192" s="607" t="s">
        <v>888</v>
      </c>
      <c r="X192" s="883">
        <f>+Details!F7</f>
        <v>2019</v>
      </c>
      <c r="Y192" s="607" t="s">
        <v>888</v>
      </c>
      <c r="AA192" s="1790"/>
      <c r="AB192" s="1790"/>
      <c r="AC192" s="1790"/>
      <c r="AD192" s="1790"/>
      <c r="AE192" s="1790"/>
      <c r="AF192" s="1790"/>
      <c r="AG192" s="1790"/>
      <c r="AH192" s="1790"/>
      <c r="AI192" s="1790"/>
      <c r="AJ192" s="1790"/>
    </row>
    <row r="193" spans="1:62" ht="15.75" customHeight="1">
      <c r="A193" s="733"/>
      <c r="D193" s="1699" t="str">
        <f>"Year single rate starts "</f>
        <v xml:space="preserve">Year single rate starts </v>
      </c>
      <c r="E193" s="748">
        <f>IF(Filing_Status="s","",IF(Correct_Start&gt;0,Correct_Start,IF(Your_End_Input&gt;0,HLOOKUP(Your_End_Input+1,$E$349:$BE$351,3,TRUE),IF(Spouse_End_Input&gt;0,HLOOKUP(Spouse_End_Input+1,$E$350:$BE$351,2,TRUE),""))))</f>
        <v>2043</v>
      </c>
      <c r="F193" s="922" t="str">
        <f>IF(OR(Filing_Status="s",Your_End_Input=0),"",IF(Your_End_Input&gt;0," your age"&amp;" "&amp;Single_Rate_Start-First_Year+Your_Age,IF(Spouse_End_Input&gt;0," spouse age"&amp;" "&amp;Single_Rate_Start-First_Year+Spouse_Age)))</f>
        <v xml:space="preserve"> your age 86</v>
      </c>
      <c r="G193" s="8" t="s">
        <v>1568</v>
      </c>
      <c r="H193" s="1651"/>
      <c r="I193" s="624" t="str">
        <f>IF(AND(Exemptions_Start=0,Exemptions_Add&gt;0),"required",".")</f>
        <v>.</v>
      </c>
      <c r="N193" s="689" t="s">
        <v>668</v>
      </c>
      <c r="P193" s="1517">
        <f>HLOOKUP($P$192,$E$351:$BE$371,4,TRUE)</f>
        <v>9600</v>
      </c>
      <c r="R193" s="1619" t="s">
        <v>1517</v>
      </c>
      <c r="S193" s="1"/>
      <c r="U193" s="621">
        <v>50000</v>
      </c>
      <c r="V193" s="183">
        <v>7</v>
      </c>
      <c r="W193" s="183">
        <v>7</v>
      </c>
      <c r="X193" s="88">
        <f>Details!F68+Details!F69</f>
        <v>10000</v>
      </c>
      <c r="Y193" s="541" t="s">
        <v>2052</v>
      </c>
      <c r="Z193" s="245" t="s">
        <v>2048</v>
      </c>
    </row>
    <row r="194" spans="1:62" ht="15.75" customHeight="1">
      <c r="D194" s="1701" t="s">
        <v>989</v>
      </c>
      <c r="E194" s="520"/>
      <c r="F194" s="923" t="str">
        <f>IF(AND(E194&lt;&gt;0,Filing_Status="m")," using"," not using")</f>
        <v xml:space="preserve"> not using</v>
      </c>
      <c r="G194" s="8" t="s">
        <v>237</v>
      </c>
      <c r="H194" s="1651"/>
      <c r="I194" s="624" t="str">
        <f>IF(AND(Exemptions_End=0,Exemptions_Add&gt;0),"required",".")</f>
        <v>.</v>
      </c>
      <c r="N194" s="690" t="s">
        <v>68</v>
      </c>
      <c r="P194" s="537">
        <f>HLOOKUP($P$192,$E$351:$BE$371,5,TRUE)</f>
        <v>-2900</v>
      </c>
      <c r="R194" s="415" t="s">
        <v>282</v>
      </c>
      <c r="S194" s="1"/>
      <c r="U194" s="622">
        <v>3000</v>
      </c>
      <c r="V194" s="183" t="s">
        <v>887</v>
      </c>
      <c r="W194" s="183" t="s">
        <v>887</v>
      </c>
      <c r="X194" s="301" t="s">
        <v>303</v>
      </c>
      <c r="Y194" s="86"/>
      <c r="Z194" s="245" t="s">
        <v>2048</v>
      </c>
      <c r="AA194" s="140"/>
      <c r="AB194" s="861" t="s">
        <v>225</v>
      </c>
      <c r="AI194" s="140"/>
      <c r="AJ194" s="140"/>
      <c r="AM194" s="140"/>
      <c r="AN194" s="140"/>
      <c r="AO194" s="140"/>
      <c r="AP194" s="140"/>
      <c r="AQ194" s="140"/>
      <c r="AR194" s="140"/>
      <c r="AS194" s="140"/>
      <c r="AT194" s="140"/>
      <c r="AU194" s="140"/>
      <c r="AV194" s="140"/>
      <c r="AW194" s="777"/>
      <c r="AX194" s="777"/>
      <c r="AY194" s="777"/>
      <c r="AZ194" s="777"/>
      <c r="BA194" s="777"/>
      <c r="BB194" s="140"/>
      <c r="BC194" s="140"/>
      <c r="BD194" s="140"/>
      <c r="BF194" s="140"/>
      <c r="BG194" s="140"/>
      <c r="BH194" s="140"/>
      <c r="BI194" s="140"/>
      <c r="BJ194" s="158"/>
    </row>
    <row r="195" spans="1:62" ht="15.75" customHeight="1">
      <c r="D195" s="383"/>
      <c r="E195" s="749"/>
      <c r="F195" s="195"/>
      <c r="G195" s="158"/>
      <c r="H195" s="742"/>
      <c r="N195" s="689" t="s">
        <v>2035</v>
      </c>
      <c r="P195" s="537">
        <f>HLOOKUP($P$192,$E$351:$BE$371,6,TRUE)</f>
        <v>-4000</v>
      </c>
      <c r="R195" s="934" t="s">
        <v>552</v>
      </c>
      <c r="S195" s="1"/>
      <c r="T195" s="622">
        <v>20000</v>
      </c>
      <c r="V195" s="183" t="s">
        <v>890</v>
      </c>
      <c r="W195" s="183" t="s">
        <v>890</v>
      </c>
      <c r="X195" s="1621">
        <f>-Details!F170</f>
        <v>2900</v>
      </c>
      <c r="Y195" s="86">
        <v>168</v>
      </c>
      <c r="Z195" s="245" t="s">
        <v>2048</v>
      </c>
      <c r="AA195" s="158"/>
      <c r="AB195" s="22" t="s">
        <v>811</v>
      </c>
      <c r="AD195" s="31">
        <v>100000</v>
      </c>
      <c r="AE195" s="43">
        <v>0.15</v>
      </c>
      <c r="AI195" s="158"/>
      <c r="AJ195" s="158"/>
      <c r="AM195" s="158"/>
      <c r="AN195" s="158"/>
      <c r="AO195" s="158"/>
      <c r="AP195" s="158"/>
      <c r="AQ195" s="158"/>
      <c r="AR195" s="158"/>
      <c r="AS195" s="158"/>
      <c r="AT195" s="158"/>
      <c r="AU195" s="158"/>
      <c r="AV195" s="158"/>
      <c r="AW195" s="387"/>
      <c r="AX195" s="387"/>
      <c r="AY195" s="387"/>
      <c r="AZ195" s="387"/>
      <c r="BA195" s="387"/>
      <c r="BB195" s="158"/>
      <c r="BC195" s="158"/>
      <c r="BD195" s="158"/>
      <c r="BF195" s="158"/>
      <c r="BG195" s="158"/>
      <c r="BH195" s="158"/>
      <c r="BI195" s="158"/>
      <c r="BJ195" s="158"/>
    </row>
    <row r="196" spans="1:62" ht="15.75" customHeight="1">
      <c r="D196" s="659" t="s">
        <v>112</v>
      </c>
      <c r="E196" s="154"/>
      <c r="F196" s="174"/>
      <c r="H196" s="659" t="s">
        <v>1883</v>
      </c>
      <c r="N196" s="690" t="s">
        <v>669</v>
      </c>
      <c r="P196" s="537">
        <f>HLOOKUP($P$192,$E$351:$BE$371,7,TRUE)</f>
        <v>0</v>
      </c>
      <c r="R196" s="415" t="s">
        <v>810</v>
      </c>
      <c r="S196" s="186"/>
      <c r="T196" s="1532" t="str">
        <f>IF(U196&lt;T197,"ck amt&gt;"," ")</f>
        <v xml:space="preserve"> </v>
      </c>
      <c r="U196" s="1516">
        <v>15000</v>
      </c>
      <c r="V196" s="183" t="s">
        <v>891</v>
      </c>
      <c r="W196" s="183" t="s">
        <v>891</v>
      </c>
      <c r="X196" s="88">
        <f>+Details!F169+Details!F170+Details!F171</f>
        <v>2700</v>
      </c>
      <c r="Y196" s="1620" t="s">
        <v>2171</v>
      </c>
      <c r="Z196" s="245" t="s">
        <v>2048</v>
      </c>
      <c r="AA196" s="158"/>
      <c r="AD196" s="43">
        <v>7.0000000000000007E-2</v>
      </c>
      <c r="AG196" t="s">
        <v>1385</v>
      </c>
      <c r="AI196" s="158"/>
      <c r="AJ196" s="158"/>
      <c r="AM196" s="158"/>
      <c r="AN196" s="158"/>
      <c r="AO196" s="158"/>
      <c r="AP196" s="158"/>
      <c r="AQ196" s="158"/>
      <c r="AR196" s="158"/>
      <c r="AS196" s="158"/>
      <c r="AT196" s="158"/>
      <c r="AU196" s="158"/>
      <c r="AV196" s="158"/>
      <c r="AW196" s="387"/>
      <c r="AX196" s="387"/>
      <c r="AY196" s="387"/>
      <c r="AZ196" s="387"/>
      <c r="BA196" s="387"/>
      <c r="BB196" s="158"/>
      <c r="BC196" s="158"/>
      <c r="BD196" s="158"/>
      <c r="BF196" s="158"/>
      <c r="BG196" s="158"/>
      <c r="BH196" s="158"/>
      <c r="BI196" s="158"/>
      <c r="BJ196" s="158"/>
    </row>
    <row r="197" spans="1:62" ht="16.2" customHeight="1">
      <c r="D197" s="8" t="str">
        <f>"Beginning in " &amp; First_Year &amp; " "</f>
        <v xml:space="preserve">Beginning in 2019 </v>
      </c>
      <c r="E197" s="462">
        <v>25000</v>
      </c>
      <c r="F197" s="923" t="str">
        <f>IF(E197&lt;&gt;0," using"," not using")</f>
        <v xml:space="preserve"> using</v>
      </c>
      <c r="G197" s="1455" t="s">
        <v>1199</v>
      </c>
      <c r="H197" s="31">
        <f>+Details!E181</f>
        <v>0</v>
      </c>
      <c r="N197" s="290" t="s">
        <v>620</v>
      </c>
      <c r="P197" s="537">
        <f>HLOOKUP($P$192,$E$351:$BE$371,8,TRUE)</f>
        <v>0</v>
      </c>
      <c r="R197" s="934" t="s">
        <v>1157</v>
      </c>
      <c r="S197" s="186"/>
      <c r="T197" s="1516">
        <v>5000</v>
      </c>
      <c r="U197" s="1515"/>
      <c r="V197" s="183" t="s">
        <v>63</v>
      </c>
      <c r="W197" s="183" t="s">
        <v>63</v>
      </c>
      <c r="X197" s="1622" t="s">
        <v>303</v>
      </c>
      <c r="Y197" s="271" t="s">
        <v>2051</v>
      </c>
      <c r="Z197" s="245" t="s">
        <v>2048</v>
      </c>
      <c r="AA197" s="158"/>
      <c r="AB197" t="s">
        <v>1708</v>
      </c>
      <c r="AD197" s="31">
        <f>+AD196*AC192</f>
        <v>0</v>
      </c>
      <c r="AG197">
        <v>2013</v>
      </c>
      <c r="AI197" s="158"/>
      <c r="AJ197" s="158"/>
      <c r="AM197" s="158"/>
      <c r="AN197" s="158"/>
      <c r="AO197" s="158"/>
      <c r="AP197" s="158"/>
      <c r="AQ197" s="158"/>
      <c r="AR197" s="158"/>
      <c r="AS197" s="158"/>
      <c r="AT197" s="158"/>
      <c r="AU197" s="158"/>
      <c r="AV197" s="158"/>
      <c r="AW197" s="387"/>
      <c r="AX197" s="387"/>
      <c r="AY197" s="387"/>
      <c r="AZ197" s="387"/>
      <c r="BA197" s="387"/>
      <c r="BB197" s="158"/>
      <c r="BC197" s="158"/>
      <c r="BD197" s="158"/>
      <c r="BF197" s="158"/>
      <c r="BG197" s="158"/>
      <c r="BH197" s="158"/>
      <c r="BI197" s="158"/>
      <c r="BJ197" s="158"/>
    </row>
    <row r="198" spans="1:62" ht="15.75" customHeight="1">
      <c r="D198" s="8" t="s">
        <v>1120</v>
      </c>
      <c r="E198" s="516">
        <v>0.05</v>
      </c>
      <c r="F198" s="170"/>
      <c r="G198" s="1455" t="s">
        <v>1198</v>
      </c>
      <c r="H198" s="31">
        <f>+Details!E269</f>
        <v>0</v>
      </c>
      <c r="N198" s="690" t="s">
        <v>670</v>
      </c>
      <c r="P198" s="537">
        <f>HLOOKUP($P$192,$E$351:$BE$371,9,TRUE)</f>
        <v>60000</v>
      </c>
      <c r="R198" s="1419" t="s">
        <v>1952</v>
      </c>
      <c r="U198" s="623"/>
      <c r="V198" s="1500" t="s">
        <v>1928</v>
      </c>
      <c r="W198" s="1500"/>
      <c r="X198" s="301" t="s">
        <v>303</v>
      </c>
      <c r="Y198" s="86"/>
      <c r="Z198" s="245" t="s">
        <v>2048</v>
      </c>
      <c r="AA198" s="158"/>
      <c r="AD198" s="43">
        <v>0.6</v>
      </c>
      <c r="AG198">
        <v>13335</v>
      </c>
      <c r="AH198" t="s">
        <v>1392</v>
      </c>
      <c r="AI198" s="158"/>
      <c r="AJ198" s="158"/>
      <c r="AM198" s="158"/>
      <c r="AN198" s="158"/>
      <c r="AO198" s="158"/>
      <c r="AP198" s="158"/>
      <c r="AQ198" s="158"/>
      <c r="AR198" s="158"/>
      <c r="AS198" s="158"/>
      <c r="AT198" s="158"/>
      <c r="AU198" s="158"/>
      <c r="AV198" s="158"/>
      <c r="AW198" s="387"/>
      <c r="AX198" s="387"/>
      <c r="AY198" s="387"/>
      <c r="AZ198" s="387"/>
      <c r="BA198" s="387"/>
      <c r="BB198" s="158"/>
      <c r="BC198" s="158"/>
      <c r="BD198" s="158"/>
      <c r="BF198" s="158"/>
      <c r="BG198" s="158"/>
      <c r="BH198" s="158"/>
      <c r="BI198" s="158"/>
      <c r="BJ198" s="158"/>
    </row>
    <row r="199" spans="1:62" ht="15.75" customHeight="1">
      <c r="D199" s="8" t="s">
        <v>237</v>
      </c>
      <c r="E199" s="462">
        <v>68</v>
      </c>
      <c r="F199" s="651">
        <f>IF(End_Itemized=0,Final_Year,E199-Your_Age+First_Year)</f>
        <v>2025</v>
      </c>
      <c r="G199" s="233"/>
      <c r="H199" s="1328"/>
      <c r="N199" s="1061" t="s">
        <v>1515</v>
      </c>
      <c r="P199" s="768">
        <f>HLOOKUP($P$192,$E$351:$BE$371,10,TRUE)</f>
        <v>0</v>
      </c>
      <c r="R199" s="415" t="s">
        <v>1263</v>
      </c>
      <c r="U199" s="623">
        <v>1000</v>
      </c>
      <c r="V199" s="271">
        <v>13</v>
      </c>
      <c r="W199" s="271">
        <v>10</v>
      </c>
      <c r="X199" s="301" t="s">
        <v>303</v>
      </c>
      <c r="Y199" s="271" t="s">
        <v>2051</v>
      </c>
      <c r="Z199" s="245" t="s">
        <v>2048</v>
      </c>
      <c r="AA199" s="158"/>
      <c r="AB199" t="s">
        <v>1383</v>
      </c>
      <c r="AD199" s="31">
        <f>-AD197*AD198</f>
        <v>0</v>
      </c>
      <c r="AE199" s="31">
        <f>+AD200*AD192</f>
        <v>0</v>
      </c>
      <c r="AG199">
        <v>35.64</v>
      </c>
      <c r="AH199" t="s">
        <v>1388</v>
      </c>
      <c r="AI199" s="158"/>
      <c r="AJ199" s="158"/>
      <c r="AM199" s="158"/>
      <c r="AN199" s="158"/>
      <c r="AO199" s="158"/>
      <c r="AP199" s="158"/>
      <c r="AQ199" s="158"/>
      <c r="AR199" s="158"/>
      <c r="AS199" s="158"/>
      <c r="AT199" s="158"/>
      <c r="AU199" s="158"/>
      <c r="AV199" s="158"/>
      <c r="AW199" s="387"/>
      <c r="AX199" s="387"/>
      <c r="AY199" s="387"/>
      <c r="AZ199" s="387"/>
      <c r="BA199" s="387"/>
      <c r="BB199" s="158"/>
      <c r="BC199" s="158"/>
      <c r="BD199" s="158"/>
      <c r="BF199" s="158"/>
      <c r="BG199" s="158"/>
      <c r="BH199" s="158"/>
      <c r="BI199" s="158"/>
      <c r="BJ199" s="158"/>
    </row>
    <row r="200" spans="1:62" ht="15.75" customHeight="1">
      <c r="B200" s="1418" t="s">
        <v>2028</v>
      </c>
      <c r="D200" s="8"/>
      <c r="E200" s="797"/>
      <c r="G200" s="1612"/>
      <c r="N200" s="689" t="s">
        <v>671</v>
      </c>
      <c r="P200" s="537">
        <f>+P193+P194+P195++P196+P197+P198+P199</f>
        <v>62700</v>
      </c>
      <c r="R200" s="934" t="s">
        <v>1994</v>
      </c>
      <c r="U200" s="1516">
        <v>4000</v>
      </c>
      <c r="V200" s="86">
        <v>13</v>
      </c>
      <c r="W200" s="86">
        <v>10</v>
      </c>
      <c r="X200" s="103">
        <f>-Details!F171</f>
        <v>4000</v>
      </c>
      <c r="Y200" s="86">
        <v>190</v>
      </c>
      <c r="AA200" s="158"/>
      <c r="AB200" t="s">
        <v>979</v>
      </c>
      <c r="AD200" s="31">
        <f>+AD197+AD199</f>
        <v>0</v>
      </c>
      <c r="AF200" s="224"/>
      <c r="AG200">
        <v>0.76500000000000001</v>
      </c>
      <c r="AH200" s="224" t="s">
        <v>1389</v>
      </c>
      <c r="AI200" s="158"/>
      <c r="AJ200" s="158"/>
      <c r="AM200" s="158"/>
      <c r="AN200" s="158"/>
      <c r="AO200" s="158"/>
      <c r="AP200" s="158"/>
      <c r="AQ200" s="158"/>
      <c r="AR200" s="158"/>
      <c r="AS200" s="158"/>
      <c r="AT200" s="158"/>
      <c r="AU200" s="158"/>
      <c r="AV200" s="158"/>
      <c r="AW200" s="387"/>
      <c r="AX200" s="387"/>
      <c r="AY200" s="387"/>
      <c r="AZ200" s="387"/>
      <c r="BA200" s="387"/>
      <c r="BB200" s="158"/>
      <c r="BC200" s="158"/>
      <c r="BD200" s="158"/>
      <c r="BF200" s="158"/>
      <c r="BG200" s="158"/>
      <c r="BH200" s="158"/>
      <c r="BI200" s="158"/>
      <c r="BJ200" s="158"/>
    </row>
    <row r="201" spans="1:62" ht="15.75" customHeight="1" thickBot="1">
      <c r="D201" s="659" t="s">
        <v>653</v>
      </c>
      <c r="E201" s="1615" t="s">
        <v>2223</v>
      </c>
      <c r="F201" s="1615" t="s">
        <v>2224</v>
      </c>
      <c r="G201" s="1616" t="s">
        <v>2197</v>
      </c>
      <c r="N201" s="689" t="s">
        <v>672</v>
      </c>
      <c r="O201" s="537">
        <f>HLOOKUP($P$192,$E$351:$BE$371,12,TRUE)</f>
        <v>0</v>
      </c>
      <c r="R201" s="1419" t="s">
        <v>1926</v>
      </c>
      <c r="S201" s="260"/>
      <c r="U201" s="623">
        <v>30000</v>
      </c>
      <c r="V201" s="183" t="s">
        <v>64</v>
      </c>
      <c r="W201" s="1526" t="s">
        <v>1990</v>
      </c>
      <c r="X201" s="88">
        <f>SUM(Details!F175:'Details'!F180)</f>
        <v>40000</v>
      </c>
      <c r="Y201" s="271" t="s">
        <v>2172</v>
      </c>
      <c r="AA201" s="158"/>
      <c r="AB201" t="s">
        <v>194</v>
      </c>
      <c r="AD201" s="31">
        <v>0</v>
      </c>
      <c r="AE201" s="31">
        <f>+AD201*AD192</f>
        <v>0</v>
      </c>
      <c r="AG201">
        <v>100000</v>
      </c>
      <c r="AH201" t="s">
        <v>1390</v>
      </c>
      <c r="AI201" s="158"/>
      <c r="AJ201" s="158"/>
      <c r="AM201" s="158"/>
      <c r="AN201" s="158"/>
      <c r="AO201" s="158"/>
      <c r="AP201" s="158"/>
      <c r="AQ201" s="158"/>
      <c r="AR201" s="158"/>
      <c r="AS201" s="158"/>
      <c r="AT201" s="158"/>
      <c r="AU201" s="158"/>
      <c r="AV201" s="158"/>
      <c r="AW201" s="387"/>
      <c r="AX201" s="387"/>
      <c r="AY201" s="387"/>
      <c r="AZ201" s="387"/>
      <c r="BA201" s="387"/>
      <c r="BB201" s="158"/>
      <c r="BC201" s="158"/>
      <c r="BD201" s="158"/>
      <c r="BF201" s="158"/>
      <c r="BG201" s="158"/>
      <c r="BH201" s="158"/>
      <c r="BI201" s="158"/>
      <c r="BJ201" s="158"/>
    </row>
    <row r="202" spans="1:62" ht="16.2" customHeight="1">
      <c r="D202" s="338" t="s">
        <v>2033</v>
      </c>
      <c r="E202" s="62">
        <f>IF(Taxable_Adj1=0,Details!F28,Taxable_Adj1)</f>
        <v>9600</v>
      </c>
      <c r="F202" s="462">
        <v>0</v>
      </c>
      <c r="G202" s="1528"/>
      <c r="H202" s="1528"/>
      <c r="N202" s="689" t="s">
        <v>673</v>
      </c>
      <c r="P202" s="768">
        <f>HLOOKUP($P$192,$E$351:$BE$371,13,TRUE)</f>
        <v>0</v>
      </c>
      <c r="R202" s="1419" t="s">
        <v>1925</v>
      </c>
      <c r="S202" s="260"/>
      <c r="U202" s="623">
        <v>12000</v>
      </c>
      <c r="V202" s="183" t="s">
        <v>65</v>
      </c>
      <c r="W202" s="1526" t="s">
        <v>1991</v>
      </c>
      <c r="X202" s="88">
        <f>+Details!F66+Details!F67</f>
        <v>10000</v>
      </c>
      <c r="Y202" s="271" t="s">
        <v>2052</v>
      </c>
      <c r="Z202" s="245" t="s">
        <v>2048</v>
      </c>
      <c r="AA202" s="158"/>
      <c r="AB202" t="s">
        <v>810</v>
      </c>
      <c r="AC202" s="347"/>
      <c r="AD202" s="31">
        <v>1000</v>
      </c>
      <c r="AE202" s="31">
        <f>+AD202*AD192</f>
        <v>0</v>
      </c>
      <c r="AG202" s="556">
        <f>+AG201/AG199</f>
        <v>2805.8361391694725</v>
      </c>
      <c r="AH202" t="s">
        <v>1386</v>
      </c>
      <c r="AI202" s="158"/>
      <c r="AJ202" s="158"/>
      <c r="AM202" s="158"/>
      <c r="AN202" s="158"/>
      <c r="AO202" s="158"/>
      <c r="AP202" s="158"/>
      <c r="AQ202" s="158"/>
      <c r="AR202" s="158"/>
      <c r="AS202" s="158"/>
      <c r="AT202" s="158"/>
      <c r="AU202" s="158"/>
      <c r="AV202" s="158"/>
      <c r="AW202" s="387"/>
      <c r="AX202" s="387"/>
      <c r="AY202" s="387"/>
      <c r="AZ202" s="387"/>
      <c r="BA202" s="387"/>
      <c r="BB202" s="158"/>
      <c r="BC202" s="158"/>
      <c r="BD202" s="158"/>
      <c r="BF202" s="158"/>
      <c r="BG202" s="158"/>
      <c r="BH202" s="158"/>
      <c r="BI202" s="158"/>
      <c r="BJ202" s="158"/>
    </row>
    <row r="203" spans="1:62" ht="15.75" customHeight="1">
      <c r="D203" s="1533" t="str">
        <f>"Less tax-exempt earnings" &amp; IF(Taxable_Adj2=0, " (" &amp; TaxEx_Taxable*100 &amp; "% of Taxable) ","")</f>
        <v xml:space="preserve">Less tax-exempt earnings (50% of Taxable) </v>
      </c>
      <c r="E203" s="1614">
        <f>IF(Taxable_Adj2=0,-Details!F170,Taxable_Adj2)</f>
        <v>2900</v>
      </c>
      <c r="F203" s="462">
        <v>0</v>
      </c>
      <c r="G203" s="1528"/>
      <c r="H203" s="1528"/>
      <c r="N203" s="1052" t="s">
        <v>674</v>
      </c>
      <c r="P203" s="537">
        <f>+P200+P202</f>
        <v>62700</v>
      </c>
      <c r="R203" s="934" t="s">
        <v>195</v>
      </c>
      <c r="S203" s="260"/>
      <c r="T203" s="622">
        <v>35000</v>
      </c>
      <c r="V203" s="183" t="s">
        <v>66</v>
      </c>
      <c r="W203" s="1526" t="s">
        <v>1992</v>
      </c>
      <c r="X203" s="1621">
        <f>+Details!F151</f>
        <v>0</v>
      </c>
      <c r="Y203" s="86">
        <v>149</v>
      </c>
      <c r="AA203" s="158"/>
      <c r="AB203" t="s">
        <v>1382</v>
      </c>
      <c r="AD203" s="31">
        <v>1000</v>
      </c>
      <c r="AE203" s="31">
        <f>+AD203*0.5*AD192</f>
        <v>0</v>
      </c>
      <c r="AG203" s="305">
        <f>+AG200*AG202</f>
        <v>2146.4646464646466</v>
      </c>
      <c r="AH203" t="s">
        <v>1387</v>
      </c>
      <c r="AI203" s="158"/>
      <c r="AJ203" s="158"/>
      <c r="AM203" s="158"/>
      <c r="AN203" s="158"/>
      <c r="AO203" s="158"/>
      <c r="AP203" s="158"/>
      <c r="AQ203" s="158"/>
      <c r="AR203" s="158"/>
      <c r="AS203" s="158"/>
      <c r="AT203" s="158"/>
      <c r="AU203" s="158"/>
      <c r="AV203" s="158"/>
      <c r="AW203" s="387"/>
      <c r="AX203" s="387"/>
      <c r="AY203" s="387"/>
      <c r="AZ203" s="387"/>
      <c r="BA203" s="387"/>
      <c r="BB203" s="158"/>
      <c r="BC203" s="158"/>
      <c r="BD203" s="158"/>
      <c r="BF203" s="158"/>
      <c r="BG203" s="158"/>
      <c r="BH203" s="158"/>
      <c r="BI203" s="158"/>
      <c r="BJ203" s="158"/>
    </row>
    <row r="204" spans="1:62" ht="15.75" customHeight="1">
      <c r="B204" s="1131"/>
      <c r="D204" s="1533" t="s">
        <v>2034</v>
      </c>
      <c r="E204" s="62">
        <f>E202-E203</f>
        <v>6700</v>
      </c>
      <c r="F204" s="1613"/>
      <c r="G204" s="1528"/>
      <c r="H204" s="1528"/>
      <c r="N204" s="691" t="s">
        <v>1768</v>
      </c>
      <c r="P204" s="537">
        <f>HLOOKUP($P$192,$E$351:$BE$371,15,TRUE)</f>
        <v>-25000</v>
      </c>
      <c r="R204" s="1419" t="s">
        <v>1927</v>
      </c>
      <c r="S204" s="1"/>
      <c r="U204" s="1350">
        <f>+'Tax Tables'!AA417</f>
        <v>29750</v>
      </c>
      <c r="V204" s="183" t="s">
        <v>67</v>
      </c>
      <c r="W204" s="1526" t="s">
        <v>1993</v>
      </c>
      <c r="X204" s="88">
        <f>+Details!F165</f>
        <v>0</v>
      </c>
      <c r="Y204" s="86">
        <v>163</v>
      </c>
      <c r="Z204" s="245" t="s">
        <v>2048</v>
      </c>
      <c r="AA204" s="158"/>
      <c r="AB204" t="s">
        <v>728</v>
      </c>
      <c r="AD204" s="31"/>
      <c r="AE204" s="31"/>
      <c r="AG204">
        <v>46.67</v>
      </c>
      <c r="AH204" t="s">
        <v>1391</v>
      </c>
      <c r="AI204" s="158"/>
      <c r="AJ204" s="158"/>
      <c r="AM204" s="158"/>
      <c r="AN204" s="158"/>
      <c r="AO204" s="158"/>
      <c r="AP204" s="158"/>
      <c r="AQ204" s="158"/>
      <c r="AR204" s="158"/>
      <c r="AS204" s="158"/>
      <c r="AT204" s="158"/>
      <c r="AU204" s="158"/>
      <c r="AV204" s="158"/>
      <c r="AW204" s="387"/>
      <c r="AX204" s="387"/>
      <c r="AY204" s="387"/>
      <c r="AZ204" s="387"/>
      <c r="BA204" s="387"/>
      <c r="BB204" s="158"/>
      <c r="BC204" s="158"/>
      <c r="BD204" s="158"/>
      <c r="BF204" s="158"/>
      <c r="BG204" s="158"/>
      <c r="BH204" s="158"/>
      <c r="BI204" s="158"/>
      <c r="BJ204" s="158"/>
    </row>
    <row r="205" spans="1:62" ht="15.75" customHeight="1">
      <c r="D205" s="1533" t="s">
        <v>2041</v>
      </c>
      <c r="E205" s="462">
        <v>2700</v>
      </c>
      <c r="F205" s="1722">
        <f>1-Taxable_Tax_Rate</f>
        <v>0.4</v>
      </c>
      <c r="G205" s="1528"/>
      <c r="H205" s="1528"/>
      <c r="N205" s="689" t="s">
        <v>2036</v>
      </c>
      <c r="P205" s="768">
        <f>HLOOKUP($P$192,$E$351:$BE$371,16,TRUE)</f>
        <v>-2000</v>
      </c>
      <c r="R205" s="415" t="s">
        <v>1728</v>
      </c>
      <c r="S205" s="260"/>
      <c r="U205" s="622">
        <v>0</v>
      </c>
      <c r="V205" s="880">
        <v>21</v>
      </c>
      <c r="W205" s="183"/>
      <c r="X205" s="884" t="s">
        <v>303</v>
      </c>
      <c r="Y205" s="86"/>
      <c r="Z205" s="245" t="s">
        <v>2048</v>
      </c>
      <c r="AA205" s="158"/>
      <c r="AB205" t="s">
        <v>1384</v>
      </c>
      <c r="AD205" s="31"/>
      <c r="AE205" s="31"/>
      <c r="AG205" s="44">
        <f>(+AG204-AG199)/AG199</f>
        <v>0.30948372615039282</v>
      </c>
      <c r="AH205" t="s">
        <v>1394</v>
      </c>
      <c r="AI205" s="158"/>
      <c r="AJ205" s="158"/>
      <c r="AM205" s="158"/>
      <c r="AN205" s="158"/>
      <c r="AO205" s="158"/>
      <c r="AP205" s="158"/>
      <c r="AQ205" s="158"/>
      <c r="AR205" s="158"/>
      <c r="AS205" s="158"/>
      <c r="AT205" s="158"/>
      <c r="AU205" s="158"/>
      <c r="AV205" s="158"/>
      <c r="AW205" s="387"/>
      <c r="AX205" s="387"/>
      <c r="AY205" s="387"/>
      <c r="AZ205" s="387"/>
      <c r="BA205" s="387"/>
      <c r="BB205" s="158"/>
      <c r="BC205" s="158"/>
      <c r="BD205" s="158"/>
      <c r="BF205" s="158"/>
      <c r="BG205" s="158"/>
      <c r="BH205" s="158"/>
      <c r="BI205" s="158"/>
      <c r="BJ205" s="158"/>
    </row>
    <row r="206" spans="1:62" ht="16.95" customHeight="1">
      <c r="D206" s="454" t="s">
        <v>2044</v>
      </c>
      <c r="E206" s="462">
        <v>2000</v>
      </c>
      <c r="F206" s="1722">
        <f>IF(E204=0,0,ROUND(E206/E204,2))</f>
        <v>0.3</v>
      </c>
      <c r="G206" s="1528"/>
      <c r="H206" s="1528"/>
      <c r="N206" s="630" t="s">
        <v>90</v>
      </c>
      <c r="P206" s="537">
        <f>IF(+P203+P204+P205&lt;0,0,+P203+P204+P205)</f>
        <v>35700</v>
      </c>
      <c r="R206" s="415" t="s">
        <v>1729</v>
      </c>
      <c r="S206" s="260"/>
      <c r="U206" s="88">
        <f>+U193+U194+U196+U198+U200+U199+U201+U202+U204+U205</f>
        <v>144750</v>
      </c>
      <c r="V206" s="183">
        <v>22</v>
      </c>
      <c r="W206" s="183">
        <v>15</v>
      </c>
      <c r="X206" s="88">
        <f>+X193+X196+X201+X202+X204</f>
        <v>62700</v>
      </c>
      <c r="Y206" s="86"/>
      <c r="AA206" s="158"/>
      <c r="AD206" s="31"/>
      <c r="AE206" s="31"/>
      <c r="AG206" s="44">
        <f>+AG202/AG201</f>
        <v>2.8058361391694726E-2</v>
      </c>
      <c r="AH206" t="s">
        <v>1395</v>
      </c>
      <c r="AI206" s="158"/>
      <c r="AJ206" s="158"/>
      <c r="AK206" s="158"/>
      <c r="AM206" s="158"/>
      <c r="AN206" s="158"/>
      <c r="AO206" s="158"/>
      <c r="AP206" s="158"/>
      <c r="AQ206" s="158"/>
      <c r="AR206" s="158"/>
      <c r="AS206" s="158"/>
      <c r="AT206" s="158"/>
      <c r="AU206" s="158"/>
      <c r="AV206" s="158"/>
      <c r="AW206" s="387"/>
      <c r="AX206" s="387"/>
      <c r="AY206" s="387"/>
      <c r="AZ206" s="387"/>
      <c r="BA206" s="387"/>
      <c r="BB206" s="158"/>
      <c r="BC206" s="158"/>
      <c r="BD206" s="158"/>
      <c r="BF206" s="158"/>
      <c r="BG206" s="158"/>
      <c r="BH206" s="158"/>
      <c r="BI206" s="158"/>
      <c r="BJ206" s="158"/>
    </row>
    <row r="207" spans="1:62" ht="15.75" customHeight="1">
      <c r="D207" s="672"/>
      <c r="E207" s="1624" t="str">
        <f>IF(Taxable_Adj4&gt;Taxable_Adj3,"Error: exclude amount must be less distributed amount",".")</f>
        <v>.</v>
      </c>
      <c r="F207" s="1617">
        <f>IF(E204=0,0,1-ROUND(E205/E204,2))</f>
        <v>0.6</v>
      </c>
      <c r="R207" s="1419" t="s">
        <v>1033</v>
      </c>
      <c r="S207" s="260"/>
      <c r="U207" s="885">
        <v>0</v>
      </c>
      <c r="V207" s="880">
        <v>36</v>
      </c>
      <c r="W207" s="183">
        <v>20</v>
      </c>
      <c r="X207" s="301" t="s">
        <v>303</v>
      </c>
      <c r="Y207" s="86"/>
      <c r="Z207" s="327"/>
      <c r="AA207" s="158"/>
      <c r="AD207" s="31"/>
      <c r="AE207" s="31">
        <v>100000</v>
      </c>
      <c r="AG207" s="242">
        <f>+AG205+AG206</f>
        <v>0.33754208754208753</v>
      </c>
      <c r="AH207" t="s">
        <v>1396</v>
      </c>
      <c r="AI207" s="158"/>
      <c r="AJ207" s="158"/>
      <c r="AK207" s="158"/>
      <c r="AM207" s="158"/>
      <c r="AN207" s="158"/>
      <c r="AO207" s="158"/>
      <c r="AP207" s="158"/>
      <c r="AQ207" s="158"/>
      <c r="AR207" s="158"/>
      <c r="AS207" s="158"/>
      <c r="AT207" s="158"/>
      <c r="AU207" s="158"/>
      <c r="AV207" s="158"/>
      <c r="AW207" s="387"/>
      <c r="AX207" s="387"/>
      <c r="AY207" s="387"/>
      <c r="AZ207" s="387"/>
      <c r="BA207" s="387"/>
      <c r="BB207" s="158"/>
      <c r="BC207" s="158"/>
      <c r="BD207" s="158"/>
      <c r="BF207" s="158"/>
      <c r="BG207" s="158"/>
      <c r="BH207" s="158"/>
      <c r="BI207" s="158"/>
      <c r="BJ207" s="158"/>
    </row>
    <row r="208" spans="1:62" ht="15.75" customHeight="1" thickBot="1">
      <c r="D208" s="659" t="s">
        <v>113</v>
      </c>
      <c r="H208" s="659" t="s">
        <v>1883</v>
      </c>
      <c r="N208" s="817" t="s">
        <v>621</v>
      </c>
      <c r="O208" s="817"/>
      <c r="P208" s="817"/>
      <c r="R208" s="1419" t="s">
        <v>1961</v>
      </c>
      <c r="U208" s="1522" t="s">
        <v>303</v>
      </c>
      <c r="X208" s="38">
        <f>+Details!F181</f>
        <v>0</v>
      </c>
      <c r="Y208" s="86">
        <v>179</v>
      </c>
      <c r="Z208" s="245"/>
      <c r="AA208" s="140"/>
      <c r="AB208" t="s">
        <v>1730</v>
      </c>
      <c r="AD208" s="31"/>
      <c r="AE208" s="44">
        <v>0.23</v>
      </c>
      <c r="AG208">
        <v>21.8</v>
      </c>
      <c r="AH208" t="s">
        <v>1397</v>
      </c>
      <c r="AI208" s="140"/>
      <c r="AJ208" s="140"/>
      <c r="AK208" s="821"/>
      <c r="AM208" s="140"/>
      <c r="AN208" s="140"/>
      <c r="AO208" s="140"/>
      <c r="AP208" s="140"/>
      <c r="AQ208" s="140"/>
      <c r="AR208" s="140"/>
      <c r="AS208" s="140"/>
      <c r="AT208" s="140"/>
      <c r="AU208" s="140"/>
      <c r="AV208" s="140"/>
      <c r="AW208" s="777"/>
      <c r="AX208" s="777"/>
      <c r="AY208" s="777"/>
      <c r="AZ208" s="777"/>
      <c r="BA208" s="777"/>
      <c r="BB208" s="140"/>
      <c r="BC208" s="140"/>
      <c r="BD208" s="140"/>
      <c r="BF208" s="140"/>
      <c r="BG208" s="140"/>
      <c r="BH208" s="140"/>
      <c r="BI208" s="140"/>
      <c r="BJ208" s="140"/>
    </row>
    <row r="209" spans="2:62" ht="16.2" customHeight="1">
      <c r="D209" s="8" t="s">
        <v>1510</v>
      </c>
      <c r="E209" s="828" t="s">
        <v>1136</v>
      </c>
      <c r="G209" s="1455" t="s">
        <v>1964</v>
      </c>
      <c r="H209" s="31">
        <f>+Details!E211</f>
        <v>0</v>
      </c>
      <c r="N209" s="691" t="s">
        <v>675</v>
      </c>
      <c r="P209" s="537">
        <f>HLOOKUP($P$192,$E$351:$BE$371,18,TRUE)</f>
        <v>78900</v>
      </c>
      <c r="R209" s="720" t="s">
        <v>1541</v>
      </c>
      <c r="S209" s="260"/>
      <c r="U209" s="88">
        <f>+U206-U207</f>
        <v>144750</v>
      </c>
      <c r="V209" s="183">
        <v>37</v>
      </c>
      <c r="W209" s="183">
        <v>21</v>
      </c>
      <c r="X209" s="88">
        <f>+X206+X208</f>
        <v>62700</v>
      </c>
      <c r="Y209" s="86"/>
      <c r="Z209" s="245"/>
      <c r="AA209" s="140"/>
      <c r="AB209" t="s">
        <v>729</v>
      </c>
      <c r="AD209" s="31"/>
      <c r="AE209" s="31">
        <f>+AE207*AE208</f>
        <v>23000</v>
      </c>
      <c r="AG209" s="44">
        <f>(+AG204-AG208)/AG208/5</f>
        <v>0.22816513761467888</v>
      </c>
      <c r="AH209" t="s">
        <v>1399</v>
      </c>
      <c r="AI209" s="140"/>
      <c r="AJ209" s="140"/>
      <c r="AM209" s="140"/>
      <c r="AN209" s="140"/>
      <c r="AO209" s="140"/>
      <c r="AP209" s="140"/>
      <c r="AQ209" s="140"/>
      <c r="AR209" s="140"/>
      <c r="AS209" s="140"/>
      <c r="AT209" s="140"/>
      <c r="AU209" s="140"/>
      <c r="AV209" s="140"/>
      <c r="AW209" s="777"/>
      <c r="AX209" s="777"/>
      <c r="AY209" s="777"/>
      <c r="AZ209" s="777"/>
      <c r="BA209" s="777"/>
      <c r="BB209" s="140"/>
      <c r="BC209" s="140"/>
      <c r="BD209" s="140"/>
      <c r="BF209" s="140"/>
      <c r="BG209" s="140"/>
      <c r="BH209" s="140"/>
      <c r="BI209" s="140"/>
      <c r="BJ209" s="140"/>
    </row>
    <row r="210" spans="2:62" ht="18" customHeight="1" thickBot="1">
      <c r="E210" s="1611" t="s">
        <v>1178</v>
      </c>
      <c r="F210" s="627"/>
      <c r="G210" s="1591" t="s">
        <v>1179</v>
      </c>
      <c r="H210" s="1548"/>
      <c r="N210" s="691" t="s">
        <v>676</v>
      </c>
      <c r="P210" s="537">
        <f>HLOOKUP($P$192,$E$351:$BE$371,19,TRUE)</f>
        <v>-70000</v>
      </c>
      <c r="R210" s="1419" t="s">
        <v>1951</v>
      </c>
      <c r="S210" s="260"/>
      <c r="U210" s="622">
        <v>24000</v>
      </c>
      <c r="V210" s="183">
        <v>40</v>
      </c>
      <c r="W210" s="183">
        <v>24</v>
      </c>
      <c r="X210" s="88">
        <f>-Details!F188</f>
        <v>25000</v>
      </c>
      <c r="Y210" s="86">
        <v>186</v>
      </c>
      <c r="Z210" s="245" t="s">
        <v>2048</v>
      </c>
      <c r="AA210" s="140"/>
      <c r="AB210" t="s">
        <v>195</v>
      </c>
      <c r="AD210" s="31"/>
      <c r="AE210" s="44">
        <v>0.03</v>
      </c>
      <c r="AG210">
        <v>23892</v>
      </c>
      <c r="AH210" t="s">
        <v>1393</v>
      </c>
      <c r="AI210" s="140"/>
      <c r="AJ210" s="140"/>
      <c r="AM210" s="140"/>
      <c r="AN210" s="140"/>
      <c r="AO210" s="140"/>
      <c r="AP210" s="140"/>
      <c r="AQ210" s="140"/>
      <c r="AR210" s="140"/>
      <c r="AS210" s="140"/>
      <c r="AT210" s="140"/>
      <c r="AU210" s="140"/>
      <c r="AV210" s="140"/>
      <c r="AW210" s="777"/>
      <c r="AX210" s="777"/>
      <c r="AY210" s="777"/>
      <c r="AZ210" s="777"/>
      <c r="BA210" s="777"/>
      <c r="BB210" s="140"/>
      <c r="BC210" s="140"/>
      <c r="BD210" s="140"/>
      <c r="BF210" s="140"/>
      <c r="BG210" s="140"/>
      <c r="BH210" s="140"/>
      <c r="BI210" s="140"/>
      <c r="BJ210" s="140"/>
    </row>
    <row r="211" spans="2:62" ht="15.45" customHeight="1">
      <c r="D211" s="265" t="s">
        <v>699</v>
      </c>
      <c r="E211" s="512">
        <v>0.01</v>
      </c>
      <c r="F211" s="1130"/>
      <c r="G211" s="512">
        <v>0.02</v>
      </c>
      <c r="I211" s="636" t="str">
        <f>IF(State_Method="percent","using","")</f>
        <v/>
      </c>
      <c r="N211" s="691" t="s">
        <v>677</v>
      </c>
      <c r="P211" s="537">
        <f>HLOOKUP($P$192,$E$351:$BE$371,20,TRUE)</f>
        <v>-3900</v>
      </c>
      <c r="R211" s="415" t="s">
        <v>1246</v>
      </c>
      <c r="S211" s="260"/>
      <c r="U211" s="622">
        <v>0</v>
      </c>
      <c r="V211" s="183">
        <v>42</v>
      </c>
      <c r="W211" s="183">
        <v>26</v>
      </c>
      <c r="X211" s="38">
        <f>-Details!F187</f>
        <v>0</v>
      </c>
      <c r="Y211" s="86">
        <v>185</v>
      </c>
      <c r="Z211" s="245" t="s">
        <v>2048</v>
      </c>
      <c r="AA211" s="140"/>
      <c r="AB211" t="s">
        <v>730</v>
      </c>
      <c r="AD211" s="31"/>
      <c r="AE211" s="31">
        <f>+AE207*AE210</f>
        <v>3000</v>
      </c>
      <c r="AG211" s="44">
        <f>(+AG210-10000)/10000/5</f>
        <v>0.27783999999999998</v>
      </c>
      <c r="AH211" t="s">
        <v>1398</v>
      </c>
      <c r="AI211" s="140"/>
      <c r="AJ211" s="140"/>
      <c r="AM211" s="140"/>
      <c r="AN211" s="140"/>
      <c r="AO211" s="140"/>
      <c r="AP211" s="140"/>
      <c r="AQ211" s="140"/>
      <c r="AR211" s="140"/>
      <c r="AS211" s="140"/>
      <c r="AT211" s="140"/>
      <c r="AU211" s="140"/>
      <c r="AV211" s="140"/>
      <c r="AW211" s="777"/>
      <c r="AX211" s="777"/>
      <c r="AY211" s="777"/>
      <c r="AZ211" s="777"/>
      <c r="BA211" s="777"/>
      <c r="BB211" s="140"/>
      <c r="BC211" s="140"/>
      <c r="BD211" s="140"/>
      <c r="BF211" s="140"/>
      <c r="BG211" s="140"/>
      <c r="BH211" s="140"/>
      <c r="BI211" s="140"/>
      <c r="BJ211" s="140"/>
    </row>
    <row r="212" spans="2:62" ht="15.45" customHeight="1">
      <c r="D212" s="17" t="s">
        <v>1064</v>
      </c>
      <c r="F212" s="1"/>
      <c r="G212" s="1066"/>
      <c r="H212" s="1592" t="s">
        <v>1449</v>
      </c>
      <c r="N212" s="691" t="s">
        <v>678</v>
      </c>
      <c r="P212" s="768">
        <f>HLOOKUP($P$192,$E$351:$BE$371,21,TRUE)</f>
        <v>-1100</v>
      </c>
      <c r="R212" s="720" t="s">
        <v>751</v>
      </c>
      <c r="S212" s="260"/>
      <c r="U212" s="88">
        <f>+U209-U210-U211</f>
        <v>120750</v>
      </c>
      <c r="V212" s="183">
        <v>43</v>
      </c>
      <c r="W212" s="183">
        <v>27</v>
      </c>
      <c r="X212" s="88">
        <f>+X209-X210-X211</f>
        <v>37700</v>
      </c>
      <c r="Y212" s="86"/>
      <c r="Z212" s="245" t="s">
        <v>2048</v>
      </c>
      <c r="AA212" s="140"/>
      <c r="AE212" s="31">
        <f>+AE209-AE211</f>
        <v>20000</v>
      </c>
      <c r="AI212" s="140"/>
      <c r="AJ212" s="140"/>
      <c r="AM212" s="140"/>
      <c r="AN212" s="140"/>
      <c r="AO212" s="140"/>
      <c r="AP212" s="140"/>
      <c r="AQ212" s="140"/>
      <c r="AR212" s="140"/>
      <c r="AS212" s="140"/>
      <c r="AT212" s="140"/>
      <c r="AU212" s="140"/>
      <c r="AV212" s="140"/>
      <c r="AW212" s="777"/>
      <c r="AX212" s="777"/>
      <c r="AY212" s="777"/>
      <c r="AZ212" s="777"/>
      <c r="BA212" s="777"/>
      <c r="BB212" s="140"/>
      <c r="BC212" s="140"/>
      <c r="BD212" s="140"/>
      <c r="BF212" s="140"/>
      <c r="BG212" s="140"/>
      <c r="BH212" s="140"/>
      <c r="BI212" s="140"/>
      <c r="BJ212" s="140"/>
    </row>
    <row r="213" spans="2:62" ht="16.2" customHeight="1">
      <c r="D213" s="8" t="s">
        <v>1088</v>
      </c>
      <c r="E213" s="462" t="s">
        <v>1133</v>
      </c>
      <c r="F213" s="460"/>
      <c r="G213" s="888" t="s">
        <v>851</v>
      </c>
      <c r="H213" s="527">
        <v>84</v>
      </c>
      <c r="I213" s="927" t="str">
        <f>IF(State_Move_Age&lt;&gt;0," using","")</f>
        <v xml:space="preserve"> using</v>
      </c>
      <c r="N213" s="691" t="s">
        <v>679</v>
      </c>
      <c r="P213" s="538">
        <f>+P209+P210+P211+P212</f>
        <v>3900</v>
      </c>
      <c r="R213" s="1419" t="s">
        <v>1966</v>
      </c>
      <c r="S213" s="1"/>
      <c r="U213" s="88">
        <f>+'Tax Tables'!H436</f>
        <v>17807</v>
      </c>
      <c r="V213" s="183">
        <v>44</v>
      </c>
      <c r="W213" s="183">
        <v>30</v>
      </c>
      <c r="X213" s="88">
        <f>+Details!F202</f>
        <v>3900</v>
      </c>
      <c r="Y213" s="86">
        <v>200</v>
      </c>
      <c r="Z213" s="245"/>
      <c r="AA213" s="140"/>
      <c r="AB213" t="s">
        <v>537</v>
      </c>
      <c r="AE213" s="44">
        <f>+AE212/AE209</f>
        <v>0.86956521739130432</v>
      </c>
      <c r="AI213" s="140"/>
      <c r="AJ213" s="140"/>
      <c r="AM213" s="140"/>
      <c r="AN213" s="140"/>
      <c r="AO213" s="140"/>
      <c r="AP213" s="140"/>
      <c r="AQ213" s="140"/>
      <c r="AR213" s="140"/>
      <c r="AS213" s="140"/>
      <c r="AT213" s="140"/>
      <c r="AU213" s="140"/>
      <c r="AV213" s="140"/>
      <c r="AW213" s="777"/>
      <c r="AX213" s="777"/>
      <c r="AY213" s="777"/>
      <c r="AZ213" s="777"/>
      <c r="BA213" s="777"/>
      <c r="BB213" s="140"/>
      <c r="BC213" s="140"/>
      <c r="BD213" s="140"/>
      <c r="BF213" s="140"/>
      <c r="BG213" s="140"/>
      <c r="BH213" s="140"/>
      <c r="BI213" s="140"/>
      <c r="BJ213" s="140"/>
    </row>
    <row r="214" spans="2:62" ht="18" customHeight="1">
      <c r="B214" s="1418" t="s">
        <v>2331</v>
      </c>
      <c r="D214" s="8" t="s">
        <v>528</v>
      </c>
      <c r="E214" s="1494">
        <v>1</v>
      </c>
      <c r="F214" s="460"/>
      <c r="G214" s="1720">
        <v>0.5</v>
      </c>
      <c r="H214" s="926" t="str">
        <f>IF(H213=0,"","in " &amp; H213-Your_Age+First_Year)</f>
        <v>in 2041</v>
      </c>
      <c r="I214" s="636"/>
      <c r="J214" s="1343"/>
      <c r="K214" s="1"/>
      <c r="L214" s="70"/>
      <c r="M214" s="1"/>
      <c r="R214" s="1419" t="s">
        <v>1968</v>
      </c>
      <c r="U214" s="622">
        <v>0</v>
      </c>
      <c r="V214" s="880" t="s">
        <v>1943</v>
      </c>
      <c r="W214" s="183"/>
      <c r="X214" s="140"/>
      <c r="Y214" s="140"/>
      <c r="Z214" s="245"/>
      <c r="AA214" s="140"/>
      <c r="AB214" s="140"/>
      <c r="AC214" s="140"/>
      <c r="AD214" s="140"/>
      <c r="AE214" s="140"/>
      <c r="AF214" s="140"/>
      <c r="AG214" s="140"/>
      <c r="AH214" s="140"/>
      <c r="AI214" s="140"/>
      <c r="AJ214" s="140"/>
      <c r="AM214" s="140"/>
      <c r="AN214" s="140"/>
      <c r="AO214" s="140"/>
      <c r="AP214" s="140"/>
      <c r="AQ214" s="140"/>
      <c r="AR214" s="140"/>
      <c r="AS214" s="140"/>
      <c r="AT214" s="140"/>
      <c r="AU214" s="140"/>
      <c r="AV214" s="140"/>
      <c r="AW214" s="777"/>
      <c r="AX214" s="777"/>
      <c r="AY214" s="777"/>
      <c r="AZ214" s="777"/>
      <c r="BA214" s="777"/>
      <c r="BB214" s="140"/>
      <c r="BC214" s="140"/>
      <c r="BD214" s="140"/>
      <c r="BF214" s="140"/>
      <c r="BG214" s="140"/>
      <c r="BH214" s="140"/>
      <c r="BI214" s="140"/>
      <c r="BJ214" s="140"/>
    </row>
    <row r="215" spans="2:62" ht="15.45" customHeight="1">
      <c r="D215" s="8" t="s">
        <v>1484</v>
      </c>
      <c r="E215" s="1494">
        <v>1</v>
      </c>
      <c r="F215" s="890"/>
      <c r="G215" s="1721">
        <v>0</v>
      </c>
      <c r="H215" s="875"/>
      <c r="I215" s="636"/>
      <c r="J215" s="930"/>
      <c r="K215" s="1"/>
      <c r="L215" s="150"/>
      <c r="M215" s="1"/>
      <c r="R215" s="634" t="s">
        <v>1967</v>
      </c>
      <c r="S215" s="1"/>
      <c r="U215" s="885">
        <v>0</v>
      </c>
      <c r="V215" s="880">
        <v>55</v>
      </c>
      <c r="W215" s="183">
        <v>37</v>
      </c>
      <c r="Z215" s="245"/>
      <c r="AA215" s="140"/>
      <c r="AB215" s="140"/>
      <c r="AC215" s="140"/>
      <c r="AD215" s="140"/>
      <c r="AE215" s="140"/>
      <c r="AF215" s="140"/>
      <c r="AG215" s="140"/>
      <c r="AH215" s="140"/>
      <c r="AI215" s="140"/>
      <c r="AJ215" s="140"/>
      <c r="AM215" s="140"/>
      <c r="AN215" s="140"/>
      <c r="AO215" s="140"/>
      <c r="AP215" s="140"/>
      <c r="AQ215" s="140"/>
      <c r="AR215" s="140"/>
      <c r="AS215" s="140"/>
      <c r="AT215" s="140"/>
      <c r="AU215" s="140"/>
      <c r="AV215" s="140"/>
      <c r="AW215" s="777"/>
      <c r="AX215" s="777"/>
      <c r="AY215" s="777"/>
      <c r="AZ215" s="777"/>
      <c r="BA215" s="777"/>
      <c r="BB215" s="140"/>
      <c r="BC215" s="140"/>
      <c r="BD215" s="140"/>
      <c r="BF215" s="140"/>
      <c r="BG215" s="140"/>
      <c r="BH215" s="140"/>
      <c r="BI215" s="140"/>
      <c r="BJ215" s="140"/>
    </row>
    <row r="216" spans="2:62" ht="15.45" customHeight="1">
      <c r="D216" s="17" t="s">
        <v>1065</v>
      </c>
      <c r="E216" s="1448"/>
      <c r="F216" s="1116"/>
      <c r="G216" s="1067"/>
      <c r="H216" s="273"/>
      <c r="I216" s="636"/>
      <c r="J216" s="91"/>
      <c r="K216" s="1"/>
      <c r="L216" s="163"/>
      <c r="M216" s="163"/>
      <c r="R216" s="634" t="s">
        <v>1971</v>
      </c>
      <c r="U216" s="31">
        <f>IF(+U213+U214-U215&lt;0,0,+U213+U214-U215)</f>
        <v>17807</v>
      </c>
      <c r="V216" s="183">
        <v>56</v>
      </c>
      <c r="W216" s="183">
        <v>37</v>
      </c>
      <c r="X216" s="140"/>
      <c r="Y216" s="140"/>
      <c r="Z216" s="245"/>
      <c r="AA216" s="140"/>
      <c r="AD216" s="1533" t="s">
        <v>2000</v>
      </c>
      <c r="AE216" s="114">
        <f>1-AE217</f>
        <v>0.12450592885375489</v>
      </c>
      <c r="AH216" s="140"/>
      <c r="AI216" s="140"/>
      <c r="AJ216" s="140"/>
      <c r="AM216" s="140"/>
      <c r="AN216" s="140"/>
      <c r="AO216" s="140"/>
      <c r="AP216" s="140"/>
      <c r="AQ216" s="140"/>
      <c r="AR216" s="140"/>
      <c r="AS216" s="140"/>
      <c r="AT216" s="140"/>
      <c r="AU216" s="140"/>
      <c r="AV216" s="140"/>
      <c r="AW216" s="777"/>
      <c r="AX216" s="777"/>
      <c r="AY216" s="777"/>
      <c r="AZ216" s="777"/>
      <c r="BA216" s="777"/>
      <c r="BB216" s="140"/>
      <c r="BC216" s="140"/>
      <c r="BD216" s="140"/>
      <c r="BF216" s="140"/>
      <c r="BG216" s="140"/>
      <c r="BH216" s="140"/>
      <c r="BI216" s="140"/>
      <c r="BJ216" s="140"/>
    </row>
    <row r="217" spans="2:62" ht="15.45" customHeight="1">
      <c r="D217" s="8" t="s">
        <v>1212</v>
      </c>
      <c r="E217" s="462" t="s">
        <v>2232</v>
      </c>
      <c r="F217" s="924" t="str">
        <f>IF(State_Deduct="I"," itemized"," standard")</f>
        <v xml:space="preserve"> itemized</v>
      </c>
      <c r="G217" s="889" t="s">
        <v>1110</v>
      </c>
      <c r="H217" s="925" t="str">
        <f>IF(State2_Deduct="I"," itemized"," standard")</f>
        <v xml:space="preserve"> standard</v>
      </c>
      <c r="I217" s="231"/>
      <c r="J217" s="930"/>
      <c r="K217" s="1"/>
      <c r="L217" s="1"/>
      <c r="M217" s="1"/>
      <c r="R217" s="634" t="s">
        <v>1969</v>
      </c>
      <c r="U217" s="622">
        <v>0</v>
      </c>
      <c r="V217" s="880" t="s">
        <v>1970</v>
      </c>
      <c r="W217" s="183">
        <v>38</v>
      </c>
      <c r="Y217" s="140"/>
      <c r="Z217" s="245"/>
      <c r="AA217" s="140"/>
      <c r="AB217" s="140"/>
      <c r="AC217" s="633" t="s">
        <v>1999</v>
      </c>
      <c r="AE217" s="44">
        <f>((U194+U196+U199-T197)*U221+(T197+U200)*U222)/((U194+U196+U199+U200)*U221)</f>
        <v>0.87549407114624511</v>
      </c>
      <c r="AG217" s="140"/>
      <c r="AH217" s="140"/>
      <c r="AI217" s="140"/>
      <c r="AJ217" s="140"/>
      <c r="AM217" s="140"/>
      <c r="AN217" s="140"/>
      <c r="AO217" s="140"/>
      <c r="AP217" s="140"/>
      <c r="AQ217" s="140"/>
      <c r="AR217" s="140"/>
      <c r="AS217" s="140"/>
      <c r="AT217" s="140"/>
      <c r="AU217" s="140"/>
      <c r="AV217" s="140"/>
      <c r="AW217" s="777"/>
      <c r="AX217" s="777"/>
      <c r="AY217" s="777"/>
      <c r="AZ217" s="777"/>
      <c r="BA217" s="777"/>
      <c r="BB217" s="140"/>
      <c r="BC217" s="140"/>
      <c r="BD217" s="140"/>
      <c r="BF217" s="140"/>
      <c r="BG217" s="140"/>
      <c r="BH217" s="140"/>
      <c r="BI217" s="140"/>
      <c r="BJ217" s="140"/>
    </row>
    <row r="218" spans="2:62" ht="15.45" customHeight="1">
      <c r="D218" s="8" t="s">
        <v>857</v>
      </c>
      <c r="E218" s="462">
        <v>5000</v>
      </c>
      <c r="F218" s="891"/>
      <c r="G218" s="889">
        <v>6000</v>
      </c>
      <c r="H218" s="743"/>
      <c r="J218" s="91"/>
      <c r="K218" s="1"/>
      <c r="L218" s="150"/>
      <c r="M218" s="150"/>
      <c r="R218" s="424" t="s">
        <v>255</v>
      </c>
      <c r="U218" s="31">
        <f>+U216+U217</f>
        <v>17807</v>
      </c>
      <c r="V218" s="183">
        <v>63</v>
      </c>
      <c r="W218" s="183">
        <v>39</v>
      </c>
      <c r="X218" s="31">
        <f>+X213</f>
        <v>3900</v>
      </c>
      <c r="Y218" s="86">
        <v>200</v>
      </c>
      <c r="Z218" s="245"/>
      <c r="AA218" s="140"/>
      <c r="AB218" s="140"/>
      <c r="AC218" s="140"/>
      <c r="AD218" s="140"/>
      <c r="AE218" s="140"/>
      <c r="AF218" s="140"/>
      <c r="AG218" s="140"/>
      <c r="AH218" s="140"/>
      <c r="AI218" s="140"/>
      <c r="AJ218" s="140"/>
      <c r="AM218" s="140"/>
      <c r="AN218" s="140"/>
      <c r="AO218" s="140"/>
      <c r="AP218" s="140"/>
      <c r="AQ218" s="140"/>
      <c r="AR218" s="140"/>
      <c r="AS218" s="140"/>
      <c r="AT218" s="140"/>
      <c r="AU218" s="140"/>
      <c r="AV218" s="140"/>
      <c r="AW218" s="777"/>
      <c r="AX218" s="777"/>
      <c r="AY218" s="777"/>
      <c r="AZ218" s="777"/>
      <c r="BA218" s="777"/>
      <c r="BB218" s="140"/>
      <c r="BC218" s="140"/>
      <c r="BD218" s="140"/>
      <c r="BF218" s="140"/>
      <c r="BG218" s="140"/>
      <c r="BH218" s="140"/>
      <c r="BI218" s="140"/>
      <c r="BJ218" s="140"/>
    </row>
    <row r="219" spans="2:62" ht="15.45" customHeight="1">
      <c r="D219" s="8" t="s">
        <v>958</v>
      </c>
      <c r="E219" s="462">
        <v>2000</v>
      </c>
      <c r="F219" s="891"/>
      <c r="G219" s="889">
        <v>4000</v>
      </c>
      <c r="H219" s="743"/>
      <c r="P219" s="1"/>
      <c r="Q219" s="1"/>
      <c r="Z219" s="245"/>
      <c r="AA219" s="140"/>
      <c r="AB219" s="140"/>
      <c r="AC219" s="140"/>
      <c r="AD219" s="140"/>
      <c r="AE219" s="140"/>
      <c r="AF219" s="140"/>
      <c r="AG219" s="140"/>
      <c r="AH219" s="140"/>
      <c r="AI219" s="140"/>
      <c r="AJ219" s="140"/>
      <c r="AM219" s="140"/>
      <c r="AN219" s="140"/>
      <c r="AO219" s="140"/>
      <c r="AP219" s="140"/>
      <c r="AQ219" s="140"/>
      <c r="AR219" s="140"/>
      <c r="AS219" s="140"/>
      <c r="AT219" s="140"/>
      <c r="AU219" s="140"/>
      <c r="AV219" s="140"/>
      <c r="AW219" s="777"/>
      <c r="AX219" s="777"/>
      <c r="AY219" s="777"/>
      <c r="AZ219" s="777"/>
      <c r="BA219" s="777"/>
      <c r="BB219" s="140"/>
      <c r="BC219" s="140"/>
      <c r="BD219" s="140"/>
      <c r="BF219" s="140"/>
      <c r="BG219" s="140"/>
      <c r="BH219" s="140"/>
      <c r="BI219" s="140"/>
      <c r="BJ219" s="140"/>
    </row>
    <row r="220" spans="2:62" ht="15.45" customHeight="1">
      <c r="F220" s="791" t="s">
        <v>1038</v>
      </c>
      <c r="G220" s="1066"/>
      <c r="H220" s="791" t="s">
        <v>1038</v>
      </c>
      <c r="P220" s="1"/>
      <c r="Q220" s="1"/>
      <c r="R220" s="72" t="s">
        <v>1666</v>
      </c>
      <c r="S220" s="1"/>
      <c r="T220" s="3"/>
      <c r="U220" s="44">
        <f>+U218/U212</f>
        <v>0.14746997929606626</v>
      </c>
      <c r="V220" s="140"/>
      <c r="W220" s="140"/>
      <c r="X220" s="44">
        <f>+X213/X212</f>
        <v>0.10344827586206896</v>
      </c>
      <c r="Y220" s="140"/>
      <c r="Z220" s="245"/>
      <c r="AA220" s="140"/>
      <c r="AB220" s="140"/>
      <c r="AC220" s="140"/>
      <c r="AD220" s="140"/>
      <c r="AE220" s="140"/>
      <c r="AF220" s="140"/>
      <c r="AG220" s="140"/>
      <c r="AH220" s="140"/>
      <c r="AI220" s="140"/>
      <c r="AJ220" s="140"/>
      <c r="AM220" s="140"/>
      <c r="AN220" s="140"/>
      <c r="AO220" s="140"/>
      <c r="AP220" s="140"/>
      <c r="AQ220" s="140"/>
      <c r="AR220" s="140"/>
      <c r="AS220" s="140"/>
      <c r="AT220" s="140"/>
      <c r="AU220" s="140"/>
      <c r="AV220" s="140"/>
      <c r="AW220" s="777"/>
      <c r="AX220" s="777"/>
      <c r="AY220" s="777"/>
      <c r="AZ220" s="777"/>
      <c r="BA220" s="777"/>
      <c r="BB220" s="140"/>
      <c r="BC220" s="140"/>
      <c r="BD220" s="140"/>
      <c r="BF220" s="140"/>
      <c r="BG220" s="140"/>
      <c r="BH220" s="140"/>
      <c r="BI220" s="140"/>
      <c r="BJ220" s="140"/>
    </row>
    <row r="221" spans="2:62" ht="16.2" customHeight="1">
      <c r="D221" s="8" t="s">
        <v>959</v>
      </c>
      <c r="E221" s="1063">
        <v>0.02</v>
      </c>
      <c r="F221" s="655">
        <v>10000</v>
      </c>
      <c r="G221" s="1064">
        <v>0.05</v>
      </c>
      <c r="H221" s="461">
        <v>25000</v>
      </c>
      <c r="O221" s="877"/>
      <c r="P221" s="1"/>
      <c r="Q221" s="1"/>
      <c r="R221" s="72" t="s">
        <v>1667</v>
      </c>
      <c r="S221" s="1"/>
      <c r="U221" s="44">
        <f>+'Tax Tables'!H441</f>
        <v>0.22</v>
      </c>
      <c r="V221" s="140"/>
      <c r="W221" s="140"/>
      <c r="X221" s="44">
        <f>+Details!F204</f>
        <v>0.12</v>
      </c>
      <c r="Y221" s="140"/>
      <c r="AA221" s="140"/>
      <c r="AB221" s="140"/>
      <c r="AC221" s="140"/>
      <c r="AD221" s="140"/>
      <c r="AE221" s="140"/>
      <c r="AF221" s="140"/>
      <c r="AG221" s="140"/>
      <c r="AH221" s="140"/>
      <c r="AI221" s="140"/>
      <c r="AJ221" s="140"/>
      <c r="AM221" s="140"/>
      <c r="AN221" s="140"/>
      <c r="AO221" s="140"/>
      <c r="AP221" s="140"/>
      <c r="AQ221" s="140"/>
      <c r="AR221" s="140"/>
      <c r="AS221" s="140"/>
      <c r="AT221" s="140"/>
      <c r="AU221" s="140"/>
      <c r="AV221" s="140"/>
      <c r="AW221" s="777"/>
      <c r="AX221" s="777"/>
      <c r="AY221" s="777"/>
      <c r="AZ221" s="777"/>
      <c r="BA221" s="777"/>
      <c r="BB221" s="140"/>
      <c r="BC221" s="140"/>
      <c r="BD221" s="140"/>
      <c r="BF221" s="140"/>
      <c r="BG221" s="140"/>
      <c r="BH221" s="140"/>
      <c r="BI221" s="140"/>
      <c r="BJ221" s="140"/>
    </row>
    <row r="222" spans="2:62" ht="16.2" customHeight="1">
      <c r="D222" s="8" t="s">
        <v>960</v>
      </c>
      <c r="E222" s="1063">
        <v>0.03</v>
      </c>
      <c r="F222" s="892">
        <v>30000</v>
      </c>
      <c r="G222" s="1064">
        <v>7.0000000000000007E-2</v>
      </c>
      <c r="H222" s="462">
        <v>80000</v>
      </c>
      <c r="J222" s="136"/>
      <c r="K222" s="31"/>
      <c r="R222" s="633" t="s">
        <v>1998</v>
      </c>
      <c r="U222" s="44">
        <f>+'Tax Tables'!H442</f>
        <v>0.15</v>
      </c>
      <c r="X222" s="454" t="s">
        <v>27</v>
      </c>
      <c r="Y222" s="140"/>
      <c r="Z222" s="245"/>
      <c r="AA222" s="140"/>
      <c r="AB222" s="140"/>
      <c r="AC222" s="140"/>
      <c r="AD222" s="140"/>
      <c r="AE222" s="140"/>
      <c r="AF222" s="140"/>
      <c r="AG222" s="140"/>
      <c r="AH222" s="140"/>
      <c r="AI222" s="140"/>
      <c r="AJ222" s="140"/>
      <c r="AK222" s="140"/>
      <c r="AM222" s="140"/>
      <c r="AN222" s="140"/>
      <c r="AO222" s="140"/>
      <c r="AP222" s="140"/>
      <c r="AQ222" s="140"/>
      <c r="AR222" s="140"/>
      <c r="AS222" s="140"/>
      <c r="AT222" s="140"/>
      <c r="AU222" s="140"/>
      <c r="AV222" s="140"/>
      <c r="AW222" s="777"/>
      <c r="AX222" s="777"/>
      <c r="AY222" s="777"/>
      <c r="AZ222" s="777"/>
      <c r="BA222" s="777"/>
      <c r="BB222" s="140"/>
      <c r="BC222" s="140"/>
      <c r="BD222" s="140"/>
      <c r="BF222" s="140"/>
      <c r="BG222" s="140"/>
      <c r="BH222" s="140"/>
      <c r="BI222" s="140"/>
      <c r="BJ222" s="140"/>
    </row>
    <row r="223" spans="2:62" ht="15.45" customHeight="1">
      <c r="D223" s="8" t="s">
        <v>961</v>
      </c>
      <c r="E223" s="1063">
        <v>0.04</v>
      </c>
      <c r="F223" s="893"/>
      <c r="G223" s="1064">
        <v>0.08</v>
      </c>
      <c r="H223" s="826"/>
      <c r="I223" s="1"/>
      <c r="Y223" s="140"/>
      <c r="AA223" s="140"/>
      <c r="AB223" s="140"/>
      <c r="AC223" s="140"/>
      <c r="AD223" s="140"/>
      <c r="AE223" s="140"/>
      <c r="AF223" s="140"/>
      <c r="AG223" s="140"/>
      <c r="AH223" s="140"/>
      <c r="AI223" s="140"/>
      <c r="AJ223" s="140"/>
      <c r="AK223" s="140"/>
      <c r="AM223" s="140"/>
      <c r="AN223" s="140"/>
      <c r="AO223" s="140"/>
      <c r="AP223" s="140"/>
      <c r="AQ223" s="140"/>
      <c r="AR223" s="140"/>
      <c r="AS223" s="140"/>
      <c r="AT223" s="140"/>
      <c r="AU223" s="140"/>
      <c r="AV223" s="140"/>
      <c r="AW223" s="777"/>
      <c r="AX223" s="777"/>
      <c r="AY223" s="777"/>
      <c r="AZ223" s="777"/>
      <c r="BA223" s="777"/>
      <c r="BB223" s="140"/>
      <c r="BC223" s="140"/>
      <c r="BD223" s="140"/>
      <c r="BF223" s="140"/>
      <c r="BG223" s="140"/>
      <c r="BH223" s="140"/>
      <c r="BI223" s="140"/>
      <c r="BJ223" s="140"/>
    </row>
    <row r="224" spans="2:62" ht="17.399999999999999">
      <c r="D224" s="8" t="s">
        <v>606</v>
      </c>
      <c r="E224" s="652">
        <f>+Details!F227</f>
        <v>1100</v>
      </c>
      <c r="F224" s="1"/>
      <c r="G224" s="652">
        <f>IF(State_Move_Age=0,"not in use",HLOOKUP(H213,$E$349:$BE$392,37,TRUE))</f>
        <v>6700</v>
      </c>
      <c r="H224" s="636"/>
      <c r="L224" s="661"/>
      <c r="M224" s="1"/>
      <c r="N224" s="89"/>
      <c r="O224" s="89"/>
      <c r="P224" s="89"/>
      <c r="Q224" s="89"/>
      <c r="Y224" s="155"/>
      <c r="Z224" s="245" t="s">
        <v>2048</v>
      </c>
      <c r="AA224" s="155"/>
      <c r="AB224" s="155"/>
      <c r="AC224" s="155"/>
      <c r="AD224" s="155"/>
      <c r="AE224" s="155"/>
      <c r="AF224" s="155"/>
      <c r="AG224" s="155"/>
      <c r="AH224" s="155"/>
      <c r="AI224" s="155"/>
      <c r="AJ224" s="155"/>
      <c r="AK224" s="155"/>
      <c r="AM224" s="155"/>
      <c r="AN224" s="155"/>
      <c r="AO224" s="155"/>
      <c r="AP224" s="155"/>
      <c r="AQ224" s="155"/>
      <c r="AR224" s="155"/>
      <c r="AS224" s="155"/>
      <c r="AT224" s="155"/>
      <c r="AU224" s="155"/>
      <c r="AV224" s="155"/>
      <c r="AW224" s="780"/>
      <c r="AX224" s="780"/>
      <c r="AY224" s="780"/>
      <c r="AZ224" s="780"/>
      <c r="BA224" s="780"/>
      <c r="BB224" s="155"/>
      <c r="BC224" s="155"/>
      <c r="BD224" s="155"/>
      <c r="BF224" s="155"/>
      <c r="BG224" s="155"/>
      <c r="BH224" s="155"/>
      <c r="BI224" s="155"/>
      <c r="BJ224" s="155"/>
    </row>
    <row r="225" spans="1:62" ht="17.399999999999999">
      <c r="D225" s="8"/>
      <c r="E225" s="743"/>
      <c r="G225" s="743"/>
      <c r="H225" s="636"/>
      <c r="L225" s="769"/>
      <c r="M225" s="1"/>
      <c r="N225" s="89"/>
      <c r="O225" s="89"/>
      <c r="P225" s="179"/>
      <c r="Q225" s="89"/>
      <c r="R225" s="1265" t="s">
        <v>1995</v>
      </c>
      <c r="Y225" s="155"/>
      <c r="Z225" s="271"/>
      <c r="AA225" s="155"/>
      <c r="AB225" s="155"/>
      <c r="AC225" s="155"/>
      <c r="AD225" s="155"/>
      <c r="AE225" s="155"/>
      <c r="AF225" s="155"/>
      <c r="AG225" s="155"/>
      <c r="AH225" s="155"/>
      <c r="AI225" s="155"/>
      <c r="AJ225" s="155"/>
      <c r="AK225" s="155"/>
      <c r="AM225" s="155"/>
      <c r="AN225" s="155"/>
      <c r="AO225" s="155"/>
      <c r="AP225" s="155"/>
      <c r="AQ225" s="155"/>
      <c r="AR225" s="155"/>
      <c r="AS225" s="155"/>
      <c r="AT225" s="155"/>
      <c r="AU225" s="155"/>
      <c r="AV225" s="155"/>
      <c r="AW225" s="780"/>
      <c r="AX225" s="780"/>
      <c r="AY225" s="780"/>
      <c r="AZ225" s="780"/>
      <c r="BA225" s="780"/>
      <c r="BB225" s="155"/>
      <c r="BC225" s="155"/>
      <c r="BD225" s="155"/>
      <c r="BF225" s="155"/>
      <c r="BG225" s="155"/>
      <c r="BH225" s="155"/>
      <c r="BI225" s="155"/>
      <c r="BJ225" s="155"/>
    </row>
    <row r="226" spans="1:62" ht="17.399999999999999">
      <c r="D226" s="659" t="s">
        <v>114</v>
      </c>
      <c r="H226" s="661"/>
      <c r="I226" s="1"/>
      <c r="L226" s="769"/>
      <c r="M226" s="1"/>
      <c r="N226" s="89"/>
      <c r="O226" s="89"/>
      <c r="P226" s="179"/>
      <c r="Q226" s="89"/>
      <c r="R226" s="1527"/>
      <c r="S226" s="1527"/>
      <c r="T226" s="1527"/>
      <c r="U226" s="1527"/>
      <c r="V226" s="1527"/>
      <c r="W226" s="1527"/>
      <c r="X226" s="1527"/>
      <c r="Y226" s="155"/>
      <c r="Z226" s="271"/>
      <c r="AA226" s="155"/>
      <c r="AB226" s="155"/>
      <c r="AC226" s="155"/>
      <c r="AD226" s="155"/>
      <c r="AE226" s="155"/>
      <c r="AF226" s="155"/>
      <c r="AG226" s="155"/>
      <c r="AH226" s="155"/>
      <c r="AI226" s="155"/>
      <c r="AJ226" s="155"/>
      <c r="AK226" s="155"/>
      <c r="AM226" s="155"/>
      <c r="AN226" s="155"/>
      <c r="AO226" s="155"/>
      <c r="AP226" s="155"/>
      <c r="AQ226" s="155"/>
      <c r="AR226" s="155"/>
      <c r="AS226" s="155"/>
      <c r="AT226" s="155"/>
      <c r="AU226" s="155"/>
      <c r="AV226" s="155"/>
      <c r="AW226" s="780"/>
      <c r="AX226" s="780"/>
      <c r="AY226" s="780"/>
      <c r="AZ226" s="780"/>
      <c r="BA226" s="780"/>
      <c r="BB226" s="155"/>
      <c r="BC226" s="155"/>
      <c r="BD226" s="155"/>
      <c r="BF226" s="155"/>
      <c r="BG226" s="155"/>
      <c r="BH226" s="155"/>
      <c r="BI226" s="155"/>
      <c r="BJ226" s="155"/>
    </row>
    <row r="227" spans="1:62" ht="15.75" customHeight="1">
      <c r="D227" s="454" t="s">
        <v>2021</v>
      </c>
      <c r="E227" s="462" t="s">
        <v>851</v>
      </c>
      <c r="F227" s="824">
        <f>+Tax_Esc_Input</f>
        <v>2.1999999999999999E-2</v>
      </c>
      <c r="G227" s="925" t="str">
        <f>IF(Esc_Fed_Ded="y"," escalating"," fixed")</f>
        <v xml:space="preserve"> escalating</v>
      </c>
      <c r="H227" s="1549"/>
      <c r="L227" s="769"/>
      <c r="M227" s="1"/>
      <c r="N227" s="89"/>
      <c r="O227" s="89"/>
      <c r="P227" s="179"/>
      <c r="Q227" s="89"/>
      <c r="R227" s="1527"/>
      <c r="S227" s="1527"/>
      <c r="T227" s="1527"/>
      <c r="U227" s="1527"/>
      <c r="V227" s="1527"/>
      <c r="W227" s="1527"/>
      <c r="X227" s="1527"/>
      <c r="Y227" s="155"/>
      <c r="Z227" s="271"/>
      <c r="AA227" s="155"/>
      <c r="AB227" s="155"/>
      <c r="AC227" s="155"/>
      <c r="AD227" s="155"/>
      <c r="AE227" s="155"/>
      <c r="AF227" s="155"/>
      <c r="AG227" s="155"/>
      <c r="AH227" s="155"/>
      <c r="AI227" s="155"/>
      <c r="AJ227" s="155"/>
      <c r="AK227" s="155"/>
      <c r="AM227" s="155"/>
      <c r="AN227" s="155"/>
      <c r="AO227" s="155"/>
      <c r="AP227" s="155"/>
      <c r="AQ227" s="155"/>
      <c r="AR227" s="155"/>
      <c r="AS227" s="155"/>
      <c r="AT227" s="155"/>
      <c r="AU227" s="155"/>
      <c r="AV227" s="155"/>
      <c r="AW227" s="780"/>
      <c r="AX227" s="780"/>
      <c r="AY227" s="780"/>
      <c r="AZ227" s="780"/>
      <c r="BA227" s="780"/>
      <c r="BB227" s="155"/>
      <c r="BC227" s="155"/>
      <c r="BD227" s="155"/>
      <c r="BF227" s="155"/>
      <c r="BG227" s="155"/>
      <c r="BH227" s="155"/>
      <c r="BI227" s="155"/>
      <c r="BJ227" s="155"/>
    </row>
    <row r="228" spans="1:62" ht="15.6">
      <c r="D228" s="12"/>
      <c r="E228" s="492"/>
      <c r="F228" s="730"/>
      <c r="G228" s="144"/>
      <c r="H228" s="835"/>
      <c r="J228" s="155"/>
      <c r="K228" s="163"/>
      <c r="L228" s="769"/>
      <c r="M228" s="1"/>
      <c r="N228" s="89"/>
      <c r="O228" s="89"/>
      <c r="P228" s="89"/>
      <c r="Q228" s="89"/>
      <c r="R228" s="1527"/>
      <c r="S228" s="1527"/>
      <c r="T228" s="1527"/>
      <c r="U228" s="1527"/>
      <c r="V228" s="1527"/>
      <c r="W228" s="1527"/>
      <c r="X228" s="1527"/>
      <c r="Y228" s="155"/>
      <c r="Z228" s="271"/>
      <c r="AA228" s="155"/>
      <c r="AB228" s="155"/>
      <c r="AC228" s="155"/>
      <c r="AD228" s="155"/>
      <c r="AE228" s="155"/>
      <c r="AF228" s="155"/>
      <c r="AG228" s="155"/>
      <c r="AH228" s="155"/>
      <c r="AI228" s="155"/>
      <c r="AJ228" s="155"/>
      <c r="AK228" s="155"/>
      <c r="AM228" s="155"/>
      <c r="AN228" s="155"/>
      <c r="AO228" s="155"/>
      <c r="AP228" s="155"/>
      <c r="AQ228" s="155"/>
      <c r="AR228" s="155"/>
      <c r="AS228" s="155"/>
      <c r="AT228" s="155"/>
      <c r="AU228" s="155"/>
      <c r="AV228" s="155"/>
      <c r="AW228" s="780"/>
      <c r="AX228" s="780"/>
      <c r="AY228" s="780"/>
      <c r="AZ228" s="780"/>
      <c r="BA228" s="780"/>
      <c r="BB228" s="155"/>
      <c r="BC228" s="155"/>
      <c r="BD228" s="155"/>
      <c r="BE228" s="155"/>
      <c r="BF228" s="155"/>
      <c r="BG228" s="155"/>
      <c r="BH228" s="155"/>
      <c r="BI228" s="155"/>
      <c r="BJ228" s="155"/>
    </row>
    <row r="229" spans="1:62" ht="19.95" customHeight="1">
      <c r="A229" s="407"/>
      <c r="B229" s="407"/>
      <c r="C229" s="407"/>
      <c r="D229" s="708" t="s">
        <v>553</v>
      </c>
      <c r="E229" s="887" t="str">
        <f>IF(Tax_Rates_Alt="y"," using"," not using")</f>
        <v xml:space="preserve"> not using</v>
      </c>
      <c r="F229" s="729"/>
      <c r="K229" s="1"/>
      <c r="L229" s="769"/>
      <c r="M229" s="1"/>
      <c r="N229" s="89"/>
      <c r="O229" s="89"/>
      <c r="P229" s="89"/>
      <c r="Q229" s="89"/>
      <c r="R229" s="1527"/>
      <c r="S229" s="1527"/>
      <c r="T229" s="1527"/>
      <c r="U229" s="1527"/>
      <c r="V229" s="1527"/>
      <c r="W229" s="1527"/>
      <c r="X229" s="1527"/>
      <c r="Z229" s="1408">
        <v>9</v>
      </c>
      <c r="AK229" s="1409" t="s">
        <v>1792</v>
      </c>
    </row>
    <row r="230" spans="1:62" ht="19.95" customHeight="1">
      <c r="L230" s="769"/>
      <c r="M230" s="1"/>
      <c r="N230" s="1"/>
      <c r="O230" s="1"/>
      <c r="P230" s="1"/>
      <c r="Q230" s="198"/>
      <c r="R230" s="1527"/>
      <c r="S230" s="1527"/>
      <c r="T230" s="1527"/>
      <c r="U230" s="1527"/>
      <c r="V230" s="1527"/>
      <c r="W230" s="1527"/>
      <c r="X230" s="1527"/>
    </row>
    <row r="231" spans="1:62" ht="18" thickBot="1">
      <c r="C231" s="659" t="s">
        <v>115</v>
      </c>
      <c r="D231" s="1819" t="s">
        <v>1706</v>
      </c>
      <c r="E231" s="1819"/>
      <c r="F231" s="1819"/>
      <c r="G231" s="1819" t="s">
        <v>1707</v>
      </c>
      <c r="H231" s="1819"/>
      <c r="I231" s="1819"/>
      <c r="L231" s="91"/>
      <c r="M231" s="1"/>
      <c r="N231" s="198"/>
      <c r="O231" s="198"/>
      <c r="P231" s="198"/>
      <c r="Q231" s="109"/>
      <c r="R231" s="1527"/>
      <c r="S231" s="1527"/>
      <c r="T231" s="1527"/>
      <c r="U231" s="1527"/>
      <c r="V231" s="1527"/>
      <c r="W231" s="1527"/>
      <c r="X231" s="1527"/>
    </row>
    <row r="232" spans="1:62" ht="15.6" thickBot="1">
      <c r="D232" s="1587">
        <f>Tax_Rates_Year</f>
        <v>2019</v>
      </c>
      <c r="E232" s="1587" t="s">
        <v>1705</v>
      </c>
      <c r="F232" s="1587" t="s">
        <v>404</v>
      </c>
      <c r="G232" s="1588">
        <f>Tax_Rates_Year</f>
        <v>2019</v>
      </c>
      <c r="H232" s="1587" t="s">
        <v>1705</v>
      </c>
      <c r="I232" s="1587" t="s">
        <v>404</v>
      </c>
      <c r="L232" s="769"/>
      <c r="M232" s="1"/>
      <c r="N232" s="1"/>
      <c r="O232" s="1"/>
      <c r="P232" s="1"/>
      <c r="Q232" s="351"/>
      <c r="R232" s="1527"/>
      <c r="S232" s="1527"/>
      <c r="T232" s="1527"/>
      <c r="U232" s="1527"/>
      <c r="V232" s="1527"/>
      <c r="W232" s="1527"/>
      <c r="X232" s="1527"/>
      <c r="Y232" s="158"/>
      <c r="AA232" s="158"/>
      <c r="AB232" s="158"/>
      <c r="AC232" s="158"/>
      <c r="AD232" s="158"/>
      <c r="AE232" s="158"/>
      <c r="AF232" s="158"/>
      <c r="AG232" s="158"/>
      <c r="AH232" s="158"/>
      <c r="AI232" s="158"/>
      <c r="AJ232" s="158"/>
      <c r="AK232" s="158"/>
      <c r="AM232" s="158"/>
      <c r="AN232" s="158"/>
      <c r="AO232" s="158"/>
      <c r="AP232" s="158"/>
      <c r="AQ232" s="158"/>
      <c r="AR232" s="158"/>
      <c r="AS232" s="158"/>
      <c r="AT232" s="158"/>
      <c r="AU232" s="158"/>
      <c r="AV232" s="158"/>
      <c r="AW232" s="387"/>
      <c r="AX232" s="387"/>
      <c r="AY232" s="387"/>
      <c r="AZ232" s="387"/>
      <c r="BA232" s="387"/>
      <c r="BB232" s="158"/>
      <c r="BC232" s="158"/>
      <c r="BD232" s="158"/>
      <c r="BE232" s="158"/>
      <c r="BF232" s="158"/>
      <c r="BG232" s="158"/>
      <c r="BH232" s="158"/>
      <c r="BI232" s="158"/>
      <c r="BJ232" s="158"/>
    </row>
    <row r="233" spans="1:62" ht="15.6">
      <c r="D233" s="131">
        <f>+'Tax Tables'!F140</f>
        <v>0.1</v>
      </c>
      <c r="E233" s="471">
        <v>0.15</v>
      </c>
      <c r="F233" s="617">
        <v>2025</v>
      </c>
      <c r="G233" s="131">
        <f>+'Tax Tables'!F219</f>
        <v>0.1</v>
      </c>
      <c r="H233" s="471">
        <v>0.14000000000000001</v>
      </c>
      <c r="I233" s="882">
        <v>2025</v>
      </c>
      <c r="J233" s="158"/>
      <c r="L233" s="91"/>
      <c r="M233" s="1"/>
      <c r="N233" s="109"/>
      <c r="O233" s="109"/>
      <c r="P233" s="1"/>
      <c r="Q233" s="351"/>
      <c r="R233" s="985"/>
      <c r="S233" s="1"/>
      <c r="T233" s="1"/>
      <c r="U233" s="1"/>
      <c r="V233" s="1"/>
      <c r="X233" s="138"/>
      <c r="Y233" s="138"/>
      <c r="Z233" s="307"/>
      <c r="AA233" s="138"/>
      <c r="AB233" s="138"/>
      <c r="AC233" s="138"/>
      <c r="AD233" s="138"/>
      <c r="AE233" s="138"/>
      <c r="AF233" s="138"/>
      <c r="AG233" s="138"/>
      <c r="AH233" s="138"/>
      <c r="AI233" s="138"/>
      <c r="AJ233" s="138"/>
      <c r="AK233" s="138"/>
      <c r="AM233" s="138"/>
      <c r="AN233" s="138"/>
      <c r="AO233" s="138"/>
      <c r="AP233" s="138"/>
      <c r="AQ233" s="138"/>
      <c r="AR233" s="138"/>
      <c r="AS233" s="138"/>
      <c r="AT233" s="138"/>
      <c r="AU233" s="138"/>
      <c r="AV233" s="138"/>
      <c r="AW233" s="138"/>
      <c r="AX233" s="138"/>
      <c r="AY233" s="138"/>
      <c r="AZ233" s="138"/>
      <c r="BA233" s="138"/>
      <c r="BB233" s="138"/>
      <c r="BC233" s="138"/>
      <c r="BD233" s="138"/>
      <c r="BE233" s="138"/>
      <c r="BF233" s="138"/>
      <c r="BG233" s="138"/>
      <c r="BH233" s="138"/>
      <c r="BI233" s="138"/>
      <c r="BJ233" s="138"/>
    </row>
    <row r="234" spans="1:62" ht="15.6">
      <c r="D234" s="131">
        <f>+'Tax Tables'!F145</f>
        <v>0.12</v>
      </c>
      <c r="E234" s="473">
        <v>0.2</v>
      </c>
      <c r="F234" s="618">
        <f>+F233</f>
        <v>2025</v>
      </c>
      <c r="G234" s="588">
        <f>+'Tax Tables'!F224</f>
        <v>0.12</v>
      </c>
      <c r="H234" s="473">
        <v>0.19</v>
      </c>
      <c r="I234" s="649">
        <f>+I233</f>
        <v>2025</v>
      </c>
      <c r="J234" s="89"/>
      <c r="L234" s="1"/>
      <c r="M234" s="351"/>
      <c r="N234" s="351"/>
      <c r="O234" s="351"/>
      <c r="P234" s="1"/>
      <c r="Q234" s="89"/>
      <c r="R234" s="985"/>
      <c r="S234" s="1"/>
      <c r="T234" s="1"/>
      <c r="U234" s="1"/>
      <c r="V234" s="1"/>
      <c r="X234" s="158"/>
      <c r="Y234" s="158"/>
      <c r="AA234" s="158"/>
      <c r="AB234" s="158"/>
      <c r="AC234" s="158"/>
      <c r="AD234" s="158"/>
      <c r="AE234" s="158"/>
      <c r="AF234" s="158"/>
      <c r="AG234" s="158"/>
      <c r="AH234" s="158"/>
      <c r="AI234" s="158"/>
      <c r="AJ234" s="158"/>
      <c r="AK234" s="158"/>
      <c r="AM234" s="158"/>
      <c r="AN234" s="158"/>
      <c r="AO234" s="158"/>
      <c r="AP234" s="158"/>
      <c r="AQ234" s="158"/>
      <c r="AR234" s="158"/>
      <c r="AS234" s="158"/>
      <c r="AT234" s="158"/>
      <c r="AU234" s="158"/>
      <c r="AV234" s="158"/>
      <c r="AW234" s="387"/>
      <c r="AX234" s="387"/>
      <c r="AY234" s="387"/>
      <c r="AZ234" s="387"/>
      <c r="BA234" s="387"/>
      <c r="BB234" s="158"/>
      <c r="BC234" s="158"/>
      <c r="BD234" s="158"/>
      <c r="BE234" s="158"/>
      <c r="BF234" s="158"/>
      <c r="BG234" s="158"/>
      <c r="BH234" s="158"/>
      <c r="BI234" s="158"/>
      <c r="BJ234" s="158"/>
    </row>
    <row r="235" spans="1:62" ht="17.399999999999999">
      <c r="D235" s="131">
        <f>+'Tax Tables'!F150</f>
        <v>0.22</v>
      </c>
      <c r="E235" s="473">
        <v>0.3</v>
      </c>
      <c r="F235" s="619">
        <f>+F233</f>
        <v>2025</v>
      </c>
      <c r="G235" s="588">
        <f>+'Tax Tables'!F229</f>
        <v>0.22</v>
      </c>
      <c r="H235" s="473">
        <v>0.28999999999999998</v>
      </c>
      <c r="I235" s="650">
        <f>+I233</f>
        <v>2025</v>
      </c>
      <c r="L235" s="661"/>
      <c r="M235" s="351"/>
      <c r="N235" s="351"/>
      <c r="O235" s="89"/>
      <c r="P235" s="351"/>
      <c r="Q235" s="351"/>
      <c r="R235" s="985"/>
      <c r="S235" s="1"/>
      <c r="T235" s="1"/>
      <c r="U235" s="1"/>
      <c r="V235" s="1"/>
      <c r="X235" s="158"/>
      <c r="Y235" s="158"/>
      <c r="AA235" s="158"/>
      <c r="AB235" s="158"/>
      <c r="AC235" s="158"/>
      <c r="AD235" s="158"/>
      <c r="AE235" s="158"/>
      <c r="AF235" s="158"/>
      <c r="AG235" s="158"/>
      <c r="AH235" s="158"/>
      <c r="AI235" s="158"/>
      <c r="AJ235" s="158"/>
      <c r="AK235" s="821"/>
      <c r="AM235" s="158"/>
      <c r="AN235" s="158"/>
      <c r="AO235" s="158"/>
      <c r="AP235" s="158"/>
      <c r="AQ235" s="158"/>
      <c r="AR235" s="158"/>
      <c r="AS235" s="158"/>
      <c r="AT235" s="158"/>
      <c r="AU235" s="158"/>
      <c r="AV235" s="158"/>
      <c r="AW235" s="387"/>
      <c r="AX235" s="387"/>
      <c r="AY235" s="387"/>
      <c r="AZ235" s="387"/>
      <c r="BA235" s="387"/>
      <c r="BB235" s="158"/>
      <c r="BC235" s="158"/>
      <c r="BD235" s="158"/>
      <c r="BE235" s="158"/>
      <c r="BF235" s="158"/>
      <c r="BG235" s="158"/>
      <c r="BH235" s="158"/>
      <c r="BI235" s="158"/>
      <c r="BJ235" s="158"/>
    </row>
    <row r="236" spans="1:62" ht="15.6">
      <c r="D236" s="131">
        <f>+'Tax Tables'!F155</f>
        <v>0.24</v>
      </c>
      <c r="E236" s="473">
        <v>0.33</v>
      </c>
      <c r="F236" s="619">
        <f>+F233</f>
        <v>2025</v>
      </c>
      <c r="G236" s="588">
        <f>+'Tax Tables'!F234</f>
        <v>0.24</v>
      </c>
      <c r="H236" s="473">
        <v>0.32</v>
      </c>
      <c r="I236" s="650">
        <f>+I233</f>
        <v>2025</v>
      </c>
      <c r="L236" s="1310"/>
      <c r="M236" s="351"/>
      <c r="N236" s="351"/>
      <c r="O236" s="351"/>
      <c r="P236" s="351"/>
      <c r="Q236" s="351"/>
      <c r="R236" s="1"/>
      <c r="S236" s="351"/>
      <c r="T236" s="351"/>
      <c r="U236" s="89"/>
      <c r="V236" s="89"/>
      <c r="X236" s="158"/>
      <c r="Y236" s="158"/>
      <c r="AA236" s="158"/>
      <c r="AB236" s="158"/>
      <c r="AC236" s="158"/>
      <c r="AD236" s="158"/>
      <c r="AE236" s="158"/>
      <c r="AF236" s="158"/>
      <c r="AG236" s="158"/>
      <c r="AH236" s="158"/>
      <c r="AI236" s="158"/>
      <c r="AJ236" s="158"/>
      <c r="AK236" s="158"/>
      <c r="AM236" s="158"/>
      <c r="AN236" s="158"/>
      <c r="AO236" s="158"/>
      <c r="AP236" s="158"/>
      <c r="AQ236" s="158"/>
      <c r="AR236" s="158"/>
      <c r="AS236" s="158"/>
      <c r="AT236" s="158"/>
      <c r="AU236" s="158"/>
      <c r="AV236" s="158"/>
      <c r="AW236" s="387"/>
      <c r="AX236" s="387"/>
      <c r="AY236" s="387"/>
      <c r="AZ236" s="387"/>
      <c r="BA236" s="387"/>
      <c r="BB236" s="158"/>
      <c r="BC236" s="158"/>
      <c r="BD236" s="158"/>
      <c r="BE236" s="158"/>
      <c r="BF236" s="158"/>
      <c r="BG236" s="158"/>
      <c r="BH236" s="158"/>
      <c r="BI236" s="158"/>
      <c r="BJ236" s="158"/>
    </row>
    <row r="237" spans="1:62" ht="17.399999999999999">
      <c r="D237" s="131">
        <f>+'Tax Tables'!F160</f>
        <v>0.32</v>
      </c>
      <c r="E237" s="473">
        <v>0.38</v>
      </c>
      <c r="F237" s="619">
        <f>+F233</f>
        <v>2025</v>
      </c>
      <c r="G237" s="588">
        <f>+'Tax Tables'!F239</f>
        <v>0.32</v>
      </c>
      <c r="H237" s="473">
        <v>0.37</v>
      </c>
      <c r="I237" s="650">
        <f>+I233</f>
        <v>2025</v>
      </c>
      <c r="L237" s="769"/>
      <c r="M237" s="351"/>
      <c r="N237" s="351"/>
      <c r="O237" s="351"/>
      <c r="P237" s="351"/>
      <c r="Q237" s="351"/>
      <c r="R237" s="1309"/>
      <c r="S237" s="89"/>
      <c r="T237" s="260"/>
      <c r="U237" s="89"/>
      <c r="V237" s="89"/>
      <c r="X237" s="158"/>
      <c r="Y237" s="158"/>
      <c r="AA237" s="158"/>
      <c r="AB237" s="158"/>
      <c r="AC237" s="158"/>
      <c r="AD237" s="158"/>
      <c r="AE237" s="158"/>
      <c r="AF237" s="158"/>
      <c r="AG237" s="158"/>
      <c r="AH237" s="158"/>
      <c r="AI237" s="158"/>
      <c r="AJ237" s="158"/>
      <c r="AK237" s="158"/>
      <c r="AM237" s="158"/>
      <c r="AN237" s="158"/>
      <c r="AO237" s="158"/>
      <c r="AP237" s="158"/>
      <c r="AQ237" s="158"/>
      <c r="AR237" s="158"/>
      <c r="AS237" s="158"/>
      <c r="AT237" s="158"/>
      <c r="AU237" s="158"/>
      <c r="AV237" s="158"/>
      <c r="AW237" s="387"/>
      <c r="AX237" s="387"/>
      <c r="AY237" s="387"/>
      <c r="AZ237" s="387"/>
      <c r="BA237" s="387"/>
      <c r="BB237" s="158"/>
      <c r="BC237" s="158"/>
      <c r="BD237" s="158"/>
      <c r="BE237" s="158"/>
      <c r="BF237" s="158"/>
      <c r="BG237" s="158"/>
      <c r="BH237" s="158"/>
      <c r="BI237" s="158"/>
      <c r="BJ237" s="158"/>
    </row>
    <row r="238" spans="1:62" ht="15.6">
      <c r="D238" s="131">
        <f>+'Tax Tables'!F165</f>
        <v>0.35</v>
      </c>
      <c r="E238" s="473">
        <v>0.4</v>
      </c>
      <c r="F238" s="619">
        <f>+F233</f>
        <v>2025</v>
      </c>
      <c r="G238" s="588">
        <f>+'Tax Tables'!F244</f>
        <v>0.35</v>
      </c>
      <c r="H238" s="473">
        <v>0.39</v>
      </c>
      <c r="I238" s="650">
        <f>+I233</f>
        <v>2025</v>
      </c>
      <c r="L238" s="769"/>
      <c r="M238" s="351"/>
      <c r="N238" s="351"/>
      <c r="O238" s="351"/>
      <c r="P238" s="351"/>
      <c r="Q238" s="351"/>
      <c r="R238" s="769"/>
      <c r="S238" s="351"/>
      <c r="T238" s="351"/>
      <c r="U238" s="89"/>
      <c r="V238" s="89"/>
    </row>
    <row r="239" spans="1:62" ht="15.6">
      <c r="D239" s="1433">
        <f>+'Tax Tables'!F169</f>
        <v>0.37</v>
      </c>
      <c r="E239" s="473">
        <v>0.45</v>
      </c>
      <c r="F239" s="619">
        <f>+F233</f>
        <v>2025</v>
      </c>
      <c r="G239" s="1434">
        <f>+'Tax Tables'!F248</f>
        <v>0.37</v>
      </c>
      <c r="H239" s="473">
        <v>0.44</v>
      </c>
      <c r="I239" s="650">
        <f>+I233</f>
        <v>2025</v>
      </c>
      <c r="J239" s="157"/>
      <c r="L239" s="769"/>
      <c r="M239" s="351"/>
      <c r="N239" s="351"/>
      <c r="O239" s="351"/>
      <c r="P239" s="351"/>
      <c r="Q239" s="351"/>
      <c r="R239" s="769"/>
      <c r="S239" s="351"/>
      <c r="T239" s="351"/>
      <c r="U239" s="89"/>
      <c r="V239" s="89"/>
    </row>
    <row r="240" spans="1:62" ht="15.6">
      <c r="B240" s="145"/>
      <c r="C240" s="804"/>
      <c r="D240" s="803"/>
      <c r="E240" s="145"/>
      <c r="F240" s="804"/>
      <c r="G240" s="803"/>
      <c r="J240" s="157"/>
      <c r="L240" s="769"/>
      <c r="M240" s="351"/>
      <c r="N240" s="351"/>
      <c r="O240" s="351"/>
      <c r="P240" s="351"/>
      <c r="Q240" s="351"/>
      <c r="R240" s="769"/>
      <c r="S240" s="351"/>
      <c r="T240" s="351"/>
      <c r="U240" s="89"/>
      <c r="V240" s="89"/>
    </row>
    <row r="241" spans="1:76">
      <c r="J241" s="81"/>
      <c r="K241" s="129"/>
      <c r="L241" s="769"/>
      <c r="M241" s="351"/>
      <c r="N241" s="351"/>
      <c r="O241" s="351"/>
      <c r="P241" s="351"/>
      <c r="Q241" s="1"/>
      <c r="R241" s="769"/>
      <c r="S241" s="351"/>
      <c r="T241" s="351"/>
      <c r="U241" s="89"/>
      <c r="V241" s="89"/>
      <c r="BJ241" s="3"/>
    </row>
    <row r="242" spans="1:76" ht="19.95" customHeight="1">
      <c r="A242" s="407"/>
      <c r="B242" s="407"/>
      <c r="C242" s="407"/>
      <c r="D242" s="708" t="s">
        <v>554</v>
      </c>
      <c r="E242" s="887" t="str">
        <f>IF(Include_Roth="y","  Roth conversions included","  Roth conversions not included")</f>
        <v xml:space="preserve">  Roth conversions not included</v>
      </c>
      <c r="F242" s="729"/>
      <c r="L242" s="1"/>
      <c r="M242" s="351"/>
      <c r="N242" s="351"/>
      <c r="O242" s="351"/>
      <c r="P242" s="1"/>
      <c r="Q242" s="1"/>
      <c r="R242" s="769"/>
      <c r="S242" s="1"/>
      <c r="T242" s="351"/>
      <c r="U242" s="89"/>
      <c r="V242" s="89"/>
      <c r="Z242" s="1408">
        <v>10</v>
      </c>
      <c r="AK242" s="1409" t="s">
        <v>1793</v>
      </c>
      <c r="BJ242" s="3"/>
    </row>
    <row r="243" spans="1:76" ht="17.399999999999999">
      <c r="D243" s="323"/>
      <c r="E243" s="198"/>
      <c r="F243" s="1"/>
      <c r="G243" s="356"/>
      <c r="I243" s="316"/>
      <c r="L243" s="1309"/>
      <c r="M243" s="89"/>
      <c r="N243" s="260"/>
      <c r="O243" s="89"/>
      <c r="P243" s="1"/>
      <c r="Q243" s="1"/>
      <c r="R243" s="1"/>
      <c r="S243" s="1311"/>
      <c r="T243" s="89"/>
      <c r="U243" s="89"/>
      <c r="V243" s="1"/>
      <c r="X243" s="3"/>
      <c r="BJ243" s="3"/>
    </row>
    <row r="244" spans="1:76" ht="17.399999999999999">
      <c r="B244" s="1"/>
      <c r="D244" s="659" t="s">
        <v>138</v>
      </c>
      <c r="E244" s="462" t="s">
        <v>1657</v>
      </c>
      <c r="F244" s="887" t="str">
        <f>IF(Roth_Method="e"," using entered yearly amounts"," using calculated amounts")</f>
        <v xml:space="preserve"> using entered yearly amounts</v>
      </c>
      <c r="G244" s="353"/>
      <c r="I244" s="336"/>
      <c r="L244" s="989"/>
      <c r="M244" s="1"/>
      <c r="N244" s="1"/>
      <c r="O244" s="1"/>
      <c r="P244" s="1"/>
      <c r="Q244" s="351"/>
      <c r="R244" s="89"/>
      <c r="S244" s="89"/>
      <c r="T244" s="89"/>
      <c r="U244" s="89"/>
      <c r="V244" s="1"/>
      <c r="BJ244" s="3"/>
    </row>
    <row r="245" spans="1:76" ht="15.6">
      <c r="E245" s="1"/>
      <c r="F245" s="186"/>
      <c r="G245" s="353"/>
      <c r="H245" s="679"/>
      <c r="I245" s="679"/>
      <c r="J245" s="679"/>
      <c r="L245" s="989"/>
      <c r="M245" s="1"/>
      <c r="N245" s="1"/>
      <c r="O245" s="1"/>
      <c r="P245" s="1"/>
      <c r="Q245" s="351"/>
      <c r="R245" s="1"/>
      <c r="S245" s="1"/>
      <c r="T245" s="1"/>
      <c r="U245" s="89"/>
      <c r="V245" s="1"/>
      <c r="BJ245" s="3"/>
    </row>
    <row r="246" spans="1:76" ht="16.2" customHeight="1" thickBot="1">
      <c r="B246" s="416"/>
      <c r="C246" s="416"/>
      <c r="D246" s="659" t="s">
        <v>2143</v>
      </c>
      <c r="E246" s="1593" t="s">
        <v>365</v>
      </c>
      <c r="F246" s="1592" t="s">
        <v>364</v>
      </c>
      <c r="G246" s="353"/>
      <c r="H246" s="1594" t="s">
        <v>1228</v>
      </c>
      <c r="I246" s="1565"/>
      <c r="J246" s="250"/>
      <c r="L246" s="1"/>
      <c r="M246" s="1"/>
      <c r="N246" s="1"/>
      <c r="O246" s="1"/>
      <c r="P246" s="1"/>
      <c r="Q246" s="1"/>
      <c r="R246" s="1309"/>
      <c r="S246" s="260"/>
      <c r="T246" s="260"/>
      <c r="U246" s="260"/>
      <c r="V246" s="1"/>
      <c r="BJ246" s="3"/>
    </row>
    <row r="247" spans="1:76" ht="17.399999999999999">
      <c r="D247" s="343" t="s">
        <v>1566</v>
      </c>
      <c r="E247" s="461">
        <v>15000</v>
      </c>
      <c r="F247" s="461">
        <v>10000</v>
      </c>
      <c r="G247" s="353"/>
      <c r="H247" s="454" t="s">
        <v>2318</v>
      </c>
      <c r="I247" s="279">
        <f ca="1">+Results!$E$368</f>
        <v>2702400</v>
      </c>
      <c r="L247" s="1309"/>
      <c r="M247" s="89"/>
      <c r="N247" s="260"/>
      <c r="O247" s="89"/>
      <c r="P247" s="351"/>
      <c r="Q247" s="89"/>
      <c r="R247" s="989"/>
      <c r="S247" s="1"/>
      <c r="T247" s="1"/>
      <c r="U247" s="1"/>
      <c r="V247" s="1"/>
      <c r="BJ247" s="3"/>
    </row>
    <row r="248" spans="1:76" ht="15.6">
      <c r="D248" s="343" t="s">
        <v>1567</v>
      </c>
      <c r="E248" s="513">
        <v>9.5000000000000001E-2</v>
      </c>
      <c r="F248" s="513">
        <v>0.5</v>
      </c>
      <c r="G248" s="353"/>
      <c r="H248" s="454" t="s">
        <v>2319</v>
      </c>
      <c r="I248" s="755">
        <f ca="1">+Results!$E$369</f>
        <v>2702400</v>
      </c>
      <c r="J248" s="21"/>
      <c r="L248" s="989"/>
      <c r="M248" s="191"/>
      <c r="N248" s="191"/>
      <c r="O248" s="89"/>
      <c r="P248" s="351"/>
      <c r="Q248" s="89"/>
      <c r="R248" s="989"/>
      <c r="S248" s="1"/>
      <c r="T248" s="1"/>
      <c r="U248" s="1"/>
      <c r="V248" s="1"/>
      <c r="BJ248" s="3"/>
    </row>
    <row r="249" spans="1:76" ht="15.6">
      <c r="D249" s="343" t="s">
        <v>1568</v>
      </c>
      <c r="E249" s="474">
        <v>62</v>
      </c>
      <c r="F249" s="474">
        <v>75</v>
      </c>
      <c r="G249" s="264"/>
      <c r="H249" s="454" t="s">
        <v>2316</v>
      </c>
      <c r="I249" s="102">
        <f ca="1">+I247-I248</f>
        <v>0</v>
      </c>
      <c r="J249" s="91"/>
      <c r="K249" s="336"/>
      <c r="L249" s="989"/>
      <c r="M249" s="1"/>
      <c r="N249" s="1"/>
      <c r="O249" s="1"/>
      <c r="P249" s="1"/>
      <c r="Q249" s="89"/>
      <c r="R249" s="1"/>
      <c r="S249" s="1"/>
      <c r="T249" s="1"/>
      <c r="U249" s="1"/>
      <c r="V249" s="1"/>
      <c r="BJ249" s="3"/>
    </row>
    <row r="250" spans="1:76" ht="15.6">
      <c r="D250" s="343" t="s">
        <v>237</v>
      </c>
      <c r="E250" s="474">
        <v>70</v>
      </c>
      <c r="F250" s="474">
        <v>76</v>
      </c>
      <c r="G250" s="264"/>
      <c r="H250" s="454" t="s">
        <v>2317</v>
      </c>
      <c r="I250" s="280">
        <f ca="1">IF(I248=0,0,+I249/I248)</f>
        <v>0</v>
      </c>
      <c r="J250" s="91"/>
      <c r="K250" s="336"/>
      <c r="L250" s="989"/>
      <c r="BJ250" s="3"/>
    </row>
    <row r="251" spans="1:76">
      <c r="D251" s="343" t="s">
        <v>238</v>
      </c>
      <c r="E251" s="31">
        <f>IF(Roth_Method="c",Roth_Total,0)</f>
        <v>0</v>
      </c>
      <c r="F251" s="31">
        <f>IF(Roth_Method="c",-Roth_With_Total,0)</f>
        <v>0</v>
      </c>
      <c r="G251" s="353"/>
      <c r="H251" s="454" t="s">
        <v>2297</v>
      </c>
      <c r="I251" s="102">
        <f ca="1">+Details!E18</f>
        <v>0</v>
      </c>
      <c r="J251" s="91"/>
      <c r="K251" s="336"/>
      <c r="BJ251" s="3"/>
    </row>
    <row r="252" spans="1:76" ht="19.95" customHeight="1" thickBot="1">
      <c r="B252" s="410"/>
      <c r="C252" s="410"/>
      <c r="E252" t="str">
        <f>IF(AND(Roth_Convert&gt;0,Roth_Start=0),"age missing",".")</f>
        <v>.</v>
      </c>
      <c r="F252" t="str">
        <f>IF(AND(Roth_With&gt;0,Roth_W_Start=0),"age missing",".")</f>
        <v>.</v>
      </c>
      <c r="G252" s="324"/>
      <c r="H252" s="454" t="s">
        <v>2328</v>
      </c>
      <c r="I252" s="279">
        <f ca="1">Heir_benefit</f>
        <v>0</v>
      </c>
      <c r="J252" s="198"/>
      <c r="K252" s="198"/>
      <c r="L252" s="198"/>
      <c r="M252" s="198"/>
      <c r="N252" s="198"/>
      <c r="O252" s="198"/>
      <c r="P252" s="198"/>
      <c r="S252" s="198"/>
      <c r="T252" s="198"/>
      <c r="U252" s="198"/>
      <c r="BJ252" s="198"/>
      <c r="BK252" s="286" t="s">
        <v>1587</v>
      </c>
      <c r="BL252" s="286"/>
      <c r="BM252" s="286"/>
      <c r="BN252" s="286"/>
      <c r="BO252" s="286"/>
      <c r="BP252" s="286"/>
      <c r="BQ252" s="286"/>
      <c r="BR252" s="286"/>
      <c r="BS252" s="286"/>
      <c r="BT252" s="286"/>
      <c r="BU252" s="286"/>
      <c r="BV252" s="286"/>
      <c r="BW252" s="286"/>
      <c r="BX252" s="286"/>
    </row>
    <row r="253" spans="1:76" ht="16.2" customHeight="1">
      <c r="B253" s="293" t="s">
        <v>1839</v>
      </c>
      <c r="C253" s="968">
        <f>+Details!E128</f>
        <v>274000</v>
      </c>
      <c r="D253" s="968">
        <f>-Details!E129</f>
        <v>0</v>
      </c>
      <c r="H253" s="324"/>
      <c r="J253" s="1458" t="str">
        <f>IF(Include_Roth="n","Alert: Rates below exclude impact of conversion as 'Include Roth' setting is 'n'",".")</f>
        <v>Alert: Rates below exclude impact of conversion as 'Include Roth' setting is 'n'</v>
      </c>
      <c r="K253" s="198"/>
      <c r="L253" s="198"/>
      <c r="M253" s="198"/>
      <c r="O253" s="198"/>
      <c r="P253" s="198"/>
      <c r="Q253" s="198"/>
      <c r="R253" s="198"/>
      <c r="S253" s="198"/>
      <c r="T253" s="198"/>
      <c r="U253" s="198"/>
      <c r="V253" s="198"/>
      <c r="AA253" s="1137"/>
      <c r="AB253" s="1137"/>
      <c r="AC253" s="1137"/>
      <c r="AD253" s="1137"/>
      <c r="AE253" s="1137"/>
      <c r="AF253" s="1137"/>
      <c r="AG253" s="980"/>
      <c r="BJ253" s="198"/>
      <c r="BK253" s="198"/>
      <c r="BL253" s="198"/>
      <c r="BM253" s="198"/>
      <c r="BN253" s="198"/>
      <c r="BO253" s="198"/>
      <c r="BP253" s="198"/>
      <c r="BQ253" s="198"/>
      <c r="BR253" s="198"/>
      <c r="BS253" s="198"/>
      <c r="BT253" s="198"/>
      <c r="BU253" s="198"/>
      <c r="BV253" s="198"/>
      <c r="BW253" s="198"/>
      <c r="BX253" s="198"/>
    </row>
    <row r="254" spans="1:76" ht="16.2" customHeight="1" thickBot="1">
      <c r="B254" s="293" t="s">
        <v>1838</v>
      </c>
      <c r="C254" s="968">
        <f>SUM(C258:C297)</f>
        <v>274000</v>
      </c>
      <c r="D254" s="968">
        <f>SUM(D258:D297)</f>
        <v>25000</v>
      </c>
      <c r="F254" s="290"/>
      <c r="G254" s="721"/>
      <c r="H254" s="721"/>
      <c r="I254" s="1657">
        <f ca="1">+Details!E8</f>
        <v>1538900</v>
      </c>
      <c r="J254" s="1151" t="s">
        <v>2258</v>
      </c>
      <c r="K254" s="1152"/>
      <c r="L254" s="1152"/>
      <c r="M254" s="1152"/>
      <c r="N254" s="1152"/>
      <c r="O254" s="1152"/>
      <c r="P254" s="1153"/>
      <c r="R254" s="1086" t="s">
        <v>2259</v>
      </c>
      <c r="S254" s="1084"/>
      <c r="T254" s="1084"/>
      <c r="U254" s="1087"/>
      <c r="V254" s="1088"/>
      <c r="W254" s="1085"/>
      <c r="X254" s="1085"/>
      <c r="Z254" s="1177"/>
      <c r="AH254" s="1"/>
      <c r="AI254" s="1"/>
      <c r="AJ254" s="1"/>
      <c r="AK254" s="821"/>
      <c r="AM254" s="1"/>
      <c r="AN254" s="1"/>
      <c r="AO254" s="1"/>
      <c r="AP254" s="1"/>
      <c r="AQ254" s="1"/>
      <c r="AR254" s="1"/>
      <c r="AS254" s="1"/>
      <c r="AT254" s="1"/>
      <c r="AU254" s="1"/>
      <c r="AV254" s="1"/>
      <c r="AW254" s="89"/>
      <c r="AX254" s="89"/>
      <c r="AY254" s="89"/>
      <c r="AZ254" s="89"/>
      <c r="BA254" s="89"/>
      <c r="BB254" s="1"/>
      <c r="BC254" s="1"/>
      <c r="BD254" s="1"/>
      <c r="BE254" s="1"/>
      <c r="BF254" s="1"/>
      <c r="BG254" s="1"/>
      <c r="BH254" s="1"/>
      <c r="BI254" s="1"/>
      <c r="BJ254" s="3"/>
    </row>
    <row r="255" spans="1:76" ht="15.6">
      <c r="E255" s="476" t="s">
        <v>704</v>
      </c>
      <c r="F255" s="645"/>
      <c r="G255" s="1405"/>
      <c r="H255" s="1438" t="s">
        <v>837</v>
      </c>
      <c r="I255" s="476" t="s">
        <v>979</v>
      </c>
      <c r="J255" s="297" t="s">
        <v>1332</v>
      </c>
      <c r="K255" s="1285" t="s">
        <v>878</v>
      </c>
      <c r="L255" s="404"/>
      <c r="M255" s="404"/>
      <c r="N255" s="404"/>
      <c r="O255" s="404"/>
      <c r="P255" s="405"/>
      <c r="R255" s="297" t="s">
        <v>1332</v>
      </c>
      <c r="S255" s="404"/>
      <c r="T255" s="404"/>
      <c r="U255" s="404"/>
      <c r="V255" s="404"/>
      <c r="W255" s="404"/>
      <c r="X255" s="404"/>
      <c r="BJ255" s="3"/>
      <c r="BK255" s="262" t="s">
        <v>1332</v>
      </c>
      <c r="BL255" s="1821"/>
      <c r="BM255" s="1821"/>
      <c r="BN255" s="1821"/>
      <c r="BO255" s="1821"/>
      <c r="BP255" s="1821"/>
      <c r="BQ255" s="115"/>
      <c r="BR255" s="13"/>
    </row>
    <row r="256" spans="1:76" ht="17.399999999999999">
      <c r="C256" s="630"/>
      <c r="D256" s="659" t="s">
        <v>2144</v>
      </c>
      <c r="E256" s="477" t="s">
        <v>703</v>
      </c>
      <c r="F256" s="645"/>
      <c r="G256" s="476" t="s">
        <v>614</v>
      </c>
      <c r="H256" s="477" t="s">
        <v>1538</v>
      </c>
      <c r="I256" s="476" t="s">
        <v>1817</v>
      </c>
      <c r="J256" s="297" t="s">
        <v>586</v>
      </c>
      <c r="K256" s="169" t="str">
        <f>("Percent of bracket used - " &amp; Tax_Rates_Year &amp; " rates")</f>
        <v>Percent of bracket used - 2019 rates</v>
      </c>
      <c r="L256" s="169"/>
      <c r="M256" s="169"/>
      <c r="N256" s="169"/>
      <c r="O256" s="169"/>
      <c r="P256" s="403"/>
      <c r="R256" s="297" t="s">
        <v>586</v>
      </c>
      <c r="S256" s="169" t="str">
        <f>("Percent of bracket used - " &amp; Tax_Rates_Year &amp; " rates")</f>
        <v>Percent of bracket used - 2019 rates</v>
      </c>
      <c r="T256" s="169"/>
      <c r="U256" s="169"/>
      <c r="V256" s="169"/>
      <c r="W256" s="169"/>
      <c r="X256" s="169"/>
      <c r="BJ256" s="109"/>
      <c r="BK256" s="262" t="s">
        <v>586</v>
      </c>
      <c r="BL256" s="1820" t="str">
        <f>("Percent of bracket used - " &amp; Tax_Rates_Year &amp; " rates")</f>
        <v>Percent of bracket used - 2019 rates</v>
      </c>
      <c r="BM256" s="1820"/>
      <c r="BN256" s="1820"/>
      <c r="BO256" s="1820"/>
      <c r="BP256" s="1820"/>
      <c r="BQ256" s="1820"/>
      <c r="BR256" s="6"/>
      <c r="BS256" s="1820" t="s">
        <v>1108</v>
      </c>
      <c r="BT256" s="1820"/>
      <c r="BU256" s="1820"/>
      <c r="BV256" s="1820"/>
      <c r="BW256" s="1820"/>
      <c r="BX256" s="1820"/>
    </row>
    <row r="257" spans="1:76" ht="16.2" thickBot="1">
      <c r="A257" s="1595" t="s">
        <v>1577</v>
      </c>
      <c r="B257" s="1596" t="s">
        <v>572</v>
      </c>
      <c r="C257" s="1565" t="s">
        <v>365</v>
      </c>
      <c r="D257" s="1565" t="s">
        <v>364</v>
      </c>
      <c r="E257" s="1576" t="s">
        <v>436</v>
      </c>
      <c r="F257" s="1558" t="s">
        <v>1533</v>
      </c>
      <c r="G257" s="1576" t="s">
        <v>364</v>
      </c>
      <c r="H257" s="1576" t="s">
        <v>436</v>
      </c>
      <c r="I257" s="1576" t="s">
        <v>436</v>
      </c>
      <c r="J257" s="298" t="s">
        <v>1476</v>
      </c>
      <c r="K257" s="295">
        <f>+'Tax Tables'!$E$313</f>
        <v>0.1</v>
      </c>
      <c r="L257" s="295">
        <f>+'Tax Tables'!$E$314</f>
        <v>0.12</v>
      </c>
      <c r="M257" s="295">
        <f>+'Tax Tables'!$E$315</f>
        <v>0.22</v>
      </c>
      <c r="N257" s="296">
        <f>+'Tax Tables'!$E$316</f>
        <v>0.24</v>
      </c>
      <c r="O257" s="296">
        <f>+'Tax Tables'!$E$317</f>
        <v>0.32</v>
      </c>
      <c r="P257" s="296">
        <f>+'Tax Tables'!$E$318</f>
        <v>0.35</v>
      </c>
      <c r="R257" s="298" t="s">
        <v>1476</v>
      </c>
      <c r="S257" s="295">
        <f>+'Tax Tables'!$E$313</f>
        <v>0.1</v>
      </c>
      <c r="T257" s="295">
        <f>+'Tax Tables'!$E$314</f>
        <v>0.12</v>
      </c>
      <c r="U257" s="295">
        <f>+'Tax Tables'!$E$315</f>
        <v>0.22</v>
      </c>
      <c r="V257" s="296">
        <f>+'Tax Tables'!$E$316</f>
        <v>0.24</v>
      </c>
      <c r="W257" s="296">
        <f>+'Tax Tables'!$E$317</f>
        <v>0.32</v>
      </c>
      <c r="X257" s="296">
        <f>+'Tax Tables'!$E$318</f>
        <v>0.35</v>
      </c>
      <c r="Z257" s="6" t="s">
        <v>1491</v>
      </c>
      <c r="BJ257" s="294"/>
      <c r="BK257" s="263" t="s">
        <v>1476</v>
      </c>
      <c r="BL257" s="105">
        <f>+'Tax Tables'!$E$313</f>
        <v>0.1</v>
      </c>
      <c r="BM257" s="105">
        <f>+'Tax Tables'!$E$314</f>
        <v>0.12</v>
      </c>
      <c r="BN257" s="105">
        <f>+'Tax Tables'!$E$315</f>
        <v>0.22</v>
      </c>
      <c r="BO257" s="114">
        <f>+'Tax Tables'!$E$316</f>
        <v>0.24</v>
      </c>
      <c r="BP257" s="114">
        <f>+'Tax Tables'!$E$317</f>
        <v>0.32</v>
      </c>
      <c r="BQ257" s="114">
        <f>+'Tax Tables'!$E$318</f>
        <v>0.35</v>
      </c>
      <c r="BR257" s="114"/>
      <c r="BS257" s="105">
        <f>+'Tax Tables'!$E$313</f>
        <v>0.1</v>
      </c>
      <c r="BT257" s="105">
        <f>+'Tax Tables'!$E$314</f>
        <v>0.12</v>
      </c>
      <c r="BU257" s="105">
        <f>+'Tax Tables'!$E$315</f>
        <v>0.22</v>
      </c>
      <c r="BV257" s="114">
        <f>+'Tax Tables'!$E$316</f>
        <v>0.24</v>
      </c>
      <c r="BW257" s="114">
        <f>+'Tax Tables'!$E$317</f>
        <v>0.32</v>
      </c>
      <c r="BX257" s="114">
        <f>+'Tax Tables'!$E$318</f>
        <v>0.35</v>
      </c>
    </row>
    <row r="258" spans="1:76" ht="15.6">
      <c r="A258" s="646" t="str">
        <f>IF(AND(Details!F313&lt;$C258,$C258&gt;0),"A","")</f>
        <v/>
      </c>
      <c r="B258" s="136" t="str">
        <f>"  " &amp; Setup!E$23+$Z258-1 &amp;" - "&amp;Your_Age+$Z258-1</f>
        <v xml:space="preserve">  2019 - 62</v>
      </c>
      <c r="C258" s="465">
        <v>43000</v>
      </c>
      <c r="D258" s="465"/>
      <c r="E258" s="478">
        <f>+Details!$F18</f>
        <v>0</v>
      </c>
      <c r="F258" s="465">
        <v>43000</v>
      </c>
      <c r="G258" s="481">
        <f>-Details!$F91</f>
        <v>40000</v>
      </c>
      <c r="H258" s="482">
        <f>+Details!F321</f>
        <v>491200</v>
      </c>
      <c r="I258" s="482">
        <f>+Details!F8</f>
        <v>200000</v>
      </c>
      <c r="J258" s="188">
        <f>+Details!$F203*100</f>
        <v>10.92436974789916</v>
      </c>
      <c r="K258" s="92">
        <f>+'Tax Tables'!$F313*100</f>
        <v>100</v>
      </c>
      <c r="L258" s="92">
        <f>+'Tax Tables'!$F314*100</f>
        <v>28.169014084507044</v>
      </c>
      <c r="M258" s="92">
        <f>+'Tax Tables'!$F315*100</f>
        <v>0</v>
      </c>
      <c r="N258" s="92">
        <f>+'Tax Tables'!$F316*100</f>
        <v>0</v>
      </c>
      <c r="O258" s="92">
        <f>+'Tax Tables'!$F317*100</f>
        <v>0</v>
      </c>
      <c r="P258" s="92">
        <f>+'Tax Tables'!$F318*100</f>
        <v>0</v>
      </c>
      <c r="R258" s="188">
        <f>+Base!$F203*100</f>
        <v>10.92436974789916</v>
      </c>
      <c r="S258" s="92">
        <f>+'Tax Tables'!$F321*100</f>
        <v>100</v>
      </c>
      <c r="T258" s="92">
        <f>+'Tax Tables'!$F322*100</f>
        <v>28.169014084507044</v>
      </c>
      <c r="U258" s="92">
        <f>+'Tax Tables'!$F323*100</f>
        <v>0</v>
      </c>
      <c r="V258" s="92">
        <f>+'Tax Tables'!$F324*100</f>
        <v>0</v>
      </c>
      <c r="W258" s="92">
        <f>+'Tax Tables'!$F325*100</f>
        <v>0</v>
      </c>
      <c r="X258" s="92">
        <f>+'Tax Tables'!$F326*100</f>
        <v>0</v>
      </c>
      <c r="Z258" s="738">
        <v>1</v>
      </c>
      <c r="BJ258" s="190"/>
      <c r="BK258" s="188">
        <f>+Base!$F203*100</f>
        <v>10.92436974789916</v>
      </c>
      <c r="BL258" s="92">
        <f>+'Tax Tables'!$F321*100</f>
        <v>100</v>
      </c>
      <c r="BM258" s="92">
        <f>+'Tax Tables'!$F322*100</f>
        <v>28.169014084507044</v>
      </c>
      <c r="BN258" s="92">
        <f>+'Tax Tables'!$F323*100</f>
        <v>0</v>
      </c>
      <c r="BO258" s="92">
        <f>+'Tax Tables'!$F324*100</f>
        <v>0</v>
      </c>
      <c r="BP258" s="92">
        <f>+'Tax Tables'!$F325*100</f>
        <v>0</v>
      </c>
      <c r="BQ258" s="92">
        <f>+'Tax Tables'!$F326*100</f>
        <v>0</v>
      </c>
      <c r="BR258" s="31"/>
      <c r="BS258" s="31">
        <f>+Base!$F195</f>
        <v>1900</v>
      </c>
      <c r="BT258" s="31">
        <f>+Base!$F196</f>
        <v>2000</v>
      </c>
      <c r="BU258" s="31">
        <f>+Base!$F197</f>
        <v>0</v>
      </c>
      <c r="BV258" s="31">
        <f>+Base!$F198</f>
        <v>0</v>
      </c>
      <c r="BW258" s="31">
        <f>+Base!$F199</f>
        <v>0</v>
      </c>
      <c r="BX258" s="31">
        <f>+Base!$F200</f>
        <v>0</v>
      </c>
    </row>
    <row r="259" spans="1:76" ht="15.6">
      <c r="A259" s="646" t="str">
        <f t="shared" ref="A259:A264" si="24">IF(AND(($H258-$G259)&lt;$C259,$C259&gt;0),"A","")</f>
        <v/>
      </c>
      <c r="B259" s="136" t="str">
        <f>"  " &amp; Setup!E$23+$Z259-1 &amp;" - "&amp;Your_Age+$Z259-1</f>
        <v xml:space="preserve">  2020 - 63</v>
      </c>
      <c r="C259" s="464">
        <v>29000</v>
      </c>
      <c r="D259" s="464"/>
      <c r="E259" s="478">
        <f>+Details!$G18</f>
        <v>0</v>
      </c>
      <c r="F259" s="464">
        <v>29000</v>
      </c>
      <c r="G259" s="481">
        <f>-Details!$G91</f>
        <v>41200</v>
      </c>
      <c r="H259" s="482">
        <f>+Details!G321</f>
        <v>480600</v>
      </c>
      <c r="I259" s="482">
        <f>+Details!G8</f>
        <v>187100</v>
      </c>
      <c r="J259" s="187">
        <f>+Details!$G203*100</f>
        <v>11.350293542074363</v>
      </c>
      <c r="K259" s="92">
        <f>+'Tax Tables'!$G313*100</f>
        <v>100</v>
      </c>
      <c r="L259" s="92">
        <f>+'Tax Tables'!$G314*100</f>
        <v>52.054794520547944</v>
      </c>
      <c r="M259" s="92">
        <f>+'Tax Tables'!$G315*100</f>
        <v>0</v>
      </c>
      <c r="N259" s="92">
        <f>+'Tax Tables'!$G316*100</f>
        <v>0</v>
      </c>
      <c r="O259" s="92">
        <f>+'Tax Tables'!$G317*100</f>
        <v>0</v>
      </c>
      <c r="P259" s="92">
        <f>+'Tax Tables'!$G318*100</f>
        <v>0</v>
      </c>
      <c r="R259" s="187">
        <f>+Base!$G203*100</f>
        <v>11.350293542074363</v>
      </c>
      <c r="S259" s="92">
        <f>+'Tax Tables'!$G321*100</f>
        <v>100</v>
      </c>
      <c r="T259" s="92">
        <f>+'Tax Tables'!$G322*100</f>
        <v>52.054794520547944</v>
      </c>
      <c r="U259" s="92">
        <f>+'Tax Tables'!$G323*100</f>
        <v>0</v>
      </c>
      <c r="V259" s="92">
        <f>+'Tax Tables'!$G324*100</f>
        <v>0</v>
      </c>
      <c r="W259" s="92">
        <f>+'Tax Tables'!$G325*100</f>
        <v>0</v>
      </c>
      <c r="X259" s="92">
        <f>+'Tax Tables'!$G326*100</f>
        <v>0</v>
      </c>
      <c r="Z259" s="86">
        <f>+Z258+1</f>
        <v>2</v>
      </c>
      <c r="BJ259" s="190"/>
      <c r="BK259" s="187">
        <f>+Base!$G203*100</f>
        <v>11.350293542074363</v>
      </c>
      <c r="BL259" s="92">
        <f>+'Tax Tables'!$G321*100</f>
        <v>100</v>
      </c>
      <c r="BM259" s="92">
        <f>+'Tax Tables'!$G322*100</f>
        <v>52.054794520547944</v>
      </c>
      <c r="BN259" s="92">
        <f>+'Tax Tables'!$G323*100</f>
        <v>0</v>
      </c>
      <c r="BO259" s="92">
        <f>+'Tax Tables'!$G324*100</f>
        <v>0</v>
      </c>
      <c r="BP259" s="92">
        <f>+'Tax Tables'!$G325*100</f>
        <v>0</v>
      </c>
      <c r="BQ259" s="92">
        <f>+'Tax Tables'!$G326*100</f>
        <v>0</v>
      </c>
      <c r="BR259" s="31"/>
      <c r="BS259" s="31">
        <f>+Base!$G195</f>
        <v>2000</v>
      </c>
      <c r="BT259" s="31">
        <f>+Base!$G196</f>
        <v>3800</v>
      </c>
      <c r="BU259" s="31">
        <f>+Base!$G197</f>
        <v>0</v>
      </c>
      <c r="BV259" s="31">
        <f>+Base!$G198</f>
        <v>0</v>
      </c>
      <c r="BW259" s="31">
        <f>+Base!$G199</f>
        <v>0</v>
      </c>
      <c r="BX259" s="31">
        <f>+Base!$G200</f>
        <v>0</v>
      </c>
    </row>
    <row r="260" spans="1:76" ht="15.6">
      <c r="A260" s="646" t="str">
        <f t="shared" si="24"/>
        <v/>
      </c>
      <c r="B260" s="136" t="str">
        <f>"  " &amp; Setup!E$23+$Z260-1 &amp;" - "&amp;Your_Age+$Z260-1</f>
        <v xml:space="preserve">  2021 - 64</v>
      </c>
      <c r="C260" s="464">
        <v>45000</v>
      </c>
      <c r="D260" s="464"/>
      <c r="E260" s="478">
        <f>+Details!$H18</f>
        <v>0</v>
      </c>
      <c r="F260" s="464">
        <v>45000</v>
      </c>
      <c r="G260" s="481">
        <f>-Details!$H91</f>
        <v>42400</v>
      </c>
      <c r="H260" s="482">
        <f>+Details!H321</f>
        <v>468100</v>
      </c>
      <c r="I260" s="482">
        <f>+Details!H8</f>
        <v>186800</v>
      </c>
      <c r="J260" s="187">
        <f>+Details!$H203*100</f>
        <v>10.928961748633879</v>
      </c>
      <c r="K260" s="92">
        <f>+'Tax Tables'!$H313*100</f>
        <v>100</v>
      </c>
      <c r="L260" s="92">
        <f>+'Tax Tables'!$H314*100</f>
        <v>26.666666666666668</v>
      </c>
      <c r="M260" s="92">
        <f>+'Tax Tables'!$H315*100</f>
        <v>0</v>
      </c>
      <c r="N260" s="92">
        <f>+'Tax Tables'!$H316*100</f>
        <v>0</v>
      </c>
      <c r="O260" s="92">
        <f>+'Tax Tables'!$H317*100</f>
        <v>0</v>
      </c>
      <c r="P260" s="92">
        <f>+'Tax Tables'!$H318*100</f>
        <v>0</v>
      </c>
      <c r="R260" s="187">
        <f>+Base!$H203*100</f>
        <v>10.928961748633879</v>
      </c>
      <c r="S260" s="92">
        <f>+'Tax Tables'!$H321*100</f>
        <v>100</v>
      </c>
      <c r="T260" s="92">
        <f>+'Tax Tables'!$H322*100</f>
        <v>26.666666666666668</v>
      </c>
      <c r="U260" s="92">
        <f>+'Tax Tables'!$H323*100</f>
        <v>0</v>
      </c>
      <c r="V260" s="92">
        <f>+'Tax Tables'!$H324*100</f>
        <v>0</v>
      </c>
      <c r="W260" s="92">
        <f>+'Tax Tables'!$H325*100</f>
        <v>0</v>
      </c>
      <c r="X260" s="92">
        <f>+'Tax Tables'!$H326*100</f>
        <v>0</v>
      </c>
      <c r="Z260" s="86">
        <f t="shared" ref="Z260:Z297" si="25">+Z259+1</f>
        <v>3</v>
      </c>
      <c r="BJ260" s="190"/>
      <c r="BK260" s="187">
        <f>+Base!$H203*100</f>
        <v>10.928961748633879</v>
      </c>
      <c r="BL260" s="92">
        <f>+'Tax Tables'!$H321*100</f>
        <v>100</v>
      </c>
      <c r="BM260" s="92">
        <f>+'Tax Tables'!$H322*100</f>
        <v>26.666666666666668</v>
      </c>
      <c r="BN260" s="92">
        <f>+'Tax Tables'!$H323*100</f>
        <v>0</v>
      </c>
      <c r="BO260" s="92">
        <f>+'Tax Tables'!$H324*100</f>
        <v>0</v>
      </c>
      <c r="BP260" s="92">
        <f>+'Tax Tables'!$H325*100</f>
        <v>0</v>
      </c>
      <c r="BQ260" s="92">
        <f>+'Tax Tables'!$H326*100</f>
        <v>0</v>
      </c>
      <c r="BR260" s="31"/>
      <c r="BS260" s="31">
        <f>+Base!$H195</f>
        <v>2000</v>
      </c>
      <c r="BT260" s="31">
        <f>+Base!$H196</f>
        <v>2000</v>
      </c>
      <c r="BU260" s="31">
        <f>+Base!$H197</f>
        <v>0</v>
      </c>
      <c r="BV260" s="31">
        <f>+Base!$H198</f>
        <v>0</v>
      </c>
      <c r="BW260" s="31">
        <f>+Base!$H199</f>
        <v>0</v>
      </c>
      <c r="BX260" s="31">
        <f>+Base!$H200</f>
        <v>0</v>
      </c>
    </row>
    <row r="261" spans="1:76" ht="15.6">
      <c r="A261" s="646" t="str">
        <f t="shared" si="24"/>
        <v/>
      </c>
      <c r="B261" s="136" t="str">
        <f>"  " &amp; Setup!E$23+$Z261-1 &amp;" - "&amp;Your_Age+$Z261-1</f>
        <v xml:space="preserve">  2022 - 65</v>
      </c>
      <c r="C261" s="464">
        <v>40000</v>
      </c>
      <c r="D261" s="464"/>
      <c r="E261" s="478">
        <f>+Details!$I18</f>
        <v>0</v>
      </c>
      <c r="F261" s="464">
        <v>40000</v>
      </c>
      <c r="G261" s="481">
        <f>-Details!$I91</f>
        <v>43700</v>
      </c>
      <c r="H261" s="482">
        <f>+Details!I321</f>
        <v>453400</v>
      </c>
      <c r="I261" s="482">
        <f>+Details!I8</f>
        <v>173800</v>
      </c>
      <c r="J261" s="187">
        <f>+Details!$I203*100</f>
        <v>11.021505376344086</v>
      </c>
      <c r="K261" s="92">
        <f>+'Tax Tables'!$I313*100</f>
        <v>100</v>
      </c>
      <c r="L261" s="92">
        <f>+'Tax Tables'!$I314*100</f>
        <v>26.315789473684209</v>
      </c>
      <c r="M261" s="92">
        <f>+'Tax Tables'!$I315*100</f>
        <v>0</v>
      </c>
      <c r="N261" s="92">
        <f>+'Tax Tables'!$I316*100</f>
        <v>0</v>
      </c>
      <c r="O261" s="92">
        <f>+'Tax Tables'!$I317*100</f>
        <v>0</v>
      </c>
      <c r="P261" s="92">
        <f>+'Tax Tables'!$I318*100</f>
        <v>0</v>
      </c>
      <c r="R261" s="187">
        <f>+Base!$I203*100</f>
        <v>11.021505376344086</v>
      </c>
      <c r="S261" s="92">
        <f>+'Tax Tables'!$I321*100</f>
        <v>100</v>
      </c>
      <c r="T261" s="92">
        <f>+'Tax Tables'!$I322*100</f>
        <v>26.315789473684209</v>
      </c>
      <c r="U261" s="92">
        <f>+'Tax Tables'!$I323*100</f>
        <v>0</v>
      </c>
      <c r="V261" s="92">
        <f>+'Tax Tables'!$I324*100</f>
        <v>0</v>
      </c>
      <c r="W261" s="92">
        <f>+'Tax Tables'!$I325*100</f>
        <v>0</v>
      </c>
      <c r="X261" s="92">
        <f>+'Tax Tables'!$I326*100</f>
        <v>0</v>
      </c>
      <c r="Z261" s="86">
        <f t="shared" si="25"/>
        <v>4</v>
      </c>
      <c r="BJ261" s="190"/>
      <c r="BK261" s="187">
        <f>+Base!$I203*100</f>
        <v>11.021505376344086</v>
      </c>
      <c r="BL261" s="92">
        <f>+'Tax Tables'!$I321*100</f>
        <v>100</v>
      </c>
      <c r="BM261" s="92">
        <f>+'Tax Tables'!$I322*100</f>
        <v>26.315789473684209</v>
      </c>
      <c r="BN261" s="92">
        <f>+'Tax Tables'!$I323*100</f>
        <v>0</v>
      </c>
      <c r="BO261" s="92">
        <f>+'Tax Tables'!$I324*100</f>
        <v>0</v>
      </c>
      <c r="BP261" s="92">
        <f>+'Tax Tables'!$I325*100</f>
        <v>0</v>
      </c>
      <c r="BQ261" s="92">
        <f>+'Tax Tables'!$I326*100</f>
        <v>0</v>
      </c>
      <c r="BR261" s="31"/>
      <c r="BS261" s="31">
        <f>+Base!$I195</f>
        <v>2100</v>
      </c>
      <c r="BT261" s="31">
        <f>+Base!$I196</f>
        <v>2000</v>
      </c>
      <c r="BU261" s="31">
        <f>+Base!$I197</f>
        <v>0</v>
      </c>
      <c r="BV261" s="31">
        <f>+Base!$I198</f>
        <v>0</v>
      </c>
      <c r="BW261" s="31">
        <f>+Base!$I199</f>
        <v>0</v>
      </c>
      <c r="BX261" s="31">
        <f>+Base!$I200</f>
        <v>0</v>
      </c>
    </row>
    <row r="262" spans="1:76" ht="15.6">
      <c r="A262" s="646" t="str">
        <f t="shared" si="24"/>
        <v/>
      </c>
      <c r="B262" s="136" t="str">
        <f>"  " &amp; Setup!E$23+$Z262-1 &amp;" - "&amp;Your_Age+$Z262-1</f>
        <v xml:space="preserve">  2023 - 66</v>
      </c>
      <c r="C262" s="644">
        <v>48000</v>
      </c>
      <c r="D262" s="464"/>
      <c r="E262" s="479">
        <f>+Details!$J18</f>
        <v>0</v>
      </c>
      <c r="F262" s="644">
        <v>48000</v>
      </c>
      <c r="G262" s="483">
        <f>-Details!$J91</f>
        <v>45000</v>
      </c>
      <c r="H262" s="484">
        <f>+Details!J321</f>
        <v>436400</v>
      </c>
      <c r="I262" s="485">
        <f>+Details!J8</f>
        <v>160500</v>
      </c>
      <c r="J262" s="201">
        <f>+Details!$J203*100</f>
        <v>10.846560846560847</v>
      </c>
      <c r="K262" s="202">
        <f>+'Tax Tables'!$J313*100</f>
        <v>100</v>
      </c>
      <c r="L262" s="202">
        <f>+'Tax Tables'!$J314*100</f>
        <v>25.641025641025639</v>
      </c>
      <c r="M262" s="202">
        <f>+'Tax Tables'!$J315*100</f>
        <v>0</v>
      </c>
      <c r="N262" s="202">
        <f>+'Tax Tables'!$J316*100</f>
        <v>0</v>
      </c>
      <c r="O262" s="202">
        <f>+'Tax Tables'!$J317*100</f>
        <v>0</v>
      </c>
      <c r="P262" s="202">
        <f>+'Tax Tables'!$J318*100</f>
        <v>0</v>
      </c>
      <c r="R262" s="201">
        <f>+Base!$J203*100</f>
        <v>10.846560846560847</v>
      </c>
      <c r="S262" s="202">
        <f>+'Tax Tables'!$J321*100</f>
        <v>100</v>
      </c>
      <c r="T262" s="202">
        <f>+'Tax Tables'!$J322*100</f>
        <v>25.641025641025639</v>
      </c>
      <c r="U262" s="202">
        <f>+'Tax Tables'!$J323*100</f>
        <v>0</v>
      </c>
      <c r="V262" s="202">
        <f>+'Tax Tables'!$J324*100</f>
        <v>0</v>
      </c>
      <c r="W262" s="202">
        <f>+'Tax Tables'!$J325*100</f>
        <v>0</v>
      </c>
      <c r="X262" s="202">
        <f>+'Tax Tables'!$J326*100</f>
        <v>0</v>
      </c>
      <c r="Z262" s="86">
        <f t="shared" si="25"/>
        <v>5</v>
      </c>
      <c r="BJ262" s="192"/>
      <c r="BK262" s="201">
        <f>+Base!$J203*100</f>
        <v>10.846560846560847</v>
      </c>
      <c r="BL262" s="202">
        <f>+'Tax Tables'!$J321*100</f>
        <v>100</v>
      </c>
      <c r="BM262" s="202">
        <f>+'Tax Tables'!$J322*100</f>
        <v>25.641025641025639</v>
      </c>
      <c r="BN262" s="202">
        <f>+'Tax Tables'!$J323*100</f>
        <v>0</v>
      </c>
      <c r="BO262" s="202">
        <f>+'Tax Tables'!$J324*100</f>
        <v>0</v>
      </c>
      <c r="BP262" s="202">
        <f>+'Tax Tables'!$J325*100</f>
        <v>0</v>
      </c>
      <c r="BQ262" s="202">
        <f>+'Tax Tables'!$J326*100</f>
        <v>0</v>
      </c>
      <c r="BR262" s="192"/>
      <c r="BS262" s="193">
        <f>+Base!$J195</f>
        <v>2100</v>
      </c>
      <c r="BT262" s="193">
        <f>+Base!$J196</f>
        <v>2000</v>
      </c>
      <c r="BU262" s="193">
        <f>+Base!$J197</f>
        <v>0</v>
      </c>
      <c r="BV262" s="193">
        <f>+Base!$J198</f>
        <v>0</v>
      </c>
      <c r="BW262" s="193">
        <f>+Base!$J199</f>
        <v>0</v>
      </c>
      <c r="BX262" s="193">
        <f>+Base!$J200</f>
        <v>0</v>
      </c>
    </row>
    <row r="263" spans="1:76" ht="15.6">
      <c r="A263" s="646" t="str">
        <f t="shared" si="24"/>
        <v/>
      </c>
      <c r="B263" s="136" t="str">
        <f>"  " &amp; Setup!E$23+$Z263-1 &amp;" - "&amp;Your_Age+$Z263-1</f>
        <v xml:space="preserve">  2024 - 67</v>
      </c>
      <c r="C263" s="465">
        <v>30000</v>
      </c>
      <c r="D263" s="464"/>
      <c r="E263" s="478">
        <f>+Details!$K18</f>
        <v>0</v>
      </c>
      <c r="F263" s="465">
        <v>30000</v>
      </c>
      <c r="G263" s="481">
        <f>-Details!$K91</f>
        <v>46400</v>
      </c>
      <c r="H263" s="482">
        <f>+Details!K321</f>
        <v>416900</v>
      </c>
      <c r="I263" s="482">
        <f>+Details!K8</f>
        <v>148300</v>
      </c>
      <c r="J263" s="200">
        <f>+Details!$K203*100</f>
        <v>11.363636363636363</v>
      </c>
      <c r="K263" s="166">
        <f>+'Tax Tables'!$K313*100</f>
        <v>100</v>
      </c>
      <c r="L263" s="166">
        <f>+'Tax Tables'!$K314*100</f>
        <v>53.75</v>
      </c>
      <c r="M263" s="166">
        <f>+'Tax Tables'!$K315*100</f>
        <v>0</v>
      </c>
      <c r="N263" s="166">
        <f>+'Tax Tables'!$K316*100</f>
        <v>0</v>
      </c>
      <c r="O263" s="166">
        <f>+'Tax Tables'!$K317*100</f>
        <v>0</v>
      </c>
      <c r="P263" s="166">
        <f>+'Tax Tables'!$K318*100</f>
        <v>0</v>
      </c>
      <c r="R263" s="200">
        <f>+Base!$K203*100</f>
        <v>11.363636363636363</v>
      </c>
      <c r="S263" s="166">
        <f>+'Tax Tables'!$K321*100</f>
        <v>100</v>
      </c>
      <c r="T263" s="166">
        <f>+'Tax Tables'!$K322*100</f>
        <v>53.75</v>
      </c>
      <c r="U263" s="166">
        <f>+'Tax Tables'!$K323*100</f>
        <v>0</v>
      </c>
      <c r="V263" s="166">
        <f>+'Tax Tables'!$K324*100</f>
        <v>0</v>
      </c>
      <c r="W263" s="166">
        <f>+'Tax Tables'!$K325*100</f>
        <v>0</v>
      </c>
      <c r="X263" s="166">
        <f>+'Tax Tables'!$K326*100</f>
        <v>0</v>
      </c>
      <c r="Z263" s="86">
        <f t="shared" si="25"/>
        <v>6</v>
      </c>
      <c r="BJ263" s="190"/>
      <c r="BK263" s="200">
        <f>+Base!$K203*100</f>
        <v>11.363636363636363</v>
      </c>
      <c r="BL263" s="166">
        <f>+'Tax Tables'!$K321*100</f>
        <v>100</v>
      </c>
      <c r="BM263" s="166">
        <f>+'Tax Tables'!$K322*100</f>
        <v>53.75</v>
      </c>
      <c r="BN263" s="166">
        <f>+'Tax Tables'!$K323*100</f>
        <v>0</v>
      </c>
      <c r="BO263" s="166">
        <f>+'Tax Tables'!$K324*100</f>
        <v>0</v>
      </c>
      <c r="BP263" s="166">
        <f>+'Tax Tables'!$K325*100</f>
        <v>0</v>
      </c>
      <c r="BQ263" s="166">
        <f>+'Tax Tables'!$K326*100</f>
        <v>0</v>
      </c>
      <c r="BR263" s="190"/>
      <c r="BS263" s="190">
        <f>+Base!$K195</f>
        <v>2200</v>
      </c>
      <c r="BT263" s="190">
        <f>+Base!$K196</f>
        <v>4300</v>
      </c>
      <c r="BU263" s="190">
        <f>+Base!$K197</f>
        <v>0</v>
      </c>
      <c r="BV263" s="190">
        <f>+Base!$K198</f>
        <v>0</v>
      </c>
      <c r="BW263" s="190">
        <f>+Base!$K199</f>
        <v>0</v>
      </c>
      <c r="BX263" s="190">
        <f>+Base!$K200</f>
        <v>0</v>
      </c>
    </row>
    <row r="264" spans="1:76" ht="15.6">
      <c r="A264" s="646" t="str">
        <f t="shared" si="24"/>
        <v/>
      </c>
      <c r="B264" s="136" t="str">
        <f>"  " &amp; Setup!E$23+$Z264-1 &amp;" - "&amp;Your_Age+$Z264-1</f>
        <v xml:space="preserve">  2025 - 68</v>
      </c>
      <c r="C264" s="464">
        <v>32000</v>
      </c>
      <c r="D264" s="464"/>
      <c r="E264" s="478">
        <f>+Details!$L18</f>
        <v>0</v>
      </c>
      <c r="F264" s="464">
        <v>32000</v>
      </c>
      <c r="G264" s="481">
        <f>-Details!$L91</f>
        <v>47800</v>
      </c>
      <c r="H264" s="482">
        <f>+Details!L321</f>
        <v>394600</v>
      </c>
      <c r="I264" s="482">
        <f>+Details!L8</f>
        <v>156400</v>
      </c>
      <c r="J264" s="200">
        <f>+Details!$L203*100</f>
        <v>11.168384879725087</v>
      </c>
      <c r="K264" s="166">
        <f>+'Tax Tables'!$L313*100</f>
        <v>100</v>
      </c>
      <c r="L264" s="166">
        <f>+'Tax Tables'!$L314*100</f>
        <v>53.086419753086425</v>
      </c>
      <c r="M264" s="166">
        <f>+'Tax Tables'!$L315*100</f>
        <v>0</v>
      </c>
      <c r="N264" s="166">
        <f>+'Tax Tables'!$L316*100</f>
        <v>0</v>
      </c>
      <c r="O264" s="166">
        <f>+'Tax Tables'!$L317*100</f>
        <v>0</v>
      </c>
      <c r="P264" s="166">
        <f>+'Tax Tables'!$L318*100</f>
        <v>0</v>
      </c>
      <c r="R264" s="200">
        <f>+Base!$L203*100</f>
        <v>11.168384879725087</v>
      </c>
      <c r="S264" s="166">
        <f>+'Tax Tables'!$L321*100</f>
        <v>100</v>
      </c>
      <c r="T264" s="166">
        <f>+'Tax Tables'!$L322*100</f>
        <v>53.086419753086425</v>
      </c>
      <c r="U264" s="166">
        <f>+'Tax Tables'!$L323*100</f>
        <v>0</v>
      </c>
      <c r="V264" s="166">
        <f>+'Tax Tables'!$L324*100</f>
        <v>0</v>
      </c>
      <c r="W264" s="166">
        <f>+'Tax Tables'!$L325*100</f>
        <v>0</v>
      </c>
      <c r="X264" s="166">
        <f>+'Tax Tables'!$L326*100</f>
        <v>0</v>
      </c>
      <c r="Z264" s="86">
        <f t="shared" si="25"/>
        <v>7</v>
      </c>
      <c r="BJ264" s="190"/>
      <c r="BK264" s="200">
        <f>+Base!$L203*100</f>
        <v>11.168384879725087</v>
      </c>
      <c r="BL264" s="166">
        <f>+'Tax Tables'!$L321*100</f>
        <v>100</v>
      </c>
      <c r="BM264" s="166">
        <f>+'Tax Tables'!$L322*100</f>
        <v>53.086419753086425</v>
      </c>
      <c r="BN264" s="166">
        <f>+'Tax Tables'!$L323*100</f>
        <v>0</v>
      </c>
      <c r="BO264" s="166">
        <f>+'Tax Tables'!$L324*100</f>
        <v>0</v>
      </c>
      <c r="BP264" s="166">
        <f>+'Tax Tables'!$L325*100</f>
        <v>0</v>
      </c>
      <c r="BQ264" s="166">
        <f>+'Tax Tables'!$L326*100</f>
        <v>0</v>
      </c>
      <c r="BR264" s="190"/>
      <c r="BS264" s="190">
        <f>+Base!$L195</f>
        <v>2200</v>
      </c>
      <c r="BT264" s="190">
        <f>+Base!$L196</f>
        <v>4300</v>
      </c>
      <c r="BU264" s="190">
        <f>+Base!$L197</f>
        <v>0</v>
      </c>
      <c r="BV264" s="190">
        <f>+Base!$L198</f>
        <v>0</v>
      </c>
      <c r="BW264" s="190">
        <f>+Base!$L199</f>
        <v>0</v>
      </c>
      <c r="BX264" s="190">
        <f>+Base!$L200</f>
        <v>0</v>
      </c>
    </row>
    <row r="265" spans="1:76" ht="15.6">
      <c r="A265" s="646" t="str">
        <f>IF(AND(($H264-$G265)&lt;$C265,$C265&gt;0),"A","")</f>
        <v/>
      </c>
      <c r="B265" s="136" t="str">
        <f>"  " &amp; Setup!E$23+$Z265-1 &amp;" - "&amp;Your_Age+$Z265-1</f>
        <v xml:space="preserve">  2026 - 69</v>
      </c>
      <c r="C265" s="464">
        <v>7000</v>
      </c>
      <c r="D265" s="464"/>
      <c r="E265" s="478">
        <f>+Details!$M18</f>
        <v>0</v>
      </c>
      <c r="F265" s="464">
        <v>7000</v>
      </c>
      <c r="G265" s="481">
        <f>-Details!$M91</f>
        <v>49200</v>
      </c>
      <c r="H265" s="482">
        <f>+Details!M321</f>
        <v>369500</v>
      </c>
      <c r="I265" s="482">
        <f>+Details!M8</f>
        <v>166100</v>
      </c>
      <c r="J265" s="200">
        <f>+Details!$M203*100</f>
        <v>11.269841269841271</v>
      </c>
      <c r="K265" s="166">
        <f>+'Tax Tables'!$M313*100</f>
        <v>100</v>
      </c>
      <c r="L265" s="166">
        <f>+'Tax Tables'!$M314*100</f>
        <v>57.831325301204814</v>
      </c>
      <c r="M265" s="166">
        <f>+'Tax Tables'!$M315*100</f>
        <v>0</v>
      </c>
      <c r="N265" s="166">
        <f>+'Tax Tables'!$M316*100</f>
        <v>0</v>
      </c>
      <c r="O265" s="166">
        <f>+'Tax Tables'!$M317*100</f>
        <v>0</v>
      </c>
      <c r="P265" s="166">
        <f>+'Tax Tables'!$M318*100</f>
        <v>0</v>
      </c>
      <c r="R265" s="200">
        <f>+Base!$M203*100</f>
        <v>11.269841269841271</v>
      </c>
      <c r="S265" s="166">
        <f>+'Tax Tables'!$M321*100</f>
        <v>100</v>
      </c>
      <c r="T265" s="166">
        <f>+'Tax Tables'!$M322*100</f>
        <v>57.831325301204814</v>
      </c>
      <c r="U265" s="166">
        <f>+'Tax Tables'!$M323*100</f>
        <v>0</v>
      </c>
      <c r="V265" s="166">
        <f>+'Tax Tables'!$M324*100</f>
        <v>0</v>
      </c>
      <c r="W265" s="166">
        <f>+'Tax Tables'!$M325*100</f>
        <v>0</v>
      </c>
      <c r="X265" s="166">
        <f>+'Tax Tables'!$M326*100</f>
        <v>0</v>
      </c>
      <c r="Z265" s="86">
        <f t="shared" si="25"/>
        <v>8</v>
      </c>
      <c r="BJ265" s="190"/>
      <c r="BK265" s="200">
        <f>+Base!$M203*100</f>
        <v>11.269841269841271</v>
      </c>
      <c r="BL265" s="166">
        <f>+'Tax Tables'!$M321*100</f>
        <v>100</v>
      </c>
      <c r="BM265" s="166">
        <f>+'Tax Tables'!$M322*100</f>
        <v>57.831325301204814</v>
      </c>
      <c r="BN265" s="166">
        <f>+'Tax Tables'!$M323*100</f>
        <v>0</v>
      </c>
      <c r="BO265" s="166">
        <f>+'Tax Tables'!$M324*100</f>
        <v>0</v>
      </c>
      <c r="BP265" s="166">
        <f>+'Tax Tables'!$M325*100</f>
        <v>0</v>
      </c>
      <c r="BQ265" s="166">
        <f>+'Tax Tables'!$M326*100</f>
        <v>0</v>
      </c>
      <c r="BR265" s="190"/>
      <c r="BS265" s="190">
        <f>+Base!$M195</f>
        <v>2300</v>
      </c>
      <c r="BT265" s="190">
        <f>+Base!$M196</f>
        <v>4800</v>
      </c>
      <c r="BU265" s="190">
        <f>+Base!$M197</f>
        <v>0</v>
      </c>
      <c r="BV265" s="190">
        <f>+Base!$M198</f>
        <v>0</v>
      </c>
      <c r="BW265" s="190">
        <f>+Base!$M199</f>
        <v>0</v>
      </c>
      <c r="BX265" s="190">
        <f>+Base!$M200</f>
        <v>0</v>
      </c>
    </row>
    <row r="266" spans="1:76" ht="15.6">
      <c r="A266" s="646" t="str">
        <f>IF(AND(($H265-$G266)&lt;$C266,$C266&gt;0),"A","")</f>
        <v/>
      </c>
      <c r="B266" s="136" t="str">
        <f>"  " &amp; Setup!E$23+$Z266-1 &amp;" - "&amp;Your_Age+$Z266-1</f>
        <v xml:space="preserve">  2027 - 70</v>
      </c>
      <c r="C266" s="464"/>
      <c r="D266" s="464"/>
      <c r="E266" s="478">
        <f>+Details!$N18</f>
        <v>0</v>
      </c>
      <c r="F266" s="464"/>
      <c r="G266" s="481">
        <f>-Details!$N91</f>
        <v>10000</v>
      </c>
      <c r="H266" s="482">
        <f>+Details!N321</f>
        <v>383200</v>
      </c>
      <c r="I266" s="482">
        <f>+Details!N8</f>
        <v>175900</v>
      </c>
      <c r="J266" s="200">
        <f>+Details!$N203*100</f>
        <v>10.875331564986737</v>
      </c>
      <c r="K266" s="166">
        <f>+'Tax Tables'!$N313*100</f>
        <v>100</v>
      </c>
      <c r="L266" s="166">
        <f>+'Tax Tables'!$N314*100</f>
        <v>21.176470588235293</v>
      </c>
      <c r="M266" s="166">
        <f>+'Tax Tables'!$N315*100</f>
        <v>0</v>
      </c>
      <c r="N266" s="166">
        <f>+'Tax Tables'!$N316*100</f>
        <v>0</v>
      </c>
      <c r="O266" s="166">
        <f>+'Tax Tables'!$N317*100</f>
        <v>0</v>
      </c>
      <c r="P266" s="166">
        <f>+'Tax Tables'!$N318*100</f>
        <v>0</v>
      </c>
      <c r="R266" s="200">
        <f>+Base!$N203*100</f>
        <v>10.875331564986737</v>
      </c>
      <c r="S266" s="166">
        <f>+'Tax Tables'!$N321*100</f>
        <v>100</v>
      </c>
      <c r="T266" s="166">
        <f>+'Tax Tables'!$N322*100</f>
        <v>21.176470588235293</v>
      </c>
      <c r="U266" s="166">
        <f>+'Tax Tables'!$N323*100</f>
        <v>0</v>
      </c>
      <c r="V266" s="166">
        <f>+'Tax Tables'!$N324*100</f>
        <v>0</v>
      </c>
      <c r="W266" s="166">
        <f>+'Tax Tables'!$N325*100</f>
        <v>0</v>
      </c>
      <c r="X266" s="166">
        <f>+'Tax Tables'!$N326*100</f>
        <v>0</v>
      </c>
      <c r="Z266" s="86">
        <f t="shared" si="25"/>
        <v>9</v>
      </c>
      <c r="BJ266" s="190"/>
      <c r="BK266" s="200">
        <f>+Base!$N203*100</f>
        <v>10.875331564986737</v>
      </c>
      <c r="BL266" s="166">
        <f>+'Tax Tables'!$N321*100</f>
        <v>100</v>
      </c>
      <c r="BM266" s="166">
        <f>+'Tax Tables'!$N322*100</f>
        <v>21.176470588235293</v>
      </c>
      <c r="BN266" s="166">
        <f>+'Tax Tables'!$N323*100</f>
        <v>0</v>
      </c>
      <c r="BO266" s="166">
        <f>+'Tax Tables'!$N324*100</f>
        <v>0</v>
      </c>
      <c r="BP266" s="166">
        <f>+'Tax Tables'!$N325*100</f>
        <v>0</v>
      </c>
      <c r="BQ266" s="166">
        <f>+'Tax Tables'!$N326*100</f>
        <v>0</v>
      </c>
      <c r="BR266" s="190"/>
      <c r="BS266" s="190">
        <f>+Base!$N195</f>
        <v>2300</v>
      </c>
      <c r="BT266" s="190">
        <f>+Base!$N196</f>
        <v>1800</v>
      </c>
      <c r="BU266" s="190">
        <f>+Base!$N197</f>
        <v>0</v>
      </c>
      <c r="BV266" s="190">
        <f>+Base!$N198</f>
        <v>0</v>
      </c>
      <c r="BW266" s="190">
        <f>+Base!$N199</f>
        <v>0</v>
      </c>
      <c r="BX266" s="190">
        <f>+Base!$N200</f>
        <v>0</v>
      </c>
    </row>
    <row r="267" spans="1:76" ht="15.6">
      <c r="A267" s="646" t="str">
        <f t="shared" ref="A267:A297" si="26">IF(AND(($H266-$G267)&lt;$C267,$C267&gt;0),"A","")</f>
        <v/>
      </c>
      <c r="B267" s="136" t="str">
        <f>"  " &amp; Setup!E$23+$Z267-1 &amp;" - "&amp;Your_Age+$Z267-1</f>
        <v xml:space="preserve">  2028 - 71</v>
      </c>
      <c r="C267" s="464"/>
      <c r="D267" s="464"/>
      <c r="E267" s="479">
        <f>+Details!$O18</f>
        <v>0</v>
      </c>
      <c r="F267" s="464"/>
      <c r="G267" s="483">
        <f>-Details!$O91</f>
        <v>9000</v>
      </c>
      <c r="H267" s="484">
        <f>+Details!O321</f>
        <v>383800</v>
      </c>
      <c r="I267" s="485">
        <f>+Details!O8</f>
        <v>202800</v>
      </c>
      <c r="J267" s="201">
        <f>+Details!$O203*100</f>
        <v>10.824742268041238</v>
      </c>
      <c r="K267" s="202">
        <f>+'Tax Tables'!$O313*100</f>
        <v>100</v>
      </c>
      <c r="L267" s="202">
        <f>+'Tax Tables'!$O314*100</f>
        <v>20.689655172413794</v>
      </c>
      <c r="M267" s="202">
        <f>+'Tax Tables'!$O315*100</f>
        <v>0</v>
      </c>
      <c r="N267" s="202">
        <f>+'Tax Tables'!$O316*100</f>
        <v>0</v>
      </c>
      <c r="O267" s="202">
        <f>+'Tax Tables'!$O317*100</f>
        <v>0</v>
      </c>
      <c r="P267" s="202">
        <f>+'Tax Tables'!$O318*100</f>
        <v>0</v>
      </c>
      <c r="R267" s="201">
        <f>+Base!$O203*100</f>
        <v>10.824742268041238</v>
      </c>
      <c r="S267" s="202">
        <f>+'Tax Tables'!$O321*100</f>
        <v>100</v>
      </c>
      <c r="T267" s="202">
        <f>+'Tax Tables'!$O322*100</f>
        <v>20.689655172413794</v>
      </c>
      <c r="U267" s="202">
        <f>+'Tax Tables'!$O323*100</f>
        <v>0</v>
      </c>
      <c r="V267" s="202">
        <f>+'Tax Tables'!$O324*100</f>
        <v>0</v>
      </c>
      <c r="W267" s="202">
        <f>+'Tax Tables'!$O325*100</f>
        <v>0</v>
      </c>
      <c r="X267" s="202">
        <f>+'Tax Tables'!$O326*100</f>
        <v>0</v>
      </c>
      <c r="Z267" s="86">
        <f t="shared" si="25"/>
        <v>10</v>
      </c>
      <c r="BJ267" s="192"/>
      <c r="BK267" s="201">
        <f>+Base!$O203*100</f>
        <v>10.824742268041238</v>
      </c>
      <c r="BL267" s="202">
        <f>+'Tax Tables'!$O321*100</f>
        <v>100</v>
      </c>
      <c r="BM267" s="202">
        <f>+'Tax Tables'!$O322*100</f>
        <v>20.689655172413794</v>
      </c>
      <c r="BN267" s="202">
        <f>+'Tax Tables'!$O323*100</f>
        <v>0</v>
      </c>
      <c r="BO267" s="202">
        <f>+'Tax Tables'!$O324*100</f>
        <v>0</v>
      </c>
      <c r="BP267" s="202">
        <f>+'Tax Tables'!$O325*100</f>
        <v>0</v>
      </c>
      <c r="BQ267" s="202">
        <f>+'Tax Tables'!$O326*100</f>
        <v>0</v>
      </c>
      <c r="BR267" s="192"/>
      <c r="BS267" s="193">
        <f>+Base!$O195</f>
        <v>2400</v>
      </c>
      <c r="BT267" s="193">
        <f>+Base!$O196</f>
        <v>1800</v>
      </c>
      <c r="BU267" s="193">
        <f>+Base!$O197</f>
        <v>0</v>
      </c>
      <c r="BV267" s="193">
        <f>+Base!$O198</f>
        <v>0</v>
      </c>
      <c r="BW267" s="193">
        <f>+Base!$O199</f>
        <v>0</v>
      </c>
      <c r="BX267" s="193">
        <f>+Base!$O200</f>
        <v>0</v>
      </c>
    </row>
    <row r="268" spans="1:76" ht="15.6">
      <c r="A268" s="646" t="str">
        <f t="shared" si="26"/>
        <v/>
      </c>
      <c r="B268" s="136" t="str">
        <f>"  " &amp; Setup!E$23+$Z268-1 &amp;" - "&amp;Your_Age+$Z268-1</f>
        <v xml:space="preserve">  2029 - 72</v>
      </c>
      <c r="C268" s="464"/>
      <c r="D268" s="464"/>
      <c r="E268" s="478">
        <f>+Details!$P18</f>
        <v>0</v>
      </c>
      <c r="F268" s="464"/>
      <c r="G268" s="481">
        <f>-Details!$P91</f>
        <v>8100</v>
      </c>
      <c r="H268" s="482">
        <f>+Details!P321</f>
        <v>384900</v>
      </c>
      <c r="I268" s="482">
        <f>+Details!P8</f>
        <v>238100</v>
      </c>
      <c r="J268" s="200">
        <f>+Details!$P203*100</f>
        <v>10.723192019950124</v>
      </c>
      <c r="K268" s="166">
        <f>+'Tax Tables'!$P313*100</f>
        <v>100</v>
      </c>
      <c r="L268" s="166">
        <f>+'Tax Tables'!$P314*100</f>
        <v>21.348314606741571</v>
      </c>
      <c r="M268" s="166">
        <f>+'Tax Tables'!$P315*100</f>
        <v>0</v>
      </c>
      <c r="N268" s="166">
        <f>+'Tax Tables'!$P316*100</f>
        <v>0</v>
      </c>
      <c r="O268" s="166">
        <f>+'Tax Tables'!$P317*100</f>
        <v>0</v>
      </c>
      <c r="P268" s="166">
        <f>+'Tax Tables'!$P318*100</f>
        <v>0</v>
      </c>
      <c r="R268" s="200">
        <f>+Base!$P203*100</f>
        <v>10.723192019950124</v>
      </c>
      <c r="S268" s="166">
        <f>+'Tax Tables'!$P321*100</f>
        <v>100</v>
      </c>
      <c r="T268" s="166">
        <f>+'Tax Tables'!$P322*100</f>
        <v>21.348314606741571</v>
      </c>
      <c r="U268" s="166">
        <f>+'Tax Tables'!$P323*100</f>
        <v>0</v>
      </c>
      <c r="V268" s="166">
        <f>+'Tax Tables'!$P324*100</f>
        <v>0</v>
      </c>
      <c r="W268" s="166">
        <f>+'Tax Tables'!$P325*100</f>
        <v>0</v>
      </c>
      <c r="X268" s="166">
        <f>+'Tax Tables'!$P326*100</f>
        <v>0</v>
      </c>
      <c r="Z268" s="86">
        <f t="shared" si="25"/>
        <v>11</v>
      </c>
      <c r="BJ268" s="190"/>
      <c r="BK268" s="200">
        <f>+Base!$P203*100</f>
        <v>10.723192019950124</v>
      </c>
      <c r="BL268" s="166">
        <f>+'Tax Tables'!$P321*100</f>
        <v>100</v>
      </c>
      <c r="BM268" s="166">
        <f>+'Tax Tables'!$P322*100</f>
        <v>21.348314606741571</v>
      </c>
      <c r="BN268" s="166">
        <f>+'Tax Tables'!$P323*100</f>
        <v>0</v>
      </c>
      <c r="BO268" s="166">
        <f>+'Tax Tables'!$P324*100</f>
        <v>0</v>
      </c>
      <c r="BP268" s="166">
        <f>+'Tax Tables'!$P325*100</f>
        <v>0</v>
      </c>
      <c r="BQ268" s="166">
        <f>+'Tax Tables'!$P326*100</f>
        <v>0</v>
      </c>
      <c r="BR268" s="190"/>
      <c r="BS268" s="190">
        <f>+Base!$P195</f>
        <v>2400</v>
      </c>
      <c r="BT268" s="190">
        <f>+Base!$P196</f>
        <v>1900</v>
      </c>
      <c r="BU268" s="190">
        <f>+Base!$P197</f>
        <v>0</v>
      </c>
      <c r="BV268" s="190">
        <f>+Base!$P198</f>
        <v>0</v>
      </c>
      <c r="BW268" s="190">
        <f>+Base!$P199</f>
        <v>0</v>
      </c>
      <c r="BX268" s="190">
        <f>+Base!$P200</f>
        <v>0</v>
      </c>
    </row>
    <row r="269" spans="1:76" ht="15.6">
      <c r="A269" s="646" t="str">
        <f t="shared" si="26"/>
        <v/>
      </c>
      <c r="B269" s="136" t="str">
        <f>"  " &amp; Setup!E$23+$Z269-1 &amp;" - "&amp;Your_Age+$Z269-1</f>
        <v xml:space="preserve">  2030 - 73</v>
      </c>
      <c r="C269" s="464"/>
      <c r="D269" s="464"/>
      <c r="E269" s="478">
        <f>+Details!$Q18</f>
        <v>0</v>
      </c>
      <c r="F269" s="464"/>
      <c r="G269" s="481">
        <f>-Details!$Q91</f>
        <v>7300</v>
      </c>
      <c r="H269" s="482">
        <f>+Details!Q321</f>
        <v>386300</v>
      </c>
      <c r="I269" s="482">
        <f>+Details!Q8</f>
        <v>194200</v>
      </c>
      <c r="J269" s="200">
        <f>+Details!$Q203*100</f>
        <v>10.874704491725769</v>
      </c>
      <c r="K269" s="166">
        <f>+'Tax Tables'!$Q313*100</f>
        <v>100</v>
      </c>
      <c r="L269" s="166">
        <f>+'Tax Tables'!$Q314*100</f>
        <v>23.076923076923077</v>
      </c>
      <c r="M269" s="166">
        <f>+'Tax Tables'!$Q315*100</f>
        <v>0</v>
      </c>
      <c r="N269" s="166">
        <f>+'Tax Tables'!$Q316*100</f>
        <v>0</v>
      </c>
      <c r="O269" s="166">
        <f>+'Tax Tables'!$Q317*100</f>
        <v>0</v>
      </c>
      <c r="P269" s="166">
        <f>+'Tax Tables'!$Q318*100</f>
        <v>0</v>
      </c>
      <c r="R269" s="200">
        <f>+Base!$Q203*100</f>
        <v>10.874704491725769</v>
      </c>
      <c r="S269" s="166">
        <f>+'Tax Tables'!$Q321*100</f>
        <v>100</v>
      </c>
      <c r="T269" s="166">
        <f>+'Tax Tables'!$Q322*100</f>
        <v>23.076923076923077</v>
      </c>
      <c r="U269" s="166">
        <f>+'Tax Tables'!$Q323*100</f>
        <v>0</v>
      </c>
      <c r="V269" s="166">
        <f>+'Tax Tables'!$Q324*100</f>
        <v>0</v>
      </c>
      <c r="W269" s="166">
        <f>+'Tax Tables'!$Q325*100</f>
        <v>0</v>
      </c>
      <c r="X269" s="166">
        <f>+'Tax Tables'!$Q326*100</f>
        <v>0</v>
      </c>
      <c r="Z269" s="86">
        <f t="shared" si="25"/>
        <v>12</v>
      </c>
      <c r="BJ269" s="190"/>
      <c r="BK269" s="200">
        <f>+Base!$Q203*100</f>
        <v>10.874704491725769</v>
      </c>
      <c r="BL269" s="166">
        <f>+'Tax Tables'!$Q321*100</f>
        <v>100</v>
      </c>
      <c r="BM269" s="166">
        <f>+'Tax Tables'!$Q322*100</f>
        <v>23.076923076923077</v>
      </c>
      <c r="BN269" s="166">
        <f>+'Tax Tables'!$Q323*100</f>
        <v>0</v>
      </c>
      <c r="BO269" s="166">
        <f>+'Tax Tables'!$Q324*100</f>
        <v>0</v>
      </c>
      <c r="BP269" s="166">
        <f>+'Tax Tables'!$Q325*100</f>
        <v>0</v>
      </c>
      <c r="BQ269" s="166">
        <f>+'Tax Tables'!$Q326*100</f>
        <v>0</v>
      </c>
      <c r="BR269" s="190"/>
      <c r="BS269" s="190">
        <f>+Base!$Q195</f>
        <v>2500</v>
      </c>
      <c r="BT269" s="190">
        <f>+Base!$Q196</f>
        <v>2100</v>
      </c>
      <c r="BU269" s="190">
        <f>+Base!$Q197</f>
        <v>0</v>
      </c>
      <c r="BV269" s="190">
        <f>+Base!$Q198</f>
        <v>0</v>
      </c>
      <c r="BW269" s="190">
        <f>+Base!$Q199</f>
        <v>0</v>
      </c>
      <c r="BX269" s="190">
        <f>+Base!$Q200</f>
        <v>0</v>
      </c>
    </row>
    <row r="270" spans="1:76" ht="15.6">
      <c r="A270" s="646" t="str">
        <f t="shared" si="26"/>
        <v/>
      </c>
      <c r="B270" s="136" t="str">
        <f>"  " &amp; Setup!E$23+$Z270-1 &amp;" - "&amp;Your_Age+$Z270-1</f>
        <v xml:space="preserve">  2031 - 74</v>
      </c>
      <c r="C270" s="464"/>
      <c r="D270" s="464"/>
      <c r="E270" s="478">
        <f>+Details!$R18</f>
        <v>0</v>
      </c>
      <c r="F270" s="464"/>
      <c r="G270" s="481">
        <f>-Details!$R91</f>
        <v>6600</v>
      </c>
      <c r="H270" s="482">
        <f>+Details!R321</f>
        <v>387900</v>
      </c>
      <c r="I270" s="482">
        <f>+Details!R8</f>
        <v>272100</v>
      </c>
      <c r="J270" s="200">
        <f>+Details!$R203*100</f>
        <v>11.090225563909774</v>
      </c>
      <c r="K270" s="166">
        <f>+'Tax Tables'!$R313*100</f>
        <v>100</v>
      </c>
      <c r="L270" s="166">
        <f>+'Tax Tables'!$R314*100</f>
        <v>36.55913978494624</v>
      </c>
      <c r="M270" s="166">
        <f>+'Tax Tables'!$R315*100</f>
        <v>0</v>
      </c>
      <c r="N270" s="166">
        <f>+'Tax Tables'!$R316*100</f>
        <v>0</v>
      </c>
      <c r="O270" s="166">
        <f>+'Tax Tables'!$R317*100</f>
        <v>0</v>
      </c>
      <c r="P270" s="166">
        <f>+'Tax Tables'!$R318*100</f>
        <v>0</v>
      </c>
      <c r="R270" s="200">
        <f>+Base!$R203*100</f>
        <v>11.090225563909774</v>
      </c>
      <c r="S270" s="166">
        <f>+'Tax Tables'!$R321*100</f>
        <v>100</v>
      </c>
      <c r="T270" s="166">
        <f>+'Tax Tables'!$R322*100</f>
        <v>36.55913978494624</v>
      </c>
      <c r="U270" s="166">
        <f>+'Tax Tables'!$R323*100</f>
        <v>0</v>
      </c>
      <c r="V270" s="166">
        <f>+'Tax Tables'!$R324*100</f>
        <v>0</v>
      </c>
      <c r="W270" s="166">
        <f>+'Tax Tables'!$R325*100</f>
        <v>0</v>
      </c>
      <c r="X270" s="166">
        <f>+'Tax Tables'!$R326*100</f>
        <v>0</v>
      </c>
      <c r="Z270" s="86">
        <f t="shared" si="25"/>
        <v>13</v>
      </c>
      <c r="BJ270" s="190"/>
      <c r="BK270" s="200">
        <f>+Base!$R203*100</f>
        <v>11.090225563909774</v>
      </c>
      <c r="BL270" s="166">
        <f>+'Tax Tables'!$R321*100</f>
        <v>100</v>
      </c>
      <c r="BM270" s="166">
        <f>+'Tax Tables'!$R322*100</f>
        <v>36.55913978494624</v>
      </c>
      <c r="BN270" s="166">
        <f>+'Tax Tables'!$R323*100</f>
        <v>0</v>
      </c>
      <c r="BO270" s="166">
        <f>+'Tax Tables'!$R324*100</f>
        <v>0</v>
      </c>
      <c r="BP270" s="166">
        <f>+'Tax Tables'!$R325*100</f>
        <v>0</v>
      </c>
      <c r="BQ270" s="166">
        <f>+'Tax Tables'!$R326*100</f>
        <v>0</v>
      </c>
      <c r="BR270" s="190"/>
      <c r="BS270" s="190">
        <f>+Base!$R195</f>
        <v>2500</v>
      </c>
      <c r="BT270" s="190">
        <f>+Base!$R196</f>
        <v>3400</v>
      </c>
      <c r="BU270" s="190">
        <f>+Base!$R197</f>
        <v>0</v>
      </c>
      <c r="BV270" s="190">
        <f>+Base!$R198</f>
        <v>0</v>
      </c>
      <c r="BW270" s="190">
        <f>+Base!$R199</f>
        <v>0</v>
      </c>
      <c r="BX270" s="190">
        <f>+Base!$R200</f>
        <v>0</v>
      </c>
    </row>
    <row r="271" spans="1:76" ht="15.6">
      <c r="A271" s="646" t="str">
        <f t="shared" si="26"/>
        <v/>
      </c>
      <c r="B271" s="136" t="str">
        <f>"  " &amp; Setup!E$23+$Z271-1 &amp;" - "&amp;Your_Age+$Z271-1</f>
        <v xml:space="preserve">  2032 - 75</v>
      </c>
      <c r="C271" s="464"/>
      <c r="D271" s="464">
        <v>10000</v>
      </c>
      <c r="E271" s="478">
        <f>+Details!$S18</f>
        <v>0</v>
      </c>
      <c r="F271" s="464">
        <v>10000</v>
      </c>
      <c r="G271" s="481">
        <f>-Details!$S91</f>
        <v>5900</v>
      </c>
      <c r="H271" s="482">
        <f>+Details!S321</f>
        <v>389600</v>
      </c>
      <c r="I271" s="482">
        <f>+Details!S8</f>
        <v>296700</v>
      </c>
      <c r="J271" s="200">
        <f>+Details!$S203*100</f>
        <v>11.111111111111111</v>
      </c>
      <c r="K271" s="166">
        <f>+'Tax Tables'!$S313*100</f>
        <v>100</v>
      </c>
      <c r="L271" s="166">
        <f>+'Tax Tables'!$S314*100</f>
        <v>38.94736842105263</v>
      </c>
      <c r="M271" s="166">
        <f>+'Tax Tables'!$S315*100</f>
        <v>0</v>
      </c>
      <c r="N271" s="166">
        <f>+'Tax Tables'!$S316*100</f>
        <v>0</v>
      </c>
      <c r="O271" s="166">
        <f>+'Tax Tables'!$S317*100</f>
        <v>0</v>
      </c>
      <c r="P271" s="166">
        <f>+'Tax Tables'!$S318*100</f>
        <v>0</v>
      </c>
      <c r="R271" s="200">
        <f>+Base!$S203*100</f>
        <v>11.111111111111111</v>
      </c>
      <c r="S271" s="166">
        <f>+'Tax Tables'!$S321*100</f>
        <v>100</v>
      </c>
      <c r="T271" s="166">
        <f>+'Tax Tables'!$S322*100</f>
        <v>38.94736842105263</v>
      </c>
      <c r="U271" s="166">
        <f>+'Tax Tables'!$S323*100</f>
        <v>0</v>
      </c>
      <c r="V271" s="166">
        <f>+'Tax Tables'!$S324*100</f>
        <v>0</v>
      </c>
      <c r="W271" s="166">
        <f>+'Tax Tables'!$S325*100</f>
        <v>0</v>
      </c>
      <c r="X271" s="166">
        <f>+'Tax Tables'!$S326*100</f>
        <v>0</v>
      </c>
      <c r="Z271" s="86">
        <f t="shared" si="25"/>
        <v>14</v>
      </c>
      <c r="BJ271" s="190"/>
      <c r="BK271" s="200">
        <f>+Base!$S203*100</f>
        <v>11.111111111111111</v>
      </c>
      <c r="BL271" s="166">
        <f>+'Tax Tables'!$S321*100</f>
        <v>100</v>
      </c>
      <c r="BM271" s="166">
        <f>+'Tax Tables'!$S322*100</f>
        <v>38.94736842105263</v>
      </c>
      <c r="BN271" s="166">
        <f>+'Tax Tables'!$S323*100</f>
        <v>0</v>
      </c>
      <c r="BO271" s="166">
        <f>+'Tax Tables'!$S324*100</f>
        <v>0</v>
      </c>
      <c r="BP271" s="166">
        <f>+'Tax Tables'!$S325*100</f>
        <v>0</v>
      </c>
      <c r="BQ271" s="166">
        <f>+'Tax Tables'!$S326*100</f>
        <v>0</v>
      </c>
      <c r="BR271" s="190"/>
      <c r="BS271" s="190">
        <f>+Base!$S195</f>
        <v>2600</v>
      </c>
      <c r="BT271" s="190">
        <f>+Base!$S196</f>
        <v>3700</v>
      </c>
      <c r="BU271" s="190">
        <f>+Base!$S197</f>
        <v>0</v>
      </c>
      <c r="BV271" s="190">
        <f>+Base!$S198</f>
        <v>0</v>
      </c>
      <c r="BW271" s="190">
        <f>+Base!$S199</f>
        <v>0</v>
      </c>
      <c r="BX271" s="190">
        <f>+Base!$S200</f>
        <v>0</v>
      </c>
    </row>
    <row r="272" spans="1:76" ht="15.6">
      <c r="A272" s="646" t="str">
        <f t="shared" si="26"/>
        <v/>
      </c>
      <c r="B272" s="136" t="str">
        <f>"  " &amp; Setup!E$23+$Z272-1 &amp;" - "&amp;Your_Age+$Z272-1</f>
        <v xml:space="preserve">  2033 - 76</v>
      </c>
      <c r="C272" s="644"/>
      <c r="D272" s="464">
        <v>15000</v>
      </c>
      <c r="E272" s="479">
        <f>+Details!$T18</f>
        <v>0</v>
      </c>
      <c r="F272" s="464">
        <v>15000</v>
      </c>
      <c r="G272" s="483">
        <f>-Details!$T91</f>
        <v>0</v>
      </c>
      <c r="H272" s="484">
        <f>+Details!T321</f>
        <v>396600</v>
      </c>
      <c r="I272" s="485">
        <f>+Details!T8</f>
        <v>344500</v>
      </c>
      <c r="J272" s="201">
        <f>+Details!$T203*100</f>
        <v>11.286407766990292</v>
      </c>
      <c r="K272" s="202">
        <f>+'Tax Tables'!$T313*100</f>
        <v>100</v>
      </c>
      <c r="L272" s="202">
        <f>+'Tax Tables'!$T314*100</f>
        <v>69.072164948453604</v>
      </c>
      <c r="M272" s="202">
        <f>+'Tax Tables'!$T315*100</f>
        <v>0</v>
      </c>
      <c r="N272" s="202">
        <f>+'Tax Tables'!$T316*100</f>
        <v>0</v>
      </c>
      <c r="O272" s="202">
        <f>+'Tax Tables'!$T317*100</f>
        <v>0</v>
      </c>
      <c r="P272" s="202">
        <f>+'Tax Tables'!$T318*100</f>
        <v>0</v>
      </c>
      <c r="R272" s="201">
        <f>+Base!$T203*100</f>
        <v>11.286407766990292</v>
      </c>
      <c r="S272" s="202">
        <f>+'Tax Tables'!$T321*100</f>
        <v>100</v>
      </c>
      <c r="T272" s="202">
        <f>+'Tax Tables'!$T322*100</f>
        <v>69.072164948453604</v>
      </c>
      <c r="U272" s="202">
        <f>+'Tax Tables'!$T323*100</f>
        <v>0</v>
      </c>
      <c r="V272" s="202">
        <f>+'Tax Tables'!$T324*100</f>
        <v>0</v>
      </c>
      <c r="W272" s="202">
        <f>+'Tax Tables'!$T325*100</f>
        <v>0</v>
      </c>
      <c r="X272" s="202">
        <f>+'Tax Tables'!$T326*100</f>
        <v>0</v>
      </c>
      <c r="Z272" s="86">
        <f t="shared" si="25"/>
        <v>15</v>
      </c>
      <c r="BJ272" s="192"/>
      <c r="BK272" s="201">
        <f>+Base!$T203*100</f>
        <v>11.286407766990292</v>
      </c>
      <c r="BL272" s="202">
        <f>+'Tax Tables'!$T321*100</f>
        <v>100</v>
      </c>
      <c r="BM272" s="202">
        <f>+'Tax Tables'!$T322*100</f>
        <v>69.072164948453604</v>
      </c>
      <c r="BN272" s="202">
        <f>+'Tax Tables'!$T323*100</f>
        <v>0</v>
      </c>
      <c r="BO272" s="202">
        <f>+'Tax Tables'!$T324*100</f>
        <v>0</v>
      </c>
      <c r="BP272" s="202">
        <f>+'Tax Tables'!$T325*100</f>
        <v>0</v>
      </c>
      <c r="BQ272" s="202">
        <f>+'Tax Tables'!$T326*100</f>
        <v>0</v>
      </c>
      <c r="BR272" s="192"/>
      <c r="BS272" s="193">
        <f>+Base!$T195</f>
        <v>2600</v>
      </c>
      <c r="BT272" s="193">
        <f>+Base!$T196</f>
        <v>6700</v>
      </c>
      <c r="BU272" s="193">
        <f>+Base!$T197</f>
        <v>0</v>
      </c>
      <c r="BV272" s="193">
        <f>+Base!$T198</f>
        <v>0</v>
      </c>
      <c r="BW272" s="193">
        <f>+Base!$T199</f>
        <v>0</v>
      </c>
      <c r="BX272" s="193">
        <f>+Base!$T200</f>
        <v>0</v>
      </c>
    </row>
    <row r="273" spans="1:76" ht="15.6">
      <c r="A273" s="646" t="str">
        <f t="shared" si="26"/>
        <v/>
      </c>
      <c r="B273" s="136" t="str">
        <f>"  " &amp; Setup!E$23+$Z273-1 &amp;" - "&amp;Your_Age+$Z273-1</f>
        <v xml:space="preserve">  2034 - 77</v>
      </c>
      <c r="C273" s="464"/>
      <c r="D273" s="464"/>
      <c r="E273" s="478">
        <f>+Details!$U18</f>
        <v>0</v>
      </c>
      <c r="F273" s="465"/>
      <c r="G273" s="481">
        <f>-Details!$U91</f>
        <v>0</v>
      </c>
      <c r="H273" s="482">
        <f>+Details!U321</f>
        <v>403100</v>
      </c>
      <c r="I273" s="482">
        <f>+Details!U8</f>
        <v>301300</v>
      </c>
      <c r="J273" s="200">
        <f>+Details!$U203*100</f>
        <v>11.401673640167365</v>
      </c>
      <c r="K273" s="166">
        <f>+'Tax Tables'!$U313*100</f>
        <v>100</v>
      </c>
      <c r="L273" s="166">
        <f>+'Tax Tables'!$U314*100</f>
        <v>82.828282828282823</v>
      </c>
      <c r="M273" s="166">
        <f>+'Tax Tables'!$U315*100</f>
        <v>0</v>
      </c>
      <c r="N273" s="166">
        <f>+'Tax Tables'!$U316*100</f>
        <v>0</v>
      </c>
      <c r="O273" s="166">
        <f>+'Tax Tables'!$U317*100</f>
        <v>0</v>
      </c>
      <c r="P273" s="166">
        <f>+'Tax Tables'!$U318*100</f>
        <v>0</v>
      </c>
      <c r="R273" s="200">
        <f>+Base!$U203*100</f>
        <v>11.401673640167365</v>
      </c>
      <c r="S273" s="166">
        <f>+'Tax Tables'!$U321*100</f>
        <v>100</v>
      </c>
      <c r="T273" s="166">
        <f>+'Tax Tables'!$U322*100</f>
        <v>82.828282828282823</v>
      </c>
      <c r="U273" s="166">
        <f>+'Tax Tables'!$U323*100</f>
        <v>0</v>
      </c>
      <c r="V273" s="166">
        <f>+'Tax Tables'!$U324*100</f>
        <v>0</v>
      </c>
      <c r="W273" s="166">
        <f>+'Tax Tables'!$U325*100</f>
        <v>0</v>
      </c>
      <c r="X273" s="166">
        <f>+'Tax Tables'!$U326*100</f>
        <v>0</v>
      </c>
      <c r="Z273" s="86">
        <f t="shared" si="25"/>
        <v>16</v>
      </c>
      <c r="BJ273" s="190"/>
      <c r="BK273" s="200">
        <f>+Base!$U203*100</f>
        <v>11.401673640167365</v>
      </c>
      <c r="BL273" s="166">
        <f>+'Tax Tables'!$U321*100</f>
        <v>100</v>
      </c>
      <c r="BM273" s="166">
        <f>+'Tax Tables'!$U322*100</f>
        <v>82.828282828282823</v>
      </c>
      <c r="BN273" s="166">
        <f>+'Tax Tables'!$U323*100</f>
        <v>0</v>
      </c>
      <c r="BO273" s="166">
        <f>+'Tax Tables'!$U324*100</f>
        <v>0</v>
      </c>
      <c r="BP273" s="166">
        <f>+'Tax Tables'!$U325*100</f>
        <v>0</v>
      </c>
      <c r="BQ273" s="166">
        <f>+'Tax Tables'!$U326*100</f>
        <v>0</v>
      </c>
      <c r="BR273" s="190"/>
      <c r="BS273" s="190">
        <f>+Base!$U195</f>
        <v>2700</v>
      </c>
      <c r="BT273" s="190">
        <f>+Base!$U196</f>
        <v>8200</v>
      </c>
      <c r="BU273" s="190">
        <f>+Base!$U197</f>
        <v>0</v>
      </c>
      <c r="BV273" s="190">
        <f>+Base!$U198</f>
        <v>0</v>
      </c>
      <c r="BW273" s="190">
        <f>+Base!$U199</f>
        <v>0</v>
      </c>
      <c r="BX273" s="190">
        <f>+Base!$U200</f>
        <v>0</v>
      </c>
    </row>
    <row r="274" spans="1:76" ht="15.6">
      <c r="A274" s="646" t="str">
        <f t="shared" si="26"/>
        <v/>
      </c>
      <c r="B274" s="136" t="str">
        <f>"  " &amp; Setup!E$23+$Z274-1 &amp;" - "&amp;Your_Age+$Z274-1</f>
        <v xml:space="preserve">  2035 - 78</v>
      </c>
      <c r="C274" s="464"/>
      <c r="D274" s="464"/>
      <c r="E274" s="478">
        <f>+Details!$V18</f>
        <v>0</v>
      </c>
      <c r="F274" s="464"/>
      <c r="G274" s="481">
        <f>-Details!$V91</f>
        <v>0</v>
      </c>
      <c r="H274" s="482">
        <f>+Details!V321</f>
        <v>408800</v>
      </c>
      <c r="I274" s="482">
        <f>+Details!V8</f>
        <v>424600</v>
      </c>
      <c r="J274" s="200">
        <f>+Details!$V203*100</f>
        <v>11.434977578475337</v>
      </c>
      <c r="K274" s="166">
        <f>+'Tax Tables'!$V313*100</f>
        <v>100</v>
      </c>
      <c r="L274" s="166">
        <f>+'Tax Tables'!$V314*100</f>
        <v>73.267326732673268</v>
      </c>
      <c r="M274" s="166">
        <f>+'Tax Tables'!$V315*100</f>
        <v>0</v>
      </c>
      <c r="N274" s="166">
        <f>+'Tax Tables'!$V316*100</f>
        <v>0</v>
      </c>
      <c r="O274" s="166">
        <f>+'Tax Tables'!$V317*100</f>
        <v>0</v>
      </c>
      <c r="P274" s="166">
        <f>+'Tax Tables'!$V318*100</f>
        <v>0</v>
      </c>
      <c r="R274" s="200">
        <f>+Base!$V203*100</f>
        <v>11.434977578475337</v>
      </c>
      <c r="S274" s="166">
        <f>+'Tax Tables'!$V321*100</f>
        <v>100</v>
      </c>
      <c r="T274" s="166">
        <f>+'Tax Tables'!$V322*100</f>
        <v>73.267326732673268</v>
      </c>
      <c r="U274" s="166">
        <f>+'Tax Tables'!$V323*100</f>
        <v>0</v>
      </c>
      <c r="V274" s="166">
        <f>+'Tax Tables'!$V324*100</f>
        <v>0</v>
      </c>
      <c r="W274" s="166">
        <f>+'Tax Tables'!$V325*100</f>
        <v>0</v>
      </c>
      <c r="X274" s="166">
        <f>+'Tax Tables'!$V326*100</f>
        <v>0</v>
      </c>
      <c r="Z274" s="86">
        <f t="shared" si="25"/>
        <v>17</v>
      </c>
      <c r="BJ274" s="190"/>
      <c r="BK274" s="200">
        <f>+Base!$V203*100</f>
        <v>11.434977578475337</v>
      </c>
      <c r="BL274" s="166">
        <f>+'Tax Tables'!$V321*100</f>
        <v>100</v>
      </c>
      <c r="BM274" s="166">
        <f>+'Tax Tables'!$V322*100</f>
        <v>73.267326732673268</v>
      </c>
      <c r="BN274" s="166">
        <f>+'Tax Tables'!$V323*100</f>
        <v>0</v>
      </c>
      <c r="BO274" s="166">
        <f>+'Tax Tables'!$V324*100</f>
        <v>0</v>
      </c>
      <c r="BP274" s="166">
        <f>+'Tax Tables'!$V325*100</f>
        <v>0</v>
      </c>
      <c r="BQ274" s="166">
        <f>+'Tax Tables'!$V326*100</f>
        <v>0</v>
      </c>
      <c r="BR274" s="190"/>
      <c r="BS274" s="190">
        <f>+Base!$V195</f>
        <v>2800</v>
      </c>
      <c r="BT274" s="190">
        <f>+Base!$V196</f>
        <v>7400</v>
      </c>
      <c r="BU274" s="190">
        <f>+Base!$V197</f>
        <v>0</v>
      </c>
      <c r="BV274" s="190">
        <f>+Base!$V198</f>
        <v>0</v>
      </c>
      <c r="BW274" s="190">
        <f>+Base!$V199</f>
        <v>0</v>
      </c>
      <c r="BX274" s="190">
        <f>+Base!$V200</f>
        <v>0</v>
      </c>
    </row>
    <row r="275" spans="1:76" ht="15.6">
      <c r="A275" s="646" t="str">
        <f t="shared" si="26"/>
        <v/>
      </c>
      <c r="B275" s="136" t="str">
        <f>"  " &amp; Setup!E$23+$Z275-1 &amp;" - "&amp;Your_Age+$Z275-1</f>
        <v xml:space="preserve">  2036 - 79</v>
      </c>
      <c r="C275" s="464"/>
      <c r="D275" s="464"/>
      <c r="E275" s="478">
        <f>+Details!$W18</f>
        <v>0</v>
      </c>
      <c r="F275" s="464"/>
      <c r="G275" s="481">
        <f>-Details!$W91</f>
        <v>0</v>
      </c>
      <c r="H275" s="482">
        <f>+Details!W321</f>
        <v>413700</v>
      </c>
      <c r="I275" s="482">
        <f>+Details!W8</f>
        <v>480700</v>
      </c>
      <c r="J275" s="200">
        <f>+Details!$W203*100</f>
        <v>11.375947995666305</v>
      </c>
      <c r="K275" s="166">
        <f>+'Tax Tables'!$W313*100</f>
        <v>100</v>
      </c>
      <c r="L275" s="166">
        <f>+'Tax Tables'!$W314*100</f>
        <v>74.038461538461547</v>
      </c>
      <c r="M275" s="166">
        <f>+'Tax Tables'!$W315*100</f>
        <v>0</v>
      </c>
      <c r="N275" s="166">
        <f>+'Tax Tables'!$W316*100</f>
        <v>0</v>
      </c>
      <c r="O275" s="166">
        <f>+'Tax Tables'!$W317*100</f>
        <v>0</v>
      </c>
      <c r="P275" s="166">
        <f>+'Tax Tables'!$W318*100</f>
        <v>0</v>
      </c>
      <c r="R275" s="200">
        <f>+Base!$W203*100</f>
        <v>11.375947995666305</v>
      </c>
      <c r="S275" s="166">
        <f>+'Tax Tables'!$W321*100</f>
        <v>100</v>
      </c>
      <c r="T275" s="166">
        <f>+'Tax Tables'!$W322*100</f>
        <v>74.038461538461547</v>
      </c>
      <c r="U275" s="166">
        <f>+'Tax Tables'!$W323*100</f>
        <v>0</v>
      </c>
      <c r="V275" s="166">
        <f>+'Tax Tables'!$W324*100</f>
        <v>0</v>
      </c>
      <c r="W275" s="166">
        <f>+'Tax Tables'!$W325*100</f>
        <v>0</v>
      </c>
      <c r="X275" s="166">
        <f>+'Tax Tables'!$W326*100</f>
        <v>0</v>
      </c>
      <c r="Z275" s="86">
        <f t="shared" si="25"/>
        <v>18</v>
      </c>
      <c r="BJ275" s="190"/>
      <c r="BK275" s="200">
        <f>+Base!$W203*100</f>
        <v>11.375947995666305</v>
      </c>
      <c r="BL275" s="166">
        <f>+'Tax Tables'!$W321*100</f>
        <v>100</v>
      </c>
      <c r="BM275" s="166">
        <f>+'Tax Tables'!$W322*100</f>
        <v>74.038461538461547</v>
      </c>
      <c r="BN275" s="166">
        <f>+'Tax Tables'!$W323*100</f>
        <v>0</v>
      </c>
      <c r="BO275" s="166">
        <f>+'Tax Tables'!$W324*100</f>
        <v>0</v>
      </c>
      <c r="BP275" s="166">
        <f>+'Tax Tables'!$W325*100</f>
        <v>0</v>
      </c>
      <c r="BQ275" s="166">
        <f>+'Tax Tables'!$W326*100</f>
        <v>0</v>
      </c>
      <c r="BR275" s="190"/>
      <c r="BS275" s="190">
        <f>+Base!$W195</f>
        <v>2800</v>
      </c>
      <c r="BT275" s="190">
        <f>+Base!$W196</f>
        <v>7700</v>
      </c>
      <c r="BU275" s="190">
        <f>+Base!$W197</f>
        <v>0</v>
      </c>
      <c r="BV275" s="190">
        <f>+Base!$W198</f>
        <v>0</v>
      </c>
      <c r="BW275" s="190">
        <f>+Base!$W199</f>
        <v>0</v>
      </c>
      <c r="BX275" s="190">
        <f>+Base!$W200</f>
        <v>0</v>
      </c>
    </row>
    <row r="276" spans="1:76" ht="15.6">
      <c r="A276" s="646" t="str">
        <f t="shared" si="26"/>
        <v/>
      </c>
      <c r="B276" s="136" t="str">
        <f>"  " &amp; Setup!E$23+$Z276-1 &amp;" - "&amp;Your_Age+$Z276-1</f>
        <v xml:space="preserve">  2037 - 80</v>
      </c>
      <c r="C276" s="464"/>
      <c r="D276" s="464"/>
      <c r="E276" s="478">
        <f>+Details!$X18</f>
        <v>0</v>
      </c>
      <c r="F276" s="464"/>
      <c r="G276" s="481">
        <f>-Details!$X91</f>
        <v>0</v>
      </c>
      <c r="H276" s="482">
        <f>+Details!X321</f>
        <v>414100</v>
      </c>
      <c r="I276" s="482">
        <f>+Details!X8</f>
        <v>541400</v>
      </c>
      <c r="J276" s="200">
        <f>+Details!$X203*100</f>
        <v>11.318553092182031</v>
      </c>
      <c r="K276" s="166">
        <f>+'Tax Tables'!$X313*100</f>
        <v>100</v>
      </c>
      <c r="L276" s="166">
        <f>+'Tax Tables'!$X314*100</f>
        <v>64.15094339622641</v>
      </c>
      <c r="M276" s="166">
        <f>+'Tax Tables'!$X315*100</f>
        <v>0</v>
      </c>
      <c r="N276" s="166">
        <f>+'Tax Tables'!$X316*100</f>
        <v>0</v>
      </c>
      <c r="O276" s="166">
        <f>+'Tax Tables'!$X317*100</f>
        <v>0</v>
      </c>
      <c r="P276" s="166">
        <f>+'Tax Tables'!$X318*100</f>
        <v>0</v>
      </c>
      <c r="R276" s="200">
        <f>+Base!$X203*100</f>
        <v>11.318553092182031</v>
      </c>
      <c r="S276" s="166">
        <f>+'Tax Tables'!$X321*100</f>
        <v>100</v>
      </c>
      <c r="T276" s="166">
        <f>+'Tax Tables'!$X322*100</f>
        <v>64.15094339622641</v>
      </c>
      <c r="U276" s="166">
        <f>+'Tax Tables'!$X323*100</f>
        <v>0</v>
      </c>
      <c r="V276" s="166">
        <f>+'Tax Tables'!$X324*100</f>
        <v>0</v>
      </c>
      <c r="W276" s="166">
        <f>+'Tax Tables'!$X325*100</f>
        <v>0</v>
      </c>
      <c r="X276" s="166">
        <f>+'Tax Tables'!$X326*100</f>
        <v>0</v>
      </c>
      <c r="Z276" s="86">
        <f t="shared" si="25"/>
        <v>19</v>
      </c>
      <c r="BJ276" s="190"/>
      <c r="BK276" s="200">
        <f>+Base!$X203*100</f>
        <v>11.318553092182031</v>
      </c>
      <c r="BL276" s="166">
        <f>+'Tax Tables'!$X321*100</f>
        <v>100</v>
      </c>
      <c r="BM276" s="166">
        <f>+'Tax Tables'!$X322*100</f>
        <v>64.15094339622641</v>
      </c>
      <c r="BN276" s="166">
        <f>+'Tax Tables'!$X323*100</f>
        <v>0</v>
      </c>
      <c r="BO276" s="166">
        <f>+'Tax Tables'!$X324*100</f>
        <v>0</v>
      </c>
      <c r="BP276" s="166">
        <f>+'Tax Tables'!$X325*100</f>
        <v>0</v>
      </c>
      <c r="BQ276" s="166">
        <f>+'Tax Tables'!$X326*100</f>
        <v>0</v>
      </c>
      <c r="BR276" s="190"/>
      <c r="BS276" s="190">
        <f>+Base!$X195</f>
        <v>2900</v>
      </c>
      <c r="BT276" s="190">
        <f>+Base!$X196</f>
        <v>6800</v>
      </c>
      <c r="BU276" s="190">
        <f>+Base!$X197</f>
        <v>0</v>
      </c>
      <c r="BV276" s="190">
        <f>+Base!$X198</f>
        <v>0</v>
      </c>
      <c r="BW276" s="190">
        <f>+Base!$X199</f>
        <v>0</v>
      </c>
      <c r="BX276" s="190">
        <f>+Base!$X200</f>
        <v>0</v>
      </c>
    </row>
    <row r="277" spans="1:76" ht="15.6">
      <c r="A277" s="646" t="str">
        <f t="shared" si="26"/>
        <v/>
      </c>
      <c r="B277" s="136" t="str">
        <f>"  " &amp; Setup!E$23+$Z277-1 &amp;" - "&amp;Your_Age+$Z277-1</f>
        <v xml:space="preserve">  2038 - 81</v>
      </c>
      <c r="C277" s="464"/>
      <c r="D277" s="464"/>
      <c r="E277" s="479">
        <f>+Details!$Y18</f>
        <v>0</v>
      </c>
      <c r="F277" s="644"/>
      <c r="G277" s="483">
        <f>-Details!$Y91</f>
        <v>0</v>
      </c>
      <c r="H277" s="484">
        <f>+Details!Y321</f>
        <v>413500</v>
      </c>
      <c r="I277" s="485">
        <f>+Details!Y8</f>
        <v>574700</v>
      </c>
      <c r="J277" s="201">
        <f>+Details!$Y203*100</f>
        <v>11.314285714285715</v>
      </c>
      <c r="K277" s="202">
        <f>+'Tax Tables'!$Y313*100</f>
        <v>100</v>
      </c>
      <c r="L277" s="202">
        <f>+'Tax Tables'!$Y314*100</f>
        <v>64.81481481481481</v>
      </c>
      <c r="M277" s="202">
        <f>+'Tax Tables'!$Y315*100</f>
        <v>0</v>
      </c>
      <c r="N277" s="202">
        <f>+'Tax Tables'!$Y316*100</f>
        <v>0</v>
      </c>
      <c r="O277" s="202">
        <f>+'Tax Tables'!$Y317*100</f>
        <v>0</v>
      </c>
      <c r="P277" s="202">
        <f>+'Tax Tables'!$Y318*100</f>
        <v>0</v>
      </c>
      <c r="R277" s="201">
        <f>+Base!$Y203*100</f>
        <v>11.314285714285715</v>
      </c>
      <c r="S277" s="202">
        <f>+'Tax Tables'!$Y321*100</f>
        <v>100</v>
      </c>
      <c r="T277" s="202">
        <f>+'Tax Tables'!$Y322*100</f>
        <v>64.81481481481481</v>
      </c>
      <c r="U277" s="202">
        <f>+'Tax Tables'!$Y323*100</f>
        <v>0</v>
      </c>
      <c r="V277" s="202">
        <f>+'Tax Tables'!$Y324*100</f>
        <v>0</v>
      </c>
      <c r="W277" s="202">
        <f>+'Tax Tables'!$Y325*100</f>
        <v>0</v>
      </c>
      <c r="X277" s="202">
        <f>+'Tax Tables'!$Y326*100</f>
        <v>0</v>
      </c>
      <c r="Z277" s="86">
        <f t="shared" si="25"/>
        <v>20</v>
      </c>
      <c r="BJ277" s="192"/>
      <c r="BK277" s="201">
        <f>+Base!$Y203*100</f>
        <v>11.314285714285715</v>
      </c>
      <c r="BL277" s="202">
        <f>+'Tax Tables'!$Y321*100</f>
        <v>100</v>
      </c>
      <c r="BM277" s="202">
        <f>+'Tax Tables'!$Y322*100</f>
        <v>64.81481481481481</v>
      </c>
      <c r="BN277" s="202">
        <f>+'Tax Tables'!$Y323*100</f>
        <v>0</v>
      </c>
      <c r="BO277" s="202">
        <f>+'Tax Tables'!$Y324*100</f>
        <v>0</v>
      </c>
      <c r="BP277" s="202">
        <f>+'Tax Tables'!$Y325*100</f>
        <v>0</v>
      </c>
      <c r="BQ277" s="202">
        <f>+'Tax Tables'!$Y326*100</f>
        <v>0</v>
      </c>
      <c r="BR277" s="192"/>
      <c r="BS277" s="193">
        <f>+Base!$Y195</f>
        <v>2900</v>
      </c>
      <c r="BT277" s="193">
        <f>+Base!$Y196</f>
        <v>7000</v>
      </c>
      <c r="BU277" s="193">
        <f>+Base!$Y197</f>
        <v>0</v>
      </c>
      <c r="BV277" s="193">
        <f>+Base!$Y198</f>
        <v>0</v>
      </c>
      <c r="BW277" s="193">
        <f>+Base!$Y199</f>
        <v>0</v>
      </c>
      <c r="BX277" s="193">
        <f>+Base!$Y200</f>
        <v>0</v>
      </c>
    </row>
    <row r="278" spans="1:76" ht="15.6">
      <c r="A278" s="646" t="str">
        <f t="shared" si="26"/>
        <v/>
      </c>
      <c r="B278" s="136" t="str">
        <f>"  " &amp; Setup!E$23+$Z278-1 &amp;" - "&amp;Your_Age+$Z278-1</f>
        <v xml:space="preserve">  2039 - 82</v>
      </c>
      <c r="C278" s="464"/>
      <c r="D278" s="465"/>
      <c r="E278" s="478">
        <f>+Details!$Z18</f>
        <v>0</v>
      </c>
      <c r="F278" s="465"/>
      <c r="G278" s="481">
        <f>-Details!$Z91</f>
        <v>0</v>
      </c>
      <c r="H278" s="482">
        <f>+Details!Z321</f>
        <v>411800</v>
      </c>
      <c r="I278" s="482">
        <f>+Details!Z8</f>
        <v>609500</v>
      </c>
      <c r="J278" s="200">
        <f>+Details!$Z203*100</f>
        <v>11.356119073869902</v>
      </c>
      <c r="K278" s="166">
        <f>+'Tax Tables'!$Z313*100</f>
        <v>100</v>
      </c>
      <c r="L278" s="166">
        <f>+'Tax Tables'!$Z314*100</f>
        <v>65.765765765765778</v>
      </c>
      <c r="M278" s="166">
        <f>+'Tax Tables'!$Z315*100</f>
        <v>0</v>
      </c>
      <c r="N278" s="166">
        <f>+'Tax Tables'!$Z316*100</f>
        <v>0</v>
      </c>
      <c r="O278" s="166">
        <f>+'Tax Tables'!$Z317*100</f>
        <v>0</v>
      </c>
      <c r="P278" s="166">
        <f>+'Tax Tables'!$Z318*100</f>
        <v>0</v>
      </c>
      <c r="R278" s="200">
        <f>+Base!$Z203*100</f>
        <v>11.356119073869902</v>
      </c>
      <c r="S278" s="166">
        <f>+'Tax Tables'!$Z321*100</f>
        <v>100</v>
      </c>
      <c r="T278" s="166">
        <f>+'Tax Tables'!$Z322*100</f>
        <v>65.765765765765778</v>
      </c>
      <c r="U278" s="166">
        <f>+'Tax Tables'!$Z323*100</f>
        <v>0</v>
      </c>
      <c r="V278" s="166">
        <f>+'Tax Tables'!$Z324*100</f>
        <v>0</v>
      </c>
      <c r="W278" s="166">
        <f>+'Tax Tables'!$Z325*100</f>
        <v>0</v>
      </c>
      <c r="X278" s="166">
        <f>+'Tax Tables'!$Z326*100</f>
        <v>0</v>
      </c>
      <c r="Z278" s="86">
        <f t="shared" si="25"/>
        <v>21</v>
      </c>
      <c r="BJ278" s="190"/>
      <c r="BK278" s="200">
        <f>+Base!$Z203*100</f>
        <v>11.356119073869902</v>
      </c>
      <c r="BL278" s="166">
        <f>+'Tax Tables'!$Z321*100</f>
        <v>100</v>
      </c>
      <c r="BM278" s="166">
        <f>+'Tax Tables'!$Z322*100</f>
        <v>65.765765765765778</v>
      </c>
      <c r="BN278" s="166">
        <f>+'Tax Tables'!$Z323*100</f>
        <v>0</v>
      </c>
      <c r="BO278" s="166">
        <f>+'Tax Tables'!$Z324*100</f>
        <v>0</v>
      </c>
      <c r="BP278" s="166">
        <f>+'Tax Tables'!$Z325*100</f>
        <v>0</v>
      </c>
      <c r="BQ278" s="166">
        <f>+'Tax Tables'!$Z326*100</f>
        <v>0</v>
      </c>
      <c r="BR278" s="190"/>
      <c r="BS278" s="190">
        <f>+Base!$Z195</f>
        <v>3000</v>
      </c>
      <c r="BT278" s="190">
        <f>+Base!$Z196</f>
        <v>7300</v>
      </c>
      <c r="BU278" s="190">
        <f>+Base!$Z197</f>
        <v>0</v>
      </c>
      <c r="BV278" s="190">
        <f>+Base!$Z198</f>
        <v>0</v>
      </c>
      <c r="BW278" s="190">
        <f>+Base!$Z199</f>
        <v>0</v>
      </c>
      <c r="BX278" s="190">
        <f>+Base!$Z200</f>
        <v>0</v>
      </c>
    </row>
    <row r="279" spans="1:76" ht="15.6">
      <c r="A279" s="646" t="str">
        <f t="shared" si="26"/>
        <v/>
      </c>
      <c r="B279" s="136" t="str">
        <f>"  " &amp; Setup!E$23+$Z279-1 &amp;" - "&amp;Your_Age+$Z279-1</f>
        <v xml:space="preserve">  2040 - 83</v>
      </c>
      <c r="C279" s="464"/>
      <c r="D279" s="465"/>
      <c r="E279" s="478">
        <f>+Details!$AA18</f>
        <v>0</v>
      </c>
      <c r="F279" s="464"/>
      <c r="G279" s="481">
        <f>-Details!$AA91</f>
        <v>0</v>
      </c>
      <c r="H279" s="482">
        <f>+Details!AA321</f>
        <v>408900</v>
      </c>
      <c r="I279" s="482">
        <f>+Details!AA8</f>
        <v>647200</v>
      </c>
      <c r="J279" s="200">
        <f>+Details!$AA203*100</f>
        <v>11.440677966101696</v>
      </c>
      <c r="K279" s="166">
        <f>+'Tax Tables'!$AA313*100</f>
        <v>100</v>
      </c>
      <c r="L279" s="166">
        <f>+'Tax Tables'!$AA314*100</f>
        <v>68.141592920353972</v>
      </c>
      <c r="M279" s="166">
        <f>+'Tax Tables'!$AA315*100</f>
        <v>0</v>
      </c>
      <c r="N279" s="166">
        <f>+'Tax Tables'!$AA316*100</f>
        <v>0</v>
      </c>
      <c r="O279" s="166">
        <f>+'Tax Tables'!$AA317*100</f>
        <v>0</v>
      </c>
      <c r="P279" s="166">
        <f>+'Tax Tables'!$AA318*100</f>
        <v>0</v>
      </c>
      <c r="R279" s="200">
        <f>+Base!$AA203*100</f>
        <v>11.440677966101696</v>
      </c>
      <c r="S279" s="166">
        <f>+'Tax Tables'!$AA321*100</f>
        <v>100</v>
      </c>
      <c r="T279" s="166">
        <f>+'Tax Tables'!$AA322*100</f>
        <v>68.141592920353972</v>
      </c>
      <c r="U279" s="166">
        <f>+'Tax Tables'!$AA323*100</f>
        <v>0</v>
      </c>
      <c r="V279" s="166">
        <f>+'Tax Tables'!$AA324*100</f>
        <v>0</v>
      </c>
      <c r="W279" s="166">
        <f>+'Tax Tables'!$AA325*100</f>
        <v>0</v>
      </c>
      <c r="X279" s="166">
        <f>+'Tax Tables'!$AA326*100</f>
        <v>0</v>
      </c>
      <c r="Z279" s="86">
        <f t="shared" si="25"/>
        <v>22</v>
      </c>
      <c r="BJ279" s="190"/>
      <c r="BK279" s="200">
        <f>+Base!$AA203*100</f>
        <v>11.440677966101696</v>
      </c>
      <c r="BL279" s="166">
        <f>+'Tax Tables'!$AA321*100</f>
        <v>100</v>
      </c>
      <c r="BM279" s="166">
        <f>+'Tax Tables'!$AA322*100</f>
        <v>68.141592920353972</v>
      </c>
      <c r="BN279" s="166">
        <f>+'Tax Tables'!$AA323*100</f>
        <v>0</v>
      </c>
      <c r="BO279" s="166">
        <f>+'Tax Tables'!$AA324*100</f>
        <v>0</v>
      </c>
      <c r="BP279" s="166">
        <f>+'Tax Tables'!$AA325*100</f>
        <v>0</v>
      </c>
      <c r="BQ279" s="166">
        <f>+'Tax Tables'!$AA326*100</f>
        <v>0</v>
      </c>
      <c r="BR279" s="190"/>
      <c r="BS279" s="190">
        <f>+Base!$AA195</f>
        <v>3100</v>
      </c>
      <c r="BT279" s="190">
        <f>+Base!$AA196</f>
        <v>7700</v>
      </c>
      <c r="BU279" s="190">
        <f>+Base!$AA197</f>
        <v>0</v>
      </c>
      <c r="BV279" s="190">
        <f>+Base!$AA198</f>
        <v>0</v>
      </c>
      <c r="BW279" s="190">
        <f>+Base!$AA199</f>
        <v>0</v>
      </c>
      <c r="BX279" s="190">
        <f>+Base!$AA200</f>
        <v>0</v>
      </c>
    </row>
    <row r="280" spans="1:76" ht="15.6">
      <c r="A280" s="646" t="str">
        <f t="shared" si="26"/>
        <v/>
      </c>
      <c r="B280" s="136" t="str">
        <f>"  " &amp; Setup!E$23+$Z280-1 &amp;" - "&amp;Your_Age+$Z280-1</f>
        <v xml:space="preserve">  2041 - 84</v>
      </c>
      <c r="C280" s="464"/>
      <c r="D280" s="465"/>
      <c r="E280" s="478">
        <f>+Details!$AB18</f>
        <v>0</v>
      </c>
      <c r="F280" s="465"/>
      <c r="G280" s="481">
        <f>-Details!$AB91</f>
        <v>0</v>
      </c>
      <c r="H280" s="482">
        <f>+Details!AB321</f>
        <v>404700</v>
      </c>
      <c r="I280" s="482">
        <f>+Details!AB8</f>
        <v>688000</v>
      </c>
      <c r="J280" s="200">
        <f>+Details!$AB203*100</f>
        <v>11.370558375634518</v>
      </c>
      <c r="K280" s="166">
        <f>+'Tax Tables'!$AB313*100</f>
        <v>100</v>
      </c>
      <c r="L280" s="166">
        <f>+'Tax Tables'!$AB314*100</f>
        <v>69.827586206896555</v>
      </c>
      <c r="M280" s="166">
        <f>+'Tax Tables'!$AB315*100</f>
        <v>0</v>
      </c>
      <c r="N280" s="166">
        <f>+'Tax Tables'!$AB316*100</f>
        <v>0</v>
      </c>
      <c r="O280" s="166">
        <f>+'Tax Tables'!$AB317*100</f>
        <v>0</v>
      </c>
      <c r="P280" s="166">
        <f>+'Tax Tables'!$AB318*100</f>
        <v>0</v>
      </c>
      <c r="R280" s="200">
        <f>+Base!$AB203*100</f>
        <v>11.370558375634518</v>
      </c>
      <c r="S280" s="166">
        <f>+'Tax Tables'!$AB321*100</f>
        <v>100</v>
      </c>
      <c r="T280" s="166">
        <f>+'Tax Tables'!$AB322*100</f>
        <v>69.827586206896555</v>
      </c>
      <c r="U280" s="166">
        <f>+'Tax Tables'!$AB323*100</f>
        <v>0</v>
      </c>
      <c r="V280" s="166">
        <f>+'Tax Tables'!$AB324*100</f>
        <v>0</v>
      </c>
      <c r="W280" s="166">
        <f>+'Tax Tables'!$AB325*100</f>
        <v>0</v>
      </c>
      <c r="X280" s="166">
        <f>+'Tax Tables'!$AB326*100</f>
        <v>0</v>
      </c>
      <c r="Z280" s="86">
        <f t="shared" si="25"/>
        <v>23</v>
      </c>
      <c r="BJ280" s="190"/>
      <c r="BK280" s="200">
        <f>+Base!$AB203*100</f>
        <v>11.370558375634518</v>
      </c>
      <c r="BL280" s="166">
        <f>+'Tax Tables'!$AB321*100</f>
        <v>100</v>
      </c>
      <c r="BM280" s="166">
        <f>+'Tax Tables'!$AB322*100</f>
        <v>69.827586206896555</v>
      </c>
      <c r="BN280" s="166">
        <f>+'Tax Tables'!$AB323*100</f>
        <v>0</v>
      </c>
      <c r="BO280" s="166">
        <f>+'Tax Tables'!$AB324*100</f>
        <v>0</v>
      </c>
      <c r="BP280" s="166">
        <f>+'Tax Tables'!$AB325*100</f>
        <v>0</v>
      </c>
      <c r="BQ280" s="166">
        <f>+'Tax Tables'!$AB326*100</f>
        <v>0</v>
      </c>
      <c r="BR280" s="190"/>
      <c r="BS280" s="190">
        <f>+Base!$AB195</f>
        <v>3100</v>
      </c>
      <c r="BT280" s="190">
        <f>+Base!$AB196</f>
        <v>8100</v>
      </c>
      <c r="BU280" s="190">
        <f>+Base!$AB197</f>
        <v>0</v>
      </c>
      <c r="BV280" s="190">
        <f>+Base!$AB198</f>
        <v>0</v>
      </c>
      <c r="BW280" s="190">
        <f>+Base!$AB199</f>
        <v>0</v>
      </c>
      <c r="BX280" s="190">
        <f>+Base!$AB200</f>
        <v>0</v>
      </c>
    </row>
    <row r="281" spans="1:76" ht="15.6">
      <c r="A281" s="646" t="str">
        <f t="shared" si="26"/>
        <v/>
      </c>
      <c r="B281" s="136" t="str">
        <f>"  " &amp; Setup!E$23+$Z281-1 &amp;" - "&amp;Your_Age+$Z281-1</f>
        <v xml:space="preserve">  2042 - 85</v>
      </c>
      <c r="C281" s="464"/>
      <c r="D281" s="465"/>
      <c r="E281" s="478">
        <f>+Details!$AC18</f>
        <v>0</v>
      </c>
      <c r="F281" s="465"/>
      <c r="G281" s="481">
        <f>-Details!$AC91</f>
        <v>0</v>
      </c>
      <c r="H281" s="482">
        <f>+Details!AC321</f>
        <v>399300</v>
      </c>
      <c r="I281" s="482">
        <f>+Details!AC8</f>
        <v>1136000</v>
      </c>
      <c r="J281" s="200">
        <f>+Details!$AC203*100</f>
        <v>11.380597014925373</v>
      </c>
      <c r="K281" s="166">
        <f>+'Tax Tables'!$AC313*100</f>
        <v>100</v>
      </c>
      <c r="L281" s="166">
        <f>+'Tax Tables'!$AC314*100</f>
        <v>76.271186440677965</v>
      </c>
      <c r="M281" s="166">
        <f>+'Tax Tables'!$AC315*100</f>
        <v>0</v>
      </c>
      <c r="N281" s="166">
        <f>+'Tax Tables'!$AC316*100</f>
        <v>0</v>
      </c>
      <c r="O281" s="166">
        <f>+'Tax Tables'!$AC317*100</f>
        <v>0</v>
      </c>
      <c r="P281" s="166">
        <f>+'Tax Tables'!$AC318*100</f>
        <v>0</v>
      </c>
      <c r="R281" s="200">
        <f>+Base!$AC203*100</f>
        <v>11.380597014925373</v>
      </c>
      <c r="S281" s="166">
        <f>+'Tax Tables'!$AC321*100</f>
        <v>100</v>
      </c>
      <c r="T281" s="166">
        <f>+'Tax Tables'!$AC322*100</f>
        <v>76.271186440677965</v>
      </c>
      <c r="U281" s="166">
        <f>+'Tax Tables'!$AC323*100</f>
        <v>0</v>
      </c>
      <c r="V281" s="166">
        <f>+'Tax Tables'!$AC324*100</f>
        <v>0</v>
      </c>
      <c r="W281" s="166">
        <f>+'Tax Tables'!$AC325*100</f>
        <v>0</v>
      </c>
      <c r="X281" s="166">
        <f>+'Tax Tables'!$AC326*100</f>
        <v>0</v>
      </c>
      <c r="Z281" s="86">
        <f t="shared" si="25"/>
        <v>24</v>
      </c>
      <c r="BJ281" s="190"/>
      <c r="BK281" s="200">
        <f>+Base!$AC203*100</f>
        <v>11.380597014925373</v>
      </c>
      <c r="BL281" s="166">
        <f>+'Tax Tables'!$AC321*100</f>
        <v>100</v>
      </c>
      <c r="BM281" s="166">
        <f>+'Tax Tables'!$AC322*100</f>
        <v>76.271186440677965</v>
      </c>
      <c r="BN281" s="166">
        <f>+'Tax Tables'!$AC323*100</f>
        <v>0</v>
      </c>
      <c r="BO281" s="166">
        <f>+'Tax Tables'!$AC324*100</f>
        <v>0</v>
      </c>
      <c r="BP281" s="166">
        <f>+'Tax Tables'!$AC325*100</f>
        <v>0</v>
      </c>
      <c r="BQ281" s="166">
        <f>+'Tax Tables'!$AC326*100</f>
        <v>0</v>
      </c>
      <c r="BR281" s="190"/>
      <c r="BS281" s="190">
        <f>+Base!$AC195</f>
        <v>3200</v>
      </c>
      <c r="BT281" s="190">
        <f>+Base!$AC196</f>
        <v>9000</v>
      </c>
      <c r="BU281" s="190">
        <f>+Base!$AC197</f>
        <v>0</v>
      </c>
      <c r="BV281" s="190">
        <f>+Base!$AC198</f>
        <v>0</v>
      </c>
      <c r="BW281" s="190">
        <f>+Base!$AC199</f>
        <v>0</v>
      </c>
      <c r="BX281" s="190">
        <f>+Base!$AC200</f>
        <v>0</v>
      </c>
    </row>
    <row r="282" spans="1:76" ht="15.6">
      <c r="A282" s="646" t="str">
        <f t="shared" si="26"/>
        <v/>
      </c>
      <c r="B282" s="136" t="str">
        <f>"  " &amp; Setup!E$23+$Z282-1 &amp;" - "&amp;Your_Age+$Z282-1</f>
        <v xml:space="preserve">  2043 - 86</v>
      </c>
      <c r="C282" s="464"/>
      <c r="D282" s="465"/>
      <c r="E282" s="479">
        <f>+Details!$AD18</f>
        <v>0</v>
      </c>
      <c r="F282" s="465"/>
      <c r="G282" s="483">
        <f>-Details!$AD91</f>
        <v>0</v>
      </c>
      <c r="H282" s="484">
        <f>+Details!AD321</f>
        <v>392600</v>
      </c>
      <c r="I282" s="485">
        <f>+Details!AD8</f>
        <v>1199500</v>
      </c>
      <c r="J282" s="201">
        <f>+Details!$AD203*100</f>
        <v>15.650591446769791</v>
      </c>
      <c r="K282" s="202">
        <f>+'Tax Tables'!$AD313*100</f>
        <v>100</v>
      </c>
      <c r="L282" s="202">
        <f>+'Tax Tables'!$AD314*100</f>
        <v>100</v>
      </c>
      <c r="M282" s="202">
        <f>+'Tax Tables'!$AD315*100</f>
        <v>56.886227544910184</v>
      </c>
      <c r="N282" s="202">
        <f>+'Tax Tables'!$AD316*100</f>
        <v>0</v>
      </c>
      <c r="O282" s="202">
        <f>+'Tax Tables'!$AD317*100</f>
        <v>0</v>
      </c>
      <c r="P282" s="202">
        <f>+'Tax Tables'!$AD318*100</f>
        <v>0</v>
      </c>
      <c r="R282" s="201">
        <f>+Base!$AD203*100</f>
        <v>15.650591446769791</v>
      </c>
      <c r="S282" s="202">
        <f>+'Tax Tables'!$AD321*100</f>
        <v>100</v>
      </c>
      <c r="T282" s="202">
        <f>+'Tax Tables'!$AD322*100</f>
        <v>100</v>
      </c>
      <c r="U282" s="202">
        <f>+'Tax Tables'!$AD323*100</f>
        <v>56.886227544910184</v>
      </c>
      <c r="V282" s="202">
        <f>+'Tax Tables'!$AD324*100</f>
        <v>0</v>
      </c>
      <c r="W282" s="202">
        <f>+'Tax Tables'!$AD325*100</f>
        <v>0</v>
      </c>
      <c r="X282" s="202">
        <f>+'Tax Tables'!$AD326*100</f>
        <v>0</v>
      </c>
      <c r="Z282" s="86">
        <f t="shared" si="25"/>
        <v>25</v>
      </c>
      <c r="BJ282" s="192"/>
      <c r="BK282" s="201">
        <f>+Base!$AD203*100</f>
        <v>15.650591446769791</v>
      </c>
      <c r="BL282" s="202">
        <f>+'Tax Tables'!$AD321*100</f>
        <v>100</v>
      </c>
      <c r="BM282" s="202">
        <f>+'Tax Tables'!$AD322*100</f>
        <v>100</v>
      </c>
      <c r="BN282" s="202">
        <f>+'Tax Tables'!$AD323*100</f>
        <v>56.886227544910184</v>
      </c>
      <c r="BO282" s="202">
        <f>+'Tax Tables'!$AD324*100</f>
        <v>0</v>
      </c>
      <c r="BP282" s="202">
        <f>+'Tax Tables'!$AD325*100</f>
        <v>0</v>
      </c>
      <c r="BQ282" s="202">
        <f>+'Tax Tables'!$AD326*100</f>
        <v>0</v>
      </c>
      <c r="BR282" s="192"/>
      <c r="BS282" s="193">
        <f>+Base!$AD195</f>
        <v>1600</v>
      </c>
      <c r="BT282" s="193">
        <f>+Base!$AD196</f>
        <v>6100</v>
      </c>
      <c r="BU282" s="193">
        <f>+Base!$AD197</f>
        <v>9500</v>
      </c>
      <c r="BV282" s="193">
        <f>+Base!$AD198</f>
        <v>0</v>
      </c>
      <c r="BW282" s="193">
        <f>+Base!$AD199</f>
        <v>0</v>
      </c>
      <c r="BX282" s="193">
        <f>+Base!$AD200</f>
        <v>0</v>
      </c>
    </row>
    <row r="283" spans="1:76" ht="15.6">
      <c r="A283" s="646" t="str">
        <f t="shared" si="26"/>
        <v/>
      </c>
      <c r="B283" s="136" t="str">
        <f>"  " &amp; Setup!E$23+$Z283-1 &amp;" - "&amp;Your_Age+$Z283-1</f>
        <v xml:space="preserve">  2044 - 87</v>
      </c>
      <c r="C283" s="464"/>
      <c r="D283" s="464"/>
      <c r="E283" s="478">
        <f>+Details!$AE18</f>
        <v>0</v>
      </c>
      <c r="F283" s="464"/>
      <c r="G283" s="481">
        <f>-Details!$AE91</f>
        <v>0</v>
      </c>
      <c r="H283" s="482">
        <f>+Details!AE321</f>
        <v>384500</v>
      </c>
      <c r="I283" s="482">
        <f>+Details!AE8</f>
        <v>1337600</v>
      </c>
      <c r="J283" s="200">
        <f>+Details!$AE203*100</f>
        <v>15.743183817062445</v>
      </c>
      <c r="K283" s="166">
        <f>+'Tax Tables'!$AE313*100</f>
        <v>100</v>
      </c>
      <c r="L283" s="166">
        <f>+'Tax Tables'!$AE314*100</f>
        <v>100</v>
      </c>
      <c r="M283" s="166">
        <f>+'Tax Tables'!$AE315*100</f>
        <v>59.411764705882355</v>
      </c>
      <c r="N283" s="166">
        <f>+'Tax Tables'!$AE316*100</f>
        <v>0</v>
      </c>
      <c r="O283" s="166">
        <f>+'Tax Tables'!$AE317*100</f>
        <v>0</v>
      </c>
      <c r="P283" s="166">
        <f>+'Tax Tables'!$AE318*100</f>
        <v>0</v>
      </c>
      <c r="R283" s="200">
        <f>+Base!$AE203*100</f>
        <v>15.743183817062445</v>
      </c>
      <c r="S283" s="166">
        <f>+'Tax Tables'!$AE321*100</f>
        <v>100</v>
      </c>
      <c r="T283" s="166">
        <f>+'Tax Tables'!$AE322*100</f>
        <v>100</v>
      </c>
      <c r="U283" s="166">
        <f>+'Tax Tables'!$AE323*100</f>
        <v>59.411764705882355</v>
      </c>
      <c r="V283" s="166">
        <f>+'Tax Tables'!$AE324*100</f>
        <v>0</v>
      </c>
      <c r="W283" s="166">
        <f>+'Tax Tables'!$AE325*100</f>
        <v>0</v>
      </c>
      <c r="X283" s="166">
        <f>+'Tax Tables'!$AE326*100</f>
        <v>0</v>
      </c>
      <c r="Z283" s="86">
        <f t="shared" si="25"/>
        <v>26</v>
      </c>
      <c r="BJ283" s="190"/>
      <c r="BK283" s="200">
        <f>+Base!$AE203*100</f>
        <v>15.743183817062445</v>
      </c>
      <c r="BL283" s="166">
        <f>+'Tax Tables'!$AE321*100</f>
        <v>100</v>
      </c>
      <c r="BM283" s="166">
        <f>+'Tax Tables'!$AE322*100</f>
        <v>100</v>
      </c>
      <c r="BN283" s="166">
        <f>+'Tax Tables'!$AE323*100</f>
        <v>59.411764705882355</v>
      </c>
      <c r="BO283" s="166">
        <f>+'Tax Tables'!$AE324*100</f>
        <v>0</v>
      </c>
      <c r="BP283" s="166">
        <f>+'Tax Tables'!$AE325*100</f>
        <v>0</v>
      </c>
      <c r="BQ283" s="166">
        <f>+'Tax Tables'!$AE326*100</f>
        <v>0</v>
      </c>
      <c r="BR283" s="190"/>
      <c r="BS283" s="190">
        <f>+Base!$AE195</f>
        <v>1600</v>
      </c>
      <c r="BT283" s="190">
        <f>+Base!$AE196</f>
        <v>6200</v>
      </c>
      <c r="BU283" s="190">
        <f>+Base!$AE197</f>
        <v>10100</v>
      </c>
      <c r="BV283" s="190">
        <f>+Base!$AE198</f>
        <v>0</v>
      </c>
      <c r="BW283" s="190">
        <f>+Base!$AE199</f>
        <v>0</v>
      </c>
      <c r="BX283" s="190">
        <f>+Base!$AE200</f>
        <v>0</v>
      </c>
    </row>
    <row r="284" spans="1:76" ht="15.6">
      <c r="A284" s="646" t="str">
        <f t="shared" si="26"/>
        <v/>
      </c>
      <c r="B284" s="136" t="str">
        <f>"  " &amp; Setup!E$23+$Z284-1 &amp;" - "&amp;Your_Age+$Z284-1</f>
        <v xml:space="preserve">  2045 - 88</v>
      </c>
      <c r="C284" s="464"/>
      <c r="D284" s="464"/>
      <c r="E284" s="478">
        <f>+Details!$AF18</f>
        <v>0</v>
      </c>
      <c r="F284" s="464"/>
      <c r="G284" s="481">
        <f>-Details!$AF91</f>
        <v>0</v>
      </c>
      <c r="H284" s="482">
        <f>+Details!AF321</f>
        <v>374900</v>
      </c>
      <c r="I284" s="482">
        <f>+Details!AF8</f>
        <v>1379900</v>
      </c>
      <c r="J284" s="200">
        <f>+Details!$AF203*100</f>
        <v>15.716753022452504</v>
      </c>
      <c r="K284" s="166">
        <f>+'Tax Tables'!$AF313*100</f>
        <v>100</v>
      </c>
      <c r="L284" s="166">
        <f>+'Tax Tables'!$AF314*100</f>
        <v>100</v>
      </c>
      <c r="M284" s="166">
        <f>+'Tax Tables'!$AF315*100</f>
        <v>58.620689655172406</v>
      </c>
      <c r="N284" s="166">
        <f>+'Tax Tables'!$AF316*100</f>
        <v>0</v>
      </c>
      <c r="O284" s="166">
        <f>+'Tax Tables'!$AF317*100</f>
        <v>0</v>
      </c>
      <c r="P284" s="166">
        <f>+'Tax Tables'!$AF318*100</f>
        <v>0</v>
      </c>
      <c r="R284" s="200">
        <f>+Base!$AF203*100</f>
        <v>15.716753022452504</v>
      </c>
      <c r="S284" s="166">
        <f>+'Tax Tables'!$AF321*100</f>
        <v>100</v>
      </c>
      <c r="T284" s="166">
        <f>+'Tax Tables'!$AF322*100</f>
        <v>100</v>
      </c>
      <c r="U284" s="166">
        <f>+'Tax Tables'!$AF323*100</f>
        <v>58.620689655172406</v>
      </c>
      <c r="V284" s="166">
        <f>+'Tax Tables'!$AF324*100</f>
        <v>0</v>
      </c>
      <c r="W284" s="166">
        <f>+'Tax Tables'!$AF325*100</f>
        <v>0</v>
      </c>
      <c r="X284" s="166">
        <f>+'Tax Tables'!$AF326*100</f>
        <v>0</v>
      </c>
      <c r="Z284" s="86">
        <f t="shared" si="25"/>
        <v>27</v>
      </c>
      <c r="BJ284" s="190"/>
      <c r="BK284" s="200">
        <f>+Base!$AF203*100</f>
        <v>15.716753022452504</v>
      </c>
      <c r="BL284" s="166">
        <f>+'Tax Tables'!$AF321*100</f>
        <v>100</v>
      </c>
      <c r="BM284" s="166">
        <f>+'Tax Tables'!$AF322*100</f>
        <v>100</v>
      </c>
      <c r="BN284" s="166">
        <f>+'Tax Tables'!$AF323*100</f>
        <v>58.620689655172406</v>
      </c>
      <c r="BO284" s="166">
        <f>+'Tax Tables'!$AF324*100</f>
        <v>0</v>
      </c>
      <c r="BP284" s="166">
        <f>+'Tax Tables'!$AF325*100</f>
        <v>0</v>
      </c>
      <c r="BQ284" s="166">
        <f>+'Tax Tables'!$AF326*100</f>
        <v>0</v>
      </c>
      <c r="BR284" s="190"/>
      <c r="BS284" s="190">
        <f>+Base!$AF195</f>
        <v>1700</v>
      </c>
      <c r="BT284" s="190">
        <f>+Base!$AF196</f>
        <v>6300</v>
      </c>
      <c r="BU284" s="190">
        <f>+Base!$AF197</f>
        <v>10200</v>
      </c>
      <c r="BV284" s="190">
        <f>+Base!$AF198</f>
        <v>0</v>
      </c>
      <c r="BW284" s="190">
        <f>+Base!$AF199</f>
        <v>0</v>
      </c>
      <c r="BX284" s="190">
        <f>+Base!$AF200</f>
        <v>0</v>
      </c>
    </row>
    <row r="285" spans="1:76" ht="15.6">
      <c r="A285" s="646" t="str">
        <f t="shared" si="26"/>
        <v/>
      </c>
      <c r="B285" s="136" t="str">
        <f>"  " &amp; Setup!E$23+$Z285-1 &amp;" - "&amp;Your_Age+$Z285-1</f>
        <v xml:space="preserve">  2046 - 89</v>
      </c>
      <c r="C285" s="464"/>
      <c r="D285" s="464"/>
      <c r="E285" s="478">
        <f>+Details!$AG18</f>
        <v>0</v>
      </c>
      <c r="F285" s="464"/>
      <c r="G285" s="481">
        <f>-Details!$AG91</f>
        <v>0</v>
      </c>
      <c r="H285" s="482">
        <f>+Details!AG321</f>
        <v>363800</v>
      </c>
      <c r="I285" s="482">
        <f>+Details!AG8</f>
        <v>1423300</v>
      </c>
      <c r="J285" s="200">
        <f>+Details!$AG203*100</f>
        <v>15.229357798165138</v>
      </c>
      <c r="K285" s="166">
        <f>+'Tax Tables'!$AG313*100</f>
        <v>100</v>
      </c>
      <c r="L285" s="166">
        <f>+'Tax Tables'!$AG314*100</f>
        <v>100</v>
      </c>
      <c r="M285" s="166">
        <f>+'Tax Tables'!$AG315*100</f>
        <v>47.191011235955052</v>
      </c>
      <c r="N285" s="166">
        <f>+'Tax Tables'!$AG316*100</f>
        <v>0</v>
      </c>
      <c r="O285" s="166">
        <f>+'Tax Tables'!$AG317*100</f>
        <v>0</v>
      </c>
      <c r="P285" s="166">
        <f>+'Tax Tables'!$AG318*100</f>
        <v>0</v>
      </c>
      <c r="R285" s="200">
        <f>+Base!$AG203*100</f>
        <v>15.229357798165138</v>
      </c>
      <c r="S285" s="166">
        <f>+'Tax Tables'!$AG321*100</f>
        <v>100</v>
      </c>
      <c r="T285" s="166">
        <f>+'Tax Tables'!$AG322*100</f>
        <v>100</v>
      </c>
      <c r="U285" s="166">
        <f>+'Tax Tables'!$AG323*100</f>
        <v>47.191011235955052</v>
      </c>
      <c r="V285" s="166">
        <f>+'Tax Tables'!$AG324*100</f>
        <v>0</v>
      </c>
      <c r="W285" s="166">
        <f>+'Tax Tables'!$AG325*100</f>
        <v>0</v>
      </c>
      <c r="X285" s="166">
        <f>+'Tax Tables'!$AG326*100</f>
        <v>0</v>
      </c>
      <c r="Z285" s="86">
        <f t="shared" si="25"/>
        <v>28</v>
      </c>
      <c r="BJ285" s="190"/>
      <c r="BK285" s="200">
        <f>+Base!$AG203*100</f>
        <v>15.229357798165138</v>
      </c>
      <c r="BL285" s="166">
        <f>+'Tax Tables'!$AG321*100</f>
        <v>100</v>
      </c>
      <c r="BM285" s="166">
        <f>+'Tax Tables'!$AG322*100</f>
        <v>100</v>
      </c>
      <c r="BN285" s="166">
        <f>+'Tax Tables'!$AG323*100</f>
        <v>47.191011235955052</v>
      </c>
      <c r="BO285" s="166">
        <f>+'Tax Tables'!$AG324*100</f>
        <v>0</v>
      </c>
      <c r="BP285" s="166">
        <f>+'Tax Tables'!$AG325*100</f>
        <v>0</v>
      </c>
      <c r="BQ285" s="166">
        <f>+'Tax Tables'!$AG326*100</f>
        <v>0</v>
      </c>
      <c r="BR285" s="190"/>
      <c r="BS285" s="190">
        <f>+Base!$AG195</f>
        <v>1700</v>
      </c>
      <c r="BT285" s="190">
        <f>+Base!$AG196</f>
        <v>6500</v>
      </c>
      <c r="BU285" s="190">
        <f>+Base!$AG197</f>
        <v>8400</v>
      </c>
      <c r="BV285" s="190">
        <f>+Base!$AG198</f>
        <v>0</v>
      </c>
      <c r="BW285" s="190">
        <f>+Base!$AG199</f>
        <v>0</v>
      </c>
      <c r="BX285" s="190">
        <f>+Base!$AG200</f>
        <v>0</v>
      </c>
    </row>
    <row r="286" spans="1:76" ht="15.6">
      <c r="A286" s="646" t="str">
        <f t="shared" si="26"/>
        <v/>
      </c>
      <c r="B286" s="136" t="str">
        <f>"  " &amp; Setup!E$23+$Z286-1 &amp;" - "&amp;Your_Age+$Z286-1</f>
        <v xml:space="preserve">  2047 - 90</v>
      </c>
      <c r="C286" s="464"/>
      <c r="D286" s="464"/>
      <c r="E286" s="478">
        <f>+Details!$AH18</f>
        <v>0</v>
      </c>
      <c r="F286" s="464"/>
      <c r="G286" s="481">
        <f>-Details!$AH91</f>
        <v>0</v>
      </c>
      <c r="H286" s="482">
        <f>+Details!AH321</f>
        <v>351400</v>
      </c>
      <c r="I286" s="482">
        <f>+Details!AH8</f>
        <v>1461500</v>
      </c>
      <c r="J286" s="200">
        <f>+Details!$AH203*100</f>
        <v>15.054744525547445</v>
      </c>
      <c r="K286" s="166">
        <f>+'Tax Tables'!$AH313*100</f>
        <v>100</v>
      </c>
      <c r="L286" s="166">
        <f>+'Tax Tables'!$AH314*100</f>
        <v>100</v>
      </c>
      <c r="M286" s="166">
        <f>+'Tax Tables'!$AH315*100</f>
        <v>44.505494505494504</v>
      </c>
      <c r="N286" s="166">
        <f>+'Tax Tables'!$AH316*100</f>
        <v>0</v>
      </c>
      <c r="O286" s="166">
        <f>+'Tax Tables'!$AH317*100</f>
        <v>0</v>
      </c>
      <c r="P286" s="166">
        <f>+'Tax Tables'!$AH318*100</f>
        <v>0</v>
      </c>
      <c r="R286" s="200">
        <f>+Base!$AH203*100</f>
        <v>15.054744525547445</v>
      </c>
      <c r="S286" s="166">
        <f>+'Tax Tables'!$AH321*100</f>
        <v>100</v>
      </c>
      <c r="T286" s="166">
        <f>+'Tax Tables'!$AH322*100</f>
        <v>100</v>
      </c>
      <c r="U286" s="166">
        <f>+'Tax Tables'!$AH323*100</f>
        <v>44.505494505494504</v>
      </c>
      <c r="V286" s="166">
        <f>+'Tax Tables'!$AH324*100</f>
        <v>0</v>
      </c>
      <c r="W286" s="166">
        <f>+'Tax Tables'!$AH325*100</f>
        <v>0</v>
      </c>
      <c r="X286" s="166">
        <f>+'Tax Tables'!$AH326*100</f>
        <v>0</v>
      </c>
      <c r="Z286" s="86">
        <f t="shared" si="25"/>
        <v>29</v>
      </c>
      <c r="BJ286" s="190"/>
      <c r="BK286" s="200">
        <f>+Base!$AH203*100</f>
        <v>15.054744525547445</v>
      </c>
      <c r="BL286" s="166">
        <f>+'Tax Tables'!$AH321*100</f>
        <v>100</v>
      </c>
      <c r="BM286" s="166">
        <f>+'Tax Tables'!$AH322*100</f>
        <v>100</v>
      </c>
      <c r="BN286" s="166">
        <f>+'Tax Tables'!$AH323*100</f>
        <v>44.505494505494504</v>
      </c>
      <c r="BO286" s="166">
        <f>+'Tax Tables'!$AH324*100</f>
        <v>0</v>
      </c>
      <c r="BP286" s="166">
        <f>+'Tax Tables'!$AH325*100</f>
        <v>0</v>
      </c>
      <c r="BQ286" s="166">
        <f>+'Tax Tables'!$AH326*100</f>
        <v>0</v>
      </c>
      <c r="BR286" s="190"/>
      <c r="BS286" s="190">
        <f>+Base!$AH195</f>
        <v>1800</v>
      </c>
      <c r="BT286" s="190">
        <f>+Base!$AH196</f>
        <v>6600</v>
      </c>
      <c r="BU286" s="190">
        <f>+Base!$AH197</f>
        <v>8100</v>
      </c>
      <c r="BV286" s="190">
        <f>+Base!$AH198</f>
        <v>0</v>
      </c>
      <c r="BW286" s="190">
        <f>+Base!$AH199</f>
        <v>0</v>
      </c>
      <c r="BX286" s="190">
        <f>+Base!$AH200</f>
        <v>0</v>
      </c>
    </row>
    <row r="287" spans="1:76" ht="15.6">
      <c r="A287" s="646" t="str">
        <f t="shared" si="26"/>
        <v/>
      </c>
      <c r="B287" s="136" t="str">
        <f>"  " &amp; Setup!E$23+$Z287-1 &amp;" - "&amp;Your_Age+$Z287-1</f>
        <v xml:space="preserve">  2048 - 91</v>
      </c>
      <c r="C287" s="464"/>
      <c r="D287" s="464"/>
      <c r="E287" s="479">
        <f>+Details!$AI18</f>
        <v>0</v>
      </c>
      <c r="F287" s="464"/>
      <c r="G287" s="483">
        <f>-Details!$AI91</f>
        <v>0</v>
      </c>
      <c r="H287" s="484">
        <f>+Details!AI321</f>
        <v>337700</v>
      </c>
      <c r="I287" s="485">
        <f>+Details!AI8</f>
        <v>1499700</v>
      </c>
      <c r="J287" s="201">
        <f>+Details!$AI203*100</f>
        <v>15.013404825737265</v>
      </c>
      <c r="K287" s="202">
        <f>+'Tax Tables'!$AI313*100</f>
        <v>100</v>
      </c>
      <c r="L287" s="202">
        <f>+'Tax Tables'!$AI314*100</f>
        <v>100</v>
      </c>
      <c r="M287" s="202">
        <f>+'Tax Tables'!$AI315*100</f>
        <v>44.86486486486487</v>
      </c>
      <c r="N287" s="202">
        <f>+'Tax Tables'!$AI316*100</f>
        <v>0</v>
      </c>
      <c r="O287" s="202">
        <f>+'Tax Tables'!$AI317*100</f>
        <v>0</v>
      </c>
      <c r="P287" s="202">
        <f>+'Tax Tables'!$AI318*100</f>
        <v>0</v>
      </c>
      <c r="R287" s="201">
        <f>+Base!$AI203*100</f>
        <v>15.013404825737265</v>
      </c>
      <c r="S287" s="202">
        <f>+'Tax Tables'!$AI321*100</f>
        <v>100</v>
      </c>
      <c r="T287" s="202">
        <f>+'Tax Tables'!$AI322*100</f>
        <v>100</v>
      </c>
      <c r="U287" s="202">
        <f>+'Tax Tables'!$AI323*100</f>
        <v>44.86486486486487</v>
      </c>
      <c r="V287" s="202">
        <f>+'Tax Tables'!$AI324*100</f>
        <v>0</v>
      </c>
      <c r="W287" s="202">
        <f>+'Tax Tables'!$AI325*100</f>
        <v>0</v>
      </c>
      <c r="X287" s="202">
        <f>+'Tax Tables'!$AI326*100</f>
        <v>0</v>
      </c>
      <c r="Z287" s="86">
        <f t="shared" si="25"/>
        <v>30</v>
      </c>
      <c r="BJ287" s="192"/>
      <c r="BK287" s="201">
        <f>+Base!$AI203*100</f>
        <v>15.013404825737265</v>
      </c>
      <c r="BL287" s="202">
        <f>+'Tax Tables'!$AI321*100</f>
        <v>100</v>
      </c>
      <c r="BM287" s="202">
        <f>+'Tax Tables'!$AI322*100</f>
        <v>100</v>
      </c>
      <c r="BN287" s="202">
        <f>+'Tax Tables'!$AI323*100</f>
        <v>44.86486486486487</v>
      </c>
      <c r="BO287" s="202">
        <f>+'Tax Tables'!$AI324*100</f>
        <v>0</v>
      </c>
      <c r="BP287" s="202">
        <f>+'Tax Tables'!$AI325*100</f>
        <v>0</v>
      </c>
      <c r="BQ287" s="202">
        <f>+'Tax Tables'!$AI326*100</f>
        <v>0</v>
      </c>
      <c r="BR287" s="192"/>
      <c r="BS287" s="193">
        <f>+Base!$AI195</f>
        <v>1800</v>
      </c>
      <c r="BT287" s="193">
        <f>+Base!$AI196</f>
        <v>6700</v>
      </c>
      <c r="BU287" s="193">
        <f>+Base!$AI197</f>
        <v>8300</v>
      </c>
      <c r="BV287" s="193">
        <f>+Base!$AI198</f>
        <v>0</v>
      </c>
      <c r="BW287" s="193">
        <f>+Base!$AI199</f>
        <v>0</v>
      </c>
      <c r="BX287" s="193">
        <f>+Base!$AI200</f>
        <v>0</v>
      </c>
    </row>
    <row r="288" spans="1:76" ht="15.6">
      <c r="A288" s="646" t="str">
        <f t="shared" si="26"/>
        <v/>
      </c>
      <c r="B288" s="136" t="str">
        <f>"  " &amp; Setup!E$23+$Z288-1 &amp;" - "&amp;Your_Age+$Z288-1</f>
        <v xml:space="preserve">  2049 - 92</v>
      </c>
      <c r="C288" s="464"/>
      <c r="D288" s="464"/>
      <c r="E288" s="478">
        <f>+Details!$AJ18</f>
        <v>0</v>
      </c>
      <c r="F288" s="465"/>
      <c r="G288" s="481">
        <f>-Details!$AJ91</f>
        <v>0</v>
      </c>
      <c r="H288" s="482">
        <f>+Details!AJ321</f>
        <v>0</v>
      </c>
      <c r="I288" s="482">
        <f>+Details!AJ8</f>
        <v>0</v>
      </c>
      <c r="J288" s="200">
        <f>+Details!$AJ203*100</f>
        <v>0</v>
      </c>
      <c r="K288" s="166">
        <f>+'Tax Tables'!$AJ313*100</f>
        <v>0</v>
      </c>
      <c r="L288" s="166">
        <f>+'Tax Tables'!$AJ314*100</f>
        <v>0</v>
      </c>
      <c r="M288" s="166">
        <f>+'Tax Tables'!$AJ315*100</f>
        <v>0</v>
      </c>
      <c r="N288" s="166">
        <f>+'Tax Tables'!$AJ316*100</f>
        <v>0</v>
      </c>
      <c r="O288" s="166">
        <f>+'Tax Tables'!$AJ317*100</f>
        <v>0</v>
      </c>
      <c r="P288" s="166">
        <f>+'Tax Tables'!$AJ318*100</f>
        <v>0</v>
      </c>
      <c r="R288" s="200">
        <f>+Base!$AJ203*100</f>
        <v>0</v>
      </c>
      <c r="S288" s="166">
        <f>+'Tax Tables'!$AJ321*100</f>
        <v>0</v>
      </c>
      <c r="T288" s="166">
        <f>+'Tax Tables'!$AJ322*100</f>
        <v>0</v>
      </c>
      <c r="U288" s="166">
        <f>+'Tax Tables'!$AJ323*100</f>
        <v>0</v>
      </c>
      <c r="V288" s="166">
        <f>+'Tax Tables'!$AJ324*100</f>
        <v>0</v>
      </c>
      <c r="W288" s="166">
        <f>+'Tax Tables'!$AJ325*100</f>
        <v>0</v>
      </c>
      <c r="X288" s="166">
        <f>+'Tax Tables'!$AJ326*100</f>
        <v>0</v>
      </c>
      <c r="Z288" s="86">
        <f t="shared" si="25"/>
        <v>31</v>
      </c>
      <c r="BJ288" s="190"/>
      <c r="BK288" s="200">
        <f>+Base!$AJ203*100</f>
        <v>0</v>
      </c>
      <c r="BL288" s="166">
        <f>+'Tax Tables'!$AJ321*100</f>
        <v>0</v>
      </c>
      <c r="BM288" s="166">
        <f>+'Tax Tables'!$AJ322*100</f>
        <v>0</v>
      </c>
      <c r="BN288" s="166">
        <f>+'Tax Tables'!$AJ323*100</f>
        <v>0</v>
      </c>
      <c r="BO288" s="166">
        <f>+'Tax Tables'!$AJ324*100</f>
        <v>0</v>
      </c>
      <c r="BP288" s="166">
        <f>+'Tax Tables'!$AJ325*100</f>
        <v>0</v>
      </c>
      <c r="BQ288" s="166">
        <f>+'Tax Tables'!$AJ326*100</f>
        <v>0</v>
      </c>
      <c r="BR288" s="190"/>
      <c r="BS288" s="190">
        <f>+Base!$AJ195</f>
        <v>0</v>
      </c>
      <c r="BT288" s="190">
        <f>+Base!$AJ196</f>
        <v>0</v>
      </c>
      <c r="BU288" s="190">
        <f>+Base!$AJ197</f>
        <v>0</v>
      </c>
      <c r="BV288" s="190">
        <f>+Base!$AJ198</f>
        <v>0</v>
      </c>
      <c r="BW288" s="190">
        <f>+Base!$AJ199</f>
        <v>0</v>
      </c>
      <c r="BX288" s="190">
        <f>+Base!$AJ200</f>
        <v>0</v>
      </c>
    </row>
    <row r="289" spans="1:86" ht="15.6">
      <c r="A289" s="646" t="str">
        <f t="shared" si="26"/>
        <v/>
      </c>
      <c r="B289" s="136" t="str">
        <f>"  " &amp; Setup!E$23+$Z289-1 &amp;" - "&amp;Your_Age+$Z289-1</f>
        <v xml:space="preserve">  2050 - 93</v>
      </c>
      <c r="C289" s="464"/>
      <c r="D289" s="464"/>
      <c r="E289" s="478">
        <f>+Details!$AK18</f>
        <v>0</v>
      </c>
      <c r="F289" s="464"/>
      <c r="G289" s="481">
        <f>+Details!$AK91</f>
        <v>0</v>
      </c>
      <c r="H289" s="482">
        <f>+Details!$AK321</f>
        <v>0</v>
      </c>
      <c r="I289" s="482">
        <f>+Details!$AK8</f>
        <v>0</v>
      </c>
      <c r="J289" s="200">
        <f>+Details!$AK203*100</f>
        <v>0</v>
      </c>
      <c r="K289" s="166">
        <f>+'Tax Tables'!$AK313*100</f>
        <v>0</v>
      </c>
      <c r="L289" s="166">
        <f>+'Tax Tables'!$AK314*100</f>
        <v>0</v>
      </c>
      <c r="M289" s="166">
        <f>+'Tax Tables'!$AK315*100</f>
        <v>0</v>
      </c>
      <c r="N289" s="166">
        <f>+'Tax Tables'!$AK316*100</f>
        <v>0</v>
      </c>
      <c r="O289" s="166">
        <f>+'Tax Tables'!$AK317*100</f>
        <v>0</v>
      </c>
      <c r="P289" s="166">
        <f>+'Tax Tables'!$AK318*100</f>
        <v>0</v>
      </c>
      <c r="R289" s="200">
        <f>+Base!$AK203*100</f>
        <v>0</v>
      </c>
      <c r="S289" s="166">
        <f>+'Tax Tables'!$AK321*100</f>
        <v>0</v>
      </c>
      <c r="T289" s="166">
        <f>+'Tax Tables'!$AK322*100</f>
        <v>0</v>
      </c>
      <c r="U289" s="166">
        <f>+'Tax Tables'!$AK323*100</f>
        <v>0</v>
      </c>
      <c r="V289" s="166">
        <f>+'Tax Tables'!$AK324*100</f>
        <v>0</v>
      </c>
      <c r="W289" s="166">
        <f>+'Tax Tables'!$AK325*100</f>
        <v>0</v>
      </c>
      <c r="X289" s="166">
        <f>+'Tax Tables'!$AK326*100</f>
        <v>0</v>
      </c>
      <c r="Z289" s="86">
        <f t="shared" si="25"/>
        <v>32</v>
      </c>
      <c r="BJ289" s="190"/>
      <c r="BK289" s="200">
        <f>+Base!$AK203*100</f>
        <v>0</v>
      </c>
      <c r="BL289" s="166">
        <f>+'Tax Tables'!$AK321*100</f>
        <v>0</v>
      </c>
      <c r="BM289" s="166">
        <f>+'Tax Tables'!$AK322*100</f>
        <v>0</v>
      </c>
      <c r="BN289" s="166">
        <f>+'Tax Tables'!$AK323*100</f>
        <v>0</v>
      </c>
      <c r="BO289" s="166">
        <f>+'Tax Tables'!$AK324*100</f>
        <v>0</v>
      </c>
      <c r="BP289" s="166">
        <f>+'Tax Tables'!$AK325*100</f>
        <v>0</v>
      </c>
      <c r="BQ289" s="166">
        <f>+'Tax Tables'!$AK326*100</f>
        <v>0</v>
      </c>
      <c r="BR289" s="190"/>
      <c r="BS289" s="190">
        <f>+Base!$AK195</f>
        <v>0</v>
      </c>
      <c r="BT289" s="190">
        <f>+Base!$AK196</f>
        <v>0</v>
      </c>
      <c r="BU289" s="190">
        <f>+Base!$AK197</f>
        <v>0</v>
      </c>
      <c r="BV289" s="190">
        <f>+Base!$AK198</f>
        <v>0</v>
      </c>
      <c r="BW289" s="190">
        <f>+Base!$AK199</f>
        <v>0</v>
      </c>
      <c r="BX289" s="190">
        <f>+Base!$AK200</f>
        <v>0</v>
      </c>
    </row>
    <row r="290" spans="1:86" ht="15.6">
      <c r="A290" s="646" t="str">
        <f t="shared" si="26"/>
        <v/>
      </c>
      <c r="B290" s="136" t="str">
        <f>"  " &amp; Setup!E$23+$Z290-1 &amp;" - "&amp;Your_Age+$Z290-1</f>
        <v xml:space="preserve">  2051 - 94</v>
      </c>
      <c r="C290" s="464"/>
      <c r="D290" s="464"/>
      <c r="E290" s="478">
        <f>+Details!$AL18</f>
        <v>0</v>
      </c>
      <c r="F290" s="464"/>
      <c r="G290" s="481">
        <f>+Details!$AL91</f>
        <v>0</v>
      </c>
      <c r="H290" s="482">
        <f>+Details!$AL321</f>
        <v>0</v>
      </c>
      <c r="I290" s="482">
        <f>+Details!$AL8</f>
        <v>0</v>
      </c>
      <c r="J290" s="200">
        <f>+Details!$AL203*100</f>
        <v>0</v>
      </c>
      <c r="K290" s="166">
        <f>+'Tax Tables'!$AL313*100</f>
        <v>0</v>
      </c>
      <c r="L290" s="166">
        <f>+'Tax Tables'!$AL314*100</f>
        <v>0</v>
      </c>
      <c r="M290" s="166">
        <f>+'Tax Tables'!$AL315*100</f>
        <v>0</v>
      </c>
      <c r="N290" s="166">
        <f>+'Tax Tables'!$AL316*100</f>
        <v>0</v>
      </c>
      <c r="O290" s="166">
        <f>+'Tax Tables'!$AL317*100</f>
        <v>0</v>
      </c>
      <c r="P290" s="166">
        <f>+'Tax Tables'!$AL318*100</f>
        <v>0</v>
      </c>
      <c r="R290" s="200">
        <f>+Base!$AL203*100</f>
        <v>0</v>
      </c>
      <c r="S290" s="166">
        <f>+'Tax Tables'!$AL321*100</f>
        <v>0</v>
      </c>
      <c r="T290" s="166">
        <f>+'Tax Tables'!$AL322*100</f>
        <v>0</v>
      </c>
      <c r="U290" s="166">
        <f>+'Tax Tables'!$AL323*100</f>
        <v>0</v>
      </c>
      <c r="V290" s="166">
        <f>+'Tax Tables'!$AL324*100</f>
        <v>0</v>
      </c>
      <c r="W290" s="166">
        <f>+'Tax Tables'!$AL325*100</f>
        <v>0</v>
      </c>
      <c r="X290" s="166">
        <f>+'Tax Tables'!$AL326*100</f>
        <v>0</v>
      </c>
      <c r="Z290" s="86">
        <f t="shared" si="25"/>
        <v>33</v>
      </c>
      <c r="BJ290" s="190"/>
      <c r="BK290" s="200">
        <f>+Base!$AL203*100</f>
        <v>0</v>
      </c>
      <c r="BL290" s="166">
        <f>+'Tax Tables'!$AL321*100</f>
        <v>0</v>
      </c>
      <c r="BM290" s="166">
        <f>+'Tax Tables'!$AL322*100</f>
        <v>0</v>
      </c>
      <c r="BN290" s="166">
        <f>+'Tax Tables'!$AL323*100</f>
        <v>0</v>
      </c>
      <c r="BO290" s="166">
        <f>+'Tax Tables'!$AL324*100</f>
        <v>0</v>
      </c>
      <c r="BP290" s="166">
        <f>+'Tax Tables'!$AL325*100</f>
        <v>0</v>
      </c>
      <c r="BQ290" s="166">
        <f>+'Tax Tables'!$AL326*100</f>
        <v>0</v>
      </c>
      <c r="BR290" s="190"/>
      <c r="BS290" s="190">
        <f>+Base!$AL195</f>
        <v>0</v>
      </c>
      <c r="BT290" s="190">
        <f>+Base!$AL196</f>
        <v>0</v>
      </c>
      <c r="BU290" s="190">
        <f>+Base!$AL197</f>
        <v>0</v>
      </c>
      <c r="BV290" s="190">
        <f>+Base!$AL198</f>
        <v>0</v>
      </c>
      <c r="BW290" s="190">
        <f>+Base!$AL199</f>
        <v>0</v>
      </c>
      <c r="BX290" s="190">
        <f>+Base!$AL200</f>
        <v>0</v>
      </c>
    </row>
    <row r="291" spans="1:86" ht="15.6">
      <c r="A291" s="646" t="str">
        <f t="shared" si="26"/>
        <v/>
      </c>
      <c r="B291" s="136" t="str">
        <f>"  " &amp; Setup!E$23+$Z291-1 &amp;" - "&amp;Your_Age+$Z291-1</f>
        <v xml:space="preserve">  2052 - 95</v>
      </c>
      <c r="C291" s="464"/>
      <c r="D291" s="464"/>
      <c r="E291" s="478">
        <f>+Details!$AM18</f>
        <v>0</v>
      </c>
      <c r="F291" s="464"/>
      <c r="G291" s="481">
        <f>+Details!$AM91</f>
        <v>0</v>
      </c>
      <c r="H291" s="482">
        <f>+Details!$AM321</f>
        <v>0</v>
      </c>
      <c r="I291" s="482">
        <f>+Details!$AM8</f>
        <v>0</v>
      </c>
      <c r="J291" s="200">
        <f>+Details!$AM203*100</f>
        <v>0</v>
      </c>
      <c r="K291" s="166">
        <f>+'Tax Tables'!$AM313*100</f>
        <v>0</v>
      </c>
      <c r="L291" s="166">
        <f>+'Tax Tables'!$AM314*100</f>
        <v>0</v>
      </c>
      <c r="M291" s="166">
        <f>+'Tax Tables'!$AM315*100</f>
        <v>0</v>
      </c>
      <c r="N291" s="166">
        <f>+'Tax Tables'!$AM316*100</f>
        <v>0</v>
      </c>
      <c r="O291" s="166">
        <f>+'Tax Tables'!$AM317*100</f>
        <v>0</v>
      </c>
      <c r="P291" s="166">
        <f>+'Tax Tables'!$AM318*100</f>
        <v>0</v>
      </c>
      <c r="R291" s="200">
        <f>+Base!$AM203*100</f>
        <v>0</v>
      </c>
      <c r="S291" s="166">
        <f>+'Tax Tables'!$AM321*100</f>
        <v>0</v>
      </c>
      <c r="T291" s="166">
        <f>+'Tax Tables'!$AM322*100</f>
        <v>0</v>
      </c>
      <c r="U291" s="166">
        <f>+'Tax Tables'!$AM323*100</f>
        <v>0</v>
      </c>
      <c r="V291" s="166">
        <f>+'Tax Tables'!$AM324*100</f>
        <v>0</v>
      </c>
      <c r="W291" s="166">
        <f>+'Tax Tables'!$AM325*100</f>
        <v>0</v>
      </c>
      <c r="X291" s="166">
        <f>+'Tax Tables'!$AM326*100</f>
        <v>0</v>
      </c>
      <c r="Z291" s="86">
        <f t="shared" si="25"/>
        <v>34</v>
      </c>
      <c r="BJ291" s="190"/>
      <c r="BK291" s="200">
        <f>+Base!$AM203*100</f>
        <v>0</v>
      </c>
      <c r="BL291" s="166">
        <f>+'Tax Tables'!$AM321*100</f>
        <v>0</v>
      </c>
      <c r="BM291" s="166">
        <f>+'Tax Tables'!$AM322*100</f>
        <v>0</v>
      </c>
      <c r="BN291" s="166">
        <f>+'Tax Tables'!$AM323*100</f>
        <v>0</v>
      </c>
      <c r="BO291" s="166">
        <f>+'Tax Tables'!$AM324*100</f>
        <v>0</v>
      </c>
      <c r="BP291" s="166">
        <f>+'Tax Tables'!$AM325*100</f>
        <v>0</v>
      </c>
      <c r="BQ291" s="166">
        <f>+'Tax Tables'!$AM326*100</f>
        <v>0</v>
      </c>
      <c r="BR291" s="190"/>
      <c r="BS291" s="190">
        <f>+Base!$AM195</f>
        <v>0</v>
      </c>
      <c r="BT291" s="190">
        <f>+Base!$AM196</f>
        <v>0</v>
      </c>
      <c r="BU291" s="190">
        <f>+Base!$AM197</f>
        <v>0</v>
      </c>
      <c r="BV291" s="190">
        <f>+Base!$AM198</f>
        <v>0</v>
      </c>
      <c r="BW291" s="190">
        <f>+Base!$AM199</f>
        <v>0</v>
      </c>
      <c r="BX291" s="190">
        <f>+Base!$AM200</f>
        <v>0</v>
      </c>
    </row>
    <row r="292" spans="1:86" ht="15.6">
      <c r="A292" s="646" t="str">
        <f t="shared" si="26"/>
        <v/>
      </c>
      <c r="B292" s="136" t="str">
        <f>"  " &amp; Setup!E$23+$Z292-1 &amp;" - "&amp;Your_Age+$Z292-1</f>
        <v xml:space="preserve">  2053 - 96</v>
      </c>
      <c r="C292" s="464"/>
      <c r="D292" s="464"/>
      <c r="E292" s="479">
        <f>+Details!$AN18</f>
        <v>0</v>
      </c>
      <c r="F292" s="644"/>
      <c r="G292" s="483">
        <f>+Details!$AN91</f>
        <v>0</v>
      </c>
      <c r="H292" s="484">
        <f>+Details!$AN321</f>
        <v>0</v>
      </c>
      <c r="I292" s="485">
        <f>+Details!$AN8</f>
        <v>0</v>
      </c>
      <c r="J292" s="201">
        <f>+Details!$AN203*100</f>
        <v>0</v>
      </c>
      <c r="K292" s="202">
        <f>+'Tax Tables'!$AN313*100</f>
        <v>0</v>
      </c>
      <c r="L292" s="202">
        <f>+'Tax Tables'!$AN314*100</f>
        <v>0</v>
      </c>
      <c r="M292" s="202">
        <f>+'Tax Tables'!$AN315*100</f>
        <v>0</v>
      </c>
      <c r="N292" s="202">
        <f>+'Tax Tables'!$AN316*100</f>
        <v>0</v>
      </c>
      <c r="O292" s="202">
        <f>+'Tax Tables'!$AN317*100</f>
        <v>0</v>
      </c>
      <c r="P292" s="202">
        <f>+'Tax Tables'!$AN318*100</f>
        <v>0</v>
      </c>
      <c r="R292" s="201">
        <f>+Base!$AN203*100</f>
        <v>0</v>
      </c>
      <c r="S292" s="202">
        <f>+'Tax Tables'!$AN321*100</f>
        <v>0</v>
      </c>
      <c r="T292" s="202">
        <f>+'Tax Tables'!$AN322*100</f>
        <v>0</v>
      </c>
      <c r="U292" s="202">
        <f>+'Tax Tables'!$AN323*100</f>
        <v>0</v>
      </c>
      <c r="V292" s="202">
        <f>+'Tax Tables'!$AN324*100</f>
        <v>0</v>
      </c>
      <c r="W292" s="202">
        <f>+'Tax Tables'!$AN325*100</f>
        <v>0</v>
      </c>
      <c r="X292" s="202">
        <f>+'Tax Tables'!$AN326*100</f>
        <v>0</v>
      </c>
      <c r="Z292" s="86">
        <f t="shared" si="25"/>
        <v>35</v>
      </c>
      <c r="BJ292" s="192"/>
      <c r="BK292" s="201">
        <f>+Base!$AN203*100</f>
        <v>0</v>
      </c>
      <c r="BL292" s="202">
        <f>+'Tax Tables'!$AN321*100</f>
        <v>0</v>
      </c>
      <c r="BM292" s="202">
        <f>+'Tax Tables'!$AN322*100</f>
        <v>0</v>
      </c>
      <c r="BN292" s="202">
        <f>+'Tax Tables'!$AN323*100</f>
        <v>0</v>
      </c>
      <c r="BO292" s="202">
        <f>+'Tax Tables'!$AN324*100</f>
        <v>0</v>
      </c>
      <c r="BP292" s="202">
        <f>+'Tax Tables'!$AN325*100</f>
        <v>0</v>
      </c>
      <c r="BQ292" s="202">
        <f>+'Tax Tables'!$AN326*100</f>
        <v>0</v>
      </c>
      <c r="BR292" s="192"/>
      <c r="BS292" s="193">
        <f>+Base!$AN195</f>
        <v>0</v>
      </c>
      <c r="BT292" s="193">
        <f>+Base!$AN196</f>
        <v>0</v>
      </c>
      <c r="BU292" s="193">
        <f>+Base!$AN197</f>
        <v>0</v>
      </c>
      <c r="BV292" s="193">
        <f>+Base!$AN198</f>
        <v>0</v>
      </c>
      <c r="BW292" s="193">
        <f>+Base!$AN199</f>
        <v>0</v>
      </c>
      <c r="BX292" s="193">
        <f>+Base!$AN200</f>
        <v>0</v>
      </c>
    </row>
    <row r="293" spans="1:86" ht="15.6">
      <c r="A293" s="646" t="str">
        <f t="shared" si="26"/>
        <v/>
      </c>
      <c r="B293" s="136" t="str">
        <f>"  " &amp; Setup!E$23+$Z293-1 &amp;" - "&amp;Your_Age+$Z293-1</f>
        <v xml:space="preserve">  2054 - 97</v>
      </c>
      <c r="C293" s="464"/>
      <c r="D293" s="464"/>
      <c r="E293" s="478">
        <f>+Details!$AO18</f>
        <v>0</v>
      </c>
      <c r="F293" s="465"/>
      <c r="G293" s="481">
        <f>+Details!$AO91</f>
        <v>0</v>
      </c>
      <c r="H293" s="482">
        <f>+Details!$AO321</f>
        <v>0</v>
      </c>
      <c r="I293" s="482">
        <f>+Details!$AO8</f>
        <v>0</v>
      </c>
      <c r="J293" s="200">
        <f>+Details!$AO203*100</f>
        <v>0</v>
      </c>
      <c r="K293" s="166">
        <f>+'Tax Tables'!$AO313*100</f>
        <v>0</v>
      </c>
      <c r="L293" s="166">
        <f>+'Tax Tables'!$AO314*100</f>
        <v>0</v>
      </c>
      <c r="M293" s="166">
        <f>+'Tax Tables'!$AO315*100</f>
        <v>0</v>
      </c>
      <c r="N293" s="166">
        <f>+'Tax Tables'!$AO316*100</f>
        <v>0</v>
      </c>
      <c r="O293" s="166">
        <f>+'Tax Tables'!$AO317*100</f>
        <v>0</v>
      </c>
      <c r="P293" s="166">
        <f>+'Tax Tables'!$AO318*100</f>
        <v>0</v>
      </c>
      <c r="R293" s="200">
        <f>+Base!$AO203*100</f>
        <v>0</v>
      </c>
      <c r="S293" s="166">
        <f>+'Tax Tables'!$AO321*100</f>
        <v>0</v>
      </c>
      <c r="T293" s="166">
        <f>+'Tax Tables'!$AO322*100</f>
        <v>0</v>
      </c>
      <c r="U293" s="166">
        <f>+'Tax Tables'!$AO323*100</f>
        <v>0</v>
      </c>
      <c r="V293" s="166">
        <f>+'Tax Tables'!$AO324*100</f>
        <v>0</v>
      </c>
      <c r="W293" s="166">
        <f>+'Tax Tables'!$AO325*100</f>
        <v>0</v>
      </c>
      <c r="X293" s="166">
        <f>+'Tax Tables'!$AO326*100</f>
        <v>0</v>
      </c>
      <c r="Z293" s="86">
        <f t="shared" si="25"/>
        <v>36</v>
      </c>
      <c r="BJ293" s="190"/>
      <c r="BK293" s="200">
        <f>+Base!$AO203*100</f>
        <v>0</v>
      </c>
      <c r="BL293" s="166">
        <f>+'Tax Tables'!$AO321*100</f>
        <v>0</v>
      </c>
      <c r="BM293" s="166">
        <f>+'Tax Tables'!$AO322*100</f>
        <v>0</v>
      </c>
      <c r="BN293" s="166">
        <f>+'Tax Tables'!$AO323*100</f>
        <v>0</v>
      </c>
      <c r="BO293" s="166">
        <f>+'Tax Tables'!$AO324*100</f>
        <v>0</v>
      </c>
      <c r="BP293" s="166">
        <f>+'Tax Tables'!$AO325*100</f>
        <v>0</v>
      </c>
      <c r="BQ293" s="166">
        <f>+'Tax Tables'!$AO326*100</f>
        <v>0</v>
      </c>
      <c r="BR293" s="190"/>
      <c r="BS293" s="190">
        <f>+Base!$AO195</f>
        <v>0</v>
      </c>
      <c r="BT293" s="190">
        <f>+Base!$AO196</f>
        <v>0</v>
      </c>
      <c r="BU293" s="190">
        <f>+Base!$AO197</f>
        <v>0</v>
      </c>
      <c r="BV293" s="190">
        <f>+Base!$AO198</f>
        <v>0</v>
      </c>
      <c r="BW293" s="190">
        <f>+Base!$AO199</f>
        <v>0</v>
      </c>
      <c r="BX293" s="190">
        <f>+Base!$AO200</f>
        <v>0</v>
      </c>
    </row>
    <row r="294" spans="1:86" ht="15.6">
      <c r="A294" s="646" t="str">
        <f t="shared" si="26"/>
        <v/>
      </c>
      <c r="B294" s="136" t="str">
        <f>"  " &amp; Setup!E$23+$Z294-1 &amp;" - "&amp;Your_Age+$Z294-1</f>
        <v xml:space="preserve">  2055 - 98</v>
      </c>
      <c r="C294" s="464"/>
      <c r="D294" s="464"/>
      <c r="E294" s="478">
        <f>+Details!$AP18</f>
        <v>0</v>
      </c>
      <c r="F294" s="464"/>
      <c r="G294" s="481">
        <f>+Details!$AP91</f>
        <v>0</v>
      </c>
      <c r="H294" s="482">
        <f>+Details!$AP321</f>
        <v>0</v>
      </c>
      <c r="I294" s="482">
        <f>+Details!$AP8</f>
        <v>0</v>
      </c>
      <c r="J294" s="200">
        <f>+Details!$AP203*100</f>
        <v>0</v>
      </c>
      <c r="K294" s="166">
        <f>+'Tax Tables'!$AP313*100</f>
        <v>0</v>
      </c>
      <c r="L294" s="166">
        <f>+'Tax Tables'!$AP314*100</f>
        <v>0</v>
      </c>
      <c r="M294" s="166">
        <f>+'Tax Tables'!$AP315*100</f>
        <v>0</v>
      </c>
      <c r="N294" s="166">
        <f>+'Tax Tables'!$AP316*100</f>
        <v>0</v>
      </c>
      <c r="O294" s="166">
        <f>+'Tax Tables'!$AP317*100</f>
        <v>0</v>
      </c>
      <c r="P294" s="166">
        <f>+'Tax Tables'!$AP318*100</f>
        <v>0</v>
      </c>
      <c r="R294" s="200">
        <f>+Base!$AP203*100</f>
        <v>0</v>
      </c>
      <c r="S294" s="166">
        <f>+'Tax Tables'!$AP321*100</f>
        <v>0</v>
      </c>
      <c r="T294" s="166">
        <f>+'Tax Tables'!$AP322*100</f>
        <v>0</v>
      </c>
      <c r="U294" s="166">
        <f>+'Tax Tables'!$AP323*100</f>
        <v>0</v>
      </c>
      <c r="V294" s="166">
        <f>+'Tax Tables'!$AP324*100</f>
        <v>0</v>
      </c>
      <c r="W294" s="166">
        <f>+'Tax Tables'!$AP325*100</f>
        <v>0</v>
      </c>
      <c r="X294" s="166">
        <f>+'Tax Tables'!$AP326*100</f>
        <v>0</v>
      </c>
      <c r="Z294" s="86">
        <f t="shared" si="25"/>
        <v>37</v>
      </c>
      <c r="BJ294" s="190"/>
      <c r="BK294" s="200">
        <f>+Base!$AP203*100</f>
        <v>0</v>
      </c>
      <c r="BL294" s="166">
        <f>+'Tax Tables'!$AP321*100</f>
        <v>0</v>
      </c>
      <c r="BM294" s="166">
        <f>+'Tax Tables'!$AP322*100</f>
        <v>0</v>
      </c>
      <c r="BN294" s="166">
        <f>+'Tax Tables'!$AP323*100</f>
        <v>0</v>
      </c>
      <c r="BO294" s="166">
        <f>+'Tax Tables'!$AP324*100</f>
        <v>0</v>
      </c>
      <c r="BP294" s="166">
        <f>+'Tax Tables'!$AP325*100</f>
        <v>0</v>
      </c>
      <c r="BQ294" s="166">
        <f>+'Tax Tables'!$AP326*100</f>
        <v>0</v>
      </c>
      <c r="BR294" s="190"/>
      <c r="BS294" s="190">
        <f>+Base!$AP195</f>
        <v>0</v>
      </c>
      <c r="BT294" s="190">
        <f>+Base!$AP196</f>
        <v>0</v>
      </c>
      <c r="BU294" s="190">
        <f>+Base!$AP197</f>
        <v>0</v>
      </c>
      <c r="BV294" s="190">
        <f>+Base!$AP198</f>
        <v>0</v>
      </c>
      <c r="BW294" s="190">
        <f>+Base!$AP199</f>
        <v>0</v>
      </c>
      <c r="BX294" s="190">
        <f>+Base!$AP200</f>
        <v>0</v>
      </c>
    </row>
    <row r="295" spans="1:86" ht="15.6">
      <c r="A295" s="646" t="str">
        <f t="shared" si="26"/>
        <v/>
      </c>
      <c r="B295" s="136" t="str">
        <f>"  " &amp; Setup!E$23+$Z295-1 &amp;" - "&amp;Your_Age+$Z295-1</f>
        <v xml:space="preserve">  2056 - 99</v>
      </c>
      <c r="C295" s="464"/>
      <c r="D295" s="464"/>
      <c r="E295" s="478">
        <f>+Details!$AQ18</f>
        <v>0</v>
      </c>
      <c r="F295" s="464"/>
      <c r="G295" s="481">
        <f>+Details!$AQ91</f>
        <v>0</v>
      </c>
      <c r="H295" s="482">
        <f>+Details!$AQ321</f>
        <v>0</v>
      </c>
      <c r="I295" s="482">
        <f>+Details!$AQ8</f>
        <v>0</v>
      </c>
      <c r="J295" s="200">
        <f>+Details!$AQ203*100</f>
        <v>0</v>
      </c>
      <c r="K295" s="166">
        <f>+'Tax Tables'!$AQ313*100</f>
        <v>0</v>
      </c>
      <c r="L295" s="166">
        <f>+'Tax Tables'!$AQ314*100</f>
        <v>0</v>
      </c>
      <c r="M295" s="166">
        <f>+'Tax Tables'!$AQ315*100</f>
        <v>0</v>
      </c>
      <c r="N295" s="166">
        <f>+'Tax Tables'!$AQ316*100</f>
        <v>0</v>
      </c>
      <c r="O295" s="166">
        <f>+'Tax Tables'!$AQ317*100</f>
        <v>0</v>
      </c>
      <c r="P295" s="166">
        <f>+'Tax Tables'!$AQ318*100</f>
        <v>0</v>
      </c>
      <c r="R295" s="200">
        <f>+Base!$AQ203*100</f>
        <v>0</v>
      </c>
      <c r="S295" s="166">
        <f>+'Tax Tables'!$AQ321*100</f>
        <v>0</v>
      </c>
      <c r="T295" s="166">
        <f>+'Tax Tables'!$AQ322*100</f>
        <v>0</v>
      </c>
      <c r="U295" s="166">
        <f>+'Tax Tables'!$AQ323*100</f>
        <v>0</v>
      </c>
      <c r="V295" s="166">
        <f>+'Tax Tables'!$AQ324*100</f>
        <v>0</v>
      </c>
      <c r="W295" s="166">
        <f>+'Tax Tables'!$AQ325*100</f>
        <v>0</v>
      </c>
      <c r="X295" s="166">
        <f>+'Tax Tables'!$AQ326*100</f>
        <v>0</v>
      </c>
      <c r="Z295" s="86">
        <f t="shared" si="25"/>
        <v>38</v>
      </c>
      <c r="BJ295" s="190"/>
      <c r="BK295" s="200">
        <f>+Base!$AQ203*100</f>
        <v>0</v>
      </c>
      <c r="BL295" s="166">
        <f>+'Tax Tables'!$AQ321*100</f>
        <v>0</v>
      </c>
      <c r="BM295" s="166">
        <f>+'Tax Tables'!$AQ322*100</f>
        <v>0</v>
      </c>
      <c r="BN295" s="166">
        <f>+'Tax Tables'!$AQ323*100</f>
        <v>0</v>
      </c>
      <c r="BO295" s="166">
        <f>+'Tax Tables'!$AQ324*100</f>
        <v>0</v>
      </c>
      <c r="BP295" s="166">
        <f>+'Tax Tables'!$AQ325*100</f>
        <v>0</v>
      </c>
      <c r="BQ295" s="166">
        <f>+'Tax Tables'!$AQ326*100</f>
        <v>0</v>
      </c>
      <c r="BR295" s="190"/>
      <c r="BS295" s="190">
        <f>+Base!$AQ195</f>
        <v>0</v>
      </c>
      <c r="BT295" s="190">
        <f>+Base!$AQ196</f>
        <v>0</v>
      </c>
      <c r="BU295" s="190">
        <f>+Base!$AQ197</f>
        <v>0</v>
      </c>
      <c r="BV295" s="190">
        <f>+Base!$AQ198</f>
        <v>0</v>
      </c>
      <c r="BW295" s="190">
        <f>+Base!$AQ199</f>
        <v>0</v>
      </c>
      <c r="BX295" s="190">
        <f>+Base!$AQ200</f>
        <v>0</v>
      </c>
    </row>
    <row r="296" spans="1:86" ht="15.6">
      <c r="A296" s="646" t="str">
        <f t="shared" si="26"/>
        <v/>
      </c>
      <c r="B296" s="136" t="str">
        <f>"  " &amp; Setup!E$23+$Z296-1 &amp;" - "&amp;Your_Age+$Z296-1</f>
        <v xml:space="preserve">  2057 - 100</v>
      </c>
      <c r="C296" s="464"/>
      <c r="D296" s="464"/>
      <c r="E296" s="478">
        <f>+Details!$AR18</f>
        <v>0</v>
      </c>
      <c r="F296" s="464"/>
      <c r="G296" s="481">
        <f>+Details!$AR91</f>
        <v>0</v>
      </c>
      <c r="H296" s="482">
        <f>+Details!$AR321</f>
        <v>0</v>
      </c>
      <c r="I296" s="482">
        <f>+Details!$AR8</f>
        <v>0</v>
      </c>
      <c r="J296" s="200">
        <f>+Details!$AR203*100</f>
        <v>0</v>
      </c>
      <c r="K296" s="166">
        <f>+'Tax Tables'!$AR313*100</f>
        <v>0</v>
      </c>
      <c r="L296" s="166">
        <f>+'Tax Tables'!$AR314*100</f>
        <v>0</v>
      </c>
      <c r="M296" s="166">
        <f>+'Tax Tables'!$AR315*100</f>
        <v>0</v>
      </c>
      <c r="N296" s="166">
        <f>+'Tax Tables'!$AR316*100</f>
        <v>0</v>
      </c>
      <c r="O296" s="166">
        <f>+'Tax Tables'!$AR317*100</f>
        <v>0</v>
      </c>
      <c r="P296" s="166">
        <f>+'Tax Tables'!$AR318*100</f>
        <v>0</v>
      </c>
      <c r="R296" s="200">
        <f>+Base!$AR203*100</f>
        <v>0</v>
      </c>
      <c r="S296" s="166">
        <f>+'Tax Tables'!$AR321*100</f>
        <v>0</v>
      </c>
      <c r="T296" s="166">
        <f>+'Tax Tables'!$AR322*100</f>
        <v>0</v>
      </c>
      <c r="U296" s="166">
        <f>+'Tax Tables'!$AR323*100</f>
        <v>0</v>
      </c>
      <c r="V296" s="166">
        <f>+'Tax Tables'!$AR324*100</f>
        <v>0</v>
      </c>
      <c r="W296" s="166">
        <f>+'Tax Tables'!$AR325*100</f>
        <v>0</v>
      </c>
      <c r="X296" s="166">
        <f>+'Tax Tables'!$AR326*100</f>
        <v>0</v>
      </c>
      <c r="Z296" s="86">
        <f t="shared" si="25"/>
        <v>39</v>
      </c>
      <c r="BJ296" s="190"/>
      <c r="BK296" s="200">
        <f>+Base!$AR203*100</f>
        <v>0</v>
      </c>
      <c r="BL296" s="166">
        <f>+'Tax Tables'!$AR321*100</f>
        <v>0</v>
      </c>
      <c r="BM296" s="166">
        <f>+'Tax Tables'!$AR322*100</f>
        <v>0</v>
      </c>
      <c r="BN296" s="166">
        <f>+'Tax Tables'!$AR323*100</f>
        <v>0</v>
      </c>
      <c r="BO296" s="166">
        <f>+'Tax Tables'!$AR324*100</f>
        <v>0</v>
      </c>
      <c r="BP296" s="166">
        <f>+'Tax Tables'!$AR325*100</f>
        <v>0</v>
      </c>
      <c r="BQ296" s="166">
        <f>+'Tax Tables'!$AR326*100</f>
        <v>0</v>
      </c>
      <c r="BR296" s="190"/>
      <c r="BS296" s="190">
        <f>+Base!$AR195</f>
        <v>0</v>
      </c>
      <c r="BT296" s="190">
        <f>+Base!$AR196</f>
        <v>0</v>
      </c>
      <c r="BU296" s="190">
        <f>+Base!$AR197</f>
        <v>0</v>
      </c>
      <c r="BV296" s="190">
        <f>+Base!$AR198</f>
        <v>0</v>
      </c>
      <c r="BW296" s="190">
        <f>+Base!$AR199</f>
        <v>0</v>
      </c>
      <c r="BX296" s="190">
        <f>+Base!$AR200</f>
        <v>0</v>
      </c>
    </row>
    <row r="297" spans="1:86" ht="15.6">
      <c r="A297" s="646" t="str">
        <f t="shared" si="26"/>
        <v/>
      </c>
      <c r="B297" s="136" t="str">
        <f>"  " &amp; Setup!E$23+$Z297-1 &amp;" - "&amp;Your_Age+$Z297-1</f>
        <v xml:space="preserve">  2058 - 101</v>
      </c>
      <c r="C297" s="464"/>
      <c r="D297" s="464"/>
      <c r="E297" s="479">
        <f>+Details!$AS18</f>
        <v>0</v>
      </c>
      <c r="F297" s="644"/>
      <c r="G297" s="483">
        <f>+Details!$AS91</f>
        <v>0</v>
      </c>
      <c r="H297" s="484">
        <f>+Details!$AS321</f>
        <v>0</v>
      </c>
      <c r="I297" s="485">
        <f>+Details!$AS8</f>
        <v>0</v>
      </c>
      <c r="J297" s="201">
        <f>+Details!$AS203*100</f>
        <v>0</v>
      </c>
      <c r="K297" s="202">
        <f>+'Tax Tables'!$AS313*100</f>
        <v>0</v>
      </c>
      <c r="L297" s="202">
        <f>+'Tax Tables'!$AS314*100</f>
        <v>0</v>
      </c>
      <c r="M297" s="202">
        <f>+'Tax Tables'!$AS315*100</f>
        <v>0</v>
      </c>
      <c r="N297" s="202">
        <f>+'Tax Tables'!$AS316*100</f>
        <v>0</v>
      </c>
      <c r="O297" s="202">
        <f>+'Tax Tables'!$AS317*100</f>
        <v>0</v>
      </c>
      <c r="P297" s="202">
        <f>+'Tax Tables'!$AS318*100</f>
        <v>0</v>
      </c>
      <c r="R297" s="201">
        <f>+Base!$AS203*100</f>
        <v>0</v>
      </c>
      <c r="S297" s="202">
        <f>+'Tax Tables'!$AS321*100</f>
        <v>0</v>
      </c>
      <c r="T297" s="202">
        <f>+'Tax Tables'!$AS322*100</f>
        <v>0</v>
      </c>
      <c r="U297" s="202">
        <f>+'Tax Tables'!$AS323*100</f>
        <v>0</v>
      </c>
      <c r="V297" s="202">
        <f>+'Tax Tables'!$AS324*100</f>
        <v>0</v>
      </c>
      <c r="W297" s="202">
        <f>+'Tax Tables'!$AS325*100</f>
        <v>0</v>
      </c>
      <c r="X297" s="202">
        <f>+'Tax Tables'!$AS326*100</f>
        <v>0</v>
      </c>
      <c r="Z297" s="86">
        <f t="shared" si="25"/>
        <v>40</v>
      </c>
      <c r="AK297" s="1410" t="s">
        <v>1783</v>
      </c>
      <c r="BJ297" s="192"/>
      <c r="BK297" s="201">
        <f>+Base!$AS203*100</f>
        <v>0</v>
      </c>
      <c r="BL297" s="202">
        <f>+'Tax Tables'!$AS321*100</f>
        <v>0</v>
      </c>
      <c r="BM297" s="202">
        <f>+'Tax Tables'!$AS322*100</f>
        <v>0</v>
      </c>
      <c r="BN297" s="202">
        <f>+'Tax Tables'!$AS323*100</f>
        <v>0</v>
      </c>
      <c r="BO297" s="202">
        <f>+'Tax Tables'!$AS324*100</f>
        <v>0</v>
      </c>
      <c r="BP297" s="202">
        <f>+'Tax Tables'!$AS325*100</f>
        <v>0</v>
      </c>
      <c r="BQ297" s="202">
        <f>+'Tax Tables'!$AS326*100</f>
        <v>0</v>
      </c>
      <c r="BR297" s="192"/>
      <c r="BS297" s="193">
        <f>+Base!$AS195</f>
        <v>0</v>
      </c>
      <c r="BT297" s="193">
        <f>+Base!$AS196</f>
        <v>0</v>
      </c>
      <c r="BU297" s="193">
        <f>+Base!$AS197</f>
        <v>0</v>
      </c>
      <c r="BV297" s="193">
        <f>+Base!$AS198</f>
        <v>0</v>
      </c>
      <c r="BW297" s="193">
        <f>+Base!$AS199</f>
        <v>0</v>
      </c>
      <c r="BX297" s="193">
        <f>+Base!$AS200</f>
        <v>0</v>
      </c>
    </row>
    <row r="298" spans="1:86" ht="15.6">
      <c r="B298" s="8"/>
      <c r="C298" s="805"/>
      <c r="D298" s="805"/>
      <c r="E298" s="806"/>
      <c r="F298" s="807"/>
      <c r="G298" s="806"/>
      <c r="H298" s="808"/>
      <c r="I298" s="809"/>
      <c r="J298" s="810"/>
      <c r="K298" s="811"/>
      <c r="L298" s="351"/>
      <c r="M298" s="351"/>
      <c r="N298" s="351"/>
      <c r="O298" s="351"/>
      <c r="P298" s="351"/>
      <c r="R298" s="350"/>
      <c r="S298" s="351"/>
      <c r="T298" s="351"/>
      <c r="U298" s="351"/>
      <c r="V298" s="351"/>
      <c r="W298" s="351"/>
      <c r="X298" s="351"/>
      <c r="Y298" s="86"/>
      <c r="AA298" s="1137"/>
      <c r="AB298" s="1137"/>
      <c r="AC298" s="1137"/>
      <c r="AD298" s="1137"/>
      <c r="AE298" s="1137"/>
      <c r="AF298" s="1137"/>
      <c r="AG298" s="980"/>
      <c r="BJ298" s="192"/>
      <c r="BK298" s="350"/>
      <c r="BL298" s="351"/>
      <c r="BM298" s="351"/>
      <c r="BN298" s="351"/>
      <c r="BO298" s="351"/>
      <c r="BP298" s="351"/>
      <c r="BQ298" s="351"/>
      <c r="BR298" s="192"/>
      <c r="BS298" s="192"/>
      <c r="BT298" s="192"/>
      <c r="BU298" s="192"/>
      <c r="BV298" s="192"/>
      <c r="BW298" s="192"/>
      <c r="BX298" s="192"/>
    </row>
    <row r="299" spans="1:86">
      <c r="B299" s="8"/>
      <c r="C299" s="805"/>
      <c r="D299" s="805"/>
      <c r="E299" s="806"/>
      <c r="F299" s="807"/>
      <c r="G299" s="806"/>
      <c r="H299" s="808"/>
      <c r="I299" s="809"/>
      <c r="J299" s="810"/>
      <c r="K299" s="811"/>
      <c r="L299" s="351"/>
      <c r="M299" s="351"/>
      <c r="N299" s="351"/>
      <c r="O299" s="351"/>
      <c r="P299" s="351"/>
      <c r="Q299" s="350"/>
      <c r="R299" s="351"/>
      <c r="S299" s="351"/>
      <c r="T299" s="351"/>
      <c r="U299" s="351"/>
      <c r="V299" s="351"/>
      <c r="W299" s="351"/>
      <c r="X299" s="86"/>
      <c r="BJ299" s="192"/>
      <c r="BK299" s="350"/>
      <c r="BL299" s="351"/>
      <c r="BM299" s="351"/>
      <c r="BN299" s="351"/>
      <c r="BO299" s="351"/>
      <c r="BP299" s="351"/>
      <c r="BQ299" s="351"/>
      <c r="BR299" s="192"/>
      <c r="BS299" s="192"/>
      <c r="BT299" s="192"/>
      <c r="BU299" s="192"/>
      <c r="BV299" s="192"/>
      <c r="BW299" s="192"/>
      <c r="BX299" s="192"/>
    </row>
    <row r="300" spans="1:86" ht="19.95" customHeight="1">
      <c r="B300" s="710" t="s">
        <v>2257</v>
      </c>
      <c r="C300" s="710"/>
      <c r="D300" s="710"/>
      <c r="E300" s="224"/>
      <c r="F300" s="224"/>
      <c r="G300" s="192"/>
      <c r="H300" s="348"/>
      <c r="I300" s="349"/>
      <c r="J300" s="350"/>
      <c r="K300" s="351"/>
      <c r="L300" s="351"/>
      <c r="M300" s="351"/>
      <c r="N300" s="351"/>
      <c r="O300" s="351"/>
      <c r="P300" s="351"/>
      <c r="Q300" s="192"/>
      <c r="R300" s="192"/>
      <c r="S300" s="192"/>
      <c r="T300" s="192"/>
      <c r="U300" s="192"/>
      <c r="V300" s="192"/>
      <c r="X300" s="737"/>
      <c r="AB300" s="351"/>
      <c r="AC300" s="351"/>
      <c r="AD300" s="351"/>
      <c r="AE300" s="351"/>
      <c r="AF300" s="351"/>
      <c r="AG300" s="192"/>
      <c r="AH300" s="192"/>
      <c r="AI300" s="192"/>
      <c r="AJ300" s="192"/>
      <c r="AK300" s="192"/>
      <c r="AL300" s="192"/>
      <c r="AM300" s="192"/>
      <c r="AN300" s="192"/>
      <c r="AO300" s="192"/>
      <c r="AP300" s="192"/>
      <c r="AQ300" s="192"/>
      <c r="AR300" s="192"/>
      <c r="AS300" s="192"/>
      <c r="AT300" s="192"/>
      <c r="AU300" s="192"/>
      <c r="AV300" s="192"/>
      <c r="AW300" s="192"/>
      <c r="AX300" s="192"/>
      <c r="AY300" s="192"/>
      <c r="AZ300" s="192"/>
      <c r="BA300" s="192"/>
      <c r="BB300" s="192"/>
      <c r="BC300" s="192"/>
      <c r="BD300" s="192"/>
      <c r="BE300" s="192"/>
      <c r="BF300" s="192"/>
      <c r="BG300" s="192"/>
      <c r="BH300" s="192"/>
      <c r="BI300" s="192"/>
      <c r="BJ300" s="192"/>
      <c r="BK300" s="350"/>
      <c r="BL300" s="351"/>
      <c r="BM300" s="351"/>
      <c r="BN300" s="351"/>
      <c r="BO300" s="351"/>
      <c r="BP300" s="351"/>
      <c r="BQ300" s="351"/>
      <c r="BR300" s="192"/>
      <c r="BS300" s="192"/>
      <c r="BT300" s="192"/>
      <c r="BU300" s="192"/>
      <c r="BV300" s="192"/>
      <c r="BW300" s="192"/>
      <c r="BX300" s="192"/>
    </row>
    <row r="301" spans="1:86" ht="19.95" customHeight="1" thickBot="1">
      <c r="B301" s="1778" t="s">
        <v>2284</v>
      </c>
      <c r="C301" s="1778"/>
      <c r="D301" s="347"/>
      <c r="E301" s="192"/>
      <c r="F301" s="224"/>
      <c r="G301" s="192"/>
      <c r="H301" s="348"/>
      <c r="I301" s="349"/>
      <c r="J301" s="350"/>
      <c r="M301" s="1778" t="s">
        <v>1818</v>
      </c>
      <c r="N301" s="1779"/>
      <c r="O301" s="1135"/>
      <c r="P301" s="1135"/>
      <c r="Q301" s="1135"/>
      <c r="R301" s="1135"/>
      <c r="S301" s="1135"/>
      <c r="T301" s="192"/>
      <c r="U301" s="192"/>
      <c r="V301" s="192"/>
      <c r="X301" s="737"/>
      <c r="AA301" s="1137"/>
      <c r="AB301" s="351"/>
      <c r="AC301" s="351"/>
      <c r="AD301" s="351"/>
      <c r="AE301" s="351"/>
      <c r="AG301" s="980"/>
      <c r="AH301" s="192"/>
      <c r="AI301" s="192"/>
      <c r="AJ301" s="192"/>
      <c r="AK301" s="192"/>
      <c r="AL301" s="192"/>
      <c r="AM301" s="192"/>
      <c r="AN301" s="192"/>
      <c r="AO301" s="192"/>
      <c r="AP301" s="192"/>
      <c r="AQ301" s="192"/>
      <c r="AR301" s="192"/>
      <c r="AS301" s="192"/>
      <c r="AT301" s="192"/>
      <c r="AU301" s="192"/>
      <c r="AV301" s="192"/>
      <c r="AW301" s="192"/>
      <c r="AX301" s="192"/>
      <c r="AY301" s="192"/>
      <c r="AZ301" s="192"/>
      <c r="BA301" s="192"/>
      <c r="BB301" s="192"/>
      <c r="BC301" s="192"/>
      <c r="BD301" s="192"/>
      <c r="BE301" s="192"/>
      <c r="BF301" s="192"/>
      <c r="BG301" s="192"/>
      <c r="BH301" s="192"/>
      <c r="BI301" s="192"/>
      <c r="BJ301" s="192"/>
      <c r="BK301" s="350"/>
      <c r="BL301" s="351"/>
      <c r="BM301" s="351"/>
      <c r="BN301" s="351"/>
      <c r="BO301" s="351"/>
      <c r="BP301" s="351"/>
      <c r="BQ301" s="351"/>
      <c r="BR301" s="192"/>
      <c r="BS301" s="192"/>
      <c r="BT301" s="192"/>
      <c r="BU301" s="192"/>
      <c r="BV301" s="192"/>
      <c r="BW301" s="192"/>
      <c r="BX301" s="192"/>
    </row>
    <row r="302" spans="1:86" ht="17.399999999999999">
      <c r="B302" s="1782" t="s">
        <v>635</v>
      </c>
      <c r="C302" s="410"/>
      <c r="D302" s="410"/>
      <c r="E302" s="410"/>
      <c r="F302" s="410"/>
      <c r="G302" s="410"/>
      <c r="H302" s="410"/>
      <c r="I302" s="410"/>
      <c r="K302" s="1782" t="s">
        <v>2261</v>
      </c>
      <c r="M302" s="1"/>
      <c r="N302" s="1"/>
      <c r="U302" s="1782" t="s">
        <v>2261</v>
      </c>
      <c r="V302" s="192"/>
      <c r="X302" s="737"/>
      <c r="Z302" s="1177"/>
      <c r="AH302" s="192"/>
      <c r="AI302" s="192"/>
      <c r="AJ302" s="192"/>
      <c r="AK302" s="821"/>
      <c r="AL302" s="192"/>
      <c r="AM302" s="192"/>
      <c r="AN302" s="192"/>
      <c r="AO302" s="192"/>
      <c r="AP302" s="192"/>
      <c r="AQ302" s="192"/>
      <c r="AR302" s="192"/>
      <c r="AS302" s="192"/>
      <c r="AT302" s="192"/>
      <c r="AU302" s="192"/>
      <c r="AV302" s="192"/>
      <c r="AW302" s="192"/>
      <c r="AX302" s="192"/>
      <c r="AY302" s="192"/>
      <c r="AZ302" s="192"/>
      <c r="BA302" s="192"/>
      <c r="BB302" s="192"/>
      <c r="BC302" s="192"/>
      <c r="BD302" s="192"/>
      <c r="BE302" s="192"/>
      <c r="BF302" s="192"/>
      <c r="BG302" s="192"/>
      <c r="BH302" s="192"/>
      <c r="BI302" s="192"/>
      <c r="BJ302" s="192"/>
      <c r="BK302" s="350"/>
      <c r="BL302" s="351"/>
      <c r="BM302" s="351"/>
      <c r="BN302" s="351"/>
      <c r="BO302" s="351"/>
      <c r="BP302" s="351"/>
      <c r="BQ302" s="351"/>
      <c r="BR302" s="192"/>
      <c r="BS302" s="192"/>
      <c r="BT302" s="192"/>
      <c r="BU302" s="192"/>
      <c r="BV302" s="192"/>
      <c r="BW302" s="192"/>
      <c r="BX302" s="192"/>
    </row>
    <row r="303" spans="1:86" s="1078" customFormat="1" ht="19.95" customHeight="1">
      <c r="B303" s="1081" t="s">
        <v>2274</v>
      </c>
      <c r="C303" s="1136">
        <f>SUM(D303:I303)</f>
        <v>279600</v>
      </c>
      <c r="D303" s="1136">
        <f t="shared" ref="D303:J303" si="27">SUM(D305:D344)</f>
        <v>70800</v>
      </c>
      <c r="E303" s="1136">
        <f t="shared" si="27"/>
        <v>154200</v>
      </c>
      <c r="F303" s="1136">
        <f t="shared" si="27"/>
        <v>54600</v>
      </c>
      <c r="G303" s="1136">
        <f t="shared" si="27"/>
        <v>0</v>
      </c>
      <c r="H303" s="1136">
        <f t="shared" si="27"/>
        <v>0</v>
      </c>
      <c r="I303" s="1136">
        <f t="shared" si="27"/>
        <v>0</v>
      </c>
      <c r="J303" s="1136">
        <f t="shared" si="27"/>
        <v>0</v>
      </c>
      <c r="K303" s="1783" t="s">
        <v>2260</v>
      </c>
      <c r="M303" s="1136">
        <f>SUM(N303:S303)</f>
        <v>279600</v>
      </c>
      <c r="N303" s="1136">
        <f t="shared" ref="N303:S303" si="28">SUM(N305:N344)</f>
        <v>70800</v>
      </c>
      <c r="O303" s="1136">
        <f t="shared" si="28"/>
        <v>154200</v>
      </c>
      <c r="P303" s="1136">
        <f t="shared" si="28"/>
        <v>54600</v>
      </c>
      <c r="Q303" s="1136">
        <f t="shared" si="28"/>
        <v>0</v>
      </c>
      <c r="R303" s="1136">
        <f t="shared" si="28"/>
        <v>0</v>
      </c>
      <c r="S303" s="1136">
        <f t="shared" si="28"/>
        <v>0</v>
      </c>
      <c r="T303" s="1136">
        <f>SUM(T305:T344)</f>
        <v>0</v>
      </c>
      <c r="U303" s="1783" t="s">
        <v>2260</v>
      </c>
      <c r="X303" s="1079"/>
      <c r="Z303" s="1079"/>
      <c r="AW303" s="1080"/>
      <c r="AX303" s="1080"/>
      <c r="AY303" s="1080"/>
      <c r="AZ303" s="1080"/>
      <c r="BA303" s="1080"/>
      <c r="BJ303" s="1080"/>
      <c r="CH303" s="1080"/>
    </row>
    <row r="304" spans="1:86" ht="16.2" thickBot="1">
      <c r="B304" s="269" t="s">
        <v>572</v>
      </c>
      <c r="C304" s="607" t="s">
        <v>635</v>
      </c>
      <c r="D304" s="295">
        <f>+'Tax Tables'!$E$313</f>
        <v>0.1</v>
      </c>
      <c r="E304" s="295">
        <f>+'Tax Tables'!$E$314</f>
        <v>0.12</v>
      </c>
      <c r="F304" s="295">
        <f>+'Tax Tables'!$E$315</f>
        <v>0.22</v>
      </c>
      <c r="G304" s="296">
        <f>+'Tax Tables'!$E$316</f>
        <v>0.24</v>
      </c>
      <c r="H304" s="296">
        <f>+'Tax Tables'!$E$317</f>
        <v>0.32</v>
      </c>
      <c r="I304" s="296">
        <f>+'Tax Tables'!$E$318</f>
        <v>0.35</v>
      </c>
      <c r="J304" s="296">
        <f>+'Tax Tables'!$E$319</f>
        <v>0.37</v>
      </c>
      <c r="K304" s="1784">
        <f>SUM(K305:K344)</f>
        <v>368300</v>
      </c>
      <c r="M304" s="607" t="s">
        <v>635</v>
      </c>
      <c r="N304" s="1780">
        <f>+'Tax Tables'!$E$313</f>
        <v>0.1</v>
      </c>
      <c r="O304" s="295">
        <f>+'Tax Tables'!$E$314</f>
        <v>0.12</v>
      </c>
      <c r="P304" s="295">
        <f>+'Tax Tables'!$E$315</f>
        <v>0.22</v>
      </c>
      <c r="Q304" s="296">
        <f>+'Tax Tables'!$E$316</f>
        <v>0.24</v>
      </c>
      <c r="R304" s="296">
        <f>+'Tax Tables'!$E$317</f>
        <v>0.32</v>
      </c>
      <c r="S304" s="296">
        <f>+'Tax Tables'!$E$318</f>
        <v>0.35</v>
      </c>
      <c r="T304" s="296">
        <f>+'Tax Tables'!$E$319</f>
        <v>0.37</v>
      </c>
      <c r="U304" s="1784">
        <f>SUM(U305:U344)</f>
        <v>368300</v>
      </c>
      <c r="X304" s="86"/>
      <c r="BJ304" s="3"/>
    </row>
    <row r="305" spans="2:62">
      <c r="B305" s="285" t="str">
        <f t="shared" ref="B305:B344" si="29">+B258</f>
        <v xml:space="preserve">  2019 - 62</v>
      </c>
      <c r="C305" s="1124">
        <f>SUM(D305:I305)</f>
        <v>3900</v>
      </c>
      <c r="D305" s="1124">
        <f>+Details!$F195</f>
        <v>1900</v>
      </c>
      <c r="E305" s="1124">
        <f>+Details!$F196</f>
        <v>2000</v>
      </c>
      <c r="F305" s="1124">
        <f>+Details!$F197</f>
        <v>0</v>
      </c>
      <c r="G305" s="1124">
        <f>+Details!$F198</f>
        <v>0</v>
      </c>
      <c r="H305" s="1124">
        <f>+Details!$F199</f>
        <v>0</v>
      </c>
      <c r="I305" s="1422">
        <f>+Details!$F200</f>
        <v>0</v>
      </c>
      <c r="J305" s="1422">
        <f>+Details!$F201</f>
        <v>0</v>
      </c>
      <c r="K305" s="1124">
        <f>C305+Details!$F227</f>
        <v>5000</v>
      </c>
      <c r="M305" s="1124">
        <f>SUM(N305:S305)</f>
        <v>3900</v>
      </c>
      <c r="N305" s="1124">
        <f>+Base!$F195</f>
        <v>1900</v>
      </c>
      <c r="O305" s="1124">
        <f>+Base!$F196</f>
        <v>2000</v>
      </c>
      <c r="P305" s="1124">
        <f>+Base!$F197</f>
        <v>0</v>
      </c>
      <c r="Q305" s="1124">
        <f>+Base!$F198</f>
        <v>0</v>
      </c>
      <c r="R305" s="1124">
        <f>+Base!$F199</f>
        <v>0</v>
      </c>
      <c r="S305" s="1124">
        <f>+Base!$F200</f>
        <v>0</v>
      </c>
      <c r="T305" s="1124">
        <f>+Base!$F201</f>
        <v>0</v>
      </c>
      <c r="U305" s="1124">
        <f>M305+Base!$F227</f>
        <v>5000</v>
      </c>
      <c r="X305" s="86"/>
      <c r="BJ305" s="3"/>
    </row>
    <row r="306" spans="2:62">
      <c r="B306" s="285" t="str">
        <f t="shared" si="29"/>
        <v xml:space="preserve">  2020 - 63</v>
      </c>
      <c r="C306" s="1124">
        <f t="shared" ref="C306:C344" si="30">SUM(D306:I306)</f>
        <v>5800</v>
      </c>
      <c r="D306" s="1124">
        <f>+Details!$G195</f>
        <v>2000</v>
      </c>
      <c r="E306" s="1124">
        <f>+Details!$G196</f>
        <v>3800</v>
      </c>
      <c r="F306" s="1124">
        <f>+Details!$G197</f>
        <v>0</v>
      </c>
      <c r="G306" s="1124">
        <f>+Details!$G198</f>
        <v>0</v>
      </c>
      <c r="H306" s="1124">
        <f>+Details!$G199</f>
        <v>0</v>
      </c>
      <c r="I306" s="1147">
        <f>+Details!$G200</f>
        <v>0</v>
      </c>
      <c r="J306" s="1147">
        <f>+Details!$G201</f>
        <v>0</v>
      </c>
      <c r="K306" s="1124">
        <f>C306+Details!$G227</f>
        <v>7400</v>
      </c>
      <c r="M306" s="1124">
        <f t="shared" ref="M306:M344" si="31">SUM(N306:S306)</f>
        <v>5800</v>
      </c>
      <c r="N306" s="1124">
        <f>+Base!$G195</f>
        <v>2000</v>
      </c>
      <c r="O306" s="1124">
        <f>+Base!$G196</f>
        <v>3800</v>
      </c>
      <c r="P306" s="1124">
        <f>+Base!$G197</f>
        <v>0</v>
      </c>
      <c r="Q306" s="1124">
        <f>+Base!$G198</f>
        <v>0</v>
      </c>
      <c r="R306" s="1124">
        <f>+Base!$G199</f>
        <v>0</v>
      </c>
      <c r="S306" s="1124">
        <f>+Base!$G200</f>
        <v>0</v>
      </c>
      <c r="T306" s="1124">
        <f>+Base!$G201</f>
        <v>0</v>
      </c>
      <c r="U306" s="1124">
        <f>M306+Base!$G227</f>
        <v>7400</v>
      </c>
      <c r="X306" s="86"/>
      <c r="BJ306" s="3"/>
    </row>
    <row r="307" spans="2:62">
      <c r="B307" s="285" t="str">
        <f t="shared" si="29"/>
        <v xml:space="preserve">  2021 - 64</v>
      </c>
      <c r="C307" s="1124">
        <f t="shared" si="30"/>
        <v>4000</v>
      </c>
      <c r="D307" s="1124">
        <f>+Details!$H195</f>
        <v>2000</v>
      </c>
      <c r="E307" s="1124">
        <f>+Details!$H196</f>
        <v>2000</v>
      </c>
      <c r="F307" s="1124">
        <f>+Details!$H197</f>
        <v>0</v>
      </c>
      <c r="G307" s="1124">
        <f>+Details!$H198</f>
        <v>0</v>
      </c>
      <c r="H307" s="1124">
        <f>+Details!$H199</f>
        <v>0</v>
      </c>
      <c r="I307" s="1147">
        <f>+Details!$H200</f>
        <v>0</v>
      </c>
      <c r="J307" s="1147">
        <f>+Details!$H201</f>
        <v>0</v>
      </c>
      <c r="K307" s="1124">
        <f>C307+Details!$H227</f>
        <v>5000</v>
      </c>
      <c r="M307" s="1124">
        <f t="shared" si="31"/>
        <v>4000</v>
      </c>
      <c r="N307" s="1124">
        <f>+Base!$H195</f>
        <v>2000</v>
      </c>
      <c r="O307" s="1124">
        <f>+Base!$H196</f>
        <v>2000</v>
      </c>
      <c r="P307" s="1124">
        <f>+Base!$H197</f>
        <v>0</v>
      </c>
      <c r="Q307" s="1124">
        <f>+Base!$H198</f>
        <v>0</v>
      </c>
      <c r="R307" s="1124">
        <f>+Base!$H199</f>
        <v>0</v>
      </c>
      <c r="S307" s="1124">
        <f>+Base!$H200</f>
        <v>0</v>
      </c>
      <c r="T307" s="1124">
        <f>+Base!$H201</f>
        <v>0</v>
      </c>
      <c r="U307" s="1124">
        <f>M307+Base!$H227</f>
        <v>5000</v>
      </c>
      <c r="X307" s="86"/>
      <c r="BJ307" s="3"/>
    </row>
    <row r="308" spans="2:62">
      <c r="B308" s="285" t="str">
        <f t="shared" si="29"/>
        <v xml:space="preserve">  2022 - 65</v>
      </c>
      <c r="C308" s="1124">
        <f t="shared" si="30"/>
        <v>4100</v>
      </c>
      <c r="D308" s="1124">
        <f>+Details!$I195</f>
        <v>2100</v>
      </c>
      <c r="E308" s="1124">
        <f>+Details!$I196</f>
        <v>2000</v>
      </c>
      <c r="F308" s="1124">
        <f>+Details!$I197</f>
        <v>0</v>
      </c>
      <c r="G308" s="1124">
        <f>+Details!$I198</f>
        <v>0</v>
      </c>
      <c r="H308" s="1124">
        <f>+Details!$I199</f>
        <v>0</v>
      </c>
      <c r="I308" s="1147">
        <f>+Details!$I200</f>
        <v>0</v>
      </c>
      <c r="J308" s="1147">
        <f>+Details!$I201</f>
        <v>0</v>
      </c>
      <c r="K308" s="1124">
        <f>C308+Details!$I227</f>
        <v>5100</v>
      </c>
      <c r="M308" s="1124">
        <f t="shared" si="31"/>
        <v>4100</v>
      </c>
      <c r="N308" s="1124">
        <f>+Base!$I195</f>
        <v>2100</v>
      </c>
      <c r="O308" s="1124">
        <f>+Base!$I196</f>
        <v>2000</v>
      </c>
      <c r="P308" s="1124">
        <f>+Base!$I197</f>
        <v>0</v>
      </c>
      <c r="Q308" s="1124">
        <f>+Base!$I198</f>
        <v>0</v>
      </c>
      <c r="R308" s="1124">
        <f>+Base!$I199</f>
        <v>0</v>
      </c>
      <c r="S308" s="1124">
        <f>+Base!$I200</f>
        <v>0</v>
      </c>
      <c r="T308" s="1124">
        <f>+Base!$I201</f>
        <v>0</v>
      </c>
      <c r="U308" s="1124">
        <f>M308+Base!$I227</f>
        <v>5100</v>
      </c>
      <c r="X308" s="86"/>
      <c r="BJ308" s="3"/>
    </row>
    <row r="309" spans="2:62">
      <c r="B309" s="285" t="str">
        <f t="shared" si="29"/>
        <v xml:space="preserve">  2023 - 66</v>
      </c>
      <c r="C309" s="1125">
        <f t="shared" si="30"/>
        <v>4100</v>
      </c>
      <c r="D309" s="1125">
        <f>+Details!$J195</f>
        <v>2100</v>
      </c>
      <c r="E309" s="1125">
        <f>+Details!$J196</f>
        <v>2000</v>
      </c>
      <c r="F309" s="1125">
        <f>+Details!$J197</f>
        <v>0</v>
      </c>
      <c r="G309" s="1125">
        <f>+Details!$J198</f>
        <v>0</v>
      </c>
      <c r="H309" s="1125">
        <f>+Details!$J199</f>
        <v>0</v>
      </c>
      <c r="I309" s="1125">
        <f>+Details!$J200</f>
        <v>0</v>
      </c>
      <c r="J309" s="1125">
        <f>+Details!$J201</f>
        <v>0</v>
      </c>
      <c r="K309" s="1125">
        <f>C309+Details!$J227</f>
        <v>5200</v>
      </c>
      <c r="M309" s="1125">
        <f t="shared" si="31"/>
        <v>4100</v>
      </c>
      <c r="N309" s="1125">
        <f>+Base!$J195</f>
        <v>2100</v>
      </c>
      <c r="O309" s="1125">
        <f>+Base!$J196</f>
        <v>2000</v>
      </c>
      <c r="P309" s="1125">
        <f>+Base!$J197</f>
        <v>0</v>
      </c>
      <c r="Q309" s="1125">
        <f>+Base!$J198</f>
        <v>0</v>
      </c>
      <c r="R309" s="1125">
        <f>+Base!$J199</f>
        <v>0</v>
      </c>
      <c r="S309" s="1125">
        <f>+Base!$J200</f>
        <v>0</v>
      </c>
      <c r="T309" s="1125">
        <f>+Base!$J201</f>
        <v>0</v>
      </c>
      <c r="U309" s="1125">
        <f>M309+Base!$J227</f>
        <v>5200</v>
      </c>
      <c r="X309" s="86"/>
      <c r="BJ309" s="3"/>
    </row>
    <row r="310" spans="2:62">
      <c r="B310" s="285" t="str">
        <f t="shared" si="29"/>
        <v xml:space="preserve">  2024 - 67</v>
      </c>
      <c r="C310" s="1124">
        <f t="shared" si="30"/>
        <v>6500</v>
      </c>
      <c r="D310" s="1124">
        <f>+Details!$K195</f>
        <v>2200</v>
      </c>
      <c r="E310" s="1124">
        <f>+Details!$K196</f>
        <v>4300</v>
      </c>
      <c r="F310" s="1124">
        <f>+Details!$K197</f>
        <v>0</v>
      </c>
      <c r="G310" s="1124">
        <f>+Details!$K198</f>
        <v>0</v>
      </c>
      <c r="H310" s="1124">
        <f>+Details!$K199</f>
        <v>0</v>
      </c>
      <c r="I310" s="1423">
        <f>+Details!$K200</f>
        <v>0</v>
      </c>
      <c r="J310" s="1423">
        <f>+Details!$K201</f>
        <v>0</v>
      </c>
      <c r="K310" s="1124">
        <f>C310+Details!$K227</f>
        <v>7600</v>
      </c>
      <c r="M310" s="1124">
        <f t="shared" si="31"/>
        <v>6500</v>
      </c>
      <c r="N310" s="1124">
        <f>+Base!$K195</f>
        <v>2200</v>
      </c>
      <c r="O310" s="1124">
        <f>+Base!$K196</f>
        <v>4300</v>
      </c>
      <c r="P310" s="1124">
        <f>+Base!$K197</f>
        <v>0</v>
      </c>
      <c r="Q310" s="1124">
        <f>+Base!$K198</f>
        <v>0</v>
      </c>
      <c r="R310" s="1124">
        <f>+Base!$K199</f>
        <v>0</v>
      </c>
      <c r="S310" s="1124">
        <f>+Base!$K200</f>
        <v>0</v>
      </c>
      <c r="T310" s="1124">
        <f>+Base!$K201</f>
        <v>0</v>
      </c>
      <c r="U310" s="1124">
        <f>M310+Base!$K227</f>
        <v>7600</v>
      </c>
      <c r="X310" s="86"/>
      <c r="BJ310" s="3"/>
    </row>
    <row r="311" spans="2:62">
      <c r="B311" s="285" t="str">
        <f t="shared" si="29"/>
        <v xml:space="preserve">  2025 - 68</v>
      </c>
      <c r="C311" s="1124">
        <f t="shared" si="30"/>
        <v>6500</v>
      </c>
      <c r="D311" s="1124">
        <f>+Details!$L195</f>
        <v>2200</v>
      </c>
      <c r="E311" s="1124">
        <f>+Details!$L196</f>
        <v>4300</v>
      </c>
      <c r="F311" s="1124">
        <f>+Details!$L197</f>
        <v>0</v>
      </c>
      <c r="G311" s="1124">
        <f>+Details!$L198</f>
        <v>0</v>
      </c>
      <c r="H311" s="1124">
        <f>+Details!$L199</f>
        <v>0</v>
      </c>
      <c r="I311" s="1147">
        <f>+Details!$L200</f>
        <v>0</v>
      </c>
      <c r="J311" s="1147">
        <f>+Details!$L201</f>
        <v>0</v>
      </c>
      <c r="K311" s="1124">
        <f>C311+Details!$L227</f>
        <v>7600</v>
      </c>
      <c r="M311" s="1124">
        <f t="shared" si="31"/>
        <v>6500</v>
      </c>
      <c r="N311" s="1124">
        <f>+Base!$L195</f>
        <v>2200</v>
      </c>
      <c r="O311" s="1124">
        <f>+Base!$L196</f>
        <v>4300</v>
      </c>
      <c r="P311" s="1124">
        <f>+Base!$L197</f>
        <v>0</v>
      </c>
      <c r="Q311" s="1124">
        <f>+Base!$L198</f>
        <v>0</v>
      </c>
      <c r="R311" s="1124">
        <f>+Base!$L199</f>
        <v>0</v>
      </c>
      <c r="S311" s="1124">
        <f>+Base!$L200</f>
        <v>0</v>
      </c>
      <c r="T311" s="1124">
        <f>+Base!$L201</f>
        <v>0</v>
      </c>
      <c r="U311" s="1124">
        <f>M311+Base!$L227</f>
        <v>7600</v>
      </c>
      <c r="X311" s="86"/>
      <c r="BJ311" s="3"/>
    </row>
    <row r="312" spans="2:62">
      <c r="B312" s="285" t="str">
        <f t="shared" si="29"/>
        <v xml:space="preserve">  2026 - 69</v>
      </c>
      <c r="C312" s="1124">
        <f t="shared" si="30"/>
        <v>7100</v>
      </c>
      <c r="D312" s="1124">
        <f>+Details!$M195</f>
        <v>2300</v>
      </c>
      <c r="E312" s="1124">
        <f>+Details!$M196</f>
        <v>4800</v>
      </c>
      <c r="F312" s="1124">
        <f>+Details!$M197</f>
        <v>0</v>
      </c>
      <c r="G312" s="1124">
        <f>+Details!$M198</f>
        <v>0</v>
      </c>
      <c r="H312" s="1124">
        <f>+Details!$M199</f>
        <v>0</v>
      </c>
      <c r="I312" s="1147">
        <f>+Details!$M200</f>
        <v>0</v>
      </c>
      <c r="J312" s="1147">
        <f>+Details!$M201</f>
        <v>0</v>
      </c>
      <c r="K312" s="1124">
        <f>C312+Details!$M227</f>
        <v>9100</v>
      </c>
      <c r="M312" s="1124">
        <f t="shared" si="31"/>
        <v>7100</v>
      </c>
      <c r="N312" s="1124">
        <f>+Base!$M195</f>
        <v>2300</v>
      </c>
      <c r="O312" s="1124">
        <f>+Base!$M196</f>
        <v>4800</v>
      </c>
      <c r="P312" s="1124">
        <f>+Base!$M197</f>
        <v>0</v>
      </c>
      <c r="Q312" s="1124">
        <f>+Base!$M198</f>
        <v>0</v>
      </c>
      <c r="R312" s="1124">
        <f>+Base!$M199</f>
        <v>0</v>
      </c>
      <c r="S312" s="1124">
        <f>+Base!$M200</f>
        <v>0</v>
      </c>
      <c r="T312" s="1124">
        <f>+Base!$M201</f>
        <v>0</v>
      </c>
      <c r="U312" s="1124">
        <f>M312+Base!$M227</f>
        <v>9100</v>
      </c>
      <c r="X312" s="86"/>
      <c r="BJ312" s="3"/>
    </row>
    <row r="313" spans="2:62">
      <c r="B313" s="285" t="str">
        <f t="shared" si="29"/>
        <v xml:space="preserve">  2027 - 70</v>
      </c>
      <c r="C313" s="1124">
        <f t="shared" si="30"/>
        <v>4100</v>
      </c>
      <c r="D313" s="1124">
        <f>+Details!$N195</f>
        <v>2300</v>
      </c>
      <c r="E313" s="1124">
        <f>+Details!$N196</f>
        <v>1800</v>
      </c>
      <c r="F313" s="1124">
        <f>+Details!$N197</f>
        <v>0</v>
      </c>
      <c r="G313" s="1124">
        <f>+Details!$N198</f>
        <v>0</v>
      </c>
      <c r="H313" s="1124">
        <f>+Details!$N199</f>
        <v>0</v>
      </c>
      <c r="I313" s="1147">
        <f>+Details!$N200</f>
        <v>0</v>
      </c>
      <c r="J313" s="1147">
        <f>+Details!$N201</f>
        <v>0</v>
      </c>
      <c r="K313" s="1124">
        <f>C313+Details!$N227</f>
        <v>4700</v>
      </c>
      <c r="M313" s="1124">
        <f t="shared" si="31"/>
        <v>4100</v>
      </c>
      <c r="N313" s="1124">
        <f>+Base!$N195</f>
        <v>2300</v>
      </c>
      <c r="O313" s="1124">
        <f>+Base!$N196</f>
        <v>1800</v>
      </c>
      <c r="P313" s="1124">
        <f>+Base!$N197</f>
        <v>0</v>
      </c>
      <c r="Q313" s="1124">
        <f>+Base!$N198</f>
        <v>0</v>
      </c>
      <c r="R313" s="1124">
        <f>+Base!$N199</f>
        <v>0</v>
      </c>
      <c r="S313" s="1124">
        <f>+Base!$N200</f>
        <v>0</v>
      </c>
      <c r="T313" s="1124">
        <f>+Base!$N201</f>
        <v>0</v>
      </c>
      <c r="U313" s="1124">
        <f>M313+Base!$N227</f>
        <v>4700</v>
      </c>
      <c r="X313" s="86"/>
      <c r="BJ313" s="3"/>
    </row>
    <row r="314" spans="2:62">
      <c r="B314" s="285" t="str">
        <f t="shared" si="29"/>
        <v xml:space="preserve">  2028 - 71</v>
      </c>
      <c r="C314" s="1125">
        <f t="shared" si="30"/>
        <v>4200</v>
      </c>
      <c r="D314" s="1125">
        <f>+Details!$O195</f>
        <v>2400</v>
      </c>
      <c r="E314" s="1125">
        <f>+Details!$O196</f>
        <v>1800</v>
      </c>
      <c r="F314" s="1125">
        <f>+Details!$O197</f>
        <v>0</v>
      </c>
      <c r="G314" s="1125">
        <f>+Details!$O198</f>
        <v>0</v>
      </c>
      <c r="H314" s="1125">
        <f>+Details!$O199</f>
        <v>0</v>
      </c>
      <c r="I314" s="1125">
        <f>+Details!$O200</f>
        <v>0</v>
      </c>
      <c r="J314" s="1125">
        <f>+Details!$O201</f>
        <v>0</v>
      </c>
      <c r="K314" s="1125">
        <f>C314+Details!$O227</f>
        <v>4800</v>
      </c>
      <c r="M314" s="1125">
        <f t="shared" si="31"/>
        <v>4200</v>
      </c>
      <c r="N314" s="1125">
        <f>+Base!$O195</f>
        <v>2400</v>
      </c>
      <c r="O314" s="1125">
        <f>+Base!$O196</f>
        <v>1800</v>
      </c>
      <c r="P314" s="1125">
        <f>+Base!$O197</f>
        <v>0</v>
      </c>
      <c r="Q314" s="1125">
        <f>+Base!$O198</f>
        <v>0</v>
      </c>
      <c r="R314" s="1125">
        <f>+Base!$O199</f>
        <v>0</v>
      </c>
      <c r="S314" s="1125">
        <f>+Base!$O200</f>
        <v>0</v>
      </c>
      <c r="T314" s="1125">
        <f>+Base!$O201</f>
        <v>0</v>
      </c>
      <c r="U314" s="1125">
        <f>M314+Base!$O227</f>
        <v>4800</v>
      </c>
      <c r="X314" s="86"/>
      <c r="BJ314" s="3"/>
    </row>
    <row r="315" spans="2:62">
      <c r="B315" s="285" t="str">
        <f t="shared" si="29"/>
        <v xml:space="preserve">  2029 - 72</v>
      </c>
      <c r="C315" s="1124">
        <f t="shared" si="30"/>
        <v>4300</v>
      </c>
      <c r="D315" s="1124">
        <f>+Details!$P195</f>
        <v>2400</v>
      </c>
      <c r="E315" s="1124">
        <f>+Details!$P196</f>
        <v>1900</v>
      </c>
      <c r="F315" s="1124">
        <f>+Details!$P197</f>
        <v>0</v>
      </c>
      <c r="G315" s="1124">
        <f>+Details!$P198</f>
        <v>0</v>
      </c>
      <c r="H315" s="1124">
        <f>+Details!$P199</f>
        <v>0</v>
      </c>
      <c r="I315" s="1147">
        <f>+Details!$P200</f>
        <v>0</v>
      </c>
      <c r="J315" s="1147">
        <f>+Details!$P201</f>
        <v>0</v>
      </c>
      <c r="K315" s="1124">
        <f>C315+Details!$P227</f>
        <v>4900</v>
      </c>
      <c r="M315" s="1124">
        <f t="shared" si="31"/>
        <v>4300</v>
      </c>
      <c r="N315" s="1124">
        <f>+Base!$P195</f>
        <v>2400</v>
      </c>
      <c r="O315" s="1124">
        <f>+Base!$P196</f>
        <v>1900</v>
      </c>
      <c r="P315" s="1124">
        <f>+Base!$P197</f>
        <v>0</v>
      </c>
      <c r="Q315" s="1124">
        <f>+Base!$P198</f>
        <v>0</v>
      </c>
      <c r="R315" s="1124">
        <f>+Base!$P199</f>
        <v>0</v>
      </c>
      <c r="S315" s="1124">
        <f>+Base!$P200</f>
        <v>0</v>
      </c>
      <c r="T315" s="1124">
        <f>+Base!$P201</f>
        <v>0</v>
      </c>
      <c r="U315" s="1124">
        <f>M315+Base!$P227</f>
        <v>4900</v>
      </c>
      <c r="BJ315" s="3"/>
    </row>
    <row r="316" spans="2:62">
      <c r="B316" s="285" t="str">
        <f t="shared" si="29"/>
        <v xml:space="preserve">  2030 - 73</v>
      </c>
      <c r="C316" s="1124">
        <f t="shared" si="30"/>
        <v>4600</v>
      </c>
      <c r="D316" s="1124">
        <f>+Details!$Q195</f>
        <v>2500</v>
      </c>
      <c r="E316" s="1124">
        <f>+Details!$Q196</f>
        <v>2100</v>
      </c>
      <c r="F316" s="1124">
        <f>+Details!$Q197</f>
        <v>0</v>
      </c>
      <c r="G316" s="1124">
        <f>+Details!$Q198</f>
        <v>0</v>
      </c>
      <c r="H316" s="1124">
        <f>+Details!$Q199</f>
        <v>0</v>
      </c>
      <c r="I316" s="1147">
        <f>+Details!$Q200</f>
        <v>0</v>
      </c>
      <c r="J316" s="1147">
        <f>+Details!$Q201</f>
        <v>0</v>
      </c>
      <c r="K316" s="1124">
        <f>C316+Details!$Q227</f>
        <v>5300</v>
      </c>
      <c r="M316" s="1124">
        <f t="shared" si="31"/>
        <v>4600</v>
      </c>
      <c r="N316" s="1124">
        <f>+Base!$Q195</f>
        <v>2500</v>
      </c>
      <c r="O316" s="1124">
        <f>+Base!$Q196</f>
        <v>2100</v>
      </c>
      <c r="P316" s="1124">
        <f>+Base!$Q197</f>
        <v>0</v>
      </c>
      <c r="Q316" s="1124">
        <f>+Base!$Q198</f>
        <v>0</v>
      </c>
      <c r="R316" s="1124">
        <f>+Base!$Q199</f>
        <v>0</v>
      </c>
      <c r="S316" s="1124">
        <f>+Base!$Q200</f>
        <v>0</v>
      </c>
      <c r="T316" s="1124">
        <f>+Base!$Q201</f>
        <v>0</v>
      </c>
      <c r="U316" s="1124">
        <f>M316+Base!$Q227</f>
        <v>5300</v>
      </c>
      <c r="BJ316" s="3"/>
    </row>
    <row r="317" spans="2:62">
      <c r="B317" s="285" t="str">
        <f t="shared" si="29"/>
        <v xml:space="preserve">  2031 - 74</v>
      </c>
      <c r="C317" s="1124">
        <f t="shared" si="30"/>
        <v>5900</v>
      </c>
      <c r="D317" s="1124">
        <f>+Details!$R195</f>
        <v>2500</v>
      </c>
      <c r="E317" s="1124">
        <f>+Details!$R196</f>
        <v>3400</v>
      </c>
      <c r="F317" s="1124">
        <f>+Details!$R197</f>
        <v>0</v>
      </c>
      <c r="G317" s="1124">
        <f>+Details!$R198</f>
        <v>0</v>
      </c>
      <c r="H317" s="1124">
        <f>+Details!$R199</f>
        <v>0</v>
      </c>
      <c r="I317" s="1147">
        <f>+Details!$R200</f>
        <v>0</v>
      </c>
      <c r="J317" s="1147">
        <f>+Details!$R201</f>
        <v>0</v>
      </c>
      <c r="K317" s="1124">
        <f>C317+Details!$R227</f>
        <v>6800</v>
      </c>
      <c r="M317" s="1124">
        <f t="shared" si="31"/>
        <v>5900</v>
      </c>
      <c r="N317" s="1124">
        <f>+Base!$R195</f>
        <v>2500</v>
      </c>
      <c r="O317" s="1124">
        <f>+Base!$R196</f>
        <v>3400</v>
      </c>
      <c r="P317" s="1124">
        <f>+Base!$R197</f>
        <v>0</v>
      </c>
      <c r="Q317" s="1124">
        <f>+Base!$R198</f>
        <v>0</v>
      </c>
      <c r="R317" s="1124">
        <f>+Base!$R199</f>
        <v>0</v>
      </c>
      <c r="S317" s="1124">
        <f>+Base!$R200</f>
        <v>0</v>
      </c>
      <c r="T317" s="1124">
        <f>+Base!$R201</f>
        <v>0</v>
      </c>
      <c r="U317" s="1124">
        <f>M317+Base!$R227</f>
        <v>6800</v>
      </c>
      <c r="BJ317" s="3"/>
    </row>
    <row r="318" spans="2:62">
      <c r="B318" s="285" t="str">
        <f t="shared" si="29"/>
        <v xml:space="preserve">  2032 - 75</v>
      </c>
      <c r="C318" s="1124">
        <f t="shared" si="30"/>
        <v>6300</v>
      </c>
      <c r="D318" s="1124">
        <f>+Details!$S195</f>
        <v>2600</v>
      </c>
      <c r="E318" s="1124">
        <f>+Details!$S196</f>
        <v>3700</v>
      </c>
      <c r="F318" s="1124">
        <f>+Details!$S197</f>
        <v>0</v>
      </c>
      <c r="G318" s="1124">
        <f>+Details!$S198</f>
        <v>0</v>
      </c>
      <c r="H318" s="1124">
        <f>+Details!$S199</f>
        <v>0</v>
      </c>
      <c r="I318" s="1147">
        <f>+Details!$S200</f>
        <v>0</v>
      </c>
      <c r="J318" s="1147">
        <f>+Details!$S201</f>
        <v>0</v>
      </c>
      <c r="K318" s="1124">
        <f>C318+Details!$S227</f>
        <v>7300</v>
      </c>
      <c r="M318" s="1124">
        <f t="shared" si="31"/>
        <v>6300</v>
      </c>
      <c r="N318" s="1124">
        <f>+Base!$S195</f>
        <v>2600</v>
      </c>
      <c r="O318" s="1124">
        <f>+Base!$S196</f>
        <v>3700</v>
      </c>
      <c r="P318" s="1124">
        <f>+Base!$S197</f>
        <v>0</v>
      </c>
      <c r="Q318" s="1124">
        <f>+Base!$S198</f>
        <v>0</v>
      </c>
      <c r="R318" s="1124">
        <f>+Base!$S199</f>
        <v>0</v>
      </c>
      <c r="S318" s="1124">
        <f>+Base!$S200</f>
        <v>0</v>
      </c>
      <c r="T318" s="1124">
        <f>+Base!$S201</f>
        <v>0</v>
      </c>
      <c r="U318" s="1124">
        <f>M318+Base!$S227</f>
        <v>7300</v>
      </c>
      <c r="BJ318" s="3"/>
    </row>
    <row r="319" spans="2:62">
      <c r="B319" s="285" t="str">
        <f t="shared" si="29"/>
        <v xml:space="preserve">  2033 - 76</v>
      </c>
      <c r="C319" s="1125">
        <f t="shared" si="30"/>
        <v>9300</v>
      </c>
      <c r="D319" s="1125">
        <f>+Details!$T195</f>
        <v>2600</v>
      </c>
      <c r="E319" s="1125">
        <f>+Details!$T196</f>
        <v>6700</v>
      </c>
      <c r="F319" s="1125">
        <f>+Details!$T197</f>
        <v>0</v>
      </c>
      <c r="G319" s="1125">
        <f>+Details!$T198</f>
        <v>0</v>
      </c>
      <c r="H319" s="1125">
        <f>+Details!$T199</f>
        <v>0</v>
      </c>
      <c r="I319" s="1125">
        <f>+Details!$T200</f>
        <v>0</v>
      </c>
      <c r="J319" s="1125">
        <f>+Details!$T201</f>
        <v>0</v>
      </c>
      <c r="K319" s="1125">
        <f>C319+Details!$T227</f>
        <v>10700</v>
      </c>
      <c r="M319" s="1125">
        <f t="shared" si="31"/>
        <v>9300</v>
      </c>
      <c r="N319" s="1125">
        <f>+Base!$T195</f>
        <v>2600</v>
      </c>
      <c r="O319" s="1125">
        <f>+Base!$T196</f>
        <v>6700</v>
      </c>
      <c r="P319" s="1125">
        <f>+Base!$T197</f>
        <v>0</v>
      </c>
      <c r="Q319" s="1125">
        <f>+Base!$T198</f>
        <v>0</v>
      </c>
      <c r="R319" s="1125">
        <f>+Base!$T199</f>
        <v>0</v>
      </c>
      <c r="S319" s="1125">
        <f>+Base!$T200</f>
        <v>0</v>
      </c>
      <c r="T319" s="1125">
        <f>+Base!$T201</f>
        <v>0</v>
      </c>
      <c r="U319" s="1125">
        <f>M319+Base!$T227</f>
        <v>10700</v>
      </c>
      <c r="BJ319" s="3"/>
    </row>
    <row r="320" spans="2:62">
      <c r="B320" s="285" t="str">
        <f t="shared" si="29"/>
        <v xml:space="preserve">  2034 - 77</v>
      </c>
      <c r="C320" s="1124">
        <f t="shared" si="30"/>
        <v>10900</v>
      </c>
      <c r="D320" s="1124">
        <f>+Details!$U195</f>
        <v>2700</v>
      </c>
      <c r="E320" s="1124">
        <f>+Details!$U196</f>
        <v>8200</v>
      </c>
      <c r="F320" s="1124">
        <f>+Details!$U197</f>
        <v>0</v>
      </c>
      <c r="G320" s="1124">
        <f>+Details!$U198</f>
        <v>0</v>
      </c>
      <c r="H320" s="1124">
        <f>+Details!$U199</f>
        <v>0</v>
      </c>
      <c r="I320" s="1423">
        <f>+Details!$U200</f>
        <v>0</v>
      </c>
      <c r="J320" s="1423">
        <f>+Details!$U201</f>
        <v>0</v>
      </c>
      <c r="K320" s="1124">
        <f>C320+Details!$U227</f>
        <v>12600</v>
      </c>
      <c r="M320" s="1124">
        <f t="shared" si="31"/>
        <v>10900</v>
      </c>
      <c r="N320" s="1124">
        <f>+Base!$U195</f>
        <v>2700</v>
      </c>
      <c r="O320" s="1124">
        <f>+Base!$U196</f>
        <v>8200</v>
      </c>
      <c r="P320" s="1124">
        <f>+Base!$U197</f>
        <v>0</v>
      </c>
      <c r="Q320" s="1124">
        <f>+Base!$U198</f>
        <v>0</v>
      </c>
      <c r="R320" s="1124">
        <f>+Base!$U199</f>
        <v>0</v>
      </c>
      <c r="S320" s="1124">
        <f>+Base!$U200</f>
        <v>0</v>
      </c>
      <c r="T320" s="1124">
        <f>+Base!$U201</f>
        <v>0</v>
      </c>
      <c r="U320" s="1124">
        <f>M320+Base!$U227</f>
        <v>12600</v>
      </c>
      <c r="BJ320" s="3"/>
    </row>
    <row r="321" spans="2:62">
      <c r="B321" s="285" t="str">
        <f t="shared" si="29"/>
        <v xml:space="preserve">  2035 - 78</v>
      </c>
      <c r="C321" s="1124">
        <f t="shared" si="30"/>
        <v>10200</v>
      </c>
      <c r="D321" s="1124">
        <f>+Details!$V195</f>
        <v>2800</v>
      </c>
      <c r="E321" s="1124">
        <f>+Details!$V196</f>
        <v>7400</v>
      </c>
      <c r="F321" s="1124">
        <f>+Details!$V197</f>
        <v>0</v>
      </c>
      <c r="G321" s="1124">
        <f>+Details!$V198</f>
        <v>0</v>
      </c>
      <c r="H321" s="1124">
        <f>+Details!$V199</f>
        <v>0</v>
      </c>
      <c r="I321" s="1147">
        <f>+Details!$V200</f>
        <v>0</v>
      </c>
      <c r="J321" s="1147">
        <f>+Details!$V201</f>
        <v>0</v>
      </c>
      <c r="K321" s="1124">
        <f>C321+Details!$V227</f>
        <v>12300</v>
      </c>
      <c r="M321" s="1124">
        <f t="shared" si="31"/>
        <v>10200</v>
      </c>
      <c r="N321" s="1124">
        <f>+Base!$V195</f>
        <v>2800</v>
      </c>
      <c r="O321" s="1124">
        <f>+Base!$V196</f>
        <v>7400</v>
      </c>
      <c r="P321" s="1124">
        <f>+Base!$V197</f>
        <v>0</v>
      </c>
      <c r="Q321" s="1124">
        <f>+Base!$V198</f>
        <v>0</v>
      </c>
      <c r="R321" s="1124">
        <f>+Base!$V199</f>
        <v>0</v>
      </c>
      <c r="S321" s="1124">
        <f>+Base!$V200</f>
        <v>0</v>
      </c>
      <c r="T321" s="1124">
        <f>+Base!$V201</f>
        <v>0</v>
      </c>
      <c r="U321" s="1124">
        <f>M321+Base!$V227</f>
        <v>12300</v>
      </c>
      <c r="BJ321" s="3"/>
    </row>
    <row r="322" spans="2:62">
      <c r="B322" s="285" t="str">
        <f t="shared" si="29"/>
        <v xml:space="preserve">  2036 - 79</v>
      </c>
      <c r="C322" s="1124">
        <f t="shared" si="30"/>
        <v>10500</v>
      </c>
      <c r="D322" s="1124">
        <f>+Details!$W195</f>
        <v>2800</v>
      </c>
      <c r="E322" s="1124">
        <f>+Details!$W196</f>
        <v>7700</v>
      </c>
      <c r="F322" s="1124">
        <f>+Details!$W197</f>
        <v>0</v>
      </c>
      <c r="G322" s="1124">
        <f>+Details!$W198</f>
        <v>0</v>
      </c>
      <c r="H322" s="1124">
        <f>+Details!$W199</f>
        <v>0</v>
      </c>
      <c r="I322" s="1147">
        <f>+Details!$W200</f>
        <v>0</v>
      </c>
      <c r="J322" s="1147">
        <f>+Details!$W201</f>
        <v>0</v>
      </c>
      <c r="K322" s="1124">
        <f>C322+Details!$W227</f>
        <v>12700</v>
      </c>
      <c r="M322" s="1124">
        <f t="shared" si="31"/>
        <v>10500</v>
      </c>
      <c r="N322" s="1124">
        <f>+Base!$W195</f>
        <v>2800</v>
      </c>
      <c r="O322" s="1124">
        <f>+Base!$W196</f>
        <v>7700</v>
      </c>
      <c r="P322" s="1124">
        <f>+Base!$W197</f>
        <v>0</v>
      </c>
      <c r="Q322" s="1124">
        <f>+Base!$W198</f>
        <v>0</v>
      </c>
      <c r="R322" s="1124">
        <f>+Base!$W199</f>
        <v>0</v>
      </c>
      <c r="S322" s="1124">
        <f>+Base!$W200</f>
        <v>0</v>
      </c>
      <c r="T322" s="1124">
        <f>+Base!$W201</f>
        <v>0</v>
      </c>
      <c r="U322" s="1124">
        <f>M322+Base!$W227</f>
        <v>12700</v>
      </c>
      <c r="BJ322" s="3"/>
    </row>
    <row r="323" spans="2:62">
      <c r="B323" s="285" t="str">
        <f t="shared" si="29"/>
        <v xml:space="preserve">  2037 - 80</v>
      </c>
      <c r="C323" s="1124">
        <f t="shared" si="30"/>
        <v>9700</v>
      </c>
      <c r="D323" s="1124">
        <f>+Details!$X195</f>
        <v>2900</v>
      </c>
      <c r="E323" s="1124">
        <f>+Details!$X196</f>
        <v>6800</v>
      </c>
      <c r="F323" s="1124">
        <f>+Details!$X197</f>
        <v>0</v>
      </c>
      <c r="G323" s="1124">
        <f>+Details!$X198</f>
        <v>0</v>
      </c>
      <c r="H323" s="1124">
        <f>+Details!$X199</f>
        <v>0</v>
      </c>
      <c r="I323" s="1147">
        <f>+Details!$X200</f>
        <v>0</v>
      </c>
      <c r="J323" s="1147">
        <f>+Details!$X201</f>
        <v>0</v>
      </c>
      <c r="K323" s="1124">
        <f>C323+Details!$X227</f>
        <v>11700</v>
      </c>
      <c r="M323" s="1124">
        <f t="shared" si="31"/>
        <v>9700</v>
      </c>
      <c r="N323" s="1124">
        <f>+Base!$X195</f>
        <v>2900</v>
      </c>
      <c r="O323" s="1124">
        <f>+Base!$X196</f>
        <v>6800</v>
      </c>
      <c r="P323" s="1124">
        <f>+Base!$X197</f>
        <v>0</v>
      </c>
      <c r="Q323" s="1124">
        <f>+Base!$X198</f>
        <v>0</v>
      </c>
      <c r="R323" s="1124">
        <f>+Base!$X199</f>
        <v>0</v>
      </c>
      <c r="S323" s="1124">
        <f>+Base!$X200</f>
        <v>0</v>
      </c>
      <c r="T323" s="1124">
        <f>+Base!$X201</f>
        <v>0</v>
      </c>
      <c r="U323" s="1124">
        <f>M323+Base!$X227</f>
        <v>11700</v>
      </c>
      <c r="BJ323" s="3"/>
    </row>
    <row r="324" spans="2:62">
      <c r="B324" s="285" t="str">
        <f t="shared" si="29"/>
        <v xml:space="preserve">  2038 - 81</v>
      </c>
      <c r="C324" s="1125">
        <f t="shared" si="30"/>
        <v>9900</v>
      </c>
      <c r="D324" s="1125">
        <f>+Details!$Y195</f>
        <v>2900</v>
      </c>
      <c r="E324" s="1125">
        <f>+Details!$Y196</f>
        <v>7000</v>
      </c>
      <c r="F324" s="1125">
        <f>+Details!$Y197</f>
        <v>0</v>
      </c>
      <c r="G324" s="1125">
        <f>+Details!$Y198</f>
        <v>0</v>
      </c>
      <c r="H324" s="1125">
        <f>+Details!$Y199</f>
        <v>0</v>
      </c>
      <c r="I324" s="1125">
        <f>+Details!$Y200</f>
        <v>0</v>
      </c>
      <c r="J324" s="1125">
        <f>+Details!$Y201</f>
        <v>0</v>
      </c>
      <c r="K324" s="1125">
        <f>C324+Details!$Y227</f>
        <v>11900</v>
      </c>
      <c r="M324" s="1125">
        <f t="shared" si="31"/>
        <v>9900</v>
      </c>
      <c r="N324" s="1125">
        <f>+Base!$Y195</f>
        <v>2900</v>
      </c>
      <c r="O324" s="1125">
        <f>+Base!$Y196</f>
        <v>7000</v>
      </c>
      <c r="P324" s="1125">
        <f>+Base!$Y197</f>
        <v>0</v>
      </c>
      <c r="Q324" s="1125">
        <f>+Base!$Y198</f>
        <v>0</v>
      </c>
      <c r="R324" s="1125">
        <f>+Base!$Y199</f>
        <v>0</v>
      </c>
      <c r="S324" s="1125">
        <f>+Base!$Y200</f>
        <v>0</v>
      </c>
      <c r="T324" s="1125">
        <f>+Base!$Y201</f>
        <v>0</v>
      </c>
      <c r="U324" s="1125">
        <f>M324+Base!$Y227</f>
        <v>11900</v>
      </c>
      <c r="BJ324" s="3"/>
    </row>
    <row r="325" spans="2:62">
      <c r="B325" s="285" t="str">
        <f t="shared" si="29"/>
        <v xml:space="preserve">  2039 - 82</v>
      </c>
      <c r="C325" s="1124">
        <f t="shared" si="30"/>
        <v>10300</v>
      </c>
      <c r="D325" s="1124">
        <f>+Details!$Z195</f>
        <v>3000</v>
      </c>
      <c r="E325" s="1124">
        <f>+Details!$Z196</f>
        <v>7300</v>
      </c>
      <c r="F325" s="1124">
        <f>+Details!$Z197</f>
        <v>0</v>
      </c>
      <c r="G325" s="1124">
        <f>+Details!$Z198</f>
        <v>0</v>
      </c>
      <c r="H325" s="1124">
        <f>+Details!$Z199</f>
        <v>0</v>
      </c>
      <c r="I325" s="1147">
        <f>+Details!$Z200</f>
        <v>0</v>
      </c>
      <c r="J325" s="1147">
        <f>+Details!$Z201</f>
        <v>0</v>
      </c>
      <c r="K325" s="1124">
        <f>C325+Details!$Z227</f>
        <v>12400</v>
      </c>
      <c r="M325" s="1124">
        <f t="shared" si="31"/>
        <v>10300</v>
      </c>
      <c r="N325" s="1124">
        <f>+Base!$Z195</f>
        <v>3000</v>
      </c>
      <c r="O325" s="1124">
        <f>+Base!$Z196</f>
        <v>7300</v>
      </c>
      <c r="P325" s="1124">
        <f>+Base!$Z197</f>
        <v>0</v>
      </c>
      <c r="Q325" s="1124">
        <f>+Base!$Z198</f>
        <v>0</v>
      </c>
      <c r="R325" s="1124">
        <f>+Base!$Z199</f>
        <v>0</v>
      </c>
      <c r="S325" s="1124">
        <f>+Base!$Z200</f>
        <v>0</v>
      </c>
      <c r="T325" s="1124">
        <f>+Base!$Z201</f>
        <v>0</v>
      </c>
      <c r="U325" s="1124">
        <f>M325+Base!$Z227</f>
        <v>12400</v>
      </c>
      <c r="BJ325" s="3"/>
    </row>
    <row r="326" spans="2:62">
      <c r="B326" s="285" t="str">
        <f t="shared" si="29"/>
        <v xml:space="preserve">  2040 - 83</v>
      </c>
      <c r="C326" s="1124">
        <f t="shared" si="30"/>
        <v>10800</v>
      </c>
      <c r="D326" s="1124">
        <f>+Details!$AA195</f>
        <v>3100</v>
      </c>
      <c r="E326" s="1124">
        <f>+Details!$AA196</f>
        <v>7700</v>
      </c>
      <c r="F326" s="1124">
        <f>+Details!$AA197</f>
        <v>0</v>
      </c>
      <c r="G326" s="1124">
        <f>+Details!$AA198</f>
        <v>0</v>
      </c>
      <c r="H326" s="1124">
        <f>+Details!$AA199</f>
        <v>0</v>
      </c>
      <c r="I326" s="1147">
        <f>+Details!$AA200</f>
        <v>0</v>
      </c>
      <c r="J326" s="1147">
        <f>+Details!$AA201</f>
        <v>0</v>
      </c>
      <c r="K326" s="1124">
        <f>C326+Details!$AA227</f>
        <v>13100</v>
      </c>
      <c r="M326" s="1124">
        <f t="shared" si="31"/>
        <v>10800</v>
      </c>
      <c r="N326" s="1124">
        <f>+Base!$AA195</f>
        <v>3100</v>
      </c>
      <c r="O326" s="1124">
        <f>+Base!$AA196</f>
        <v>7700</v>
      </c>
      <c r="P326" s="1124">
        <f>+Base!$AA197</f>
        <v>0</v>
      </c>
      <c r="Q326" s="1124">
        <f>+Base!$AA198</f>
        <v>0</v>
      </c>
      <c r="R326" s="1124">
        <f>+Base!$AA199</f>
        <v>0</v>
      </c>
      <c r="S326" s="1124">
        <f>+Base!$AA200</f>
        <v>0</v>
      </c>
      <c r="T326" s="1124">
        <f>+Base!$AA201</f>
        <v>0</v>
      </c>
      <c r="U326" s="1124">
        <f>M326+Base!$AA227</f>
        <v>13100</v>
      </c>
      <c r="BJ326" s="3"/>
    </row>
    <row r="327" spans="2:62">
      <c r="B327" s="285" t="str">
        <f t="shared" si="29"/>
        <v xml:space="preserve">  2041 - 84</v>
      </c>
      <c r="C327" s="1124">
        <f t="shared" si="30"/>
        <v>11200</v>
      </c>
      <c r="D327" s="1124">
        <f>+Details!$AB195</f>
        <v>3100</v>
      </c>
      <c r="E327" s="1124">
        <f>+Details!$AB196</f>
        <v>8100</v>
      </c>
      <c r="F327" s="1124">
        <f>+Details!$AB197</f>
        <v>0</v>
      </c>
      <c r="G327" s="1124">
        <f>+Details!$AB198</f>
        <v>0</v>
      </c>
      <c r="H327" s="1124">
        <f>+Details!$AB199</f>
        <v>0</v>
      </c>
      <c r="I327" s="1147">
        <f>+Details!$AB200</f>
        <v>0</v>
      </c>
      <c r="J327" s="1147">
        <f>+Details!$AB201</f>
        <v>0</v>
      </c>
      <c r="K327" s="1124">
        <f>C327+Details!$AB227</f>
        <v>17900</v>
      </c>
      <c r="M327" s="1124">
        <f t="shared" si="31"/>
        <v>11200</v>
      </c>
      <c r="N327" s="1124">
        <f>+Base!$AB195</f>
        <v>3100</v>
      </c>
      <c r="O327" s="1124">
        <f>+Base!$AB196</f>
        <v>8100</v>
      </c>
      <c r="P327" s="1124">
        <f>+Base!$AB197</f>
        <v>0</v>
      </c>
      <c r="Q327" s="1124">
        <f>+Base!$AB198</f>
        <v>0</v>
      </c>
      <c r="R327" s="1124">
        <f>+Base!$AB199</f>
        <v>0</v>
      </c>
      <c r="S327" s="1124">
        <f>+Base!$AB200</f>
        <v>0</v>
      </c>
      <c r="T327" s="1124">
        <f>+Base!$AB201</f>
        <v>0</v>
      </c>
      <c r="U327" s="1124">
        <f>M327+Base!$AB227</f>
        <v>17900</v>
      </c>
      <c r="BJ327" s="3"/>
    </row>
    <row r="328" spans="2:62">
      <c r="B328" s="285" t="str">
        <f t="shared" si="29"/>
        <v xml:space="preserve">  2042 - 85</v>
      </c>
      <c r="C328" s="1124">
        <f t="shared" si="30"/>
        <v>12200</v>
      </c>
      <c r="D328" s="1124">
        <f>+Details!$AC195</f>
        <v>3200</v>
      </c>
      <c r="E328" s="1124">
        <f>+Details!$AC196</f>
        <v>9000</v>
      </c>
      <c r="F328" s="1124">
        <f>+Details!$AC197</f>
        <v>0</v>
      </c>
      <c r="G328" s="1124">
        <f>+Details!$AC198</f>
        <v>0</v>
      </c>
      <c r="H328" s="1124">
        <f>+Details!$AC199</f>
        <v>0</v>
      </c>
      <c r="I328" s="1147">
        <f>+Details!$AC200</f>
        <v>0</v>
      </c>
      <c r="J328" s="1147">
        <f>+Details!$AC201</f>
        <v>0</v>
      </c>
      <c r="K328" s="1124">
        <f>C328+Details!$AC227</f>
        <v>19600</v>
      </c>
      <c r="M328" s="1124">
        <f t="shared" si="31"/>
        <v>12200</v>
      </c>
      <c r="N328" s="1124">
        <f>+Base!$AC195</f>
        <v>3200</v>
      </c>
      <c r="O328" s="1124">
        <f>+Base!$AC196</f>
        <v>9000</v>
      </c>
      <c r="P328" s="1124">
        <f>+Base!$AC197</f>
        <v>0</v>
      </c>
      <c r="Q328" s="1124">
        <f>+Base!$AC198</f>
        <v>0</v>
      </c>
      <c r="R328" s="1124">
        <f>+Base!$AC199</f>
        <v>0</v>
      </c>
      <c r="S328" s="1124">
        <f>+Base!$AC200</f>
        <v>0</v>
      </c>
      <c r="T328" s="1124">
        <f>+Base!$AC201</f>
        <v>0</v>
      </c>
      <c r="U328" s="1124">
        <f>M328+Base!$AC227</f>
        <v>19600</v>
      </c>
      <c r="BJ328" s="3"/>
    </row>
    <row r="329" spans="2:62">
      <c r="B329" s="285" t="str">
        <f t="shared" si="29"/>
        <v xml:space="preserve">  2043 - 86</v>
      </c>
      <c r="C329" s="1125">
        <f t="shared" si="30"/>
        <v>17200</v>
      </c>
      <c r="D329" s="1125">
        <f>+Details!$AD195</f>
        <v>1600</v>
      </c>
      <c r="E329" s="1125">
        <f>+Details!$AD196</f>
        <v>6100</v>
      </c>
      <c r="F329" s="1125">
        <f>+Details!$AD197</f>
        <v>9500</v>
      </c>
      <c r="G329" s="1125">
        <f>+Details!$AD198</f>
        <v>0</v>
      </c>
      <c r="H329" s="1125">
        <f>+Details!$AD199</f>
        <v>0</v>
      </c>
      <c r="I329" s="1125">
        <f>+Details!$AD200</f>
        <v>0</v>
      </c>
      <c r="J329" s="1125">
        <f>+Details!$AD201</f>
        <v>0</v>
      </c>
      <c r="K329" s="1125">
        <f>C329+Details!$AD227</f>
        <v>24500</v>
      </c>
      <c r="M329" s="1125">
        <f t="shared" si="31"/>
        <v>17200</v>
      </c>
      <c r="N329" s="1125">
        <f>+Base!$AD195</f>
        <v>1600</v>
      </c>
      <c r="O329" s="1125">
        <f>+Base!$AD196</f>
        <v>6100</v>
      </c>
      <c r="P329" s="1125">
        <f>+Base!$AD197</f>
        <v>9500</v>
      </c>
      <c r="Q329" s="1125">
        <f>+Base!$AD198</f>
        <v>0</v>
      </c>
      <c r="R329" s="1125">
        <f>+Base!$AD199</f>
        <v>0</v>
      </c>
      <c r="S329" s="1125">
        <f>+Base!$AD200</f>
        <v>0</v>
      </c>
      <c r="T329" s="1125">
        <f>+Base!$AD201</f>
        <v>0</v>
      </c>
      <c r="U329" s="1125">
        <f>M329+Base!$AD227</f>
        <v>24500</v>
      </c>
      <c r="BJ329" s="3"/>
    </row>
    <row r="330" spans="2:62">
      <c r="B330" s="285" t="str">
        <f t="shared" si="29"/>
        <v xml:space="preserve">  2044 - 87</v>
      </c>
      <c r="C330" s="1124">
        <f t="shared" si="30"/>
        <v>17900</v>
      </c>
      <c r="D330" s="1124">
        <f>+Details!$AE195</f>
        <v>1600</v>
      </c>
      <c r="E330" s="1124">
        <f>+Details!$AE196</f>
        <v>6200</v>
      </c>
      <c r="F330" s="1124">
        <f>+Details!$AE197</f>
        <v>10100</v>
      </c>
      <c r="G330" s="1124">
        <f>+Details!$AE198</f>
        <v>0</v>
      </c>
      <c r="H330" s="1124">
        <f>+Details!$AE199</f>
        <v>0</v>
      </c>
      <c r="I330" s="1147">
        <f>+Details!$AE200</f>
        <v>0</v>
      </c>
      <c r="J330" s="1147">
        <f>+Details!$AE201</f>
        <v>0</v>
      </c>
      <c r="K330" s="1124">
        <f>C330+Details!$AE227</f>
        <v>25500</v>
      </c>
      <c r="M330" s="1124">
        <f t="shared" si="31"/>
        <v>17900</v>
      </c>
      <c r="N330" s="1124">
        <f>+Base!$AE195</f>
        <v>1600</v>
      </c>
      <c r="O330" s="1124">
        <f>+Base!$AE196</f>
        <v>6200</v>
      </c>
      <c r="P330" s="1124">
        <f>+Base!$AE197</f>
        <v>10100</v>
      </c>
      <c r="Q330" s="1124">
        <f>+Base!$AE198</f>
        <v>0</v>
      </c>
      <c r="R330" s="1124">
        <f>+Base!$AE199</f>
        <v>0</v>
      </c>
      <c r="S330" s="1124">
        <f>+Base!$AE200</f>
        <v>0</v>
      </c>
      <c r="T330" s="1124">
        <f>+Base!$AE201</f>
        <v>0</v>
      </c>
      <c r="U330" s="1124">
        <f>M330+Base!$AE227</f>
        <v>25500</v>
      </c>
      <c r="BJ330" s="3"/>
    </row>
    <row r="331" spans="2:62">
      <c r="B331" s="285" t="str">
        <f t="shared" si="29"/>
        <v xml:space="preserve">  2045 - 88</v>
      </c>
      <c r="C331" s="1124">
        <f t="shared" si="30"/>
        <v>18200</v>
      </c>
      <c r="D331" s="1124">
        <f>+Details!$AF195</f>
        <v>1700</v>
      </c>
      <c r="E331" s="1124">
        <f>+Details!$AF196</f>
        <v>6300</v>
      </c>
      <c r="F331" s="1124">
        <f>+Details!$AF197</f>
        <v>10200</v>
      </c>
      <c r="G331" s="1124">
        <f>+Details!$AF198</f>
        <v>0</v>
      </c>
      <c r="H331" s="1124">
        <f>+Details!$AF199</f>
        <v>0</v>
      </c>
      <c r="I331" s="1147">
        <f>+Details!$AF200</f>
        <v>0</v>
      </c>
      <c r="J331" s="1147">
        <f>+Details!$AF201</f>
        <v>0</v>
      </c>
      <c r="K331" s="1124">
        <f>C331+Details!$AF227</f>
        <v>25900</v>
      </c>
      <c r="M331" s="1124">
        <f t="shared" si="31"/>
        <v>18200</v>
      </c>
      <c r="N331" s="1124">
        <f>+Base!$AF195</f>
        <v>1700</v>
      </c>
      <c r="O331" s="1124">
        <f>+Base!$AF196</f>
        <v>6300</v>
      </c>
      <c r="P331" s="1124">
        <f>+Base!$AF197</f>
        <v>10200</v>
      </c>
      <c r="Q331" s="1124">
        <f>+Base!$AF198</f>
        <v>0</v>
      </c>
      <c r="R331" s="1124">
        <f>+Base!$AF199</f>
        <v>0</v>
      </c>
      <c r="S331" s="1124">
        <f>+Base!$AF200</f>
        <v>0</v>
      </c>
      <c r="T331" s="1124">
        <f>+Base!$AF201</f>
        <v>0</v>
      </c>
      <c r="U331" s="1124">
        <f>M331+Base!$AF227</f>
        <v>25900</v>
      </c>
      <c r="BJ331" s="3"/>
    </row>
    <row r="332" spans="2:62">
      <c r="B332" s="285" t="str">
        <f t="shared" si="29"/>
        <v xml:space="preserve">  2046 - 89</v>
      </c>
      <c r="C332" s="1124">
        <f t="shared" si="30"/>
        <v>16600</v>
      </c>
      <c r="D332" s="1124">
        <f>+Details!$AG195</f>
        <v>1700</v>
      </c>
      <c r="E332" s="1124">
        <f>+Details!$AG196</f>
        <v>6500</v>
      </c>
      <c r="F332" s="1124">
        <f>+Details!$AG197</f>
        <v>8400</v>
      </c>
      <c r="G332" s="1124">
        <f>+Details!$AG198</f>
        <v>0</v>
      </c>
      <c r="H332" s="1124">
        <f>+Details!$AG199</f>
        <v>0</v>
      </c>
      <c r="I332" s="1147">
        <f>+Details!$AG200</f>
        <v>0</v>
      </c>
      <c r="J332" s="1147">
        <f>+Details!$AG201</f>
        <v>0</v>
      </c>
      <c r="K332" s="1124">
        <f>C332+Details!$AG227</f>
        <v>23800</v>
      </c>
      <c r="M332" s="1124">
        <f t="shared" si="31"/>
        <v>16600</v>
      </c>
      <c r="N332" s="1124">
        <f>+Base!$AG195</f>
        <v>1700</v>
      </c>
      <c r="O332" s="1124">
        <f>+Base!$AG196</f>
        <v>6500</v>
      </c>
      <c r="P332" s="1124">
        <f>+Base!$AG197</f>
        <v>8400</v>
      </c>
      <c r="Q332" s="1124">
        <f>+Base!$AG198</f>
        <v>0</v>
      </c>
      <c r="R332" s="1124">
        <f>+Base!$AG199</f>
        <v>0</v>
      </c>
      <c r="S332" s="1124">
        <f>+Base!$AG200</f>
        <v>0</v>
      </c>
      <c r="T332" s="1124">
        <f>+Base!$AG201</f>
        <v>0</v>
      </c>
      <c r="U332" s="1124">
        <f>M332+Base!$AG227</f>
        <v>23800</v>
      </c>
      <c r="BJ332" s="3"/>
    </row>
    <row r="333" spans="2:62">
      <c r="B333" s="285" t="str">
        <f t="shared" si="29"/>
        <v xml:space="preserve">  2047 - 90</v>
      </c>
      <c r="C333" s="1124">
        <f t="shared" si="30"/>
        <v>16500</v>
      </c>
      <c r="D333" s="1124">
        <f>+Details!$AH195</f>
        <v>1800</v>
      </c>
      <c r="E333" s="1124">
        <f>+Details!$AH196</f>
        <v>6600</v>
      </c>
      <c r="F333" s="1124">
        <f>+Details!$AH197</f>
        <v>8100</v>
      </c>
      <c r="G333" s="1124">
        <f>+Details!$AH198</f>
        <v>0</v>
      </c>
      <c r="H333" s="1124">
        <f>+Details!$AH199</f>
        <v>0</v>
      </c>
      <c r="I333" s="1147">
        <f>+Details!$AH200</f>
        <v>0</v>
      </c>
      <c r="J333" s="1147">
        <f>+Details!$AH201</f>
        <v>0</v>
      </c>
      <c r="K333" s="1124">
        <f>C333+Details!$AH227</f>
        <v>23700</v>
      </c>
      <c r="M333" s="1124">
        <f t="shared" si="31"/>
        <v>16500</v>
      </c>
      <c r="N333" s="1124">
        <f>+Base!$AH195</f>
        <v>1800</v>
      </c>
      <c r="O333" s="1124">
        <f>+Base!$AH196</f>
        <v>6600</v>
      </c>
      <c r="P333" s="1124">
        <f>+Base!$AH197</f>
        <v>8100</v>
      </c>
      <c r="Q333" s="1124">
        <f>+Base!$AH198</f>
        <v>0</v>
      </c>
      <c r="R333" s="1124">
        <f>+Base!$AH199</f>
        <v>0</v>
      </c>
      <c r="S333" s="1124">
        <f>+Base!$AH200</f>
        <v>0</v>
      </c>
      <c r="T333" s="1124">
        <f>+Base!$AH201</f>
        <v>0</v>
      </c>
      <c r="U333" s="1124">
        <f>M333+Base!$AH227</f>
        <v>23700</v>
      </c>
      <c r="AH333" s="537"/>
      <c r="AI333" s="537"/>
      <c r="AJ333" s="537"/>
      <c r="AK333" s="537"/>
      <c r="AL333" s="537"/>
      <c r="AM333" s="537"/>
      <c r="AN333" s="537"/>
      <c r="AO333" s="537"/>
      <c r="AP333" s="537"/>
      <c r="AQ333" s="537"/>
      <c r="AR333" s="537"/>
      <c r="AS333" s="537"/>
      <c r="AT333" s="537"/>
      <c r="AU333" s="537"/>
      <c r="AV333" s="537"/>
      <c r="AW333" s="557"/>
      <c r="AX333" s="557"/>
      <c r="AY333" s="557"/>
      <c r="AZ333" s="557"/>
      <c r="BA333" s="557"/>
      <c r="BB333" s="537"/>
      <c r="BC333" s="537"/>
      <c r="BD333" s="537"/>
      <c r="BJ333" s="3"/>
    </row>
    <row r="334" spans="2:62">
      <c r="B334" s="285" t="str">
        <f t="shared" si="29"/>
        <v xml:space="preserve">  2048 - 91</v>
      </c>
      <c r="C334" s="1125">
        <f t="shared" si="30"/>
        <v>16800</v>
      </c>
      <c r="D334" s="1125">
        <f>+Details!$AI195</f>
        <v>1800</v>
      </c>
      <c r="E334" s="1125">
        <f>+Details!$AI196</f>
        <v>6700</v>
      </c>
      <c r="F334" s="1125">
        <f>+Details!$AI197</f>
        <v>8300</v>
      </c>
      <c r="G334" s="1125">
        <f>+Details!$AI198</f>
        <v>0</v>
      </c>
      <c r="H334" s="1125">
        <f>+Details!$AI199</f>
        <v>0</v>
      </c>
      <c r="I334" s="1125">
        <f>+Details!$AI200</f>
        <v>0</v>
      </c>
      <c r="J334" s="1125">
        <f>+Details!$AI201</f>
        <v>0</v>
      </c>
      <c r="K334" s="1125">
        <f>C334+Details!$AI227</f>
        <v>24200</v>
      </c>
      <c r="M334" s="1125">
        <f t="shared" si="31"/>
        <v>16800</v>
      </c>
      <c r="N334" s="1125">
        <f>+Base!$AI195</f>
        <v>1800</v>
      </c>
      <c r="O334" s="1125">
        <f>+Base!$AI196</f>
        <v>6700</v>
      </c>
      <c r="P334" s="1125">
        <f>+Base!$AI197</f>
        <v>8300</v>
      </c>
      <c r="Q334" s="1125">
        <f>+Base!$AI198</f>
        <v>0</v>
      </c>
      <c r="R334" s="1125">
        <f>+Base!$AI199</f>
        <v>0</v>
      </c>
      <c r="S334" s="1125">
        <f>+Base!$AI200</f>
        <v>0</v>
      </c>
      <c r="T334" s="1125">
        <f>+Base!$AI201</f>
        <v>0</v>
      </c>
      <c r="U334" s="1125">
        <f>M334+Base!$AI227</f>
        <v>24200</v>
      </c>
      <c r="AH334" s="537"/>
      <c r="AI334" s="537"/>
      <c r="AJ334" s="537"/>
      <c r="AK334" s="537"/>
      <c r="AL334" s="537"/>
      <c r="AM334" s="537"/>
      <c r="AN334" s="537"/>
      <c r="AO334" s="537"/>
      <c r="AP334" s="537"/>
      <c r="AQ334" s="537"/>
      <c r="AR334" s="537"/>
      <c r="AS334" s="537"/>
      <c r="AT334" s="537"/>
      <c r="AU334" s="537"/>
      <c r="AV334" s="537"/>
      <c r="AW334" s="557"/>
      <c r="AX334" s="557"/>
      <c r="AY334" s="557"/>
      <c r="AZ334" s="557"/>
      <c r="BA334" s="557"/>
      <c r="BB334" s="537"/>
      <c r="BC334" s="537"/>
      <c r="BD334" s="537"/>
      <c r="BJ334" s="3"/>
    </row>
    <row r="335" spans="2:62">
      <c r="B335" s="285" t="str">
        <f t="shared" si="29"/>
        <v xml:space="preserve">  2049 - 92</v>
      </c>
      <c r="C335" s="1124">
        <f t="shared" si="30"/>
        <v>0</v>
      </c>
      <c r="D335" s="1124">
        <f>+Details!$AJ195</f>
        <v>0</v>
      </c>
      <c r="E335" s="1124">
        <f>+Details!$AJ196</f>
        <v>0</v>
      </c>
      <c r="F335" s="1124">
        <f>+Details!$AJ197</f>
        <v>0</v>
      </c>
      <c r="G335" s="1124">
        <f>+Details!$AJ198</f>
        <v>0</v>
      </c>
      <c r="H335" s="1124">
        <f>+Details!$AJ199</f>
        <v>0</v>
      </c>
      <c r="I335" s="1423">
        <f>+Details!$AJ200</f>
        <v>0</v>
      </c>
      <c r="J335" s="1423">
        <f>+Details!$AJ201</f>
        <v>0</v>
      </c>
      <c r="K335" s="1124">
        <f>C335+Details!$AJ227</f>
        <v>0</v>
      </c>
      <c r="M335" s="1124">
        <f t="shared" si="31"/>
        <v>0</v>
      </c>
      <c r="N335" s="1124">
        <f>+Base!$AJ195</f>
        <v>0</v>
      </c>
      <c r="O335" s="1124">
        <f>+Base!$AJ196</f>
        <v>0</v>
      </c>
      <c r="P335" s="1124">
        <f>+Base!$AJ197</f>
        <v>0</v>
      </c>
      <c r="Q335" s="1124">
        <f>+Base!$AJ198</f>
        <v>0</v>
      </c>
      <c r="R335" s="1124">
        <f>+Base!$AJ199</f>
        <v>0</v>
      </c>
      <c r="S335" s="1124">
        <f>+Base!$AJ200</f>
        <v>0</v>
      </c>
      <c r="T335" s="1124">
        <f>+Base!$AJ201</f>
        <v>0</v>
      </c>
      <c r="U335" s="1124">
        <f>M335+Base!$AJ227</f>
        <v>0</v>
      </c>
      <c r="AH335" s="537"/>
      <c r="AI335" s="537"/>
      <c r="AJ335" s="537"/>
      <c r="AK335" s="537"/>
      <c r="AL335" s="537"/>
      <c r="AM335" s="537"/>
      <c r="AN335" s="537"/>
      <c r="AO335" s="537"/>
      <c r="AP335" s="537"/>
      <c r="AQ335" s="537"/>
      <c r="AR335" s="537"/>
      <c r="AS335" s="537"/>
      <c r="AT335" s="537"/>
      <c r="AU335" s="537"/>
      <c r="AV335" s="537"/>
      <c r="AW335" s="557"/>
      <c r="AX335" s="557"/>
      <c r="AY335" s="557"/>
      <c r="AZ335" s="557"/>
      <c r="BA335" s="557"/>
      <c r="BB335" s="537"/>
      <c r="BC335" s="537"/>
      <c r="BD335" s="537"/>
      <c r="BJ335" s="3"/>
    </row>
    <row r="336" spans="2:62">
      <c r="B336" s="285" t="str">
        <f t="shared" si="29"/>
        <v xml:space="preserve">  2050 - 93</v>
      </c>
      <c r="C336" s="1124">
        <f t="shared" si="30"/>
        <v>0</v>
      </c>
      <c r="D336" s="1124">
        <f>+Details!$AK195</f>
        <v>0</v>
      </c>
      <c r="E336" s="1124">
        <f>+Details!$AK196</f>
        <v>0</v>
      </c>
      <c r="F336" s="1124">
        <f>+Details!$AK197</f>
        <v>0</v>
      </c>
      <c r="G336" s="1124">
        <f>+Details!$AK198</f>
        <v>0</v>
      </c>
      <c r="H336" s="1124">
        <f>+Details!$AK199</f>
        <v>0</v>
      </c>
      <c r="I336" s="1147">
        <f>+Details!$AK200</f>
        <v>0</v>
      </c>
      <c r="J336" s="1147">
        <f>+Details!$AK201</f>
        <v>0</v>
      </c>
      <c r="K336" s="1124">
        <f>C336+Details!$AK227</f>
        <v>0</v>
      </c>
      <c r="M336" s="1124">
        <f t="shared" si="31"/>
        <v>0</v>
      </c>
      <c r="N336" s="1124">
        <f>+Base!$AK195</f>
        <v>0</v>
      </c>
      <c r="O336" s="1124">
        <f>+Base!$AK196</f>
        <v>0</v>
      </c>
      <c r="P336" s="1124">
        <f>+Base!$AK197</f>
        <v>0</v>
      </c>
      <c r="Q336" s="1124">
        <f>+Base!$AK198</f>
        <v>0</v>
      </c>
      <c r="R336" s="1124">
        <f>+Base!$AK199</f>
        <v>0</v>
      </c>
      <c r="S336" s="1124">
        <f>+Base!$AK200</f>
        <v>0</v>
      </c>
      <c r="T336" s="1124">
        <f>+Base!$AK201</f>
        <v>0</v>
      </c>
      <c r="U336" s="1124">
        <f>M336+Base!$AK227</f>
        <v>0</v>
      </c>
      <c r="AH336" s="537"/>
      <c r="AI336" s="537"/>
      <c r="AJ336" s="537"/>
      <c r="AK336" s="537"/>
      <c r="AL336" s="537"/>
      <c r="AM336" s="537"/>
      <c r="AN336" s="537"/>
      <c r="AO336" s="537"/>
      <c r="AP336" s="537"/>
      <c r="AQ336" s="537"/>
      <c r="AR336" s="537"/>
      <c r="AS336" s="537"/>
      <c r="AT336" s="537"/>
      <c r="AU336" s="537"/>
      <c r="AV336" s="537"/>
      <c r="AW336" s="557"/>
      <c r="AX336" s="557"/>
      <c r="AY336" s="557"/>
      <c r="AZ336" s="557"/>
      <c r="BA336" s="557"/>
      <c r="BB336" s="537"/>
      <c r="BC336" s="537"/>
      <c r="BD336" s="537"/>
      <c r="BJ336" s="3"/>
    </row>
    <row r="337" spans="1:62">
      <c r="B337" s="285" t="str">
        <f t="shared" si="29"/>
        <v xml:space="preserve">  2051 - 94</v>
      </c>
      <c r="C337" s="1124">
        <f t="shared" si="30"/>
        <v>0</v>
      </c>
      <c r="D337" s="1124">
        <f>+Details!$AL195</f>
        <v>0</v>
      </c>
      <c r="E337" s="1124">
        <f>+Details!$AL196</f>
        <v>0</v>
      </c>
      <c r="F337" s="1124">
        <f>+Details!$AL197</f>
        <v>0</v>
      </c>
      <c r="G337" s="1124">
        <f>+Details!$AL198</f>
        <v>0</v>
      </c>
      <c r="H337" s="1124">
        <f>+Details!$AL199</f>
        <v>0</v>
      </c>
      <c r="I337" s="1147">
        <f>+Details!$AL200</f>
        <v>0</v>
      </c>
      <c r="J337" s="1147">
        <f>+Details!$AL201</f>
        <v>0</v>
      </c>
      <c r="K337" s="1124">
        <f>C337+Details!$AL227</f>
        <v>0</v>
      </c>
      <c r="M337" s="1124">
        <f t="shared" si="31"/>
        <v>0</v>
      </c>
      <c r="N337" s="1124">
        <f>+Base!$AL195</f>
        <v>0</v>
      </c>
      <c r="O337" s="1124">
        <f>+Base!$AL196</f>
        <v>0</v>
      </c>
      <c r="P337" s="1124">
        <f>+Base!$AL197</f>
        <v>0</v>
      </c>
      <c r="Q337" s="1124">
        <f>+Base!$AL198</f>
        <v>0</v>
      </c>
      <c r="R337" s="1124">
        <f>+Base!$AL199</f>
        <v>0</v>
      </c>
      <c r="S337" s="1124">
        <f>+Base!$AL200</f>
        <v>0</v>
      </c>
      <c r="T337" s="1124">
        <f>+Base!$AL201</f>
        <v>0</v>
      </c>
      <c r="U337" s="1124">
        <f>M337+Base!$AL227</f>
        <v>0</v>
      </c>
      <c r="AH337" s="537"/>
      <c r="AI337" s="537"/>
      <c r="AJ337" s="537"/>
      <c r="AK337" s="537"/>
      <c r="AL337" s="537"/>
      <c r="AM337" s="537"/>
      <c r="AN337" s="537"/>
      <c r="AO337" s="537"/>
      <c r="AP337" s="537"/>
      <c r="AQ337" s="537"/>
      <c r="AR337" s="537"/>
      <c r="AS337" s="537"/>
      <c r="AT337" s="537"/>
      <c r="AU337" s="537"/>
      <c r="AV337" s="537"/>
      <c r="AW337" s="557"/>
      <c r="AX337" s="557"/>
      <c r="AY337" s="557"/>
      <c r="AZ337" s="557"/>
      <c r="BA337" s="557"/>
      <c r="BB337" s="537"/>
      <c r="BC337" s="537"/>
      <c r="BD337" s="537"/>
      <c r="BJ337" s="3"/>
    </row>
    <row r="338" spans="1:62">
      <c r="B338" s="285" t="str">
        <f t="shared" si="29"/>
        <v xml:space="preserve">  2052 - 95</v>
      </c>
      <c r="C338" s="1124">
        <f t="shared" si="30"/>
        <v>0</v>
      </c>
      <c r="D338" s="1124">
        <f>+Details!$AM195</f>
        <v>0</v>
      </c>
      <c r="E338" s="1124">
        <f>+Details!$AM196</f>
        <v>0</v>
      </c>
      <c r="F338" s="1124">
        <f>+Details!$AM197</f>
        <v>0</v>
      </c>
      <c r="G338" s="1124">
        <f>+Details!$AM198</f>
        <v>0</v>
      </c>
      <c r="H338" s="1124">
        <f>+Details!$AM199</f>
        <v>0</v>
      </c>
      <c r="I338" s="1147">
        <f>+Details!$AM200</f>
        <v>0</v>
      </c>
      <c r="J338" s="1147">
        <f>+Details!$AM201</f>
        <v>0</v>
      </c>
      <c r="K338" s="1124">
        <f>C338+Details!$AM227</f>
        <v>0</v>
      </c>
      <c r="M338" s="1124">
        <f t="shared" si="31"/>
        <v>0</v>
      </c>
      <c r="N338" s="1124">
        <f>+Base!$AM195</f>
        <v>0</v>
      </c>
      <c r="O338" s="1124">
        <f>+Base!$AM196</f>
        <v>0</v>
      </c>
      <c r="P338" s="1124">
        <f>+Base!$AM197</f>
        <v>0</v>
      </c>
      <c r="Q338" s="1124">
        <f>+Base!$AM198</f>
        <v>0</v>
      </c>
      <c r="R338" s="1124">
        <f>+Base!$AM199</f>
        <v>0</v>
      </c>
      <c r="S338" s="1124">
        <f>+Base!$AM200</f>
        <v>0</v>
      </c>
      <c r="T338" s="1124">
        <f>+Base!$AM201</f>
        <v>0</v>
      </c>
      <c r="U338" s="1124">
        <f>M338+Base!$AM227</f>
        <v>0</v>
      </c>
      <c r="AH338" s="537"/>
      <c r="AI338" s="537"/>
      <c r="AJ338" s="537"/>
      <c r="AK338" s="537"/>
      <c r="AL338" s="537"/>
      <c r="AM338" s="537"/>
      <c r="AN338" s="537"/>
      <c r="AO338" s="537"/>
      <c r="AP338" s="537"/>
      <c r="AQ338" s="537"/>
      <c r="AR338" s="537"/>
      <c r="AS338" s="537"/>
      <c r="AT338" s="537"/>
      <c r="AU338" s="537"/>
      <c r="AV338" s="537"/>
      <c r="AW338" s="557"/>
      <c r="AX338" s="557"/>
      <c r="AY338" s="557"/>
      <c r="AZ338" s="557"/>
      <c r="BA338" s="557"/>
      <c r="BB338" s="537"/>
      <c r="BC338" s="537"/>
      <c r="BD338" s="537"/>
      <c r="BJ338" s="3"/>
    </row>
    <row r="339" spans="1:62">
      <c r="B339" s="285" t="str">
        <f t="shared" si="29"/>
        <v xml:space="preserve">  2053 - 96</v>
      </c>
      <c r="C339" s="1125">
        <f t="shared" si="30"/>
        <v>0</v>
      </c>
      <c r="D339" s="1125">
        <f>+Details!$AN195</f>
        <v>0</v>
      </c>
      <c r="E339" s="1125">
        <f>+Details!$AN196</f>
        <v>0</v>
      </c>
      <c r="F339" s="1125">
        <f>+Details!$AN197</f>
        <v>0</v>
      </c>
      <c r="G339" s="1125">
        <f>+Details!$AN198</f>
        <v>0</v>
      </c>
      <c r="H339" s="1125">
        <f>+Details!$AN199</f>
        <v>0</v>
      </c>
      <c r="I339" s="1125">
        <f>+Details!$AN200</f>
        <v>0</v>
      </c>
      <c r="J339" s="1125">
        <f>+Details!$AN201</f>
        <v>0</v>
      </c>
      <c r="K339" s="1125">
        <f>C339+Details!$AN227</f>
        <v>0</v>
      </c>
      <c r="M339" s="1125">
        <f t="shared" si="31"/>
        <v>0</v>
      </c>
      <c r="N339" s="1125">
        <f>+Base!$AN195</f>
        <v>0</v>
      </c>
      <c r="O339" s="1125">
        <f>+Base!$AN196</f>
        <v>0</v>
      </c>
      <c r="P339" s="1125">
        <f>+Base!$AN197</f>
        <v>0</v>
      </c>
      <c r="Q339" s="1125">
        <f>+Base!$AN198</f>
        <v>0</v>
      </c>
      <c r="R339" s="1125">
        <f>+Base!$AN199</f>
        <v>0</v>
      </c>
      <c r="S339" s="1125">
        <f>+Base!$AN200</f>
        <v>0</v>
      </c>
      <c r="T339" s="1125">
        <f>+Base!$AN201</f>
        <v>0</v>
      </c>
      <c r="U339" s="1125">
        <f>M339+Base!$AN227</f>
        <v>0</v>
      </c>
      <c r="AH339" s="537"/>
      <c r="AI339" s="537"/>
      <c r="AJ339" s="537"/>
      <c r="AK339" s="537"/>
      <c r="AL339" s="537"/>
      <c r="AM339" s="537"/>
      <c r="AN339" s="537"/>
      <c r="AO339" s="537"/>
      <c r="AP339" s="537"/>
      <c r="AQ339" s="537"/>
      <c r="AR339" s="537"/>
      <c r="AS339" s="537"/>
      <c r="AT339" s="537"/>
      <c r="AU339" s="537"/>
      <c r="AV339" s="537"/>
      <c r="AW339" s="557"/>
      <c r="AX339" s="557"/>
      <c r="AY339" s="557"/>
      <c r="AZ339" s="557"/>
      <c r="BA339" s="557"/>
      <c r="BB339" s="537"/>
      <c r="BC339" s="537"/>
      <c r="BD339" s="537"/>
      <c r="BJ339" s="3"/>
    </row>
    <row r="340" spans="1:62">
      <c r="B340" s="285" t="str">
        <f t="shared" si="29"/>
        <v xml:space="preserve">  2054 - 97</v>
      </c>
      <c r="C340" s="1124">
        <f t="shared" si="30"/>
        <v>0</v>
      </c>
      <c r="D340" s="1124">
        <f>+Details!$AO195</f>
        <v>0</v>
      </c>
      <c r="E340" s="1124">
        <f>+Details!$AO196</f>
        <v>0</v>
      </c>
      <c r="F340" s="1124">
        <f>+Details!$AO197</f>
        <v>0</v>
      </c>
      <c r="G340" s="1124">
        <f>+Details!$AO198</f>
        <v>0</v>
      </c>
      <c r="H340" s="1124">
        <f>+Details!$AO199</f>
        <v>0</v>
      </c>
      <c r="I340" s="1147">
        <f>+Details!$AO200</f>
        <v>0</v>
      </c>
      <c r="J340" s="1147">
        <f>+Details!$AO201</f>
        <v>0</v>
      </c>
      <c r="K340" s="1124">
        <f>C340+Details!$AO227</f>
        <v>0</v>
      </c>
      <c r="M340" s="1124">
        <f t="shared" si="31"/>
        <v>0</v>
      </c>
      <c r="N340" s="1124">
        <f>+Base!$AO195</f>
        <v>0</v>
      </c>
      <c r="O340" s="1124">
        <f>+Base!$AO196</f>
        <v>0</v>
      </c>
      <c r="P340" s="1124">
        <f>+Base!$AO197</f>
        <v>0</v>
      </c>
      <c r="Q340" s="1124">
        <f>+Base!$AO198</f>
        <v>0</v>
      </c>
      <c r="R340" s="1124">
        <f>+Base!$AO199</f>
        <v>0</v>
      </c>
      <c r="S340" s="1124">
        <f>+Base!$AO200</f>
        <v>0</v>
      </c>
      <c r="T340" s="1124">
        <f>+Base!$AO201</f>
        <v>0</v>
      </c>
      <c r="U340" s="1124">
        <f>M340+Base!$AO227</f>
        <v>0</v>
      </c>
      <c r="AH340" s="537"/>
      <c r="AI340" s="537"/>
      <c r="AJ340" s="537"/>
      <c r="AK340" s="537"/>
      <c r="AL340" s="537"/>
      <c r="AM340" s="537"/>
      <c r="AN340" s="537"/>
      <c r="AO340" s="537"/>
      <c r="AP340" s="537"/>
      <c r="AQ340" s="537"/>
      <c r="AR340" s="537"/>
      <c r="AS340" s="537"/>
      <c r="AT340" s="537"/>
      <c r="AU340" s="537"/>
      <c r="AV340" s="537"/>
      <c r="AW340" s="557"/>
      <c r="AX340" s="557"/>
      <c r="AY340" s="557"/>
      <c r="AZ340" s="557"/>
      <c r="BA340" s="557"/>
      <c r="BB340" s="537"/>
      <c r="BC340" s="537"/>
      <c r="BD340" s="537"/>
      <c r="BJ340" s="3"/>
    </row>
    <row r="341" spans="1:62">
      <c r="B341" s="285" t="str">
        <f t="shared" si="29"/>
        <v xml:space="preserve">  2055 - 98</v>
      </c>
      <c r="C341" s="1124">
        <f t="shared" si="30"/>
        <v>0</v>
      </c>
      <c r="D341" s="1124">
        <f>+Details!$AP195</f>
        <v>0</v>
      </c>
      <c r="E341" s="1124">
        <f>+Details!$AP196</f>
        <v>0</v>
      </c>
      <c r="F341" s="1124">
        <f>+Details!$AP197</f>
        <v>0</v>
      </c>
      <c r="G341" s="1124">
        <f>+Details!$AP198</f>
        <v>0</v>
      </c>
      <c r="H341" s="1124">
        <f>+Details!$AP199</f>
        <v>0</v>
      </c>
      <c r="I341" s="1147">
        <f>+Details!$AP200</f>
        <v>0</v>
      </c>
      <c r="J341" s="1147">
        <f>+Details!$AP201</f>
        <v>0</v>
      </c>
      <c r="K341" s="1124">
        <f>C341+Details!$AP227</f>
        <v>0</v>
      </c>
      <c r="M341" s="1124">
        <f t="shared" si="31"/>
        <v>0</v>
      </c>
      <c r="N341" s="1124">
        <f>+Base!$AP195</f>
        <v>0</v>
      </c>
      <c r="O341" s="1124">
        <f>+Base!$AP196</f>
        <v>0</v>
      </c>
      <c r="P341" s="1124">
        <f>+Base!$AP197</f>
        <v>0</v>
      </c>
      <c r="Q341" s="1124">
        <f>+Base!$AP198</f>
        <v>0</v>
      </c>
      <c r="R341" s="1124">
        <f>+Base!$AP199</f>
        <v>0</v>
      </c>
      <c r="S341" s="1124">
        <f>+Base!$AP200</f>
        <v>0</v>
      </c>
      <c r="T341" s="1124">
        <f>+Base!$AP201</f>
        <v>0</v>
      </c>
      <c r="U341" s="1124">
        <f>M341+Base!$AP227</f>
        <v>0</v>
      </c>
      <c r="AH341" s="537"/>
      <c r="AI341" s="537"/>
      <c r="AJ341" s="537"/>
      <c r="AK341" s="537"/>
      <c r="AL341" s="537"/>
      <c r="AM341" s="537"/>
      <c r="AN341" s="537"/>
      <c r="AO341" s="537"/>
      <c r="AP341" s="537"/>
      <c r="AQ341" s="537"/>
      <c r="AR341" s="537"/>
      <c r="AS341" s="537"/>
      <c r="AT341" s="537"/>
      <c r="AU341" s="537"/>
      <c r="AV341" s="537"/>
      <c r="AW341" s="557"/>
      <c r="AX341" s="557"/>
      <c r="AY341" s="557"/>
      <c r="AZ341" s="557"/>
      <c r="BA341" s="557"/>
      <c r="BB341" s="537"/>
      <c r="BC341" s="537"/>
      <c r="BD341" s="537"/>
      <c r="BJ341" s="3"/>
    </row>
    <row r="342" spans="1:62">
      <c r="B342" s="285" t="str">
        <f t="shared" si="29"/>
        <v xml:space="preserve">  2056 - 99</v>
      </c>
      <c r="C342" s="1124">
        <f t="shared" si="30"/>
        <v>0</v>
      </c>
      <c r="D342" s="1124">
        <f>+Details!$AQ195</f>
        <v>0</v>
      </c>
      <c r="E342" s="1124">
        <f>+Details!$AQ196</f>
        <v>0</v>
      </c>
      <c r="F342" s="1124">
        <f>+Details!$AQ197</f>
        <v>0</v>
      </c>
      <c r="G342" s="1124">
        <f>+Details!$AQ198</f>
        <v>0</v>
      </c>
      <c r="H342" s="1124">
        <f>+Details!$AQ199</f>
        <v>0</v>
      </c>
      <c r="I342" s="1147">
        <f>+Details!$AQ200</f>
        <v>0</v>
      </c>
      <c r="J342" s="1147">
        <f>+Details!$AQ201</f>
        <v>0</v>
      </c>
      <c r="K342" s="1124">
        <f>C342+Details!$AQ227</f>
        <v>0</v>
      </c>
      <c r="M342" s="1124">
        <f t="shared" si="31"/>
        <v>0</v>
      </c>
      <c r="N342" s="1124">
        <f>+Base!$AQ195</f>
        <v>0</v>
      </c>
      <c r="O342" s="1124">
        <f>+Base!$AQ196</f>
        <v>0</v>
      </c>
      <c r="P342" s="1124">
        <f>+Base!$AQ197</f>
        <v>0</v>
      </c>
      <c r="Q342" s="1124">
        <f>+Base!$AQ198</f>
        <v>0</v>
      </c>
      <c r="R342" s="1124">
        <f>+Base!$AQ199</f>
        <v>0</v>
      </c>
      <c r="S342" s="1124">
        <f>+Base!$AQ200</f>
        <v>0</v>
      </c>
      <c r="T342" s="1124">
        <f>+Base!$AQ201</f>
        <v>0</v>
      </c>
      <c r="U342" s="1124">
        <f>M342+Base!$AQ227</f>
        <v>0</v>
      </c>
      <c r="AH342" s="537"/>
      <c r="AI342" s="537"/>
      <c r="AJ342" s="537"/>
      <c r="AK342" s="537"/>
      <c r="AL342" s="537"/>
      <c r="AM342" s="537"/>
      <c r="AN342" s="537"/>
      <c r="AO342" s="537"/>
      <c r="AP342" s="537"/>
      <c r="AQ342" s="537"/>
      <c r="AR342" s="537"/>
      <c r="AS342" s="537"/>
      <c r="AT342" s="537"/>
      <c r="AU342" s="537"/>
      <c r="AV342" s="537"/>
      <c r="AW342" s="557"/>
      <c r="AX342" s="557"/>
      <c r="AY342" s="557"/>
      <c r="AZ342" s="557"/>
      <c r="BA342" s="557"/>
      <c r="BB342" s="537"/>
      <c r="BC342" s="537"/>
      <c r="BD342" s="537"/>
      <c r="BJ342" s="3"/>
    </row>
    <row r="343" spans="1:62">
      <c r="B343" s="285" t="str">
        <f t="shared" si="29"/>
        <v xml:space="preserve">  2057 - 100</v>
      </c>
      <c r="C343" s="1124">
        <f t="shared" si="30"/>
        <v>0</v>
      </c>
      <c r="D343" s="1124">
        <f>+Details!$AR195</f>
        <v>0</v>
      </c>
      <c r="E343" s="1124">
        <f>+Details!$AR196</f>
        <v>0</v>
      </c>
      <c r="F343" s="1124">
        <f>+Details!$AR197</f>
        <v>0</v>
      </c>
      <c r="G343" s="1124">
        <f>+Details!$AR198</f>
        <v>0</v>
      </c>
      <c r="H343" s="1124">
        <f>+Details!$AR199</f>
        <v>0</v>
      </c>
      <c r="I343" s="1147">
        <f>+Details!$AR200</f>
        <v>0</v>
      </c>
      <c r="J343" s="1147">
        <f>+Details!$AR201</f>
        <v>0</v>
      </c>
      <c r="K343" s="1124">
        <f>C343+Details!$AR227</f>
        <v>0</v>
      </c>
      <c r="M343" s="1124">
        <f t="shared" si="31"/>
        <v>0</v>
      </c>
      <c r="N343" s="1124">
        <f>+Base!$AR195</f>
        <v>0</v>
      </c>
      <c r="O343" s="1124">
        <f>+Base!$AR196</f>
        <v>0</v>
      </c>
      <c r="P343" s="1124">
        <f>+Base!$AR197</f>
        <v>0</v>
      </c>
      <c r="Q343" s="1124">
        <f>+Base!$AR198</f>
        <v>0</v>
      </c>
      <c r="R343" s="1124">
        <f>+Base!$AR199</f>
        <v>0</v>
      </c>
      <c r="S343" s="1124">
        <f>+Base!$AR200</f>
        <v>0</v>
      </c>
      <c r="T343" s="1124">
        <f>+Base!$AR201</f>
        <v>0</v>
      </c>
      <c r="U343" s="1124">
        <f>M343+Base!$AR227</f>
        <v>0</v>
      </c>
      <c r="AH343" s="537"/>
      <c r="AI343" s="537"/>
      <c r="AJ343" s="537"/>
      <c r="AK343" s="537"/>
      <c r="AL343" s="537"/>
      <c r="AM343" s="537"/>
      <c r="AN343" s="537"/>
      <c r="AO343" s="537"/>
      <c r="AP343" s="537"/>
      <c r="AQ343" s="537"/>
      <c r="AR343" s="537"/>
      <c r="AS343" s="537"/>
      <c r="AT343" s="537"/>
      <c r="AU343" s="537"/>
      <c r="AV343" s="537"/>
      <c r="AW343" s="557"/>
      <c r="AX343" s="557"/>
      <c r="AY343" s="557"/>
      <c r="AZ343" s="557"/>
      <c r="BA343" s="557"/>
      <c r="BB343" s="537"/>
      <c r="BC343" s="537"/>
      <c r="BD343" s="537"/>
      <c r="BJ343" s="3"/>
    </row>
    <row r="344" spans="1:62">
      <c r="B344" s="285" t="str">
        <f t="shared" si="29"/>
        <v xml:space="preserve">  2058 - 101</v>
      </c>
      <c r="C344" s="1125">
        <f t="shared" si="30"/>
        <v>0</v>
      </c>
      <c r="D344" s="1125">
        <f>+Details!$AS195</f>
        <v>0</v>
      </c>
      <c r="E344" s="1125">
        <f>+Details!$AS196</f>
        <v>0</v>
      </c>
      <c r="F344" s="1125">
        <f>+Details!$AS197</f>
        <v>0</v>
      </c>
      <c r="G344" s="1125">
        <f>+Details!$AS198</f>
        <v>0</v>
      </c>
      <c r="H344" s="1125">
        <f>+Details!$AS199</f>
        <v>0</v>
      </c>
      <c r="I344" s="1125">
        <f>+Details!$AS200</f>
        <v>0</v>
      </c>
      <c r="J344" s="1125">
        <f>+Details!$AS201</f>
        <v>0</v>
      </c>
      <c r="K344" s="1125">
        <f>C344+Details!$AS227</f>
        <v>0</v>
      </c>
      <c r="M344" s="1125">
        <f t="shared" si="31"/>
        <v>0</v>
      </c>
      <c r="N344" s="1125">
        <f>+Base!$AS195</f>
        <v>0</v>
      </c>
      <c r="O344" s="1125">
        <f>+Base!$AS196</f>
        <v>0</v>
      </c>
      <c r="P344" s="1125">
        <f>+Base!$AS197</f>
        <v>0</v>
      </c>
      <c r="Q344" s="1125">
        <f>+Base!$AS198</f>
        <v>0</v>
      </c>
      <c r="R344" s="1125">
        <f>+Base!$AS199</f>
        <v>0</v>
      </c>
      <c r="S344" s="1125">
        <f>+Base!$AS200</f>
        <v>0</v>
      </c>
      <c r="T344" s="1125">
        <f>+Base!$AS201</f>
        <v>0</v>
      </c>
      <c r="U344" s="1125">
        <f>M344+Base!$AS227</f>
        <v>0</v>
      </c>
      <c r="Y344" s="1171" t="s">
        <v>1024</v>
      </c>
      <c r="Z344" s="1177"/>
      <c r="AH344" s="3"/>
      <c r="AI344" s="3"/>
      <c r="AJ344" s="3"/>
      <c r="AK344" s="821"/>
      <c r="AL344" s="537"/>
      <c r="AM344" s="537"/>
      <c r="AN344" s="537"/>
      <c r="AO344" s="537"/>
      <c r="AP344" s="537"/>
      <c r="AQ344" s="537"/>
      <c r="AR344" s="537"/>
      <c r="AS344" s="537"/>
      <c r="AT344" s="537"/>
      <c r="AU344" s="537"/>
      <c r="AV344" s="537"/>
      <c r="AW344" s="557"/>
      <c r="AX344" s="557"/>
      <c r="AY344" s="557"/>
      <c r="AZ344" s="557"/>
      <c r="BA344" s="557"/>
      <c r="BB344" s="537"/>
      <c r="BC344" s="537"/>
      <c r="BD344" s="537"/>
      <c r="BJ344" s="3"/>
    </row>
    <row r="345" spans="1:62" ht="15.6">
      <c r="B345" s="8"/>
      <c r="N345" s="192"/>
      <c r="O345" s="192"/>
      <c r="P345" s="192"/>
      <c r="Q345" s="192"/>
      <c r="R345" s="192"/>
      <c r="S345" s="192"/>
      <c r="T345" s="192"/>
      <c r="AA345" s="1137"/>
      <c r="AG345" s="980"/>
      <c r="AH345" s="538"/>
      <c r="AI345" s="538"/>
      <c r="AJ345" s="538"/>
      <c r="AK345" s="538"/>
      <c r="AL345" s="538"/>
      <c r="AM345" s="538"/>
      <c r="AN345" s="538"/>
      <c r="AO345" s="538"/>
      <c r="AP345" s="538"/>
      <c r="AQ345" s="538"/>
      <c r="AR345" s="538"/>
      <c r="AS345" s="538"/>
      <c r="AT345" s="538"/>
      <c r="AU345" s="538"/>
      <c r="AV345" s="538"/>
      <c r="AW345" s="784"/>
      <c r="AX345" s="784"/>
      <c r="AY345" s="784"/>
      <c r="AZ345" s="784"/>
      <c r="BA345" s="784"/>
      <c r="BB345" s="538"/>
      <c r="BC345" s="538"/>
      <c r="BD345" s="538"/>
      <c r="BJ345" s="3"/>
    </row>
    <row r="346" spans="1:62" ht="15.6">
      <c r="D346" s="8"/>
      <c r="G346" s="107"/>
      <c r="L346" s="122"/>
      <c r="Y346" s="950" t="s">
        <v>1300</v>
      </c>
      <c r="AL346" s="171" t="s">
        <v>1617</v>
      </c>
      <c r="BJ346" s="3"/>
    </row>
    <row r="347" spans="1:62" ht="15.6">
      <c r="B347" s="99"/>
      <c r="C347" s="1"/>
      <c r="D347" s="8"/>
      <c r="E347" s="662" t="s">
        <v>298</v>
      </c>
      <c r="H347" s="1171" t="s">
        <v>578</v>
      </c>
      <c r="L347" s="122"/>
      <c r="AX347" s="1187" t="s">
        <v>1209</v>
      </c>
      <c r="AY347" s="1187"/>
      <c r="AZ347" s="1187"/>
      <c r="BJ347" s="3"/>
    </row>
    <row r="348" spans="1:62" ht="15.6" hidden="1">
      <c r="A348" s="1437" t="s">
        <v>706</v>
      </c>
      <c r="B348" s="22" t="s">
        <v>78</v>
      </c>
      <c r="C348" s="1344" t="s">
        <v>203</v>
      </c>
      <c r="D348" s="17" t="s">
        <v>1078</v>
      </c>
      <c r="E348" s="5">
        <v>1</v>
      </c>
      <c r="F348" s="13">
        <f>+E348+1</f>
        <v>2</v>
      </c>
      <c r="G348" s="13">
        <f t="shared" ref="G348:AP348" si="32">+F348+1</f>
        <v>3</v>
      </c>
      <c r="H348" s="13">
        <f t="shared" si="32"/>
        <v>4</v>
      </c>
      <c r="I348" s="13">
        <f t="shared" si="32"/>
        <v>5</v>
      </c>
      <c r="J348" s="13">
        <f t="shared" si="32"/>
        <v>6</v>
      </c>
      <c r="K348" s="13">
        <f t="shared" si="32"/>
        <v>7</v>
      </c>
      <c r="L348" s="13">
        <f t="shared" si="32"/>
        <v>8</v>
      </c>
      <c r="M348" s="13">
        <f t="shared" si="32"/>
        <v>9</v>
      </c>
      <c r="N348" s="13">
        <f t="shared" si="32"/>
        <v>10</v>
      </c>
      <c r="O348" s="13">
        <f t="shared" si="32"/>
        <v>11</v>
      </c>
      <c r="P348" s="13">
        <f t="shared" si="32"/>
        <v>12</v>
      </c>
      <c r="Q348" s="13">
        <f t="shared" si="32"/>
        <v>13</v>
      </c>
      <c r="R348" s="13">
        <f t="shared" si="32"/>
        <v>14</v>
      </c>
      <c r="S348" s="13">
        <f t="shared" si="32"/>
        <v>15</v>
      </c>
      <c r="T348" s="13">
        <f t="shared" si="32"/>
        <v>16</v>
      </c>
      <c r="U348" s="13">
        <f t="shared" si="32"/>
        <v>17</v>
      </c>
      <c r="V348" s="13">
        <f t="shared" si="32"/>
        <v>18</v>
      </c>
      <c r="W348" s="13">
        <f t="shared" si="32"/>
        <v>19</v>
      </c>
      <c r="X348" s="13">
        <f t="shared" si="32"/>
        <v>20</v>
      </c>
      <c r="Y348" s="13">
        <f t="shared" si="32"/>
        <v>21</v>
      </c>
      <c r="Z348" s="13">
        <f t="shared" si="32"/>
        <v>22</v>
      </c>
      <c r="AA348" s="13">
        <f t="shared" si="32"/>
        <v>23</v>
      </c>
      <c r="AB348" s="13">
        <f t="shared" si="32"/>
        <v>24</v>
      </c>
      <c r="AC348" s="13">
        <f t="shared" si="32"/>
        <v>25</v>
      </c>
      <c r="AD348" s="13">
        <f t="shared" si="32"/>
        <v>26</v>
      </c>
      <c r="AE348" s="13">
        <f t="shared" si="32"/>
        <v>27</v>
      </c>
      <c r="AF348" s="13">
        <f t="shared" si="32"/>
        <v>28</v>
      </c>
      <c r="AG348" s="13">
        <f t="shared" si="32"/>
        <v>29</v>
      </c>
      <c r="AH348" s="13">
        <f t="shared" si="32"/>
        <v>30</v>
      </c>
      <c r="AI348" s="13">
        <f t="shared" si="32"/>
        <v>31</v>
      </c>
      <c r="AJ348" s="13">
        <f t="shared" si="32"/>
        <v>32</v>
      </c>
      <c r="AK348" s="13">
        <f t="shared" si="32"/>
        <v>33</v>
      </c>
      <c r="AL348" s="13">
        <f t="shared" si="32"/>
        <v>34</v>
      </c>
      <c r="AM348" s="13">
        <f t="shared" si="32"/>
        <v>35</v>
      </c>
      <c r="AN348" s="13">
        <f t="shared" si="32"/>
        <v>36</v>
      </c>
      <c r="AO348" s="13">
        <f t="shared" si="32"/>
        <v>37</v>
      </c>
      <c r="AP348" s="13">
        <f t="shared" si="32"/>
        <v>38</v>
      </c>
      <c r="AQ348" s="13">
        <f>+AP348+1</f>
        <v>39</v>
      </c>
      <c r="AR348" s="13">
        <f>+AQ348+1</f>
        <v>40</v>
      </c>
      <c r="AS348" s="1544"/>
      <c r="AT348" s="1544"/>
      <c r="AU348" s="1544"/>
      <c r="AV348" s="13"/>
      <c r="AX348" s="1185" t="s">
        <v>1704</v>
      </c>
      <c r="AY348" s="1185"/>
      <c r="AZ348" s="1185"/>
      <c r="BA348" s="1185" t="s">
        <v>204</v>
      </c>
      <c r="BB348" s="13"/>
      <c r="BC348" s="13"/>
      <c r="BD348" s="13"/>
      <c r="BE348" s="13"/>
      <c r="BJ348" s="3"/>
    </row>
    <row r="349" spans="1:62" hidden="1">
      <c r="A349" s="1437" t="s">
        <v>706</v>
      </c>
      <c r="B349" s="539" t="s">
        <v>2047</v>
      </c>
      <c r="C349" s="542"/>
      <c r="D349" s="8" t="s">
        <v>1507</v>
      </c>
      <c r="E349" s="107">
        <f>Your_Age</f>
        <v>62</v>
      </c>
      <c r="F349" s="108">
        <f t="shared" ref="F349:AP349" si="33">+E349+1</f>
        <v>63</v>
      </c>
      <c r="G349" s="108">
        <f t="shared" si="33"/>
        <v>64</v>
      </c>
      <c r="H349" s="108">
        <f t="shared" si="33"/>
        <v>65</v>
      </c>
      <c r="I349" s="108">
        <f t="shared" si="33"/>
        <v>66</v>
      </c>
      <c r="J349" s="108">
        <f t="shared" si="33"/>
        <v>67</v>
      </c>
      <c r="K349" s="108">
        <f t="shared" si="33"/>
        <v>68</v>
      </c>
      <c r="L349" s="108">
        <f t="shared" si="33"/>
        <v>69</v>
      </c>
      <c r="M349" s="108">
        <f t="shared" si="33"/>
        <v>70</v>
      </c>
      <c r="N349" s="108">
        <f t="shared" si="33"/>
        <v>71</v>
      </c>
      <c r="O349" s="108">
        <f t="shared" si="33"/>
        <v>72</v>
      </c>
      <c r="P349" s="108">
        <f t="shared" si="33"/>
        <v>73</v>
      </c>
      <c r="Q349" s="108">
        <f t="shared" si="33"/>
        <v>74</v>
      </c>
      <c r="R349" s="108">
        <f t="shared" si="33"/>
        <v>75</v>
      </c>
      <c r="S349" s="108">
        <f t="shared" si="33"/>
        <v>76</v>
      </c>
      <c r="T349" s="108">
        <f t="shared" si="33"/>
        <v>77</v>
      </c>
      <c r="U349" s="108">
        <f t="shared" si="33"/>
        <v>78</v>
      </c>
      <c r="V349" s="108">
        <f t="shared" si="33"/>
        <v>79</v>
      </c>
      <c r="W349" s="108">
        <f t="shared" si="33"/>
        <v>80</v>
      </c>
      <c r="X349" s="108">
        <f t="shared" si="33"/>
        <v>81</v>
      </c>
      <c r="Y349" s="108">
        <f t="shared" si="33"/>
        <v>82</v>
      </c>
      <c r="Z349" s="108">
        <f t="shared" si="33"/>
        <v>83</v>
      </c>
      <c r="AA349" s="108">
        <f t="shared" si="33"/>
        <v>84</v>
      </c>
      <c r="AB349" s="108">
        <f t="shared" si="33"/>
        <v>85</v>
      </c>
      <c r="AC349" s="108">
        <f t="shared" si="33"/>
        <v>86</v>
      </c>
      <c r="AD349" s="108">
        <f t="shared" si="33"/>
        <v>87</v>
      </c>
      <c r="AE349" s="108">
        <f t="shared" si="33"/>
        <v>88</v>
      </c>
      <c r="AF349" s="108">
        <f t="shared" si="33"/>
        <v>89</v>
      </c>
      <c r="AG349" s="108">
        <f t="shared" si="33"/>
        <v>90</v>
      </c>
      <c r="AH349" s="108">
        <f t="shared" si="33"/>
        <v>91</v>
      </c>
      <c r="AI349" s="108">
        <f t="shared" si="33"/>
        <v>92</v>
      </c>
      <c r="AJ349" s="108">
        <f t="shared" si="33"/>
        <v>93</v>
      </c>
      <c r="AK349" s="108">
        <f t="shared" si="33"/>
        <v>94</v>
      </c>
      <c r="AL349" s="108">
        <f t="shared" si="33"/>
        <v>95</v>
      </c>
      <c r="AM349" s="108">
        <f t="shared" si="33"/>
        <v>96</v>
      </c>
      <c r="AN349" s="108">
        <f t="shared" si="33"/>
        <v>97</v>
      </c>
      <c r="AO349" s="108">
        <f t="shared" si="33"/>
        <v>98</v>
      </c>
      <c r="AP349" s="108">
        <f t="shared" si="33"/>
        <v>99</v>
      </c>
      <c r="AQ349" s="108">
        <f>+AP349+1</f>
        <v>100</v>
      </c>
      <c r="AR349" s="108">
        <f>+AQ349+1</f>
        <v>101</v>
      </c>
      <c r="AS349" s="108"/>
      <c r="AT349" s="108"/>
      <c r="AU349" s="108"/>
      <c r="AV349" s="108"/>
      <c r="AX349" s="1186">
        <v>1</v>
      </c>
      <c r="AY349" s="1186"/>
      <c r="AZ349" s="1186"/>
      <c r="BA349" s="786"/>
      <c r="BB349" s="108"/>
      <c r="BC349" s="108"/>
      <c r="BD349" s="108"/>
      <c r="BE349" s="108"/>
      <c r="BJ349" s="3"/>
    </row>
    <row r="350" spans="1:62" hidden="1">
      <c r="A350" s="1437" t="s">
        <v>706</v>
      </c>
      <c r="B350" t="s">
        <v>1700</v>
      </c>
      <c r="C350" s="542"/>
      <c r="D350" s="8" t="s">
        <v>1508</v>
      </c>
      <c r="E350" s="107">
        <f>IF(Spouse_Age&gt;0,Spouse_Age,"")</f>
        <v>61</v>
      </c>
      <c r="F350" s="108">
        <f t="shared" ref="F350:AQ350" si="34">IF(Spouse_Age&gt;0,E350+1,"")</f>
        <v>62</v>
      </c>
      <c r="G350" s="108">
        <f t="shared" si="34"/>
        <v>63</v>
      </c>
      <c r="H350" s="108">
        <f t="shared" si="34"/>
        <v>64</v>
      </c>
      <c r="I350" s="108">
        <f t="shared" si="34"/>
        <v>65</v>
      </c>
      <c r="J350" s="108">
        <f t="shared" si="34"/>
        <v>66</v>
      </c>
      <c r="K350" s="108">
        <f t="shared" si="34"/>
        <v>67</v>
      </c>
      <c r="L350" s="108">
        <f t="shared" si="34"/>
        <v>68</v>
      </c>
      <c r="M350" s="108">
        <f t="shared" si="34"/>
        <v>69</v>
      </c>
      <c r="N350" s="108">
        <f t="shared" si="34"/>
        <v>70</v>
      </c>
      <c r="O350" s="108">
        <f t="shared" si="34"/>
        <v>71</v>
      </c>
      <c r="P350" s="108">
        <f t="shared" si="34"/>
        <v>72</v>
      </c>
      <c r="Q350" s="108">
        <f t="shared" si="34"/>
        <v>73</v>
      </c>
      <c r="R350" s="108">
        <f t="shared" si="34"/>
        <v>74</v>
      </c>
      <c r="S350" s="108">
        <f t="shared" si="34"/>
        <v>75</v>
      </c>
      <c r="T350" s="108">
        <f t="shared" si="34"/>
        <v>76</v>
      </c>
      <c r="U350" s="108">
        <f t="shared" si="34"/>
        <v>77</v>
      </c>
      <c r="V350" s="108">
        <f t="shared" si="34"/>
        <v>78</v>
      </c>
      <c r="W350" s="108">
        <f t="shared" si="34"/>
        <v>79</v>
      </c>
      <c r="X350" s="108">
        <f t="shared" si="34"/>
        <v>80</v>
      </c>
      <c r="Y350" s="108">
        <f t="shared" si="34"/>
        <v>81</v>
      </c>
      <c r="Z350" s="108">
        <f t="shared" si="34"/>
        <v>82</v>
      </c>
      <c r="AA350" s="108">
        <f t="shared" si="34"/>
        <v>83</v>
      </c>
      <c r="AB350" s="108">
        <f t="shared" si="34"/>
        <v>84</v>
      </c>
      <c r="AC350" s="108">
        <f t="shared" si="34"/>
        <v>85</v>
      </c>
      <c r="AD350" s="108">
        <f t="shared" si="34"/>
        <v>86</v>
      </c>
      <c r="AE350" s="108">
        <f t="shared" si="34"/>
        <v>87</v>
      </c>
      <c r="AF350" s="108">
        <f t="shared" si="34"/>
        <v>88</v>
      </c>
      <c r="AG350" s="108">
        <f t="shared" si="34"/>
        <v>89</v>
      </c>
      <c r="AH350" s="108">
        <f t="shared" si="34"/>
        <v>90</v>
      </c>
      <c r="AI350" s="108">
        <f t="shared" si="34"/>
        <v>91</v>
      </c>
      <c r="AJ350" s="108">
        <f t="shared" si="34"/>
        <v>92</v>
      </c>
      <c r="AK350" s="108">
        <f t="shared" si="34"/>
        <v>93</v>
      </c>
      <c r="AL350" s="108">
        <f t="shared" si="34"/>
        <v>94</v>
      </c>
      <c r="AM350" s="108">
        <f t="shared" si="34"/>
        <v>95</v>
      </c>
      <c r="AN350" s="108">
        <f t="shared" si="34"/>
        <v>96</v>
      </c>
      <c r="AO350" s="108">
        <f t="shared" si="34"/>
        <v>97</v>
      </c>
      <c r="AP350" s="108">
        <f t="shared" si="34"/>
        <v>98</v>
      </c>
      <c r="AQ350" s="108">
        <f t="shared" si="34"/>
        <v>99</v>
      </c>
      <c r="AR350" s="108">
        <f>IF(Spouse_Age&gt;0,AQ350+1,"")</f>
        <v>100</v>
      </c>
      <c r="AS350" s="108"/>
      <c r="AT350" s="108"/>
      <c r="AU350" s="108"/>
      <c r="AV350" s="108"/>
      <c r="AX350" s="1186">
        <f t="shared" ref="AX350:AX366" si="35">+AX349+1</f>
        <v>2</v>
      </c>
      <c r="AY350" s="1186"/>
      <c r="AZ350" s="1186"/>
      <c r="BA350" s="786"/>
      <c r="BB350" s="108"/>
      <c r="BC350" s="108"/>
      <c r="BD350" s="108"/>
      <c r="BE350" s="108"/>
      <c r="BJ350" s="3"/>
    </row>
    <row r="351" spans="1:62" ht="15.6" hidden="1">
      <c r="A351" s="1437" t="s">
        <v>706</v>
      </c>
      <c r="C351" s="542"/>
      <c r="D351" s="8"/>
      <c r="E351" s="27">
        <f>+Setup!$E$23</f>
        <v>2019</v>
      </c>
      <c r="F351" s="27">
        <f t="shared" ref="F351:AP351" si="36">+E351+1</f>
        <v>2020</v>
      </c>
      <c r="G351" s="27">
        <f t="shared" si="36"/>
        <v>2021</v>
      </c>
      <c r="H351" s="27">
        <f t="shared" si="36"/>
        <v>2022</v>
      </c>
      <c r="I351" s="27">
        <f t="shared" si="36"/>
        <v>2023</v>
      </c>
      <c r="J351" s="27">
        <f t="shared" si="36"/>
        <v>2024</v>
      </c>
      <c r="K351" s="27">
        <f t="shared" si="36"/>
        <v>2025</v>
      </c>
      <c r="L351" s="27">
        <f t="shared" si="36"/>
        <v>2026</v>
      </c>
      <c r="M351" s="27">
        <f t="shared" si="36"/>
        <v>2027</v>
      </c>
      <c r="N351" s="27">
        <f t="shared" si="36"/>
        <v>2028</v>
      </c>
      <c r="O351" s="27">
        <f t="shared" si="36"/>
        <v>2029</v>
      </c>
      <c r="P351" s="27">
        <f t="shared" si="36"/>
        <v>2030</v>
      </c>
      <c r="Q351" s="27">
        <f t="shared" si="36"/>
        <v>2031</v>
      </c>
      <c r="R351" s="27">
        <f t="shared" si="36"/>
        <v>2032</v>
      </c>
      <c r="S351" s="27">
        <f t="shared" si="36"/>
        <v>2033</v>
      </c>
      <c r="T351" s="27">
        <f t="shared" si="36"/>
        <v>2034</v>
      </c>
      <c r="U351" s="27">
        <f t="shared" si="36"/>
        <v>2035</v>
      </c>
      <c r="V351" s="27">
        <f t="shared" si="36"/>
        <v>2036</v>
      </c>
      <c r="W351" s="27">
        <f t="shared" si="36"/>
        <v>2037</v>
      </c>
      <c r="X351" s="27">
        <f t="shared" si="36"/>
        <v>2038</v>
      </c>
      <c r="Y351" s="27">
        <f t="shared" si="36"/>
        <v>2039</v>
      </c>
      <c r="Z351" s="27">
        <f t="shared" si="36"/>
        <v>2040</v>
      </c>
      <c r="AA351" s="27">
        <f t="shared" si="36"/>
        <v>2041</v>
      </c>
      <c r="AB351" s="27">
        <f t="shared" si="36"/>
        <v>2042</v>
      </c>
      <c r="AC351" s="27">
        <f t="shared" si="36"/>
        <v>2043</v>
      </c>
      <c r="AD351" s="27">
        <f t="shared" si="36"/>
        <v>2044</v>
      </c>
      <c r="AE351" s="27">
        <f t="shared" si="36"/>
        <v>2045</v>
      </c>
      <c r="AF351" s="27">
        <f t="shared" si="36"/>
        <v>2046</v>
      </c>
      <c r="AG351" s="27">
        <f t="shared" si="36"/>
        <v>2047</v>
      </c>
      <c r="AH351" s="27">
        <f t="shared" si="36"/>
        <v>2048</v>
      </c>
      <c r="AI351" s="27">
        <f t="shared" si="36"/>
        <v>2049</v>
      </c>
      <c r="AJ351" s="27">
        <f t="shared" si="36"/>
        <v>2050</v>
      </c>
      <c r="AK351" s="27">
        <f t="shared" si="36"/>
        <v>2051</v>
      </c>
      <c r="AL351" s="27">
        <f t="shared" si="36"/>
        <v>2052</v>
      </c>
      <c r="AM351" s="27">
        <f t="shared" si="36"/>
        <v>2053</v>
      </c>
      <c r="AN351" s="27">
        <f t="shared" si="36"/>
        <v>2054</v>
      </c>
      <c r="AO351" s="27">
        <f t="shared" si="36"/>
        <v>2055</v>
      </c>
      <c r="AP351" s="27">
        <f t="shared" si="36"/>
        <v>2056</v>
      </c>
      <c r="AQ351" s="27">
        <f>+AP351+1</f>
        <v>2057</v>
      </c>
      <c r="AR351" s="27">
        <f>+AQ351+1</f>
        <v>2058</v>
      </c>
      <c r="AS351" s="27"/>
      <c r="AT351" s="27"/>
      <c r="AU351" s="27"/>
      <c r="AV351" s="27"/>
      <c r="AX351" s="1186">
        <f t="shared" si="35"/>
        <v>3</v>
      </c>
      <c r="AY351" s="1186"/>
      <c r="AZ351" s="1186"/>
      <c r="BA351" s="1186">
        <v>1</v>
      </c>
      <c r="BB351" s="74"/>
      <c r="BC351" s="74"/>
      <c r="BD351" s="74"/>
      <c r="BE351" s="74"/>
      <c r="BJ351" s="3"/>
    </row>
    <row r="352" spans="1:62" ht="15.6" hidden="1">
      <c r="A352" s="1437" t="s">
        <v>706</v>
      </c>
      <c r="B352" s="22" t="s">
        <v>559</v>
      </c>
      <c r="C352" s="542"/>
      <c r="L352" s="122"/>
      <c r="S352" s="31"/>
      <c r="T352" s="31"/>
      <c r="U352" s="31"/>
      <c r="V352" s="31"/>
      <c r="AH352" s="31"/>
      <c r="AX352" s="1186">
        <f t="shared" si="35"/>
        <v>4</v>
      </c>
      <c r="AY352" s="1186"/>
      <c r="AZ352" s="1186"/>
      <c r="BA352" s="1186">
        <f t="shared" ref="BA352:BA366" si="37">+BA351+1</f>
        <v>2</v>
      </c>
      <c r="BB352" s="1"/>
      <c r="BC352" s="1"/>
      <c r="BD352" s="1"/>
      <c r="BE352" s="1"/>
      <c r="BJ352" s="3"/>
    </row>
    <row r="353" spans="1:62" ht="15.6" hidden="1">
      <c r="A353" s="1437" t="s">
        <v>706</v>
      </c>
      <c r="B353" s="886"/>
      <c r="C353" s="542"/>
      <c r="E353" s="119" t="str">
        <f>+Details!F206</f>
        <v>.</v>
      </c>
      <c r="F353" s="119" t="str">
        <f>+Details!G206</f>
        <v>.</v>
      </c>
      <c r="G353" s="119" t="str">
        <f>+Details!H206</f>
        <v>.</v>
      </c>
      <c r="H353" s="119" t="str">
        <f>+Details!I206</f>
        <v>.</v>
      </c>
      <c r="I353" s="119" t="str">
        <f>+Details!J206</f>
        <v>.</v>
      </c>
      <c r="J353" s="119" t="str">
        <f>+Details!K206</f>
        <v>.</v>
      </c>
      <c r="K353" s="119" t="str">
        <f>+Details!L206</f>
        <v>.</v>
      </c>
      <c r="L353" s="119" t="str">
        <f>+Details!M206</f>
        <v>std ded.</v>
      </c>
      <c r="M353" s="119" t="str">
        <f>+Details!N206</f>
        <v>.</v>
      </c>
      <c r="N353" s="119" t="str">
        <f>+Details!O206</f>
        <v>.</v>
      </c>
      <c r="O353" s="119" t="str">
        <f>+Details!P206</f>
        <v>.</v>
      </c>
      <c r="P353" s="119" t="str">
        <f>+Details!Q206</f>
        <v>.</v>
      </c>
      <c r="Q353" s="119" t="str">
        <f>+Details!R206</f>
        <v>.</v>
      </c>
      <c r="R353" s="119" t="str">
        <f>+Details!S206</f>
        <v>.</v>
      </c>
      <c r="S353" s="119" t="str">
        <f>+Details!T206</f>
        <v>.</v>
      </c>
      <c r="T353" s="119" t="str">
        <f>+Details!U206</f>
        <v>.</v>
      </c>
      <c r="U353" s="119" t="str">
        <f>+Details!V206</f>
        <v>.</v>
      </c>
      <c r="V353" s="119" t="str">
        <f>+Details!W206</f>
        <v>.</v>
      </c>
      <c r="W353" s="119" t="str">
        <f>+Details!X206</f>
        <v>.</v>
      </c>
      <c r="X353" s="119" t="str">
        <f>+Details!Y206</f>
        <v>.</v>
      </c>
      <c r="Y353" s="119" t="str">
        <f>+Details!Z206</f>
        <v>.</v>
      </c>
      <c r="Z353" s="119" t="str">
        <f>+Details!AA206</f>
        <v>.</v>
      </c>
      <c r="AA353" s="119" t="str">
        <f>+Details!AB206</f>
        <v>.new state</v>
      </c>
      <c r="AB353" s="119" t="str">
        <f>+Details!AC206</f>
        <v>.</v>
      </c>
      <c r="AC353" s="119" t="str">
        <f>+Details!AD206</f>
        <v>single rate</v>
      </c>
      <c r="AD353" s="119" t="str">
        <f>+Details!AE206</f>
        <v>.</v>
      </c>
      <c r="AE353" s="119" t="str">
        <f>+Details!AF206</f>
        <v>.</v>
      </c>
      <c r="AF353" s="119" t="str">
        <f>+Details!AG206</f>
        <v>.</v>
      </c>
      <c r="AG353" s="119" t="str">
        <f>+Details!AH206</f>
        <v>.</v>
      </c>
      <c r="AH353" s="119" t="str">
        <f>+Details!AI206</f>
        <v>.</v>
      </c>
      <c r="AI353" s="119" t="str">
        <f>+Details!AJ206</f>
        <v>.</v>
      </c>
      <c r="AJ353" s="119" t="str">
        <f>+Details!AK206</f>
        <v>.</v>
      </c>
      <c r="AK353" s="119" t="str">
        <f>+Details!AL206</f>
        <v>.</v>
      </c>
      <c r="AL353" s="119" t="str">
        <f>+Details!AM206</f>
        <v>.</v>
      </c>
      <c r="AM353" s="119" t="str">
        <f>+Details!AN206</f>
        <v>.</v>
      </c>
      <c r="AN353" s="119" t="str">
        <f>+Details!AO206</f>
        <v>.</v>
      </c>
      <c r="AO353" s="119" t="str">
        <f>+Details!AP206</f>
        <v>.</v>
      </c>
      <c r="AP353" s="119" t="str">
        <f>+Details!AQ206</f>
        <v>.</v>
      </c>
      <c r="AQ353" s="119" t="str">
        <f>+Details!AR206</f>
        <v>.</v>
      </c>
      <c r="AR353" s="119" t="str">
        <f>+Details!AS206</f>
        <v>.</v>
      </c>
      <c r="AS353" s="119"/>
      <c r="AT353" s="119"/>
      <c r="AU353" s="119"/>
      <c r="AV353" s="119"/>
      <c r="AX353" s="1186">
        <f t="shared" si="35"/>
        <v>5</v>
      </c>
      <c r="AY353" s="1186"/>
      <c r="AZ353" s="1186"/>
      <c r="BA353" s="1186">
        <f t="shared" si="37"/>
        <v>3</v>
      </c>
      <c r="BB353" s="1"/>
      <c r="BC353" s="1"/>
      <c r="BD353" s="1"/>
      <c r="BE353" s="1"/>
      <c r="BJ353" s="3"/>
    </row>
    <row r="354" spans="1:62" hidden="1">
      <c r="A354" s="1437" t="s">
        <v>706</v>
      </c>
      <c r="B354" s="415" t="s">
        <v>1168</v>
      </c>
      <c r="C354" s="542"/>
      <c r="D354" s="102">
        <f t="shared" ref="D354:D366" si="38">SUM(E354:AV354)</f>
        <v>748900</v>
      </c>
      <c r="E354" s="1124">
        <f>IF($C$348="Full",+Details!F169,+Base!F169)</f>
        <v>9600</v>
      </c>
      <c r="F354" s="1124">
        <f>IF($C$348="Full",+Details!G169,+Base!G169)</f>
        <v>9300</v>
      </c>
      <c r="G354" s="1124">
        <f>IF($C$348="Full",+Details!H169,+Base!H169)</f>
        <v>8900</v>
      </c>
      <c r="H354" s="1124">
        <f>IF($C$348="Full",+Details!I169,+Base!I169)</f>
        <v>8300</v>
      </c>
      <c r="I354" s="1124">
        <f>IF($C$348="Full",+Details!J169,+Base!J169)</f>
        <v>7700</v>
      </c>
      <c r="J354" s="1124">
        <f>IF($C$348="Full",+Details!K169,+Base!K169)</f>
        <v>7600</v>
      </c>
      <c r="K354" s="1124">
        <f>IF($C$348="Full",+Details!L169,+Base!L169)</f>
        <v>8100</v>
      </c>
      <c r="L354" s="1124">
        <f>IF($C$348="Full",+Details!M169,+Base!M169)</f>
        <v>8600</v>
      </c>
      <c r="M354" s="1124">
        <f>IF($C$348="Full",+Details!N169,+Base!N169)</f>
        <v>9400</v>
      </c>
      <c r="N354" s="1124">
        <f>IF($C$348="Full",+Details!O169,+Base!O169)</f>
        <v>10900</v>
      </c>
      <c r="O354" s="1124">
        <f>IF($C$348="Full",+Details!P169,+Base!P169)</f>
        <v>10700</v>
      </c>
      <c r="P354" s="1124">
        <f>IF($C$348="Full",+Details!Q169,+Base!Q169)</f>
        <v>11500</v>
      </c>
      <c r="Q354" s="1124">
        <f>IF($C$348="Full",+Details!R169,+Base!R169)</f>
        <v>14000</v>
      </c>
      <c r="R354" s="1124">
        <f>IF($C$348="Full",+Details!S169,+Base!S169)</f>
        <v>15800</v>
      </c>
      <c r="S354" s="1124">
        <f>IF($C$348="Full",+Details!T169,+Base!T169)</f>
        <v>16000</v>
      </c>
      <c r="T354" s="1124">
        <f>IF($C$348="Full",+Details!U169,+Base!U169)</f>
        <v>18000</v>
      </c>
      <c r="U354" s="1124">
        <f>IF($C$348="Full",+Details!V169,+Base!V169)</f>
        <v>22400</v>
      </c>
      <c r="V354" s="1124">
        <f>IF($C$348="Full",+Details!W169,+Base!W169)</f>
        <v>25200</v>
      </c>
      <c r="W354" s="1124">
        <f>IF($C$348="Full",+Details!X169,+Base!X169)</f>
        <v>22700</v>
      </c>
      <c r="X354" s="1124">
        <f>IF($C$348="Full",+Details!Y169,+Base!Y169)</f>
        <v>24000</v>
      </c>
      <c r="Y354" s="1124">
        <f>IF($C$348="Full",+Details!Z169,+Base!Z169)</f>
        <v>25500</v>
      </c>
      <c r="Z354" s="1180">
        <f>IF($C$348="Full",+Details!AA169,+Base!AA169)</f>
        <v>27100</v>
      </c>
      <c r="AA354" s="1124">
        <f>IF($C$348="Full",+Details!AB169,+Base!AB169)</f>
        <v>37000</v>
      </c>
      <c r="AB354" s="1124">
        <f>IF($C$348="Full",+Details!AC169,+Base!AC169)</f>
        <v>47300</v>
      </c>
      <c r="AC354" s="1124">
        <f>IF($C$348="Full",+Details!AD169,+Base!AD169)</f>
        <v>51500</v>
      </c>
      <c r="AD354" s="1124">
        <f>IF($C$348="Full",+Details!AE169,+Base!AE169)</f>
        <v>55100</v>
      </c>
      <c r="AE354" s="1124">
        <f>IF($C$348="Full",+Details!AF169,+Base!AF169)</f>
        <v>56800</v>
      </c>
      <c r="AF354" s="1124">
        <f>IF($C$348="Full",+Details!AG169,+Base!AG169)</f>
        <v>58400</v>
      </c>
      <c r="AG354" s="1124">
        <f>IF($C$348="Full",+Details!AH169,+Base!AH169)</f>
        <v>60000</v>
      </c>
      <c r="AH354" s="1124">
        <f>IF($C$348="Full",+Details!AI169,+Base!AI169)</f>
        <v>61500</v>
      </c>
      <c r="AI354" s="1124">
        <f>IF($C$348="Full",+Details!AJ169,+Base!AJ169)</f>
        <v>0</v>
      </c>
      <c r="AJ354" s="1124">
        <f>IF($C$348="Full",+Details!AK169,+Base!AK169)</f>
        <v>0</v>
      </c>
      <c r="AK354" s="1124">
        <f>IF($C$348="Full",+Details!AL169,+Base!AL169)</f>
        <v>0</v>
      </c>
      <c r="AL354" s="1124">
        <f>IF($C$348="Full",+Details!AM169,+Base!AM169)</f>
        <v>0</v>
      </c>
      <c r="AM354" s="1124">
        <f>IF($C$348="Full",+Details!AN169,+Base!AN169)</f>
        <v>0</v>
      </c>
      <c r="AN354" s="1124">
        <f>IF($C$348="Full",+Details!AO169,+Base!AO169)</f>
        <v>0</v>
      </c>
      <c r="AO354" s="1124">
        <f>IF($C$348="Full",+Details!AP169,+Base!AP169)</f>
        <v>0</v>
      </c>
      <c r="AP354" s="1124">
        <f>IF($C$348="Full",+Details!AQ169,+Base!AQ169)</f>
        <v>0</v>
      </c>
      <c r="AQ354" s="1124">
        <f>IF($C$348="Full",+Details!AR169,+Base!AR169)</f>
        <v>0</v>
      </c>
      <c r="AR354" s="1124">
        <f>IF($C$348="Full",+Details!AS169,+Base!AS169)</f>
        <v>0</v>
      </c>
      <c r="AS354" s="1124"/>
      <c r="AT354" s="1124"/>
      <c r="AU354" s="1124"/>
      <c r="AV354" s="1124"/>
      <c r="AX354" s="1186">
        <f t="shared" si="35"/>
        <v>6</v>
      </c>
      <c r="AY354" s="1186"/>
      <c r="AZ354" s="1186"/>
      <c r="BA354" s="1186">
        <f t="shared" si="37"/>
        <v>4</v>
      </c>
      <c r="BB354" s="876"/>
      <c r="BC354" s="876"/>
      <c r="BD354" s="876"/>
      <c r="BE354" s="876"/>
      <c r="BJ354" s="3"/>
    </row>
    <row r="355" spans="1:62" hidden="1">
      <c r="A355" s="1437" t="s">
        <v>706</v>
      </c>
      <c r="B355" s="415" t="s">
        <v>140</v>
      </c>
      <c r="C355" s="542"/>
      <c r="D355" s="102">
        <f t="shared" si="38"/>
        <v>-334400</v>
      </c>
      <c r="E355" s="1124">
        <f>IF($C$348="Full",+Details!F170,+Base!F170)</f>
        <v>-2900</v>
      </c>
      <c r="F355" s="1124">
        <f>IF($C$348="Full",+Details!G170,+Base!G170)</f>
        <v>-2800</v>
      </c>
      <c r="G355" s="1124">
        <f>IF($C$348="Full",+Details!H170,+Base!H170)</f>
        <v>-2700</v>
      </c>
      <c r="H355" s="1124">
        <f>IF($C$348="Full",+Details!I170,+Base!I170)</f>
        <v>-2500</v>
      </c>
      <c r="I355" s="1124">
        <f>IF($C$348="Full",+Details!J170,+Base!J170)</f>
        <v>-2300</v>
      </c>
      <c r="J355" s="1124">
        <f>IF($C$348="Full",+Details!K170,+Base!K170)</f>
        <v>-2300</v>
      </c>
      <c r="K355" s="1124">
        <f>IF($C$348="Full",+Details!L170,+Base!L170)</f>
        <v>-2400</v>
      </c>
      <c r="L355" s="1124">
        <f>IF($C$348="Full",+Details!M170,+Base!M170)</f>
        <v>-2600</v>
      </c>
      <c r="M355" s="1124">
        <f>IF($C$348="Full",+Details!N170,+Base!N170)</f>
        <v>-2800</v>
      </c>
      <c r="N355" s="1124">
        <f>IF($C$348="Full",+Details!O170,+Base!O170)</f>
        <v>-3300</v>
      </c>
      <c r="O355" s="1124">
        <f>IF($C$348="Full",+Details!P170,+Base!P170)</f>
        <v>-3200</v>
      </c>
      <c r="P355" s="1124">
        <f>IF($C$348="Full",+Details!Q170,+Base!Q170)</f>
        <v>-3500</v>
      </c>
      <c r="Q355" s="1124">
        <f>IF($C$348="Full",+Details!R170,+Base!R170)</f>
        <v>-4200</v>
      </c>
      <c r="R355" s="1124">
        <f>IF($C$348="Full",+Details!S170,+Base!S170)</f>
        <v>-4700</v>
      </c>
      <c r="S355" s="1124">
        <f>IF($C$348="Full",+Details!T170,+Base!T170)</f>
        <v>-4800</v>
      </c>
      <c r="T355" s="1124">
        <f>IF($C$348="Full",+Details!U170,+Base!U170)</f>
        <v>-5400</v>
      </c>
      <c r="U355" s="1124">
        <f>IF($C$348="Full",+Details!V170,+Base!V170)</f>
        <v>-6700</v>
      </c>
      <c r="V355" s="1124">
        <f>IF($C$348="Full",+Details!W170,+Base!W170)</f>
        <v>-7600</v>
      </c>
      <c r="W355" s="1124">
        <f>IF($C$348="Full",+Details!X170,+Base!X170)</f>
        <v>-11500</v>
      </c>
      <c r="X355" s="1124">
        <f>IF($C$348="Full",+Details!Y170,+Base!Y170)</f>
        <v>-12200</v>
      </c>
      <c r="Y355" s="1124">
        <f>IF($C$348="Full",+Details!Z170,+Base!Z170)</f>
        <v>-13000</v>
      </c>
      <c r="Z355" s="1180">
        <f>IF($C$348="Full",+Details!AA170,+Base!AA170)</f>
        <v>-13800</v>
      </c>
      <c r="AA355" s="1124">
        <f>IF($C$348="Full",+Details!AB170,+Base!AB170)</f>
        <v>-17700</v>
      </c>
      <c r="AB355" s="1124">
        <f>IF($C$348="Full",+Details!AC170,+Base!AC170)</f>
        <v>-24100</v>
      </c>
      <c r="AC355" s="1124">
        <f>IF($C$348="Full",+Details!AD170,+Base!AD170)</f>
        <v>-26000</v>
      </c>
      <c r="AD355" s="1124">
        <f>IF($C$348="Full",+Details!AE170,+Base!AE170)</f>
        <v>-28200</v>
      </c>
      <c r="AE355" s="1124">
        <f>IF($C$348="Full",+Details!AF170,+Base!AF170)</f>
        <v>-29100</v>
      </c>
      <c r="AF355" s="1124">
        <f>IF($C$348="Full",+Details!AG170,+Base!AG170)</f>
        <v>-29900</v>
      </c>
      <c r="AG355" s="1124">
        <f>IF($C$348="Full",+Details!AH170,+Base!AH170)</f>
        <v>-30700</v>
      </c>
      <c r="AH355" s="1124">
        <f>IF($C$348="Full",+Details!AI170,+Base!AI170)</f>
        <v>-31500</v>
      </c>
      <c r="AI355" s="1124">
        <f>IF($C$348="Full",+Details!AJ170,+Base!AJ170)</f>
        <v>0</v>
      </c>
      <c r="AJ355" s="1124">
        <f>IF($C$348="Full",+Details!AK170,+Base!AK170)</f>
        <v>0</v>
      </c>
      <c r="AK355" s="1124">
        <f>IF($C$348="Full",+Details!AL170,+Base!AL170)</f>
        <v>0</v>
      </c>
      <c r="AL355" s="1124">
        <f>IF($C$348="Full",+Details!AM170,+Base!AM170)</f>
        <v>0</v>
      </c>
      <c r="AM355" s="1124">
        <f>IF($C$348="Full",+Details!AN170,+Base!AN170)</f>
        <v>0</v>
      </c>
      <c r="AN355" s="1124">
        <f>IF($C$348="Full",+Details!AO170,+Base!AO170)</f>
        <v>0</v>
      </c>
      <c r="AO355" s="1124">
        <f>IF($C$348="Full",+Details!AP170,+Base!AP170)</f>
        <v>0</v>
      </c>
      <c r="AP355" s="1124">
        <f>IF($C$348="Full",+Details!AQ170,+Base!AQ170)</f>
        <v>0</v>
      </c>
      <c r="AQ355" s="1124">
        <f>IF($C$348="Full",+Details!AR170,+Base!AR170)</f>
        <v>0</v>
      </c>
      <c r="AR355" s="1124">
        <f>IF($C$348="Full",+Details!AS170,+Base!AS170)</f>
        <v>0</v>
      </c>
      <c r="AS355" s="1124"/>
      <c r="AT355" s="1124"/>
      <c r="AU355" s="1124"/>
      <c r="AV355" s="1124"/>
      <c r="AX355" s="1186">
        <f t="shared" si="35"/>
        <v>7</v>
      </c>
      <c r="AY355" s="1186"/>
      <c r="AZ355" s="1186"/>
      <c r="BA355" s="1186">
        <f t="shared" si="37"/>
        <v>5</v>
      </c>
      <c r="BB355" s="876"/>
      <c r="BC355" s="876"/>
      <c r="BD355" s="876"/>
      <c r="BE355" s="876"/>
      <c r="BJ355" s="3"/>
    </row>
    <row r="356" spans="1:62" hidden="1">
      <c r="A356" s="1437" t="s">
        <v>706</v>
      </c>
      <c r="B356" s="415" t="s">
        <v>770</v>
      </c>
      <c r="C356" s="542"/>
      <c r="D356" s="102">
        <f t="shared" si="38"/>
        <v>-248800</v>
      </c>
      <c r="E356" s="1124">
        <f>IF($C$348="Full",+Details!F171,+Base!F171)</f>
        <v>-4000</v>
      </c>
      <c r="F356" s="1124">
        <f>IF($C$348="Full",+Details!G171,+Base!G171)</f>
        <v>-3900</v>
      </c>
      <c r="G356" s="1124">
        <f>IF($C$348="Full",+Details!H171,+Base!H171)</f>
        <v>-3700</v>
      </c>
      <c r="H356" s="1124">
        <f>IF($C$348="Full",+Details!I171,+Base!I171)</f>
        <v>-3500</v>
      </c>
      <c r="I356" s="1124">
        <f>IF($C$348="Full",+Details!J171,+Base!J171)</f>
        <v>-3200</v>
      </c>
      <c r="J356" s="1124">
        <f>IF($C$348="Full",+Details!K171,+Base!K171)</f>
        <v>-3200</v>
      </c>
      <c r="K356" s="1124">
        <f>IF($C$348="Full",+Details!L171,+Base!L171)</f>
        <v>-3400</v>
      </c>
      <c r="L356" s="1124">
        <f>IF($C$348="Full",+Details!M171,+Base!M171)</f>
        <v>-3600</v>
      </c>
      <c r="M356" s="1124">
        <f>IF($C$348="Full",+Details!N171,+Base!N171)</f>
        <v>-4000</v>
      </c>
      <c r="N356" s="1124">
        <f>IF($C$348="Full",+Details!O171,+Base!O171)</f>
        <v>-4600</v>
      </c>
      <c r="O356" s="1124">
        <f>IF($C$348="Full",+Details!P171,+Base!P171)</f>
        <v>-4500</v>
      </c>
      <c r="P356" s="1124">
        <f>IF($C$348="Full",+Details!Q171,+Base!Q171)</f>
        <v>-4800</v>
      </c>
      <c r="Q356" s="1124">
        <f>IF($C$348="Full",+Details!R171,+Base!R171)</f>
        <v>-5900</v>
      </c>
      <c r="R356" s="1124">
        <f>IF($C$348="Full",+Details!S171,+Base!S171)</f>
        <v>-6700</v>
      </c>
      <c r="S356" s="1124">
        <f>IF($C$348="Full",+Details!T171,+Base!T171)</f>
        <v>-6700</v>
      </c>
      <c r="T356" s="1124">
        <f>IF($C$348="Full",+Details!U171,+Base!U171)</f>
        <v>-7600</v>
      </c>
      <c r="U356" s="1124">
        <f>IF($C$348="Full",+Details!V171,+Base!V171)</f>
        <v>-9400</v>
      </c>
      <c r="V356" s="1124">
        <f>IF($C$348="Full",+Details!W171,+Base!W171)</f>
        <v>-10600</v>
      </c>
      <c r="W356" s="1124">
        <f>IF($C$348="Full",+Details!X171,+Base!X171)</f>
        <v>-6700</v>
      </c>
      <c r="X356" s="1124">
        <f>IF($C$348="Full",+Details!Y171,+Base!Y171)</f>
        <v>-7100</v>
      </c>
      <c r="Y356" s="1124">
        <f>IF($C$348="Full",+Details!Z171,+Base!Z171)</f>
        <v>-7500</v>
      </c>
      <c r="Z356" s="1180">
        <f>IF($C$348="Full",+Details!AA171,+Base!AA171)</f>
        <v>-8000</v>
      </c>
      <c r="AA356" s="1124">
        <f>IF($C$348="Full",+Details!AB171,+Base!AB171)</f>
        <v>-11600</v>
      </c>
      <c r="AB356" s="1124">
        <f>IF($C$348="Full",+Details!AC171,+Base!AC171)</f>
        <v>-13900</v>
      </c>
      <c r="AC356" s="1124">
        <f>IF($C$348="Full",+Details!AD171,+Base!AD171)</f>
        <v>-15300</v>
      </c>
      <c r="AD356" s="1124">
        <f>IF($C$348="Full",+Details!AE171,+Base!AE171)</f>
        <v>-16100</v>
      </c>
      <c r="AE356" s="1124">
        <f>IF($C$348="Full",+Details!AF171,+Base!AF171)</f>
        <v>-16600</v>
      </c>
      <c r="AF356" s="1124">
        <f>IF($C$348="Full",+Details!AG171,+Base!AG171)</f>
        <v>-17100</v>
      </c>
      <c r="AG356" s="1124">
        <f>IF($C$348="Full",+Details!AH171,+Base!AH171)</f>
        <v>-17600</v>
      </c>
      <c r="AH356" s="1124">
        <f>IF($C$348="Full",+Details!AI171,+Base!AI171)</f>
        <v>-18000</v>
      </c>
      <c r="AI356" s="1124">
        <f>IF($C$348="Full",+Details!AJ171,+Base!AJ171)</f>
        <v>0</v>
      </c>
      <c r="AJ356" s="1124">
        <f>IF($C$348="Full",+Details!AK171,+Base!AK171)</f>
        <v>0</v>
      </c>
      <c r="AK356" s="1124">
        <f>IF($C$348="Full",+Details!AL171,+Base!AL171)</f>
        <v>0</v>
      </c>
      <c r="AL356" s="1124">
        <f>IF($C$348="Full",+Details!AM171,+Base!AM171)</f>
        <v>0</v>
      </c>
      <c r="AM356" s="1124">
        <f>IF($C$348="Full",+Details!AN171,+Base!AN171)</f>
        <v>0</v>
      </c>
      <c r="AN356" s="1124">
        <f>IF($C$348="Full",+Details!AO171,+Base!AO171)</f>
        <v>0</v>
      </c>
      <c r="AO356" s="1124">
        <f>IF($C$348="Full",+Details!AP171,+Base!AP171)</f>
        <v>0</v>
      </c>
      <c r="AP356" s="1124">
        <f>IF($C$348="Full",+Details!AQ171,+Base!AQ171)</f>
        <v>0</v>
      </c>
      <c r="AQ356" s="1124">
        <f>IF($C$348="Full",+Details!AR171,+Base!AR171)</f>
        <v>0</v>
      </c>
      <c r="AR356" s="1124">
        <f>IF($C$348="Full",+Details!AS171,+Base!AS171)</f>
        <v>0</v>
      </c>
      <c r="AS356" s="1124"/>
      <c r="AT356" s="1124"/>
      <c r="AU356" s="1124"/>
      <c r="AV356" s="1124"/>
      <c r="AX356" s="1186">
        <f t="shared" si="35"/>
        <v>8</v>
      </c>
      <c r="AY356" s="1186"/>
      <c r="AZ356" s="1186"/>
      <c r="BA356" s="1186">
        <f t="shared" si="37"/>
        <v>6</v>
      </c>
      <c r="BB356" s="876"/>
      <c r="BC356" s="876"/>
      <c r="BD356" s="876"/>
      <c r="BE356" s="876"/>
      <c r="BJ356" s="3"/>
    </row>
    <row r="357" spans="1:62" hidden="1">
      <c r="A357" s="1437" t="s">
        <v>706</v>
      </c>
      <c r="B357" s="91" t="s">
        <v>1182</v>
      </c>
      <c r="C357" s="542"/>
      <c r="D357" s="102">
        <f t="shared" si="38"/>
        <v>1146500</v>
      </c>
      <c r="E357" s="1124">
        <f>IF($C$348="Full",+SUM(Details!F176+Details!F178),+SUM(Base!F176+Base!F178))</f>
        <v>0</v>
      </c>
      <c r="F357" s="1124">
        <f>IF($C$348="Full",+SUM(Details!G176+Details!G178),+SUM(Base!G176+Base!G178))</f>
        <v>0</v>
      </c>
      <c r="G357" s="1124">
        <f>IF($C$348="Full",+SUM(Details!H176+Details!H178),+SUM(Base!H176+Base!H178))</f>
        <v>0</v>
      </c>
      <c r="H357" s="1124">
        <f>IF($C$348="Full",+SUM(Details!I176+Details!I178),+SUM(Base!I176+Base!I178))</f>
        <v>0</v>
      </c>
      <c r="I357" s="1124">
        <f>IF($C$348="Full",+SUM(Details!J176+Details!J178),+SUM(Base!J176+Base!J178))</f>
        <v>0</v>
      </c>
      <c r="J357" s="1124">
        <f>IF($C$348="Full",+SUM(Details!K176+Details!K178),+SUM(Base!K176+Base!K178))</f>
        <v>0</v>
      </c>
      <c r="K357" s="1124">
        <f>IF($C$348="Full",+SUM(Details!L176+Details!L178),+SUM(Base!L176+Base!L178))</f>
        <v>0</v>
      </c>
      <c r="L357" s="1124">
        <f>IF($C$348="Full",+SUM(Details!M176+Details!M178),+SUM(Base!M176+Base!M178))</f>
        <v>0</v>
      </c>
      <c r="M357" s="1124">
        <f>IF($C$348="Full",+SUM(Details!N176+Details!N178),+SUM(Base!N176+Base!N178))</f>
        <v>0</v>
      </c>
      <c r="N357" s="1124">
        <f>IF($C$348="Full",+SUM(Details!O176+Details!O178),+SUM(Base!O176+Base!O178))</f>
        <v>29500</v>
      </c>
      <c r="O357" s="1124">
        <f>IF($C$348="Full",+SUM(Details!P176+Details!P178),+SUM(Base!P176+Base!P178))</f>
        <v>30900</v>
      </c>
      <c r="P357" s="1124">
        <f>IF($C$348="Full",+SUM(Details!Q176+Details!Q178),+SUM(Base!Q176+Base!Q178))</f>
        <v>32400</v>
      </c>
      <c r="Q357" s="1124">
        <f>IF($C$348="Full",+SUM(Details!R176+Details!R178),+SUM(Base!R176+Base!R178))</f>
        <v>38000</v>
      </c>
      <c r="R357" s="1124">
        <f>IF($C$348="Full",+SUM(Details!S176+Details!S178),+SUM(Base!S176+Base!S178))</f>
        <v>39900</v>
      </c>
      <c r="S357" s="1124">
        <f>IF($C$348="Full",+SUM(Details!T176+Details!T178),+SUM(Base!T176+Base!T178))</f>
        <v>42000</v>
      </c>
      <c r="T357" s="1124">
        <f>IF($C$348="Full",+SUM(Details!U176+Details!U178),+SUM(Base!U176+Base!U178))</f>
        <v>44300</v>
      </c>
      <c r="U357" s="1124">
        <f>IF($C$348="Full",+SUM(Details!V176+Details!V178),+SUM(Base!V176+Base!V178))</f>
        <v>50100</v>
      </c>
      <c r="V357" s="1124">
        <f>IF($C$348="Full",+SUM(Details!W176+Details!W178),+SUM(Base!W176+Base!W178))</f>
        <v>52500</v>
      </c>
      <c r="W357" s="1124">
        <f>IF($C$348="Full",+SUM(Details!X176+Details!X178),+SUM(Base!X176+Base!X178))</f>
        <v>54700</v>
      </c>
      <c r="X357" s="1124">
        <f>IF($C$348="Full",+SUM(Details!Y176+Details!Y178),+SUM(Base!Y176+Base!Y178))</f>
        <v>57000</v>
      </c>
      <c r="Y357" s="1124">
        <f>IF($C$348="Full",+SUM(Details!Z176+Details!Z178),+SUM(Base!Z176+Base!Z178))</f>
        <v>59600</v>
      </c>
      <c r="Z357" s="1180">
        <f>IF($C$348="Full",+SUM(Details!AA176+Details!AA178),+SUM(Base!AA176+Base!AA178))</f>
        <v>62500</v>
      </c>
      <c r="AA357" s="1124">
        <f>IF($C$348="Full",+SUM(Details!AB176+Details!AB178),+SUM(Base!AB176+Base!AB178))</f>
        <v>65300</v>
      </c>
      <c r="AB357" s="1124">
        <f>IF($C$348="Full",+SUM(Details!AC176+Details!AC178),+SUM(Base!AC176+Base!AC178))</f>
        <v>67900</v>
      </c>
      <c r="AC357" s="1124">
        <f>IF($C$348="Full",+SUM(Details!AD176+Details!AD178),+SUM(Base!AD176+Base!AD178))</f>
        <v>70600</v>
      </c>
      <c r="AD357" s="1124">
        <f>IF($C$348="Full",+SUM(Details!AE176+Details!AE178),+SUM(Base!AE176+Base!AE178))</f>
        <v>73400</v>
      </c>
      <c r="AE357" s="1124">
        <f>IF($C$348="Full",+SUM(Details!AF176+Details!AF178),+SUM(Base!AF176+Base!AF178))</f>
        <v>74500</v>
      </c>
      <c r="AF357" s="1124">
        <f>IF($C$348="Full",+SUM(Details!AG176+Details!AG178),+SUM(Base!AG176+Base!AG178))</f>
        <v>66900</v>
      </c>
      <c r="AG357" s="1124">
        <f>IF($C$348="Full",+SUM(Details!AH176+Details!AH178),+SUM(Base!AH176+Base!AH178))</f>
        <v>66600</v>
      </c>
      <c r="AH357" s="1124">
        <f>IF($C$348="Full",+SUM(Details!AI176+Details!AI178),+SUM(Base!AI176+Base!AI178))</f>
        <v>67900</v>
      </c>
      <c r="AI357" s="1124">
        <f>IF($C$348="Full",+SUM(Details!AJ176+Details!AJ178),+SUM(Base!AJ176+Base!AJ178))</f>
        <v>0</v>
      </c>
      <c r="AJ357" s="1124">
        <f>IF($C$348="Full",+SUM(Details!AK176+Details!AK178),+SUM(Base!AK176+Base!AK178))</f>
        <v>0</v>
      </c>
      <c r="AK357" s="1124">
        <f>IF($C$348="Full",+SUM(Details!AL176+Details!AL178),+SUM(Base!AL176+Base!AL178))</f>
        <v>0</v>
      </c>
      <c r="AL357" s="1124">
        <f>IF($C$348="Full",+SUM(Details!AM176+Details!AM178),+SUM(Base!AM176+Base!AM178))</f>
        <v>0</v>
      </c>
      <c r="AM357" s="1124">
        <f>IF($C$348="Full",+SUM(Details!AN176+Details!AN178),+SUM(Base!AN176+Base!AN178))</f>
        <v>0</v>
      </c>
      <c r="AN357" s="1124">
        <f>IF($C$348="Full",+SUM(Details!AO176+Details!AO178),+SUM(Base!AO176+Base!AO178))</f>
        <v>0</v>
      </c>
      <c r="AO357" s="1124">
        <f>IF($C$348="Full",+SUM(Details!AP176+Details!AP178),+SUM(Base!AP176+Base!AP178))</f>
        <v>0</v>
      </c>
      <c r="AP357" s="1124">
        <f>IF($C$348="Full",+SUM(Details!AQ176+Details!AQ178),+SUM(Base!AQ176+Base!AQ178))</f>
        <v>0</v>
      </c>
      <c r="AQ357" s="1124">
        <f>IF($C$348="Full",+SUM(Details!AR176+Details!AR178),+SUM(Base!AR176+Base!AR178))</f>
        <v>0</v>
      </c>
      <c r="AR357" s="1124">
        <f>IF($C$348="Full",+SUM(Details!AS176+Details!AS178),+SUM(Base!AS176+Base!AS178))</f>
        <v>0</v>
      </c>
      <c r="AS357" s="1124"/>
      <c r="AT357" s="1124"/>
      <c r="AU357" s="1124"/>
      <c r="AV357" s="1124"/>
      <c r="AX357" s="1186">
        <f t="shared" si="35"/>
        <v>9</v>
      </c>
      <c r="AY357" s="1186"/>
      <c r="AZ357" s="1186"/>
      <c r="BA357" s="1186">
        <f t="shared" si="37"/>
        <v>7</v>
      </c>
      <c r="BB357" s="876"/>
      <c r="BC357" s="876"/>
      <c r="BD357" s="876"/>
      <c r="BE357" s="876"/>
      <c r="BJ357" s="3"/>
    </row>
    <row r="358" spans="1:62" hidden="1">
      <c r="A358" s="1437" t="s">
        <v>706</v>
      </c>
      <c r="B358" s="234" t="s">
        <v>619</v>
      </c>
      <c r="C358" s="542"/>
      <c r="D358" s="102">
        <f t="shared" si="38"/>
        <v>-100000</v>
      </c>
      <c r="E358" s="1124">
        <f>IF($C$348="Full",+Details!F137,+Base!F137)</f>
        <v>0</v>
      </c>
      <c r="F358" s="1124">
        <f>IF($C$348="Full",+Details!G137,+Base!G137)</f>
        <v>0</v>
      </c>
      <c r="G358" s="1124">
        <f>IF($C$348="Full",+Details!H137,+Base!H137)</f>
        <v>0</v>
      </c>
      <c r="H358" s="1124">
        <f>IF($C$348="Full",+Details!I137,+Base!I137)</f>
        <v>0</v>
      </c>
      <c r="I358" s="1124">
        <f>IF($C$348="Full",+Details!J137,+Base!J137)</f>
        <v>0</v>
      </c>
      <c r="J358" s="1124">
        <f>IF($C$348="Full",+Details!K137,+Base!K137)</f>
        <v>0</v>
      </c>
      <c r="K358" s="1124">
        <f>IF($C$348="Full",+Details!L137,+Base!L137)</f>
        <v>0</v>
      </c>
      <c r="L358" s="1124">
        <f>IF($C$348="Full",+Details!M137,+Base!M137)</f>
        <v>0</v>
      </c>
      <c r="M358" s="1124">
        <f>IF($C$348="Full",+Details!N137,+Base!N137)</f>
        <v>0</v>
      </c>
      <c r="N358" s="1124">
        <f>IF($C$348="Full",+Details!O137,+Base!O137)</f>
        <v>-15000</v>
      </c>
      <c r="O358" s="1124">
        <f>IF($C$348="Full",+Details!P137,+Base!P137)</f>
        <v>-15000</v>
      </c>
      <c r="P358" s="1124">
        <f>IF($C$348="Full",+Details!Q137,+Base!Q137)</f>
        <v>-15000</v>
      </c>
      <c r="Q358" s="1124">
        <f>IF($C$348="Full",+Details!R137,+Base!R137)</f>
        <v>-15000</v>
      </c>
      <c r="R358" s="1124">
        <f>IF($C$348="Full",+Details!S137,+Base!S137)</f>
        <v>-15000</v>
      </c>
      <c r="S358" s="1124">
        <f>IF($C$348="Full",+Details!T137,+Base!T137)</f>
        <v>0</v>
      </c>
      <c r="T358" s="1124">
        <f>IF($C$348="Full",+Details!U137,+Base!U137)</f>
        <v>0</v>
      </c>
      <c r="U358" s="1124">
        <f>IF($C$348="Full",+Details!V137,+Base!V137)</f>
        <v>0</v>
      </c>
      <c r="V358" s="1124">
        <f>IF($C$348="Full",+Details!W137,+Base!W137)</f>
        <v>0</v>
      </c>
      <c r="W358" s="1124">
        <f>IF($C$348="Full",+Details!X137,+Base!X137)</f>
        <v>-5000</v>
      </c>
      <c r="X358" s="1124">
        <f>IF($C$348="Full",+Details!Y137,+Base!Y137)</f>
        <v>-5000</v>
      </c>
      <c r="Y358" s="1124">
        <f>IF($C$348="Full",+Details!Z137,+Base!Z137)</f>
        <v>-5000</v>
      </c>
      <c r="Z358" s="1180">
        <f>IF($C$348="Full",+Details!AA137,+Base!AA137)</f>
        <v>-5000</v>
      </c>
      <c r="AA358" s="1124">
        <f>IF($C$348="Full",+Details!AB137,+Base!AB137)</f>
        <v>-5000</v>
      </c>
      <c r="AB358" s="1124">
        <f>IF($C$348="Full",+Details!AC137,+Base!AC137)</f>
        <v>0</v>
      </c>
      <c r="AC358" s="1124">
        <f>IF($C$348="Full",+Details!AD137,+Base!AD137)</f>
        <v>0</v>
      </c>
      <c r="AD358" s="1124">
        <f>IF($C$348="Full",+Details!AE137,+Base!AE137)</f>
        <v>0</v>
      </c>
      <c r="AE358" s="1124">
        <f>IF($C$348="Full",+Details!AF137,+Base!AF137)</f>
        <v>0</v>
      </c>
      <c r="AF358" s="1124">
        <f>IF($C$348="Full",+Details!AG137,+Base!AG137)</f>
        <v>0</v>
      </c>
      <c r="AG358" s="1124">
        <f>IF($C$348="Full",+Details!AH137,+Base!AH137)</f>
        <v>0</v>
      </c>
      <c r="AH358" s="1124">
        <f>IF($C$348="Full",+Details!AI137,+Base!AI137)</f>
        <v>0</v>
      </c>
      <c r="AI358" s="1124">
        <f>IF($C$348="Full",+Details!AJ137,+Base!AJ137)</f>
        <v>0</v>
      </c>
      <c r="AJ358" s="1124">
        <f>IF($C$348="Full",+Details!AK137,+Base!AK137)</f>
        <v>0</v>
      </c>
      <c r="AK358" s="1124">
        <f>IF($C$348="Full",+Details!AL137,+Base!AL137)</f>
        <v>0</v>
      </c>
      <c r="AL358" s="1124">
        <f>IF($C$348="Full",+Details!AM137,+Base!AM137)</f>
        <v>0</v>
      </c>
      <c r="AM358" s="1124">
        <f>IF($C$348="Full",+Details!AN137,+Base!AN137)</f>
        <v>0</v>
      </c>
      <c r="AN358" s="1124">
        <f>IF($C$348="Full",+Details!AO137,+Base!AO137)</f>
        <v>0</v>
      </c>
      <c r="AO358" s="1124">
        <f>IF($C$348="Full",+Details!AP137,+Base!AP137)</f>
        <v>0</v>
      </c>
      <c r="AP358" s="1124">
        <f>IF($C$348="Full",+Details!AQ137,+Base!AQ137)</f>
        <v>0</v>
      </c>
      <c r="AQ358" s="1124">
        <f>IF($C$348="Full",+Details!AR137,+Base!AR137)</f>
        <v>0</v>
      </c>
      <c r="AR358" s="1124">
        <f>IF($C$348="Full",+Details!AS137,+Base!AS137)</f>
        <v>0</v>
      </c>
      <c r="AS358" s="1124"/>
      <c r="AT358" s="1124"/>
      <c r="AU358" s="1124"/>
      <c r="AV358" s="1124"/>
      <c r="AX358" s="1186">
        <f t="shared" si="35"/>
        <v>10</v>
      </c>
      <c r="AY358" s="1186"/>
      <c r="AZ358" s="1186"/>
      <c r="BA358" s="1186">
        <f t="shared" si="37"/>
        <v>8</v>
      </c>
      <c r="BB358" s="876"/>
      <c r="BC358" s="876"/>
      <c r="BD358" s="876"/>
      <c r="BE358" s="876"/>
      <c r="BJ358" s="3"/>
    </row>
    <row r="359" spans="1:62" hidden="1">
      <c r="A359" s="1437" t="s">
        <v>706</v>
      </c>
      <c r="B359" s="91" t="s">
        <v>1169</v>
      </c>
      <c r="C359" s="542"/>
      <c r="D359" s="102">
        <f t="shared" si="38"/>
        <v>1002700</v>
      </c>
      <c r="E359" s="1124">
        <f>IF($C$348="Full",+Details!F284,+Base!F284)</f>
        <v>60000</v>
      </c>
      <c r="F359" s="1124">
        <f>IF($C$348="Full",+Details!G284,+Base!G284)</f>
        <v>76800</v>
      </c>
      <c r="G359" s="1124">
        <f>IF($C$348="Full",+Details!H284,+Base!H284)</f>
        <v>63600</v>
      </c>
      <c r="H359" s="1124">
        <f>IF($C$348="Full",+Details!I284,+Base!I284)</f>
        <v>65600</v>
      </c>
      <c r="I359" s="1124">
        <f>IF($C$348="Full",+Details!J284,+Base!J284)</f>
        <v>67600</v>
      </c>
      <c r="J359" s="1124">
        <f>IF($C$348="Full",+Details!K284,+Base!K284)</f>
        <v>69800</v>
      </c>
      <c r="K359" s="1124">
        <f>IF($C$348="Full",+Details!L284,+Base!L284)</f>
        <v>72000</v>
      </c>
      <c r="L359" s="1124">
        <f>IF($C$348="Full",+Details!M284,+Base!M284)</f>
        <v>74200</v>
      </c>
      <c r="M359" s="1124">
        <f>IF($C$348="Full",+Details!N284,+Base!N284)</f>
        <v>35800</v>
      </c>
      <c r="N359" s="1124">
        <f>IF($C$348="Full",+Details!O284,+Base!O284)</f>
        <v>21500</v>
      </c>
      <c r="O359" s="1124">
        <f>IF($C$348="Full",+Details!P284,+Base!P284)</f>
        <v>20900</v>
      </c>
      <c r="P359" s="1124">
        <f>IF($C$348="Full",+Details!Q284,+Base!Q284)</f>
        <v>20400</v>
      </c>
      <c r="Q359" s="1124">
        <f>IF($C$348="Full",+Details!R284,+Base!R284)</f>
        <v>20000</v>
      </c>
      <c r="R359" s="1124">
        <f>IF($C$348="Full",+Details!S284,+Base!S284)</f>
        <v>19600</v>
      </c>
      <c r="S359" s="1124">
        <f>IF($C$348="Full",+Details!T284,+Base!T284)</f>
        <v>16300</v>
      </c>
      <c r="T359" s="1124">
        <f>IF($C$348="Full",+Details!U284,+Base!U284)</f>
        <v>20700</v>
      </c>
      <c r="U359" s="1124">
        <f>IF($C$348="Full",+Details!V284,+Base!V284)</f>
        <v>22100</v>
      </c>
      <c r="V359" s="1124">
        <f>IF($C$348="Full",+Details!W284,+Base!W284)</f>
        <v>22600</v>
      </c>
      <c r="W359" s="1124">
        <f>IF($C$348="Full",+Details!X284,+Base!X284)</f>
        <v>19100</v>
      </c>
      <c r="X359" s="1124">
        <f>IF($C$348="Full",+Details!Y284,+Base!Y284)</f>
        <v>18300</v>
      </c>
      <c r="Y359" s="1124">
        <f>IF($C$348="Full",+Details!Z284,+Base!Z284)</f>
        <v>18700</v>
      </c>
      <c r="Z359" s="1180">
        <f>IF($C$348="Full",+Details!AA284,+Base!AA284)</f>
        <v>19100</v>
      </c>
      <c r="AA359" s="1124">
        <f>IF($C$348="Full",+Details!AB284,+Base!AB284)</f>
        <v>19500</v>
      </c>
      <c r="AB359" s="1124">
        <f>IF($C$348="Full",+Details!AC284,+Base!AC284)</f>
        <v>20000</v>
      </c>
      <c r="AC359" s="1124">
        <f>IF($C$348="Full",+Details!AD284,+Base!AD284)</f>
        <v>18500</v>
      </c>
      <c r="AD359" s="1124">
        <f>IF($C$348="Full",+Details!AE284,+Base!AE284)</f>
        <v>19000</v>
      </c>
      <c r="AE359" s="1124">
        <f>IF($C$348="Full",+Details!AF284,+Base!AF284)</f>
        <v>19500</v>
      </c>
      <c r="AF359" s="1124">
        <f>IF($C$348="Full",+Details!AG284,+Base!AG284)</f>
        <v>20000</v>
      </c>
      <c r="AG359" s="1124">
        <f>IF($C$348="Full",+Details!AH284,+Base!AH284)</f>
        <v>20500</v>
      </c>
      <c r="AH359" s="1124">
        <f>IF($C$348="Full",+Details!AI284,+Base!AI284)</f>
        <v>21000</v>
      </c>
      <c r="AI359" s="1124">
        <f>IF($C$348="Full",+Details!AJ284,+Base!AJ284)</f>
        <v>0</v>
      </c>
      <c r="AJ359" s="1124">
        <f>IF($C$348="Full",+Details!AK284,+Base!AK284)</f>
        <v>0</v>
      </c>
      <c r="AK359" s="1124">
        <f>IF($C$348="Full",+Details!AL284,+Base!AL284)</f>
        <v>0</v>
      </c>
      <c r="AL359" s="1124">
        <f>IF($C$348="Full",+Details!AM284,+Base!AM284)</f>
        <v>0</v>
      </c>
      <c r="AM359" s="1124">
        <f>IF($C$348="Full",+Details!AN284,+Base!AN284)</f>
        <v>0</v>
      </c>
      <c r="AN359" s="1124">
        <f>IF($C$348="Full",+Details!AO284,+Base!AO284)</f>
        <v>0</v>
      </c>
      <c r="AO359" s="1124">
        <f>IF($C$348="Full",+Details!AP284,+Base!AP284)</f>
        <v>0</v>
      </c>
      <c r="AP359" s="1124">
        <f>IF($C$348="Full",+Details!AQ284,+Base!AQ284)</f>
        <v>0</v>
      </c>
      <c r="AQ359" s="1124">
        <f>IF($C$348="Full",+Details!AR284,+Base!AR284)</f>
        <v>0</v>
      </c>
      <c r="AR359" s="1124">
        <f>IF($C$348="Full",+Details!AS284,+Base!AS284)</f>
        <v>0</v>
      </c>
      <c r="AS359" s="1124"/>
      <c r="AT359" s="1124"/>
      <c r="AU359" s="1124"/>
      <c r="AV359" s="1124"/>
      <c r="AX359" s="1186">
        <f t="shared" si="35"/>
        <v>11</v>
      </c>
      <c r="AY359" s="1186"/>
      <c r="AZ359" s="1186"/>
      <c r="BA359" s="1186">
        <f t="shared" si="37"/>
        <v>9</v>
      </c>
      <c r="BB359" s="542"/>
      <c r="BC359" s="542"/>
      <c r="BD359" s="542"/>
      <c r="BE359" s="542"/>
      <c r="BJ359" s="3"/>
    </row>
    <row r="360" spans="1:62" hidden="1">
      <c r="A360" s="1437" t="s">
        <v>706</v>
      </c>
      <c r="B360" s="1419" t="s">
        <v>1514</v>
      </c>
      <c r="C360" s="542"/>
      <c r="D360" s="34">
        <f t="shared" si="38"/>
        <v>0</v>
      </c>
      <c r="E360" s="1125">
        <f>IF($C$348="Full",+Details!F181,+Base!F181)</f>
        <v>0</v>
      </c>
      <c r="F360" s="1125">
        <f>IF($C$348="Full",+Details!G181,+Base!G181)</f>
        <v>0</v>
      </c>
      <c r="G360" s="1125">
        <f>IF($C$348="Full",+Details!H181,+Base!H181)</f>
        <v>0</v>
      </c>
      <c r="H360" s="1125">
        <f>IF($C$348="Full",+Details!I181,+Base!I181)</f>
        <v>0</v>
      </c>
      <c r="I360" s="1125">
        <f>IF($C$348="Full",+Details!J181,+Base!J181)</f>
        <v>0</v>
      </c>
      <c r="J360" s="1125">
        <f>IF($C$348="Full",+Details!K181,+Base!K181)</f>
        <v>0</v>
      </c>
      <c r="K360" s="1125">
        <f>IF($C$348="Full",+Details!L181,+Base!L181)</f>
        <v>0</v>
      </c>
      <c r="L360" s="1125">
        <f>IF($C$348="Full",+Details!M181,+Base!M181)</f>
        <v>0</v>
      </c>
      <c r="M360" s="1125">
        <f>IF($C$348="Full",+Details!N181,+Base!N181)</f>
        <v>0</v>
      </c>
      <c r="N360" s="1125">
        <f>IF($C$348="Full",+Details!O181,+Base!O181)</f>
        <v>0</v>
      </c>
      <c r="O360" s="1125">
        <f>IF($C$348="Full",+Details!P181,+Base!P181)</f>
        <v>0</v>
      </c>
      <c r="P360" s="1125">
        <f>IF($C$348="Full",+Details!Q181,+Base!Q181)</f>
        <v>0</v>
      </c>
      <c r="Q360" s="1125">
        <f>IF($C$348="Full",+Details!R181,+Base!R181)</f>
        <v>0</v>
      </c>
      <c r="R360" s="1125">
        <f>IF($C$348="Full",+Details!S181,+Base!S181)</f>
        <v>0</v>
      </c>
      <c r="S360" s="1125">
        <f>IF($C$348="Full",+Details!T181,+Base!T181)</f>
        <v>0</v>
      </c>
      <c r="T360" s="1125">
        <f>IF($C$348="Full",+Details!U181,+Base!U181)</f>
        <v>0</v>
      </c>
      <c r="U360" s="1125">
        <f>IF($C$348="Full",+Details!V181,+Base!V181)</f>
        <v>0</v>
      </c>
      <c r="V360" s="1125">
        <f>IF($C$348="Full",+Details!W181,+Base!W181)</f>
        <v>0</v>
      </c>
      <c r="W360" s="1125">
        <f>IF($C$348="Full",+Details!X181,+Base!X181)</f>
        <v>0</v>
      </c>
      <c r="X360" s="1125">
        <f>IF($C$348="Full",+Details!Y181,+Base!Y181)</f>
        <v>0</v>
      </c>
      <c r="Y360" s="1125">
        <f>IF($C$348="Full",+Details!Z181,+Base!Z181)</f>
        <v>0</v>
      </c>
      <c r="Z360" s="1181">
        <f>IF($C$348="Full",+Details!AA181,+Base!AA181)</f>
        <v>0</v>
      </c>
      <c r="AA360" s="1125">
        <f>IF($C$348="Full",+Details!AB181,+Base!AB181)</f>
        <v>0</v>
      </c>
      <c r="AB360" s="1125">
        <f>IF($C$348="Full",+Details!AC181,+Base!AC181)</f>
        <v>0</v>
      </c>
      <c r="AC360" s="1125">
        <f>IF($C$348="Full",+Details!AD181,+Base!AD181)</f>
        <v>0</v>
      </c>
      <c r="AD360" s="1125">
        <f>IF($C$348="Full",+Details!AE181,+Base!AE181)</f>
        <v>0</v>
      </c>
      <c r="AE360" s="1125">
        <f>IF($C$348="Full",+Details!AF181,+Base!AF181)</f>
        <v>0</v>
      </c>
      <c r="AF360" s="1125">
        <f>IF($C$348="Full",+Details!AG181,+Base!AG181)</f>
        <v>0</v>
      </c>
      <c r="AG360" s="1125">
        <f>IF($C$348="Full",+Details!AH181,+Base!AH181)</f>
        <v>0</v>
      </c>
      <c r="AH360" s="1125">
        <f>IF($C$348="Full",+Details!AI181,+Base!AI181)</f>
        <v>0</v>
      </c>
      <c r="AI360" s="1125">
        <f>IF($C$348="Full",+Details!AJ181,+Base!AJ181)</f>
        <v>0</v>
      </c>
      <c r="AJ360" s="1125">
        <f>IF($C$348="Full",+Details!AK181,+Base!AK181)</f>
        <v>0</v>
      </c>
      <c r="AK360" s="1125">
        <f>IF($C$348="Full",+Details!AL181,+Base!AL181)</f>
        <v>0</v>
      </c>
      <c r="AL360" s="1125">
        <f>IF($C$348="Full",+Details!AM181,+Base!AM181)</f>
        <v>0</v>
      </c>
      <c r="AM360" s="1125">
        <f>IF($C$348="Full",+Details!AN181,+Base!AN181)</f>
        <v>0</v>
      </c>
      <c r="AN360" s="1125">
        <f>IF($C$348="Full",+Details!AO181,+Base!AO181)</f>
        <v>0</v>
      </c>
      <c r="AO360" s="1125">
        <f>IF($C$348="Full",+Details!AP181,+Base!AP181)</f>
        <v>0</v>
      </c>
      <c r="AP360" s="1125">
        <f>IF($C$348="Full",+Details!AQ181,+Base!AQ181)</f>
        <v>0</v>
      </c>
      <c r="AQ360" s="1125">
        <f>IF($C$348="Full",+Details!AR181,+Base!AR181)</f>
        <v>0</v>
      </c>
      <c r="AR360" s="1125">
        <f>IF($C$348="Full",+Details!AS181,+Base!AS181)</f>
        <v>0</v>
      </c>
      <c r="AS360" s="1125"/>
      <c r="AT360" s="1125"/>
      <c r="AU360" s="1125"/>
      <c r="AV360" s="1125"/>
      <c r="AX360" s="1186">
        <f t="shared" si="35"/>
        <v>12</v>
      </c>
      <c r="AY360" s="1186"/>
      <c r="AZ360" s="1186"/>
      <c r="BA360" s="1186">
        <f t="shared" si="37"/>
        <v>10</v>
      </c>
      <c r="BB360" s="542"/>
      <c r="BC360" s="542"/>
      <c r="BD360" s="542"/>
      <c r="BE360" s="542"/>
      <c r="BJ360" s="3"/>
    </row>
    <row r="361" spans="1:62" hidden="1">
      <c r="A361" s="1437" t="s">
        <v>706</v>
      </c>
      <c r="B361" s="415" t="s">
        <v>1170</v>
      </c>
      <c r="C361" s="542"/>
      <c r="D361" s="102">
        <f t="shared" si="38"/>
        <v>2214900</v>
      </c>
      <c r="E361" s="1124">
        <f>+E354+E355+E356+E357+E358+E359+E360</f>
        <v>62700</v>
      </c>
      <c r="F361" s="1124">
        <f t="shared" ref="F361:AQ361" si="39">+F354+F355+F356+F357+F358+F359+F360</f>
        <v>79400</v>
      </c>
      <c r="G361" s="1124">
        <f t="shared" si="39"/>
        <v>66100</v>
      </c>
      <c r="H361" s="1124">
        <f t="shared" si="39"/>
        <v>67900</v>
      </c>
      <c r="I361" s="1124">
        <f t="shared" si="39"/>
        <v>69800</v>
      </c>
      <c r="J361" s="1124">
        <f t="shared" si="39"/>
        <v>71900</v>
      </c>
      <c r="K361" s="1124">
        <f t="shared" si="39"/>
        <v>74300</v>
      </c>
      <c r="L361" s="1124">
        <f t="shared" si="39"/>
        <v>76600</v>
      </c>
      <c r="M361" s="1124">
        <f t="shared" si="39"/>
        <v>38400</v>
      </c>
      <c r="N361" s="1124">
        <f t="shared" si="39"/>
        <v>39000</v>
      </c>
      <c r="O361" s="1124">
        <f t="shared" si="39"/>
        <v>39800</v>
      </c>
      <c r="P361" s="1124">
        <f t="shared" si="39"/>
        <v>41000</v>
      </c>
      <c r="Q361" s="1124">
        <f t="shared" si="39"/>
        <v>46900</v>
      </c>
      <c r="R361" s="1124">
        <f t="shared" si="39"/>
        <v>48900</v>
      </c>
      <c r="S361" s="1124">
        <f t="shared" si="39"/>
        <v>62800</v>
      </c>
      <c r="T361" s="1124">
        <f t="shared" si="39"/>
        <v>70000</v>
      </c>
      <c r="U361" s="1124">
        <f t="shared" si="39"/>
        <v>78500</v>
      </c>
      <c r="V361" s="1124">
        <f t="shared" si="39"/>
        <v>82100</v>
      </c>
      <c r="W361" s="1124">
        <f t="shared" si="39"/>
        <v>73300</v>
      </c>
      <c r="X361" s="1124">
        <f t="shared" si="39"/>
        <v>75000</v>
      </c>
      <c r="Y361" s="1124">
        <f t="shared" si="39"/>
        <v>78300</v>
      </c>
      <c r="Z361" s="1180">
        <f t="shared" si="39"/>
        <v>81900</v>
      </c>
      <c r="AA361" s="1124">
        <f t="shared" si="39"/>
        <v>87500</v>
      </c>
      <c r="AB361" s="1124">
        <f t="shared" si="39"/>
        <v>97200</v>
      </c>
      <c r="AC361" s="1124">
        <f t="shared" si="39"/>
        <v>99300</v>
      </c>
      <c r="AD361" s="1124">
        <f t="shared" si="39"/>
        <v>103200</v>
      </c>
      <c r="AE361" s="1124">
        <f t="shared" si="39"/>
        <v>105100</v>
      </c>
      <c r="AF361" s="1124">
        <f t="shared" si="39"/>
        <v>98300</v>
      </c>
      <c r="AG361" s="1124">
        <f t="shared" si="39"/>
        <v>98800</v>
      </c>
      <c r="AH361" s="1124">
        <f t="shared" si="39"/>
        <v>100900</v>
      </c>
      <c r="AI361" s="1124">
        <f t="shared" si="39"/>
        <v>0</v>
      </c>
      <c r="AJ361" s="1124">
        <f t="shared" si="39"/>
        <v>0</v>
      </c>
      <c r="AK361" s="1124">
        <f t="shared" si="39"/>
        <v>0</v>
      </c>
      <c r="AL361" s="1124">
        <f t="shared" si="39"/>
        <v>0</v>
      </c>
      <c r="AM361" s="1124">
        <f t="shared" si="39"/>
        <v>0</v>
      </c>
      <c r="AN361" s="1124">
        <f t="shared" si="39"/>
        <v>0</v>
      </c>
      <c r="AO361" s="1124">
        <f t="shared" si="39"/>
        <v>0</v>
      </c>
      <c r="AP361" s="1124">
        <f t="shared" si="39"/>
        <v>0</v>
      </c>
      <c r="AQ361" s="1124">
        <f t="shared" si="39"/>
        <v>0</v>
      </c>
      <c r="AR361" s="1124">
        <f>+AR354+AR355+AR356+AR357+AR358+AR359+AR360</f>
        <v>0</v>
      </c>
      <c r="AS361" s="1124"/>
      <c r="AT361" s="1124"/>
      <c r="AU361" s="1124"/>
      <c r="AV361" s="1124"/>
      <c r="AX361" s="1186">
        <f t="shared" si="35"/>
        <v>13</v>
      </c>
      <c r="AY361" s="1186"/>
      <c r="AZ361" s="1186"/>
      <c r="BA361" s="1186">
        <f t="shared" si="37"/>
        <v>11</v>
      </c>
      <c r="BB361" s="876"/>
      <c r="BC361" s="876"/>
      <c r="BD361" s="876"/>
      <c r="BE361" s="876"/>
      <c r="BJ361" s="3"/>
    </row>
    <row r="362" spans="1:62" hidden="1">
      <c r="A362" s="1437" t="s">
        <v>706</v>
      </c>
      <c r="B362" s="415" t="s">
        <v>195</v>
      </c>
      <c r="C362" s="542"/>
      <c r="D362" s="102">
        <f t="shared" si="38"/>
        <v>1516900</v>
      </c>
      <c r="E362" s="1124">
        <f>IF($C$348="Full",+Details!F61,+Base!F61)</f>
        <v>0</v>
      </c>
      <c r="F362" s="1124">
        <f>IF($C$348="Full",+Details!G61,+Base!G61)</f>
        <v>0</v>
      </c>
      <c r="G362" s="1124">
        <f>IF($C$348="Full",+Details!H61,+Base!H61)</f>
        <v>0</v>
      </c>
      <c r="H362" s="1124">
        <f>IF($C$348="Full",+Details!I61,+Base!I61)</f>
        <v>0</v>
      </c>
      <c r="I362" s="1124">
        <f>IF($C$348="Full",+Details!J61,+Base!J61)</f>
        <v>0</v>
      </c>
      <c r="J362" s="1124">
        <f>IF($C$348="Full",+Details!K61,+Base!K61)</f>
        <v>22100</v>
      </c>
      <c r="K362" s="1124">
        <f>IF($C$348="Full",+Details!L61,+Base!L61)</f>
        <v>22500</v>
      </c>
      <c r="L362" s="1124">
        <f>IF($C$348="Full",+Details!M61,+Base!M61)</f>
        <v>23000</v>
      </c>
      <c r="M362" s="1124">
        <f>IF($C$348="Full",+Details!N61,+Base!N61)</f>
        <v>69900</v>
      </c>
      <c r="N362" s="1124">
        <f>IF($C$348="Full",+Details!O61,+Base!O61)</f>
        <v>71300</v>
      </c>
      <c r="O362" s="1124">
        <f>IF($C$348="Full",+Details!P61,+Base!P61)</f>
        <v>72700</v>
      </c>
      <c r="P362" s="1124">
        <f>IF($C$348="Full",+Details!Q61,+Base!Q61)</f>
        <v>74200</v>
      </c>
      <c r="Q362" s="1124">
        <f>IF($C$348="Full",+Details!R61,+Base!R61)</f>
        <v>75700</v>
      </c>
      <c r="R362" s="1124">
        <f>IF($C$348="Full",+Details!S61,+Base!S61)</f>
        <v>77200</v>
      </c>
      <c r="S362" s="1124">
        <f>IF($C$348="Full",+Details!T61,+Base!T61)</f>
        <v>78700</v>
      </c>
      <c r="T362" s="1124">
        <f>IF($C$348="Full",+Details!U61,+Base!U61)</f>
        <v>80200</v>
      </c>
      <c r="U362" s="1124">
        <f>IF($C$348="Full",+Details!V61,+Base!V61)</f>
        <v>63000</v>
      </c>
      <c r="V362" s="1124">
        <f>IF($C$348="Full",+Details!W61,+Base!W61)</f>
        <v>64200</v>
      </c>
      <c r="W362" s="1124">
        <f>IF($C$348="Full",+Details!X61,+Base!X61)</f>
        <v>65500</v>
      </c>
      <c r="X362" s="1124">
        <f>IF($C$348="Full",+Details!Y61,+Base!Y61)</f>
        <v>66800</v>
      </c>
      <c r="Y362" s="1124">
        <f>IF($C$348="Full",+Details!Z61,+Base!Z61)</f>
        <v>68100</v>
      </c>
      <c r="Z362" s="1180">
        <f>IF($C$348="Full",+Details!AA61,+Base!AA61)</f>
        <v>69500</v>
      </c>
      <c r="AA362" s="1124">
        <f>IF($C$348="Full",+Details!AB61,+Base!AB61)</f>
        <v>70900</v>
      </c>
      <c r="AB362" s="1124">
        <f>IF($C$348="Full",+Details!AC61,+Base!AC61)</f>
        <v>72300</v>
      </c>
      <c r="AC362" s="1124">
        <f>IF($C$348="Full",+Details!AD61,+Base!AD61)</f>
        <v>49000</v>
      </c>
      <c r="AD362" s="1124">
        <f>IF($C$348="Full",+Details!AE61,+Base!AE61)</f>
        <v>50000</v>
      </c>
      <c r="AE362" s="1124">
        <f>IF($C$348="Full",+Details!AF61,+Base!AF61)</f>
        <v>51000</v>
      </c>
      <c r="AF362" s="1124">
        <f>IF($C$348="Full",+Details!AG61,+Base!AG61)</f>
        <v>52000</v>
      </c>
      <c r="AG362" s="1124">
        <f>IF($C$348="Full",+Details!AH61,+Base!AH61)</f>
        <v>53000</v>
      </c>
      <c r="AH362" s="1124">
        <f>IF($C$348="Full",+Details!AI61,+Base!AI61)</f>
        <v>54100</v>
      </c>
      <c r="AI362" s="1124">
        <f>IF($C$348="Full",+Details!AJ61,+Base!AJ61)</f>
        <v>0</v>
      </c>
      <c r="AJ362" s="1124">
        <f>IF($C$348="Full",+Details!AK61,+Base!AK61)</f>
        <v>0</v>
      </c>
      <c r="AK362" s="1124">
        <f>IF($C$348="Full",+Details!AL61,+Base!AL61)</f>
        <v>0</v>
      </c>
      <c r="AL362" s="1124">
        <f>IF($C$348="Full",+Details!AM61,+Base!AM61)</f>
        <v>0</v>
      </c>
      <c r="AM362" s="1124">
        <f>IF($C$348="Full",+Details!AN61,+Base!AN61)</f>
        <v>0</v>
      </c>
      <c r="AN362" s="1124">
        <f>IF($C$348="Full",+Details!AO61,+Base!AO61)</f>
        <v>0</v>
      </c>
      <c r="AO362" s="1124">
        <f>IF($C$348="Full",+Details!AP61,+Base!AP61)</f>
        <v>0</v>
      </c>
      <c r="AP362" s="1124">
        <f>IF($C$348="Full",+Details!AQ61,+Base!AQ61)</f>
        <v>0</v>
      </c>
      <c r="AQ362" s="1124">
        <f>IF($C$348="Full",+Details!AR61,+Base!AR61)</f>
        <v>0</v>
      </c>
      <c r="AR362" s="1124">
        <f>IF($C$348="Full",+Details!AS61,+Base!AS61)</f>
        <v>0</v>
      </c>
      <c r="AS362" s="1124"/>
      <c r="AT362" s="1124"/>
      <c r="AU362" s="1124"/>
      <c r="AV362" s="1124"/>
      <c r="AX362" s="1186">
        <f t="shared" si="35"/>
        <v>14</v>
      </c>
      <c r="AY362" s="1186"/>
      <c r="AZ362" s="1186"/>
      <c r="BA362" s="1186">
        <f t="shared" si="37"/>
        <v>12</v>
      </c>
      <c r="BB362" s="876"/>
      <c r="BC362" s="876"/>
      <c r="BD362" s="876"/>
      <c r="BE362" s="876"/>
      <c r="BJ362" s="3"/>
    </row>
    <row r="363" spans="1:62" hidden="1">
      <c r="A363" s="1437" t="s">
        <v>706</v>
      </c>
      <c r="B363" s="415" t="s">
        <v>1171</v>
      </c>
      <c r="C363" s="542"/>
      <c r="D363" s="34">
        <f t="shared" si="38"/>
        <v>1140000</v>
      </c>
      <c r="E363" s="1125">
        <f>IF($C$348="Full",+Details!F183,+Base!F183)</f>
        <v>0</v>
      </c>
      <c r="F363" s="1125">
        <f>IF($C$348="Full",+Details!G183,+Base!G183)</f>
        <v>0</v>
      </c>
      <c r="G363" s="1125">
        <f>IF($C$348="Full",+Details!H183,+Base!H183)</f>
        <v>0</v>
      </c>
      <c r="H363" s="1125">
        <f>IF($C$348="Full",+Details!I183,+Base!I183)</f>
        <v>0</v>
      </c>
      <c r="I363" s="1125">
        <f>IF($C$348="Full",+Details!J183,+Base!J183)</f>
        <v>0</v>
      </c>
      <c r="J363" s="1125">
        <f>IF($C$348="Full",+Details!K183,+Base!K183)</f>
        <v>18800</v>
      </c>
      <c r="K363" s="1125">
        <f>IF($C$348="Full",+Details!L183,+Base!L183)</f>
        <v>19100</v>
      </c>
      <c r="L363" s="1125">
        <f>IF($C$348="Full",+Details!M183,+Base!M183)</f>
        <v>19600</v>
      </c>
      <c r="M363" s="1125">
        <f>IF($C$348="Full",+Details!N183,+Base!N183)</f>
        <v>33400</v>
      </c>
      <c r="N363" s="1125">
        <f>IF($C$348="Full",+Details!O183,+Base!O183)</f>
        <v>34900</v>
      </c>
      <c r="O363" s="1125">
        <f>IF($C$348="Full",+Details!P183,+Base!P183)</f>
        <v>36100</v>
      </c>
      <c r="P363" s="1125">
        <f>IF($C$348="Full",+Details!Q183,+Base!Q183)</f>
        <v>38000</v>
      </c>
      <c r="Q363" s="1125">
        <f>IF($C$348="Full",+Details!R183,+Base!R183)</f>
        <v>44300</v>
      </c>
      <c r="R363" s="1125">
        <f>IF($C$348="Full",+Details!S183,+Base!S183)</f>
        <v>47000</v>
      </c>
      <c r="S363" s="1125">
        <f>IF($C$348="Full",+Details!T183,+Base!T183)</f>
        <v>59600</v>
      </c>
      <c r="T363" s="1125">
        <f>IF($C$348="Full",+Details!U183,+Base!U183)</f>
        <v>66800</v>
      </c>
      <c r="U363" s="1125">
        <f>IF($C$348="Full",+Details!V183,+Base!V183)</f>
        <v>53600</v>
      </c>
      <c r="V363" s="1125">
        <f>IF($C$348="Full",+Details!W183,+Base!W183)</f>
        <v>54600</v>
      </c>
      <c r="W363" s="1125">
        <f>IF($C$348="Full",+Details!X183,+Base!X183)</f>
        <v>55700</v>
      </c>
      <c r="X363" s="1125">
        <f>IF($C$348="Full",+Details!Y183,+Base!Y183)</f>
        <v>56800</v>
      </c>
      <c r="Y363" s="1125">
        <f>IF($C$348="Full",+Details!Z183,+Base!Z183)</f>
        <v>57900</v>
      </c>
      <c r="Z363" s="1181">
        <f>IF($C$348="Full",+Details!AA183,+Base!AA183)</f>
        <v>59100</v>
      </c>
      <c r="AA363" s="1125">
        <f>IF($C$348="Full",+Details!AB183,+Base!AB183)</f>
        <v>60300</v>
      </c>
      <c r="AB363" s="1125">
        <f>IF($C$348="Full",+Details!AC183,+Base!AC183)</f>
        <v>61500</v>
      </c>
      <c r="AC363" s="1125">
        <f>IF($C$348="Full",+Details!AD183,+Base!AD183)</f>
        <v>41700</v>
      </c>
      <c r="AD363" s="1125">
        <f>IF($C$348="Full",+Details!AE183,+Base!AE183)</f>
        <v>42500</v>
      </c>
      <c r="AE363" s="1125">
        <f>IF($C$348="Full",+Details!AF183,+Base!AF183)</f>
        <v>43400</v>
      </c>
      <c r="AF363" s="1125">
        <f>IF($C$348="Full",+Details!AG183,+Base!AG183)</f>
        <v>44200</v>
      </c>
      <c r="AG363" s="1125">
        <f>IF($C$348="Full",+Details!AH183,+Base!AH183)</f>
        <v>45100</v>
      </c>
      <c r="AH363" s="1125">
        <f>IF($C$348="Full",+Details!AI183,+Base!AI183)</f>
        <v>46000</v>
      </c>
      <c r="AI363" s="1125">
        <f>IF($C$348="Full",+Details!AJ183,+Base!AJ183)</f>
        <v>0</v>
      </c>
      <c r="AJ363" s="1125">
        <f>IF($C$348="Full",+Details!AK183,+Base!AK183)</f>
        <v>0</v>
      </c>
      <c r="AK363" s="1125">
        <f>IF($C$348="Full",+Details!AL183,+Base!AL183)</f>
        <v>0</v>
      </c>
      <c r="AL363" s="1125">
        <f>IF($C$348="Full",+Details!AM183,+Base!AM183)</f>
        <v>0</v>
      </c>
      <c r="AM363" s="1125">
        <f>IF($C$348="Full",+Details!AN183,+Base!AN183)</f>
        <v>0</v>
      </c>
      <c r="AN363" s="1125">
        <f>IF($C$348="Full",+Details!AO183,+Base!AO183)</f>
        <v>0</v>
      </c>
      <c r="AO363" s="1125">
        <f>IF($C$348="Full",+Details!AP183,+Base!AP183)</f>
        <v>0</v>
      </c>
      <c r="AP363" s="1125">
        <f>IF($C$348="Full",+Details!AQ183,+Base!AQ183)</f>
        <v>0</v>
      </c>
      <c r="AQ363" s="1125">
        <f>IF($C$348="Full",+Details!AR183,+Base!AR183)</f>
        <v>0</v>
      </c>
      <c r="AR363" s="1125">
        <f>IF($C$348="Full",+Details!AS183,+Base!AS183)</f>
        <v>0</v>
      </c>
      <c r="AS363" s="1125"/>
      <c r="AT363" s="1125"/>
      <c r="AU363" s="1125"/>
      <c r="AV363" s="1125"/>
      <c r="AX363" s="1186">
        <f t="shared" si="35"/>
        <v>15</v>
      </c>
      <c r="AY363" s="1186"/>
      <c r="AZ363" s="1186"/>
      <c r="BA363" s="1186">
        <f t="shared" si="37"/>
        <v>13</v>
      </c>
      <c r="BB363" s="542"/>
      <c r="BC363" s="542"/>
      <c r="BD363" s="542"/>
      <c r="BE363" s="542"/>
      <c r="BJ363" s="3"/>
    </row>
    <row r="364" spans="1:62" ht="15.6" hidden="1">
      <c r="A364" s="1437" t="s">
        <v>706</v>
      </c>
      <c r="B364" s="561" t="s">
        <v>1172</v>
      </c>
      <c r="C364" s="542"/>
      <c r="D364" s="102">
        <f t="shared" si="38"/>
        <v>3354900</v>
      </c>
      <c r="E364" s="1124">
        <f>+E361+E363</f>
        <v>62700</v>
      </c>
      <c r="F364" s="1124">
        <f t="shared" ref="F364:AQ364" si="40">+F361+F363</f>
        <v>79400</v>
      </c>
      <c r="G364" s="1124">
        <f t="shared" si="40"/>
        <v>66100</v>
      </c>
      <c r="H364" s="1124">
        <f t="shared" si="40"/>
        <v>67900</v>
      </c>
      <c r="I364" s="1124">
        <f t="shared" si="40"/>
        <v>69800</v>
      </c>
      <c r="J364" s="1124">
        <f t="shared" si="40"/>
        <v>90700</v>
      </c>
      <c r="K364" s="1124">
        <f t="shared" si="40"/>
        <v>93400</v>
      </c>
      <c r="L364" s="1124">
        <f t="shared" si="40"/>
        <v>96200</v>
      </c>
      <c r="M364" s="1124">
        <f t="shared" si="40"/>
        <v>71800</v>
      </c>
      <c r="N364" s="1124">
        <f t="shared" si="40"/>
        <v>73900</v>
      </c>
      <c r="O364" s="1124">
        <f t="shared" si="40"/>
        <v>75900</v>
      </c>
      <c r="P364" s="1124">
        <f t="shared" si="40"/>
        <v>79000</v>
      </c>
      <c r="Q364" s="1124">
        <f t="shared" si="40"/>
        <v>91200</v>
      </c>
      <c r="R364" s="1124">
        <f t="shared" si="40"/>
        <v>95900</v>
      </c>
      <c r="S364" s="1124">
        <f t="shared" si="40"/>
        <v>122400</v>
      </c>
      <c r="T364" s="1124">
        <f t="shared" si="40"/>
        <v>136800</v>
      </c>
      <c r="U364" s="1124">
        <f t="shared" si="40"/>
        <v>132100</v>
      </c>
      <c r="V364" s="1124">
        <f t="shared" si="40"/>
        <v>136700</v>
      </c>
      <c r="W364" s="1124">
        <f t="shared" si="40"/>
        <v>129000</v>
      </c>
      <c r="X364" s="1124">
        <f t="shared" si="40"/>
        <v>131800</v>
      </c>
      <c r="Y364" s="1124">
        <f t="shared" si="40"/>
        <v>136200</v>
      </c>
      <c r="Z364" s="1180">
        <f t="shared" si="40"/>
        <v>141000</v>
      </c>
      <c r="AA364" s="1124">
        <f t="shared" si="40"/>
        <v>147800</v>
      </c>
      <c r="AB364" s="1124">
        <f t="shared" si="40"/>
        <v>158700</v>
      </c>
      <c r="AC364" s="1124">
        <f t="shared" si="40"/>
        <v>141000</v>
      </c>
      <c r="AD364" s="1124">
        <f t="shared" si="40"/>
        <v>145700</v>
      </c>
      <c r="AE364" s="1124">
        <f t="shared" si="40"/>
        <v>148500</v>
      </c>
      <c r="AF364" s="1124">
        <f t="shared" si="40"/>
        <v>142500</v>
      </c>
      <c r="AG364" s="1124">
        <f t="shared" si="40"/>
        <v>143900</v>
      </c>
      <c r="AH364" s="1124">
        <f t="shared" si="40"/>
        <v>146900</v>
      </c>
      <c r="AI364" s="1124">
        <f t="shared" si="40"/>
        <v>0</v>
      </c>
      <c r="AJ364" s="1124">
        <f t="shared" si="40"/>
        <v>0</v>
      </c>
      <c r="AK364" s="1124">
        <f t="shared" si="40"/>
        <v>0</v>
      </c>
      <c r="AL364" s="1124">
        <f t="shared" si="40"/>
        <v>0</v>
      </c>
      <c r="AM364" s="1124">
        <f t="shared" si="40"/>
        <v>0</v>
      </c>
      <c r="AN364" s="1124">
        <f t="shared" si="40"/>
        <v>0</v>
      </c>
      <c r="AO364" s="1124">
        <f t="shared" si="40"/>
        <v>0</v>
      </c>
      <c r="AP364" s="1124">
        <f t="shared" si="40"/>
        <v>0</v>
      </c>
      <c r="AQ364" s="1124">
        <f t="shared" si="40"/>
        <v>0</v>
      </c>
      <c r="AR364" s="1124">
        <f>+AR361+AR363</f>
        <v>0</v>
      </c>
      <c r="AS364" s="1124"/>
      <c r="AT364" s="1124"/>
      <c r="AU364" s="1124"/>
      <c r="AV364" s="1124"/>
      <c r="AX364" s="1186">
        <f t="shared" si="35"/>
        <v>16</v>
      </c>
      <c r="AY364" s="1186"/>
      <c r="AZ364" s="1186"/>
      <c r="BA364" s="1186">
        <f t="shared" si="37"/>
        <v>14</v>
      </c>
      <c r="BB364" s="876"/>
      <c r="BC364" s="876"/>
      <c r="BD364" s="876"/>
      <c r="BE364" s="876"/>
      <c r="BJ364" s="3"/>
    </row>
    <row r="365" spans="1:62" hidden="1">
      <c r="A365" s="1437" t="s">
        <v>706</v>
      </c>
      <c r="B365" s="150" t="s">
        <v>1771</v>
      </c>
      <c r="C365" s="543"/>
      <c r="D365" s="102">
        <f t="shared" si="38"/>
        <v>-991200</v>
      </c>
      <c r="E365" s="1147">
        <f>IF($C$348="Full",+Details!F189,+Base!F189)</f>
        <v>-25000</v>
      </c>
      <c r="F365" s="1147">
        <f>IF($C$348="Full",+Details!G189,+Base!G189)</f>
        <v>-26300</v>
      </c>
      <c r="G365" s="1147">
        <f>IF($C$348="Full",+Details!H189,+Base!H189)</f>
        <v>-27600</v>
      </c>
      <c r="H365" s="1147">
        <f>IF($C$348="Full",+Details!I189,+Base!I189)</f>
        <v>-29000</v>
      </c>
      <c r="I365" s="1147">
        <f>IF($C$348="Full",+Details!J189,+Base!J189)</f>
        <v>-30400</v>
      </c>
      <c r="J365" s="1147">
        <f>IF($C$348="Full",+Details!K189,+Base!K189)</f>
        <v>-31900</v>
      </c>
      <c r="K365" s="1147">
        <f>IF($C$348="Full",+Details!L189,+Base!L189)</f>
        <v>-33500</v>
      </c>
      <c r="L365" s="1147">
        <f>IF($C$348="Full",+Details!M189,+Base!M189)</f>
        <v>-31400</v>
      </c>
      <c r="M365" s="1147">
        <f>IF($C$348="Full",+Details!N189,+Base!N189)</f>
        <v>-32100</v>
      </c>
      <c r="N365" s="1147">
        <f>IF($C$348="Full",+Details!O189,+Base!O189)</f>
        <v>-32800</v>
      </c>
      <c r="O365" s="1147">
        <f>IF($C$348="Full",+Details!P189,+Base!P189)</f>
        <v>-33500</v>
      </c>
      <c r="P365" s="1147">
        <f>IF($C$348="Full",+Details!Q189,+Base!Q189)</f>
        <v>-34300</v>
      </c>
      <c r="Q365" s="1147">
        <f>IF($C$348="Full",+Details!R189,+Base!R189)</f>
        <v>-35100</v>
      </c>
      <c r="R365" s="1147">
        <f>IF($C$348="Full",+Details!S189,+Base!S189)</f>
        <v>-35900</v>
      </c>
      <c r="S365" s="1147">
        <f>IF($C$348="Full",+Details!T189,+Base!T189)</f>
        <v>-36600</v>
      </c>
      <c r="T365" s="1147">
        <f>IF($C$348="Full",+Details!U189,+Base!U189)</f>
        <v>-37400</v>
      </c>
      <c r="U365" s="1147">
        <f>IF($C$348="Full",+Details!V189,+Base!V189)</f>
        <v>-38200</v>
      </c>
      <c r="V365" s="1147">
        <f>IF($C$348="Full",+Details!W189,+Base!W189)</f>
        <v>-39100</v>
      </c>
      <c r="W365" s="1147">
        <f>IF($C$348="Full",+Details!X189,+Base!X189)</f>
        <v>-39900</v>
      </c>
      <c r="X365" s="1147">
        <f>IF($C$348="Full",+Details!Y189,+Base!Y189)</f>
        <v>-40800</v>
      </c>
      <c r="Y365" s="1147">
        <f>IF($C$348="Full",+Details!Z189,+Base!Z189)</f>
        <v>-41700</v>
      </c>
      <c r="Z365" s="1451">
        <f>IF($C$348="Full",+Details!AA189,+Base!AA189)</f>
        <v>-42600</v>
      </c>
      <c r="AA365" s="1147">
        <f>IF($C$348="Full",+Details!AB189,+Base!AB189)</f>
        <v>-43500</v>
      </c>
      <c r="AB365" s="1147">
        <f>IF($C$348="Full",+Details!AC189,+Base!AC189)</f>
        <v>-44500</v>
      </c>
      <c r="AC365" s="1147">
        <f>IF($C$348="Full",+Details!AD189,+Base!AD189)</f>
        <v>-23400</v>
      </c>
      <c r="AD365" s="1147">
        <f>IF($C$348="Full",+Details!AE189,+Base!AE189)</f>
        <v>-23900</v>
      </c>
      <c r="AE365" s="1147">
        <f>IF($C$348="Full",+Details!AF189,+Base!AF189)</f>
        <v>-24400</v>
      </c>
      <c r="AF365" s="1147">
        <f>IF($C$348="Full",+Details!AG189,+Base!AG189)</f>
        <v>-24900</v>
      </c>
      <c r="AG365" s="1147">
        <f>IF($C$348="Full",+Details!AH189,+Base!AH189)</f>
        <v>-25500</v>
      </c>
      <c r="AH365" s="1147">
        <f>IF($C$348="Full",+Details!AI189,+Base!AI189)</f>
        <v>-26000</v>
      </c>
      <c r="AI365" s="1147">
        <f>IF($C$348="Full",+Details!AJ189,+Base!AJ189)</f>
        <v>0</v>
      </c>
      <c r="AJ365" s="1147">
        <f>IF($C$348="Full",+Details!AK189,+Base!AK189)</f>
        <v>0</v>
      </c>
      <c r="AK365" s="1147">
        <f>IF($C$348="Full",+Details!AL189,+Base!AL189)</f>
        <v>0</v>
      </c>
      <c r="AL365" s="1147">
        <f>IF($C$348="Full",+Details!AM189,+Base!AM189)</f>
        <v>0</v>
      </c>
      <c r="AM365" s="1147">
        <f>IF($C$348="Full",+Details!AN189,+Base!AN189)</f>
        <v>0</v>
      </c>
      <c r="AN365" s="1147">
        <f>IF($C$348="Full",+Details!AO189,+Base!AO189)</f>
        <v>0</v>
      </c>
      <c r="AO365" s="1147">
        <f>IF($C$348="Full",+Details!AP189,+Base!AP189)</f>
        <v>0</v>
      </c>
      <c r="AP365" s="1147">
        <f>IF($C$348="Full",+Details!AQ189,+Base!AQ189)</f>
        <v>0</v>
      </c>
      <c r="AQ365" s="1147">
        <f>IF($C$348="Full",+Details!AR189,+Base!AR189)</f>
        <v>0</v>
      </c>
      <c r="AR365" s="1147">
        <f>IF($C$348="Full",+Details!AS189,+Base!AS189)</f>
        <v>0</v>
      </c>
      <c r="AS365" s="1147"/>
      <c r="AT365" s="1147"/>
      <c r="AU365" s="1147"/>
      <c r="AV365" s="1147"/>
      <c r="AX365" s="1186">
        <f t="shared" si="35"/>
        <v>17</v>
      </c>
      <c r="AY365" s="1186"/>
      <c r="AZ365" s="1186"/>
      <c r="BA365" s="1186">
        <f t="shared" si="37"/>
        <v>15</v>
      </c>
      <c r="BB365" s="542"/>
      <c r="BC365" s="542"/>
      <c r="BD365" s="542"/>
      <c r="BE365" s="542"/>
      <c r="BJ365" s="3"/>
    </row>
    <row r="366" spans="1:62" hidden="1">
      <c r="A366" s="1437" t="s">
        <v>706</v>
      </c>
      <c r="B366" s="1419" t="s">
        <v>2037</v>
      </c>
      <c r="D366" s="34">
        <f t="shared" si="38"/>
        <v>-249400</v>
      </c>
      <c r="E366" s="1125">
        <f>IF($C$348="Full",+Details!F192,+Base!F192)</f>
        <v>-2000</v>
      </c>
      <c r="F366" s="1125">
        <f>IF($C$348="Full",+Details!G192,+Base!G192)</f>
        <v>-2000</v>
      </c>
      <c r="G366" s="1125">
        <f>IF($C$348="Full",+Details!H192,+Base!H192)</f>
        <v>-1900</v>
      </c>
      <c r="H366" s="1125">
        <f>IF($C$348="Full",+Details!I192,+Base!I192)</f>
        <v>-1700</v>
      </c>
      <c r="I366" s="1125">
        <f>IF($C$348="Full",+Details!J192,+Base!J192)</f>
        <v>-1600</v>
      </c>
      <c r="J366" s="1125">
        <f>IF($C$348="Full",+Details!K192,+Base!K192)</f>
        <v>-1600</v>
      </c>
      <c r="K366" s="1125">
        <f>IF($C$348="Full",+Details!L192,+Base!L192)</f>
        <v>-1700</v>
      </c>
      <c r="L366" s="1125">
        <f>IF($C$348="Full",+Details!M192,+Base!M192)</f>
        <v>-1800</v>
      </c>
      <c r="M366" s="1125">
        <f>IF($C$348="Full",+Details!N192,+Base!N192)</f>
        <v>-2000</v>
      </c>
      <c r="N366" s="1125">
        <f>IF($C$348="Full",+Details!O192,+Base!O192)</f>
        <v>-2300</v>
      </c>
      <c r="O366" s="1125">
        <f>IF($C$348="Full",+Details!P192,+Base!P192)</f>
        <v>-2300</v>
      </c>
      <c r="P366" s="1125">
        <f>IF($C$348="Full",+Details!Q192,+Base!Q192)</f>
        <v>-2400</v>
      </c>
      <c r="Q366" s="1125">
        <f>IF($C$348="Full",+Details!R192,+Base!R192)</f>
        <v>-2900</v>
      </c>
      <c r="R366" s="1125">
        <f>IF($C$348="Full",+Details!S192,+Base!S192)</f>
        <v>-3300</v>
      </c>
      <c r="S366" s="1125">
        <f>IF($C$348="Full",+Details!T192,+Base!T192)</f>
        <v>-3400</v>
      </c>
      <c r="T366" s="1125">
        <f>IF($C$348="Full",+Details!U192,+Base!U192)</f>
        <v>-3800</v>
      </c>
      <c r="U366" s="1125">
        <f>IF($C$348="Full",+Details!V192,+Base!V192)</f>
        <v>-4700</v>
      </c>
      <c r="V366" s="1125">
        <f>IF($C$348="Full",+Details!W192,+Base!W192)</f>
        <v>-5300</v>
      </c>
      <c r="W366" s="1125">
        <f>IF($C$348="Full",+Details!X192,+Base!X192)</f>
        <v>-3400</v>
      </c>
      <c r="X366" s="1125">
        <f>IF($C$348="Full",+Details!Y192,+Base!Y192)</f>
        <v>-3500</v>
      </c>
      <c r="Y366" s="1125">
        <f>IF($C$348="Full",+Details!Z192,+Base!Z192)</f>
        <v>-3800</v>
      </c>
      <c r="Z366" s="1125">
        <f>IF($C$348="Full",+Details!AA192,+Base!AA192)</f>
        <v>-4000</v>
      </c>
      <c r="AA366" s="1125">
        <f>IF($C$348="Full",+Details!AB192,+Base!AB192)</f>
        <v>-5800</v>
      </c>
      <c r="AB366" s="1125">
        <f>IF($C$348="Full",+Details!AC192,+Base!AC192)</f>
        <v>-7000</v>
      </c>
      <c r="AC366" s="1125">
        <f>IF($C$348="Full",+Details!AD192,+Base!AD192)</f>
        <v>-7700</v>
      </c>
      <c r="AD366" s="1125">
        <f>IF($C$348="Full",+Details!AE192,+Base!AE192)</f>
        <v>-8100</v>
      </c>
      <c r="AE366" s="1125">
        <f>IF($C$348="Full",+Details!AF192,+Base!AF192)</f>
        <v>-8300</v>
      </c>
      <c r="AF366" s="1125">
        <f>IF($C$348="Full",+Details!AG192,+Base!AG192)</f>
        <v>-8600</v>
      </c>
      <c r="AG366" s="1125">
        <f>IF($C$348="Full",+Details!AH192,+Base!AH192)</f>
        <v>-8800</v>
      </c>
      <c r="AH366" s="1125">
        <f>IF($C$348="Full",+Details!AI192,+Base!AI192)</f>
        <v>-9000</v>
      </c>
      <c r="AI366" s="1125">
        <f>IF($C$348="Full",+Details!AJ192,+Base!AJ192)</f>
        <v>0</v>
      </c>
      <c r="AJ366" s="1125">
        <f>IF($C$348="Full",+Details!AK192,+Base!AK192)</f>
        <v>0</v>
      </c>
      <c r="AK366" s="1125">
        <f>IF($C$348="Full",+Details!AL192,+Base!AL192)</f>
        <v>0</v>
      </c>
      <c r="AL366" s="1125">
        <f>IF($C$348="Full",+Details!AM192,+Base!AM192)</f>
        <v>0</v>
      </c>
      <c r="AM366" s="1125">
        <f>IF($C$348="Full",+Details!AN192,+Base!AN192)</f>
        <v>0</v>
      </c>
      <c r="AN366" s="1125">
        <f>IF($C$348="Full",+Details!AO192,+Base!AO192)</f>
        <v>0</v>
      </c>
      <c r="AO366" s="1125">
        <f>IF($C$348="Full",+Details!AP192,+Base!AP192)</f>
        <v>0</v>
      </c>
      <c r="AP366" s="1125">
        <f>IF($C$348="Full",+Details!AQ192,+Base!AQ192)</f>
        <v>0</v>
      </c>
      <c r="AQ366" s="1125">
        <f>IF($C$348="Full",+Details!AR192,+Base!AR192)</f>
        <v>0</v>
      </c>
      <c r="AR366" s="1125">
        <f>IF($C$348="Full",+Details!AS192,+Base!AS192)</f>
        <v>0</v>
      </c>
      <c r="AS366" s="1125">
        <f>IF($C$348="Full",+Details!AT192,+Base!AT192)</f>
        <v>0</v>
      </c>
      <c r="AT366" s="1125">
        <f>IF($C$348="Full",+Details!AU192,+Base!AU192)</f>
        <v>-124700</v>
      </c>
      <c r="AU366" s="1125">
        <f>IF($C$348="Full",+Details!AV192,+Base!AV192)</f>
        <v>0</v>
      </c>
      <c r="AV366" s="1125">
        <f>IF($C$348="Full",+Details!AW192,+Base!AW192)</f>
        <v>0</v>
      </c>
      <c r="AX366" s="1186">
        <f t="shared" si="35"/>
        <v>18</v>
      </c>
      <c r="AY366" s="1186"/>
      <c r="AZ366" s="1186"/>
      <c r="BA366" s="1186">
        <f t="shared" si="37"/>
        <v>16</v>
      </c>
      <c r="BB366" s="876"/>
      <c r="BC366" s="876"/>
      <c r="BD366" s="876"/>
      <c r="BE366" s="876"/>
      <c r="BJ366" s="3"/>
    </row>
    <row r="367" spans="1:62" ht="19.95" hidden="1" customHeight="1">
      <c r="A367" s="1437" t="s">
        <v>706</v>
      </c>
      <c r="B367" s="313" t="s">
        <v>2147</v>
      </c>
      <c r="C367" s="1"/>
      <c r="D367" s="102">
        <f t="shared" ref="D367:D372" si="41">SUM(E367:AV367)</f>
        <v>2114300</v>
      </c>
      <c r="E367" s="1124">
        <f>+E364+E365+E366</f>
        <v>35700</v>
      </c>
      <c r="F367" s="1124">
        <f t="shared" ref="F367:AV367" si="42">+F364+F365+F366</f>
        <v>51100</v>
      </c>
      <c r="G367" s="1124">
        <f t="shared" si="42"/>
        <v>36600</v>
      </c>
      <c r="H367" s="1124">
        <f t="shared" si="42"/>
        <v>37200</v>
      </c>
      <c r="I367" s="1124">
        <f t="shared" si="42"/>
        <v>37800</v>
      </c>
      <c r="J367" s="1124">
        <f t="shared" si="42"/>
        <v>57200</v>
      </c>
      <c r="K367" s="1124">
        <f t="shared" si="42"/>
        <v>58200</v>
      </c>
      <c r="L367" s="1124">
        <f t="shared" si="42"/>
        <v>63000</v>
      </c>
      <c r="M367" s="1124">
        <f t="shared" si="42"/>
        <v>37700</v>
      </c>
      <c r="N367" s="1124">
        <f t="shared" si="42"/>
        <v>38800</v>
      </c>
      <c r="O367" s="1124">
        <f t="shared" si="42"/>
        <v>40100</v>
      </c>
      <c r="P367" s="1124">
        <f t="shared" si="42"/>
        <v>42300</v>
      </c>
      <c r="Q367" s="1124">
        <f t="shared" si="42"/>
        <v>53200</v>
      </c>
      <c r="R367" s="1124">
        <f t="shared" si="42"/>
        <v>56700</v>
      </c>
      <c r="S367" s="1124">
        <f t="shared" si="42"/>
        <v>82400</v>
      </c>
      <c r="T367" s="1124">
        <f t="shared" si="42"/>
        <v>95600</v>
      </c>
      <c r="U367" s="1124">
        <f t="shared" si="42"/>
        <v>89200</v>
      </c>
      <c r="V367" s="1124">
        <f t="shared" si="42"/>
        <v>92300</v>
      </c>
      <c r="W367" s="1124">
        <f t="shared" si="42"/>
        <v>85700</v>
      </c>
      <c r="X367" s="1124">
        <f t="shared" si="42"/>
        <v>87500</v>
      </c>
      <c r="Y367" s="1124">
        <f t="shared" si="42"/>
        <v>90700</v>
      </c>
      <c r="Z367" s="1124">
        <f t="shared" si="42"/>
        <v>94400</v>
      </c>
      <c r="AA367" s="1124">
        <f t="shared" si="42"/>
        <v>98500</v>
      </c>
      <c r="AB367" s="1124">
        <f t="shared" si="42"/>
        <v>107200</v>
      </c>
      <c r="AC367" s="1124">
        <f t="shared" si="42"/>
        <v>109900</v>
      </c>
      <c r="AD367" s="1124">
        <f t="shared" si="42"/>
        <v>113700</v>
      </c>
      <c r="AE367" s="1124">
        <f t="shared" si="42"/>
        <v>115800</v>
      </c>
      <c r="AF367" s="1124">
        <f t="shared" si="42"/>
        <v>109000</v>
      </c>
      <c r="AG367" s="1124">
        <f t="shared" si="42"/>
        <v>109600</v>
      </c>
      <c r="AH367" s="1124">
        <f t="shared" si="42"/>
        <v>111900</v>
      </c>
      <c r="AI367" s="1124">
        <f t="shared" si="42"/>
        <v>0</v>
      </c>
      <c r="AJ367" s="1124">
        <f t="shared" si="42"/>
        <v>0</v>
      </c>
      <c r="AK367" s="1124">
        <f t="shared" si="42"/>
        <v>0</v>
      </c>
      <c r="AL367" s="1124">
        <f t="shared" si="42"/>
        <v>0</v>
      </c>
      <c r="AM367" s="1124">
        <f t="shared" si="42"/>
        <v>0</v>
      </c>
      <c r="AN367" s="1124">
        <f t="shared" si="42"/>
        <v>0</v>
      </c>
      <c r="AO367" s="1124">
        <f t="shared" si="42"/>
        <v>0</v>
      </c>
      <c r="AP367" s="1124">
        <f t="shared" si="42"/>
        <v>0</v>
      </c>
      <c r="AQ367" s="1124">
        <f t="shared" si="42"/>
        <v>0</v>
      </c>
      <c r="AR367" s="1124">
        <f t="shared" si="42"/>
        <v>0</v>
      </c>
      <c r="AS367" s="1124">
        <f t="shared" si="42"/>
        <v>0</v>
      </c>
      <c r="AT367" s="1124">
        <f t="shared" si="42"/>
        <v>-124700</v>
      </c>
      <c r="AU367" s="1124">
        <f t="shared" si="42"/>
        <v>0</v>
      </c>
      <c r="AV367" s="1124">
        <f t="shared" si="42"/>
        <v>0</v>
      </c>
      <c r="AX367" s="1186">
        <f t="shared" ref="AX367:AX379" si="43">+AX366+1</f>
        <v>19</v>
      </c>
      <c r="AY367" s="1186"/>
      <c r="AZ367" s="1186"/>
      <c r="BA367" s="1186">
        <f t="shared" ref="BA367:BA379" si="44">+BA366+1</f>
        <v>17</v>
      </c>
      <c r="BB367" s="876"/>
      <c r="BC367" s="876"/>
      <c r="BD367" s="876"/>
      <c r="BE367" s="876"/>
      <c r="BJ367" s="3"/>
    </row>
    <row r="368" spans="1:62" hidden="1">
      <c r="A368" s="1437" t="s">
        <v>706</v>
      </c>
      <c r="B368" s="150" t="s">
        <v>1173</v>
      </c>
      <c r="C368" s="1"/>
      <c r="D368" s="102">
        <f t="shared" si="41"/>
        <v>4775000</v>
      </c>
      <c r="E368" s="1124">
        <f>IF($C$348="Full",+Details!F71,+Base!F71)</f>
        <v>78900</v>
      </c>
      <c r="F368" s="1124">
        <f>IF($C$348="Full",+Details!G71,+Base!G71)</f>
        <v>95100</v>
      </c>
      <c r="G368" s="1124">
        <f>IF($C$348="Full",+Details!H71,+Base!H71)</f>
        <v>81200</v>
      </c>
      <c r="H368" s="1124">
        <f>IF($C$348="Full",+Details!I71,+Base!I71)</f>
        <v>82200</v>
      </c>
      <c r="I368" s="1124">
        <f>IF($C$348="Full",+Details!J71,+Base!J71)</f>
        <v>83100</v>
      </c>
      <c r="J368" s="1124">
        <f>IF($C$348="Full",+Details!K71,+Base!K71)</f>
        <v>106600</v>
      </c>
      <c r="K368" s="1124">
        <f>IF($C$348="Full",+Details!L71,+Base!L71)</f>
        <v>108900</v>
      </c>
      <c r="L368" s="1124">
        <f>IF($C$348="Full",+Details!M71,+Base!M71)</f>
        <v>111400</v>
      </c>
      <c r="M368" s="1124">
        <f>IF($C$348="Full",+Details!N71,+Base!N71)</f>
        <v>161600</v>
      </c>
      <c r="N368" s="1124">
        <f>IF($C$348="Full",+Details!O71,+Base!O71)</f>
        <v>152900</v>
      </c>
      <c r="O368" s="1124">
        <f>IF($C$348="Full",+Details!P71,+Base!P71)</f>
        <v>155300</v>
      </c>
      <c r="P368" s="1124">
        <f>IF($C$348="Full",+Details!Q71,+Base!Q71)</f>
        <v>158800</v>
      </c>
      <c r="Q368" s="1124">
        <f>IF($C$348="Full",+Details!R71,+Base!R71)</f>
        <v>167400</v>
      </c>
      <c r="R368" s="1124">
        <f>IF($C$348="Full",+Details!S71,+Base!S71)</f>
        <v>171700</v>
      </c>
      <c r="S368" s="1124">
        <f>IF($C$348="Full",+Details!T71,+Base!T71)</f>
        <v>183800</v>
      </c>
      <c r="T368" s="1124">
        <f>IF($C$348="Full",+Details!U71,+Base!U71)</f>
        <v>189100</v>
      </c>
      <c r="U368" s="1124">
        <f>IF($C$348="Full",+Details!V71,+Base!V71)</f>
        <v>180300</v>
      </c>
      <c r="V368" s="1124">
        <f>IF($C$348="Full",+Details!W71,+Base!W71)</f>
        <v>185500</v>
      </c>
      <c r="W368" s="1124">
        <f>IF($C$348="Full",+Details!X71,+Base!X71)</f>
        <v>176500</v>
      </c>
      <c r="X368" s="1124">
        <f>IF($C$348="Full",+Details!Y71,+Base!Y71)</f>
        <v>179800</v>
      </c>
      <c r="Y368" s="1124">
        <f>IF($C$348="Full",+Details!Z71,+Base!Z71)</f>
        <v>183400</v>
      </c>
      <c r="Z368" s="1180">
        <f>IF($C$348="Full",+Details!AA71,+Base!AA71)</f>
        <v>186800</v>
      </c>
      <c r="AA368" s="1124">
        <f>IF($C$348="Full",+Details!AB71,+Base!AB71)</f>
        <v>198400</v>
      </c>
      <c r="AB368" s="1124">
        <f>IF($C$348="Full",+Details!AC71,+Base!AC71)</f>
        <v>210500</v>
      </c>
      <c r="AC368" s="1124">
        <f>IF($C$348="Full",+Details!AD71,+Base!AD71)</f>
        <v>189400</v>
      </c>
      <c r="AD368" s="1124">
        <f>IF($C$348="Full",+Details!AE71,+Base!AE71)</f>
        <v>194200</v>
      </c>
      <c r="AE368" s="1124">
        <f>IF($C$348="Full",+Details!AF71,+Base!AF71)</f>
        <v>196400</v>
      </c>
      <c r="AF368" s="1124">
        <f>IF($C$348="Full",+Details!AG71,+Base!AG71)</f>
        <v>199100</v>
      </c>
      <c r="AG368" s="1124">
        <f>IF($C$348="Full",+Details!AH71,+Base!AH71)</f>
        <v>202000</v>
      </c>
      <c r="AH368" s="1124">
        <f>IF($C$348="Full",+Details!AI71,+Base!AI71)</f>
        <v>204700</v>
      </c>
      <c r="AI368" s="1124">
        <f>IF($C$348="Full",+Details!AJ71,+Base!AJ71)</f>
        <v>0</v>
      </c>
      <c r="AJ368" s="1124">
        <f>IF($C$348="Full",+Details!AK71,+Base!AK71)</f>
        <v>0</v>
      </c>
      <c r="AK368" s="1124">
        <f>IF($C$348="Full",+Details!AL71,+Base!AL71)</f>
        <v>0</v>
      </c>
      <c r="AL368" s="1124">
        <f>IF($C$348="Full",+Details!AM71,+Base!AM71)</f>
        <v>0</v>
      </c>
      <c r="AM368" s="1124">
        <f>IF($C$348="Full",+Details!AN71,+Base!AN71)</f>
        <v>0</v>
      </c>
      <c r="AN368" s="1124">
        <f>IF($C$348="Full",+Details!AO71,+Base!AO71)</f>
        <v>0</v>
      </c>
      <c r="AO368" s="1124">
        <f>IF($C$348="Full",+Details!AP71,+Base!AP71)</f>
        <v>0</v>
      </c>
      <c r="AP368" s="1124">
        <f>IF($C$348="Full",+Details!AQ71,+Base!AQ71)</f>
        <v>0</v>
      </c>
      <c r="AQ368" s="1124">
        <f>IF($C$348="Full",+Details!AR71,+Base!AR71)</f>
        <v>0</v>
      </c>
      <c r="AR368" s="1124">
        <f>IF($C$348="Full",+Details!AS71,+Base!AS71)</f>
        <v>0</v>
      </c>
      <c r="AS368" s="1124"/>
      <c r="AT368" s="1124"/>
      <c r="AU368" s="1124"/>
      <c r="AV368" s="1124"/>
      <c r="AX368" s="1186">
        <f t="shared" si="43"/>
        <v>20</v>
      </c>
      <c r="AY368" s="1186"/>
      <c r="AZ368" s="1186"/>
      <c r="BA368" s="1186">
        <f t="shared" si="44"/>
        <v>18</v>
      </c>
      <c r="BB368" s="876"/>
      <c r="BC368" s="876"/>
      <c r="BD368" s="876"/>
      <c r="BE368" s="876"/>
      <c r="BJ368" s="3"/>
    </row>
    <row r="369" spans="1:86" hidden="1">
      <c r="A369" s="1437" t="s">
        <v>706</v>
      </c>
      <c r="B369" s="150" t="s">
        <v>1319</v>
      </c>
      <c r="D369" s="102">
        <f t="shared" si="41"/>
        <v>-3104300</v>
      </c>
      <c r="E369" s="1124">
        <f>IF($C$348="Full",-Details!F144,-Base!F144)</f>
        <v>-70000</v>
      </c>
      <c r="F369" s="1124">
        <f>IF($C$348="Full",-Details!G144,-Base!G144)</f>
        <v>-71400</v>
      </c>
      <c r="G369" s="1124">
        <f>IF($C$348="Full",-Details!H144,-Base!H144)</f>
        <v>-72800</v>
      </c>
      <c r="H369" s="1124">
        <f>IF($C$348="Full",-Details!I144,-Base!I144)</f>
        <v>-74300</v>
      </c>
      <c r="I369" s="1124">
        <f>IF($C$348="Full",-Details!J144,-Base!J144)</f>
        <v>-75800</v>
      </c>
      <c r="J369" s="1124">
        <f>IF($C$348="Full",-Details!K144,-Base!K144)</f>
        <v>-77300</v>
      </c>
      <c r="K369" s="1124">
        <f>IF($C$348="Full",-Details!L144,-Base!L144)</f>
        <v>-78800</v>
      </c>
      <c r="L369" s="1124">
        <f>IF($C$348="Full",-Details!M144,-Base!M144)</f>
        <v>-80400</v>
      </c>
      <c r="M369" s="1124">
        <f>IF($C$348="Full",-Details!N144,-Base!N144)</f>
        <v>-82000</v>
      </c>
      <c r="N369" s="1124">
        <f>IF($C$348="Full",-Details!O144,-Base!O144)</f>
        <v>-83600</v>
      </c>
      <c r="O369" s="1124">
        <f>IF($C$348="Full",-Details!P144,-Base!P144)</f>
        <v>-85300</v>
      </c>
      <c r="P369" s="1124">
        <f>IF($C$348="Full",-Details!Q144,-Base!Q144)</f>
        <v>-87000</v>
      </c>
      <c r="Q369" s="1124">
        <f>IF($C$348="Full",-Details!R144,-Base!R144)</f>
        <v>-88700</v>
      </c>
      <c r="R369" s="1124">
        <f>IF($C$348="Full",-Details!S144,-Base!S144)</f>
        <v>-90500</v>
      </c>
      <c r="S369" s="1124">
        <f>IF($C$348="Full",-Details!T144,-Base!T144)</f>
        <v>-92300</v>
      </c>
      <c r="T369" s="1124">
        <f>IF($C$348="Full",-Details!U144,-Base!U144)</f>
        <v>-94100</v>
      </c>
      <c r="U369" s="1124">
        <f>IF($C$348="Full",-Details!V144,-Base!V144)</f>
        <v>-96000</v>
      </c>
      <c r="V369" s="1124">
        <f>IF($C$348="Full",-Details!W144,-Base!W144)</f>
        <v>-97900</v>
      </c>
      <c r="W369" s="1124">
        <f>IF($C$348="Full",-Details!X144,-Base!X144)</f>
        <v>-119800</v>
      </c>
      <c r="X369" s="1124">
        <f>IF($C$348="Full",-Details!Y144,-Base!Y144)</f>
        <v>-122200</v>
      </c>
      <c r="Y369" s="1124">
        <f>IF($C$348="Full",-Details!Z144,-Base!Z144)</f>
        <v>-124600</v>
      </c>
      <c r="Z369" s="1180">
        <f>IF($C$348="Full",-Details!AA144,-Base!AA144)</f>
        <v>-127100</v>
      </c>
      <c r="AA369" s="1124">
        <f>IF($C$348="Full",-Details!AB144,-Base!AB144)</f>
        <v>-129600</v>
      </c>
      <c r="AB369" s="1124">
        <f>IF($C$348="Full",-Details!AC144,-Base!AC144)</f>
        <v>-132200</v>
      </c>
      <c r="AC369" s="1124">
        <f>IF($C$348="Full",-Details!AD144,-Base!AD144)</f>
        <v>-134800</v>
      </c>
      <c r="AD369" s="1124">
        <f>IF($C$348="Full",-Details!AE144,-Base!AE144)</f>
        <v>-137500</v>
      </c>
      <c r="AE369" s="1124">
        <f>IF($C$348="Full",-Details!AF144,-Base!AF144)</f>
        <v>-140300</v>
      </c>
      <c r="AF369" s="1124">
        <f>IF($C$348="Full",-Details!AG144,-Base!AG144)</f>
        <v>-143100</v>
      </c>
      <c r="AG369" s="1124">
        <f>IF($C$348="Full",-Details!AH144,-Base!AH144)</f>
        <v>-146000</v>
      </c>
      <c r="AH369" s="1124">
        <f>IF($C$348="Full",-Details!AI144,-Base!AI144)</f>
        <v>-148900</v>
      </c>
      <c r="AI369" s="1124">
        <f>IF($C$348="Full",-Details!AJ144,-Base!AJ144)</f>
        <v>0</v>
      </c>
      <c r="AJ369" s="1124">
        <f>IF($C$348="Full",-Details!AK144,-Base!AK144)</f>
        <v>0</v>
      </c>
      <c r="AK369" s="1124">
        <f>IF($C$348="Full",-Details!AL144,-Base!AL144)</f>
        <v>0</v>
      </c>
      <c r="AL369" s="1124">
        <f>IF($C$348="Full",-Details!AM144,-Base!AM144)</f>
        <v>0</v>
      </c>
      <c r="AM369" s="1124">
        <f>IF($C$348="Full",-Details!AN144,-Base!AN144)</f>
        <v>0</v>
      </c>
      <c r="AN369" s="1124">
        <f>IF($C$348="Full",-Details!AO144,-Base!AO144)</f>
        <v>0</v>
      </c>
      <c r="AO369" s="1124">
        <f>IF($C$348="Full",-Details!AP144,-Base!AP144)</f>
        <v>0</v>
      </c>
      <c r="AP369" s="1124">
        <f>IF($C$348="Full",-Details!AQ144,-Base!AQ144)</f>
        <v>0</v>
      </c>
      <c r="AQ369" s="1124">
        <f>IF($C$348="Full",-Details!AR144,-Base!AR144)</f>
        <v>0</v>
      </c>
      <c r="AR369" s="1124">
        <f>IF($C$348="Full",-Details!AS144,-Base!AS144)</f>
        <v>0</v>
      </c>
      <c r="AS369" s="1124"/>
      <c r="AT369" s="1124"/>
      <c r="AU369" s="1124"/>
      <c r="AV369" s="1124"/>
      <c r="AX369" s="1186">
        <f t="shared" si="43"/>
        <v>21</v>
      </c>
      <c r="AY369" s="1186"/>
      <c r="AZ369" s="1186"/>
      <c r="BA369" s="1186">
        <f t="shared" si="44"/>
        <v>19</v>
      </c>
      <c r="BB369" s="876"/>
      <c r="BC369" s="876"/>
      <c r="BD369" s="876"/>
      <c r="BE369" s="876"/>
      <c r="BJ369" s="3"/>
    </row>
    <row r="370" spans="1:86" hidden="1">
      <c r="A370" s="1437" t="s">
        <v>706</v>
      </c>
      <c r="B370" s="150" t="s">
        <v>901</v>
      </c>
      <c r="D370" s="102">
        <f t="shared" si="41"/>
        <v>-279600</v>
      </c>
      <c r="E370" s="1124">
        <f>IF($C$348="Full",-Details!F202,-Base!F202)</f>
        <v>-3900</v>
      </c>
      <c r="F370" s="1124">
        <f>IF($C$348="Full",-Details!G202,-Base!G202)</f>
        <v>-5800</v>
      </c>
      <c r="G370" s="1124">
        <f>IF($C$348="Full",-Details!H202,-Base!H202)</f>
        <v>-4000</v>
      </c>
      <c r="H370" s="1124">
        <f>IF($C$348="Full",-Details!I202,-Base!I202)</f>
        <v>-4100</v>
      </c>
      <c r="I370" s="1124">
        <f>IF($C$348="Full",-Details!J202,-Base!J202)</f>
        <v>-4100</v>
      </c>
      <c r="J370" s="1124">
        <f>IF($C$348="Full",-Details!K202,-Base!K202)</f>
        <v>-6500</v>
      </c>
      <c r="K370" s="1124">
        <f>IF($C$348="Full",-Details!L202,-Base!L202)</f>
        <v>-6500</v>
      </c>
      <c r="L370" s="1124">
        <f>IF($C$348="Full",-Details!M202,-Base!M202)</f>
        <v>-7100</v>
      </c>
      <c r="M370" s="1124">
        <f>IF($C$348="Full",-Details!N202,-Base!N202)</f>
        <v>-4100</v>
      </c>
      <c r="N370" s="1124">
        <f>IF($C$348="Full",-Details!O202,-Base!O202)</f>
        <v>-4200</v>
      </c>
      <c r="O370" s="1124">
        <f>IF($C$348="Full",-Details!P202,-Base!P202)</f>
        <v>-4300</v>
      </c>
      <c r="P370" s="1124">
        <f>IF($C$348="Full",-Details!Q202,-Base!Q202)</f>
        <v>-4600</v>
      </c>
      <c r="Q370" s="1124">
        <f>IF($C$348="Full",-Details!R202,-Base!R202)</f>
        <v>-5900</v>
      </c>
      <c r="R370" s="1124">
        <f>IF($C$348="Full",-Details!S202,-Base!S202)</f>
        <v>-6300</v>
      </c>
      <c r="S370" s="1124">
        <f>IF($C$348="Full",-Details!T202,-Base!T202)</f>
        <v>-9300</v>
      </c>
      <c r="T370" s="1124">
        <f>IF($C$348="Full",-Details!U202,-Base!U202)</f>
        <v>-10900</v>
      </c>
      <c r="U370" s="1124">
        <f>IF($C$348="Full",-Details!V202,-Base!V202)</f>
        <v>-10200</v>
      </c>
      <c r="V370" s="1124">
        <f>IF($C$348="Full",-Details!W202,-Base!W202)</f>
        <v>-10500</v>
      </c>
      <c r="W370" s="1124">
        <f>IF($C$348="Full",-Details!X202,-Base!X202)</f>
        <v>-9700</v>
      </c>
      <c r="X370" s="1124">
        <f>IF($C$348="Full",-Details!Y202,-Base!Y202)</f>
        <v>-9900</v>
      </c>
      <c r="Y370" s="1124">
        <f>IF($C$348="Full",-Details!Z202,-Base!Z202)</f>
        <v>-10300</v>
      </c>
      <c r="Z370" s="1180">
        <f>IF($C$348="Full",-Details!AA202,-Base!AA202)</f>
        <v>-10800</v>
      </c>
      <c r="AA370" s="1124">
        <f>IF($C$348="Full",-Details!AB202,-Base!AB202)</f>
        <v>-11200</v>
      </c>
      <c r="AB370" s="1124">
        <f>IF($C$348="Full",-Details!AC202,-Base!AC202)</f>
        <v>-12200</v>
      </c>
      <c r="AC370" s="1124">
        <f>IF($C$348="Full",-Details!AD202,-Base!AD202)</f>
        <v>-17200</v>
      </c>
      <c r="AD370" s="1124">
        <f>IF($C$348="Full",-Details!AE202,-Base!AE202)</f>
        <v>-17900</v>
      </c>
      <c r="AE370" s="1124">
        <f>IF($C$348="Full",-Details!AF202,-Base!AF202)</f>
        <v>-18200</v>
      </c>
      <c r="AF370" s="1124">
        <f>IF($C$348="Full",-Details!AG202,-Base!AG202)</f>
        <v>-16600</v>
      </c>
      <c r="AG370" s="1124">
        <f>IF($C$348="Full",-Details!AH202,-Base!AH202)</f>
        <v>-16500</v>
      </c>
      <c r="AH370" s="1124">
        <f>IF($C$348="Full",-Details!AI202,-Base!AI202)</f>
        <v>-16800</v>
      </c>
      <c r="AI370" s="1124">
        <f>IF($C$348="Full",-Details!AJ202,-Base!AJ202)</f>
        <v>0</v>
      </c>
      <c r="AJ370" s="1124">
        <f>IF($C$348="Full",-Details!AK202,-Base!AK202)</f>
        <v>0</v>
      </c>
      <c r="AK370" s="1124">
        <f>IF($C$348="Full",-Details!AL202,-Base!AL202)</f>
        <v>0</v>
      </c>
      <c r="AL370" s="1124">
        <f>IF($C$348="Full",-Details!AM202,-Base!AM202)</f>
        <v>0</v>
      </c>
      <c r="AM370" s="1124">
        <f>IF($C$348="Full",-Details!AN202,-Base!AN202)</f>
        <v>0</v>
      </c>
      <c r="AN370" s="1124">
        <f>IF($C$348="Full",-Details!AO202,-Base!AO202)</f>
        <v>0</v>
      </c>
      <c r="AO370" s="1124">
        <f>IF($C$348="Full",-Details!AP202,-Base!AP202)</f>
        <v>0</v>
      </c>
      <c r="AP370" s="1124">
        <f>IF($C$348="Full",-Details!AQ202,-Base!AQ202)</f>
        <v>0</v>
      </c>
      <c r="AQ370" s="1124">
        <f>IF($C$348="Full",-Details!AR202,-Base!AR202)</f>
        <v>0</v>
      </c>
      <c r="AR370" s="1124">
        <f>IF($C$348="Full",-Details!AS202,-Base!AS202)</f>
        <v>0</v>
      </c>
      <c r="AS370" s="1124"/>
      <c r="AT370" s="1124"/>
      <c r="AU370" s="1124"/>
      <c r="AV370" s="1124"/>
      <c r="AX370" s="1186">
        <f t="shared" si="43"/>
        <v>22</v>
      </c>
      <c r="AY370" s="1186"/>
      <c r="AZ370" s="1186"/>
      <c r="BA370" s="1186">
        <f t="shared" si="44"/>
        <v>20</v>
      </c>
      <c r="BB370" s="542"/>
      <c r="BC370" s="542"/>
      <c r="BD370" s="542"/>
      <c r="BE370" s="542"/>
      <c r="BJ370" s="3"/>
    </row>
    <row r="371" spans="1:86" hidden="1">
      <c r="A371" s="1437" t="s">
        <v>706</v>
      </c>
      <c r="B371" s="150" t="s">
        <v>902</v>
      </c>
      <c r="D371" s="34">
        <f t="shared" si="41"/>
        <v>-88700</v>
      </c>
      <c r="E371" s="1125">
        <f>IF($C$348="Full",-Details!F227,-Base!F227)</f>
        <v>-1100</v>
      </c>
      <c r="F371" s="1125">
        <f>IF($C$348="Full",-Details!G227,-Base!G227)</f>
        <v>-1600</v>
      </c>
      <c r="G371" s="1125">
        <f>IF($C$348="Full",-Details!H227,-Base!H227)</f>
        <v>-1000</v>
      </c>
      <c r="H371" s="1125">
        <f>IF($C$348="Full",-Details!I227,-Base!I227)</f>
        <v>-1000</v>
      </c>
      <c r="I371" s="1125">
        <f>IF($C$348="Full",-Details!J227,-Base!J227)</f>
        <v>-1100</v>
      </c>
      <c r="J371" s="1125">
        <f>IF($C$348="Full",-Details!K227,-Base!K227)</f>
        <v>-1100</v>
      </c>
      <c r="K371" s="1125">
        <f>IF($C$348="Full",-Details!L227,-Base!L227)</f>
        <v>-1100</v>
      </c>
      <c r="L371" s="1125">
        <f>IF($C$348="Full",-Details!M227,-Base!M227)</f>
        <v>-2000</v>
      </c>
      <c r="M371" s="1125">
        <f>IF($C$348="Full",-Details!N227,-Base!N227)</f>
        <v>-600</v>
      </c>
      <c r="N371" s="1125">
        <f>IF($C$348="Full",-Details!O227,-Base!O227)</f>
        <v>-600</v>
      </c>
      <c r="O371" s="1125">
        <f>IF($C$348="Full",-Details!P227,-Base!P227)</f>
        <v>-600</v>
      </c>
      <c r="P371" s="1125">
        <f>IF($C$348="Full",-Details!Q227,-Base!Q227)</f>
        <v>-700</v>
      </c>
      <c r="Q371" s="1125">
        <f>IF($C$348="Full",-Details!R227,-Base!R227)</f>
        <v>-900</v>
      </c>
      <c r="R371" s="1125">
        <f>IF($C$348="Full",-Details!S227,-Base!S227)</f>
        <v>-1000</v>
      </c>
      <c r="S371" s="1125">
        <f>IF($C$348="Full",-Details!T227,-Base!T227)</f>
        <v>-1400</v>
      </c>
      <c r="T371" s="1125">
        <f>IF($C$348="Full",-Details!U227,-Base!U227)</f>
        <v>-1700</v>
      </c>
      <c r="U371" s="1125">
        <f>IF($C$348="Full",-Details!V227,-Base!V227)</f>
        <v>-2100</v>
      </c>
      <c r="V371" s="1125">
        <f>IF($C$348="Full",-Details!W227,-Base!W227)</f>
        <v>-2200</v>
      </c>
      <c r="W371" s="1125">
        <f>IF($C$348="Full",-Details!X227,-Base!X227)</f>
        <v>-2000</v>
      </c>
      <c r="X371" s="1125">
        <f>IF($C$348="Full",-Details!Y227,-Base!Y227)</f>
        <v>-2000</v>
      </c>
      <c r="Y371" s="1125">
        <f>IF($C$348="Full",-Details!Z227,-Base!Z227)</f>
        <v>-2100</v>
      </c>
      <c r="Z371" s="1181">
        <f>IF($C$348="Full",-Details!AA227,-Base!AA227)</f>
        <v>-2300</v>
      </c>
      <c r="AA371" s="1125">
        <f>IF($C$348="Full",-Details!AB227,-Base!AB227)</f>
        <v>-6700</v>
      </c>
      <c r="AB371" s="1125">
        <f>IF($C$348="Full",-Details!AC227,-Base!AC227)</f>
        <v>-7400</v>
      </c>
      <c r="AC371" s="1125">
        <f>IF($C$348="Full",-Details!AD227,-Base!AD227)</f>
        <v>-7300</v>
      </c>
      <c r="AD371" s="1125">
        <f>IF($C$348="Full",-Details!AE227,-Base!AE227)</f>
        <v>-7600</v>
      </c>
      <c r="AE371" s="1125">
        <f>IF($C$348="Full",-Details!AF227,-Base!AF227)</f>
        <v>-7700</v>
      </c>
      <c r="AF371" s="1125">
        <f>IF($C$348="Full",-Details!AG227,-Base!AG227)</f>
        <v>-7200</v>
      </c>
      <c r="AG371" s="1125">
        <f>IF($C$348="Full",-Details!AH227,-Base!AH227)</f>
        <v>-7200</v>
      </c>
      <c r="AH371" s="1125">
        <f>IF($C$348="Full",-Details!AI227,-Base!AI227)</f>
        <v>-7400</v>
      </c>
      <c r="AI371" s="1125">
        <f>IF($C$348="Full",-Details!AJ227,-Base!AJ227)</f>
        <v>0</v>
      </c>
      <c r="AJ371" s="1125">
        <f>IF($C$348="Full",-Details!AK227,-Base!AK227)</f>
        <v>0</v>
      </c>
      <c r="AK371" s="1125">
        <f>IF($C$348="Full",-Details!AL227,-Base!AL227)</f>
        <v>0</v>
      </c>
      <c r="AL371" s="1125">
        <f>IF($C$348="Full",-Details!AM227,-Base!AM227)</f>
        <v>0</v>
      </c>
      <c r="AM371" s="1125">
        <f>IF($C$348="Full",-Details!AN227,-Base!AN227)</f>
        <v>0</v>
      </c>
      <c r="AN371" s="1125">
        <f>IF($C$348="Full",-Details!AO227,-Base!AO227)</f>
        <v>0</v>
      </c>
      <c r="AO371" s="1125">
        <f>IF($C$348="Full",-Details!AP227,-Base!AP227)</f>
        <v>0</v>
      </c>
      <c r="AP371" s="1125">
        <f>IF($C$348="Full",-Details!AQ227,-Base!AQ227)</f>
        <v>0</v>
      </c>
      <c r="AQ371" s="1125">
        <f>IF($C$348="Full",-Details!AR227,-Base!AR227)</f>
        <v>0</v>
      </c>
      <c r="AR371" s="1125">
        <f>IF($C$348="Full",-Details!AS227,-Base!AS227)</f>
        <v>0</v>
      </c>
      <c r="AS371" s="1125"/>
      <c r="AT371" s="1125"/>
      <c r="AU371" s="1125"/>
      <c r="AV371" s="1125"/>
      <c r="AX371" s="1186">
        <f t="shared" si="43"/>
        <v>23</v>
      </c>
      <c r="AY371" s="1186"/>
      <c r="AZ371" s="1186"/>
      <c r="BA371" s="1186">
        <f t="shared" si="44"/>
        <v>21</v>
      </c>
      <c r="BB371" s="876"/>
      <c r="BC371" s="876"/>
      <c r="BD371" s="876"/>
      <c r="BE371" s="876"/>
      <c r="BJ371" s="3"/>
    </row>
    <row r="372" spans="1:86" hidden="1">
      <c r="A372" s="1437" t="s">
        <v>706</v>
      </c>
      <c r="B372" s="150" t="s">
        <v>70</v>
      </c>
      <c r="D372" s="102">
        <f t="shared" si="41"/>
        <v>1302400</v>
      </c>
      <c r="E372" s="1124">
        <f>+E368+E369+E370+E371</f>
        <v>3900</v>
      </c>
      <c r="F372" s="1124">
        <f t="shared" ref="F372:AG372" si="45">+F368+F369+F370+F371</f>
        <v>16300</v>
      </c>
      <c r="G372" s="1124">
        <f t="shared" si="45"/>
        <v>3400</v>
      </c>
      <c r="H372" s="1124">
        <f t="shared" si="45"/>
        <v>2800</v>
      </c>
      <c r="I372" s="1124">
        <f t="shared" si="45"/>
        <v>2100</v>
      </c>
      <c r="J372" s="1124">
        <f t="shared" si="45"/>
        <v>21700</v>
      </c>
      <c r="K372" s="1124">
        <f t="shared" si="45"/>
        <v>22500</v>
      </c>
      <c r="L372" s="1124">
        <f t="shared" si="45"/>
        <v>21900</v>
      </c>
      <c r="M372" s="1124">
        <f t="shared" si="45"/>
        <v>74900</v>
      </c>
      <c r="N372" s="1124">
        <f t="shared" si="45"/>
        <v>64500</v>
      </c>
      <c r="O372" s="1124">
        <f t="shared" si="45"/>
        <v>65100</v>
      </c>
      <c r="P372" s="1124">
        <f t="shared" si="45"/>
        <v>66500</v>
      </c>
      <c r="Q372" s="1124">
        <f t="shared" si="45"/>
        <v>71900</v>
      </c>
      <c r="R372" s="1124">
        <f t="shared" si="45"/>
        <v>73900</v>
      </c>
      <c r="S372" s="1124">
        <f t="shared" si="45"/>
        <v>80800</v>
      </c>
      <c r="T372" s="1124">
        <f t="shared" si="45"/>
        <v>82400</v>
      </c>
      <c r="U372" s="1124">
        <f t="shared" si="45"/>
        <v>72000</v>
      </c>
      <c r="V372" s="1124">
        <f t="shared" si="45"/>
        <v>74900</v>
      </c>
      <c r="W372" s="1124">
        <f t="shared" si="45"/>
        <v>45000</v>
      </c>
      <c r="X372" s="1124">
        <f t="shared" si="45"/>
        <v>45700</v>
      </c>
      <c r="Y372" s="1124">
        <f t="shared" si="45"/>
        <v>46400</v>
      </c>
      <c r="Z372" s="1180">
        <f t="shared" si="45"/>
        <v>46600</v>
      </c>
      <c r="AA372" s="1124">
        <f t="shared" si="45"/>
        <v>50900</v>
      </c>
      <c r="AB372" s="1124">
        <f t="shared" si="45"/>
        <v>58700</v>
      </c>
      <c r="AC372" s="1124">
        <f t="shared" si="45"/>
        <v>30100</v>
      </c>
      <c r="AD372" s="1124">
        <f t="shared" si="45"/>
        <v>31200</v>
      </c>
      <c r="AE372" s="1124">
        <f t="shared" si="45"/>
        <v>30200</v>
      </c>
      <c r="AF372" s="1124">
        <f t="shared" si="45"/>
        <v>32200</v>
      </c>
      <c r="AG372" s="1124">
        <f t="shared" si="45"/>
        <v>32300</v>
      </c>
      <c r="AH372" s="1124">
        <f t="shared" ref="AH372:AQ372" si="46">+AH368+AH369+AH370+AH371</f>
        <v>31600</v>
      </c>
      <c r="AI372" s="1124">
        <f t="shared" si="46"/>
        <v>0</v>
      </c>
      <c r="AJ372" s="1124">
        <f t="shared" si="46"/>
        <v>0</v>
      </c>
      <c r="AK372" s="1124">
        <f t="shared" si="46"/>
        <v>0</v>
      </c>
      <c r="AL372" s="1124">
        <f t="shared" si="46"/>
        <v>0</v>
      </c>
      <c r="AM372" s="1124">
        <f t="shared" si="46"/>
        <v>0</v>
      </c>
      <c r="AN372" s="1124">
        <f t="shared" si="46"/>
        <v>0</v>
      </c>
      <c r="AO372" s="1124">
        <f t="shared" si="46"/>
        <v>0</v>
      </c>
      <c r="AP372" s="1124">
        <f t="shared" si="46"/>
        <v>0</v>
      </c>
      <c r="AQ372" s="1124">
        <f t="shared" si="46"/>
        <v>0</v>
      </c>
      <c r="AR372" s="1124">
        <f>+AR368+AR369+AR370+AR371</f>
        <v>0</v>
      </c>
      <c r="AS372" s="1124"/>
      <c r="AT372" s="1124"/>
      <c r="AU372" s="1124"/>
      <c r="AV372" s="1124"/>
      <c r="AX372" s="1186">
        <f t="shared" si="43"/>
        <v>24</v>
      </c>
      <c r="AY372" s="1186"/>
      <c r="AZ372" s="1186"/>
      <c r="BA372" s="1186">
        <f t="shared" si="44"/>
        <v>22</v>
      </c>
      <c r="BB372" s="1"/>
      <c r="BC372" s="1"/>
      <c r="BD372" s="1"/>
      <c r="BE372" s="1"/>
      <c r="BJ372" s="3"/>
    </row>
    <row r="373" spans="1:86" ht="15.6" hidden="1">
      <c r="A373" s="1437" t="s">
        <v>706</v>
      </c>
      <c r="B373" s="198" t="s">
        <v>1650</v>
      </c>
      <c r="D373" s="12"/>
      <c r="E373" s="245" t="str">
        <f>IF($C$348="Full",IF(E372&lt;&gt;Details!F245-Details!F240,"error","."),IF(E372&lt;&gt;Base!F245-Base!F240,"error","."))</f>
        <v>.</v>
      </c>
      <c r="F373" s="245" t="str">
        <f>IF($C$348="Full",IF(F372&lt;&gt;Details!G245-Details!G240,"error","."),IF(F372&lt;&gt;Base!G245-Base!G240,"error","."))</f>
        <v>.</v>
      </c>
      <c r="G373" s="245" t="str">
        <f>IF($C$348="Full",IF(G372&lt;&gt;Details!H245-Details!H240,"error","."),IF(G372&lt;&gt;Base!H245-Base!H240,"error","."))</f>
        <v>.</v>
      </c>
      <c r="H373" s="245" t="str">
        <f>IF($C$348="Full",IF(H372&lt;&gt;Details!I245-Details!I240,"error","."),IF(H372&lt;&gt;Base!I245-Base!I240,"error","."))</f>
        <v>.</v>
      </c>
      <c r="I373" s="245" t="str">
        <f>IF($C$348="Full",IF(I372&lt;&gt;Details!J245-Details!J240,"error","."),IF(I372&lt;&gt;Base!J245-Base!J240,"error","."))</f>
        <v>.</v>
      </c>
      <c r="J373" s="245" t="str">
        <f>IF($C$348="Full",IF(J372&lt;&gt;Details!K245-Details!K240,"error","."),IF(J372&lt;&gt;Base!K245-Base!K240,"error","."))</f>
        <v>.</v>
      </c>
      <c r="K373" s="245" t="str">
        <f>IF($C$348="Full",IF(K372&lt;&gt;Details!L245-Details!L240,"error","."),IF(K372&lt;&gt;Base!L245-Base!L240,"error","."))</f>
        <v>.</v>
      </c>
      <c r="L373" s="245" t="str">
        <f>IF($C$348="Full",IF(L372&lt;&gt;Details!M245-Details!M240,"error","."),IF(L372&lt;&gt;Base!M245-Base!M240,"error","."))</f>
        <v>.</v>
      </c>
      <c r="M373" s="245" t="str">
        <f>IF($C$348="Full",IF(M372&lt;&gt;Details!N245-Details!N240,"error","."),IF(M372&lt;&gt;Base!N245-Base!N240,"error","."))</f>
        <v>.</v>
      </c>
      <c r="N373" s="245" t="str">
        <f>IF($C$348="Full",IF(N372&lt;&gt;Details!O245-Details!O240,"error","."),IF(N372&lt;&gt;Base!O245-Base!O240,"error","."))</f>
        <v>.</v>
      </c>
      <c r="O373" s="245" t="str">
        <f>IF($C$348="Full",IF(O372&lt;&gt;Details!P245-Details!P240,"error","."),IF(O372&lt;&gt;Base!P245-Base!P240,"error","."))</f>
        <v>.</v>
      </c>
      <c r="P373" s="245" t="str">
        <f>IF($C$348="Full",IF(P372&lt;&gt;Details!Q245-Details!Q240,"error","."),IF(P372&lt;&gt;Base!Q245-Base!Q240,"error","."))</f>
        <v>.</v>
      </c>
      <c r="Q373" s="245" t="str">
        <f>IF($C$348="Full",IF(Q372&lt;&gt;Details!R245-Details!R240,"error","."),IF(Q372&lt;&gt;Base!R245-Base!R240,"error","."))</f>
        <v>.</v>
      </c>
      <c r="R373" s="245" t="str">
        <f>IF($C$348="Full",IF(R372&lt;&gt;Details!S245-Details!S240,"error","."),IF(R372&lt;&gt;Base!S245-Base!S240,"error","."))</f>
        <v>.</v>
      </c>
      <c r="S373" s="245" t="str">
        <f>IF($C$348="Full",IF(S372&lt;&gt;Details!T245-Details!T240,"error","."),IF(S372&lt;&gt;Base!T245-Base!T240,"error","."))</f>
        <v>.</v>
      </c>
      <c r="T373" s="245" t="str">
        <f>IF($C$348="Full",IF(T372&lt;&gt;Details!U245-Details!U240,"error","."),IF(T372&lt;&gt;Base!U245-Base!U240,"error","."))</f>
        <v>.</v>
      </c>
      <c r="U373" s="245" t="str">
        <f>IF($C$348="Full",IF(U372&lt;&gt;Details!V245-Details!V240,"error","."),IF(U372&lt;&gt;Base!V245-Base!V240,"error","."))</f>
        <v>.</v>
      </c>
      <c r="V373" s="245" t="str">
        <f>IF($C$348="Full",IF(V372&lt;&gt;Details!W245-Details!W240,"error","."),IF(V372&lt;&gt;Base!W245-Base!W240,"error","."))</f>
        <v>.</v>
      </c>
      <c r="W373" s="245" t="str">
        <f>IF($C$348="Full",IF(W372&lt;&gt;Details!X245-Details!X240,"error","."),IF(W372&lt;&gt;Base!X245-Base!X240,"error","."))</f>
        <v>.</v>
      </c>
      <c r="X373" s="245" t="str">
        <f>IF($C$348="Full",IF(X372&lt;&gt;Details!Y245-Details!Y240,"error","."),IF(X372&lt;&gt;Base!Y245-Base!Y240,"error","."))</f>
        <v>.</v>
      </c>
      <c r="Y373" s="245" t="str">
        <f>IF($C$348="Full",IF(Y372&lt;&gt;Details!Z245-Details!Z240,"error","."),IF(Y372&lt;&gt;Base!Z245-Base!Z240,"error","."))</f>
        <v>.</v>
      </c>
      <c r="Z373" s="245" t="str">
        <f>IF($C$348="Full",IF(Z372&lt;&gt;Details!AA245-Details!AA240,"error","."),IF(Z372&lt;&gt;Base!AA245-Base!AA240,"error","."))</f>
        <v>.</v>
      </c>
      <c r="AA373" s="245" t="str">
        <f>IF($C$348="Full",IF(AA372&lt;&gt;Details!AB245-Details!AB240,"error","."),IF(AA372&lt;&gt;Base!AB245-Base!AB240,"error","."))</f>
        <v>.</v>
      </c>
      <c r="AB373" s="245" t="str">
        <f>IF($C$348="Full",IF(AB372&lt;&gt;Details!AC245-Details!AC240,"error","."),IF(AB372&lt;&gt;Base!AC245-Base!AC240,"error","."))</f>
        <v>.</v>
      </c>
      <c r="AC373" s="245" t="str">
        <f>IF($C$348="Full",IF(AC372&lt;&gt;Details!AD245-Details!AD240,"error","."),IF(AC372&lt;&gt;Base!AD245-Base!AD240,"error","."))</f>
        <v>.</v>
      </c>
      <c r="AD373" s="245" t="str">
        <f>IF($C$348="Full",IF(AD372&lt;&gt;Details!AE245-Details!AE240,"error","."),IF(AD372&lt;&gt;Base!AE245-Base!AE240,"error","."))</f>
        <v>.</v>
      </c>
      <c r="AE373" s="245" t="str">
        <f>IF($C$348="Full",IF(AE372&lt;&gt;Details!AF245-Details!AF240,"error","."),IF(AE372&lt;&gt;Base!AF245-Base!AF240,"error","."))</f>
        <v>.</v>
      </c>
      <c r="AF373" s="245" t="str">
        <f>IF($C$348="Full",IF(AF372&lt;&gt;Details!AG245-Details!AG240,"error","."),IF(AF372&lt;&gt;Base!AG245-Base!AG240,"error","."))</f>
        <v>.</v>
      </c>
      <c r="AG373" s="245" t="str">
        <f>IF($C$348="Full",IF(AG372&lt;&gt;Details!AH245-Details!AH240,"error","."),IF(AG372&lt;&gt;Base!AH245-Base!AH240,"error","."))</f>
        <v>.</v>
      </c>
      <c r="AH373" s="245" t="str">
        <f>IF($C$348="Full",IF(AH372&lt;&gt;Details!AI245-Details!AI240,"error","."),IF(AH372&lt;&gt;Base!AI245-Base!AI240,"error","."))</f>
        <v>.</v>
      </c>
      <c r="AI373" s="245" t="str">
        <f>IF($C$348="Full",IF(AI372&lt;&gt;Details!AJ245-Details!AJ240,"error","."),IF(AI372&lt;&gt;Base!AJ245-Base!AJ240,"error","."))</f>
        <v>.</v>
      </c>
      <c r="AJ373" s="245" t="str">
        <f>IF($C$348="Full",IF(AJ372&lt;&gt;Details!AK245-Details!AK240,"error","."),IF(AJ372&lt;&gt;Base!AK245-Base!AK240,"error","."))</f>
        <v>.</v>
      </c>
      <c r="AK373" s="245" t="str">
        <f>IF($C$348="Full",IF(AK372&lt;&gt;Details!AL245-Details!AL240,"error","."),IF(AK372&lt;&gt;Base!AL245-Base!AL240,"error","."))</f>
        <v>.</v>
      </c>
      <c r="AL373" s="245" t="str">
        <f>IF($C$348="Full",IF(AL372&lt;&gt;Details!AM245-Details!AM240,"error","."),IF(AL372&lt;&gt;Base!AM245-Base!AM240,"error","."))</f>
        <v>.</v>
      </c>
      <c r="AM373" s="245" t="str">
        <f>IF($C$348="Full",IF(AM372&lt;&gt;Details!AN245-Details!AN240,"error","."),IF(AM372&lt;&gt;Base!AN245-Base!AN240,"error","."))</f>
        <v>.</v>
      </c>
      <c r="AN373" s="245" t="str">
        <f>IF($C$348="Full",IF(AN372&lt;&gt;Details!AO245-Details!AO240,"error","."),IF(AN372&lt;&gt;Base!AO245-Base!AO240,"error","."))</f>
        <v>.</v>
      </c>
      <c r="AO373" s="245" t="str">
        <f>IF($C$348="Full",IF(AO372&lt;&gt;Details!AP245-Details!AP240,"error","."),IF(AO372&lt;&gt;Base!AP245-Base!AP240,"error","."))</f>
        <v>.</v>
      </c>
      <c r="AP373" s="245" t="str">
        <f>IF($C$348="Full",IF(AP372&lt;&gt;Details!AQ245-Details!AQ240,"error","."),IF(AP372&lt;&gt;Base!AQ245-Base!AQ240,"error","."))</f>
        <v>.</v>
      </c>
      <c r="AQ373" s="245" t="str">
        <f>IF($C$348="Full",IF(AQ372&lt;&gt;Details!AR245-Details!AR240,"error","."),IF(AQ372&lt;&gt;Base!AR245-Base!AR240,"error","."))</f>
        <v>.</v>
      </c>
      <c r="AR373" s="245" t="str">
        <f>IF($C$348="Full",IF(AR372&lt;&gt;Details!AS245-Details!AS240,"error","."),IF(AR372&lt;&gt;Base!AS245-Base!AS240,"error","."))</f>
        <v>.</v>
      </c>
      <c r="AS373" s="245"/>
      <c r="AT373" s="245"/>
      <c r="AU373" s="245"/>
      <c r="AV373" s="245"/>
      <c r="AX373" s="1186">
        <f t="shared" si="43"/>
        <v>25</v>
      </c>
      <c r="AY373" s="1186"/>
      <c r="AZ373" s="1186"/>
      <c r="BA373" s="1186">
        <f t="shared" si="44"/>
        <v>23</v>
      </c>
      <c r="BB373" s="1"/>
      <c r="BC373" s="1"/>
      <c r="BD373" s="1"/>
      <c r="BE373" s="1"/>
      <c r="BJ373" s="3"/>
    </row>
    <row r="374" spans="1:86" hidden="1">
      <c r="A374" s="1437" t="s">
        <v>706</v>
      </c>
      <c r="B374" t="s">
        <v>387</v>
      </c>
      <c r="D374" s="102">
        <f t="shared" ref="D374:D385" si="47">SUM(E374:AV374)</f>
        <v>3354900</v>
      </c>
      <c r="E374" s="1124">
        <f t="shared" ref="E374:AR374" si="48">+E364</f>
        <v>62700</v>
      </c>
      <c r="F374" s="1124">
        <f t="shared" si="48"/>
        <v>79400</v>
      </c>
      <c r="G374" s="1124">
        <f t="shared" si="48"/>
        <v>66100</v>
      </c>
      <c r="H374" s="1124">
        <f t="shared" si="48"/>
        <v>67900</v>
      </c>
      <c r="I374" s="1124">
        <f t="shared" si="48"/>
        <v>69800</v>
      </c>
      <c r="J374" s="1124">
        <f t="shared" si="48"/>
        <v>90700</v>
      </c>
      <c r="K374" s="1124">
        <f t="shared" si="48"/>
        <v>93400</v>
      </c>
      <c r="L374" s="1124">
        <f t="shared" si="48"/>
        <v>96200</v>
      </c>
      <c r="M374" s="1124">
        <f t="shared" si="48"/>
        <v>71800</v>
      </c>
      <c r="N374" s="1124">
        <f t="shared" si="48"/>
        <v>73900</v>
      </c>
      <c r="O374" s="1124">
        <f t="shared" si="48"/>
        <v>75900</v>
      </c>
      <c r="P374" s="1124">
        <f t="shared" si="48"/>
        <v>79000</v>
      </c>
      <c r="Q374" s="1124">
        <f t="shared" si="48"/>
        <v>91200</v>
      </c>
      <c r="R374" s="1124">
        <f t="shared" si="48"/>
        <v>95900</v>
      </c>
      <c r="S374" s="1124">
        <f t="shared" si="48"/>
        <v>122400</v>
      </c>
      <c r="T374" s="1124">
        <f t="shared" si="48"/>
        <v>136800</v>
      </c>
      <c r="U374" s="1124">
        <f t="shared" si="48"/>
        <v>132100</v>
      </c>
      <c r="V374" s="1124">
        <f t="shared" si="48"/>
        <v>136700</v>
      </c>
      <c r="W374" s="1124">
        <f t="shared" si="48"/>
        <v>129000</v>
      </c>
      <c r="X374" s="1124">
        <f t="shared" si="48"/>
        <v>131800</v>
      </c>
      <c r="Y374" s="1124">
        <f t="shared" si="48"/>
        <v>136200</v>
      </c>
      <c r="Z374" s="1180">
        <f t="shared" si="48"/>
        <v>141000</v>
      </c>
      <c r="AA374" s="1124">
        <f t="shared" si="48"/>
        <v>147800</v>
      </c>
      <c r="AB374" s="1124">
        <f t="shared" si="48"/>
        <v>158700</v>
      </c>
      <c r="AC374" s="1124">
        <f t="shared" si="48"/>
        <v>141000</v>
      </c>
      <c r="AD374" s="1124">
        <f t="shared" si="48"/>
        <v>145700</v>
      </c>
      <c r="AE374" s="1124">
        <f t="shared" si="48"/>
        <v>148500</v>
      </c>
      <c r="AF374" s="1124">
        <f t="shared" si="48"/>
        <v>142500</v>
      </c>
      <c r="AG374" s="1124">
        <f t="shared" si="48"/>
        <v>143900</v>
      </c>
      <c r="AH374" s="1124">
        <f t="shared" si="48"/>
        <v>146900</v>
      </c>
      <c r="AI374" s="1124">
        <f t="shared" si="48"/>
        <v>0</v>
      </c>
      <c r="AJ374" s="1124">
        <f t="shared" si="48"/>
        <v>0</v>
      </c>
      <c r="AK374" s="1124">
        <f t="shared" si="48"/>
        <v>0</v>
      </c>
      <c r="AL374" s="1124">
        <f t="shared" si="48"/>
        <v>0</v>
      </c>
      <c r="AM374" s="1124">
        <f t="shared" si="48"/>
        <v>0</v>
      </c>
      <c r="AN374" s="1124">
        <f t="shared" si="48"/>
        <v>0</v>
      </c>
      <c r="AO374" s="1124">
        <f t="shared" si="48"/>
        <v>0</v>
      </c>
      <c r="AP374" s="1124">
        <f t="shared" si="48"/>
        <v>0</v>
      </c>
      <c r="AQ374" s="1124">
        <f t="shared" si="48"/>
        <v>0</v>
      </c>
      <c r="AR374" s="1124">
        <f t="shared" si="48"/>
        <v>0</v>
      </c>
      <c r="AS374" s="1124"/>
      <c r="AT374" s="1124"/>
      <c r="AU374" s="1124"/>
      <c r="AV374" s="1124"/>
      <c r="AX374" s="1186">
        <f t="shared" si="43"/>
        <v>26</v>
      </c>
      <c r="AY374" s="1186"/>
      <c r="AZ374" s="1186"/>
      <c r="BA374" s="1186">
        <f t="shared" si="44"/>
        <v>24</v>
      </c>
      <c r="BB374" s="1"/>
      <c r="BC374" s="1"/>
      <c r="BD374" s="1"/>
      <c r="BE374" s="1"/>
      <c r="BJ374" s="3"/>
    </row>
    <row r="375" spans="1:86" hidden="1">
      <c r="A375" s="1437" t="s">
        <v>706</v>
      </c>
      <c r="B375" t="s">
        <v>388</v>
      </c>
      <c r="D375" s="102">
        <f t="shared" si="47"/>
        <v>-1140000</v>
      </c>
      <c r="E375" s="1124">
        <f>IF($C$348="Full",-Details!F183,-Base!F183)</f>
        <v>0</v>
      </c>
      <c r="F375" s="1124">
        <f>IF($C$348="Full",-Details!G183,-Base!G183)</f>
        <v>0</v>
      </c>
      <c r="G375" s="1124">
        <f>IF($C$348="Full",-Details!H183,-Base!H183)</f>
        <v>0</v>
      </c>
      <c r="H375" s="1124">
        <f>IF($C$348="Full",-Details!I183,-Base!I183)</f>
        <v>0</v>
      </c>
      <c r="I375" s="1124">
        <f>IF($C$348="Full",-Details!J183,-Base!J183)</f>
        <v>0</v>
      </c>
      <c r="J375" s="1124">
        <f>IF($C$348="Full",-Details!K183,-Base!K183)</f>
        <v>-18800</v>
      </c>
      <c r="K375" s="1124">
        <f>IF($C$348="Full",-Details!L183,-Base!L183)</f>
        <v>-19100</v>
      </c>
      <c r="L375" s="1124">
        <f>IF($C$348="Full",-Details!M183,-Base!M183)</f>
        <v>-19600</v>
      </c>
      <c r="M375" s="1124">
        <f>IF($C$348="Full",-Details!N183,-Base!N183)</f>
        <v>-33400</v>
      </c>
      <c r="N375" s="1124">
        <f>IF($C$348="Full",-Details!O183,-Base!O183)</f>
        <v>-34900</v>
      </c>
      <c r="O375" s="1124">
        <f>IF($C$348="Full",-Details!P183,-Base!P183)</f>
        <v>-36100</v>
      </c>
      <c r="P375" s="1124">
        <f>IF($C$348="Full",-Details!Q183,-Base!Q183)</f>
        <v>-38000</v>
      </c>
      <c r="Q375" s="1124">
        <f>IF($C$348="Full",-Details!R183,-Base!R183)</f>
        <v>-44300</v>
      </c>
      <c r="R375" s="1124">
        <f>IF($C$348="Full",-Details!S183,-Base!S183)</f>
        <v>-47000</v>
      </c>
      <c r="S375" s="1124">
        <f>IF($C$348="Full",-Details!T183,-Base!T183)</f>
        <v>-59600</v>
      </c>
      <c r="T375" s="1124">
        <f>IF($C$348="Full",-Details!U183,-Base!U183)</f>
        <v>-66800</v>
      </c>
      <c r="U375" s="1124">
        <f>IF($C$348="Full",-Details!V183,-Base!V183)</f>
        <v>-53600</v>
      </c>
      <c r="V375" s="1124">
        <f>IF($C$348="Full",-Details!W183,-Base!W183)</f>
        <v>-54600</v>
      </c>
      <c r="W375" s="1124">
        <f>IF($C$348="Full",-Details!X183,-Base!X183)</f>
        <v>-55700</v>
      </c>
      <c r="X375" s="1124">
        <f>IF($C$348="Full",-Details!Y183,-Base!Y183)</f>
        <v>-56800</v>
      </c>
      <c r="Y375" s="1124">
        <f>IF($C$348="Full",-Details!Z183,-Base!Z183)</f>
        <v>-57900</v>
      </c>
      <c r="Z375" s="1180">
        <f>IF($C$348="Full",-Details!AA183,-Base!AA183)</f>
        <v>-59100</v>
      </c>
      <c r="AA375" s="1124">
        <f>IF($C$348="Full",-Details!AB183,-Base!AB183)</f>
        <v>-60300</v>
      </c>
      <c r="AB375" s="1124">
        <f>IF($C$348="Full",-Details!AC183,-Base!AC183)</f>
        <v>-61500</v>
      </c>
      <c r="AC375" s="1124">
        <f>IF($C$348="Full",-Details!AD183,-Base!AD183)</f>
        <v>-41700</v>
      </c>
      <c r="AD375" s="1124">
        <f>IF($C$348="Full",-Details!AE183,-Base!AE183)</f>
        <v>-42500</v>
      </c>
      <c r="AE375" s="1124">
        <f>IF($C$348="Full",-Details!AF183,-Base!AF183)</f>
        <v>-43400</v>
      </c>
      <c r="AF375" s="1124">
        <f>IF($C$348="Full",-Details!AG183,-Base!AG183)</f>
        <v>-44200</v>
      </c>
      <c r="AG375" s="1124">
        <f>IF($C$348="Full",-Details!AH183,-Base!AH183)</f>
        <v>-45100</v>
      </c>
      <c r="AH375" s="1124">
        <f>IF($C$348="Full",-Details!AI183,-Base!AI183)</f>
        <v>-46000</v>
      </c>
      <c r="AI375" s="1124">
        <f>IF($C$348="Full",-Details!AJ183,-Base!AJ183)</f>
        <v>0</v>
      </c>
      <c r="AJ375" s="1124">
        <f>IF($C$348="Full",-Details!AK183,-Base!AK183)</f>
        <v>0</v>
      </c>
      <c r="AK375" s="1124">
        <f>IF($C$348="Full",-Details!AL183,-Base!AL183)</f>
        <v>0</v>
      </c>
      <c r="AL375" s="1124">
        <f>IF($C$348="Full",-Details!AM183,-Base!AM183)</f>
        <v>0</v>
      </c>
      <c r="AM375" s="1124">
        <f>IF($C$348="Full",-Details!AN183,-Base!AN183)</f>
        <v>0</v>
      </c>
      <c r="AN375" s="1124">
        <f>IF($C$348="Full",-Details!AO183,-Base!AO183)</f>
        <v>0</v>
      </c>
      <c r="AO375" s="1124">
        <f>IF($C$348="Full",-Details!AP183,-Base!AP183)</f>
        <v>0</v>
      </c>
      <c r="AP375" s="1124">
        <f>IF($C$348="Full",-Details!AQ183,-Base!AQ183)</f>
        <v>0</v>
      </c>
      <c r="AQ375" s="1124">
        <f>IF($C$348="Full",-Details!AR183,-Base!AR183)</f>
        <v>0</v>
      </c>
      <c r="AR375" s="1124">
        <f>IF($C$348="Full",-Details!AS183,-Base!AS183)</f>
        <v>0</v>
      </c>
      <c r="AS375" s="1124"/>
      <c r="AT375" s="1124"/>
      <c r="AU375" s="1124"/>
      <c r="AV375" s="1124"/>
      <c r="AX375" s="1186">
        <f t="shared" si="43"/>
        <v>27</v>
      </c>
      <c r="AY375" s="1186"/>
      <c r="AZ375" s="1186"/>
      <c r="BA375" s="1186">
        <f t="shared" si="44"/>
        <v>25</v>
      </c>
      <c r="BB375" s="1"/>
      <c r="BC375" s="1"/>
      <c r="BD375" s="1"/>
      <c r="BE375" s="1"/>
      <c r="BJ375" s="3"/>
    </row>
    <row r="376" spans="1:86" hidden="1">
      <c r="A376" s="1437" t="s">
        <v>706</v>
      </c>
      <c r="B376" t="s">
        <v>389</v>
      </c>
      <c r="D376" s="34">
        <f t="shared" si="47"/>
        <v>-381200</v>
      </c>
      <c r="E376" s="1125">
        <f>IF($C$348="Full",-Details!F66,-Base!F66)</f>
        <v>-8000</v>
      </c>
      <c r="F376" s="1125">
        <f>IF($C$348="Full",-Details!G66,-Base!G66)</f>
        <v>-8200</v>
      </c>
      <c r="G376" s="1125">
        <f>IF($C$348="Full",-Details!H66,-Base!H66)</f>
        <v>-8400</v>
      </c>
      <c r="H376" s="1125">
        <f>IF($C$348="Full",-Details!I66,-Base!I66)</f>
        <v>-8700</v>
      </c>
      <c r="I376" s="1125">
        <f>IF($C$348="Full",-Details!J66,-Base!J66)</f>
        <v>-9000</v>
      </c>
      <c r="J376" s="1125">
        <f>IF($C$348="Full",-Details!K66,-Base!K66)</f>
        <v>-9300</v>
      </c>
      <c r="K376" s="1125">
        <f>IF($C$348="Full",-Details!L66,-Base!L66)</f>
        <v>-9600</v>
      </c>
      <c r="L376" s="1125">
        <f>IF($C$348="Full",-Details!M66,-Base!M66)</f>
        <v>-9900</v>
      </c>
      <c r="M376" s="1125">
        <f>IF($C$348="Full",-Details!N66,-Base!N66)</f>
        <v>-10200</v>
      </c>
      <c r="N376" s="1125">
        <f>IF($C$348="Full",-Details!O66,-Base!O66)</f>
        <v>-10500</v>
      </c>
      <c r="O376" s="1125">
        <f>IF($C$348="Full",-Details!P66,-Base!P66)</f>
        <v>-10800</v>
      </c>
      <c r="P376" s="1125">
        <f>IF($C$348="Full",-Details!Q66,-Base!Q66)</f>
        <v>-11100</v>
      </c>
      <c r="Q376" s="1125">
        <f>IF($C$348="Full",-Details!R66,-Base!R66)</f>
        <v>-11400</v>
      </c>
      <c r="R376" s="1125">
        <f>IF($C$348="Full",-Details!S66,-Base!S66)</f>
        <v>-11700</v>
      </c>
      <c r="S376" s="1125">
        <f>IF($C$348="Full",-Details!T66,-Base!T66)</f>
        <v>-12100</v>
      </c>
      <c r="T376" s="1125">
        <f>IF($C$348="Full",-Details!U66,-Base!U66)</f>
        <v>-12500</v>
      </c>
      <c r="U376" s="1125">
        <f>IF($C$348="Full",-Details!V66,-Base!V66)</f>
        <v>-12900</v>
      </c>
      <c r="V376" s="1125">
        <f>IF($C$348="Full",-Details!W66,-Base!W66)</f>
        <v>-13300</v>
      </c>
      <c r="W376" s="1125">
        <f>IF($C$348="Full",-Details!X66,-Base!X66)</f>
        <v>-13700</v>
      </c>
      <c r="X376" s="1125">
        <f>IF($C$348="Full",-Details!Y66,-Base!Y66)</f>
        <v>-14100</v>
      </c>
      <c r="Y376" s="1125">
        <f>IF($C$348="Full",-Details!Z66,-Base!Z66)</f>
        <v>-14500</v>
      </c>
      <c r="Z376" s="1181">
        <f>IF($C$348="Full",-Details!AA66,-Base!AA66)</f>
        <v>-14900</v>
      </c>
      <c r="AA376" s="1125">
        <f>IF($C$348="Full",-Details!AB66,-Base!AB66)</f>
        <v>-15300</v>
      </c>
      <c r="AB376" s="1125">
        <f>IF($C$348="Full",-Details!AC66,-Base!AC66)</f>
        <v>-15800</v>
      </c>
      <c r="AC376" s="1125">
        <f>IF($C$348="Full",-Details!AD66,-Base!AD66)</f>
        <v>-16300</v>
      </c>
      <c r="AD376" s="1125">
        <f>IF($C$348="Full",-Details!AE66,-Base!AE66)</f>
        <v>-16800</v>
      </c>
      <c r="AE376" s="1125">
        <f>IF($C$348="Full",-Details!AF66,-Base!AF66)</f>
        <v>-17300</v>
      </c>
      <c r="AF376" s="1125">
        <f>IF($C$348="Full",-Details!AG66,-Base!AG66)</f>
        <v>-17800</v>
      </c>
      <c r="AG376" s="1125">
        <f>IF($C$348="Full",-Details!AH66,-Base!AH66)</f>
        <v>-18300</v>
      </c>
      <c r="AH376" s="1125">
        <f>IF($C$348="Full",-Details!AI66,-Base!AI66)</f>
        <v>-18800</v>
      </c>
      <c r="AI376" s="1125">
        <f>IF($C$348="Full",-Details!AJ66,-Base!AJ66)</f>
        <v>0</v>
      </c>
      <c r="AJ376" s="1125">
        <f>IF($C$348="Full",-Details!AK66,-Base!AK66)</f>
        <v>0</v>
      </c>
      <c r="AK376" s="1125">
        <f>IF($C$348="Full",-Details!AL66,-Base!AL66)</f>
        <v>0</v>
      </c>
      <c r="AL376" s="1125">
        <f>IF($C$348="Full",-Details!AM66,-Base!AM66)</f>
        <v>0</v>
      </c>
      <c r="AM376" s="1125">
        <f>IF($C$348="Full",-Details!AN66,-Base!AN66)</f>
        <v>0</v>
      </c>
      <c r="AN376" s="1125">
        <f>IF($C$348="Full",-Details!AO66,-Base!AO66)</f>
        <v>0</v>
      </c>
      <c r="AO376" s="1125">
        <f>IF($C$348="Full",-Details!AP66,-Base!AP66)</f>
        <v>0</v>
      </c>
      <c r="AP376" s="1125">
        <f>IF($C$348="Full",-Details!AQ66,-Base!AQ66)</f>
        <v>0</v>
      </c>
      <c r="AQ376" s="1125">
        <f>IF($C$348="Full",-Details!AR66,-Base!AR66)</f>
        <v>0</v>
      </c>
      <c r="AR376" s="1125">
        <f>IF($C$348="Full",-Details!AS66,-Base!AS66)</f>
        <v>0</v>
      </c>
      <c r="AS376" s="1125"/>
      <c r="AT376" s="1125"/>
      <c r="AU376" s="1125"/>
      <c r="AV376" s="1125"/>
      <c r="AX376" s="1186">
        <f t="shared" si="43"/>
        <v>28</v>
      </c>
      <c r="AY376" s="1186"/>
      <c r="AZ376" s="1186"/>
      <c r="BA376" s="1186">
        <f t="shared" si="44"/>
        <v>26</v>
      </c>
      <c r="BB376" s="1"/>
      <c r="BC376" s="1"/>
      <c r="BD376" s="1"/>
      <c r="BE376" s="1"/>
      <c r="BJ376" s="3"/>
    </row>
    <row r="377" spans="1:86" hidden="1">
      <c r="A377" s="1437" t="s">
        <v>706</v>
      </c>
      <c r="B377" t="s">
        <v>391</v>
      </c>
      <c r="D377" s="102">
        <f t="shared" si="47"/>
        <v>1833700</v>
      </c>
      <c r="E377" s="1124">
        <f>+E374+E375+E376</f>
        <v>54700</v>
      </c>
      <c r="F377" s="1124">
        <f t="shared" ref="F377:AQ377" si="49">+F374+F375+F376</f>
        <v>71200</v>
      </c>
      <c r="G377" s="1124">
        <f t="shared" si="49"/>
        <v>57700</v>
      </c>
      <c r="H377" s="1124">
        <f t="shared" si="49"/>
        <v>59200</v>
      </c>
      <c r="I377" s="1124">
        <f t="shared" si="49"/>
        <v>60800</v>
      </c>
      <c r="J377" s="1124">
        <f t="shared" si="49"/>
        <v>62600</v>
      </c>
      <c r="K377" s="1124">
        <f t="shared" si="49"/>
        <v>64700</v>
      </c>
      <c r="L377" s="1124">
        <f t="shared" si="49"/>
        <v>66700</v>
      </c>
      <c r="M377" s="1124">
        <f t="shared" si="49"/>
        <v>28200</v>
      </c>
      <c r="N377" s="1124">
        <f t="shared" si="49"/>
        <v>28500</v>
      </c>
      <c r="O377" s="1124">
        <f t="shared" si="49"/>
        <v>29000</v>
      </c>
      <c r="P377" s="1124">
        <f t="shared" si="49"/>
        <v>29900</v>
      </c>
      <c r="Q377" s="1124">
        <f t="shared" si="49"/>
        <v>35500</v>
      </c>
      <c r="R377" s="1124">
        <f t="shared" si="49"/>
        <v>37200</v>
      </c>
      <c r="S377" s="1124">
        <f t="shared" si="49"/>
        <v>50700</v>
      </c>
      <c r="T377" s="1124">
        <f t="shared" si="49"/>
        <v>57500</v>
      </c>
      <c r="U377" s="1124">
        <f t="shared" si="49"/>
        <v>65600</v>
      </c>
      <c r="V377" s="1124">
        <f t="shared" si="49"/>
        <v>68800</v>
      </c>
      <c r="W377" s="1124">
        <f t="shared" si="49"/>
        <v>59600</v>
      </c>
      <c r="X377" s="1124">
        <f t="shared" si="49"/>
        <v>60900</v>
      </c>
      <c r="Y377" s="1124">
        <f t="shared" si="49"/>
        <v>63800</v>
      </c>
      <c r="Z377" s="1180">
        <f t="shared" si="49"/>
        <v>67000</v>
      </c>
      <c r="AA377" s="1124">
        <f t="shared" si="49"/>
        <v>72200</v>
      </c>
      <c r="AB377" s="1124">
        <f t="shared" si="49"/>
        <v>81400</v>
      </c>
      <c r="AC377" s="1124">
        <f t="shared" si="49"/>
        <v>83000</v>
      </c>
      <c r="AD377" s="1124">
        <f t="shared" si="49"/>
        <v>86400</v>
      </c>
      <c r="AE377" s="1124">
        <f t="shared" si="49"/>
        <v>87800</v>
      </c>
      <c r="AF377" s="1124">
        <f t="shared" si="49"/>
        <v>80500</v>
      </c>
      <c r="AG377" s="1124">
        <f t="shared" si="49"/>
        <v>80500</v>
      </c>
      <c r="AH377" s="1124">
        <f t="shared" si="49"/>
        <v>82100</v>
      </c>
      <c r="AI377" s="1124">
        <f t="shared" si="49"/>
        <v>0</v>
      </c>
      <c r="AJ377" s="1124">
        <f t="shared" si="49"/>
        <v>0</v>
      </c>
      <c r="AK377" s="1124">
        <f t="shared" si="49"/>
        <v>0</v>
      </c>
      <c r="AL377" s="1124">
        <f t="shared" si="49"/>
        <v>0</v>
      </c>
      <c r="AM377" s="1124">
        <f t="shared" si="49"/>
        <v>0</v>
      </c>
      <c r="AN377" s="1124">
        <f t="shared" si="49"/>
        <v>0</v>
      </c>
      <c r="AO377" s="1124">
        <f t="shared" si="49"/>
        <v>0</v>
      </c>
      <c r="AP377" s="1124">
        <f t="shared" si="49"/>
        <v>0</v>
      </c>
      <c r="AQ377" s="1124">
        <f t="shared" si="49"/>
        <v>0</v>
      </c>
      <c r="AR377" s="1124">
        <f>+AR374+AR375+AR376</f>
        <v>0</v>
      </c>
      <c r="AS377" s="1124"/>
      <c r="AT377" s="1124"/>
      <c r="AU377" s="1124"/>
      <c r="AV377" s="1124"/>
      <c r="AX377" s="1186">
        <f t="shared" si="43"/>
        <v>29</v>
      </c>
      <c r="AY377" s="1186"/>
      <c r="AZ377" s="1186"/>
      <c r="BA377" s="1186">
        <f t="shared" si="44"/>
        <v>27</v>
      </c>
      <c r="BB377" s="1"/>
      <c r="BC377" s="1"/>
      <c r="BD377" s="1"/>
      <c r="BE377" s="1"/>
      <c r="BJ377" s="3"/>
    </row>
    <row r="378" spans="1:86" hidden="1">
      <c r="A378" s="1437" t="s">
        <v>706</v>
      </c>
      <c r="B378" s="72" t="s">
        <v>1651</v>
      </c>
      <c r="D378" s="102">
        <f t="shared" si="47"/>
        <v>384700</v>
      </c>
      <c r="E378" s="1124">
        <f>IF($C$348="Full",Details!F208,Base!F208)</f>
        <v>0</v>
      </c>
      <c r="F378" s="1124">
        <f>IF($C$348="Full",Details!G208,Base!G208)</f>
        <v>0</v>
      </c>
      <c r="G378" s="1124">
        <f>IF($C$348="Full",Details!H208,Base!H208)</f>
        <v>0</v>
      </c>
      <c r="H378" s="1124">
        <f>IF($C$348="Full",Details!I208,Base!I208)</f>
        <v>0</v>
      </c>
      <c r="I378" s="1124">
        <f>IF($C$348="Full",Details!J208,Base!J208)</f>
        <v>0</v>
      </c>
      <c r="J378" s="1124">
        <f>IF($C$348="Full",Details!K208,Base!K208)</f>
        <v>0</v>
      </c>
      <c r="K378" s="1124">
        <f>IF($C$348="Full",Details!L208,Base!L208)</f>
        <v>0</v>
      </c>
      <c r="L378" s="1124">
        <f>IF($C$348="Full",Details!M208,Base!M208)</f>
        <v>0</v>
      </c>
      <c r="M378" s="1124">
        <f>IF($C$348="Full",Details!N208,Base!N208)</f>
        <v>0</v>
      </c>
      <c r="N378" s="1124">
        <f>IF($C$348="Full",Details!O208,Base!O208)</f>
        <v>0</v>
      </c>
      <c r="O378" s="1124">
        <f>IF($C$348="Full",Details!P208,Base!P208)</f>
        <v>0</v>
      </c>
      <c r="P378" s="1124">
        <f>IF($C$348="Full",Details!Q208,Base!Q208)</f>
        <v>0</v>
      </c>
      <c r="Q378" s="1124">
        <f>IF($C$348="Full",Details!R208,Base!R208)</f>
        <v>0</v>
      </c>
      <c r="R378" s="1124">
        <f>IF($C$348="Full",Details!S208,Base!S208)</f>
        <v>0</v>
      </c>
      <c r="S378" s="1124">
        <f>IF($C$348="Full",Details!T208,Base!T208)</f>
        <v>0</v>
      </c>
      <c r="T378" s="1124">
        <f>IF($C$348="Full",Details!U208,Base!U208)</f>
        <v>0</v>
      </c>
      <c r="U378" s="1124">
        <f>IF($C$348="Full",Details!V208,Base!V208)</f>
        <v>0</v>
      </c>
      <c r="V378" s="1124">
        <f>IF($C$348="Full",Details!W208,Base!W208)</f>
        <v>0</v>
      </c>
      <c r="W378" s="1124">
        <f>IF($C$348="Full",Details!X208,Base!X208)</f>
        <v>0</v>
      </c>
      <c r="X378" s="1124">
        <f>IF($C$348="Full",Details!Y208,Base!Y208)</f>
        <v>0</v>
      </c>
      <c r="Y378" s="1124">
        <f>IF($C$348="Full",Details!Z208,Base!Z208)</f>
        <v>0</v>
      </c>
      <c r="Z378" s="1180">
        <f>IF($C$348="Full",Details!AA208,Base!AA208)</f>
        <v>0</v>
      </c>
      <c r="AA378" s="1124">
        <f>IF($C$348="Full",Details!AB208,Base!AB208)</f>
        <v>60300</v>
      </c>
      <c r="AB378" s="1124">
        <f>IF($C$348="Full",Details!AC208,Base!AC208)</f>
        <v>61500</v>
      </c>
      <c r="AC378" s="1124">
        <f>IF($C$348="Full",Details!AD208,Base!AD208)</f>
        <v>41700</v>
      </c>
      <c r="AD378" s="1124">
        <f>IF($C$348="Full",Details!AE208,Base!AE208)</f>
        <v>42500</v>
      </c>
      <c r="AE378" s="1124">
        <f>IF($C$348="Full",Details!AF208,Base!AF208)</f>
        <v>43400</v>
      </c>
      <c r="AF378" s="1124">
        <f>IF($C$348="Full",Details!AG208,Base!AG208)</f>
        <v>44200</v>
      </c>
      <c r="AG378" s="1124">
        <f>IF($C$348="Full",Details!AH208,Base!AH208)</f>
        <v>45100</v>
      </c>
      <c r="AH378" s="1124">
        <f>IF($C$348="Full",Details!AI208,Base!AI208)</f>
        <v>46000</v>
      </c>
      <c r="AI378" s="1124">
        <f>IF($C$348="Full",Details!AJ208,Base!AJ208)</f>
        <v>0</v>
      </c>
      <c r="AJ378" s="1124">
        <f>IF($C$348="Full",Details!AK208,Base!AK208)</f>
        <v>0</v>
      </c>
      <c r="AK378" s="1124">
        <f>IF($C$348="Full",Details!AL208,Base!AL208)</f>
        <v>0</v>
      </c>
      <c r="AL378" s="1124">
        <f>IF($C$348="Full",Details!AM208,Base!AM208)</f>
        <v>0</v>
      </c>
      <c r="AM378" s="1124">
        <f>IF($C$348="Full",Details!AN208,Base!AN208)</f>
        <v>0</v>
      </c>
      <c r="AN378" s="1124">
        <f>IF($C$348="Full",Details!AO208,Base!AO208)</f>
        <v>0</v>
      </c>
      <c r="AO378" s="1124">
        <f>IF($C$348="Full",Details!AP208,Base!AP208)</f>
        <v>0</v>
      </c>
      <c r="AP378" s="1124">
        <f>IF($C$348="Full",Details!AQ208,Base!AQ208)</f>
        <v>0</v>
      </c>
      <c r="AQ378" s="1124">
        <f>IF($C$348="Full",Details!AR208,Base!AR208)</f>
        <v>0</v>
      </c>
      <c r="AR378" s="1124">
        <f>IF($C$348="Full",Details!AS208,Base!AS208)</f>
        <v>0</v>
      </c>
      <c r="AS378" s="1124"/>
      <c r="AT378" s="1124"/>
      <c r="AU378" s="1124"/>
      <c r="AV378" s="1124"/>
      <c r="AX378" s="1186">
        <f t="shared" si="43"/>
        <v>30</v>
      </c>
      <c r="AY378" s="1186"/>
      <c r="AZ378" s="1186"/>
      <c r="BA378" s="1186">
        <f t="shared" si="44"/>
        <v>28</v>
      </c>
      <c r="BB378" s="1"/>
      <c r="BC378" s="1"/>
      <c r="BD378" s="1"/>
      <c r="BE378" s="1"/>
      <c r="BJ378" s="3"/>
    </row>
    <row r="379" spans="1:86" s="1" customFormat="1" hidden="1">
      <c r="A379" s="1437" t="s">
        <v>706</v>
      </c>
      <c r="B379" s="72" t="s">
        <v>1652</v>
      </c>
      <c r="C379"/>
      <c r="D379" s="102">
        <f t="shared" si="47"/>
        <v>313200</v>
      </c>
      <c r="E379" s="1124">
        <f>IF($C$348="Full",Details!F209,Base!F209)</f>
        <v>8000</v>
      </c>
      <c r="F379" s="1124">
        <f>IF($C$348="Full",Details!G209,Base!G209)</f>
        <v>8200</v>
      </c>
      <c r="G379" s="1124">
        <f>IF($C$348="Full",Details!H209,Base!H209)</f>
        <v>8400</v>
      </c>
      <c r="H379" s="1124">
        <f>IF($C$348="Full",Details!I209,Base!I209)</f>
        <v>8700</v>
      </c>
      <c r="I379" s="1124">
        <f>IF($C$348="Full",Details!J209,Base!J209)</f>
        <v>9000</v>
      </c>
      <c r="J379" s="1124">
        <f>IF($C$348="Full",Details!K209,Base!K209)</f>
        <v>9300</v>
      </c>
      <c r="K379" s="1124">
        <f>IF($C$348="Full",Details!L209,Base!L209)</f>
        <v>9600</v>
      </c>
      <c r="L379" s="1124">
        <f>IF($C$348="Full",Details!M209,Base!M209)</f>
        <v>9900</v>
      </c>
      <c r="M379" s="1124">
        <f>IF($C$348="Full",Details!N209,Base!N209)</f>
        <v>10200</v>
      </c>
      <c r="N379" s="1124">
        <f>IF($C$348="Full",Details!O209,Base!O209)</f>
        <v>10500</v>
      </c>
      <c r="O379" s="1124">
        <f>IF($C$348="Full",Details!P209,Base!P209)</f>
        <v>10800</v>
      </c>
      <c r="P379" s="1124">
        <f>IF($C$348="Full",Details!Q209,Base!Q209)</f>
        <v>11100</v>
      </c>
      <c r="Q379" s="1124">
        <f>IF($C$348="Full",Details!R209,Base!R209)</f>
        <v>11400</v>
      </c>
      <c r="R379" s="1124">
        <f>IF($C$348="Full",Details!S209,Base!S209)</f>
        <v>11700</v>
      </c>
      <c r="S379" s="1124">
        <f>IF($C$348="Full",Details!T209,Base!T209)</f>
        <v>12100</v>
      </c>
      <c r="T379" s="1124">
        <f>IF($C$348="Full",Details!U209,Base!U209)</f>
        <v>12500</v>
      </c>
      <c r="U379" s="1124">
        <f>IF($C$348="Full",Details!V209,Base!V209)</f>
        <v>12900</v>
      </c>
      <c r="V379" s="1124">
        <f>IF($C$348="Full",Details!W209,Base!W209)</f>
        <v>13300</v>
      </c>
      <c r="W379" s="1124">
        <f>IF($C$348="Full",Details!X209,Base!X209)</f>
        <v>13700</v>
      </c>
      <c r="X379" s="1124">
        <f>IF($C$348="Full",Details!Y209,Base!Y209)</f>
        <v>14100</v>
      </c>
      <c r="Y379" s="1124">
        <f>IF($C$348="Full",Details!Z209,Base!Z209)</f>
        <v>14500</v>
      </c>
      <c r="Z379" s="1180">
        <f>IF($C$348="Full",Details!AA209,Base!AA209)</f>
        <v>14900</v>
      </c>
      <c r="AA379" s="1124">
        <f>IF($C$348="Full",Details!AB209,Base!AB209)</f>
        <v>7700</v>
      </c>
      <c r="AB379" s="1124">
        <f>IF($C$348="Full",Details!AC209,Base!AC209)</f>
        <v>7900</v>
      </c>
      <c r="AC379" s="1124">
        <f>IF($C$348="Full",Details!AD209,Base!AD209)</f>
        <v>8200</v>
      </c>
      <c r="AD379" s="1124">
        <f>IF($C$348="Full",Details!AE209,Base!AE209)</f>
        <v>8400</v>
      </c>
      <c r="AE379" s="1124">
        <f>IF($C$348="Full",Details!AF209,Base!AF209)</f>
        <v>8700</v>
      </c>
      <c r="AF379" s="1124">
        <f>IF($C$348="Full",Details!AG209,Base!AG209)</f>
        <v>8900</v>
      </c>
      <c r="AG379" s="1124">
        <f>IF($C$348="Full",Details!AH209,Base!AH209)</f>
        <v>9200</v>
      </c>
      <c r="AH379" s="1124">
        <f>IF($C$348="Full",Details!AI209,Base!AI209)</f>
        <v>9400</v>
      </c>
      <c r="AI379" s="1124">
        <f>IF($C$348="Full",Details!AJ209,Base!AJ209)</f>
        <v>0</v>
      </c>
      <c r="AJ379" s="1124">
        <f>IF($C$348="Full",Details!AK209,Base!AK209)</f>
        <v>0</v>
      </c>
      <c r="AK379" s="1124">
        <f>IF($C$348="Full",Details!AL209,Base!AL209)</f>
        <v>0</v>
      </c>
      <c r="AL379" s="1124">
        <f>IF($C$348="Full",Details!AM209,Base!AM209)</f>
        <v>0</v>
      </c>
      <c r="AM379" s="1124">
        <f>IF($C$348="Full",Details!AN209,Base!AN209)</f>
        <v>0</v>
      </c>
      <c r="AN379" s="1124">
        <f>IF($C$348="Full",Details!AO209,Base!AO209)</f>
        <v>0</v>
      </c>
      <c r="AO379" s="1124">
        <f>IF($C$348="Full",Details!AP209,Base!AP209)</f>
        <v>0</v>
      </c>
      <c r="AP379" s="1124">
        <f>IF($C$348="Full",Details!AQ209,Base!AQ209)</f>
        <v>0</v>
      </c>
      <c r="AQ379" s="1124">
        <f>IF($C$348="Full",Details!AR209,Base!AR209)</f>
        <v>0</v>
      </c>
      <c r="AR379" s="1124">
        <f>IF($C$348="Full",Details!AS209,Base!AS209)</f>
        <v>0</v>
      </c>
      <c r="AS379" s="1124"/>
      <c r="AT379" s="1124"/>
      <c r="AU379" s="1124"/>
      <c r="AV379" s="1124"/>
      <c r="AW379" s="3"/>
      <c r="AX379" s="1453">
        <f t="shared" si="43"/>
        <v>31</v>
      </c>
      <c r="AY379" s="1453"/>
      <c r="AZ379" s="1453"/>
      <c r="BA379" s="1453">
        <f t="shared" si="44"/>
        <v>29</v>
      </c>
      <c r="BJ379" s="89"/>
      <c r="CH379" s="89"/>
    </row>
    <row r="380" spans="1:86" hidden="1">
      <c r="A380" s="1452" t="s">
        <v>706</v>
      </c>
      <c r="B380" s="1" t="s">
        <v>1482</v>
      </c>
      <c r="C380" s="1"/>
      <c r="D380" s="102">
        <f t="shared" si="47"/>
        <v>117200</v>
      </c>
      <c r="E380" s="1147">
        <f>IF($C$348="Full",Details!F210,Base!F210)</f>
        <v>2900</v>
      </c>
      <c r="F380" s="1147">
        <f>IF($C$348="Full",Details!G210,Base!G210)</f>
        <v>2800</v>
      </c>
      <c r="G380" s="1147">
        <f>IF($C$348="Full",Details!H210,Base!H210)</f>
        <v>2700</v>
      </c>
      <c r="H380" s="1147">
        <f>IF($C$348="Full",Details!I210,Base!I210)</f>
        <v>2500</v>
      </c>
      <c r="I380" s="1147">
        <f>IF($C$348="Full",Details!J210,Base!J210)</f>
        <v>2300</v>
      </c>
      <c r="J380" s="1147">
        <f>IF($C$348="Full",Details!K210,Base!K210)</f>
        <v>2300</v>
      </c>
      <c r="K380" s="1147">
        <f>IF($C$348="Full",Details!L210,Base!L210)</f>
        <v>2400</v>
      </c>
      <c r="L380" s="1147">
        <f>IF($C$348="Full",Details!M210,Base!M210)</f>
        <v>2600</v>
      </c>
      <c r="M380" s="1147">
        <f>IF($C$348="Full",Details!N210,Base!N210)</f>
        <v>2800</v>
      </c>
      <c r="N380" s="1147">
        <f>IF($C$348="Full",Details!O210,Base!O210)</f>
        <v>3300</v>
      </c>
      <c r="O380" s="1147">
        <f>IF($C$348="Full",Details!P210,Base!P210)</f>
        <v>3200</v>
      </c>
      <c r="P380" s="1147">
        <f>IF($C$348="Full",Details!Q210,Base!Q210)</f>
        <v>3500</v>
      </c>
      <c r="Q380" s="1147">
        <f>IF($C$348="Full",Details!R210,Base!R210)</f>
        <v>4200</v>
      </c>
      <c r="R380" s="1147">
        <f>IF($C$348="Full",Details!S210,Base!S210)</f>
        <v>4700</v>
      </c>
      <c r="S380" s="1147">
        <f>IF($C$348="Full",Details!T210,Base!T210)</f>
        <v>4800</v>
      </c>
      <c r="T380" s="1147">
        <f>IF($C$348="Full",Details!U210,Base!U210)</f>
        <v>5400</v>
      </c>
      <c r="U380" s="1147">
        <f>IF($C$348="Full",Details!V210,Base!V210)</f>
        <v>6700</v>
      </c>
      <c r="V380" s="1147">
        <f>IF($C$348="Full",Details!W210,Base!W210)</f>
        <v>7600</v>
      </c>
      <c r="W380" s="1147">
        <f>IF($C$348="Full",Details!X210,Base!X210)</f>
        <v>11500</v>
      </c>
      <c r="X380" s="1147">
        <f>IF($C$348="Full",Details!Y210,Base!Y210)</f>
        <v>12200</v>
      </c>
      <c r="Y380" s="1147">
        <f>IF($C$348="Full",Details!Z210,Base!Z210)</f>
        <v>13000</v>
      </c>
      <c r="Z380" s="1451">
        <f>IF($C$348="Full",Details!AA210,Base!AA210)</f>
        <v>13800</v>
      </c>
      <c r="AA380" s="1147">
        <f>IF($C$348="Full",Details!AB210,Base!AB210)</f>
        <v>0</v>
      </c>
      <c r="AB380" s="1147">
        <f>IF($C$348="Full",Details!AC210,Base!AC210)</f>
        <v>0</v>
      </c>
      <c r="AC380" s="1147">
        <f>IF($C$348="Full",Details!AD210,Base!AD210)</f>
        <v>0</v>
      </c>
      <c r="AD380" s="1147">
        <f>IF($C$348="Full",Details!AE210,Base!AE210)</f>
        <v>0</v>
      </c>
      <c r="AE380" s="1147">
        <f>IF($C$348="Full",Details!AF210,Base!AF210)</f>
        <v>0</v>
      </c>
      <c r="AF380" s="1147">
        <f>IF($C$348="Full",Details!AG210,Base!AG210)</f>
        <v>0</v>
      </c>
      <c r="AG380" s="1147">
        <f>IF($C$348="Full",Details!AH210,Base!AH210)</f>
        <v>0</v>
      </c>
      <c r="AH380" s="1147">
        <f>IF($C$348="Full",Details!AI210,Base!AI210)</f>
        <v>0</v>
      </c>
      <c r="AI380" s="1147">
        <f>IF($C$348="Full",Details!AJ210,Base!AJ210)</f>
        <v>0</v>
      </c>
      <c r="AJ380" s="1147">
        <f>IF($C$348="Full",Details!AK210,Base!AK210)</f>
        <v>0</v>
      </c>
      <c r="AK380" s="1147">
        <f>IF($C$348="Full",Details!AL210,Base!AL210)</f>
        <v>0</v>
      </c>
      <c r="AL380" s="1147">
        <f>IF($C$348="Full",Details!AM210,Base!AM210)</f>
        <v>0</v>
      </c>
      <c r="AM380" s="1147">
        <f>IF($C$348="Full",Details!AN210,Base!AN210)</f>
        <v>0</v>
      </c>
      <c r="AN380" s="1147">
        <f>IF($C$348="Full",Details!AO210,Base!AO210)</f>
        <v>0</v>
      </c>
      <c r="AO380" s="1147">
        <f>IF($C$348="Full",Details!AP210,Base!AP210)</f>
        <v>0</v>
      </c>
      <c r="AP380" s="1147">
        <f>IF($C$348="Full",Details!AQ210,Base!AQ210)</f>
        <v>0</v>
      </c>
      <c r="AQ380" s="1147">
        <f>IF($C$348="Full",Details!AR210,Base!AR210)</f>
        <v>0</v>
      </c>
      <c r="AR380" s="1147">
        <f>IF($C$348="Full",Details!AS210,Base!AS210)</f>
        <v>0</v>
      </c>
      <c r="AS380" s="1147"/>
      <c r="AT380" s="1147"/>
      <c r="AU380" s="1147"/>
      <c r="AV380" s="1147"/>
      <c r="AW380" s="89"/>
      <c r="AX380" s="1186">
        <f>+AX379+1</f>
        <v>32</v>
      </c>
      <c r="AY380" s="1186"/>
      <c r="AZ380" s="1186"/>
      <c r="BA380" s="1186">
        <f>+BA379+1</f>
        <v>30</v>
      </c>
      <c r="BB380" s="1"/>
      <c r="BC380" s="1"/>
      <c r="BD380" s="1"/>
      <c r="BE380" s="1"/>
      <c r="BJ380" s="3"/>
    </row>
    <row r="381" spans="1:86" hidden="1">
      <c r="A381" s="1437" t="s">
        <v>706</v>
      </c>
      <c r="B381" s="1419" t="s">
        <v>1514</v>
      </c>
      <c r="D381" s="34">
        <f t="shared" si="47"/>
        <v>0</v>
      </c>
      <c r="E381" s="1125">
        <f>IF($C$348="Full",Details!F211,Base!F211)</f>
        <v>0</v>
      </c>
      <c r="F381" s="1125">
        <f>IF($C$348="Full",Details!G211,Base!G211)</f>
        <v>0</v>
      </c>
      <c r="G381" s="1125">
        <f>IF($C$348="Full",Details!H211,Base!H211)</f>
        <v>0</v>
      </c>
      <c r="H381" s="1125">
        <f>IF($C$348="Full",Details!I211,Base!I211)</f>
        <v>0</v>
      </c>
      <c r="I381" s="1125">
        <f>IF($C$348="Full",Details!J211,Base!J211)</f>
        <v>0</v>
      </c>
      <c r="J381" s="1125">
        <f>IF($C$348="Full",Details!K211,Base!K211)</f>
        <v>0</v>
      </c>
      <c r="K381" s="1125">
        <f>IF($C$348="Full",Details!L211,Base!L211)</f>
        <v>0</v>
      </c>
      <c r="L381" s="1125">
        <f>IF($C$348="Full",Details!M211,Base!M211)</f>
        <v>0</v>
      </c>
      <c r="M381" s="1125">
        <f>IF($C$348="Full",Details!N211,Base!N211)</f>
        <v>0</v>
      </c>
      <c r="N381" s="1125">
        <f>IF($C$348="Full",Details!O211,Base!O211)</f>
        <v>0</v>
      </c>
      <c r="O381" s="1125">
        <f>IF($C$348="Full",Details!P211,Base!P211)</f>
        <v>0</v>
      </c>
      <c r="P381" s="1125">
        <f>IF($C$348="Full",Details!Q211,Base!Q211)</f>
        <v>0</v>
      </c>
      <c r="Q381" s="1125">
        <f>IF($C$348="Full",Details!R211,Base!R211)</f>
        <v>0</v>
      </c>
      <c r="R381" s="1125">
        <f>IF($C$348="Full",Details!S211,Base!S211)</f>
        <v>0</v>
      </c>
      <c r="S381" s="1125">
        <f>IF($C$348="Full",Details!T211,Base!T211)</f>
        <v>0</v>
      </c>
      <c r="T381" s="1125">
        <f>IF($C$348="Full",Details!U211,Base!U211)</f>
        <v>0</v>
      </c>
      <c r="U381" s="1125">
        <f>IF($C$348="Full",Details!V211,Base!V211)</f>
        <v>0</v>
      </c>
      <c r="V381" s="1125">
        <f>IF($C$348="Full",Details!W211,Base!W211)</f>
        <v>0</v>
      </c>
      <c r="W381" s="1125">
        <f>IF($C$348="Full",Details!X211,Base!X211)</f>
        <v>0</v>
      </c>
      <c r="X381" s="1125">
        <f>IF($C$348="Full",Details!Y211,Base!Y211)</f>
        <v>0</v>
      </c>
      <c r="Y381" s="1125">
        <f>IF($C$348="Full",Details!Z211,Base!Z211)</f>
        <v>0</v>
      </c>
      <c r="Z381" s="1181">
        <f>IF($C$348="Full",Details!AA211,Base!AA211)</f>
        <v>0</v>
      </c>
      <c r="AA381" s="1125">
        <f>IF($C$348="Full",Details!AB211,Base!AB211)</f>
        <v>0</v>
      </c>
      <c r="AB381" s="1125">
        <f>IF($C$348="Full",Details!AC211,Base!AC211)</f>
        <v>0</v>
      </c>
      <c r="AC381" s="1125">
        <f>IF($C$348="Full",Details!AD211,Base!AD211)</f>
        <v>0</v>
      </c>
      <c r="AD381" s="1125">
        <f>IF($C$348="Full",Details!AE211,Base!AE211)</f>
        <v>0</v>
      </c>
      <c r="AE381" s="1125">
        <f>IF($C$348="Full",Details!AF211,Base!AF211)</f>
        <v>0</v>
      </c>
      <c r="AF381" s="1125">
        <f>IF($C$348="Full",Details!AG211,Base!AG211)</f>
        <v>0</v>
      </c>
      <c r="AG381" s="1125">
        <f>IF($C$348="Full",Details!AH211,Base!AH211)</f>
        <v>0</v>
      </c>
      <c r="AH381" s="1125">
        <f>IF($C$348="Full",Details!AI211,Base!AI211)</f>
        <v>0</v>
      </c>
      <c r="AI381" s="1125">
        <f>IF($C$348="Full",Details!AJ211,Base!AJ211)</f>
        <v>0</v>
      </c>
      <c r="AJ381" s="1125">
        <f>IF($C$348="Full",Details!AK211,Base!AK211)</f>
        <v>0</v>
      </c>
      <c r="AK381" s="1125">
        <f>IF($C$348="Full",Details!AL211,Base!AL211)</f>
        <v>0</v>
      </c>
      <c r="AL381" s="1125">
        <f>IF($C$348="Full",Details!AM211,Base!AM211)</f>
        <v>0</v>
      </c>
      <c r="AM381" s="1125">
        <f>IF($C$348="Full",Details!AN211,Base!AN211)</f>
        <v>0</v>
      </c>
      <c r="AN381" s="1125">
        <f>IF($C$348="Full",Details!AO211,Base!AO211)</f>
        <v>0</v>
      </c>
      <c r="AO381" s="1125">
        <f>IF($C$348="Full",Details!AP211,Base!AP211)</f>
        <v>0</v>
      </c>
      <c r="AP381" s="1125">
        <f>IF($C$348="Full",Details!AQ211,Base!AQ211)</f>
        <v>0</v>
      </c>
      <c r="AQ381" s="1125">
        <f>IF($C$348="Full",Details!AR211,Base!AR211)</f>
        <v>0</v>
      </c>
      <c r="AR381" s="1125">
        <f>IF($C$348="Full",Details!AS211,Base!AS211)</f>
        <v>0</v>
      </c>
      <c r="AS381" s="1125"/>
      <c r="AT381" s="1125"/>
      <c r="AU381" s="1125"/>
      <c r="AV381" s="1125"/>
      <c r="AX381" s="1186">
        <f t="shared" ref="AX381:BA383" si="50">+AX380+1</f>
        <v>33</v>
      </c>
      <c r="AY381" s="1186"/>
      <c r="AZ381" s="1186"/>
      <c r="BA381" s="1186">
        <f t="shared" si="50"/>
        <v>31</v>
      </c>
      <c r="BB381" s="1"/>
      <c r="BC381" s="1"/>
      <c r="BD381" s="1"/>
      <c r="BE381" s="1"/>
      <c r="BJ381" s="3"/>
    </row>
    <row r="382" spans="1:86" ht="15.6" hidden="1">
      <c r="A382" s="1437" t="s">
        <v>706</v>
      </c>
      <c r="B382" s="22" t="s">
        <v>390</v>
      </c>
      <c r="D382" s="102">
        <f t="shared" si="47"/>
        <v>2648800</v>
      </c>
      <c r="E382" s="1124">
        <f>+E377+E378+E379+E380+E381</f>
        <v>65600</v>
      </c>
      <c r="F382" s="1124">
        <f>+F377+F378+F379+F380+F381</f>
        <v>82200</v>
      </c>
      <c r="G382" s="1124">
        <f t="shared" ref="G382:AV382" si="51">+G377+G378+G379+G380+G381</f>
        <v>68800</v>
      </c>
      <c r="H382" s="1124">
        <f t="shared" si="51"/>
        <v>70400</v>
      </c>
      <c r="I382" s="1124">
        <f t="shared" si="51"/>
        <v>72100</v>
      </c>
      <c r="J382" s="1124">
        <f t="shared" si="51"/>
        <v>74200</v>
      </c>
      <c r="K382" s="1124">
        <f t="shared" si="51"/>
        <v>76700</v>
      </c>
      <c r="L382" s="1124">
        <f t="shared" si="51"/>
        <v>79200</v>
      </c>
      <c r="M382" s="1124">
        <f t="shared" si="51"/>
        <v>41200</v>
      </c>
      <c r="N382" s="1124">
        <f t="shared" si="51"/>
        <v>42300</v>
      </c>
      <c r="O382" s="1124">
        <f t="shared" si="51"/>
        <v>43000</v>
      </c>
      <c r="P382" s="1124">
        <f t="shared" si="51"/>
        <v>44500</v>
      </c>
      <c r="Q382" s="1124">
        <f t="shared" si="51"/>
        <v>51100</v>
      </c>
      <c r="R382" s="1124">
        <f t="shared" si="51"/>
        <v>53600</v>
      </c>
      <c r="S382" s="1124">
        <f t="shared" si="51"/>
        <v>67600</v>
      </c>
      <c r="T382" s="1124">
        <f t="shared" si="51"/>
        <v>75400</v>
      </c>
      <c r="U382" s="1124">
        <f t="shared" si="51"/>
        <v>85200</v>
      </c>
      <c r="V382" s="1124">
        <f t="shared" si="51"/>
        <v>89700</v>
      </c>
      <c r="W382" s="1124">
        <f t="shared" si="51"/>
        <v>84800</v>
      </c>
      <c r="X382" s="1124">
        <f t="shared" si="51"/>
        <v>87200</v>
      </c>
      <c r="Y382" s="1124">
        <f t="shared" si="51"/>
        <v>91300</v>
      </c>
      <c r="Z382" s="1124">
        <f t="shared" si="51"/>
        <v>95700</v>
      </c>
      <c r="AA382" s="1124">
        <f t="shared" si="51"/>
        <v>140200</v>
      </c>
      <c r="AB382" s="1124">
        <f t="shared" si="51"/>
        <v>150800</v>
      </c>
      <c r="AC382" s="1124">
        <f t="shared" si="51"/>
        <v>132900</v>
      </c>
      <c r="AD382" s="1124">
        <f t="shared" si="51"/>
        <v>137300</v>
      </c>
      <c r="AE382" s="1124">
        <f t="shared" si="51"/>
        <v>139900</v>
      </c>
      <c r="AF382" s="1124">
        <f t="shared" si="51"/>
        <v>133600</v>
      </c>
      <c r="AG382" s="1124">
        <f t="shared" si="51"/>
        <v>134800</v>
      </c>
      <c r="AH382" s="1124">
        <f t="shared" si="51"/>
        <v>137500</v>
      </c>
      <c r="AI382" s="1124">
        <f t="shared" si="51"/>
        <v>0</v>
      </c>
      <c r="AJ382" s="1124">
        <f t="shared" si="51"/>
        <v>0</v>
      </c>
      <c r="AK382" s="1124">
        <f t="shared" si="51"/>
        <v>0</v>
      </c>
      <c r="AL382" s="1124">
        <f t="shared" si="51"/>
        <v>0</v>
      </c>
      <c r="AM382" s="1124">
        <f t="shared" si="51"/>
        <v>0</v>
      </c>
      <c r="AN382" s="1124">
        <f t="shared" si="51"/>
        <v>0</v>
      </c>
      <c r="AO382" s="1124">
        <f t="shared" si="51"/>
        <v>0</v>
      </c>
      <c r="AP382" s="1124">
        <f t="shared" si="51"/>
        <v>0</v>
      </c>
      <c r="AQ382" s="1124">
        <f t="shared" si="51"/>
        <v>0</v>
      </c>
      <c r="AR382" s="1124">
        <f t="shared" si="51"/>
        <v>0</v>
      </c>
      <c r="AS382" s="1124"/>
      <c r="AT382" s="1124"/>
      <c r="AU382" s="1124"/>
      <c r="AV382" s="1124">
        <f t="shared" si="51"/>
        <v>0</v>
      </c>
      <c r="AX382" s="1186">
        <f t="shared" si="50"/>
        <v>34</v>
      </c>
      <c r="AY382" s="1186"/>
      <c r="AZ382" s="1186"/>
      <c r="BA382" s="1186">
        <f t="shared" si="50"/>
        <v>32</v>
      </c>
      <c r="BB382" s="1"/>
      <c r="BC382" s="1"/>
      <c r="BD382" s="1"/>
      <c r="BE382" s="1"/>
      <c r="BJ382" s="3"/>
    </row>
    <row r="383" spans="1:86" hidden="1">
      <c r="A383" s="1437" t="s">
        <v>706</v>
      </c>
      <c r="B383" s="150" t="s">
        <v>1649</v>
      </c>
      <c r="D383" s="34">
        <f t="shared" si="47"/>
        <v>-691250</v>
      </c>
      <c r="E383" s="1125">
        <f>IF(State_Method="percent",0,IF($C$348="Full",Details!F216+Details!F217,Base!F216+Base!F217))</f>
        <v>-29000</v>
      </c>
      <c r="F383" s="1125">
        <f>IF(State_Method="percent",0,IF($C$348="Full",Details!G216+Details!G217,Base!G216+Base!G217))</f>
        <v>-30350</v>
      </c>
      <c r="G383" s="1125">
        <f>IF(State_Method="percent",0,IF($C$348="Full",Details!H216+Details!H217,Base!H216+Base!H217))</f>
        <v>-31750</v>
      </c>
      <c r="H383" s="1125">
        <f>IF(State_Method="percent",0,IF($C$348="Full",Details!I216+Details!I217,Base!I216+Base!I217))</f>
        <v>-33250</v>
      </c>
      <c r="I383" s="1125">
        <f>IF(State_Method="percent",0,IF($C$348="Full",Details!J216+Details!J217,Base!J216+Base!J217))</f>
        <v>-34800</v>
      </c>
      <c r="J383" s="1125">
        <f>IF(State_Method="percent",0,IF($C$348="Full",Details!K216+Details!K217,Base!K216+Base!K217))</f>
        <v>-36400</v>
      </c>
      <c r="K383" s="1125">
        <f>IF(State_Method="percent",0,IF($C$348="Full",Details!L216+Details!L217,Base!L216+Base!L217))</f>
        <v>-38100</v>
      </c>
      <c r="L383" s="1125">
        <f>IF(State_Method="percent",0,IF($C$348="Full",Details!M216+Details!M217,Base!M216+Base!M217))</f>
        <v>-16350</v>
      </c>
      <c r="M383" s="1125">
        <f>IF(State_Method="percent",0,IF($C$348="Full",Details!N216+Details!N217,Base!N216+Base!N217))</f>
        <v>-16700</v>
      </c>
      <c r="N383" s="1125">
        <f>IF(State_Method="percent",0,IF($C$348="Full",Details!O216+Details!O217,Base!O216+Base!O217))</f>
        <v>-17050</v>
      </c>
      <c r="O383" s="1125">
        <f>IF(State_Method="percent",0,IF($C$348="Full",Details!P216+Details!P217,Base!P216+Base!P217))</f>
        <v>-17400</v>
      </c>
      <c r="P383" s="1125">
        <f>IF(State_Method="percent",0,IF($C$348="Full",Details!Q216+Details!Q217,Base!Q216+Base!Q217))</f>
        <v>-17750</v>
      </c>
      <c r="Q383" s="1125">
        <f>IF(State_Method="percent",0,IF($C$348="Full",Details!R216+Details!R217,Base!R216+Base!R217))</f>
        <v>-18150</v>
      </c>
      <c r="R383" s="1125">
        <f>IF(State_Method="percent",0,IF($C$348="Full",Details!S216+Details!S217,Base!S216+Base!S217))</f>
        <v>-18550</v>
      </c>
      <c r="S383" s="1125">
        <f>IF(State_Method="percent",0,IF($C$348="Full",Details!T216+Details!T217,Base!T216+Base!T217))</f>
        <v>-18950</v>
      </c>
      <c r="T383" s="1125">
        <f>IF(State_Method="percent",0,IF($C$348="Full",Details!U216+Details!U217,Base!U216+Base!U217))</f>
        <v>-19350</v>
      </c>
      <c r="U383" s="1125">
        <f>IF(State_Method="percent",0,IF($C$348="Full",Details!V216+Details!V217,Base!V216+Base!V217))</f>
        <v>-19750</v>
      </c>
      <c r="V383" s="1125">
        <f>IF(State_Method="percent",0,IF($C$348="Full",Details!W216+Details!W217,Base!W216+Base!W217))</f>
        <v>-20150</v>
      </c>
      <c r="W383" s="1125">
        <f>IF(State_Method="percent",0,IF($C$348="Full",Details!X216+Details!X217,Base!X216+Base!X217))</f>
        <v>-20600</v>
      </c>
      <c r="X383" s="1125">
        <f>IF(State_Method="percent",0,IF($C$348="Full",Details!Y216+Details!Y217,Base!Y216+Base!Y217))</f>
        <v>-21050</v>
      </c>
      <c r="Y383" s="1125">
        <f>IF(State_Method="percent",0,IF($C$348="Full",Details!Z216+Details!Z217,Base!Z216+Base!Z217))</f>
        <v>-21550</v>
      </c>
      <c r="Z383" s="1181">
        <f>IF(State_Method="percent",0,IF($C$348="Full",Details!AA216+Details!AA217,Base!AA216+Base!AA217))</f>
        <v>-22050</v>
      </c>
      <c r="AA383" s="1125">
        <f>IF(State_Method="percent",0,IF($C$348="Full",Details!AB216+Details!AB217,Base!AB216+Base!AB217))</f>
        <v>-32300</v>
      </c>
      <c r="AB383" s="1125">
        <f>IF(State_Method="percent",0,IF($C$348="Full",Details!AC216+Details!AC217,Base!AC216+Base!AC217))</f>
        <v>-33050</v>
      </c>
      <c r="AC383" s="1125">
        <f>IF(State_Method="percent",0,IF($C$348="Full",Details!AD216+Details!AD217,Base!AD216+Base!AD217))</f>
        <v>-16850</v>
      </c>
      <c r="AD383" s="1125">
        <f>IF(State_Method="percent",0,IF($C$348="Full",Details!AE216+Details!AE217,Base!AE216+Base!AE217))</f>
        <v>-17200</v>
      </c>
      <c r="AE383" s="1125">
        <f>IF(State_Method="percent",0,IF($C$348="Full",Details!AF216+Details!AF217,Base!AF216+Base!AF217))</f>
        <v>-17600</v>
      </c>
      <c r="AF383" s="1125">
        <f>IF(State_Method="percent",0,IF($C$348="Full",Details!AG216+Details!AG217,Base!AG216+Base!AG217))</f>
        <v>-18000</v>
      </c>
      <c r="AG383" s="1125">
        <f>IF(State_Method="percent",0,IF($C$348="Full",Details!AH216+Details!AH217,Base!AH216+Base!AH217))</f>
        <v>-18400</v>
      </c>
      <c r="AH383" s="1125">
        <f>IF(State_Method="percent",0,IF($C$348="Full",Details!AI216+Details!AI217,Base!AI216+Base!AI217))</f>
        <v>-18800</v>
      </c>
      <c r="AI383" s="1125">
        <f>IF(State_Method="percent",0,IF($C$348="Full",Details!AJ216+Details!AJ217,Base!AJ216+Base!AJ217))</f>
        <v>0</v>
      </c>
      <c r="AJ383" s="1125">
        <f>IF(State_Method="percent",0,IF($C$348="Full",Details!AK216+Details!AK217,Base!AK216+Base!AK217))</f>
        <v>0</v>
      </c>
      <c r="AK383" s="1125">
        <f>IF(State_Method="percent",0,IF($C$348="Full",Details!AL216+Details!AL217,Base!AL216+Base!AL217))</f>
        <v>0</v>
      </c>
      <c r="AL383" s="1125">
        <f>IF(State_Method="percent",0,IF($C$348="Full",Details!AM216+Details!AM217,Base!AM216+Base!AM217))</f>
        <v>0</v>
      </c>
      <c r="AM383" s="1125">
        <f>IF(State_Method="percent",0,IF($C$348="Full",Details!AN216+Details!AN217,Base!AN216+Base!AN217))</f>
        <v>0</v>
      </c>
      <c r="AN383" s="1125">
        <f>IF(State_Method="percent",0,IF($C$348="Full",Details!AO216+Details!AO217,Base!AO216+Base!AO217))</f>
        <v>0</v>
      </c>
      <c r="AO383" s="1125">
        <f>IF(State_Method="percent",0,IF($C$348="Full",Details!AP216+Details!AP217,Base!AP216+Base!AP217))</f>
        <v>0</v>
      </c>
      <c r="AP383" s="1125">
        <f>IF(State_Method="percent",0,IF($C$348="Full",Details!AQ216+Details!AQ217,Base!AQ216+Base!AQ217))</f>
        <v>0</v>
      </c>
      <c r="AQ383" s="1125">
        <f>IF(State_Method="percent",0,IF($C$348="Full",Details!AR216+Details!AR217,Base!AR216+Base!AR217))</f>
        <v>0</v>
      </c>
      <c r="AR383" s="1125">
        <f>IF(State_Method="percent",0,IF($C$348="Full",Details!AS216+Details!AS217,Base!AS216+Base!AS217))</f>
        <v>0</v>
      </c>
      <c r="AS383" s="1125"/>
      <c r="AT383" s="1125"/>
      <c r="AU383" s="1125"/>
      <c r="AV383" s="1125"/>
      <c r="AX383" s="1186">
        <f t="shared" si="50"/>
        <v>35</v>
      </c>
      <c r="AY383" s="1186"/>
      <c r="AZ383" s="1186"/>
      <c r="BA383" s="1186">
        <f t="shared" si="50"/>
        <v>33</v>
      </c>
      <c r="BB383" s="1"/>
      <c r="BC383" s="1"/>
      <c r="BD383" s="1"/>
      <c r="BE383" s="1"/>
      <c r="BJ383" s="3"/>
    </row>
    <row r="384" spans="1:86" hidden="1">
      <c r="A384" s="1437" t="s">
        <v>706</v>
      </c>
      <c r="B384" s="138" t="s">
        <v>769</v>
      </c>
      <c r="D384" s="102">
        <f t="shared" si="47"/>
        <v>1957550</v>
      </c>
      <c r="E384" s="1124">
        <f>+E382+E383</f>
        <v>36600</v>
      </c>
      <c r="F384" s="1124">
        <f t="shared" ref="F384:AQ384" si="52">+F382+F383</f>
        <v>51850</v>
      </c>
      <c r="G384" s="1124">
        <f t="shared" si="52"/>
        <v>37050</v>
      </c>
      <c r="H384" s="1124">
        <f t="shared" si="52"/>
        <v>37150</v>
      </c>
      <c r="I384" s="1124">
        <f t="shared" si="52"/>
        <v>37300</v>
      </c>
      <c r="J384" s="1124">
        <f t="shared" si="52"/>
        <v>37800</v>
      </c>
      <c r="K384" s="1124">
        <f t="shared" si="52"/>
        <v>38600</v>
      </c>
      <c r="L384" s="1124">
        <f t="shared" si="52"/>
        <v>62850</v>
      </c>
      <c r="M384" s="1124">
        <f t="shared" si="52"/>
        <v>24500</v>
      </c>
      <c r="N384" s="1124">
        <f t="shared" si="52"/>
        <v>25250</v>
      </c>
      <c r="O384" s="1124">
        <f t="shared" si="52"/>
        <v>25600</v>
      </c>
      <c r="P384" s="1124">
        <f t="shared" si="52"/>
        <v>26750</v>
      </c>
      <c r="Q384" s="1124">
        <f t="shared" si="52"/>
        <v>32950</v>
      </c>
      <c r="R384" s="1124">
        <f t="shared" si="52"/>
        <v>35050</v>
      </c>
      <c r="S384" s="1124">
        <f t="shared" si="52"/>
        <v>48650</v>
      </c>
      <c r="T384" s="1124">
        <f t="shared" si="52"/>
        <v>56050</v>
      </c>
      <c r="U384" s="1124">
        <f t="shared" si="52"/>
        <v>65450</v>
      </c>
      <c r="V384" s="1124">
        <f t="shared" si="52"/>
        <v>69550</v>
      </c>
      <c r="W384" s="1124">
        <f t="shared" si="52"/>
        <v>64200</v>
      </c>
      <c r="X384" s="1124">
        <f t="shared" si="52"/>
        <v>66150</v>
      </c>
      <c r="Y384" s="1124">
        <f t="shared" si="52"/>
        <v>69750</v>
      </c>
      <c r="Z384" s="1180">
        <f t="shared" si="52"/>
        <v>73650</v>
      </c>
      <c r="AA384" s="1124">
        <f t="shared" si="52"/>
        <v>107900</v>
      </c>
      <c r="AB384" s="1124">
        <f t="shared" si="52"/>
        <v>117750</v>
      </c>
      <c r="AC384" s="1124">
        <f t="shared" si="52"/>
        <v>116050</v>
      </c>
      <c r="AD384" s="1124">
        <f t="shared" si="52"/>
        <v>120100</v>
      </c>
      <c r="AE384" s="1124">
        <f t="shared" si="52"/>
        <v>122300</v>
      </c>
      <c r="AF384" s="1124">
        <f t="shared" si="52"/>
        <v>115600</v>
      </c>
      <c r="AG384" s="1124">
        <f t="shared" si="52"/>
        <v>116400</v>
      </c>
      <c r="AH384" s="1124">
        <f t="shared" si="52"/>
        <v>118700</v>
      </c>
      <c r="AI384" s="1124">
        <f t="shared" si="52"/>
        <v>0</v>
      </c>
      <c r="AJ384" s="1124">
        <f t="shared" si="52"/>
        <v>0</v>
      </c>
      <c r="AK384" s="1124">
        <f t="shared" si="52"/>
        <v>0</v>
      </c>
      <c r="AL384" s="1124">
        <f t="shared" si="52"/>
        <v>0</v>
      </c>
      <c r="AM384" s="1124">
        <f t="shared" si="52"/>
        <v>0</v>
      </c>
      <c r="AN384" s="1124">
        <f t="shared" si="52"/>
        <v>0</v>
      </c>
      <c r="AO384" s="1124">
        <f t="shared" si="52"/>
        <v>0</v>
      </c>
      <c r="AP384" s="1124">
        <f t="shared" si="52"/>
        <v>0</v>
      </c>
      <c r="AQ384" s="1124">
        <f t="shared" si="52"/>
        <v>0</v>
      </c>
      <c r="AR384" s="1124">
        <f>+AR382+AR383</f>
        <v>0</v>
      </c>
      <c r="AS384" s="1124"/>
      <c r="AT384" s="1124"/>
      <c r="AU384" s="1124"/>
      <c r="AV384" s="1124"/>
      <c r="AX384" s="1186">
        <f>+AX383+1</f>
        <v>36</v>
      </c>
      <c r="AY384" s="1186"/>
      <c r="AZ384" s="1186"/>
      <c r="BA384" s="1186">
        <f>+BA383+1</f>
        <v>34</v>
      </c>
      <c r="BB384" s="1"/>
      <c r="BC384" s="1"/>
      <c r="BD384" s="1"/>
      <c r="BE384" s="1"/>
      <c r="BJ384" s="3"/>
    </row>
    <row r="385" spans="1:86" hidden="1">
      <c r="A385" s="1437" t="s">
        <v>706</v>
      </c>
      <c r="B385" s="138" t="s">
        <v>902</v>
      </c>
      <c r="D385" s="102">
        <f t="shared" si="47"/>
        <v>88700</v>
      </c>
      <c r="E385" s="1124">
        <f>IF($C$348="Full",Details!F227,Base!F227)</f>
        <v>1100</v>
      </c>
      <c r="F385" s="1124">
        <f>IF($C$348="Full",Details!G227,Base!G227)</f>
        <v>1600</v>
      </c>
      <c r="G385" s="1124">
        <f>IF($C$348="Full",Details!H227,Base!H227)</f>
        <v>1000</v>
      </c>
      <c r="H385" s="1124">
        <f>IF($C$348="Full",Details!I227,Base!I227)</f>
        <v>1000</v>
      </c>
      <c r="I385" s="1124">
        <f>IF($C$348="Full",Details!J227,Base!J227)</f>
        <v>1100</v>
      </c>
      <c r="J385" s="1124">
        <f>IF($C$348="Full",Details!K227,Base!K227)</f>
        <v>1100</v>
      </c>
      <c r="K385" s="1124">
        <f>IF($C$348="Full",Details!L227,Base!L227)</f>
        <v>1100</v>
      </c>
      <c r="L385" s="1124">
        <f>IF($C$348="Full",Details!M227,Base!M227)</f>
        <v>2000</v>
      </c>
      <c r="M385" s="1124">
        <f>IF($C$348="Full",Details!N227,Base!N227)</f>
        <v>600</v>
      </c>
      <c r="N385" s="1124">
        <f>IF($C$348="Full",Details!O227,Base!O227)</f>
        <v>600</v>
      </c>
      <c r="O385" s="1124">
        <f>IF($C$348="Full",Details!P227,Base!P227)</f>
        <v>600</v>
      </c>
      <c r="P385" s="1124">
        <f>IF($C$348="Full",Details!Q227,Base!Q227)</f>
        <v>700</v>
      </c>
      <c r="Q385" s="1124">
        <f>IF($C$348="Full",Details!R227,Base!R227)</f>
        <v>900</v>
      </c>
      <c r="R385" s="1124">
        <f>IF($C$348="Full",Details!S227,Base!S227)</f>
        <v>1000</v>
      </c>
      <c r="S385" s="1124">
        <f>IF($C$348="Full",Details!T227,Base!T227)</f>
        <v>1400</v>
      </c>
      <c r="T385" s="1124">
        <f>IF($C$348="Full",Details!U227,Base!U227)</f>
        <v>1700</v>
      </c>
      <c r="U385" s="1124">
        <f>IF($C$348="Full",Details!V227,Base!V227)</f>
        <v>2100</v>
      </c>
      <c r="V385" s="1124">
        <f>IF($C$348="Full",Details!W227,Base!W227)</f>
        <v>2200</v>
      </c>
      <c r="W385" s="1124">
        <f>IF($C$348="Full",Details!X227,Base!X227)</f>
        <v>2000</v>
      </c>
      <c r="X385" s="1124">
        <f>IF($C$348="Full",Details!Y227,Base!Y227)</f>
        <v>2000</v>
      </c>
      <c r="Y385" s="1124">
        <f>IF($C$348="Full",Details!Z227,Base!Z227)</f>
        <v>2100</v>
      </c>
      <c r="Z385" s="1180">
        <f>IF($C$348="Full",Details!AA227,Base!AA227)</f>
        <v>2300</v>
      </c>
      <c r="AA385" s="1124">
        <f>IF($C$348="Full",Details!AB227,Base!AB227)</f>
        <v>6700</v>
      </c>
      <c r="AB385" s="1124">
        <f>IF($C$348="Full",Details!AC227,Base!AC227)</f>
        <v>7400</v>
      </c>
      <c r="AC385" s="1124">
        <f>IF($C$348="Full",Details!AD227,Base!AD227)</f>
        <v>7300</v>
      </c>
      <c r="AD385" s="1124">
        <f>IF($C$348="Full",Details!AE227,Base!AE227)</f>
        <v>7600</v>
      </c>
      <c r="AE385" s="1124">
        <f>IF($C$348="Full",Details!AF227,Base!AF227)</f>
        <v>7700</v>
      </c>
      <c r="AF385" s="1124">
        <f>IF($C$348="Full",Details!AG227,Base!AG227)</f>
        <v>7200</v>
      </c>
      <c r="AG385" s="1124">
        <f>IF($C$348="Full",Details!AH227,Base!AH227)</f>
        <v>7200</v>
      </c>
      <c r="AH385" s="1124">
        <f>IF($C$348="Full",Details!AI227,Base!AI227)</f>
        <v>7400</v>
      </c>
      <c r="AI385" s="1124">
        <f>IF($C$348="Full",Details!AJ227,Base!AJ227)</f>
        <v>0</v>
      </c>
      <c r="AJ385" s="1124">
        <f>IF($C$348="Full",Details!AK227,Base!AK227)</f>
        <v>0</v>
      </c>
      <c r="AK385" s="1124">
        <f>IF($C$348="Full",Details!AL227,Base!AL227)</f>
        <v>0</v>
      </c>
      <c r="AL385" s="1124">
        <f>IF($C$348="Full",Details!AM227,Base!AM227)</f>
        <v>0</v>
      </c>
      <c r="AM385" s="1124">
        <f>IF($C$348="Full",Details!AN227,Base!AN227)</f>
        <v>0</v>
      </c>
      <c r="AN385" s="1124">
        <f>IF($C$348="Full",Details!AO227,Base!AO227)</f>
        <v>0</v>
      </c>
      <c r="AO385" s="1124">
        <f>IF($C$348="Full",Details!AP227,Base!AP227)</f>
        <v>0</v>
      </c>
      <c r="AP385" s="1124">
        <f>IF($C$348="Full",Details!AQ227,Base!AQ227)</f>
        <v>0</v>
      </c>
      <c r="AQ385" s="1124">
        <f>IF($C$348="Full",Details!AR227,Base!AR227)</f>
        <v>0</v>
      </c>
      <c r="AR385" s="1124">
        <f>IF($C$348="Full",Details!AS227,Base!AS227)</f>
        <v>0</v>
      </c>
      <c r="AS385" s="1124"/>
      <c r="AT385" s="1124"/>
      <c r="AU385" s="1124"/>
      <c r="AV385" s="1124"/>
      <c r="AX385" s="1186">
        <f>+AX384+1</f>
        <v>37</v>
      </c>
      <c r="AY385" s="1186"/>
      <c r="AZ385" s="1186"/>
      <c r="BA385" s="1186">
        <f>+BA384+1</f>
        <v>35</v>
      </c>
      <c r="BB385" s="1"/>
      <c r="BC385" s="1"/>
      <c r="BD385" s="1"/>
      <c r="BE385" s="1"/>
      <c r="BJ385" s="3"/>
    </row>
    <row r="386" spans="1:86" hidden="1">
      <c r="A386" s="1437" t="s">
        <v>706</v>
      </c>
      <c r="B386" s="138" t="s">
        <v>91</v>
      </c>
      <c r="D386" s="559">
        <f>IF(D384=0,0,+D385/D384)</f>
        <v>4.5311741717963781E-2</v>
      </c>
      <c r="E386" s="559">
        <f>IF(E384=0,0,+E385/E384)</f>
        <v>3.0054644808743168E-2</v>
      </c>
      <c r="F386" s="559">
        <f t="shared" ref="F386:AQ386" si="53">IF(F384=0,0,+F385/F384)</f>
        <v>3.0858244937319191E-2</v>
      </c>
      <c r="G386" s="559">
        <f t="shared" si="53"/>
        <v>2.6990553306342781E-2</v>
      </c>
      <c r="H386" s="559">
        <f t="shared" si="53"/>
        <v>2.6917900403768506E-2</v>
      </c>
      <c r="I386" s="559">
        <f t="shared" si="53"/>
        <v>2.9490616621983913E-2</v>
      </c>
      <c r="J386" s="559">
        <f t="shared" si="53"/>
        <v>2.9100529100529099E-2</v>
      </c>
      <c r="K386" s="559">
        <f t="shared" si="53"/>
        <v>2.8497409326424871E-2</v>
      </c>
      <c r="L386" s="559">
        <f t="shared" si="53"/>
        <v>3.1821797931583136E-2</v>
      </c>
      <c r="M386" s="559">
        <f t="shared" si="53"/>
        <v>2.4489795918367346E-2</v>
      </c>
      <c r="N386" s="559">
        <f t="shared" si="53"/>
        <v>2.3762376237623763E-2</v>
      </c>
      <c r="O386" s="559">
        <f t="shared" si="53"/>
        <v>2.34375E-2</v>
      </c>
      <c r="P386" s="559">
        <f t="shared" si="53"/>
        <v>2.6168224299065422E-2</v>
      </c>
      <c r="Q386" s="559">
        <f t="shared" si="53"/>
        <v>2.7314112291350532E-2</v>
      </c>
      <c r="R386" s="559">
        <f t="shared" si="53"/>
        <v>2.8530670470756064E-2</v>
      </c>
      <c r="S386" s="559">
        <f t="shared" si="53"/>
        <v>2.8776978417266189E-2</v>
      </c>
      <c r="T386" s="559">
        <f t="shared" si="53"/>
        <v>3.0330062444246207E-2</v>
      </c>
      <c r="U386" s="559">
        <f t="shared" si="53"/>
        <v>3.2085561497326207E-2</v>
      </c>
      <c r="V386" s="559">
        <f t="shared" si="53"/>
        <v>3.1631919482386771E-2</v>
      </c>
      <c r="W386" s="559">
        <f t="shared" si="53"/>
        <v>3.1152647975077882E-2</v>
      </c>
      <c r="X386" s="559">
        <f t="shared" si="53"/>
        <v>3.0234315948601664E-2</v>
      </c>
      <c r="Y386" s="559">
        <f t="shared" si="53"/>
        <v>3.0107526881720432E-2</v>
      </c>
      <c r="Z386" s="1179">
        <f t="shared" si="53"/>
        <v>3.1228784792939578E-2</v>
      </c>
      <c r="AA386" s="559">
        <f t="shared" si="53"/>
        <v>6.2094531974050043E-2</v>
      </c>
      <c r="AB386" s="559">
        <f t="shared" si="53"/>
        <v>6.2845010615711253E-2</v>
      </c>
      <c r="AC386" s="559">
        <f t="shared" si="53"/>
        <v>6.2903920723825932E-2</v>
      </c>
      <c r="AD386" s="559">
        <f t="shared" si="53"/>
        <v>6.3280599500416326E-2</v>
      </c>
      <c r="AE386" s="559">
        <f t="shared" si="53"/>
        <v>6.2959934587080948E-2</v>
      </c>
      <c r="AF386" s="559">
        <f t="shared" si="53"/>
        <v>6.228373702422145E-2</v>
      </c>
      <c r="AG386" s="559">
        <f t="shared" si="53"/>
        <v>6.1855670103092786E-2</v>
      </c>
      <c r="AH386" s="559">
        <f t="shared" si="53"/>
        <v>6.2342038753159225E-2</v>
      </c>
      <c r="AI386" s="559">
        <f t="shared" si="53"/>
        <v>0</v>
      </c>
      <c r="AJ386" s="559">
        <f t="shared" si="53"/>
        <v>0</v>
      </c>
      <c r="AK386" s="559">
        <f t="shared" si="53"/>
        <v>0</v>
      </c>
      <c r="AL386" s="559">
        <f t="shared" si="53"/>
        <v>0</v>
      </c>
      <c r="AM386" s="559">
        <f t="shared" si="53"/>
        <v>0</v>
      </c>
      <c r="AN386" s="559">
        <f t="shared" si="53"/>
        <v>0</v>
      </c>
      <c r="AO386" s="559">
        <f t="shared" si="53"/>
        <v>0</v>
      </c>
      <c r="AP386" s="559">
        <f t="shared" si="53"/>
        <v>0</v>
      </c>
      <c r="AQ386" s="559">
        <f t="shared" si="53"/>
        <v>0</v>
      </c>
      <c r="AR386" s="559">
        <f>IF(AR384=0,0,+AR385/AR384)</f>
        <v>0</v>
      </c>
      <c r="AS386" s="559"/>
      <c r="AT386" s="559"/>
      <c r="AU386" s="559"/>
      <c r="AV386" s="559"/>
      <c r="AX386" s="59"/>
      <c r="AY386" s="59"/>
      <c r="AZ386" s="59"/>
      <c r="BA386" s="89"/>
      <c r="BB386" s="1"/>
      <c r="BC386" s="1"/>
      <c r="BD386" s="1"/>
      <c r="BE386" s="1"/>
      <c r="BJ386" s="3"/>
    </row>
    <row r="387" spans="1:86" hidden="1">
      <c r="A387" s="1437" t="s">
        <v>706</v>
      </c>
      <c r="D387" s="12"/>
      <c r="E387" s="29"/>
      <c r="F387" s="21"/>
      <c r="G387" s="21"/>
      <c r="H387" s="21"/>
      <c r="I387" s="21"/>
      <c r="J387" s="21"/>
      <c r="K387" s="21"/>
      <c r="L387" s="559"/>
      <c r="M387" s="21"/>
      <c r="N387" s="21"/>
      <c r="O387" s="21"/>
      <c r="P387" s="21"/>
      <c r="Q387" s="21"/>
      <c r="R387" s="21"/>
      <c r="S387" s="21"/>
      <c r="T387" s="21"/>
      <c r="U387" s="21"/>
      <c r="V387" s="21"/>
      <c r="W387" s="21"/>
      <c r="X387" s="21"/>
      <c r="Y387" s="21"/>
      <c r="Z387" s="1182"/>
      <c r="AA387" s="21"/>
      <c r="AB387" s="21"/>
      <c r="AC387" s="21"/>
      <c r="AD387" s="21"/>
      <c r="AE387" s="21"/>
      <c r="AF387" s="21"/>
      <c r="AG387" s="21"/>
      <c r="AH387" s="21"/>
      <c r="AI387" s="21"/>
      <c r="AJ387" s="21"/>
      <c r="AK387" s="21"/>
      <c r="AL387" s="21"/>
      <c r="AM387" s="21"/>
      <c r="AN387" s="21"/>
      <c r="AO387" s="21"/>
      <c r="AP387" s="21"/>
      <c r="AQ387" s="21"/>
      <c r="AR387" s="21"/>
      <c r="AS387" s="21"/>
      <c r="AT387" s="21"/>
      <c r="AU387" s="21"/>
      <c r="AV387" s="21"/>
      <c r="AX387" s="59"/>
      <c r="AY387" s="59"/>
      <c r="AZ387" s="59"/>
      <c r="BA387" s="89"/>
      <c r="BB387" s="1"/>
      <c r="BC387" s="1"/>
      <c r="BD387" s="1"/>
      <c r="BE387" s="1"/>
      <c r="BJ387" s="3"/>
    </row>
    <row r="388" spans="1:86" ht="15.6" hidden="1">
      <c r="A388" s="1437" t="s">
        <v>706</v>
      </c>
      <c r="B388" s="28" t="s">
        <v>1774</v>
      </c>
      <c r="D388" s="12"/>
      <c r="E388" s="21"/>
      <c r="F388" s="21"/>
      <c r="G388" s="21"/>
      <c r="H388" s="21"/>
      <c r="I388" s="21"/>
      <c r="J388" s="21"/>
      <c r="K388" s="21"/>
      <c r="L388" s="559"/>
      <c r="M388" s="21"/>
      <c r="N388" s="21"/>
      <c r="O388" s="21"/>
      <c r="P388" s="21"/>
      <c r="Q388" s="21"/>
      <c r="R388" s="21"/>
      <c r="S388" s="21"/>
      <c r="T388" s="21"/>
      <c r="U388" s="21"/>
      <c r="V388" s="21"/>
      <c r="W388" s="21"/>
      <c r="X388" s="21"/>
      <c r="Y388" s="21"/>
      <c r="Z388" s="1182"/>
      <c r="AA388" s="21"/>
      <c r="AB388" s="21"/>
      <c r="AC388" s="21"/>
      <c r="AD388" s="21"/>
      <c r="AE388" s="21"/>
      <c r="AF388" s="21"/>
      <c r="AG388" s="21"/>
      <c r="AH388" s="21"/>
      <c r="AI388" s="21"/>
      <c r="AJ388" s="21"/>
      <c r="AK388" s="21"/>
      <c r="AL388" s="21"/>
      <c r="AM388" s="21"/>
      <c r="AN388" s="21"/>
      <c r="AO388" s="21"/>
      <c r="AP388" s="21"/>
      <c r="AQ388" s="21"/>
      <c r="AR388" s="21"/>
      <c r="AS388" s="21"/>
      <c r="AT388" s="21"/>
      <c r="AU388" s="21"/>
      <c r="AV388" s="21"/>
      <c r="AX388" s="59"/>
      <c r="AY388" s="59"/>
      <c r="AZ388" s="59"/>
      <c r="BA388" s="89"/>
      <c r="BJ388" s="3"/>
    </row>
    <row r="389" spans="1:86" hidden="1">
      <c r="A389" s="1437" t="s">
        <v>706</v>
      </c>
      <c r="B389" t="s">
        <v>979</v>
      </c>
      <c r="D389" s="12"/>
      <c r="E389" s="1124">
        <f>+Details!F8</f>
        <v>200000</v>
      </c>
      <c r="F389" s="1124">
        <f>+Details!G8</f>
        <v>187100</v>
      </c>
      <c r="G389" s="1124">
        <f>+Details!H8</f>
        <v>186800</v>
      </c>
      <c r="H389" s="1124">
        <f>+Details!I8</f>
        <v>173800</v>
      </c>
      <c r="I389" s="1124">
        <f>+Details!J8</f>
        <v>160500</v>
      </c>
      <c r="J389" s="1124">
        <f>+Details!K8</f>
        <v>148300</v>
      </c>
      <c r="K389" s="1124">
        <f>+Details!L8</f>
        <v>156400</v>
      </c>
      <c r="L389" s="1124">
        <f>+Details!M8</f>
        <v>166100</v>
      </c>
      <c r="M389" s="1124">
        <f>+Details!N8</f>
        <v>175900</v>
      </c>
      <c r="N389" s="1124">
        <f>+Details!O8</f>
        <v>202800</v>
      </c>
      <c r="O389" s="1124">
        <f>+Details!P8</f>
        <v>238100</v>
      </c>
      <c r="P389" s="1124">
        <f>+Details!Q8</f>
        <v>194200</v>
      </c>
      <c r="Q389" s="1124">
        <f>+Details!R8</f>
        <v>272100</v>
      </c>
      <c r="R389" s="1124">
        <f>+Details!S8</f>
        <v>296700</v>
      </c>
      <c r="S389" s="1124">
        <f>+Details!T8</f>
        <v>344500</v>
      </c>
      <c r="T389" s="1124">
        <f>+Details!U8</f>
        <v>301300</v>
      </c>
      <c r="U389" s="1124">
        <f>+Details!V8</f>
        <v>424600</v>
      </c>
      <c r="V389" s="1124">
        <f>+Details!W8</f>
        <v>480700</v>
      </c>
      <c r="W389" s="1124">
        <f>+Details!X8</f>
        <v>541400</v>
      </c>
      <c r="X389" s="1124">
        <f>+Details!Y8</f>
        <v>574700</v>
      </c>
      <c r="Y389" s="1124">
        <f>+Details!Z8</f>
        <v>609500</v>
      </c>
      <c r="Z389" s="1180">
        <f>+Details!AA8</f>
        <v>647200</v>
      </c>
      <c r="AA389" s="1124">
        <f>+Details!AB8</f>
        <v>688000</v>
      </c>
      <c r="AB389" s="1124">
        <f>+Details!AC8</f>
        <v>1136000</v>
      </c>
      <c r="AC389" s="1124">
        <f>+Details!AD8</f>
        <v>1199500</v>
      </c>
      <c r="AD389" s="1124">
        <f>+Details!AE8</f>
        <v>1337600</v>
      </c>
      <c r="AE389" s="1124">
        <f>+Details!AF8</f>
        <v>1379900</v>
      </c>
      <c r="AF389" s="1124">
        <f>+Details!AG8</f>
        <v>1423300</v>
      </c>
      <c r="AG389" s="1124">
        <f>+Details!AH8</f>
        <v>1461500</v>
      </c>
      <c r="AH389" s="1124">
        <f>+Details!AI8</f>
        <v>1499700</v>
      </c>
      <c r="AI389" s="1124">
        <f>+Details!AJ8</f>
        <v>0</v>
      </c>
      <c r="AJ389" s="1124">
        <f>+Details!AK8</f>
        <v>0</v>
      </c>
      <c r="AK389" s="1124">
        <f>+Details!AL8</f>
        <v>0</v>
      </c>
      <c r="AL389" s="1124">
        <f>+Details!AM8</f>
        <v>0</v>
      </c>
      <c r="AM389" s="1124">
        <f>+Details!AN8</f>
        <v>0</v>
      </c>
      <c r="AN389" s="1124">
        <f>+Details!AO8</f>
        <v>0</v>
      </c>
      <c r="AO389" s="1124">
        <f>+Details!AP8</f>
        <v>0</v>
      </c>
      <c r="AP389" s="1124">
        <f>+Details!AQ8</f>
        <v>0</v>
      </c>
      <c r="AQ389" s="1124">
        <f>+Details!AR8</f>
        <v>0</v>
      </c>
      <c r="AR389" s="1124">
        <f>+Details!AS8</f>
        <v>0</v>
      </c>
      <c r="AS389" s="1124"/>
      <c r="AT389" s="1124"/>
      <c r="AU389" s="1124"/>
      <c r="AV389" s="1124"/>
      <c r="AX389" s="722"/>
      <c r="AY389" s="722"/>
      <c r="AZ389" s="722"/>
      <c r="BB389" s="542"/>
      <c r="BC389" s="542"/>
      <c r="BD389" s="542"/>
      <c r="BE389" s="542"/>
      <c r="BJ389" s="3"/>
    </row>
    <row r="390" spans="1:86" hidden="1">
      <c r="A390" s="1437" t="s">
        <v>706</v>
      </c>
      <c r="B390" t="s">
        <v>1535</v>
      </c>
      <c r="D390" s="12"/>
      <c r="E390" s="1124">
        <f>+Details!F309</f>
        <v>500000</v>
      </c>
      <c r="F390" s="1124">
        <f>+Details!G309</f>
        <v>491200</v>
      </c>
      <c r="G390" s="1124">
        <f>+Details!H309</f>
        <v>480600</v>
      </c>
      <c r="H390" s="1124">
        <f>+Details!I309</f>
        <v>468100</v>
      </c>
      <c r="I390" s="1124">
        <f>+Details!J309</f>
        <v>453400</v>
      </c>
      <c r="J390" s="1124">
        <f>+Details!K309</f>
        <v>436400</v>
      </c>
      <c r="K390" s="1124">
        <f>+Details!L309</f>
        <v>416900</v>
      </c>
      <c r="L390" s="1124">
        <f>+Details!M309</f>
        <v>394600</v>
      </c>
      <c r="M390" s="1124">
        <f>+Details!N309</f>
        <v>369500</v>
      </c>
      <c r="N390" s="1124">
        <f>+Details!O309</f>
        <v>368700</v>
      </c>
      <c r="O390" s="1124">
        <f>+Details!P309</f>
        <v>368800</v>
      </c>
      <c r="P390" s="1124">
        <f>+Details!Q309</f>
        <v>369300</v>
      </c>
      <c r="Q390" s="1124">
        <f>+Details!R309</f>
        <v>370100</v>
      </c>
      <c r="R390" s="1124">
        <f>+Details!S309</f>
        <v>371000</v>
      </c>
      <c r="S390" s="1124">
        <f>+Details!T309</f>
        <v>371900</v>
      </c>
      <c r="T390" s="1124">
        <f>+Details!U309</f>
        <v>377900</v>
      </c>
      <c r="U390" s="1124">
        <f>+Details!V309</f>
        <v>383200</v>
      </c>
      <c r="V390" s="1124">
        <f>+Details!W309</f>
        <v>387800</v>
      </c>
      <c r="W390" s="1124">
        <f>+Details!X309</f>
        <v>391600</v>
      </c>
      <c r="X390" s="1124">
        <f>+Details!Y309</f>
        <v>391000</v>
      </c>
      <c r="Y390" s="1124">
        <f>+Details!Z309</f>
        <v>389300</v>
      </c>
      <c r="Z390" s="1180">
        <f>+Details!AA309</f>
        <v>386500</v>
      </c>
      <c r="AA390" s="1124">
        <f>+Details!AB309</f>
        <v>382500</v>
      </c>
      <c r="AB390" s="1124">
        <f>+Details!AC309</f>
        <v>377400</v>
      </c>
      <c r="AC390" s="1124">
        <f>+Details!AD309</f>
        <v>371000</v>
      </c>
      <c r="AD390" s="1124">
        <f>+Details!AE309</f>
        <v>363300</v>
      </c>
      <c r="AE390" s="1124">
        <f>+Details!AF309</f>
        <v>354200</v>
      </c>
      <c r="AF390" s="1124">
        <f>+Details!AG309</f>
        <v>343700</v>
      </c>
      <c r="AG390" s="1124">
        <f>+Details!AH309</f>
        <v>331900</v>
      </c>
      <c r="AH390" s="1124">
        <f>+Details!AI309</f>
        <v>318900</v>
      </c>
      <c r="AI390" s="1124">
        <f>+Details!AJ309</f>
        <v>0</v>
      </c>
      <c r="AJ390" s="1124">
        <f>+Details!AK309</f>
        <v>0</v>
      </c>
      <c r="AK390" s="1124">
        <f>+Details!AL309</f>
        <v>0</v>
      </c>
      <c r="AL390" s="1124">
        <f>+Details!AM309</f>
        <v>0</v>
      </c>
      <c r="AM390" s="1124">
        <f>+Details!AN309</f>
        <v>0</v>
      </c>
      <c r="AN390" s="1124">
        <f>+Details!AO309</f>
        <v>0</v>
      </c>
      <c r="AO390" s="1124">
        <f>+Details!AP309</f>
        <v>0</v>
      </c>
      <c r="AP390" s="1124">
        <f>+Details!AQ309</f>
        <v>0</v>
      </c>
      <c r="AQ390" s="1124">
        <f>+Details!AR309</f>
        <v>0</v>
      </c>
      <c r="AR390" s="1124">
        <f>+Details!AS309</f>
        <v>0</v>
      </c>
      <c r="AS390" s="1124"/>
      <c r="AT390" s="1124"/>
      <c r="AU390" s="1124"/>
      <c r="AV390" s="1124"/>
      <c r="AX390" s="191"/>
      <c r="AY390" s="191"/>
      <c r="AZ390" s="191"/>
      <c r="BA390" s="787"/>
      <c r="BB390" s="542"/>
      <c r="BC390" s="542"/>
      <c r="BD390" s="542"/>
      <c r="BE390" s="542"/>
      <c r="BJ390" s="3"/>
    </row>
    <row r="391" spans="1:86" hidden="1">
      <c r="A391" s="1437" t="s">
        <v>706</v>
      </c>
      <c r="B391" s="72" t="s">
        <v>922</v>
      </c>
      <c r="D391" s="12"/>
      <c r="E391" s="1124">
        <f>+Details!F353</f>
        <v>75000</v>
      </c>
      <c r="F391" s="1124">
        <f>+Details!G353</f>
        <v>79700</v>
      </c>
      <c r="G391" s="1124">
        <f>+Details!H353</f>
        <v>84700</v>
      </c>
      <c r="H391" s="1124">
        <f>+Details!I353</f>
        <v>90100</v>
      </c>
      <c r="I391" s="1124">
        <f>+Details!J353</f>
        <v>95900</v>
      </c>
      <c r="J391" s="1124">
        <f>+Details!K353</f>
        <v>102100</v>
      </c>
      <c r="K391" s="1124">
        <f>+Details!L353</f>
        <v>108700</v>
      </c>
      <c r="L391" s="1124">
        <f>+Details!M353</f>
        <v>115700</v>
      </c>
      <c r="M391" s="1124">
        <f>+Details!N353</f>
        <v>123200</v>
      </c>
      <c r="N391" s="1124">
        <f>+Details!O353</f>
        <v>131100</v>
      </c>
      <c r="O391" s="1124">
        <f>+Details!P353</f>
        <v>139500</v>
      </c>
      <c r="P391" s="1124">
        <f>+Details!Q353</f>
        <v>148400</v>
      </c>
      <c r="Q391" s="1124">
        <f>+Details!R353</f>
        <v>157900</v>
      </c>
      <c r="R391" s="1124">
        <f>+Details!S353</f>
        <v>168000</v>
      </c>
      <c r="S391" s="1124">
        <f>+Details!T353</f>
        <v>178700</v>
      </c>
      <c r="T391" s="1124">
        <f>+Details!U353</f>
        <v>190100</v>
      </c>
      <c r="U391" s="1124">
        <f>+Details!V353</f>
        <v>202200</v>
      </c>
      <c r="V391" s="1124">
        <f>+Details!W353</f>
        <v>215000</v>
      </c>
      <c r="W391" s="1124">
        <f>+Details!X353</f>
        <v>228600</v>
      </c>
      <c r="X391" s="1124">
        <f>+Details!Y353</f>
        <v>239900</v>
      </c>
      <c r="Y391" s="1124">
        <f>+Details!Z353</f>
        <v>251800</v>
      </c>
      <c r="Z391" s="1180">
        <f>+Details!AA353</f>
        <v>264400</v>
      </c>
      <c r="AA391" s="1124">
        <f>+Details!AB353</f>
        <v>277600</v>
      </c>
      <c r="AB391" s="1124">
        <f>+Details!AC353</f>
        <v>291500</v>
      </c>
      <c r="AC391" s="1124">
        <f>+Details!AD353</f>
        <v>306200</v>
      </c>
      <c r="AD391" s="1124">
        <f>+Details!AE353</f>
        <v>321600</v>
      </c>
      <c r="AE391" s="1124">
        <f>+Details!AF353</f>
        <v>337900</v>
      </c>
      <c r="AF391" s="1124">
        <f>+Details!AG353</f>
        <v>355000</v>
      </c>
      <c r="AG391" s="1124">
        <f>+Details!AH353</f>
        <v>373000</v>
      </c>
      <c r="AH391" s="1124">
        <f>+Details!AI353</f>
        <v>392000</v>
      </c>
      <c r="AI391" s="1124">
        <f>+Details!AJ353</f>
        <v>0</v>
      </c>
      <c r="AJ391" s="1124">
        <f>+Details!AK353</f>
        <v>0</v>
      </c>
      <c r="AK391" s="1124">
        <f>+Details!AL353</f>
        <v>0</v>
      </c>
      <c r="AL391" s="1124">
        <f>+Details!AM353</f>
        <v>0</v>
      </c>
      <c r="AM391" s="1124">
        <f>+Details!AN353</f>
        <v>0</v>
      </c>
      <c r="AN391" s="1124">
        <f>+Details!AO353</f>
        <v>0</v>
      </c>
      <c r="AO391" s="1124">
        <f>+Details!AP353</f>
        <v>0</v>
      </c>
      <c r="AP391" s="1124">
        <f>+Details!AQ353</f>
        <v>0</v>
      </c>
      <c r="AQ391" s="1124">
        <f>+Details!AR353</f>
        <v>0</v>
      </c>
      <c r="AR391" s="1124">
        <f>+Details!AS353</f>
        <v>0</v>
      </c>
      <c r="AS391" s="1124"/>
      <c r="AT391" s="1124"/>
      <c r="AU391" s="1124"/>
      <c r="AV391" s="1124"/>
      <c r="AX391" s="191"/>
      <c r="AY391" s="191"/>
      <c r="AZ391" s="191"/>
      <c r="BA391" s="787"/>
      <c r="BB391" s="542"/>
      <c r="BC391" s="542"/>
      <c r="BD391" s="542"/>
      <c r="BE391" s="542"/>
      <c r="BJ391" s="3"/>
    </row>
    <row r="392" spans="1:86" hidden="1">
      <c r="A392" s="1437" t="s">
        <v>706</v>
      </c>
      <c r="B392" s="72"/>
      <c r="D392" s="12"/>
      <c r="E392" s="102"/>
      <c r="F392" s="102"/>
      <c r="G392" s="102"/>
      <c r="H392" s="102"/>
      <c r="I392" s="102"/>
      <c r="J392" s="102"/>
      <c r="K392" s="102"/>
      <c r="L392" s="102"/>
      <c r="M392" s="102"/>
      <c r="N392" s="102"/>
      <c r="O392" s="102"/>
      <c r="P392" s="102"/>
      <c r="Q392" s="102"/>
      <c r="R392" s="102"/>
      <c r="S392" s="102"/>
      <c r="T392" s="102"/>
      <c r="U392" s="102"/>
      <c r="V392" s="102"/>
      <c r="W392" s="102"/>
      <c r="X392" s="102"/>
      <c r="Y392" s="102"/>
      <c r="Z392" s="675"/>
      <c r="AA392" s="102"/>
      <c r="AB392" s="102"/>
      <c r="AC392" s="102"/>
      <c r="AD392" s="102"/>
      <c r="AE392" s="102"/>
      <c r="AF392" s="102"/>
      <c r="AG392" s="102"/>
      <c r="AH392" s="102"/>
      <c r="AI392" s="102"/>
      <c r="AJ392" s="102"/>
      <c r="AK392" s="102"/>
      <c r="AL392" s="102"/>
      <c r="AM392" s="102"/>
      <c r="AN392" s="102"/>
      <c r="AO392" s="102"/>
      <c r="AP392" s="102"/>
      <c r="AQ392" s="102"/>
      <c r="AR392" s="191"/>
      <c r="AS392" s="191"/>
      <c r="AT392" s="191"/>
      <c r="AU392" s="191"/>
      <c r="AV392" s="102"/>
      <c r="AX392" s="191"/>
      <c r="AY392" s="191"/>
      <c r="AZ392" s="191"/>
      <c r="BA392" s="787"/>
      <c r="BJ392" s="3"/>
    </row>
    <row r="393" spans="1:86" ht="15.6" hidden="1">
      <c r="A393" s="1437" t="s">
        <v>706</v>
      </c>
      <c r="B393" s="198" t="s">
        <v>1772</v>
      </c>
      <c r="D393" s="102">
        <f>SUM(E393:BE393)</f>
        <v>88700</v>
      </c>
      <c r="E393" s="1124">
        <f>+Details!F227</f>
        <v>1100</v>
      </c>
      <c r="F393" s="1124">
        <f>+Details!G227</f>
        <v>1600</v>
      </c>
      <c r="G393" s="1124">
        <f>+Details!H227</f>
        <v>1000</v>
      </c>
      <c r="H393" s="1124">
        <f>+Details!I227</f>
        <v>1000</v>
      </c>
      <c r="I393" s="1124">
        <f>+Details!J227</f>
        <v>1100</v>
      </c>
      <c r="J393" s="1124">
        <f>+Details!K227</f>
        <v>1100</v>
      </c>
      <c r="K393" s="1124">
        <f>+Details!L227</f>
        <v>1100</v>
      </c>
      <c r="L393" s="1124">
        <f>+Details!M227</f>
        <v>2000</v>
      </c>
      <c r="M393" s="1124">
        <f>+Details!N227</f>
        <v>600</v>
      </c>
      <c r="N393" s="1124">
        <f>+Details!O227</f>
        <v>600</v>
      </c>
      <c r="O393" s="1124">
        <f>+Details!P227</f>
        <v>600</v>
      </c>
      <c r="P393" s="1124">
        <f>+Details!Q227</f>
        <v>700</v>
      </c>
      <c r="Q393" s="1124">
        <f>+Details!R227</f>
        <v>900</v>
      </c>
      <c r="R393" s="1124">
        <f>+Details!S227</f>
        <v>1000</v>
      </c>
      <c r="S393" s="1124">
        <f>+Details!T227</f>
        <v>1400</v>
      </c>
      <c r="T393" s="1124">
        <f>+Details!U227</f>
        <v>1700</v>
      </c>
      <c r="U393" s="1124">
        <f>+Details!V227</f>
        <v>2100</v>
      </c>
      <c r="V393" s="1124">
        <f>+Details!W227</f>
        <v>2200</v>
      </c>
      <c r="W393" s="1124">
        <f>+Details!X227</f>
        <v>2000</v>
      </c>
      <c r="X393" s="1124">
        <f>+Details!Y227</f>
        <v>2000</v>
      </c>
      <c r="Y393" s="1124">
        <f>+Details!Z227</f>
        <v>2100</v>
      </c>
      <c r="Z393" s="1180">
        <f>+Details!AA227</f>
        <v>2300</v>
      </c>
      <c r="AA393" s="1124">
        <f>+Details!AB227</f>
        <v>6700</v>
      </c>
      <c r="AB393" s="1124">
        <f>+Details!AC227</f>
        <v>7400</v>
      </c>
      <c r="AC393" s="1124">
        <f>+Details!AD227</f>
        <v>7300</v>
      </c>
      <c r="AD393" s="1124">
        <f>+Details!AE227</f>
        <v>7600</v>
      </c>
      <c r="AE393" s="1124">
        <f>+Details!AF227</f>
        <v>7700</v>
      </c>
      <c r="AF393" s="1124">
        <f>+Details!AG227</f>
        <v>7200</v>
      </c>
      <c r="AG393" s="1124">
        <f>+Details!AH227</f>
        <v>7200</v>
      </c>
      <c r="AH393" s="1124">
        <f>+Details!AI227</f>
        <v>7400</v>
      </c>
      <c r="AI393" s="1124">
        <f>+Details!AJ227</f>
        <v>0</v>
      </c>
      <c r="AJ393" s="1124">
        <f>+Details!AK227</f>
        <v>0</v>
      </c>
      <c r="AK393" s="1124">
        <f>+Details!AL227</f>
        <v>0</v>
      </c>
      <c r="AL393" s="1124">
        <f>+Details!AM227</f>
        <v>0</v>
      </c>
      <c r="AM393" s="1124">
        <f>+Details!AN227</f>
        <v>0</v>
      </c>
      <c r="AN393" s="1124">
        <f>+Details!AO227</f>
        <v>0</v>
      </c>
      <c r="AO393" s="1124">
        <f>+Details!AP227</f>
        <v>0</v>
      </c>
      <c r="AP393" s="1124">
        <f>+Details!AQ227</f>
        <v>0</v>
      </c>
      <c r="AQ393" s="1124">
        <f>+Details!AR227</f>
        <v>0</v>
      </c>
      <c r="AR393" s="1124">
        <f>+Details!AS227</f>
        <v>0</v>
      </c>
      <c r="AS393" s="1124"/>
      <c r="AT393" s="1124"/>
      <c r="AU393" s="1124"/>
      <c r="AV393" s="1124"/>
      <c r="AX393" s="722"/>
      <c r="AY393" s="722"/>
      <c r="AZ393" s="722"/>
      <c r="BJ393" s="3"/>
    </row>
    <row r="394" spans="1:86" ht="15.6" hidden="1">
      <c r="A394" s="1437" t="s">
        <v>706</v>
      </c>
      <c r="B394" s="198" t="s">
        <v>1773</v>
      </c>
      <c r="D394" s="8"/>
      <c r="E394" s="44">
        <f>+Details!F204</f>
        <v>0.12</v>
      </c>
      <c r="F394" s="44">
        <f>+Details!G204</f>
        <v>0.12</v>
      </c>
      <c r="G394" s="44">
        <f>+Details!H204</f>
        <v>0.12</v>
      </c>
      <c r="H394" s="44">
        <f>+Details!I204</f>
        <v>0.12</v>
      </c>
      <c r="I394" s="44">
        <f>+Details!J204</f>
        <v>0.12</v>
      </c>
      <c r="J394" s="44">
        <f>+Details!K204</f>
        <v>0.12</v>
      </c>
      <c r="K394" s="44">
        <f>+Details!L204</f>
        <v>0.12</v>
      </c>
      <c r="L394" s="44">
        <f>+Details!M204</f>
        <v>0.12</v>
      </c>
      <c r="M394" s="44">
        <f>+Details!N204</f>
        <v>0.12</v>
      </c>
      <c r="N394" s="44">
        <f>+Details!O204</f>
        <v>0.12</v>
      </c>
      <c r="O394" s="44">
        <f>+Details!P204</f>
        <v>0.12</v>
      </c>
      <c r="P394" s="44">
        <f>+Details!Q204</f>
        <v>0.12</v>
      </c>
      <c r="Q394" s="44">
        <f>+Details!R204</f>
        <v>0.12</v>
      </c>
      <c r="R394" s="44">
        <f>+Details!S204</f>
        <v>0.12</v>
      </c>
      <c r="S394" s="44">
        <f>+Details!T204</f>
        <v>0.12</v>
      </c>
      <c r="T394" s="44">
        <f>+Details!U204</f>
        <v>0.12</v>
      </c>
      <c r="U394" s="44">
        <f>+Details!V204</f>
        <v>0.12</v>
      </c>
      <c r="V394" s="44">
        <f>+Details!W204</f>
        <v>0.12</v>
      </c>
      <c r="W394" s="44">
        <f>+Details!X204</f>
        <v>0.12</v>
      </c>
      <c r="X394" s="44">
        <f>+Details!Y204</f>
        <v>0.12</v>
      </c>
      <c r="Y394" s="44">
        <f>+Details!Z204</f>
        <v>0.12</v>
      </c>
      <c r="Z394" s="90">
        <f>+Details!AA204</f>
        <v>0.12</v>
      </c>
      <c r="AA394" s="44">
        <f>+Details!AB204</f>
        <v>0.12</v>
      </c>
      <c r="AB394" s="44">
        <f>+Details!AC204</f>
        <v>0.12</v>
      </c>
      <c r="AC394" s="44">
        <f>+Details!AD204</f>
        <v>0.22</v>
      </c>
      <c r="AD394" s="44">
        <f>+Details!AE204</f>
        <v>0.22</v>
      </c>
      <c r="AE394" s="44">
        <f>+Details!AF204</f>
        <v>0.22</v>
      </c>
      <c r="AF394" s="44">
        <f>+Details!AG204</f>
        <v>0.22</v>
      </c>
      <c r="AG394" s="44">
        <f>+Details!AH204</f>
        <v>0.22</v>
      </c>
      <c r="AH394" s="44">
        <f>+Details!AI204</f>
        <v>0.22</v>
      </c>
      <c r="AI394" s="44">
        <f>+Details!AJ204</f>
        <v>0</v>
      </c>
      <c r="AJ394" s="44">
        <f>+Details!AK204</f>
        <v>0</v>
      </c>
      <c r="AK394" s="44">
        <f>+Details!AL204</f>
        <v>0</v>
      </c>
      <c r="AL394" s="44">
        <f>+Details!AM204</f>
        <v>0</v>
      </c>
      <c r="AM394" s="44">
        <f>+Details!AN204</f>
        <v>0</v>
      </c>
      <c r="AN394" s="44">
        <f>+Details!AO204</f>
        <v>0</v>
      </c>
      <c r="AO394" s="44">
        <f>+Details!AP204</f>
        <v>0</v>
      </c>
      <c r="AP394" s="44">
        <f>+Details!AQ204</f>
        <v>0</v>
      </c>
      <c r="AQ394" s="44">
        <f>+Details!AR204</f>
        <v>0</v>
      </c>
      <c r="AR394" s="44">
        <f>+Details!AS204</f>
        <v>0</v>
      </c>
      <c r="AS394" s="44"/>
      <c r="AT394" s="44"/>
      <c r="AU394" s="44"/>
      <c r="AV394" s="44"/>
    </row>
    <row r="395" spans="1:86" ht="15.6" hidden="1">
      <c r="A395" s="1437" t="s">
        <v>706</v>
      </c>
      <c r="B395" s="282"/>
      <c r="C395" s="282"/>
      <c r="I395" s="204"/>
      <c r="J395" s="81"/>
      <c r="K395" s="129"/>
      <c r="L395" s="92"/>
      <c r="M395" s="10"/>
    </row>
    <row r="396" spans="1:86" hidden="1">
      <c r="A396" s="1437" t="s">
        <v>706</v>
      </c>
    </row>
    <row r="397" spans="1:86" ht="15.6">
      <c r="E397" s="662" t="s">
        <v>1063</v>
      </c>
    </row>
    <row r="398" spans="1:86">
      <c r="A398" s="3"/>
      <c r="M398" s="3"/>
      <c r="N398" s="3"/>
      <c r="O398" s="3"/>
    </row>
    <row r="399" spans="1:86">
      <c r="A399" s="3"/>
      <c r="M399" s="3"/>
      <c r="N399" s="3"/>
      <c r="O399" s="3"/>
    </row>
    <row r="400" spans="1:86">
      <c r="Z400"/>
      <c r="AW400" s="330"/>
      <c r="AX400"/>
      <c r="AY400"/>
      <c r="AZ400"/>
      <c r="BA400"/>
      <c r="CH400"/>
    </row>
    <row r="401" spans="1:86" ht="15.6">
      <c r="A401" s="3"/>
      <c r="B401" s="275"/>
      <c r="C401" s="65"/>
      <c r="D401" s="65"/>
      <c r="E401" s="3"/>
      <c r="G401" s="332"/>
      <c r="H401" s="332"/>
      <c r="I401" s="332"/>
      <c r="J401" s="332"/>
      <c r="K401" s="332"/>
      <c r="L401" s="332"/>
      <c r="O401" s="3"/>
      <c r="P401" s="3"/>
      <c r="Q401" s="329"/>
      <c r="R401" s="329"/>
      <c r="S401" s="329"/>
      <c r="T401" s="329"/>
      <c r="U401" s="329"/>
      <c r="V401" s="329"/>
      <c r="W401" s="329"/>
      <c r="X401" s="329"/>
      <c r="Y401" s="329"/>
      <c r="Z401" s="329"/>
      <c r="AA401" s="329"/>
      <c r="AB401" s="329"/>
      <c r="AC401" s="329"/>
      <c r="AD401" s="329"/>
      <c r="AE401" s="329"/>
      <c r="AF401" s="329"/>
      <c r="AG401" s="329"/>
      <c r="AH401" s="329"/>
      <c r="AI401" s="329"/>
      <c r="AJ401" s="329"/>
      <c r="AK401" s="329"/>
      <c r="AL401" s="329"/>
      <c r="AM401" s="329"/>
      <c r="AN401" s="329"/>
      <c r="AO401" s="329"/>
      <c r="AP401" s="329"/>
      <c r="AQ401" s="329"/>
      <c r="AR401" s="329"/>
      <c r="AS401" s="329"/>
      <c r="AT401" s="329"/>
      <c r="AU401" s="329"/>
      <c r="AV401" s="329"/>
      <c r="AW401" s="330"/>
      <c r="AX401"/>
      <c r="AY401"/>
      <c r="AZ401"/>
      <c r="BA401"/>
      <c r="CH401"/>
    </row>
    <row r="402" spans="1:86" s="3" customFormat="1" ht="19.95" customHeight="1">
      <c r="A402" s="1163" t="s">
        <v>1400</v>
      </c>
      <c r="B402" s="1163"/>
      <c r="C402" s="1163"/>
      <c r="D402" s="1163"/>
      <c r="E402" s="1163"/>
      <c r="G402" s="1456"/>
      <c r="H402" s="317"/>
      <c r="I402" s="317"/>
      <c r="J402" s="317"/>
      <c r="K402" s="317"/>
      <c r="L402" s="317"/>
      <c r="O402"/>
      <c r="P402"/>
    </row>
    <row r="403" spans="1:86" s="3" customFormat="1" ht="17.399999999999999">
      <c r="C403" s="1072"/>
      <c r="D403" s="410"/>
      <c r="E403" s="410"/>
      <c r="F403" s="412"/>
      <c r="G403" s="412"/>
      <c r="H403"/>
      <c r="O403"/>
      <c r="P403"/>
    </row>
    <row r="404" spans="1:86" ht="19.95" customHeight="1">
      <c r="C404" s="3"/>
      <c r="G404" s="1142" t="s">
        <v>276</v>
      </c>
      <c r="H404" s="1142"/>
      <c r="I404" s="1142"/>
      <c r="J404" s="1142"/>
      <c r="K404" s="1172" t="s">
        <v>650</v>
      </c>
      <c r="N404" s="1443" t="s">
        <v>2312</v>
      </c>
      <c r="Z404"/>
      <c r="AX404"/>
      <c r="AY404"/>
      <c r="AZ404"/>
      <c r="BA404"/>
      <c r="CH404"/>
    </row>
    <row r="405" spans="1:86" ht="15.6">
      <c r="E405" s="1"/>
      <c r="G405" s="13">
        <v>1</v>
      </c>
      <c r="H405" s="1143">
        <v>2</v>
      </c>
      <c r="I405" s="1143">
        <v>3</v>
      </c>
      <c r="J405" s="1143">
        <v>4</v>
      </c>
      <c r="K405" s="679"/>
      <c r="L405" s="1156"/>
      <c r="M405" s="58"/>
      <c r="N405" s="1539" t="s">
        <v>2313</v>
      </c>
      <c r="Z405"/>
      <c r="AX405"/>
      <c r="AY405"/>
      <c r="AZ405"/>
      <c r="BA405"/>
      <c r="CH405"/>
    </row>
    <row r="406" spans="1:86" ht="15.6" thickBot="1">
      <c r="D406" s="1172" t="s">
        <v>1686</v>
      </c>
      <c r="E406" s="852"/>
      <c r="K406" s="1231" t="s">
        <v>1835</v>
      </c>
      <c r="L406" s="268"/>
      <c r="M406" s="832"/>
      <c r="N406" s="56"/>
      <c r="Z406"/>
      <c r="AX406"/>
      <c r="AY406"/>
      <c r="AZ406"/>
      <c r="BA406"/>
      <c r="CH406"/>
    </row>
    <row r="407" spans="1:86" ht="7.95" customHeight="1">
      <c r="G407" s="1139"/>
      <c r="H407" s="1093"/>
      <c r="I407" s="1139"/>
      <c r="J407" s="212"/>
      <c r="K407" s="212"/>
      <c r="L407" s="212"/>
      <c r="M407" s="1232"/>
      <c r="N407" s="910"/>
      <c r="O407" s="1"/>
      <c r="Z407"/>
      <c r="AX407"/>
      <c r="AY407"/>
      <c r="AZ407"/>
      <c r="BA407"/>
      <c r="CH407"/>
    </row>
    <row r="408" spans="1:86" ht="15.6">
      <c r="E408" s="13" t="s">
        <v>1426</v>
      </c>
      <c r="G408" s="1399" t="s">
        <v>2145</v>
      </c>
      <c r="H408" s="1399" t="s">
        <v>2146</v>
      </c>
      <c r="I408" s="1399" t="s">
        <v>1546</v>
      </c>
      <c r="J408" s="1399" t="s">
        <v>1699</v>
      </c>
      <c r="K408" s="1274"/>
      <c r="L408" s="1275"/>
      <c r="M408" s="1276"/>
      <c r="N408" s="913"/>
      <c r="O408" s="913"/>
      <c r="Z408"/>
      <c r="AX408"/>
      <c r="AY408"/>
      <c r="AZ408"/>
      <c r="BA408"/>
      <c r="CH408"/>
    </row>
    <row r="409" spans="1:86" ht="15.6">
      <c r="E409" s="13" t="s">
        <v>242</v>
      </c>
      <c r="F409" s="13" t="str">
        <f ca="1">IF(COUNT(F411:F740)=0,"",COUNT(F411:F740))</f>
        <v/>
      </c>
      <c r="G409" s="1399" t="s">
        <v>1431</v>
      </c>
      <c r="H409" s="1399" t="s">
        <v>1431</v>
      </c>
      <c r="I409" s="1399" t="s">
        <v>2145</v>
      </c>
      <c r="J409" s="1399" t="s">
        <v>1934</v>
      </c>
      <c r="K409" s="1274"/>
      <c r="L409" s="1275"/>
      <c r="M409" s="1276"/>
      <c r="N409" s="913"/>
      <c r="O409" s="913"/>
      <c r="Z409"/>
      <c r="AX409"/>
      <c r="AY409"/>
      <c r="AZ409"/>
      <c r="BA409"/>
      <c r="CH409"/>
    </row>
    <row r="410" spans="1:86" ht="15.6">
      <c r="B410" s="22" t="s">
        <v>649</v>
      </c>
      <c r="D410" s="1"/>
      <c r="E410" s="1070" t="s">
        <v>1222</v>
      </c>
      <c r="F410" s="299" t="s">
        <v>337</v>
      </c>
      <c r="G410" s="1400" t="s">
        <v>285</v>
      </c>
      <c r="H410" s="1400" t="s">
        <v>285</v>
      </c>
      <c r="I410" s="1400" t="s">
        <v>285</v>
      </c>
      <c r="J410" s="1400" t="s">
        <v>386</v>
      </c>
      <c r="K410" s="1274"/>
      <c r="L410" s="1277"/>
      <c r="M410" s="1235"/>
      <c r="N410" s="914"/>
      <c r="O410" s="913"/>
      <c r="Z410"/>
      <c r="AX410"/>
      <c r="AY410"/>
      <c r="AZ410"/>
      <c r="BA410"/>
      <c r="CH410"/>
    </row>
    <row r="411" spans="1:86">
      <c r="B411" s="121" t="str">
        <f>"Portfolio balance at " &amp; Your_Age_End  &amp; " - " &amp;  Final_Year</f>
        <v>Portfolio balance at 91 - 2048</v>
      </c>
      <c r="E411" s="88">
        <f ca="1">+Results!E368</f>
        <v>2702400</v>
      </c>
      <c r="F411" s="964" t="str">
        <f ca="1">IF(E411&lt;&gt;G411,"&lt;#&gt;","")</f>
        <v/>
      </c>
      <c r="G411" s="546">
        <v>2702400</v>
      </c>
      <c r="H411" s="546">
        <v>2674000</v>
      </c>
      <c r="I411" s="546">
        <v>2834100</v>
      </c>
      <c r="J411" s="546">
        <v>2659600</v>
      </c>
      <c r="K411" s="212"/>
      <c r="L411" s="546"/>
      <c r="M411" s="546"/>
      <c r="N411" s="546"/>
      <c r="O411" s="88"/>
      <c r="Z411"/>
      <c r="AX411"/>
      <c r="AY411"/>
      <c r="AZ411"/>
      <c r="BA411"/>
      <c r="CH411"/>
    </row>
    <row r="412" spans="1:86">
      <c r="B412" s="91" t="s">
        <v>646</v>
      </c>
      <c r="E412" s="88">
        <f>+Results!E90</f>
        <v>4406700</v>
      </c>
      <c r="F412" s="964" t="str">
        <f>IF(E412&lt;&gt;G412,"&lt;#&gt;","")</f>
        <v/>
      </c>
      <c r="G412" s="546">
        <v>4406700</v>
      </c>
      <c r="H412" s="546">
        <v>4378300</v>
      </c>
      <c r="I412" s="546">
        <v>4538400</v>
      </c>
      <c r="J412" s="546">
        <v>4363900</v>
      </c>
      <c r="K412" s="212"/>
      <c r="L412" s="546"/>
      <c r="M412" s="546"/>
      <c r="N412" s="546"/>
      <c r="O412" s="915"/>
      <c r="Z412"/>
      <c r="AX412"/>
      <c r="AY412"/>
      <c r="AZ412"/>
      <c r="BA412"/>
      <c r="CH412"/>
    </row>
    <row r="413" spans="1:86">
      <c r="B413" s="91" t="s">
        <v>1480</v>
      </c>
      <c r="D413" s="1"/>
      <c r="E413" s="88">
        <f>+Results!E87</f>
        <v>279600</v>
      </c>
      <c r="F413" s="964" t="str">
        <f>IF(E413&lt;&gt;G413,"&lt;#&gt;","")</f>
        <v/>
      </c>
      <c r="G413" s="546">
        <v>279600</v>
      </c>
      <c r="H413" s="546">
        <v>257200</v>
      </c>
      <c r="I413" s="546">
        <v>204700</v>
      </c>
      <c r="J413" s="546">
        <v>294600</v>
      </c>
      <c r="K413" s="212"/>
      <c r="L413" s="546"/>
      <c r="M413" s="546"/>
      <c r="N413" s="546"/>
      <c r="O413" s="88"/>
      <c r="Z413"/>
      <c r="AX413"/>
      <c r="AY413"/>
      <c r="AZ413"/>
      <c r="BA413"/>
      <c r="CH413"/>
    </row>
    <row r="414" spans="1:86" ht="21">
      <c r="A414" s="1351" t="s">
        <v>314</v>
      </c>
      <c r="B414" s="150" t="s">
        <v>647</v>
      </c>
      <c r="E414" s="88">
        <f>+Results!E379</f>
        <v>1017800</v>
      </c>
      <c r="F414" s="964" t="str">
        <f>IF(E414&lt;&gt;G414,"&lt;#&gt;","")</f>
        <v/>
      </c>
      <c r="G414" s="546">
        <v>1017800</v>
      </c>
      <c r="H414" s="546">
        <v>1017800</v>
      </c>
      <c r="I414" s="546">
        <v>530400</v>
      </c>
      <c r="J414" s="546">
        <v>530400</v>
      </c>
      <c r="K414" s="212"/>
      <c r="L414" s="546"/>
      <c r="M414" s="546"/>
      <c r="N414" s="549"/>
      <c r="O414" s="548"/>
      <c r="Z414"/>
      <c r="AX414"/>
      <c r="AY414"/>
      <c r="AZ414"/>
      <c r="BA414"/>
      <c r="CH414"/>
    </row>
    <row r="415" spans="1:86">
      <c r="B415" s="276" t="s">
        <v>648</v>
      </c>
      <c r="D415" s="1"/>
      <c r="E415" s="88">
        <f>+Results!E108</f>
        <v>1516900</v>
      </c>
      <c r="F415" s="964" t="str">
        <f>IF(E415&lt;&gt;G415,"&lt;#&gt;","")</f>
        <v/>
      </c>
      <c r="G415" s="546">
        <v>1516900</v>
      </c>
      <c r="H415" s="546">
        <v>1245900</v>
      </c>
      <c r="I415" s="546">
        <v>1516900</v>
      </c>
      <c r="J415" s="546">
        <v>1561600</v>
      </c>
      <c r="K415" s="212"/>
      <c r="L415" s="546"/>
      <c r="M415" s="215"/>
      <c r="N415" s="215"/>
      <c r="O415" s="1"/>
      <c r="Z415"/>
      <c r="AX415"/>
      <c r="AY415"/>
      <c r="AZ415"/>
      <c r="BA415"/>
      <c r="CH415"/>
    </row>
    <row r="416" spans="1:86">
      <c r="C416" s="1"/>
      <c r="G416" s="212"/>
      <c r="H416" s="212"/>
      <c r="I416" s="212"/>
      <c r="J416" s="212"/>
      <c r="K416" s="212"/>
      <c r="L416" s="212"/>
      <c r="M416" s="546"/>
      <c r="N416" s="546"/>
      <c r="O416" s="88"/>
      <c r="Z416"/>
      <c r="AX416"/>
      <c r="AY416"/>
      <c r="AZ416"/>
      <c r="BA416"/>
      <c r="CH416"/>
    </row>
    <row r="417" spans="2:86" ht="15.6">
      <c r="B417" s="179" t="s">
        <v>1819</v>
      </c>
      <c r="G417" s="212"/>
      <c r="H417" s="212"/>
      <c r="I417" s="212"/>
      <c r="J417" s="212"/>
      <c r="K417" s="212"/>
      <c r="L417" s="212"/>
      <c r="M417" s="546"/>
      <c r="N417" s="546"/>
      <c r="O417" s="88"/>
      <c r="Z417"/>
      <c r="AX417"/>
      <c r="AY417"/>
      <c r="AZ417"/>
      <c r="BA417"/>
      <c r="CH417"/>
    </row>
    <row r="418" spans="2:86">
      <c r="B418" s="121" t="str">
        <f>"Portfolio balance at " &amp; Your_Age_End  &amp; " - " &amp;  Final_Year</f>
        <v>Portfolio balance at 91 - 2048</v>
      </c>
      <c r="D418" s="1"/>
      <c r="E418" s="915">
        <f ca="1">+Results!E369</f>
        <v>2702400</v>
      </c>
      <c r="F418" s="964" t="str">
        <f ca="1">IF(E418&lt;&gt;G418,"&lt;#&gt;","")</f>
        <v/>
      </c>
      <c r="G418" s="546">
        <v>2702400</v>
      </c>
      <c r="H418" s="546">
        <v>2702900</v>
      </c>
      <c r="I418" s="546">
        <v>2702400</v>
      </c>
      <c r="J418" s="546">
        <v>2433400</v>
      </c>
      <c r="K418" s="212"/>
      <c r="L418" s="546"/>
      <c r="M418" s="546"/>
      <c r="N418" s="546"/>
      <c r="O418" s="88"/>
      <c r="Z418"/>
      <c r="AX418"/>
      <c r="AY418"/>
      <c r="AZ418"/>
      <c r="BA418"/>
      <c r="CH418"/>
    </row>
    <row r="419" spans="2:86">
      <c r="B419" s="91" t="s">
        <v>646</v>
      </c>
      <c r="D419" s="1"/>
      <c r="E419" s="88">
        <f>+Results!E335</f>
        <v>4406700</v>
      </c>
      <c r="F419" s="964" t="str">
        <f>IF(E419&lt;&gt;G419,"&lt;#&gt;","")</f>
        <v/>
      </c>
      <c r="G419" s="546">
        <v>4406700</v>
      </c>
      <c r="H419" s="546">
        <v>4407200</v>
      </c>
      <c r="I419" s="546">
        <v>4406700</v>
      </c>
      <c r="J419" s="546">
        <v>4137700</v>
      </c>
      <c r="K419" s="212"/>
      <c r="L419" s="546"/>
      <c r="M419" s="546"/>
      <c r="N419" s="549"/>
      <c r="O419" s="548"/>
      <c r="Z419"/>
      <c r="AX419"/>
      <c r="AY419"/>
      <c r="AZ419"/>
      <c r="BA419"/>
      <c r="CH419"/>
    </row>
    <row r="420" spans="2:86">
      <c r="B420" s="91" t="s">
        <v>1480</v>
      </c>
      <c r="D420" s="1"/>
      <c r="E420" s="88">
        <f>+Results!E332</f>
        <v>279600</v>
      </c>
      <c r="F420" s="964" t="str">
        <f>IF(E420&lt;&gt;G420,"&lt;#&gt;","")</f>
        <v/>
      </c>
      <c r="G420" s="546">
        <v>279600</v>
      </c>
      <c r="H420" s="546">
        <v>279600</v>
      </c>
      <c r="I420" s="546">
        <v>279600</v>
      </c>
      <c r="J420" s="546">
        <v>440700</v>
      </c>
      <c r="K420" s="212"/>
      <c r="L420" s="546"/>
      <c r="M420" s="546"/>
      <c r="N420" s="546"/>
      <c r="O420" s="88"/>
      <c r="Z420"/>
      <c r="AX420"/>
      <c r="AY420"/>
      <c r="AZ420"/>
      <c r="BA420"/>
      <c r="CH420"/>
    </row>
    <row r="421" spans="2:86">
      <c r="B421" s="150" t="s">
        <v>647</v>
      </c>
      <c r="E421" s="88">
        <f>+Results!E382</f>
        <v>1017800</v>
      </c>
      <c r="F421" s="964" t="str">
        <f>IF(E421&lt;&gt;G421,"&lt;#&gt;","")</f>
        <v/>
      </c>
      <c r="G421" s="546">
        <v>1017800</v>
      </c>
      <c r="H421" s="546">
        <v>1017800</v>
      </c>
      <c r="I421" s="546">
        <v>1017800</v>
      </c>
      <c r="J421" s="546">
        <v>1017800</v>
      </c>
      <c r="K421" s="212"/>
      <c r="L421" s="546"/>
      <c r="M421" s="546"/>
      <c r="N421" s="546"/>
      <c r="O421" s="88"/>
      <c r="Z421"/>
      <c r="AX421"/>
      <c r="AY421"/>
      <c r="AZ421"/>
      <c r="BA421"/>
      <c r="CH421"/>
    </row>
    <row r="422" spans="2:86">
      <c r="B422" s="276" t="s">
        <v>648</v>
      </c>
      <c r="D422" s="1"/>
      <c r="E422" s="88">
        <f>+Results!E128</f>
        <v>1516900</v>
      </c>
      <c r="F422" s="964" t="str">
        <f>IF(E422&lt;&gt;G422,"&lt;#&gt;","")</f>
        <v/>
      </c>
      <c r="G422" s="546">
        <v>1516900</v>
      </c>
      <c r="H422" s="546">
        <v>1516900</v>
      </c>
      <c r="I422" s="546">
        <v>1516900</v>
      </c>
      <c r="J422" s="546">
        <v>1561600</v>
      </c>
      <c r="K422" s="212"/>
      <c r="L422" s="546"/>
      <c r="M422" s="546"/>
      <c r="N422" s="546"/>
      <c r="O422" s="88"/>
      <c r="Z422"/>
      <c r="AX422"/>
      <c r="AY422"/>
      <c r="AZ422"/>
      <c r="BA422"/>
      <c r="CH422"/>
    </row>
    <row r="423" spans="2:86">
      <c r="G423" s="212"/>
      <c r="H423" s="212"/>
      <c r="I423" s="212"/>
      <c r="J423" s="212"/>
      <c r="K423" s="212"/>
      <c r="L423" s="212"/>
      <c r="M423" s="546"/>
      <c r="N423" s="546"/>
      <c r="O423" s="88"/>
      <c r="Z423"/>
      <c r="AX423"/>
      <c r="AY423"/>
      <c r="AZ423"/>
      <c r="BA423"/>
      <c r="CH423"/>
    </row>
    <row r="424" spans="2:86" ht="15.6">
      <c r="B424" s="22" t="s">
        <v>2285</v>
      </c>
      <c r="G424" s="212"/>
      <c r="H424" s="212"/>
      <c r="I424" s="212"/>
      <c r="J424" s="212"/>
      <c r="K424" s="212"/>
      <c r="L424" s="212"/>
      <c r="M424" s="546"/>
      <c r="N424" s="549"/>
      <c r="O424" s="548"/>
      <c r="Z424"/>
      <c r="AX424"/>
      <c r="AY424"/>
      <c r="AZ424"/>
      <c r="BA424"/>
      <c r="CH424"/>
    </row>
    <row r="425" spans="2:86" ht="15.6">
      <c r="B425" s="121" t="str">
        <f>"Portfolio balance at age " &amp; Your_Age_End  &amp; " - " &amp;  Final_Year</f>
        <v>Portfolio balance at age 91 - 2048</v>
      </c>
      <c r="D425" s="313"/>
      <c r="E425" s="88">
        <f ca="1">+Results_Start-E418</f>
        <v>0</v>
      </c>
      <c r="F425" s="964" t="str">
        <f ca="1">IF(E425&lt;&gt;G425,"&lt;#&gt;","")</f>
        <v/>
      </c>
      <c r="G425" s="546">
        <v>0</v>
      </c>
      <c r="H425" s="546">
        <v>-28900</v>
      </c>
      <c r="I425" s="546">
        <v>131700</v>
      </c>
      <c r="J425" s="546">
        <v>226200</v>
      </c>
      <c r="K425" s="212"/>
      <c r="L425" s="546"/>
      <c r="M425" s="546"/>
      <c r="N425" s="546"/>
      <c r="O425" s="88"/>
      <c r="Z425"/>
      <c r="AX425"/>
      <c r="AY425"/>
      <c r="AZ425"/>
      <c r="BA425"/>
      <c r="CH425"/>
    </row>
    <row r="426" spans="2:86">
      <c r="B426" s="91" t="s">
        <v>646</v>
      </c>
      <c r="E426" s="88">
        <f>+E412-E419</f>
        <v>0</v>
      </c>
      <c r="F426" s="964" t="str">
        <f>IF(E426&lt;&gt;G426,"&lt;#&gt;","")</f>
        <v/>
      </c>
      <c r="G426" s="546">
        <v>0</v>
      </c>
      <c r="H426" s="546">
        <v>-28900</v>
      </c>
      <c r="I426" s="546">
        <v>131700</v>
      </c>
      <c r="J426" s="546">
        <v>226200</v>
      </c>
      <c r="K426" s="212"/>
      <c r="L426" s="546"/>
      <c r="M426" s="546"/>
      <c r="N426" s="546"/>
      <c r="O426" s="88"/>
      <c r="Z426"/>
      <c r="AX426"/>
      <c r="AY426"/>
      <c r="AZ426"/>
      <c r="BA426"/>
      <c r="CH426"/>
    </row>
    <row r="427" spans="2:86">
      <c r="B427" s="91" t="s">
        <v>1480</v>
      </c>
      <c r="E427" s="88">
        <f>+E413-E420</f>
        <v>0</v>
      </c>
      <c r="F427" s="964" t="str">
        <f>IF(E427&lt;&gt;G427,"&lt;#&gt;","")</f>
        <v/>
      </c>
      <c r="G427" s="546">
        <v>0</v>
      </c>
      <c r="H427" s="546">
        <v>-22400</v>
      </c>
      <c r="I427" s="546">
        <v>-74900</v>
      </c>
      <c r="J427" s="546">
        <v>-146100</v>
      </c>
      <c r="K427" s="212"/>
      <c r="L427" s="546"/>
      <c r="M427" s="546"/>
      <c r="N427" s="546"/>
      <c r="O427" s="88"/>
      <c r="Z427"/>
      <c r="AX427"/>
      <c r="AY427"/>
      <c r="AZ427"/>
      <c r="BA427"/>
      <c r="CH427"/>
    </row>
    <row r="428" spans="2:86">
      <c r="B428" s="150" t="s">
        <v>647</v>
      </c>
      <c r="E428" s="88">
        <f>+E414-E421</f>
        <v>0</v>
      </c>
      <c r="F428" s="964" t="str">
        <f>IF(E428&lt;&gt;G428,"&lt;#&gt;","")</f>
        <v/>
      </c>
      <c r="G428" s="546">
        <v>0</v>
      </c>
      <c r="H428" s="546">
        <v>0</v>
      </c>
      <c r="I428" s="546">
        <v>-487400</v>
      </c>
      <c r="J428" s="546">
        <v>-487400</v>
      </c>
      <c r="K428" s="212"/>
      <c r="L428" s="546"/>
      <c r="M428" s="546"/>
      <c r="N428" s="546"/>
      <c r="O428" s="88"/>
      <c r="Z428"/>
      <c r="AX428"/>
      <c r="AY428"/>
      <c r="AZ428"/>
      <c r="BA428"/>
      <c r="CH428"/>
    </row>
    <row r="429" spans="2:86">
      <c r="B429" s="276" t="s">
        <v>648</v>
      </c>
      <c r="E429" s="88">
        <f>+E415-E422</f>
        <v>0</v>
      </c>
      <c r="F429" s="964" t="str">
        <f>IF(E429&lt;&gt;G429,"&lt;#&gt;","")</f>
        <v/>
      </c>
      <c r="G429" s="546">
        <v>0</v>
      </c>
      <c r="H429" s="546">
        <v>-271000</v>
      </c>
      <c r="I429" s="546">
        <v>0</v>
      </c>
      <c r="J429" s="546">
        <v>0</v>
      </c>
      <c r="K429" s="212"/>
      <c r="L429" s="546"/>
      <c r="M429" s="546"/>
      <c r="N429" s="549"/>
      <c r="O429" s="548"/>
      <c r="Z429"/>
      <c r="AX429"/>
      <c r="AY429"/>
      <c r="AZ429"/>
      <c r="BA429"/>
      <c r="CH429"/>
    </row>
    <row r="430" spans="2:86">
      <c r="C430" s="276"/>
      <c r="D430" s="1"/>
      <c r="E430" s="88"/>
      <c r="F430" s="965"/>
      <c r="G430" s="546"/>
      <c r="H430" s="546"/>
      <c r="I430" s="546"/>
      <c r="J430" s="546"/>
      <c r="K430" s="212"/>
      <c r="L430" s="546"/>
      <c r="M430" s="546"/>
      <c r="N430" s="546"/>
      <c r="O430" s="88"/>
      <c r="Z430"/>
      <c r="AX430"/>
      <c r="AY430"/>
      <c r="AZ430"/>
      <c r="BA430"/>
      <c r="CH430"/>
    </row>
    <row r="431" spans="2:86">
      <c r="C431" s="143"/>
      <c r="E431" s="498"/>
      <c r="F431" s="965"/>
      <c r="G431" s="212"/>
      <c r="H431" s="212"/>
      <c r="I431" s="212"/>
      <c r="J431" s="212"/>
      <c r="K431" s="212"/>
      <c r="L431" s="212"/>
      <c r="M431" s="212"/>
      <c r="N431" s="215"/>
      <c r="O431" s="1"/>
      <c r="Z431"/>
      <c r="AX431"/>
      <c r="AY431"/>
      <c r="AZ431"/>
      <c r="BA431"/>
      <c r="CH431"/>
    </row>
    <row r="432" spans="2:86" ht="15" customHeight="1">
      <c r="D432" s="739" t="s">
        <v>1425</v>
      </c>
      <c r="E432" s="1439">
        <f ca="1">NOW()</f>
        <v>43623.254462037039</v>
      </c>
      <c r="F432" s="115"/>
      <c r="G432" s="499">
        <v>43523.589462731485</v>
      </c>
      <c r="H432" s="499">
        <v>43523.603933564817</v>
      </c>
      <c r="I432" s="499">
        <v>43523.604068981484</v>
      </c>
      <c r="J432" s="499">
        <v>43188.39633275463</v>
      </c>
      <c r="K432" s="212"/>
      <c r="L432" s="499"/>
      <c r="M432" s="443"/>
      <c r="N432" s="916"/>
      <c r="O432" s="917"/>
      <c r="P432" s="281"/>
      <c r="Z432"/>
      <c r="AX432"/>
      <c r="AY432"/>
      <c r="AZ432"/>
      <c r="BA432"/>
      <c r="CH432"/>
    </row>
    <row r="433" spans="3:86" ht="15.6">
      <c r="C433" s="1"/>
      <c r="D433" s="12" t="s">
        <v>467</v>
      </c>
      <c r="E433" s="13" t="str">
        <f>+Include_Roth</f>
        <v>n</v>
      </c>
      <c r="F433" s="964" t="str">
        <f t="shared" ref="F433:F439" si="54">IF(E433&lt;&gt;G433,"&lt;#&gt;","")</f>
        <v/>
      </c>
      <c r="G433" s="442" t="s">
        <v>1133</v>
      </c>
      <c r="H433" s="442" t="s">
        <v>1133</v>
      </c>
      <c r="I433" s="442" t="s">
        <v>851</v>
      </c>
      <c r="J433" s="442" t="s">
        <v>851</v>
      </c>
      <c r="K433" s="212"/>
      <c r="L433" s="442"/>
      <c r="M433" s="443"/>
      <c r="N433" s="218"/>
      <c r="O433" s="5"/>
      <c r="P433" s="281"/>
      <c r="Z433"/>
      <c r="AX433"/>
      <c r="AY433"/>
      <c r="AZ433"/>
      <c r="BA433"/>
      <c r="CH433"/>
    </row>
    <row r="434" spans="3:86" ht="15.6">
      <c r="C434" s="1"/>
      <c r="D434" s="12" t="s">
        <v>608</v>
      </c>
      <c r="E434" s="13" t="str">
        <f>+SS_Comparison</f>
        <v>n</v>
      </c>
      <c r="F434" s="964" t="str">
        <f t="shared" si="54"/>
        <v/>
      </c>
      <c r="G434" s="442" t="s">
        <v>1133</v>
      </c>
      <c r="H434" s="442" t="s">
        <v>851</v>
      </c>
      <c r="I434" s="442" t="s">
        <v>1133</v>
      </c>
      <c r="J434" s="442" t="s">
        <v>1133</v>
      </c>
      <c r="K434" s="212"/>
      <c r="L434" s="442"/>
      <c r="M434" s="443"/>
      <c r="N434" s="218"/>
      <c r="O434" s="5"/>
      <c r="P434" s="281"/>
      <c r="Z434"/>
      <c r="AX434"/>
      <c r="AY434"/>
      <c r="AZ434"/>
      <c r="BA434"/>
      <c r="CH434"/>
    </row>
    <row r="435" spans="3:86" ht="15.6">
      <c r="C435" s="1"/>
      <c r="D435" s="12" t="s">
        <v>1752</v>
      </c>
      <c r="E435" s="13" t="str">
        <f>+Tax_Rates_Alt</f>
        <v>n</v>
      </c>
      <c r="F435" s="964" t="str">
        <f t="shared" si="54"/>
        <v/>
      </c>
      <c r="G435" s="442" t="s">
        <v>1133</v>
      </c>
      <c r="H435" s="442" t="s">
        <v>1133</v>
      </c>
      <c r="I435" s="442" t="s">
        <v>1133</v>
      </c>
      <c r="J435" s="442" t="s">
        <v>851</v>
      </c>
      <c r="K435" s="212"/>
      <c r="L435" s="442"/>
      <c r="M435" s="443"/>
      <c r="N435" s="218"/>
      <c r="O435" s="5"/>
      <c r="P435" s="281"/>
      <c r="Z435"/>
      <c r="AX435"/>
      <c r="AY435"/>
      <c r="AZ435"/>
      <c r="BA435"/>
      <c r="CH435"/>
    </row>
    <row r="436" spans="3:86" ht="15.6">
      <c r="C436" s="1"/>
      <c r="D436" s="12" t="s">
        <v>1753</v>
      </c>
      <c r="E436" s="13" t="str">
        <f>+Exclude_Taxes</f>
        <v>n</v>
      </c>
      <c r="F436" s="964" t="str">
        <f t="shared" si="54"/>
        <v/>
      </c>
      <c r="G436" s="442" t="s">
        <v>1133</v>
      </c>
      <c r="H436" s="442" t="s">
        <v>1133</v>
      </c>
      <c r="I436" s="442" t="s">
        <v>1133</v>
      </c>
      <c r="J436" s="442" t="s">
        <v>1133</v>
      </c>
      <c r="K436" s="212"/>
      <c r="L436" s="442"/>
      <c r="M436" s="443"/>
      <c r="N436" s="218"/>
      <c r="O436" s="5"/>
      <c r="P436" s="281"/>
      <c r="Z436"/>
      <c r="AX436"/>
      <c r="AY436"/>
      <c r="AZ436"/>
      <c r="BA436"/>
      <c r="CH436"/>
    </row>
    <row r="437" spans="3:86">
      <c r="D437" s="338" t="s">
        <v>610</v>
      </c>
      <c r="E437" s="92">
        <f>+Round_To</f>
        <v>100</v>
      </c>
      <c r="F437" s="964" t="str">
        <f t="shared" si="54"/>
        <v/>
      </c>
      <c r="G437" s="210">
        <v>100</v>
      </c>
      <c r="H437" s="210">
        <v>100</v>
      </c>
      <c r="I437" s="210">
        <v>100</v>
      </c>
      <c r="J437" s="210">
        <v>100</v>
      </c>
      <c r="K437" s="212"/>
      <c r="L437" s="210"/>
      <c r="M437" s="210"/>
      <c r="N437" s="727"/>
      <c r="O437" s="135"/>
      <c r="Z437"/>
      <c r="AX437"/>
      <c r="AY437"/>
      <c r="AZ437"/>
      <c r="BA437"/>
      <c r="CH437"/>
    </row>
    <row r="438" spans="3:86">
      <c r="D438" s="383" t="s">
        <v>498</v>
      </c>
      <c r="E438" s="92">
        <f>+Taxable_Min</f>
        <v>10000</v>
      </c>
      <c r="F438" s="964" t="str">
        <f t="shared" si="54"/>
        <v/>
      </c>
      <c r="G438" s="210">
        <v>10000</v>
      </c>
      <c r="H438" s="210">
        <v>10000</v>
      </c>
      <c r="I438" s="210">
        <v>10000</v>
      </c>
      <c r="J438" s="210">
        <v>10000</v>
      </c>
      <c r="K438" s="212"/>
      <c r="L438" s="210"/>
      <c r="M438" s="210"/>
      <c r="N438" s="945"/>
      <c r="O438" s="383"/>
      <c r="Z438"/>
      <c r="AX438"/>
      <c r="AY438"/>
      <c r="AZ438"/>
      <c r="BA438"/>
      <c r="CH438"/>
    </row>
    <row r="439" spans="3:86">
      <c r="C439" s="1"/>
      <c r="D439" s="570" t="s">
        <v>880</v>
      </c>
      <c r="E439" s="12" t="str">
        <f>+Automate</f>
        <v>n</v>
      </c>
      <c r="F439" s="964" t="str">
        <f t="shared" si="54"/>
        <v/>
      </c>
      <c r="G439" s="609" t="s">
        <v>1133</v>
      </c>
      <c r="H439" s="609" t="s">
        <v>1133</v>
      </c>
      <c r="I439" s="609" t="s">
        <v>1133</v>
      </c>
      <c r="J439" s="609" t="s">
        <v>1133</v>
      </c>
      <c r="K439" s="212"/>
      <c r="L439" s="609"/>
      <c r="M439" s="610"/>
      <c r="N439" s="727"/>
      <c r="O439" s="1"/>
      <c r="P439" s="281"/>
      <c r="Z439"/>
      <c r="AX439"/>
      <c r="AY439"/>
      <c r="AZ439"/>
      <c r="BA439"/>
      <c r="CH439"/>
    </row>
    <row r="440" spans="3:86" ht="15.6">
      <c r="C440" s="1"/>
      <c r="D440" s="12"/>
      <c r="E440" s="13"/>
      <c r="F440" s="964"/>
      <c r="G440" s="442"/>
      <c r="H440" s="442"/>
      <c r="I440" s="442"/>
      <c r="J440" s="442"/>
      <c r="K440" s="212"/>
      <c r="L440" s="442"/>
      <c r="M440" s="443"/>
      <c r="N440" s="218"/>
      <c r="O440" s="5"/>
      <c r="P440" s="281"/>
      <c r="Z440"/>
      <c r="AX440"/>
      <c r="AY440"/>
      <c r="AZ440"/>
      <c r="BA440"/>
      <c r="CH440"/>
    </row>
    <row r="441" spans="3:86" ht="17.399999999999999">
      <c r="C441" s="1"/>
      <c r="D441" s="739" t="s">
        <v>1570</v>
      </c>
      <c r="E441" s="281"/>
      <c r="F441" s="68"/>
      <c r="G441" s="443"/>
      <c r="H441" s="443"/>
      <c r="I441" s="443"/>
      <c r="J441" s="443"/>
      <c r="K441" s="212"/>
      <c r="L441" s="443"/>
      <c r="M441" s="443"/>
      <c r="N441" s="939"/>
      <c r="O441" s="940"/>
      <c r="P441" s="281"/>
      <c r="Z441"/>
      <c r="AX441"/>
      <c r="AY441"/>
      <c r="AZ441"/>
      <c r="BA441"/>
      <c r="CH441"/>
    </row>
    <row r="442" spans="3:86">
      <c r="D442" s="12" t="s">
        <v>1424</v>
      </c>
      <c r="E442" s="8">
        <f>+First_Year</f>
        <v>2019</v>
      </c>
      <c r="F442" s="964" t="str">
        <f t="shared" ref="F442:F458" si="55">IF(E442&lt;&gt;G442,"&lt;#&gt;","")</f>
        <v/>
      </c>
      <c r="G442" s="444">
        <v>2019</v>
      </c>
      <c r="H442" s="444">
        <v>2019</v>
      </c>
      <c r="I442" s="444">
        <v>2019</v>
      </c>
      <c r="J442" s="444">
        <v>2018</v>
      </c>
      <c r="K442" s="212"/>
      <c r="L442" s="444"/>
      <c r="M442" s="444"/>
      <c r="N442" s="941"/>
      <c r="O442" s="629"/>
      <c r="Z442"/>
      <c r="AX442"/>
      <c r="AY442"/>
      <c r="AZ442"/>
      <c r="BA442"/>
      <c r="CH442"/>
    </row>
    <row r="443" spans="3:86">
      <c r="D443" s="12" t="s">
        <v>1434</v>
      </c>
      <c r="E443" s="8">
        <f>+Final_Year</f>
        <v>2048</v>
      </c>
      <c r="F443" s="964" t="str">
        <f t="shared" si="55"/>
        <v/>
      </c>
      <c r="G443" s="444">
        <v>2048</v>
      </c>
      <c r="H443" s="444">
        <v>2048</v>
      </c>
      <c r="I443" s="444">
        <v>2048</v>
      </c>
      <c r="J443" s="444">
        <v>2047</v>
      </c>
      <c r="K443" s="212"/>
      <c r="L443" s="444"/>
      <c r="M443" s="444"/>
      <c r="N443" s="941"/>
      <c r="O443" s="629"/>
      <c r="P443" s="8"/>
      <c r="Z443"/>
      <c r="AX443"/>
      <c r="AY443"/>
      <c r="AZ443"/>
      <c r="BA443"/>
      <c r="CH443"/>
    </row>
    <row r="444" spans="3:86">
      <c r="D444" s="8" t="s">
        <v>1496</v>
      </c>
      <c r="E444" s="340">
        <f>+Total_Years</f>
        <v>30</v>
      </c>
      <c r="F444" s="964" t="str">
        <f t="shared" si="55"/>
        <v/>
      </c>
      <c r="G444" s="445">
        <v>30</v>
      </c>
      <c r="H444" s="445">
        <v>30</v>
      </c>
      <c r="I444" s="445">
        <v>30</v>
      </c>
      <c r="J444" s="445">
        <v>30</v>
      </c>
      <c r="K444" s="212"/>
      <c r="L444" s="445"/>
      <c r="M444" s="445"/>
      <c r="N444" s="942"/>
      <c r="O444" s="943"/>
      <c r="Z444"/>
      <c r="AX444"/>
      <c r="AY444"/>
      <c r="AZ444"/>
      <c r="BA444"/>
      <c r="CH444"/>
    </row>
    <row r="445" spans="3:86">
      <c r="D445" s="8" t="s">
        <v>1339</v>
      </c>
      <c r="E445" s="340">
        <f>+Your_Age</f>
        <v>62</v>
      </c>
      <c r="F445" s="964" t="str">
        <f t="shared" si="55"/>
        <v/>
      </c>
      <c r="G445" s="445">
        <v>62</v>
      </c>
      <c r="H445" s="445">
        <v>62</v>
      </c>
      <c r="I445" s="445">
        <v>62</v>
      </c>
      <c r="J445" s="445">
        <v>62</v>
      </c>
      <c r="K445" s="212"/>
      <c r="L445" s="445"/>
      <c r="M445" s="445"/>
      <c r="N445" s="942"/>
      <c r="O445" s="943"/>
      <c r="Z445"/>
      <c r="AX445"/>
      <c r="AY445"/>
      <c r="AZ445"/>
      <c r="BA445"/>
      <c r="CH445"/>
    </row>
    <row r="446" spans="3:86">
      <c r="D446" s="8" t="s">
        <v>1174</v>
      </c>
      <c r="E446" s="340">
        <f>+Your_End_Input</f>
        <v>85</v>
      </c>
      <c r="F446" s="964" t="str">
        <f t="shared" si="55"/>
        <v/>
      </c>
      <c r="G446" s="445">
        <v>85</v>
      </c>
      <c r="H446" s="445">
        <v>85</v>
      </c>
      <c r="I446" s="445">
        <v>85</v>
      </c>
      <c r="J446" s="445">
        <v>85</v>
      </c>
      <c r="K446" s="212"/>
      <c r="L446" s="445"/>
      <c r="M446" s="445"/>
      <c r="N446" s="942"/>
      <c r="O446" s="943"/>
      <c r="Z446"/>
      <c r="AX446"/>
      <c r="AY446"/>
      <c r="AZ446"/>
      <c r="BA446"/>
      <c r="CH446"/>
    </row>
    <row r="447" spans="3:86">
      <c r="D447" s="8" t="s">
        <v>1435</v>
      </c>
      <c r="E447" s="340">
        <f>+Your_Age_End</f>
        <v>91</v>
      </c>
      <c r="F447" s="964" t="str">
        <f t="shared" si="55"/>
        <v/>
      </c>
      <c r="G447" s="445">
        <v>91</v>
      </c>
      <c r="H447" s="445">
        <v>91</v>
      </c>
      <c r="I447" s="445">
        <v>91</v>
      </c>
      <c r="J447" s="445">
        <v>91</v>
      </c>
      <c r="K447" s="212"/>
      <c r="L447" s="445"/>
      <c r="M447" s="445"/>
      <c r="N447" s="942"/>
      <c r="O447" s="943"/>
      <c r="Z447"/>
      <c r="AX447"/>
      <c r="AY447"/>
      <c r="AZ447"/>
      <c r="BA447"/>
      <c r="CH447"/>
    </row>
    <row r="448" spans="3:86">
      <c r="D448" s="8" t="s">
        <v>1595</v>
      </c>
      <c r="E448" s="340">
        <f>+Spouse_Age</f>
        <v>61</v>
      </c>
      <c r="F448" s="964" t="str">
        <f t="shared" si="55"/>
        <v/>
      </c>
      <c r="G448" s="445">
        <v>61</v>
      </c>
      <c r="H448" s="445">
        <v>61</v>
      </c>
      <c r="I448" s="445">
        <v>61</v>
      </c>
      <c r="J448" s="445">
        <v>61</v>
      </c>
      <c r="K448" s="212"/>
      <c r="L448" s="445"/>
      <c r="M448" s="445"/>
      <c r="N448" s="942"/>
      <c r="O448" s="943"/>
      <c r="Z448"/>
      <c r="AX448"/>
      <c r="AY448"/>
      <c r="AZ448"/>
      <c r="BA448"/>
      <c r="CH448"/>
    </row>
    <row r="449" spans="4:86">
      <c r="D449" s="8" t="s">
        <v>217</v>
      </c>
      <c r="E449" s="340">
        <f>+Spouse_End_Input</f>
        <v>0</v>
      </c>
      <c r="F449" s="964" t="str">
        <f t="shared" si="55"/>
        <v/>
      </c>
      <c r="G449" s="445">
        <v>0</v>
      </c>
      <c r="H449" s="445">
        <v>0</v>
      </c>
      <c r="I449" s="445">
        <v>0</v>
      </c>
      <c r="J449" s="445">
        <v>0</v>
      </c>
      <c r="K449" s="212"/>
      <c r="L449" s="445"/>
      <c r="M449" s="445"/>
      <c r="N449" s="942"/>
      <c r="O449" s="943"/>
      <c r="Z449"/>
      <c r="AX449"/>
      <c r="AY449"/>
      <c r="AZ449"/>
      <c r="BA449"/>
      <c r="CH449"/>
    </row>
    <row r="450" spans="4:86">
      <c r="D450" s="8" t="s">
        <v>1436</v>
      </c>
      <c r="E450" s="340">
        <f>+Spouse_Age_End</f>
        <v>90</v>
      </c>
      <c r="F450" s="964" t="str">
        <f t="shared" si="55"/>
        <v/>
      </c>
      <c r="G450" s="445">
        <v>90</v>
      </c>
      <c r="H450" s="445">
        <v>90</v>
      </c>
      <c r="I450" s="445">
        <v>90</v>
      </c>
      <c r="J450" s="445">
        <v>90</v>
      </c>
      <c r="K450" s="212"/>
      <c r="L450" s="445"/>
      <c r="M450" s="445"/>
      <c r="N450" s="942"/>
      <c r="O450" s="943"/>
      <c r="Z450"/>
      <c r="AX450"/>
      <c r="AY450"/>
      <c r="AZ450"/>
      <c r="BA450"/>
      <c r="CH450"/>
    </row>
    <row r="451" spans="4:86">
      <c r="D451" s="8" t="s">
        <v>354</v>
      </c>
      <c r="E451" s="340">
        <f>+IRA_RMD_Age</f>
        <v>71</v>
      </c>
      <c r="F451" s="964" t="str">
        <f t="shared" si="55"/>
        <v/>
      </c>
      <c r="G451" s="445">
        <v>71</v>
      </c>
      <c r="H451" s="445">
        <v>71</v>
      </c>
      <c r="I451" s="445">
        <v>71</v>
      </c>
      <c r="J451" s="445">
        <v>71</v>
      </c>
      <c r="K451" s="212"/>
      <c r="L451" s="445"/>
      <c r="M451" s="445"/>
      <c r="N451" s="942"/>
      <c r="O451" s="943"/>
      <c r="Z451"/>
      <c r="AX451"/>
      <c r="AY451"/>
      <c r="AZ451"/>
      <c r="BA451"/>
      <c r="CH451"/>
    </row>
    <row r="452" spans="4:86">
      <c r="D452" s="8" t="s">
        <v>51</v>
      </c>
      <c r="E452" s="340" t="str">
        <f>+IRA1_Owner</f>
        <v>y</v>
      </c>
      <c r="F452" s="964" t="str">
        <f t="shared" si="55"/>
        <v/>
      </c>
      <c r="G452" s="445" t="s">
        <v>851</v>
      </c>
      <c r="H452" s="445" t="s">
        <v>851</v>
      </c>
      <c r="I452" s="445" t="s">
        <v>851</v>
      </c>
      <c r="J452" s="445" t="s">
        <v>851</v>
      </c>
      <c r="K452" s="212"/>
      <c r="L452" s="445"/>
      <c r="M452" s="445"/>
      <c r="N452" s="942"/>
      <c r="O452" s="943"/>
      <c r="Z452"/>
      <c r="AX452"/>
      <c r="AY452"/>
      <c r="AZ452"/>
      <c r="BA452"/>
      <c r="CH452"/>
    </row>
    <row r="453" spans="4:86">
      <c r="D453" s="8" t="s">
        <v>355</v>
      </c>
      <c r="E453" s="340">
        <f>+IRA_RMD_Age2</f>
        <v>70</v>
      </c>
      <c r="F453" s="964" t="str">
        <f t="shared" si="55"/>
        <v/>
      </c>
      <c r="G453" s="445">
        <v>70</v>
      </c>
      <c r="H453" s="445">
        <v>70</v>
      </c>
      <c r="I453" s="445">
        <v>70</v>
      </c>
      <c r="J453" s="445">
        <v>70</v>
      </c>
      <c r="K453" s="212"/>
      <c r="L453" s="445"/>
      <c r="M453" s="445"/>
      <c r="N453" s="942"/>
      <c r="O453" s="943"/>
      <c r="Z453"/>
      <c r="AX453"/>
      <c r="AY453"/>
      <c r="AZ453"/>
      <c r="BA453"/>
      <c r="CH453"/>
    </row>
    <row r="454" spans="4:86">
      <c r="D454" s="8" t="s">
        <v>51</v>
      </c>
      <c r="E454" s="340" t="str">
        <f>+IRA2_Owner</f>
        <v>s</v>
      </c>
      <c r="F454" s="964" t="str">
        <f t="shared" si="55"/>
        <v/>
      </c>
      <c r="G454" s="445" t="s">
        <v>1110</v>
      </c>
      <c r="H454" s="445" t="s">
        <v>1110</v>
      </c>
      <c r="I454" s="445" t="s">
        <v>1110</v>
      </c>
      <c r="J454" s="445" t="s">
        <v>1110</v>
      </c>
      <c r="K454" s="212"/>
      <c r="L454" s="445"/>
      <c r="M454" s="445"/>
      <c r="N454" s="942"/>
      <c r="O454" s="943"/>
      <c r="Z454"/>
      <c r="AX454"/>
      <c r="AY454"/>
      <c r="AZ454"/>
      <c r="BA454"/>
      <c r="CH454"/>
    </row>
    <row r="455" spans="4:86">
      <c r="D455" s="8" t="s">
        <v>356</v>
      </c>
      <c r="E455" s="340">
        <f>+iIRA_RMD_Age</f>
        <v>78</v>
      </c>
      <c r="F455" s="964" t="str">
        <f t="shared" si="55"/>
        <v/>
      </c>
      <c r="G455" s="445">
        <v>78</v>
      </c>
      <c r="H455" s="445">
        <v>78</v>
      </c>
      <c r="I455" s="445">
        <v>78</v>
      </c>
      <c r="J455" s="445">
        <v>78</v>
      </c>
      <c r="K455" s="212"/>
      <c r="L455" s="445"/>
      <c r="M455" s="445"/>
      <c r="N455" s="942"/>
      <c r="O455" s="943"/>
      <c r="Z455"/>
      <c r="AX455"/>
      <c r="AY455"/>
      <c r="AZ455"/>
      <c r="BA455"/>
      <c r="CH455"/>
    </row>
    <row r="456" spans="4:86">
      <c r="D456" s="8" t="s">
        <v>219</v>
      </c>
      <c r="E456" s="340" t="str">
        <f>+Inheritor</f>
        <v>y</v>
      </c>
      <c r="F456" s="964" t="str">
        <f t="shared" si="55"/>
        <v/>
      </c>
      <c r="G456" s="445" t="s">
        <v>851</v>
      </c>
      <c r="H456" s="445" t="s">
        <v>851</v>
      </c>
      <c r="I456" s="445" t="s">
        <v>851</v>
      </c>
      <c r="J456" s="445" t="s">
        <v>851</v>
      </c>
      <c r="K456" s="212"/>
      <c r="L456" s="445"/>
      <c r="M456" s="445"/>
      <c r="N456" s="942"/>
      <c r="O456" s="943"/>
      <c r="Z456"/>
      <c r="AX456"/>
      <c r="AY456"/>
      <c r="AZ456"/>
      <c r="BA456"/>
      <c r="CH456"/>
    </row>
    <row r="457" spans="4:86">
      <c r="D457" s="8" t="s">
        <v>357</v>
      </c>
      <c r="E457" s="340">
        <f>+iIRA_RMD_Age2</f>
        <v>73</v>
      </c>
      <c r="F457" s="964" t="str">
        <f t="shared" si="55"/>
        <v/>
      </c>
      <c r="G457" s="445">
        <v>73</v>
      </c>
      <c r="H457" s="445">
        <v>73</v>
      </c>
      <c r="I457" s="445">
        <v>73</v>
      </c>
      <c r="J457" s="445">
        <v>73</v>
      </c>
      <c r="K457" s="212"/>
      <c r="L457" s="445"/>
      <c r="M457" s="445"/>
      <c r="N457" s="942"/>
      <c r="O457" s="943"/>
      <c r="Z457"/>
      <c r="AX457"/>
      <c r="AY457"/>
      <c r="AZ457"/>
      <c r="BA457"/>
      <c r="CH457"/>
    </row>
    <row r="458" spans="4:86">
      <c r="D458" s="8" t="s">
        <v>219</v>
      </c>
      <c r="E458" s="340" t="str">
        <f>+Inheritor2</f>
        <v>s</v>
      </c>
      <c r="F458" s="964" t="str">
        <f t="shared" si="55"/>
        <v/>
      </c>
      <c r="G458" s="445" t="s">
        <v>1110</v>
      </c>
      <c r="H458" s="445" t="s">
        <v>1110</v>
      </c>
      <c r="I458" s="445" t="s">
        <v>1110</v>
      </c>
      <c r="J458" s="445" t="s">
        <v>1110</v>
      </c>
      <c r="K458" s="212"/>
      <c r="L458" s="445"/>
      <c r="M458" s="445"/>
      <c r="N458" s="942"/>
      <c r="O458" s="943"/>
      <c r="Z458"/>
      <c r="AX458"/>
      <c r="AY458"/>
      <c r="AZ458"/>
      <c r="BA458"/>
      <c r="CH458"/>
    </row>
    <row r="459" spans="4:86" ht="17.399999999999999">
      <c r="D459" s="739" t="s">
        <v>212</v>
      </c>
      <c r="E459" s="86"/>
      <c r="F459" s="964"/>
      <c r="G459" s="222"/>
      <c r="H459" s="222"/>
      <c r="I459" s="222"/>
      <c r="J459" s="222"/>
      <c r="K459" s="212"/>
      <c r="L459" s="222"/>
      <c r="M459" s="222"/>
      <c r="N459" s="221"/>
      <c r="O459" s="183"/>
      <c r="Z459"/>
      <c r="AX459"/>
      <c r="AY459"/>
      <c r="AZ459"/>
      <c r="BA459"/>
      <c r="CH459"/>
    </row>
    <row r="460" spans="4:86">
      <c r="D460" s="12" t="s">
        <v>979</v>
      </c>
      <c r="E460" s="92">
        <f>+Taxable_Begin</f>
        <v>200000</v>
      </c>
      <c r="F460" s="964" t="str">
        <f t="shared" ref="F460:F532" si="56">IF(E460&lt;&gt;G460,"&lt;#&gt;","")</f>
        <v/>
      </c>
      <c r="G460" s="210">
        <v>200000</v>
      </c>
      <c r="H460" s="210">
        <v>200000</v>
      </c>
      <c r="I460" s="210">
        <v>200000</v>
      </c>
      <c r="J460" s="210">
        <v>200000</v>
      </c>
      <c r="K460" s="212"/>
      <c r="L460" s="210"/>
      <c r="M460" s="210"/>
      <c r="N460" s="727"/>
      <c r="O460" s="135"/>
      <c r="Z460"/>
      <c r="AX460"/>
      <c r="AY460"/>
      <c r="AZ460"/>
      <c r="BA460"/>
      <c r="CH460"/>
    </row>
    <row r="461" spans="4:86">
      <c r="D461" s="8" t="s">
        <v>1031</v>
      </c>
      <c r="E461" s="92">
        <f>+tIRA_Begin</f>
        <v>500000</v>
      </c>
      <c r="F461" s="964" t="str">
        <f t="shared" si="56"/>
        <v/>
      </c>
      <c r="G461" s="210">
        <v>500000</v>
      </c>
      <c r="H461" s="210">
        <v>500000</v>
      </c>
      <c r="I461" s="210">
        <v>500000</v>
      </c>
      <c r="J461" s="210">
        <v>500000</v>
      </c>
      <c r="K461" s="212"/>
      <c r="L461" s="210"/>
      <c r="M461" s="210"/>
      <c r="N461" s="727"/>
      <c r="O461" s="135"/>
      <c r="Z461"/>
      <c r="AX461"/>
      <c r="AY461"/>
      <c r="AZ461"/>
      <c r="BA461"/>
      <c r="CH461"/>
    </row>
    <row r="462" spans="4:86">
      <c r="D462" s="8" t="s">
        <v>522</v>
      </c>
      <c r="E462" s="92">
        <f>+tIRA_Begin2</f>
        <v>200000</v>
      </c>
      <c r="F462" s="964" t="str">
        <f t="shared" si="56"/>
        <v/>
      </c>
      <c r="G462" s="210">
        <v>200000</v>
      </c>
      <c r="H462" s="210">
        <v>200000</v>
      </c>
      <c r="I462" s="210">
        <v>200000</v>
      </c>
      <c r="J462" s="210">
        <v>200000</v>
      </c>
      <c r="K462" s="212"/>
      <c r="L462" s="210"/>
      <c r="M462" s="210"/>
      <c r="N462" s="727"/>
      <c r="O462" s="135"/>
      <c r="Z462"/>
      <c r="AX462"/>
      <c r="AY462"/>
      <c r="AZ462"/>
      <c r="BA462"/>
      <c r="CH462"/>
    </row>
    <row r="463" spans="4:86">
      <c r="D463" s="8" t="s">
        <v>922</v>
      </c>
      <c r="E463" s="92">
        <f>+Roth_Begin</f>
        <v>75000</v>
      </c>
      <c r="F463" s="964" t="str">
        <f t="shared" si="56"/>
        <v/>
      </c>
      <c r="G463" s="210">
        <v>75000</v>
      </c>
      <c r="H463" s="210">
        <v>75000</v>
      </c>
      <c r="I463" s="210">
        <v>75000</v>
      </c>
      <c r="J463" s="210">
        <v>75000</v>
      </c>
      <c r="K463" s="212"/>
      <c r="L463" s="210"/>
      <c r="M463" s="210"/>
      <c r="N463" s="727"/>
      <c r="O463" s="135"/>
      <c r="Z463"/>
      <c r="AX463"/>
      <c r="AY463"/>
      <c r="AZ463"/>
      <c r="BA463"/>
      <c r="CH463"/>
    </row>
    <row r="464" spans="4:86">
      <c r="D464" s="8" t="s">
        <v>894</v>
      </c>
      <c r="E464" s="92">
        <f>+Roth2_Begin</f>
        <v>25000</v>
      </c>
      <c r="F464" s="964" t="str">
        <f t="shared" si="56"/>
        <v/>
      </c>
      <c r="G464" s="210">
        <v>25000</v>
      </c>
      <c r="H464" s="210">
        <v>25000</v>
      </c>
      <c r="I464" s="210">
        <v>25000</v>
      </c>
      <c r="J464" s="210">
        <v>25000</v>
      </c>
      <c r="K464" s="212"/>
      <c r="L464" s="210"/>
      <c r="M464" s="210"/>
      <c r="N464" s="727"/>
      <c r="O464" s="135"/>
      <c r="Z464"/>
      <c r="AX464"/>
      <c r="AY464"/>
      <c r="AZ464"/>
      <c r="BA464"/>
      <c r="CH464"/>
    </row>
    <row r="465" spans="4:86" ht="17.399999999999999">
      <c r="D465" s="739" t="s">
        <v>211</v>
      </c>
      <c r="E465" s="92"/>
      <c r="F465" s="964" t="str">
        <f t="shared" si="56"/>
        <v/>
      </c>
      <c r="G465" s="210"/>
      <c r="H465" s="210"/>
      <c r="I465" s="210"/>
      <c r="J465" s="210"/>
      <c r="K465" s="212"/>
      <c r="L465" s="210"/>
      <c r="M465" s="210"/>
      <c r="N465" s="215"/>
      <c r="O465" s="135"/>
      <c r="Z465"/>
      <c r="AX465"/>
      <c r="AY465"/>
      <c r="AZ465"/>
      <c r="BA465"/>
      <c r="CH465"/>
    </row>
    <row r="466" spans="4:86" ht="15.6">
      <c r="D466" s="272" t="s">
        <v>1201</v>
      </c>
      <c r="E466" s="340" t="str">
        <f>+Use_Class</f>
        <v>c</v>
      </c>
      <c r="F466" s="964" t="str">
        <f>IF(E466&lt;&gt;G466,"&lt;#&gt;","")</f>
        <v/>
      </c>
      <c r="G466" s="445" t="s">
        <v>1578</v>
      </c>
      <c r="H466" s="445" t="s">
        <v>1578</v>
      </c>
      <c r="I466" s="445" t="s">
        <v>1578</v>
      </c>
      <c r="J466" s="445" t="s">
        <v>1578</v>
      </c>
      <c r="K466" s="212"/>
      <c r="L466" s="445"/>
      <c r="M466" s="210"/>
      <c r="N466" s="942"/>
      <c r="O466" s="943"/>
      <c r="Z466"/>
      <c r="AX466"/>
      <c r="AY466"/>
      <c r="AZ466"/>
      <c r="BA466"/>
      <c r="CH466"/>
    </row>
    <row r="467" spans="4:86" ht="15.6">
      <c r="D467" s="17" t="s">
        <v>321</v>
      </c>
      <c r="F467" s="964" t="str">
        <f t="shared" si="56"/>
        <v/>
      </c>
      <c r="G467" s="212"/>
      <c r="H467" s="212"/>
      <c r="I467" s="212"/>
      <c r="J467" s="212"/>
      <c r="K467" s="212"/>
      <c r="L467" s="212"/>
      <c r="M467" s="212"/>
      <c r="N467" s="944"/>
      <c r="O467" s="122"/>
      <c r="Z467"/>
      <c r="AX467"/>
      <c r="AY467"/>
      <c r="AZ467"/>
      <c r="BA467"/>
      <c r="CH467"/>
    </row>
    <row r="468" spans="4:86">
      <c r="D468" s="8" t="s">
        <v>979</v>
      </c>
      <c r="E468" s="44">
        <f>+Taxable_Return</f>
        <v>0.05</v>
      </c>
      <c r="F468" s="964" t="str">
        <f t="shared" si="56"/>
        <v/>
      </c>
      <c r="G468" s="223">
        <v>0.05</v>
      </c>
      <c r="H468" s="223">
        <v>0.05</v>
      </c>
      <c r="I468" s="223">
        <v>0.05</v>
      </c>
      <c r="J468" s="223">
        <v>0.05</v>
      </c>
      <c r="K468" s="212"/>
      <c r="L468" s="223"/>
      <c r="M468" s="223"/>
      <c r="N468" s="944"/>
      <c r="O468" s="122"/>
      <c r="Z468"/>
      <c r="AX468"/>
      <c r="AY468"/>
      <c r="AZ468"/>
      <c r="BA468"/>
      <c r="CH468"/>
    </row>
    <row r="469" spans="4:86">
      <c r="D469" s="8" t="s">
        <v>1535</v>
      </c>
      <c r="E469" s="44">
        <f>+tIRA_Return</f>
        <v>6.5000000000000002E-2</v>
      </c>
      <c r="F469" s="964" t="str">
        <f t="shared" si="56"/>
        <v/>
      </c>
      <c r="G469" s="223">
        <v>6.5000000000000002E-2</v>
      </c>
      <c r="H469" s="223">
        <v>6.5000000000000002E-2</v>
      </c>
      <c r="I469" s="223">
        <v>6.5000000000000002E-2</v>
      </c>
      <c r="J469" s="223">
        <v>6.5000000000000002E-2</v>
      </c>
      <c r="K469" s="212"/>
      <c r="L469" s="223"/>
      <c r="M469" s="223"/>
      <c r="N469" s="944"/>
      <c r="O469" s="122"/>
      <c r="Z469"/>
      <c r="AX469"/>
      <c r="AY469"/>
      <c r="AZ469"/>
      <c r="BA469"/>
      <c r="CH469"/>
    </row>
    <row r="470" spans="4:86">
      <c r="D470" s="8" t="s">
        <v>1536</v>
      </c>
      <c r="E470" s="44">
        <f>+tIRA2_Return</f>
        <v>5.8999999999999997E-2</v>
      </c>
      <c r="F470" s="964" t="str">
        <f t="shared" si="56"/>
        <v/>
      </c>
      <c r="G470" s="223">
        <v>5.8999999999999997E-2</v>
      </c>
      <c r="H470" s="223">
        <v>5.8999999999999997E-2</v>
      </c>
      <c r="I470" s="223">
        <v>5.8999999999999997E-2</v>
      </c>
      <c r="J470" s="223">
        <v>5.8999999999999997E-2</v>
      </c>
      <c r="K470" s="212"/>
      <c r="L470" s="223"/>
      <c r="M470" s="223"/>
      <c r="N470" s="944"/>
      <c r="O470" s="122"/>
      <c r="Z470"/>
      <c r="AX470"/>
      <c r="AY470"/>
      <c r="AZ470"/>
      <c r="BA470"/>
      <c r="CH470"/>
    </row>
    <row r="471" spans="4:86">
      <c r="D471" s="454" t="s">
        <v>922</v>
      </c>
      <c r="E471" s="44">
        <f>+Roth_Return</f>
        <v>6.2E-2</v>
      </c>
      <c r="F471" s="964" t="str">
        <f t="shared" si="56"/>
        <v/>
      </c>
      <c r="G471" s="223">
        <v>6.2E-2</v>
      </c>
      <c r="H471" s="223">
        <v>6.2E-2</v>
      </c>
      <c r="I471" s="223">
        <v>6.2E-2</v>
      </c>
      <c r="J471" s="223">
        <v>6.2E-2</v>
      </c>
      <c r="K471" s="212"/>
      <c r="L471" s="223"/>
      <c r="M471" s="223"/>
      <c r="N471" s="727"/>
      <c r="O471" s="135"/>
      <c r="Z471"/>
      <c r="AX471"/>
      <c r="AY471"/>
      <c r="AZ471"/>
      <c r="BA471"/>
      <c r="CH471"/>
    </row>
    <row r="472" spans="4:86">
      <c r="D472" s="454" t="s">
        <v>894</v>
      </c>
      <c r="E472" s="44">
        <f>+Roth2_Return</f>
        <v>5.7000000000000002E-2</v>
      </c>
      <c r="F472" s="964"/>
      <c r="G472" s="223">
        <v>5.7000000000000002E-2</v>
      </c>
      <c r="H472" s="223">
        <v>5.7000000000000002E-2</v>
      </c>
      <c r="I472" s="223">
        <v>5.7000000000000002E-2</v>
      </c>
      <c r="J472" s="223"/>
      <c r="K472" s="212"/>
      <c r="L472" s="223"/>
      <c r="M472" s="223"/>
      <c r="N472" s="727"/>
      <c r="O472" s="135"/>
      <c r="Z472"/>
      <c r="AX472"/>
      <c r="AY472"/>
      <c r="AZ472"/>
      <c r="BA472"/>
      <c r="CH472"/>
    </row>
    <row r="473" spans="4:86">
      <c r="D473" s="454" t="s">
        <v>2030</v>
      </c>
      <c r="E473" s="44">
        <f>+RothConv_Return</f>
        <v>6.3E-2</v>
      </c>
      <c r="F473" s="964"/>
      <c r="G473" s="223">
        <v>6.3E-2</v>
      </c>
      <c r="H473" s="223">
        <v>6.3E-2</v>
      </c>
      <c r="I473" s="223">
        <v>6.3E-2</v>
      </c>
      <c r="J473" s="223"/>
      <c r="K473" s="212"/>
      <c r="L473" s="223"/>
      <c r="M473" s="223"/>
      <c r="N473" s="727"/>
      <c r="O473" s="135"/>
      <c r="Z473"/>
      <c r="AX473"/>
      <c r="AY473"/>
      <c r="AZ473"/>
      <c r="BA473"/>
      <c r="CH473"/>
    </row>
    <row r="474" spans="4:86" ht="15.6">
      <c r="D474" s="507" t="s">
        <v>1200</v>
      </c>
      <c r="E474" s="92"/>
      <c r="F474" s="964" t="str">
        <f t="shared" si="56"/>
        <v/>
      </c>
      <c r="G474" s="210"/>
      <c r="H474" s="210"/>
      <c r="I474" s="210"/>
      <c r="J474" s="210"/>
      <c r="K474" s="212"/>
      <c r="L474" s="210"/>
      <c r="M474" s="210"/>
      <c r="N474" s="1"/>
      <c r="O474" s="1"/>
      <c r="Z474"/>
      <c r="AX474"/>
      <c r="AY474"/>
      <c r="AZ474"/>
      <c r="BA474"/>
      <c r="CH474"/>
    </row>
    <row r="475" spans="4:86">
      <c r="D475" s="8" t="s">
        <v>500</v>
      </c>
      <c r="E475" s="44">
        <f>+Setup!G56</f>
        <v>7.4999999999999997E-2</v>
      </c>
      <c r="F475" s="964" t="str">
        <f t="shared" si="56"/>
        <v/>
      </c>
      <c r="G475" s="223">
        <v>7.4999999999999997E-2</v>
      </c>
      <c r="H475" s="223">
        <v>7.4999999999999997E-2</v>
      </c>
      <c r="I475" s="223">
        <v>7.4999999999999997E-2</v>
      </c>
      <c r="J475" s="223">
        <v>7.4999999999999997E-2</v>
      </c>
      <c r="K475" s="212"/>
      <c r="L475" s="223"/>
      <c r="M475" s="210"/>
      <c r="N475" s="944"/>
      <c r="O475" s="122"/>
      <c r="Z475"/>
      <c r="AX475"/>
      <c r="AY475"/>
      <c r="AZ475"/>
      <c r="BA475"/>
      <c r="CH475"/>
    </row>
    <row r="476" spans="4:86">
      <c r="D476" s="8" t="s">
        <v>501</v>
      </c>
      <c r="E476" s="44">
        <f>+Setup!G57</f>
        <v>4.4999999999999998E-2</v>
      </c>
      <c r="F476" s="964" t="str">
        <f t="shared" si="56"/>
        <v/>
      </c>
      <c r="G476" s="223">
        <v>4.4999999999999998E-2</v>
      </c>
      <c r="H476" s="223">
        <v>4.4999999999999998E-2</v>
      </c>
      <c r="I476" s="223">
        <v>4.4999999999999998E-2</v>
      </c>
      <c r="J476" s="223">
        <v>4.4999999999999998E-2</v>
      </c>
      <c r="K476" s="212"/>
      <c r="L476" s="223"/>
      <c r="M476" s="210"/>
      <c r="N476" s="944"/>
      <c r="O476" s="122"/>
      <c r="Z476"/>
      <c r="AX476"/>
      <c r="AY476"/>
      <c r="AZ476"/>
      <c r="BA476"/>
      <c r="CH476"/>
    </row>
    <row r="477" spans="4:86">
      <c r="D477" s="8" t="s">
        <v>845</v>
      </c>
      <c r="E477" s="44">
        <f>+Setup!G58</f>
        <v>0.03</v>
      </c>
      <c r="F477" s="964" t="str">
        <f t="shared" si="56"/>
        <v/>
      </c>
      <c r="G477" s="223">
        <v>0.03</v>
      </c>
      <c r="H477" s="223">
        <v>0.03</v>
      </c>
      <c r="I477" s="223">
        <v>0.03</v>
      </c>
      <c r="J477" s="223">
        <v>0.03</v>
      </c>
      <c r="K477" s="212"/>
      <c r="L477" s="223"/>
      <c r="M477" s="210"/>
      <c r="N477" s="944"/>
      <c r="O477" s="122"/>
      <c r="Z477"/>
      <c r="AX477"/>
      <c r="AY477"/>
      <c r="AZ477"/>
      <c r="BA477"/>
      <c r="CH477"/>
    </row>
    <row r="478" spans="4:86">
      <c r="D478" s="8" t="s">
        <v>710</v>
      </c>
      <c r="E478" s="44">
        <f>+Setup!G59</f>
        <v>1.4999999999999999E-2</v>
      </c>
      <c r="F478" s="964" t="str">
        <f t="shared" si="56"/>
        <v/>
      </c>
      <c r="G478" s="223">
        <v>1.4999999999999999E-2</v>
      </c>
      <c r="H478" s="223">
        <v>1.4999999999999999E-2</v>
      </c>
      <c r="I478" s="223">
        <v>1.4999999999999999E-2</v>
      </c>
      <c r="J478" s="223">
        <v>1.4999999999999999E-2</v>
      </c>
      <c r="K478" s="212"/>
      <c r="L478" s="223"/>
      <c r="M478" s="210"/>
      <c r="N478" s="944"/>
      <c r="O478" s="122"/>
      <c r="Z478"/>
      <c r="AX478"/>
      <c r="AY478"/>
      <c r="AZ478"/>
      <c r="BA478"/>
      <c r="CH478"/>
    </row>
    <row r="479" spans="4:86" ht="15.6">
      <c r="D479" s="507" t="s">
        <v>1665</v>
      </c>
      <c r="E479" s="44">
        <f>+Setup!E73</f>
        <v>0.57399999999999995</v>
      </c>
      <c r="F479" s="964" t="str">
        <f t="shared" si="56"/>
        <v/>
      </c>
      <c r="G479" s="223">
        <v>0.57399999999999995</v>
      </c>
      <c r="H479" s="223">
        <v>0.57399999999999995</v>
      </c>
      <c r="I479" s="223">
        <v>0.57399999999999995</v>
      </c>
      <c r="J479" s="223">
        <v>0.57499999999999996</v>
      </c>
      <c r="K479" s="212"/>
      <c r="L479" s="223"/>
      <c r="M479" s="210"/>
      <c r="N479" s="944"/>
      <c r="O479" s="122"/>
      <c r="Z479"/>
      <c r="AX479"/>
      <c r="AY479"/>
      <c r="AZ479"/>
      <c r="BA479"/>
      <c r="CH479"/>
    </row>
    <row r="480" spans="4:86">
      <c r="D480" s="8" t="s">
        <v>979</v>
      </c>
      <c r="E480" s="44">
        <f>+Setup!E66</f>
        <v>0.45</v>
      </c>
      <c r="F480" s="964" t="str">
        <f t="shared" si="56"/>
        <v/>
      </c>
      <c r="G480" s="223">
        <v>0.45</v>
      </c>
      <c r="H480" s="223">
        <v>0.45</v>
      </c>
      <c r="I480" s="223">
        <v>0.45</v>
      </c>
      <c r="J480" s="223">
        <v>0.45</v>
      </c>
      <c r="K480" s="212"/>
      <c r="L480" s="223"/>
      <c r="M480" s="210"/>
      <c r="N480" s="944"/>
      <c r="O480" s="122"/>
      <c r="Z480"/>
      <c r="AX480"/>
      <c r="AY480"/>
      <c r="AZ480"/>
      <c r="BA480"/>
      <c r="CH480"/>
    </row>
    <row r="481" spans="4:86">
      <c r="D481" s="8" t="s">
        <v>1535</v>
      </c>
      <c r="E481" s="44">
        <f>+Setup!E67</f>
        <v>0.65</v>
      </c>
      <c r="F481" s="964" t="str">
        <f t="shared" si="56"/>
        <v/>
      </c>
      <c r="G481" s="223">
        <v>0.65</v>
      </c>
      <c r="H481" s="223">
        <v>0.65</v>
      </c>
      <c r="I481" s="223">
        <v>0.65</v>
      </c>
      <c r="J481" s="223">
        <v>0.65</v>
      </c>
      <c r="K481" s="212"/>
      <c r="L481" s="223"/>
      <c r="M481" s="210"/>
      <c r="N481" s="944"/>
      <c r="O481" s="122"/>
      <c r="Z481"/>
      <c r="AX481"/>
      <c r="AY481"/>
      <c r="AZ481"/>
      <c r="BA481"/>
      <c r="CH481"/>
    </row>
    <row r="482" spans="4:86">
      <c r="D482" s="8" t="s">
        <v>1536</v>
      </c>
      <c r="E482" s="44">
        <f>+Setup!E68</f>
        <v>0.5</v>
      </c>
      <c r="F482" s="964" t="str">
        <f t="shared" si="56"/>
        <v/>
      </c>
      <c r="G482" s="223">
        <v>0.5</v>
      </c>
      <c r="H482" s="223">
        <v>0.5</v>
      </c>
      <c r="I482" s="223">
        <v>0.5</v>
      </c>
      <c r="J482" s="223">
        <v>0.5</v>
      </c>
      <c r="K482" s="212"/>
      <c r="L482" s="223"/>
      <c r="M482" s="210"/>
      <c r="N482" s="944"/>
      <c r="O482" s="122"/>
      <c r="Z482"/>
      <c r="AX482"/>
      <c r="AY482"/>
      <c r="AZ482"/>
      <c r="BA482"/>
      <c r="CH482"/>
    </row>
    <row r="483" spans="4:86">
      <c r="D483" s="454" t="s">
        <v>922</v>
      </c>
      <c r="E483" s="44">
        <f>+Setup!E69</f>
        <v>0.6</v>
      </c>
      <c r="F483" s="964" t="str">
        <f t="shared" si="56"/>
        <v/>
      </c>
      <c r="G483" s="223">
        <v>0.6</v>
      </c>
      <c r="H483" s="223">
        <v>0.6</v>
      </c>
      <c r="I483" s="223">
        <v>0.6</v>
      </c>
      <c r="J483" s="223">
        <v>0.6</v>
      </c>
      <c r="K483" s="212"/>
      <c r="L483" s="223"/>
      <c r="M483" s="210"/>
      <c r="N483" s="944"/>
      <c r="O483" s="122"/>
      <c r="Z483"/>
      <c r="AX483"/>
      <c r="AY483"/>
      <c r="AZ483"/>
      <c r="BA483"/>
      <c r="CH483"/>
    </row>
    <row r="484" spans="4:86">
      <c r="D484" s="454" t="s">
        <v>894</v>
      </c>
      <c r="E484" s="44">
        <f>+Setup!E70</f>
        <v>0.55000000000000004</v>
      </c>
      <c r="F484" s="964"/>
      <c r="G484" s="223">
        <v>0.55000000000000004</v>
      </c>
      <c r="H484" s="223">
        <v>0.55000000000000004</v>
      </c>
      <c r="I484" s="223">
        <v>0.55000000000000004</v>
      </c>
      <c r="J484" s="223"/>
      <c r="K484" s="212"/>
      <c r="L484" s="223"/>
      <c r="M484" s="210"/>
      <c r="N484" s="944"/>
      <c r="O484" s="122"/>
      <c r="Z484"/>
      <c r="AX484"/>
      <c r="AY484"/>
      <c r="AZ484"/>
      <c r="BA484"/>
      <c r="CH484"/>
    </row>
    <row r="485" spans="4:86">
      <c r="D485" s="454" t="s">
        <v>2030</v>
      </c>
      <c r="E485" s="44">
        <f>+Setup!E71</f>
        <v>0.6</v>
      </c>
      <c r="F485" s="964"/>
      <c r="G485" s="223">
        <v>0.6</v>
      </c>
      <c r="H485" s="223">
        <v>0.6</v>
      </c>
      <c r="I485" s="223">
        <v>0.6</v>
      </c>
      <c r="J485" s="223"/>
      <c r="K485" s="212"/>
      <c r="L485" s="223"/>
      <c r="M485" s="210"/>
      <c r="N485" s="944"/>
      <c r="O485" s="122"/>
      <c r="Z485"/>
      <c r="AX485"/>
      <c r="AY485"/>
      <c r="AZ485"/>
      <c r="BA485"/>
      <c r="CH485"/>
    </row>
    <row r="486" spans="4:86" ht="15.6">
      <c r="D486" s="507" t="s">
        <v>319</v>
      </c>
      <c r="E486" s="44">
        <f>+Setup!F73</f>
        <v>0.29899999999999999</v>
      </c>
      <c r="F486" s="964" t="str">
        <f t="shared" si="56"/>
        <v/>
      </c>
      <c r="G486" s="223">
        <v>0.29899999999999999</v>
      </c>
      <c r="H486" s="223">
        <v>0.29899999999999999</v>
      </c>
      <c r="I486" s="223">
        <v>0.29899999999999999</v>
      </c>
      <c r="J486" s="223">
        <v>0.3</v>
      </c>
      <c r="K486" s="212"/>
      <c r="L486" s="223"/>
      <c r="M486" s="210"/>
      <c r="N486" s="944"/>
      <c r="O486" s="122"/>
      <c r="Z486"/>
      <c r="AX486"/>
      <c r="AY486"/>
      <c r="AZ486"/>
      <c r="BA486"/>
      <c r="CH486"/>
    </row>
    <row r="487" spans="4:86">
      <c r="D487" s="8" t="s">
        <v>979</v>
      </c>
      <c r="E487" s="44">
        <f>+Setup!F66</f>
        <v>0</v>
      </c>
      <c r="F487" s="964" t="str">
        <f t="shared" si="56"/>
        <v/>
      </c>
      <c r="G487" s="223">
        <v>0</v>
      </c>
      <c r="H487" s="223">
        <v>0</v>
      </c>
      <c r="I487" s="223">
        <v>0</v>
      </c>
      <c r="J487" s="223">
        <v>0</v>
      </c>
      <c r="K487" s="212"/>
      <c r="L487" s="223"/>
      <c r="M487" s="210"/>
      <c r="N487" s="944"/>
      <c r="O487" s="122"/>
      <c r="Z487"/>
      <c r="AX487"/>
      <c r="AY487"/>
      <c r="AZ487"/>
      <c r="BA487"/>
      <c r="CH487"/>
    </row>
    <row r="488" spans="4:86">
      <c r="D488" s="8" t="s">
        <v>1535</v>
      </c>
      <c r="E488" s="44">
        <f>+Setup!F67</f>
        <v>0.35</v>
      </c>
      <c r="F488" s="964" t="str">
        <f t="shared" si="56"/>
        <v/>
      </c>
      <c r="G488" s="223">
        <v>0.35</v>
      </c>
      <c r="H488" s="223">
        <v>0.35</v>
      </c>
      <c r="I488" s="223">
        <v>0.35</v>
      </c>
      <c r="J488" s="223">
        <v>0.35</v>
      </c>
      <c r="K488" s="212"/>
      <c r="L488" s="223"/>
      <c r="M488" s="210"/>
      <c r="N488" s="944"/>
      <c r="O488" s="122"/>
      <c r="Z488"/>
      <c r="AX488"/>
      <c r="AY488"/>
      <c r="AZ488"/>
      <c r="BA488"/>
      <c r="CH488"/>
    </row>
    <row r="489" spans="4:86">
      <c r="D489" s="8" t="s">
        <v>1536</v>
      </c>
      <c r="E489" s="44">
        <f>+Setup!F68</f>
        <v>0.45</v>
      </c>
      <c r="F489" s="964" t="str">
        <f t="shared" si="56"/>
        <v/>
      </c>
      <c r="G489" s="223">
        <v>0.45</v>
      </c>
      <c r="H489" s="223">
        <v>0.45</v>
      </c>
      <c r="I489" s="223">
        <v>0.45</v>
      </c>
      <c r="J489" s="223">
        <v>0.45</v>
      </c>
      <c r="K489" s="212"/>
      <c r="L489" s="223"/>
      <c r="M489" s="210"/>
      <c r="N489" s="944"/>
      <c r="O489" s="122"/>
      <c r="Z489"/>
      <c r="AX489"/>
      <c r="AY489"/>
      <c r="AZ489"/>
      <c r="BA489"/>
      <c r="CH489"/>
    </row>
    <row r="490" spans="4:86">
      <c r="D490" s="454" t="s">
        <v>922</v>
      </c>
      <c r="E490" s="44">
        <f>+Setup!F69</f>
        <v>0.35</v>
      </c>
      <c r="F490" s="964" t="str">
        <f t="shared" si="56"/>
        <v/>
      </c>
      <c r="G490" s="223">
        <v>0.35</v>
      </c>
      <c r="H490" s="223">
        <v>0.35</v>
      </c>
      <c r="I490" s="223">
        <v>0.35</v>
      </c>
      <c r="J490" s="223">
        <v>0.35</v>
      </c>
      <c r="K490" s="212"/>
      <c r="L490" s="223"/>
      <c r="M490" s="210"/>
      <c r="N490" s="944"/>
      <c r="O490" s="122"/>
      <c r="Z490"/>
      <c r="AX490"/>
      <c r="AY490"/>
      <c r="AZ490"/>
      <c r="BA490"/>
      <c r="CH490"/>
    </row>
    <row r="491" spans="4:86">
      <c r="D491" s="454" t="s">
        <v>894</v>
      </c>
      <c r="E491" s="44">
        <f>+Setup!F70</f>
        <v>0.3</v>
      </c>
      <c r="F491" s="964"/>
      <c r="G491" s="223">
        <v>0.3</v>
      </c>
      <c r="H491" s="223">
        <v>0.3</v>
      </c>
      <c r="I491" s="223">
        <v>0.3</v>
      </c>
      <c r="J491" s="223"/>
      <c r="K491" s="212"/>
      <c r="L491" s="223"/>
      <c r="M491" s="210"/>
      <c r="N491" s="944"/>
      <c r="O491" s="122"/>
      <c r="Z491"/>
      <c r="AX491"/>
      <c r="AY491"/>
      <c r="AZ491"/>
      <c r="BA491"/>
      <c r="CH491"/>
    </row>
    <row r="492" spans="4:86">
      <c r="D492" s="454" t="s">
        <v>2030</v>
      </c>
      <c r="E492" s="44">
        <f>+Setup!F71</f>
        <v>0.4</v>
      </c>
      <c r="F492" s="964"/>
      <c r="G492" s="223">
        <v>0.4</v>
      </c>
      <c r="H492" s="223">
        <v>0.4</v>
      </c>
      <c r="I492" s="223">
        <v>0.4</v>
      </c>
      <c r="J492" s="223"/>
      <c r="K492" s="212"/>
      <c r="L492" s="223"/>
      <c r="M492" s="210"/>
      <c r="N492" s="944"/>
      <c r="O492" s="122"/>
      <c r="Z492"/>
      <c r="AX492"/>
      <c r="AY492"/>
      <c r="AZ492"/>
      <c r="BA492"/>
      <c r="CH492"/>
    </row>
    <row r="493" spans="4:86" ht="15.6">
      <c r="D493" s="507" t="s">
        <v>291</v>
      </c>
      <c r="E493" s="44">
        <f>+Setup!G73</f>
        <v>0.1</v>
      </c>
      <c r="F493" s="964" t="str">
        <f t="shared" si="56"/>
        <v/>
      </c>
      <c r="G493" s="223">
        <v>0.1</v>
      </c>
      <c r="H493" s="223">
        <v>0.1</v>
      </c>
      <c r="I493" s="223">
        <v>0.1</v>
      </c>
      <c r="J493" s="223">
        <v>0.1</v>
      </c>
      <c r="K493" s="212"/>
      <c r="L493" s="223"/>
      <c r="M493" s="210"/>
      <c r="N493" s="944"/>
      <c r="O493" s="122"/>
      <c r="Z493"/>
      <c r="AX493"/>
      <c r="AY493"/>
      <c r="AZ493"/>
      <c r="BA493"/>
      <c r="CH493"/>
    </row>
    <row r="494" spans="4:86">
      <c r="D494" s="8" t="s">
        <v>1081</v>
      </c>
      <c r="E494" s="44">
        <f>+Setup!G66</f>
        <v>0.5</v>
      </c>
      <c r="F494" s="964" t="str">
        <f t="shared" si="56"/>
        <v/>
      </c>
      <c r="G494" s="223">
        <v>0.5</v>
      </c>
      <c r="H494" s="223">
        <v>0.5</v>
      </c>
      <c r="I494" s="223">
        <v>0.5</v>
      </c>
      <c r="J494" s="223">
        <v>0.5</v>
      </c>
      <c r="K494" s="212"/>
      <c r="L494" s="223"/>
      <c r="M494" s="210"/>
      <c r="N494" s="944"/>
      <c r="O494" s="122"/>
      <c r="Z494"/>
      <c r="AX494"/>
      <c r="AY494"/>
      <c r="AZ494"/>
      <c r="BA494"/>
      <c r="CH494"/>
    </row>
    <row r="495" spans="4:86">
      <c r="D495" s="603" t="s">
        <v>1202</v>
      </c>
      <c r="E495" s="605">
        <f>+Setup!E77</f>
        <v>80</v>
      </c>
      <c r="F495" s="964" t="str">
        <f t="shared" si="56"/>
        <v/>
      </c>
      <c r="G495" s="620">
        <v>80</v>
      </c>
      <c r="H495" s="620">
        <v>80</v>
      </c>
      <c r="I495" s="620">
        <v>80</v>
      </c>
      <c r="J495" s="620">
        <v>80</v>
      </c>
      <c r="K495" s="212"/>
      <c r="L495" s="620"/>
      <c r="M495" s="210"/>
      <c r="N495" s="620"/>
      <c r="O495" s="605"/>
      <c r="Z495"/>
      <c r="AX495"/>
      <c r="AY495"/>
      <c r="AZ495"/>
      <c r="BA495"/>
      <c r="CH495"/>
    </row>
    <row r="496" spans="4:86" ht="15.6">
      <c r="D496" s="507" t="s">
        <v>1665</v>
      </c>
      <c r="E496" s="44">
        <f>+Setup!E86</f>
        <v>0.29699999999999999</v>
      </c>
      <c r="F496" s="964" t="str">
        <f t="shared" si="56"/>
        <v/>
      </c>
      <c r="G496" s="223">
        <v>0.29699999999999999</v>
      </c>
      <c r="H496" s="223">
        <v>0.29299999999999998</v>
      </c>
      <c r="I496" s="223">
        <v>0.29199999999999998</v>
      </c>
      <c r="J496" s="223">
        <v>0.29299999999999998</v>
      </c>
      <c r="K496" s="212"/>
      <c r="L496" s="223"/>
      <c r="M496" s="210"/>
      <c r="N496" s="944"/>
      <c r="O496" s="122"/>
      <c r="Z496"/>
      <c r="AX496"/>
      <c r="AY496"/>
      <c r="AZ496"/>
      <c r="BA496"/>
      <c r="CH496"/>
    </row>
    <row r="497" spans="4:86">
      <c r="D497" s="8" t="s">
        <v>979</v>
      </c>
      <c r="E497" s="44">
        <f>+Setup!E79</f>
        <v>0.25</v>
      </c>
      <c r="F497" s="964" t="str">
        <f t="shared" si="56"/>
        <v/>
      </c>
      <c r="G497" s="223">
        <v>0.25</v>
      </c>
      <c r="H497" s="223">
        <v>0.25</v>
      </c>
      <c r="I497" s="223">
        <v>0.25</v>
      </c>
      <c r="J497" s="223">
        <v>0.25</v>
      </c>
      <c r="K497" s="212"/>
      <c r="L497" s="223"/>
      <c r="M497" s="210"/>
      <c r="N497" s="944"/>
      <c r="O497" s="122"/>
      <c r="Z497"/>
      <c r="AX497"/>
      <c r="AY497"/>
      <c r="AZ497"/>
      <c r="BA497"/>
      <c r="CH497"/>
    </row>
    <row r="498" spans="4:86">
      <c r="D498" s="8" t="s">
        <v>1535</v>
      </c>
      <c r="E498" s="44">
        <f>+Setup!E80</f>
        <v>0.35</v>
      </c>
      <c r="F498" s="964" t="str">
        <f t="shared" si="56"/>
        <v/>
      </c>
      <c r="G498" s="223">
        <v>0.35</v>
      </c>
      <c r="H498" s="223">
        <v>0.35</v>
      </c>
      <c r="I498" s="223">
        <v>0.35</v>
      </c>
      <c r="J498" s="223">
        <v>0.35</v>
      </c>
      <c r="K498" s="212"/>
      <c r="L498" s="223"/>
      <c r="M498" s="210"/>
      <c r="N498" s="944"/>
      <c r="O498" s="122"/>
      <c r="Z498"/>
      <c r="AX498"/>
      <c r="AY498"/>
      <c r="AZ498"/>
      <c r="BA498"/>
      <c r="CH498"/>
    </row>
    <row r="499" spans="4:86">
      <c r="D499" s="8" t="s">
        <v>1536</v>
      </c>
      <c r="E499" s="44">
        <f>+Setup!E81</f>
        <v>0.3</v>
      </c>
      <c r="F499" s="964" t="str">
        <f t="shared" si="56"/>
        <v/>
      </c>
      <c r="G499" s="223">
        <v>0.3</v>
      </c>
      <c r="H499" s="223">
        <v>0.3</v>
      </c>
      <c r="I499" s="223">
        <v>0.3</v>
      </c>
      <c r="J499" s="223">
        <v>0.3</v>
      </c>
      <c r="K499" s="212"/>
      <c r="L499" s="223"/>
      <c r="M499" s="210"/>
      <c r="N499" s="944"/>
      <c r="O499" s="122"/>
      <c r="Z499"/>
      <c r="AX499"/>
      <c r="AY499"/>
      <c r="AZ499"/>
      <c r="BA499"/>
      <c r="CH499"/>
    </row>
    <row r="500" spans="4:86">
      <c r="D500" s="454" t="s">
        <v>922</v>
      </c>
      <c r="E500" s="44">
        <f>+Setup!E82</f>
        <v>0.3</v>
      </c>
      <c r="F500" s="964" t="str">
        <f t="shared" si="56"/>
        <v/>
      </c>
      <c r="G500" s="223">
        <v>0.3</v>
      </c>
      <c r="H500" s="223">
        <v>0.3</v>
      </c>
      <c r="I500" s="223">
        <v>0.3</v>
      </c>
      <c r="J500" s="223">
        <v>0.3</v>
      </c>
      <c r="K500" s="212"/>
      <c r="L500" s="223"/>
      <c r="M500" s="210"/>
      <c r="N500" s="944"/>
      <c r="O500" s="122"/>
      <c r="Z500"/>
      <c r="AX500"/>
      <c r="AY500"/>
      <c r="AZ500"/>
      <c r="BA500"/>
      <c r="CH500"/>
    </row>
    <row r="501" spans="4:86">
      <c r="D501" s="454" t="s">
        <v>894</v>
      </c>
      <c r="E501" s="44">
        <f>+Setup!E83</f>
        <v>0.3</v>
      </c>
      <c r="F501" s="964"/>
      <c r="G501" s="223">
        <v>0.3</v>
      </c>
      <c r="H501" s="223">
        <v>0.3</v>
      </c>
      <c r="I501" s="223">
        <v>0.3</v>
      </c>
      <c r="J501" s="223"/>
      <c r="K501" s="212"/>
      <c r="L501" s="223"/>
      <c r="M501" s="210"/>
      <c r="N501" s="944"/>
      <c r="O501" s="122"/>
      <c r="Z501"/>
      <c r="AX501"/>
      <c r="AY501"/>
      <c r="AZ501"/>
      <c r="BA501"/>
      <c r="CH501"/>
    </row>
    <row r="502" spans="4:86">
      <c r="D502" s="454" t="s">
        <v>2030</v>
      </c>
      <c r="E502" s="44">
        <f>+Setup!E84</f>
        <v>0.3</v>
      </c>
      <c r="F502" s="964"/>
      <c r="G502" s="223">
        <v>0.3</v>
      </c>
      <c r="H502" s="223">
        <v>0.3</v>
      </c>
      <c r="I502" s="223">
        <v>0.3</v>
      </c>
      <c r="J502" s="223"/>
      <c r="K502" s="212"/>
      <c r="L502" s="223"/>
      <c r="M502" s="210"/>
      <c r="N502" s="944"/>
      <c r="O502" s="122"/>
      <c r="Z502"/>
      <c r="AX502"/>
      <c r="AY502"/>
      <c r="AZ502"/>
      <c r="BA502"/>
      <c r="CH502"/>
    </row>
    <row r="503" spans="4:86" ht="15.6">
      <c r="D503" s="507" t="s">
        <v>319</v>
      </c>
      <c r="E503" s="44">
        <f>+Setup!F86</f>
        <v>0.44900000000000001</v>
      </c>
      <c r="F503" s="964" t="str">
        <f t="shared" si="56"/>
        <v/>
      </c>
      <c r="G503" s="223">
        <v>0.44900000000000001</v>
      </c>
      <c r="H503" s="223">
        <v>0.40799999999999997</v>
      </c>
      <c r="I503" s="223">
        <v>0.54</v>
      </c>
      <c r="J503" s="223">
        <v>0.55400000000000005</v>
      </c>
      <c r="K503" s="212"/>
      <c r="L503" s="223"/>
      <c r="M503" s="210"/>
      <c r="N503" s="944"/>
      <c r="O503" s="122"/>
      <c r="Z503"/>
      <c r="AX503"/>
      <c r="AY503"/>
      <c r="AZ503"/>
      <c r="BA503"/>
      <c r="CH503"/>
    </row>
    <row r="504" spans="4:86">
      <c r="D504" s="8" t="s">
        <v>979</v>
      </c>
      <c r="E504" s="44">
        <f>+Setup!F79</f>
        <v>0</v>
      </c>
      <c r="F504" s="964" t="str">
        <f t="shared" si="56"/>
        <v/>
      </c>
      <c r="G504" s="223">
        <v>0</v>
      </c>
      <c r="H504" s="223">
        <v>0</v>
      </c>
      <c r="I504" s="223">
        <v>0</v>
      </c>
      <c r="J504" s="223">
        <v>0</v>
      </c>
      <c r="K504" s="212"/>
      <c r="L504" s="223"/>
      <c r="M504" s="210"/>
      <c r="N504" s="944"/>
      <c r="O504" s="122"/>
      <c r="Z504"/>
      <c r="AX504"/>
      <c r="AY504"/>
      <c r="AZ504"/>
      <c r="BA504"/>
      <c r="CH504"/>
    </row>
    <row r="505" spans="4:86">
      <c r="D505" s="8" t="s">
        <v>1535</v>
      </c>
      <c r="E505" s="44">
        <f>+Setup!F80</f>
        <v>0.65</v>
      </c>
      <c r="F505" s="964" t="str">
        <f t="shared" si="56"/>
        <v/>
      </c>
      <c r="G505" s="223">
        <v>0.65</v>
      </c>
      <c r="H505" s="223">
        <v>0.65</v>
      </c>
      <c r="I505" s="223">
        <v>0.65</v>
      </c>
      <c r="J505" s="223">
        <v>0.65</v>
      </c>
      <c r="K505" s="212"/>
      <c r="L505" s="223"/>
      <c r="M505" s="210"/>
      <c r="N505" s="944"/>
      <c r="O505" s="122"/>
      <c r="Z505"/>
      <c r="AX505"/>
      <c r="AY505"/>
      <c r="AZ505"/>
      <c r="BA505"/>
      <c r="CH505"/>
    </row>
    <row r="506" spans="4:86">
      <c r="D506" s="8" t="s">
        <v>1536</v>
      </c>
      <c r="E506" s="44">
        <f>+Setup!F81</f>
        <v>0.65</v>
      </c>
      <c r="F506" s="964" t="str">
        <f t="shared" si="56"/>
        <v/>
      </c>
      <c r="G506" s="223">
        <v>0.65</v>
      </c>
      <c r="H506" s="223">
        <v>0.65</v>
      </c>
      <c r="I506" s="223">
        <v>0.65</v>
      </c>
      <c r="J506" s="223">
        <v>0.65</v>
      </c>
      <c r="K506" s="212"/>
      <c r="L506" s="223"/>
      <c r="M506" s="210"/>
      <c r="N506" s="944"/>
      <c r="O506" s="122"/>
      <c r="Z506"/>
      <c r="AX506"/>
      <c r="AY506"/>
      <c r="AZ506"/>
      <c r="BA506"/>
      <c r="CH506"/>
    </row>
    <row r="507" spans="4:86">
      <c r="D507" s="454" t="s">
        <v>922</v>
      </c>
      <c r="E507" s="44">
        <f>+Setup!F82</f>
        <v>0.65</v>
      </c>
      <c r="F507" s="964" t="str">
        <f t="shared" si="56"/>
        <v/>
      </c>
      <c r="G507" s="223">
        <v>0.65</v>
      </c>
      <c r="H507" s="223">
        <v>0.65</v>
      </c>
      <c r="I507" s="223">
        <v>0.65</v>
      </c>
      <c r="J507" s="223">
        <v>0.65</v>
      </c>
      <c r="K507" s="212"/>
      <c r="L507" s="223"/>
      <c r="M507" s="210"/>
      <c r="N507" s="944"/>
      <c r="O507" s="122"/>
      <c r="Z507"/>
      <c r="AX507"/>
      <c r="AY507"/>
      <c r="AZ507"/>
      <c r="BA507"/>
      <c r="CH507"/>
    </row>
    <row r="508" spans="4:86">
      <c r="D508" s="454" t="s">
        <v>894</v>
      </c>
      <c r="E508" s="44">
        <f>+Setup!F83</f>
        <v>0.65</v>
      </c>
      <c r="F508" s="964"/>
      <c r="G508" s="223">
        <v>0.65</v>
      </c>
      <c r="H508" s="223">
        <v>0.65</v>
      </c>
      <c r="I508" s="223">
        <v>0.65</v>
      </c>
      <c r="J508" s="223"/>
      <c r="K508" s="212"/>
      <c r="L508" s="223"/>
      <c r="M508" s="210"/>
      <c r="N508" s="944"/>
      <c r="O508" s="122"/>
      <c r="Z508"/>
      <c r="AX508"/>
      <c r="AY508"/>
      <c r="AZ508"/>
      <c r="BA508"/>
      <c r="CH508"/>
    </row>
    <row r="509" spans="4:86">
      <c r="D509" s="454" t="s">
        <v>2030</v>
      </c>
      <c r="E509" s="44">
        <f>+Setup!F84</f>
        <v>0.65</v>
      </c>
      <c r="F509" s="964"/>
      <c r="G509" s="223">
        <v>0.65</v>
      </c>
      <c r="H509" s="223">
        <v>0.65</v>
      </c>
      <c r="I509" s="223">
        <v>0.65</v>
      </c>
      <c r="J509" s="223"/>
      <c r="K509" s="212"/>
      <c r="L509" s="223"/>
      <c r="M509" s="210"/>
      <c r="N509" s="944"/>
      <c r="O509" s="122"/>
      <c r="Z509"/>
      <c r="AX509"/>
      <c r="AY509"/>
      <c r="AZ509"/>
      <c r="BA509"/>
      <c r="CH509"/>
    </row>
    <row r="510" spans="4:86" ht="15.6">
      <c r="D510" s="507" t="s">
        <v>291</v>
      </c>
      <c r="E510" s="44">
        <f>+Setup!G86</f>
        <v>0.217</v>
      </c>
      <c r="F510" s="964" t="str">
        <f t="shared" si="56"/>
        <v/>
      </c>
      <c r="G510" s="223">
        <v>0.217</v>
      </c>
      <c r="H510" s="223">
        <v>0.26</v>
      </c>
      <c r="I510" s="223">
        <v>0.11799999999999999</v>
      </c>
      <c r="J510" s="223">
        <v>0.104</v>
      </c>
      <c r="K510" s="212"/>
      <c r="L510" s="223"/>
      <c r="M510" s="210"/>
      <c r="N510" s="944"/>
      <c r="O510" s="122"/>
      <c r="Z510"/>
      <c r="AX510"/>
      <c r="AY510"/>
      <c r="AZ510"/>
      <c r="BA510"/>
      <c r="CH510"/>
    </row>
    <row r="511" spans="4:86">
      <c r="D511" s="8" t="s">
        <v>1081</v>
      </c>
      <c r="E511" s="44">
        <f>+Setup!G79</f>
        <v>0.7</v>
      </c>
      <c r="F511" s="964" t="str">
        <f t="shared" si="56"/>
        <v/>
      </c>
      <c r="G511" s="223">
        <v>0.7</v>
      </c>
      <c r="H511" s="223">
        <v>0.7</v>
      </c>
      <c r="I511" s="223">
        <v>0.7</v>
      </c>
      <c r="J511" s="223">
        <v>0.7</v>
      </c>
      <c r="K511" s="212"/>
      <c r="L511" s="223"/>
      <c r="M511" s="210"/>
      <c r="N511" s="944"/>
      <c r="O511" s="122"/>
      <c r="Z511"/>
      <c r="AX511"/>
      <c r="AY511"/>
      <c r="AZ511"/>
      <c r="BA511"/>
      <c r="CH511"/>
    </row>
    <row r="512" spans="4:86" ht="15.6">
      <c r="D512" s="17" t="s">
        <v>320</v>
      </c>
      <c r="E512" s="44"/>
      <c r="F512" s="964" t="str">
        <f t="shared" si="56"/>
        <v/>
      </c>
      <c r="G512" s="223"/>
      <c r="H512" s="223"/>
      <c r="I512" s="223"/>
      <c r="J512" s="223"/>
      <c r="K512" s="212"/>
      <c r="L512" s="223"/>
      <c r="M512" s="210"/>
      <c r="N512" s="944"/>
      <c r="O512" s="122"/>
      <c r="Z512"/>
      <c r="AX512"/>
      <c r="AY512"/>
      <c r="AZ512"/>
      <c r="BA512"/>
      <c r="CH512"/>
    </row>
    <row r="513" spans="4:86">
      <c r="D513" s="8" t="s">
        <v>979</v>
      </c>
      <c r="E513" s="44">
        <f>+Taxable_Return2</f>
        <v>4.1000000000000002E-2</v>
      </c>
      <c r="F513" s="964" t="str">
        <f t="shared" si="56"/>
        <v/>
      </c>
      <c r="G513" s="223">
        <v>4.1000000000000002E-2</v>
      </c>
      <c r="H513" s="223">
        <v>4.1000000000000002E-2</v>
      </c>
      <c r="I513" s="223">
        <v>4.1000000000000002E-2</v>
      </c>
      <c r="J513" s="223">
        <v>4.1000000000000002E-2</v>
      </c>
      <c r="K513" s="212"/>
      <c r="L513" s="223"/>
      <c r="M513" s="210"/>
      <c r="N513" s="944"/>
      <c r="O513" s="122"/>
      <c r="Z513"/>
      <c r="AX513"/>
      <c r="AY513"/>
      <c r="AZ513"/>
      <c r="BA513"/>
      <c r="CH513"/>
    </row>
    <row r="514" spans="4:86">
      <c r="D514" s="8" t="s">
        <v>1535</v>
      </c>
      <c r="E514" s="44">
        <f>+tIRA_Return2</f>
        <v>5.6000000000000001E-2</v>
      </c>
      <c r="F514" s="964" t="str">
        <f t="shared" si="56"/>
        <v/>
      </c>
      <c r="G514" s="223">
        <v>5.6000000000000001E-2</v>
      </c>
      <c r="H514" s="223">
        <v>5.6000000000000001E-2</v>
      </c>
      <c r="I514" s="223">
        <v>5.6000000000000001E-2</v>
      </c>
      <c r="J514" s="223">
        <v>5.6000000000000001E-2</v>
      </c>
      <c r="K514" s="212"/>
      <c r="L514" s="223"/>
      <c r="M514" s="210"/>
      <c r="N514" s="944"/>
      <c r="O514" s="122"/>
      <c r="Z514"/>
      <c r="AX514"/>
      <c r="AY514"/>
      <c r="AZ514"/>
      <c r="BA514"/>
      <c r="CH514"/>
    </row>
    <row r="515" spans="4:86">
      <c r="D515" s="8" t="s">
        <v>1536</v>
      </c>
      <c r="E515" s="44">
        <f>+tIRA2_Return2</f>
        <v>5.2999999999999999E-2</v>
      </c>
      <c r="F515" s="964" t="str">
        <f t="shared" si="56"/>
        <v/>
      </c>
      <c r="G515" s="223">
        <v>5.2999999999999999E-2</v>
      </c>
      <c r="H515" s="223">
        <v>5.2999999999999999E-2</v>
      </c>
      <c r="I515" s="223">
        <v>5.2999999999999999E-2</v>
      </c>
      <c r="J515" s="223">
        <v>5.2999999999999999E-2</v>
      </c>
      <c r="K515" s="212"/>
      <c r="L515" s="223"/>
      <c r="M515" s="210"/>
      <c r="N515" s="944"/>
      <c r="O515" s="122"/>
      <c r="Z515"/>
      <c r="AX515"/>
      <c r="AY515"/>
      <c r="AZ515"/>
      <c r="BA515"/>
      <c r="CH515"/>
    </row>
    <row r="516" spans="4:86">
      <c r="D516" s="454" t="s">
        <v>922</v>
      </c>
      <c r="E516" s="44">
        <f>+Roth_Return2</f>
        <v>5.2999999999999999E-2</v>
      </c>
      <c r="F516" s="964" t="str">
        <f t="shared" si="56"/>
        <v/>
      </c>
      <c r="G516" s="223">
        <v>5.2999999999999999E-2</v>
      </c>
      <c r="H516" s="223">
        <v>5.2999999999999999E-2</v>
      </c>
      <c r="I516" s="223">
        <v>5.2999999999999999E-2</v>
      </c>
      <c r="J516" s="223">
        <v>5.2999999999999999E-2</v>
      </c>
      <c r="K516" s="212"/>
      <c r="L516" s="223"/>
      <c r="M516" s="210"/>
      <c r="N516" s="944"/>
      <c r="O516" s="122"/>
      <c r="Z516"/>
      <c r="AX516"/>
      <c r="AY516"/>
      <c r="AZ516"/>
      <c r="BA516"/>
      <c r="CH516"/>
    </row>
    <row r="517" spans="4:86">
      <c r="D517" s="454" t="s">
        <v>894</v>
      </c>
      <c r="E517" s="44">
        <f>+Roth_Return2</f>
        <v>5.2999999999999999E-2</v>
      </c>
      <c r="F517" s="964"/>
      <c r="G517" s="223">
        <v>5.2999999999999999E-2</v>
      </c>
      <c r="H517" s="223">
        <v>5.2999999999999999E-2</v>
      </c>
      <c r="I517" s="223">
        <v>5.2999999999999999E-2</v>
      </c>
      <c r="J517" s="223"/>
      <c r="K517" s="212"/>
      <c r="L517" s="223"/>
      <c r="M517" s="210"/>
      <c r="N517" s="944"/>
      <c r="O517" s="122"/>
      <c r="Z517"/>
      <c r="AX517"/>
      <c r="AY517"/>
      <c r="AZ517"/>
      <c r="BA517"/>
      <c r="CH517"/>
    </row>
    <row r="518" spans="4:86">
      <c r="D518" s="454" t="s">
        <v>2030</v>
      </c>
      <c r="E518" s="44">
        <f>+Roth_Return2</f>
        <v>5.2999999999999999E-2</v>
      </c>
      <c r="F518" s="964"/>
      <c r="G518" s="223">
        <v>5.2999999999999999E-2</v>
      </c>
      <c r="H518" s="223">
        <v>5.2999999999999999E-2</v>
      </c>
      <c r="I518" s="223">
        <v>5.2999999999999999E-2</v>
      </c>
      <c r="J518" s="223"/>
      <c r="K518" s="212"/>
      <c r="L518" s="223"/>
      <c r="M518" s="210"/>
      <c r="N518" s="944"/>
      <c r="O518" s="122"/>
      <c r="Z518"/>
      <c r="AX518"/>
      <c r="AY518"/>
      <c r="AZ518"/>
      <c r="BA518"/>
      <c r="CH518"/>
    </row>
    <row r="519" spans="4:86" ht="17.399999999999999">
      <c r="D519" s="739" t="s">
        <v>210</v>
      </c>
      <c r="E519" s="92"/>
      <c r="F519" s="964" t="str">
        <f t="shared" si="56"/>
        <v/>
      </c>
      <c r="G519" s="210"/>
      <c r="H519" s="210"/>
      <c r="I519" s="210"/>
      <c r="J519" s="210"/>
      <c r="K519" s="212"/>
      <c r="L519" s="210"/>
      <c r="M519" s="210"/>
      <c r="N519" s="1"/>
      <c r="O519" s="1"/>
      <c r="Z519"/>
      <c r="AX519"/>
      <c r="AY519"/>
      <c r="AZ519"/>
      <c r="BA519"/>
      <c r="CH519"/>
    </row>
    <row r="520" spans="4:86">
      <c r="D520" s="11" t="s">
        <v>964</v>
      </c>
      <c r="E520" s="92">
        <f>+Income_OInc_Long</f>
        <v>8000</v>
      </c>
      <c r="F520" s="964" t="str">
        <f t="shared" si="56"/>
        <v/>
      </c>
      <c r="G520" s="210">
        <v>8000</v>
      </c>
      <c r="H520" s="210">
        <v>8000</v>
      </c>
      <c r="I520" s="210">
        <v>8000</v>
      </c>
      <c r="J520" s="210">
        <v>8000</v>
      </c>
      <c r="K520" s="212"/>
      <c r="L520" s="210"/>
      <c r="M520" s="210"/>
      <c r="N520" s="727"/>
      <c r="O520" s="135"/>
      <c r="Z520"/>
      <c r="AX520"/>
      <c r="AY520"/>
      <c r="AZ520"/>
      <c r="BA520"/>
      <c r="CH520"/>
    </row>
    <row r="521" spans="4:86">
      <c r="D521" s="11" t="s">
        <v>587</v>
      </c>
      <c r="E521" s="44">
        <f>+Esc_OInc_Long</f>
        <v>0.03</v>
      </c>
      <c r="F521" s="964" t="str">
        <f t="shared" si="56"/>
        <v/>
      </c>
      <c r="G521" s="223">
        <v>0.03</v>
      </c>
      <c r="H521" s="223">
        <v>0.03</v>
      </c>
      <c r="I521" s="223">
        <v>0.03</v>
      </c>
      <c r="J521" s="223">
        <v>0.03</v>
      </c>
      <c r="K521" s="212"/>
      <c r="L521" s="223"/>
      <c r="M521" s="223"/>
      <c r="N521" s="944"/>
      <c r="O521" s="122"/>
      <c r="Z521"/>
      <c r="AX521"/>
      <c r="AY521"/>
      <c r="AZ521"/>
      <c r="BA521"/>
      <c r="CH521"/>
    </row>
    <row r="522" spans="4:86">
      <c r="D522" s="11" t="s">
        <v>362</v>
      </c>
      <c r="E522" s="92">
        <f>+Start_OInc_Long</f>
        <v>50</v>
      </c>
      <c r="F522" s="964" t="str">
        <f t="shared" si="56"/>
        <v/>
      </c>
      <c r="G522" s="210">
        <v>50</v>
      </c>
      <c r="H522" s="210">
        <v>50</v>
      </c>
      <c r="I522" s="210">
        <v>50</v>
      </c>
      <c r="J522" s="210">
        <v>62</v>
      </c>
      <c r="K522" s="212"/>
      <c r="L522" s="210"/>
      <c r="M522" s="210"/>
      <c r="N522" s="727"/>
      <c r="O522" s="135"/>
      <c r="Z522"/>
      <c r="AX522"/>
      <c r="AY522"/>
      <c r="AZ522"/>
      <c r="BA522"/>
      <c r="CH522"/>
    </row>
    <row r="523" spans="4:86">
      <c r="D523" s="11" t="s">
        <v>363</v>
      </c>
      <c r="E523" s="92">
        <f>+End_OInc_Long</f>
        <v>0</v>
      </c>
      <c r="F523" s="964" t="str">
        <f t="shared" si="56"/>
        <v/>
      </c>
      <c r="G523" s="210">
        <v>0</v>
      </c>
      <c r="H523" s="210">
        <v>0</v>
      </c>
      <c r="I523" s="210">
        <v>0</v>
      </c>
      <c r="J523" s="210">
        <v>0</v>
      </c>
      <c r="K523" s="212"/>
      <c r="L523" s="210"/>
      <c r="M523" s="210"/>
      <c r="N523" s="727"/>
      <c r="O523" s="135"/>
      <c r="Z523"/>
      <c r="AX523"/>
      <c r="AY523"/>
      <c r="AZ523"/>
      <c r="BA523"/>
      <c r="CH523"/>
    </row>
    <row r="524" spans="4:86">
      <c r="D524" s="11" t="s">
        <v>965</v>
      </c>
      <c r="E524" s="92">
        <f>+Income_OInc_Long2</f>
        <v>2000</v>
      </c>
      <c r="F524" s="964" t="str">
        <f t="shared" si="56"/>
        <v/>
      </c>
      <c r="G524" s="210">
        <v>2000</v>
      </c>
      <c r="H524" s="210">
        <v>2000</v>
      </c>
      <c r="I524" s="210">
        <v>2000</v>
      </c>
      <c r="J524" s="210">
        <v>2000</v>
      </c>
      <c r="K524" s="212"/>
      <c r="L524" s="210"/>
      <c r="M524" s="210"/>
      <c r="N524" s="727"/>
      <c r="O524" s="135"/>
      <c r="Z524"/>
      <c r="AX524"/>
      <c r="AY524"/>
      <c r="AZ524"/>
      <c r="BA524"/>
      <c r="CH524"/>
    </row>
    <row r="525" spans="4:86">
      <c r="D525" s="11" t="s">
        <v>587</v>
      </c>
      <c r="E525" s="44">
        <f>+Esc_OInc_Long2</f>
        <v>0</v>
      </c>
      <c r="F525" s="964" t="str">
        <f t="shared" si="56"/>
        <v/>
      </c>
      <c r="G525" s="223">
        <v>0</v>
      </c>
      <c r="H525" s="223">
        <v>0</v>
      </c>
      <c r="I525" s="223">
        <v>0</v>
      </c>
      <c r="J525" s="223">
        <v>0</v>
      </c>
      <c r="K525" s="212"/>
      <c r="L525" s="223"/>
      <c r="M525" s="210"/>
      <c r="N525" s="727"/>
      <c r="O525" s="135"/>
      <c r="Z525"/>
      <c r="AX525"/>
      <c r="AY525"/>
      <c r="AZ525"/>
      <c r="BA525"/>
      <c r="CH525"/>
    </row>
    <row r="526" spans="4:86">
      <c r="D526" s="11" t="s">
        <v>362</v>
      </c>
      <c r="E526" s="92">
        <f>+Start_OInc_Long2</f>
        <v>50</v>
      </c>
      <c r="F526" s="964" t="str">
        <f t="shared" si="56"/>
        <v/>
      </c>
      <c r="G526" s="210">
        <v>50</v>
      </c>
      <c r="H526" s="210">
        <v>50</v>
      </c>
      <c r="I526" s="210">
        <v>50</v>
      </c>
      <c r="J526" s="210">
        <v>62</v>
      </c>
      <c r="K526" s="212"/>
      <c r="L526" s="210"/>
      <c r="M526" s="210"/>
      <c r="N526" s="727"/>
      <c r="O526" s="135"/>
      <c r="Z526"/>
      <c r="AX526"/>
      <c r="AY526"/>
      <c r="AZ526"/>
      <c r="BA526"/>
      <c r="CH526"/>
    </row>
    <row r="527" spans="4:86">
      <c r="D527" s="11" t="s">
        <v>363</v>
      </c>
      <c r="E527" s="92">
        <f>+End_OInc_Long2</f>
        <v>85</v>
      </c>
      <c r="F527" s="964" t="str">
        <f t="shared" si="56"/>
        <v/>
      </c>
      <c r="G527" s="210">
        <v>85</v>
      </c>
      <c r="H527" s="210">
        <v>85</v>
      </c>
      <c r="I527" s="210">
        <v>85</v>
      </c>
      <c r="J527" s="210">
        <v>85</v>
      </c>
      <c r="K527" s="212"/>
      <c r="L527" s="210"/>
      <c r="M527" s="210"/>
      <c r="N527" s="727"/>
      <c r="O527" s="1"/>
      <c r="Z527"/>
      <c r="AX527"/>
      <c r="AY527"/>
      <c r="AZ527"/>
      <c r="BA527"/>
      <c r="CH527"/>
    </row>
    <row r="528" spans="4:86">
      <c r="D528" s="11" t="s">
        <v>1545</v>
      </c>
      <c r="E528" s="92">
        <f>+Income_OInc_Temp</f>
        <v>10000</v>
      </c>
      <c r="F528" s="964" t="str">
        <f t="shared" si="56"/>
        <v/>
      </c>
      <c r="G528" s="210">
        <v>10000</v>
      </c>
      <c r="H528" s="210">
        <v>10000</v>
      </c>
      <c r="I528" s="210">
        <v>10000</v>
      </c>
      <c r="J528" s="210">
        <v>10000</v>
      </c>
      <c r="K528" s="212"/>
      <c r="L528" s="210"/>
      <c r="M528" s="210"/>
      <c r="N528" s="727"/>
      <c r="O528" s="135"/>
      <c r="Z528"/>
      <c r="AX528"/>
      <c r="AY528"/>
      <c r="AZ528"/>
      <c r="BA528"/>
      <c r="CH528"/>
    </row>
    <row r="529" spans="4:86">
      <c r="D529" s="11" t="s">
        <v>587</v>
      </c>
      <c r="E529" s="44">
        <f>+Esc_OInc_Temp</f>
        <v>0.04</v>
      </c>
      <c r="F529" s="964" t="str">
        <f t="shared" si="56"/>
        <v/>
      </c>
      <c r="G529" s="223">
        <v>0.04</v>
      </c>
      <c r="H529" s="223">
        <v>0.04</v>
      </c>
      <c r="I529" s="223">
        <v>0.04</v>
      </c>
      <c r="J529" s="223">
        <v>0.04</v>
      </c>
      <c r="K529" s="212"/>
      <c r="L529" s="223"/>
      <c r="M529" s="223"/>
      <c r="N529" s="944"/>
      <c r="O529" s="122"/>
      <c r="Z529"/>
      <c r="AX529"/>
      <c r="AY529"/>
      <c r="AZ529"/>
      <c r="BA529"/>
      <c r="CH529"/>
    </row>
    <row r="530" spans="4:86">
      <c r="D530" s="11" t="s">
        <v>362</v>
      </c>
      <c r="E530" s="92">
        <f>+Start_OInc_Temp</f>
        <v>50</v>
      </c>
      <c r="F530" s="964" t="str">
        <f t="shared" si="56"/>
        <v/>
      </c>
      <c r="G530" s="210">
        <v>50</v>
      </c>
      <c r="H530" s="210">
        <v>50</v>
      </c>
      <c r="I530" s="210">
        <v>50</v>
      </c>
      <c r="J530" s="210">
        <v>62</v>
      </c>
      <c r="K530" s="212"/>
      <c r="L530" s="210"/>
      <c r="M530" s="210"/>
      <c r="N530" s="727"/>
      <c r="O530" s="135"/>
      <c r="Z530"/>
      <c r="AX530"/>
      <c r="AY530"/>
      <c r="AZ530"/>
      <c r="BA530"/>
      <c r="CH530"/>
    </row>
    <row r="531" spans="4:86">
      <c r="D531" s="11" t="s">
        <v>363</v>
      </c>
      <c r="E531" s="92">
        <f>+End_OInc_Temp</f>
        <v>70</v>
      </c>
      <c r="F531" s="964" t="str">
        <f t="shared" si="56"/>
        <v/>
      </c>
      <c r="G531" s="210">
        <v>70</v>
      </c>
      <c r="H531" s="210">
        <v>70</v>
      </c>
      <c r="I531" s="210">
        <v>70</v>
      </c>
      <c r="J531" s="210">
        <v>70</v>
      </c>
      <c r="K531" s="212"/>
      <c r="L531" s="210"/>
      <c r="M531" s="210"/>
      <c r="N531" s="727"/>
      <c r="O531" s="135"/>
      <c r="Z531"/>
      <c r="AX531"/>
      <c r="AY531"/>
      <c r="AZ531"/>
      <c r="BA531"/>
      <c r="CH531"/>
    </row>
    <row r="532" spans="4:86">
      <c r="D532" s="11" t="s">
        <v>1545</v>
      </c>
      <c r="E532" s="92">
        <f>+Income_OInc_Temp2</f>
        <v>15000</v>
      </c>
      <c r="F532" s="964" t="str">
        <f t="shared" si="56"/>
        <v/>
      </c>
      <c r="G532" s="210">
        <v>15000</v>
      </c>
      <c r="H532" s="210">
        <v>15000</v>
      </c>
      <c r="I532" s="210">
        <v>15000</v>
      </c>
      <c r="J532" s="210">
        <v>15000</v>
      </c>
      <c r="K532" s="212"/>
      <c r="L532" s="210"/>
      <c r="M532" s="210"/>
      <c r="N532" s="727"/>
      <c r="O532" s="135"/>
      <c r="Z532"/>
      <c r="AX532"/>
      <c r="AY532"/>
      <c r="AZ532"/>
      <c r="BA532"/>
      <c r="CH532"/>
    </row>
    <row r="533" spans="4:86">
      <c r="D533" s="11" t="s">
        <v>587</v>
      </c>
      <c r="E533" s="44">
        <f>+Esc_OInc_Temp2</f>
        <v>0</v>
      </c>
      <c r="F533" s="964" t="str">
        <f t="shared" ref="F533:F606" si="57">IF(E533&lt;&gt;G533,"&lt;#&gt;","")</f>
        <v/>
      </c>
      <c r="G533" s="223">
        <v>0</v>
      </c>
      <c r="H533" s="223">
        <v>0</v>
      </c>
      <c r="I533" s="223">
        <v>0</v>
      </c>
      <c r="J533" s="223">
        <v>0</v>
      </c>
      <c r="K533" s="212"/>
      <c r="L533" s="223"/>
      <c r="M533" s="210"/>
      <c r="N533" s="727"/>
      <c r="O533" s="135"/>
      <c r="Z533"/>
      <c r="AX533"/>
      <c r="AY533"/>
      <c r="AZ533"/>
      <c r="BA533"/>
      <c r="CH533"/>
    </row>
    <row r="534" spans="4:86">
      <c r="D534" s="11" t="s">
        <v>362</v>
      </c>
      <c r="E534" s="92">
        <f>+Start_OInc_Temp2</f>
        <v>63</v>
      </c>
      <c r="F534" s="964" t="str">
        <f t="shared" si="57"/>
        <v/>
      </c>
      <c r="G534" s="210">
        <v>63</v>
      </c>
      <c r="H534" s="210">
        <v>63</v>
      </c>
      <c r="I534" s="210">
        <v>63</v>
      </c>
      <c r="J534" s="210">
        <v>63</v>
      </c>
      <c r="K534" s="212"/>
      <c r="L534" s="210"/>
      <c r="M534" s="210"/>
      <c r="N534" s="727"/>
      <c r="O534" s="135"/>
      <c r="Z534"/>
      <c r="AX534"/>
      <c r="AY534"/>
      <c r="AZ534"/>
      <c r="BA534"/>
      <c r="CH534"/>
    </row>
    <row r="535" spans="4:86">
      <c r="D535" s="11" t="s">
        <v>363</v>
      </c>
      <c r="E535" s="92">
        <f>+End_OInc_Temp2</f>
        <v>63</v>
      </c>
      <c r="F535" s="964" t="str">
        <f t="shared" si="57"/>
        <v/>
      </c>
      <c r="G535" s="210">
        <v>63</v>
      </c>
      <c r="H535" s="210">
        <v>63</v>
      </c>
      <c r="I535" s="210">
        <v>63</v>
      </c>
      <c r="J535" s="210">
        <v>63</v>
      </c>
      <c r="K535" s="212"/>
      <c r="L535" s="210"/>
      <c r="M535" s="210"/>
      <c r="N535" s="727"/>
      <c r="O535" s="135"/>
      <c r="Z535"/>
      <c r="AX535"/>
      <c r="AY535"/>
      <c r="AZ535"/>
      <c r="BA535"/>
      <c r="CH535"/>
    </row>
    <row r="536" spans="4:86" ht="15.6">
      <c r="D536" s="507" t="s">
        <v>1530</v>
      </c>
      <c r="E536" s="92"/>
      <c r="F536" s="964" t="str">
        <f t="shared" si="57"/>
        <v/>
      </c>
      <c r="G536" s="210"/>
      <c r="H536" s="210"/>
      <c r="I536" s="210"/>
      <c r="J536" s="210"/>
      <c r="K536" s="212"/>
      <c r="L536" s="210"/>
      <c r="M536" s="210"/>
      <c r="N536" s="1"/>
      <c r="O536" s="135"/>
      <c r="Z536"/>
      <c r="AX536"/>
      <c r="AY536"/>
      <c r="AZ536"/>
      <c r="BA536"/>
      <c r="CH536"/>
    </row>
    <row r="537" spans="4:86">
      <c r="D537" s="11" t="s">
        <v>734</v>
      </c>
      <c r="E537" s="92">
        <f>+SPIA_Amt</f>
        <v>100000</v>
      </c>
      <c r="F537" s="964" t="str">
        <f t="shared" si="57"/>
        <v/>
      </c>
      <c r="G537" s="210">
        <v>100000</v>
      </c>
      <c r="H537" s="210">
        <v>100000</v>
      </c>
      <c r="I537" s="210">
        <v>100000</v>
      </c>
      <c r="J537" s="210">
        <v>100000</v>
      </c>
      <c r="K537" s="212"/>
      <c r="L537" s="210"/>
      <c r="M537" s="210"/>
      <c r="N537" s="727"/>
      <c r="O537" s="135"/>
      <c r="Z537"/>
      <c r="AX537"/>
      <c r="AY537"/>
      <c r="AZ537"/>
      <c r="BA537"/>
      <c r="CH537"/>
    </row>
    <row r="538" spans="4:86">
      <c r="D538" s="491" t="s">
        <v>733</v>
      </c>
      <c r="E538" s="340" t="str">
        <f>+SPIA_From</f>
        <v>t</v>
      </c>
      <c r="F538" s="964" t="str">
        <f t="shared" si="57"/>
        <v/>
      </c>
      <c r="G538" s="445" t="s">
        <v>1494</v>
      </c>
      <c r="H538" s="445" t="s">
        <v>1494</v>
      </c>
      <c r="I538" s="445" t="s">
        <v>1494</v>
      </c>
      <c r="J538" s="445" t="s">
        <v>1494</v>
      </c>
      <c r="K538" s="212"/>
      <c r="L538" s="445"/>
      <c r="M538" s="210"/>
      <c r="N538" s="942"/>
      <c r="O538" s="943"/>
      <c r="Z538"/>
      <c r="AX538"/>
      <c r="AY538"/>
      <c r="AZ538"/>
      <c r="BA538"/>
      <c r="CH538"/>
    </row>
    <row r="539" spans="4:86">
      <c r="D539" s="491" t="s">
        <v>732</v>
      </c>
      <c r="E539" s="92">
        <f>+SPIA_Age</f>
        <v>76</v>
      </c>
      <c r="F539" s="964" t="str">
        <f t="shared" si="57"/>
        <v/>
      </c>
      <c r="G539" s="210">
        <v>76</v>
      </c>
      <c r="H539" s="210">
        <v>76</v>
      </c>
      <c r="I539" s="210">
        <v>76</v>
      </c>
      <c r="J539" s="210">
        <v>76</v>
      </c>
      <c r="K539" s="212"/>
      <c r="L539" s="210"/>
      <c r="M539" s="210"/>
      <c r="N539" s="727"/>
      <c r="O539" s="135"/>
      <c r="Z539"/>
      <c r="AX539"/>
      <c r="AY539"/>
      <c r="AZ539"/>
      <c r="BA539"/>
      <c r="CH539"/>
    </row>
    <row r="540" spans="4:86">
      <c r="D540" s="497" t="s">
        <v>152</v>
      </c>
      <c r="E540" s="92">
        <f>+SPIA_Start</f>
        <v>76</v>
      </c>
      <c r="F540" s="964" t="str">
        <f t="shared" si="57"/>
        <v/>
      </c>
      <c r="G540" s="210">
        <v>76</v>
      </c>
      <c r="H540" s="210">
        <v>76</v>
      </c>
      <c r="I540" s="210">
        <v>76</v>
      </c>
      <c r="J540" s="210">
        <v>76</v>
      </c>
      <c r="K540" s="212"/>
      <c r="L540" s="210"/>
      <c r="M540" s="210"/>
      <c r="N540" s="727"/>
      <c r="O540" s="135"/>
      <c r="Z540"/>
      <c r="AX540"/>
      <c r="AY540"/>
      <c r="AZ540"/>
      <c r="BA540"/>
      <c r="CH540"/>
    </row>
    <row r="541" spans="4:86">
      <c r="D541" s="497" t="s">
        <v>296</v>
      </c>
      <c r="E541" s="92">
        <f>+SPIA_End</f>
        <v>0</v>
      </c>
      <c r="F541" s="964" t="str">
        <f t="shared" si="57"/>
        <v/>
      </c>
      <c r="G541" s="210">
        <v>0</v>
      </c>
      <c r="H541" s="210">
        <v>0</v>
      </c>
      <c r="I541" s="210">
        <v>0</v>
      </c>
      <c r="J541" s="210">
        <v>0</v>
      </c>
      <c r="K541" s="212"/>
      <c r="L541" s="210"/>
      <c r="M541" s="210"/>
      <c r="N541" s="727"/>
      <c r="O541" s="135"/>
      <c r="Z541"/>
      <c r="AX541"/>
      <c r="AY541"/>
      <c r="AZ541"/>
      <c r="BA541"/>
      <c r="CH541"/>
    </row>
    <row r="542" spans="4:86">
      <c r="D542" s="497" t="s">
        <v>1702</v>
      </c>
      <c r="E542" s="92">
        <f>+SPIA_Income</f>
        <v>9000</v>
      </c>
      <c r="F542" s="964" t="str">
        <f t="shared" si="57"/>
        <v/>
      </c>
      <c r="G542" s="210">
        <v>9000</v>
      </c>
      <c r="H542" s="210">
        <v>9000</v>
      </c>
      <c r="I542" s="210">
        <v>9000</v>
      </c>
      <c r="J542" s="210">
        <v>9000</v>
      </c>
      <c r="K542" s="212"/>
      <c r="L542" s="210"/>
      <c r="M542" s="210"/>
      <c r="N542" s="727"/>
      <c r="O542" s="135"/>
      <c r="Z542"/>
      <c r="AX542"/>
      <c r="AY542"/>
      <c r="AZ542"/>
      <c r="BA542"/>
      <c r="CH542"/>
    </row>
    <row r="543" spans="4:86">
      <c r="D543" s="496" t="s">
        <v>175</v>
      </c>
      <c r="E543" s="44">
        <f>+SPIA_Esc</f>
        <v>0</v>
      </c>
      <c r="F543" s="964" t="str">
        <f t="shared" si="57"/>
        <v/>
      </c>
      <c r="G543" s="223">
        <v>0</v>
      </c>
      <c r="H543" s="223">
        <v>0</v>
      </c>
      <c r="I543" s="223">
        <v>0</v>
      </c>
      <c r="J543" s="223">
        <v>0</v>
      </c>
      <c r="K543" s="212"/>
      <c r="L543" s="223"/>
      <c r="M543" s="210"/>
      <c r="N543" s="727"/>
      <c r="O543" s="135"/>
      <c r="Z543"/>
      <c r="AX543"/>
      <c r="AY543"/>
      <c r="AZ543"/>
      <c r="BA543"/>
      <c r="CH543"/>
    </row>
    <row r="544" spans="4:86">
      <c r="D544" s="496" t="s">
        <v>295</v>
      </c>
      <c r="E544" s="44">
        <f>+SPIA_Excl</f>
        <v>0.75</v>
      </c>
      <c r="F544" s="964" t="str">
        <f t="shared" si="57"/>
        <v/>
      </c>
      <c r="G544" s="223">
        <v>0.75</v>
      </c>
      <c r="H544" s="223">
        <v>0.75</v>
      </c>
      <c r="I544" s="223">
        <v>0.75</v>
      </c>
      <c r="J544" s="223">
        <v>0.75</v>
      </c>
      <c r="K544" s="212"/>
      <c r="L544" s="223"/>
      <c r="M544" s="210"/>
      <c r="N544" s="944"/>
      <c r="O544" s="122"/>
      <c r="Z544"/>
      <c r="AX544"/>
      <c r="AY544"/>
      <c r="AZ544"/>
      <c r="BA544"/>
      <c r="CH544"/>
    </row>
    <row r="545" spans="3:86" ht="15.6">
      <c r="D545" s="272" t="s">
        <v>634</v>
      </c>
      <c r="E545" s="92"/>
      <c r="F545" s="964" t="str">
        <f t="shared" si="57"/>
        <v/>
      </c>
      <c r="G545" s="210"/>
      <c r="H545" s="210"/>
      <c r="I545" s="210"/>
      <c r="J545" s="210"/>
      <c r="K545" s="212"/>
      <c r="L545" s="210"/>
      <c r="M545" s="210"/>
      <c r="N545" s="1"/>
      <c r="O545" s="135"/>
      <c r="Z545"/>
      <c r="AX545"/>
      <c r="AY545"/>
      <c r="AZ545"/>
      <c r="BA545"/>
      <c r="CH545"/>
    </row>
    <row r="546" spans="3:86" ht="15.6">
      <c r="C546" s="22"/>
      <c r="D546" s="11" t="s">
        <v>1141</v>
      </c>
      <c r="E546" s="92">
        <f>+Your_SS</f>
        <v>30000</v>
      </c>
      <c r="F546" s="964" t="str">
        <f t="shared" si="57"/>
        <v/>
      </c>
      <c r="G546" s="210">
        <v>30000</v>
      </c>
      <c r="H546" s="210">
        <v>30000</v>
      </c>
      <c r="I546" s="210">
        <v>30000</v>
      </c>
      <c r="J546" s="210">
        <v>30000</v>
      </c>
      <c r="K546" s="212"/>
      <c r="L546" s="210"/>
      <c r="M546" s="210"/>
      <c r="N546" s="727"/>
      <c r="O546" s="135"/>
      <c r="Z546"/>
      <c r="AX546"/>
      <c r="AY546"/>
      <c r="AZ546"/>
      <c r="BA546"/>
      <c r="CH546"/>
    </row>
    <row r="547" spans="3:86">
      <c r="D547" s="11" t="s">
        <v>362</v>
      </c>
      <c r="E547" s="92">
        <f>+Your_SS_Start</f>
        <v>70</v>
      </c>
      <c r="F547" s="964" t="str">
        <f t="shared" si="57"/>
        <v/>
      </c>
      <c r="G547" s="210">
        <v>70</v>
      </c>
      <c r="H547" s="210">
        <v>70</v>
      </c>
      <c r="I547" s="210">
        <v>70</v>
      </c>
      <c r="J547" s="210">
        <v>70</v>
      </c>
      <c r="K547" s="212"/>
      <c r="L547" s="210"/>
      <c r="M547" s="210"/>
      <c r="N547" s="727"/>
      <c r="O547" s="135"/>
      <c r="Z547"/>
      <c r="AX547"/>
      <c r="AY547"/>
      <c r="AZ547"/>
      <c r="BA547"/>
      <c r="CH547"/>
    </row>
    <row r="548" spans="3:86">
      <c r="D548" s="11" t="s">
        <v>1417</v>
      </c>
      <c r="E548" s="87" t="str">
        <f>+Your_SS_End</f>
        <v>--</v>
      </c>
      <c r="F548" s="964" t="str">
        <f t="shared" si="57"/>
        <v/>
      </c>
      <c r="G548" s="851" t="s">
        <v>667</v>
      </c>
      <c r="H548" s="851" t="s">
        <v>667</v>
      </c>
      <c r="I548" s="851" t="s">
        <v>667</v>
      </c>
      <c r="J548" s="851" t="s">
        <v>667</v>
      </c>
      <c r="K548" s="212"/>
      <c r="L548" s="851"/>
      <c r="M548" s="210"/>
      <c r="N548" s="727"/>
      <c r="O548" s="135"/>
      <c r="Z548"/>
      <c r="AX548"/>
      <c r="AY548"/>
      <c r="AZ548"/>
      <c r="BA548"/>
      <c r="CH548"/>
    </row>
    <row r="549" spans="3:86">
      <c r="D549" s="11" t="s">
        <v>1596</v>
      </c>
      <c r="E549" s="92">
        <f>+Spouse_SS</f>
        <v>20000</v>
      </c>
      <c r="F549" s="964" t="str">
        <f t="shared" si="57"/>
        <v/>
      </c>
      <c r="G549" s="210">
        <v>20000</v>
      </c>
      <c r="H549" s="210">
        <v>20000</v>
      </c>
      <c r="I549" s="210">
        <v>20000</v>
      </c>
      <c r="J549" s="210">
        <v>20000</v>
      </c>
      <c r="K549" s="212"/>
      <c r="L549" s="210"/>
      <c r="M549" s="210"/>
      <c r="N549" s="727"/>
      <c r="O549" s="135"/>
      <c r="Z549"/>
      <c r="AX549"/>
      <c r="AY549"/>
      <c r="AZ549"/>
      <c r="BA549"/>
      <c r="CH549"/>
    </row>
    <row r="550" spans="3:86">
      <c r="D550" s="11" t="s">
        <v>362</v>
      </c>
      <c r="E550" s="92">
        <f>+Spouse_SS_Start</f>
        <v>66</v>
      </c>
      <c r="F550" s="964" t="str">
        <f t="shared" si="57"/>
        <v/>
      </c>
      <c r="G550" s="210">
        <v>66</v>
      </c>
      <c r="H550" s="210">
        <v>66</v>
      </c>
      <c r="I550" s="210">
        <v>66</v>
      </c>
      <c r="J550" s="210">
        <v>70</v>
      </c>
      <c r="K550" s="212"/>
      <c r="L550" s="210"/>
      <c r="M550" s="210"/>
      <c r="N550" s="727"/>
      <c r="O550" s="135"/>
      <c r="Z550"/>
      <c r="AX550"/>
      <c r="AY550"/>
      <c r="AZ550"/>
      <c r="BA550"/>
      <c r="CH550"/>
    </row>
    <row r="551" spans="3:86">
      <c r="D551" s="11" t="s">
        <v>1417</v>
      </c>
      <c r="E551" s="92">
        <f>+Spouse_SS_End</f>
        <v>85</v>
      </c>
      <c r="F551" s="964" t="str">
        <f t="shared" si="57"/>
        <v/>
      </c>
      <c r="G551" s="210">
        <v>85</v>
      </c>
      <c r="H551" s="210">
        <v>85</v>
      </c>
      <c r="I551" s="210">
        <v>85</v>
      </c>
      <c r="J551" s="210">
        <v>85</v>
      </c>
      <c r="K551" s="212"/>
      <c r="L551" s="210"/>
      <c r="M551" s="210"/>
      <c r="N551" s="727"/>
      <c r="O551" s="135"/>
      <c r="Z551"/>
      <c r="AX551"/>
      <c r="AY551"/>
      <c r="AZ551"/>
      <c r="BA551"/>
      <c r="CH551"/>
    </row>
    <row r="552" spans="3:86">
      <c r="D552" s="11" t="s">
        <v>1418</v>
      </c>
      <c r="E552" s="44">
        <f>+SS_COLA</f>
        <v>0.02</v>
      </c>
      <c r="F552" s="964" t="str">
        <f t="shared" si="57"/>
        <v/>
      </c>
      <c r="G552" s="223">
        <v>0.02</v>
      </c>
      <c r="H552" s="223">
        <v>0.02</v>
      </c>
      <c r="I552" s="223">
        <v>0.02</v>
      </c>
      <c r="J552" s="223">
        <v>0.02</v>
      </c>
      <c r="K552" s="212"/>
      <c r="L552" s="223"/>
      <c r="M552" s="223"/>
      <c r="N552" s="944"/>
      <c r="O552" s="122"/>
      <c r="Z552"/>
      <c r="AX552"/>
      <c r="AY552"/>
      <c r="AZ552"/>
      <c r="BA552"/>
      <c r="CH552"/>
    </row>
    <row r="553" spans="3:86">
      <c r="D553" s="491" t="s">
        <v>1460</v>
      </c>
      <c r="E553" s="340" t="str">
        <f>+SS_Started</f>
        <v>n</v>
      </c>
      <c r="F553" s="964" t="str">
        <f t="shared" si="57"/>
        <v/>
      </c>
      <c r="G553" s="445" t="s">
        <v>1133</v>
      </c>
      <c r="H553" s="445" t="s">
        <v>1133</v>
      </c>
      <c r="I553" s="445" t="s">
        <v>1133</v>
      </c>
      <c r="J553" s="445" t="s">
        <v>1133</v>
      </c>
      <c r="K553" s="212"/>
      <c r="L553" s="445"/>
      <c r="M553" s="445"/>
      <c r="N553" s="943"/>
      <c r="O553" s="122"/>
      <c r="Z553"/>
      <c r="AX553"/>
      <c r="AY553"/>
      <c r="AZ553"/>
      <c r="BA553"/>
      <c r="CH553"/>
    </row>
    <row r="554" spans="3:86">
      <c r="D554" s="11" t="s">
        <v>1459</v>
      </c>
      <c r="E554" s="340" t="str">
        <f>+Auto_Spousal</f>
        <v>n</v>
      </c>
      <c r="F554" s="964" t="str">
        <f t="shared" si="57"/>
        <v/>
      </c>
      <c r="G554" s="445" t="s">
        <v>1133</v>
      </c>
      <c r="H554" s="445" t="s">
        <v>1133</v>
      </c>
      <c r="I554" s="445" t="s">
        <v>1133</v>
      </c>
      <c r="J554" s="445" t="s">
        <v>1133</v>
      </c>
      <c r="K554" s="212"/>
      <c r="L554" s="445"/>
      <c r="M554" s="445"/>
      <c r="N554" s="943"/>
      <c r="O554" s="122"/>
      <c r="Z554"/>
      <c r="AX554"/>
      <c r="AY554"/>
      <c r="AZ554"/>
      <c r="BA554"/>
      <c r="CH554"/>
    </row>
    <row r="555" spans="3:86">
      <c r="D555" s="11" t="s">
        <v>463</v>
      </c>
      <c r="E555" s="340">
        <f>+SS_Add</f>
        <v>0</v>
      </c>
      <c r="F555" s="964" t="str">
        <f t="shared" si="57"/>
        <v/>
      </c>
      <c r="G555" s="445">
        <v>0</v>
      </c>
      <c r="H555" s="445">
        <v>0</v>
      </c>
      <c r="I555" s="445">
        <v>0</v>
      </c>
      <c r="J555" s="445">
        <v>0</v>
      </c>
      <c r="K555" s="212"/>
      <c r="L555" s="445"/>
      <c r="M555" s="210"/>
      <c r="N555" s="943"/>
      <c r="O555" s="135"/>
      <c r="Z555"/>
      <c r="AX555"/>
      <c r="AY555"/>
      <c r="AZ555"/>
      <c r="BA555"/>
      <c r="CH555"/>
    </row>
    <row r="556" spans="3:86">
      <c r="D556" s="11" t="s">
        <v>464</v>
      </c>
      <c r="E556" s="340">
        <f>+SS_Add_Start</f>
        <v>0</v>
      </c>
      <c r="F556" s="964" t="str">
        <f t="shared" si="57"/>
        <v/>
      </c>
      <c r="G556" s="210">
        <v>0</v>
      </c>
      <c r="H556" s="210">
        <v>0</v>
      </c>
      <c r="I556" s="210">
        <v>0</v>
      </c>
      <c r="J556" s="210">
        <v>0</v>
      </c>
      <c r="K556" s="212"/>
      <c r="L556" s="445"/>
      <c r="M556" s="210"/>
      <c r="N556" s="727"/>
      <c r="O556" s="135"/>
      <c r="Z556"/>
      <c r="AX556"/>
      <c r="AY556"/>
      <c r="AZ556"/>
      <c r="BA556"/>
      <c r="CH556"/>
    </row>
    <row r="557" spans="3:86">
      <c r="D557" s="11" t="s">
        <v>465</v>
      </c>
      <c r="E557" s="340">
        <f>+SS_Add_End</f>
        <v>0</v>
      </c>
      <c r="F557" s="964" t="str">
        <f t="shared" si="57"/>
        <v/>
      </c>
      <c r="G557" s="210">
        <v>0</v>
      </c>
      <c r="H557" s="210">
        <v>0</v>
      </c>
      <c r="I557" s="210">
        <v>0</v>
      </c>
      <c r="J557" s="210">
        <v>0</v>
      </c>
      <c r="K557" s="212"/>
      <c r="L557" s="445"/>
      <c r="M557" s="210"/>
      <c r="N557" s="727"/>
      <c r="O557" s="135"/>
      <c r="Z557"/>
      <c r="AX557"/>
      <c r="AY557"/>
      <c r="AZ557"/>
      <c r="BA557"/>
      <c r="CH557"/>
    </row>
    <row r="558" spans="3:86">
      <c r="D558" s="11" t="s">
        <v>466</v>
      </c>
      <c r="E558" s="340">
        <f>+SS_Add_Sp</f>
        <v>0</v>
      </c>
      <c r="F558" s="964" t="str">
        <f t="shared" si="57"/>
        <v/>
      </c>
      <c r="G558" s="210">
        <v>0</v>
      </c>
      <c r="H558" s="210">
        <v>0</v>
      </c>
      <c r="I558" s="210">
        <v>0</v>
      </c>
      <c r="J558" s="210">
        <v>0</v>
      </c>
      <c r="K558" s="212"/>
      <c r="L558" s="445"/>
      <c r="M558" s="210"/>
      <c r="N558" s="727"/>
      <c r="O558" s="135"/>
      <c r="Z558"/>
      <c r="AX558"/>
      <c r="AY558"/>
      <c r="AZ558"/>
      <c r="BA558"/>
      <c r="CH558"/>
    </row>
    <row r="559" spans="3:86">
      <c r="D559" s="11" t="s">
        <v>464</v>
      </c>
      <c r="E559" s="340">
        <f>+SS_Add_Start_Sp</f>
        <v>0</v>
      </c>
      <c r="F559" s="964" t="str">
        <f t="shared" si="57"/>
        <v/>
      </c>
      <c r="G559" s="210">
        <v>0</v>
      </c>
      <c r="H559" s="210">
        <v>0</v>
      </c>
      <c r="I559" s="210">
        <v>0</v>
      </c>
      <c r="J559" s="210">
        <v>0</v>
      </c>
      <c r="K559" s="212"/>
      <c r="L559" s="445"/>
      <c r="M559" s="210"/>
      <c r="N559" s="727"/>
      <c r="O559" s="135"/>
      <c r="Z559"/>
      <c r="AX559"/>
      <c r="AY559"/>
      <c r="AZ559"/>
      <c r="BA559"/>
      <c r="CH559"/>
    </row>
    <row r="560" spans="3:86">
      <c r="D560" s="11" t="s">
        <v>465</v>
      </c>
      <c r="E560" s="340">
        <f>+SS_Add_End_Sp</f>
        <v>0</v>
      </c>
      <c r="F560" s="964" t="str">
        <f t="shared" si="57"/>
        <v/>
      </c>
      <c r="G560" s="210">
        <v>0</v>
      </c>
      <c r="H560" s="210">
        <v>0</v>
      </c>
      <c r="I560" s="210">
        <v>0</v>
      </c>
      <c r="J560" s="210">
        <v>0</v>
      </c>
      <c r="K560" s="212"/>
      <c r="L560" s="445"/>
      <c r="M560" s="210"/>
      <c r="N560" s="727"/>
      <c r="O560" s="135"/>
      <c r="Z560"/>
      <c r="AX560"/>
      <c r="AY560"/>
      <c r="AZ560"/>
      <c r="BA560"/>
      <c r="CH560"/>
    </row>
    <row r="561" spans="4:86">
      <c r="D561" s="1461" t="s">
        <v>1933</v>
      </c>
      <c r="E561" s="44">
        <f>+SS_re_pc</f>
        <v>0.23</v>
      </c>
      <c r="F561" s="964"/>
      <c r="G561" s="223">
        <v>0.23</v>
      </c>
      <c r="H561" s="223">
        <v>0.23</v>
      </c>
      <c r="I561" s="223">
        <v>0.23</v>
      </c>
      <c r="J561" s="223">
        <v>0.23</v>
      </c>
      <c r="K561" s="212"/>
      <c r="L561" s="445"/>
      <c r="M561" s="210"/>
      <c r="N561" s="727"/>
      <c r="O561" s="135"/>
      <c r="Z561"/>
      <c r="AX561"/>
      <c r="AY561"/>
      <c r="AZ561"/>
      <c r="BA561"/>
      <c r="CH561"/>
    </row>
    <row r="562" spans="4:86">
      <c r="D562" s="1461" t="s">
        <v>1932</v>
      </c>
      <c r="E562" s="8">
        <f>+SS_re_yr</f>
        <v>2035</v>
      </c>
      <c r="F562" s="964"/>
      <c r="G562" s="444">
        <v>2035</v>
      </c>
      <c r="H562" s="444">
        <v>2035</v>
      </c>
      <c r="I562" s="444">
        <v>2035</v>
      </c>
      <c r="J562" s="444">
        <v>2035</v>
      </c>
      <c r="K562" s="212"/>
      <c r="L562" s="445"/>
      <c r="M562" s="210"/>
      <c r="N562" s="727"/>
      <c r="O562" s="135"/>
      <c r="Z562"/>
      <c r="AX562"/>
      <c r="AY562"/>
      <c r="AZ562"/>
      <c r="BA562"/>
      <c r="CH562"/>
    </row>
    <row r="563" spans="4:86" ht="15.6">
      <c r="D563" s="272" t="s">
        <v>1614</v>
      </c>
      <c r="E563" s="44"/>
      <c r="F563" s="964" t="str">
        <f t="shared" si="57"/>
        <v/>
      </c>
      <c r="G563" s="223"/>
      <c r="H563" s="223"/>
      <c r="I563" s="223"/>
      <c r="J563" s="223"/>
      <c r="K563" s="212"/>
      <c r="L563" s="223"/>
      <c r="M563" s="223"/>
      <c r="N563" s="1"/>
      <c r="O563" s="122"/>
      <c r="Z563"/>
      <c r="AX563"/>
      <c r="AY563"/>
      <c r="AZ563"/>
      <c r="BA563"/>
      <c r="CH563"/>
    </row>
    <row r="564" spans="4:86">
      <c r="D564" s="11" t="s">
        <v>1141</v>
      </c>
      <c r="E564" s="92">
        <f>+Your_SS_Alt</f>
        <v>30000</v>
      </c>
      <c r="F564" s="964" t="str">
        <f t="shared" si="57"/>
        <v/>
      </c>
      <c r="G564" s="210">
        <v>30000</v>
      </c>
      <c r="H564" s="210">
        <v>30000</v>
      </c>
      <c r="I564" s="210">
        <v>30000</v>
      </c>
      <c r="J564" s="210">
        <v>30000</v>
      </c>
      <c r="K564" s="212"/>
      <c r="L564" s="210"/>
      <c r="M564" s="210"/>
      <c r="N564" s="727"/>
      <c r="O564" s="135"/>
      <c r="Z564"/>
      <c r="AX564"/>
      <c r="AY564"/>
      <c r="AZ564"/>
      <c r="BA564"/>
      <c r="CH564"/>
    </row>
    <row r="565" spans="4:86">
      <c r="D565" s="11" t="s">
        <v>362</v>
      </c>
      <c r="E565" s="92">
        <f>+Your_SS_Start_Alt</f>
        <v>62</v>
      </c>
      <c r="F565" s="964" t="str">
        <f t="shared" si="57"/>
        <v/>
      </c>
      <c r="G565" s="210">
        <v>62</v>
      </c>
      <c r="H565" s="210">
        <v>62</v>
      </c>
      <c r="I565" s="210">
        <v>62</v>
      </c>
      <c r="J565" s="210">
        <v>62</v>
      </c>
      <c r="K565" s="212"/>
      <c r="L565" s="210"/>
      <c r="M565" s="210"/>
      <c r="N565" s="727"/>
      <c r="O565" s="135"/>
      <c r="Z565"/>
      <c r="AX565"/>
      <c r="AY565"/>
      <c r="AZ565"/>
      <c r="BA565"/>
      <c r="CH565"/>
    </row>
    <row r="566" spans="4:86">
      <c r="D566" s="11" t="s">
        <v>1417</v>
      </c>
      <c r="E566" s="87" t="str">
        <f>+Your_SS_End_Alt</f>
        <v>--</v>
      </c>
      <c r="F566" s="964" t="str">
        <f t="shared" si="57"/>
        <v/>
      </c>
      <c r="G566" s="851" t="s">
        <v>667</v>
      </c>
      <c r="H566" s="851" t="s">
        <v>667</v>
      </c>
      <c r="I566" s="851" t="s">
        <v>667</v>
      </c>
      <c r="J566" s="851" t="s">
        <v>667</v>
      </c>
      <c r="K566" s="212"/>
      <c r="L566" s="851"/>
      <c r="M566" s="210"/>
      <c r="N566" s="727"/>
      <c r="O566" s="135"/>
      <c r="Z566"/>
      <c r="AX566"/>
      <c r="AY566"/>
      <c r="AZ566"/>
      <c r="BA566"/>
      <c r="CH566"/>
    </row>
    <row r="567" spans="4:86">
      <c r="D567" s="11" t="s">
        <v>1596</v>
      </c>
      <c r="E567" s="92">
        <f>+Spouse_SS_Alt</f>
        <v>20000</v>
      </c>
      <c r="F567" s="964" t="str">
        <f t="shared" si="57"/>
        <v/>
      </c>
      <c r="G567" s="210">
        <v>20000</v>
      </c>
      <c r="H567" s="210">
        <v>20000</v>
      </c>
      <c r="I567" s="210">
        <v>20000</v>
      </c>
      <c r="J567" s="210">
        <v>20000</v>
      </c>
      <c r="K567" s="212"/>
      <c r="L567" s="210"/>
      <c r="M567" s="210"/>
      <c r="N567" s="727"/>
      <c r="O567" s="135"/>
      <c r="Z567"/>
      <c r="AX567"/>
      <c r="AY567"/>
      <c r="AZ567"/>
      <c r="BA567"/>
      <c r="CH567"/>
    </row>
    <row r="568" spans="4:86">
      <c r="D568" s="11" t="s">
        <v>362</v>
      </c>
      <c r="E568" s="92">
        <f>+Spouse_SS_Start_Alt</f>
        <v>62</v>
      </c>
      <c r="F568" s="964" t="str">
        <f t="shared" si="57"/>
        <v/>
      </c>
      <c r="G568" s="210">
        <v>62</v>
      </c>
      <c r="H568" s="210">
        <v>62</v>
      </c>
      <c r="I568" s="210">
        <v>62</v>
      </c>
      <c r="J568" s="210">
        <v>62</v>
      </c>
      <c r="K568" s="212"/>
      <c r="L568" s="210"/>
      <c r="M568" s="210"/>
      <c r="N568" s="727"/>
      <c r="O568" s="135"/>
      <c r="Z568"/>
      <c r="AX568"/>
      <c r="AY568"/>
      <c r="AZ568"/>
      <c r="BA568"/>
      <c r="CH568"/>
    </row>
    <row r="569" spans="4:86">
      <c r="D569" s="11" t="s">
        <v>1417</v>
      </c>
      <c r="E569" s="92">
        <f>+Spouse_SS_End_Alt</f>
        <v>85</v>
      </c>
      <c r="F569" s="964" t="str">
        <f t="shared" si="57"/>
        <v/>
      </c>
      <c r="G569" s="210">
        <v>85</v>
      </c>
      <c r="H569" s="210">
        <v>85</v>
      </c>
      <c r="I569" s="210">
        <v>85</v>
      </c>
      <c r="J569" s="210">
        <v>85</v>
      </c>
      <c r="K569" s="212"/>
      <c r="L569" s="210"/>
      <c r="M569" s="210"/>
      <c r="N569" s="727"/>
      <c r="O569" s="135"/>
      <c r="Z569"/>
      <c r="AX569"/>
      <c r="AY569"/>
      <c r="AZ569"/>
      <c r="BA569"/>
      <c r="CH569"/>
    </row>
    <row r="570" spans="4:86">
      <c r="D570" s="11" t="s">
        <v>1418</v>
      </c>
      <c r="E570" s="44">
        <f>+SS_COLA_Alt</f>
        <v>0.02</v>
      </c>
      <c r="F570" s="964" t="str">
        <f t="shared" si="57"/>
        <v/>
      </c>
      <c r="G570" s="223">
        <v>0.02</v>
      </c>
      <c r="H570" s="223">
        <v>0.02</v>
      </c>
      <c r="I570" s="223">
        <v>0.02</v>
      </c>
      <c r="J570" s="223">
        <v>0.02</v>
      </c>
      <c r="K570" s="212"/>
      <c r="L570" s="223"/>
      <c r="M570" s="223"/>
      <c r="N570" s="944"/>
      <c r="O570" s="122"/>
      <c r="Z570"/>
      <c r="AX570"/>
      <c r="AY570"/>
      <c r="AZ570"/>
      <c r="BA570"/>
      <c r="CH570"/>
    </row>
    <row r="571" spans="4:86">
      <c r="D571" s="491" t="s">
        <v>1460</v>
      </c>
      <c r="E571" s="340" t="str">
        <f>+SS_Started_Alt</f>
        <v>n</v>
      </c>
      <c r="F571" s="964" t="str">
        <f t="shared" si="57"/>
        <v/>
      </c>
      <c r="G571" s="445" t="s">
        <v>1133</v>
      </c>
      <c r="H571" s="445" t="s">
        <v>1133</v>
      </c>
      <c r="I571" s="445" t="s">
        <v>1133</v>
      </c>
      <c r="J571" s="445" t="s">
        <v>1133</v>
      </c>
      <c r="K571" s="212"/>
      <c r="L571" s="445"/>
      <c r="M571" s="223"/>
      <c r="N571" s="943"/>
      <c r="O571" s="122"/>
      <c r="Z571"/>
      <c r="AX571"/>
      <c r="AY571"/>
      <c r="AZ571"/>
      <c r="BA571"/>
      <c r="CH571"/>
    </row>
    <row r="572" spans="4:86">
      <c r="D572" s="11" t="s">
        <v>1459</v>
      </c>
      <c r="E572" s="340" t="str">
        <f>+Auto_Spousal_Alt</f>
        <v>n</v>
      </c>
      <c r="F572" s="964" t="str">
        <f t="shared" si="57"/>
        <v/>
      </c>
      <c r="G572" s="445" t="s">
        <v>1133</v>
      </c>
      <c r="H572" s="445" t="s">
        <v>1133</v>
      </c>
      <c r="I572" s="445" t="s">
        <v>1133</v>
      </c>
      <c r="J572" s="445" t="s">
        <v>1133</v>
      </c>
      <c r="K572" s="212"/>
      <c r="L572" s="445"/>
      <c r="M572" s="223"/>
      <c r="N572" s="943"/>
      <c r="O572" s="122"/>
      <c r="Z572"/>
      <c r="AX572"/>
      <c r="AY572"/>
      <c r="AZ572"/>
      <c r="BA572"/>
      <c r="CH572"/>
    </row>
    <row r="573" spans="4:86">
      <c r="D573" s="11" t="s">
        <v>463</v>
      </c>
      <c r="E573" s="340">
        <f>+SS_Add_Alt</f>
        <v>5000</v>
      </c>
      <c r="F573" s="964" t="str">
        <f t="shared" si="57"/>
        <v/>
      </c>
      <c r="G573" s="445">
        <v>5000</v>
      </c>
      <c r="H573" s="445">
        <v>5000</v>
      </c>
      <c r="I573" s="445">
        <v>5000</v>
      </c>
      <c r="J573" s="445">
        <v>5000</v>
      </c>
      <c r="K573" s="212"/>
      <c r="L573" s="445"/>
      <c r="M573" s="223"/>
      <c r="N573" s="942"/>
      <c r="O573" s="943"/>
      <c r="Z573"/>
      <c r="AX573"/>
      <c r="AY573"/>
      <c r="AZ573"/>
      <c r="BA573"/>
      <c r="CH573"/>
    </row>
    <row r="574" spans="4:86">
      <c r="D574" s="11" t="s">
        <v>464</v>
      </c>
      <c r="E574" s="92">
        <f>+SS_Add_Start_Alt</f>
        <v>62</v>
      </c>
      <c r="F574" s="964" t="str">
        <f t="shared" si="57"/>
        <v/>
      </c>
      <c r="G574" s="210">
        <v>62</v>
      </c>
      <c r="H574" s="210">
        <v>62</v>
      </c>
      <c r="I574" s="210">
        <v>62</v>
      </c>
      <c r="J574" s="210">
        <v>62</v>
      </c>
      <c r="K574" s="212"/>
      <c r="L574" s="210"/>
      <c r="M574" s="210"/>
      <c r="N574" s="727"/>
      <c r="O574" s="135"/>
      <c r="Z574"/>
      <c r="AX574"/>
      <c r="AY574"/>
      <c r="AZ574"/>
      <c r="BA574"/>
      <c r="CH574"/>
    </row>
    <row r="575" spans="4:86">
      <c r="D575" s="11" t="s">
        <v>465</v>
      </c>
      <c r="E575" s="340">
        <f>+SS_Add_End_Alt</f>
        <v>69</v>
      </c>
      <c r="F575" s="964" t="str">
        <f t="shared" si="57"/>
        <v/>
      </c>
      <c r="G575" s="445">
        <v>69</v>
      </c>
      <c r="H575" s="445">
        <v>69</v>
      </c>
      <c r="I575" s="445">
        <v>69</v>
      </c>
      <c r="J575" s="445">
        <v>69</v>
      </c>
      <c r="K575" s="212"/>
      <c r="L575" s="445"/>
      <c r="M575" s="445"/>
      <c r="N575" s="943"/>
      <c r="O575" s="135"/>
      <c r="Z575"/>
      <c r="AX575"/>
      <c r="AY575"/>
      <c r="AZ575"/>
      <c r="BA575"/>
      <c r="CH575"/>
    </row>
    <row r="576" spans="4:86">
      <c r="D576" s="11" t="s">
        <v>466</v>
      </c>
      <c r="E576" s="340">
        <f>+SS_Add_Alt_Sp</f>
        <v>0</v>
      </c>
      <c r="F576" s="964" t="str">
        <f t="shared" si="57"/>
        <v/>
      </c>
      <c r="G576" s="445">
        <v>0</v>
      </c>
      <c r="H576" s="445">
        <v>0</v>
      </c>
      <c r="I576" s="445">
        <v>0</v>
      </c>
      <c r="J576" s="445">
        <v>0</v>
      </c>
      <c r="K576" s="212"/>
      <c r="L576" s="445"/>
      <c r="M576" s="445"/>
      <c r="N576" s="943"/>
      <c r="O576" s="135"/>
      <c r="Z576"/>
      <c r="AX576"/>
      <c r="AY576"/>
      <c r="AZ576"/>
      <c r="BA576"/>
      <c r="CH576"/>
    </row>
    <row r="577" spans="4:86">
      <c r="D577" s="11" t="s">
        <v>464</v>
      </c>
      <c r="E577" s="92">
        <f>+SS_Add_Start_Alt_Sp</f>
        <v>0</v>
      </c>
      <c r="F577" s="964" t="str">
        <f t="shared" si="57"/>
        <v/>
      </c>
      <c r="G577" s="445">
        <v>0</v>
      </c>
      <c r="H577" s="445">
        <v>0</v>
      </c>
      <c r="I577" s="445">
        <v>0</v>
      </c>
      <c r="J577" s="445">
        <v>0</v>
      </c>
      <c r="K577" s="212"/>
      <c r="L577" s="210"/>
      <c r="M577" s="445"/>
      <c r="N577" s="943"/>
      <c r="O577" s="135"/>
      <c r="Z577"/>
      <c r="AX577"/>
      <c r="AY577"/>
      <c r="AZ577"/>
      <c r="BA577"/>
      <c r="CH577"/>
    </row>
    <row r="578" spans="4:86">
      <c r="D578" s="11" t="s">
        <v>465</v>
      </c>
      <c r="E578" s="340">
        <f>+SS_Add_End_Alt_Sp</f>
        <v>0</v>
      </c>
      <c r="F578" s="964" t="str">
        <f t="shared" si="57"/>
        <v/>
      </c>
      <c r="G578" s="445">
        <v>0</v>
      </c>
      <c r="H578" s="210">
        <v>0</v>
      </c>
      <c r="I578" s="210">
        <v>0</v>
      </c>
      <c r="J578" s="210">
        <v>0</v>
      </c>
      <c r="K578" s="212"/>
      <c r="L578" s="445"/>
      <c r="M578" s="210"/>
      <c r="N578" s="727"/>
      <c r="O578" s="135"/>
      <c r="Z578"/>
      <c r="AX578"/>
      <c r="AY578"/>
      <c r="AZ578"/>
      <c r="BA578"/>
      <c r="CH578"/>
    </row>
    <row r="579" spans="4:86">
      <c r="D579" s="1461" t="s">
        <v>1933</v>
      </c>
      <c r="E579" s="44">
        <f>+SS_re_pc_alt</f>
        <v>0.23</v>
      </c>
      <c r="F579" s="964"/>
      <c r="G579" s="223">
        <v>0.23</v>
      </c>
      <c r="H579" s="223">
        <v>0.23</v>
      </c>
      <c r="I579" s="223">
        <v>0.23</v>
      </c>
      <c r="J579" s="223">
        <v>0.23</v>
      </c>
      <c r="K579" s="212"/>
      <c r="L579" s="445"/>
      <c r="M579" s="210"/>
      <c r="N579" s="727"/>
      <c r="O579" s="135"/>
      <c r="Z579"/>
      <c r="AX579"/>
      <c r="AY579"/>
      <c r="AZ579"/>
      <c r="BA579"/>
      <c r="CH579"/>
    </row>
    <row r="580" spans="4:86">
      <c r="D580" s="1461" t="s">
        <v>1932</v>
      </c>
      <c r="E580" s="8">
        <f>+SS_re_yr_alt</f>
        <v>2035</v>
      </c>
      <c r="F580" s="964"/>
      <c r="G580" s="444">
        <v>2035</v>
      </c>
      <c r="H580" s="444">
        <v>2035</v>
      </c>
      <c r="I580" s="444">
        <v>2035</v>
      </c>
      <c r="J580" s="444">
        <v>2035</v>
      </c>
      <c r="K580" s="212"/>
      <c r="L580" s="445"/>
      <c r="M580" s="210"/>
      <c r="N580" s="727"/>
      <c r="O580" s="135"/>
      <c r="Z580"/>
      <c r="AX580"/>
      <c r="AY580"/>
      <c r="AZ580"/>
      <c r="BA580"/>
      <c r="CH580"/>
    </row>
    <row r="581" spans="4:86" ht="17.399999999999999">
      <c r="D581" s="739" t="s">
        <v>209</v>
      </c>
      <c r="E581" s="44"/>
      <c r="F581" s="964" t="str">
        <f t="shared" si="57"/>
        <v/>
      </c>
      <c r="G581" s="223"/>
      <c r="H581" s="223"/>
      <c r="I581" s="223"/>
      <c r="J581" s="223"/>
      <c r="K581" s="212"/>
      <c r="L581" s="223"/>
      <c r="M581" s="223"/>
      <c r="N581" s="1"/>
      <c r="O581" s="122"/>
      <c r="Z581"/>
      <c r="AX581"/>
      <c r="AY581"/>
      <c r="AZ581"/>
      <c r="BA581"/>
      <c r="CH581"/>
    </row>
    <row r="582" spans="4:86">
      <c r="D582" s="303" t="s">
        <v>738</v>
      </c>
      <c r="E582" s="92">
        <f>+Living_Expenses</f>
        <v>70000</v>
      </c>
      <c r="F582" s="964" t="str">
        <f t="shared" si="57"/>
        <v/>
      </c>
      <c r="G582" s="210">
        <v>70000</v>
      </c>
      <c r="H582" s="210">
        <v>70000</v>
      </c>
      <c r="I582" s="210">
        <v>70000</v>
      </c>
      <c r="J582" s="210">
        <v>70000</v>
      </c>
      <c r="K582" s="212"/>
      <c r="L582" s="210"/>
      <c r="M582" s="210"/>
      <c r="N582" s="727"/>
      <c r="O582" s="135"/>
      <c r="Z582"/>
      <c r="AX582"/>
      <c r="AY582"/>
      <c r="AZ582"/>
      <c r="BA582"/>
      <c r="CH582"/>
    </row>
    <row r="583" spans="4:86">
      <c r="D583" s="11" t="s">
        <v>1569</v>
      </c>
      <c r="E583" s="44">
        <f>+Inflation</f>
        <v>0.02</v>
      </c>
      <c r="F583" s="964" t="str">
        <f t="shared" si="57"/>
        <v/>
      </c>
      <c r="G583" s="223">
        <v>0.02</v>
      </c>
      <c r="H583" s="223">
        <v>0.02</v>
      </c>
      <c r="I583" s="223">
        <v>0.02</v>
      </c>
      <c r="J583" s="223">
        <v>0.02</v>
      </c>
      <c r="K583" s="212"/>
      <c r="L583" s="223"/>
      <c r="M583" s="223"/>
      <c r="N583" s="944"/>
      <c r="O583" s="122"/>
      <c r="Z583"/>
      <c r="AX583"/>
      <c r="AY583"/>
      <c r="AZ583"/>
      <c r="BA583"/>
      <c r="CH583"/>
    </row>
    <row r="584" spans="4:86">
      <c r="D584" s="11" t="s">
        <v>1419</v>
      </c>
      <c r="E584" s="92">
        <f>+Expense_Chg_Year</f>
        <v>80</v>
      </c>
      <c r="F584" s="964" t="str">
        <f t="shared" si="57"/>
        <v/>
      </c>
      <c r="G584" s="210">
        <v>80</v>
      </c>
      <c r="H584" s="210">
        <v>80</v>
      </c>
      <c r="I584" s="210">
        <v>80</v>
      </c>
      <c r="J584" s="210">
        <v>80</v>
      </c>
      <c r="K584" s="212"/>
      <c r="L584" s="210"/>
      <c r="M584" s="210"/>
      <c r="N584" s="727"/>
      <c r="O584" s="135"/>
      <c r="Z584"/>
      <c r="AX584"/>
      <c r="AY584"/>
      <c r="AZ584"/>
      <c r="BA584"/>
      <c r="CH584"/>
    </row>
    <row r="585" spans="4:86">
      <c r="D585" s="11" t="s">
        <v>1256</v>
      </c>
      <c r="E585" s="44">
        <f>+Expense_Change</f>
        <v>0.2</v>
      </c>
      <c r="F585" s="964" t="str">
        <f t="shared" si="57"/>
        <v/>
      </c>
      <c r="G585" s="223">
        <v>0.2</v>
      </c>
      <c r="H585" s="223">
        <v>0.2</v>
      </c>
      <c r="I585" s="223">
        <v>0.2</v>
      </c>
      <c r="J585" s="223">
        <v>0.2</v>
      </c>
      <c r="K585" s="212"/>
      <c r="L585" s="223"/>
      <c r="M585" s="223"/>
      <c r="N585" s="944"/>
      <c r="O585" s="122"/>
      <c r="Z585"/>
      <c r="AX585"/>
      <c r="AY585"/>
      <c r="AZ585"/>
      <c r="BA585"/>
      <c r="CH585"/>
    </row>
    <row r="586" spans="4:86">
      <c r="D586" s="1461" t="s">
        <v>1888</v>
      </c>
      <c r="E586" s="92">
        <f>+Medicare_B</f>
        <v>136</v>
      </c>
      <c r="F586" s="964"/>
      <c r="G586" s="210">
        <v>136</v>
      </c>
      <c r="H586" s="210">
        <v>136</v>
      </c>
      <c r="I586" s="210">
        <v>136</v>
      </c>
      <c r="J586" s="210">
        <v>134</v>
      </c>
      <c r="K586" s="212"/>
      <c r="L586" s="223"/>
      <c r="M586" s="223"/>
      <c r="N586" s="944"/>
      <c r="O586" s="122"/>
      <c r="Z586"/>
      <c r="AX586"/>
      <c r="AY586"/>
      <c r="AZ586"/>
      <c r="BA586"/>
      <c r="CH586"/>
    </row>
    <row r="587" spans="4:86">
      <c r="D587" s="1461" t="s">
        <v>1889</v>
      </c>
      <c r="E587" s="92">
        <f>+Medicare_D</f>
        <v>41</v>
      </c>
      <c r="F587" s="964"/>
      <c r="G587" s="210">
        <v>41</v>
      </c>
      <c r="H587" s="210">
        <v>41</v>
      </c>
      <c r="I587" s="210">
        <v>41</v>
      </c>
      <c r="J587" s="210">
        <v>34</v>
      </c>
      <c r="K587" s="212"/>
      <c r="L587" s="223"/>
      <c r="M587" s="223"/>
      <c r="N587" s="944"/>
      <c r="O587" s="122"/>
      <c r="Z587"/>
      <c r="AX587"/>
      <c r="AY587"/>
      <c r="AZ587"/>
      <c r="BA587"/>
      <c r="CH587"/>
    </row>
    <row r="588" spans="4:86" ht="17.399999999999999">
      <c r="D588" s="739" t="s">
        <v>1834</v>
      </c>
      <c r="E588" s="44"/>
      <c r="F588" s="964" t="str">
        <f t="shared" si="57"/>
        <v/>
      </c>
      <c r="G588" s="223"/>
      <c r="H588" s="223"/>
      <c r="I588" s="223"/>
      <c r="J588" s="223"/>
      <c r="K588" s="212"/>
      <c r="L588" s="223"/>
      <c r="M588" s="223"/>
      <c r="N588" s="944"/>
      <c r="O588" s="122"/>
      <c r="Z588"/>
      <c r="AX588"/>
      <c r="AY588"/>
      <c r="AZ588"/>
      <c r="BA588"/>
      <c r="CH588"/>
    </row>
    <row r="589" spans="4:86" ht="15.6">
      <c r="D589" s="265" t="s">
        <v>1535</v>
      </c>
      <c r="E589" s="44"/>
      <c r="F589" s="964" t="str">
        <f t="shared" si="57"/>
        <v/>
      </c>
      <c r="G589" s="223"/>
      <c r="H589" s="223"/>
      <c r="I589" s="223"/>
      <c r="J589" s="223"/>
      <c r="K589" s="212"/>
      <c r="L589" s="223"/>
      <c r="M589" s="223"/>
      <c r="N589" s="944"/>
      <c r="O589" s="122"/>
      <c r="Z589"/>
      <c r="AX589"/>
      <c r="AY589"/>
      <c r="AZ589"/>
      <c r="BA589"/>
      <c r="CH589"/>
    </row>
    <row r="590" spans="4:86">
      <c r="D590" s="1454" t="s">
        <v>1833</v>
      </c>
      <c r="E590" s="92">
        <f>+tIRA1_Add</f>
        <v>0</v>
      </c>
      <c r="F590" s="964" t="str">
        <f t="shared" si="57"/>
        <v/>
      </c>
      <c r="G590" s="223">
        <v>0</v>
      </c>
      <c r="H590" s="223">
        <v>0</v>
      </c>
      <c r="I590" s="223">
        <v>0</v>
      </c>
      <c r="J590" s="223">
        <v>0</v>
      </c>
      <c r="K590" s="212"/>
      <c r="L590" s="223"/>
      <c r="M590" s="223"/>
      <c r="N590" s="944"/>
      <c r="O590" s="122"/>
      <c r="Z590"/>
      <c r="AX590"/>
      <c r="AY590"/>
      <c r="AZ590"/>
      <c r="BA590"/>
      <c r="CH590"/>
    </row>
    <row r="591" spans="4:86">
      <c r="D591" s="18" t="s">
        <v>587</v>
      </c>
      <c r="E591" s="44">
        <f>+tIRA1_Esc</f>
        <v>0</v>
      </c>
      <c r="F591" s="964" t="str">
        <f t="shared" si="57"/>
        <v/>
      </c>
      <c r="G591" s="223">
        <v>0</v>
      </c>
      <c r="H591" s="223">
        <v>0</v>
      </c>
      <c r="I591" s="223">
        <v>0</v>
      </c>
      <c r="J591" s="223">
        <v>0</v>
      </c>
      <c r="K591" s="212"/>
      <c r="L591" s="223"/>
      <c r="M591" s="223"/>
      <c r="N591" s="944"/>
      <c r="O591" s="122"/>
      <c r="Z591"/>
      <c r="AX591"/>
      <c r="AY591"/>
      <c r="AZ591"/>
      <c r="BA591"/>
      <c r="CH591"/>
    </row>
    <row r="592" spans="4:86">
      <c r="D592" s="18" t="s">
        <v>362</v>
      </c>
      <c r="E592" s="92">
        <f>+tIRA1_Start</f>
        <v>0</v>
      </c>
      <c r="F592" s="964" t="str">
        <f t="shared" si="57"/>
        <v/>
      </c>
      <c r="G592" s="223">
        <v>0</v>
      </c>
      <c r="H592" s="223">
        <v>0</v>
      </c>
      <c r="I592" s="223">
        <v>0</v>
      </c>
      <c r="J592" s="223">
        <v>0</v>
      </c>
      <c r="K592" s="212"/>
      <c r="L592" s="223"/>
      <c r="M592" s="223"/>
      <c r="N592" s="944"/>
      <c r="O592" s="122"/>
      <c r="Z592"/>
      <c r="AX592"/>
      <c r="AY592"/>
      <c r="AZ592"/>
      <c r="BA592"/>
      <c r="CH592"/>
    </row>
    <row r="593" spans="4:86">
      <c r="D593" s="18" t="s">
        <v>363</v>
      </c>
      <c r="E593" s="92">
        <f>+tIRA1_End</f>
        <v>0</v>
      </c>
      <c r="F593" s="964" t="str">
        <f t="shared" si="57"/>
        <v/>
      </c>
      <c r="G593" s="223">
        <v>0</v>
      </c>
      <c r="H593" s="223">
        <v>0</v>
      </c>
      <c r="I593" s="223">
        <v>0</v>
      </c>
      <c r="J593" s="223">
        <v>0</v>
      </c>
      <c r="K593" s="212"/>
      <c r="L593" s="223"/>
      <c r="M593" s="223"/>
      <c r="N593" s="944"/>
      <c r="O593" s="122"/>
      <c r="Z593"/>
      <c r="AX593"/>
      <c r="AY593"/>
      <c r="AZ593"/>
      <c r="BA593"/>
      <c r="CH593"/>
    </row>
    <row r="594" spans="4:86">
      <c r="D594" s="18" t="s">
        <v>651</v>
      </c>
      <c r="E594" s="92">
        <f>+tIRA_Withdr_Compare1</f>
        <v>40000</v>
      </c>
      <c r="F594" s="964" t="str">
        <f t="shared" si="57"/>
        <v/>
      </c>
      <c r="G594" s="210">
        <v>40000</v>
      </c>
      <c r="H594" s="210">
        <v>40000</v>
      </c>
      <c r="I594" s="210">
        <v>40000</v>
      </c>
      <c r="J594" s="210">
        <v>40000</v>
      </c>
      <c r="K594" s="212"/>
      <c r="L594" s="210"/>
      <c r="M594" s="210"/>
      <c r="N594" s="727"/>
      <c r="O594" s="135"/>
      <c r="Z594"/>
      <c r="AX594"/>
      <c r="AY594"/>
      <c r="AZ594"/>
      <c r="BA594"/>
      <c r="CH594"/>
    </row>
    <row r="595" spans="4:86">
      <c r="D595" s="18" t="s">
        <v>587</v>
      </c>
      <c r="E595" s="44">
        <f>+Esc_Compare1</f>
        <v>0.03</v>
      </c>
      <c r="F595" s="964" t="str">
        <f t="shared" si="57"/>
        <v/>
      </c>
      <c r="G595" s="223">
        <v>0.03</v>
      </c>
      <c r="H595" s="223">
        <v>0.03</v>
      </c>
      <c r="I595" s="223">
        <v>0.03</v>
      </c>
      <c r="J595" s="223">
        <v>0.03</v>
      </c>
      <c r="K595" s="212"/>
      <c r="L595" s="223"/>
      <c r="M595" s="223"/>
      <c r="N595" s="944"/>
      <c r="O595" s="122"/>
      <c r="Z595"/>
      <c r="AX595"/>
      <c r="AY595"/>
      <c r="AZ595"/>
      <c r="BA595"/>
      <c r="CH595"/>
    </row>
    <row r="596" spans="4:86">
      <c r="D596" s="18" t="s">
        <v>362</v>
      </c>
      <c r="E596" s="92">
        <f>+Start_Compare1</f>
        <v>62</v>
      </c>
      <c r="F596" s="964" t="str">
        <f t="shared" si="57"/>
        <v/>
      </c>
      <c r="G596" s="210">
        <v>62</v>
      </c>
      <c r="H596" s="210">
        <v>62</v>
      </c>
      <c r="I596" s="210">
        <v>62</v>
      </c>
      <c r="J596" s="210">
        <v>62</v>
      </c>
      <c r="K596" s="212"/>
      <c r="L596" s="210"/>
      <c r="M596" s="210"/>
      <c r="N596" s="727"/>
      <c r="O596" s="135"/>
      <c r="Z596"/>
      <c r="AX596"/>
      <c r="AY596"/>
      <c r="AZ596"/>
      <c r="BA596"/>
      <c r="CH596"/>
    </row>
    <row r="597" spans="4:86">
      <c r="D597" s="18" t="s">
        <v>363</v>
      </c>
      <c r="E597" s="92">
        <f>+End_Compare1</f>
        <v>69</v>
      </c>
      <c r="F597" s="964" t="str">
        <f t="shared" si="57"/>
        <v/>
      </c>
      <c r="G597" s="210">
        <v>69</v>
      </c>
      <c r="H597" s="210">
        <v>69</v>
      </c>
      <c r="I597" s="210">
        <v>69</v>
      </c>
      <c r="J597" s="210">
        <v>69</v>
      </c>
      <c r="K597" s="212"/>
      <c r="L597" s="210"/>
      <c r="M597" s="210"/>
      <c r="N597" s="727"/>
      <c r="O597" s="135"/>
      <c r="Z597"/>
      <c r="AX597"/>
      <c r="AY597"/>
      <c r="AZ597"/>
      <c r="BA597"/>
      <c r="CH597"/>
    </row>
    <row r="598" spans="4:86">
      <c r="D598" s="18" t="s">
        <v>1749</v>
      </c>
      <c r="E598" s="1213">
        <f>+tIRA_Withdr_Base1</f>
        <v>0</v>
      </c>
      <c r="F598" s="964" t="str">
        <f t="shared" si="57"/>
        <v/>
      </c>
      <c r="G598" s="210">
        <v>0</v>
      </c>
      <c r="H598" s="210">
        <v>0</v>
      </c>
      <c r="I598" s="210">
        <v>0</v>
      </c>
      <c r="J598" s="210">
        <v>0</v>
      </c>
      <c r="K598" s="212"/>
      <c r="L598" s="1348"/>
      <c r="M598" s="210"/>
      <c r="N598" s="727"/>
      <c r="O598" s="135"/>
      <c r="Z598"/>
      <c r="AX598"/>
      <c r="AY598"/>
      <c r="AZ598"/>
      <c r="BA598"/>
      <c r="CH598"/>
    </row>
    <row r="599" spans="4:86">
      <c r="D599" s="18" t="s">
        <v>587</v>
      </c>
      <c r="E599" s="44">
        <f>+Esc_Base1</f>
        <v>0.03</v>
      </c>
      <c r="F599" s="964" t="str">
        <f t="shared" si="57"/>
        <v/>
      </c>
      <c r="G599" s="223">
        <v>0.03</v>
      </c>
      <c r="H599" s="223">
        <v>0.03</v>
      </c>
      <c r="I599" s="223">
        <v>0.03</v>
      </c>
      <c r="J599" s="223">
        <v>0.03</v>
      </c>
      <c r="K599" s="212"/>
      <c r="L599" s="223"/>
      <c r="M599" s="223"/>
      <c r="N599" s="944"/>
      <c r="O599" s="122"/>
      <c r="Z599"/>
      <c r="AX599"/>
      <c r="AY599"/>
      <c r="AZ599"/>
      <c r="BA599"/>
      <c r="CH599"/>
    </row>
    <row r="600" spans="4:86">
      <c r="D600" s="18" t="s">
        <v>362</v>
      </c>
      <c r="E600" s="92">
        <f>+Start_Base1</f>
        <v>62</v>
      </c>
      <c r="F600" s="964" t="str">
        <f t="shared" si="57"/>
        <v/>
      </c>
      <c r="G600" s="210">
        <v>62</v>
      </c>
      <c r="H600" s="210">
        <v>62</v>
      </c>
      <c r="I600" s="210">
        <v>62</v>
      </c>
      <c r="J600" s="210">
        <v>62</v>
      </c>
      <c r="K600" s="212"/>
      <c r="L600" s="210"/>
      <c r="M600" s="210"/>
      <c r="N600" s="727"/>
      <c r="O600" s="135"/>
      <c r="Z600"/>
      <c r="AX600"/>
      <c r="AY600"/>
      <c r="AZ600"/>
      <c r="BA600"/>
      <c r="CH600"/>
    </row>
    <row r="601" spans="4:86">
      <c r="D601" s="18" t="s">
        <v>363</v>
      </c>
      <c r="E601" s="92">
        <f>+End_Base1</f>
        <v>69</v>
      </c>
      <c r="F601" s="964" t="str">
        <f t="shared" si="57"/>
        <v/>
      </c>
      <c r="G601" s="210">
        <v>69</v>
      </c>
      <c r="H601" s="210">
        <v>69</v>
      </c>
      <c r="I601" s="210">
        <v>69</v>
      </c>
      <c r="J601" s="210">
        <v>69</v>
      </c>
      <c r="K601" s="212"/>
      <c r="L601" s="210"/>
      <c r="M601" s="210"/>
      <c r="N601" s="727"/>
      <c r="O601" s="135"/>
      <c r="Z601"/>
      <c r="AX601"/>
      <c r="AY601"/>
      <c r="AZ601"/>
      <c r="BA601"/>
      <c r="CH601"/>
    </row>
    <row r="602" spans="4:86">
      <c r="D602" s="18" t="s">
        <v>1747</v>
      </c>
      <c r="E602" s="92">
        <f>+tIRA_Withdr_Compare2</f>
        <v>10000</v>
      </c>
      <c r="F602" s="964" t="str">
        <f t="shared" si="57"/>
        <v/>
      </c>
      <c r="G602" s="210">
        <v>10000</v>
      </c>
      <c r="H602" s="210">
        <v>10000</v>
      </c>
      <c r="I602" s="210">
        <v>10000</v>
      </c>
      <c r="J602" s="210">
        <v>10000</v>
      </c>
      <c r="K602" s="212"/>
      <c r="L602" s="210"/>
      <c r="M602" s="210"/>
      <c r="N602" s="727"/>
      <c r="O602" s="135"/>
      <c r="Z602"/>
      <c r="AX602"/>
      <c r="AY602"/>
      <c r="AZ602"/>
      <c r="BA602"/>
      <c r="CH602"/>
    </row>
    <row r="603" spans="4:86">
      <c r="D603" s="18" t="s">
        <v>587</v>
      </c>
      <c r="E603" s="44">
        <f>+Esc_Compare2</f>
        <v>-0.1</v>
      </c>
      <c r="F603" s="964" t="str">
        <f t="shared" si="57"/>
        <v/>
      </c>
      <c r="G603" s="223">
        <v>-0.1</v>
      </c>
      <c r="H603" s="223">
        <v>-0.1</v>
      </c>
      <c r="I603" s="223">
        <v>-0.1</v>
      </c>
      <c r="J603" s="223">
        <v>-0.1</v>
      </c>
      <c r="K603" s="212"/>
      <c r="L603" s="223"/>
      <c r="M603" s="223"/>
      <c r="N603" s="944"/>
      <c r="O603" s="122"/>
      <c r="Z603"/>
      <c r="AX603"/>
      <c r="AY603"/>
      <c r="AZ603"/>
      <c r="BA603"/>
      <c r="CH603"/>
    </row>
    <row r="604" spans="4:86">
      <c r="D604" s="18" t="s">
        <v>362</v>
      </c>
      <c r="E604" s="92">
        <f>+Start_Compare2</f>
        <v>70</v>
      </c>
      <c r="F604" s="964" t="str">
        <f t="shared" si="57"/>
        <v/>
      </c>
      <c r="G604" s="210">
        <v>70</v>
      </c>
      <c r="H604" s="210">
        <v>70</v>
      </c>
      <c r="I604" s="210">
        <v>70</v>
      </c>
      <c r="J604" s="210">
        <v>70</v>
      </c>
      <c r="K604" s="212"/>
      <c r="L604" s="210"/>
      <c r="M604" s="210"/>
      <c r="N604" s="727"/>
      <c r="O604" s="135"/>
      <c r="Z604"/>
      <c r="AX604"/>
      <c r="AY604"/>
      <c r="AZ604"/>
      <c r="BA604"/>
      <c r="CH604"/>
    </row>
    <row r="605" spans="4:86">
      <c r="D605" s="18" t="s">
        <v>363</v>
      </c>
      <c r="E605" s="92">
        <f>+End_Compare2</f>
        <v>75</v>
      </c>
      <c r="F605" s="964" t="str">
        <f t="shared" si="57"/>
        <v/>
      </c>
      <c r="G605" s="210">
        <v>75</v>
      </c>
      <c r="H605" s="210">
        <v>75</v>
      </c>
      <c r="I605" s="210">
        <v>75</v>
      </c>
      <c r="J605" s="210">
        <v>75</v>
      </c>
      <c r="K605" s="212"/>
      <c r="L605" s="210"/>
      <c r="M605" s="210"/>
      <c r="N605" s="727"/>
      <c r="O605" s="135"/>
      <c r="Z605"/>
      <c r="AX605"/>
      <c r="AY605"/>
      <c r="AZ605"/>
      <c r="BA605"/>
      <c r="CH605"/>
    </row>
    <row r="606" spans="4:86">
      <c r="D606" s="18" t="s">
        <v>1748</v>
      </c>
      <c r="E606" s="1213">
        <f>+tIRA_Withdr_Base2</f>
        <v>0</v>
      </c>
      <c r="F606" s="964" t="str">
        <f t="shared" si="57"/>
        <v/>
      </c>
      <c r="G606" s="210">
        <v>0</v>
      </c>
      <c r="H606" s="210">
        <v>0</v>
      </c>
      <c r="I606" s="210">
        <v>0</v>
      </c>
      <c r="J606" s="210">
        <v>0</v>
      </c>
      <c r="K606" s="212"/>
      <c r="L606" s="1348"/>
      <c r="M606" s="210"/>
      <c r="N606" s="727"/>
      <c r="O606" s="135"/>
      <c r="Z606"/>
      <c r="AX606"/>
      <c r="AY606"/>
      <c r="AZ606"/>
      <c r="BA606"/>
      <c r="CH606"/>
    </row>
    <row r="607" spans="4:86">
      <c r="D607" s="18" t="s">
        <v>587</v>
      </c>
      <c r="E607" s="44">
        <f>+Esc_Base2</f>
        <v>-0.1</v>
      </c>
      <c r="F607" s="964" t="str">
        <f t="shared" ref="F607:F682" si="58">IF(E607&lt;&gt;G607,"&lt;#&gt;","")</f>
        <v/>
      </c>
      <c r="G607" s="223">
        <v>-0.1</v>
      </c>
      <c r="H607" s="223">
        <v>-0.1</v>
      </c>
      <c r="I607" s="223">
        <v>-0.1</v>
      </c>
      <c r="J607" s="223">
        <v>-0.1</v>
      </c>
      <c r="K607" s="212"/>
      <c r="L607" s="223"/>
      <c r="M607" s="223"/>
      <c r="N607" s="944"/>
      <c r="O607" s="122"/>
      <c r="Z607"/>
      <c r="AX607"/>
      <c r="AY607"/>
      <c r="AZ607"/>
      <c r="BA607"/>
      <c r="CH607"/>
    </row>
    <row r="608" spans="4:86">
      <c r="D608" s="18" t="s">
        <v>362</v>
      </c>
      <c r="E608" s="92">
        <f>+Start_Base2</f>
        <v>70</v>
      </c>
      <c r="F608" s="964" t="str">
        <f t="shared" si="58"/>
        <v/>
      </c>
      <c r="G608" s="210">
        <v>70</v>
      </c>
      <c r="H608" s="210">
        <v>70</v>
      </c>
      <c r="I608" s="210">
        <v>70</v>
      </c>
      <c r="J608" s="210">
        <v>70</v>
      </c>
      <c r="K608" s="212"/>
      <c r="L608" s="210"/>
      <c r="M608" s="210"/>
      <c r="N608" s="727"/>
      <c r="O608" s="135"/>
      <c r="Z608"/>
      <c r="AX608"/>
      <c r="AY608"/>
      <c r="AZ608"/>
      <c r="BA608"/>
      <c r="CH608"/>
    </row>
    <row r="609" spans="4:86">
      <c r="D609" s="18" t="s">
        <v>363</v>
      </c>
      <c r="E609" s="92">
        <f>+End_Base2</f>
        <v>75</v>
      </c>
      <c r="F609" s="964" t="str">
        <f t="shared" si="58"/>
        <v/>
      </c>
      <c r="G609" s="210">
        <v>75</v>
      </c>
      <c r="H609" s="210">
        <v>75</v>
      </c>
      <c r="I609" s="210">
        <v>75</v>
      </c>
      <c r="J609" s="210">
        <v>75</v>
      </c>
      <c r="K609" s="212"/>
      <c r="L609" s="210"/>
      <c r="M609" s="210"/>
      <c r="N609" s="727"/>
      <c r="O609" s="135"/>
      <c r="Z609"/>
      <c r="AX609"/>
      <c r="AY609"/>
      <c r="AZ609"/>
      <c r="BA609"/>
      <c r="CH609"/>
    </row>
    <row r="610" spans="4:86" ht="15.6">
      <c r="D610" s="265" t="s">
        <v>1536</v>
      </c>
      <c r="E610" s="92"/>
      <c r="F610" s="964" t="str">
        <f t="shared" si="58"/>
        <v/>
      </c>
      <c r="G610" s="210"/>
      <c r="H610" s="210"/>
      <c r="I610" s="210"/>
      <c r="J610" s="210"/>
      <c r="K610" s="212"/>
      <c r="L610" s="210"/>
      <c r="M610" s="210"/>
      <c r="N610" s="727"/>
      <c r="O610" s="135"/>
      <c r="Z610"/>
      <c r="AX610"/>
      <c r="AY610"/>
      <c r="AZ610"/>
      <c r="BA610"/>
      <c r="CH610"/>
    </row>
    <row r="611" spans="4:86">
      <c r="D611" s="1454" t="s">
        <v>1833</v>
      </c>
      <c r="E611" s="92">
        <f>+tIRA2_Add</f>
        <v>6500</v>
      </c>
      <c r="F611" s="964" t="str">
        <f t="shared" si="58"/>
        <v/>
      </c>
      <c r="G611" s="210">
        <v>6500</v>
      </c>
      <c r="H611" s="210">
        <v>6500</v>
      </c>
      <c r="I611" s="210">
        <v>6500</v>
      </c>
      <c r="J611" s="210">
        <v>6500</v>
      </c>
      <c r="K611" s="212"/>
      <c r="L611" s="210"/>
      <c r="M611" s="210"/>
      <c r="N611" s="727"/>
      <c r="O611" s="135"/>
      <c r="Z611"/>
      <c r="AX611"/>
      <c r="AY611"/>
      <c r="AZ611"/>
      <c r="BA611"/>
      <c r="CH611"/>
    </row>
    <row r="612" spans="4:86">
      <c r="D612" s="18" t="s">
        <v>587</v>
      </c>
      <c r="E612" s="44">
        <f>+tIRA2_Esc</f>
        <v>0</v>
      </c>
      <c r="F612" s="964" t="str">
        <f t="shared" si="58"/>
        <v/>
      </c>
      <c r="G612" s="210">
        <v>0</v>
      </c>
      <c r="H612" s="210">
        <v>0</v>
      </c>
      <c r="I612" s="210">
        <v>0</v>
      </c>
      <c r="J612" s="210">
        <v>0</v>
      </c>
      <c r="K612" s="212"/>
      <c r="L612" s="210"/>
      <c r="M612" s="210"/>
      <c r="N612" s="727"/>
      <c r="O612" s="135"/>
      <c r="Z612"/>
      <c r="AX612"/>
      <c r="AY612"/>
      <c r="AZ612"/>
      <c r="BA612"/>
      <c r="CH612"/>
    </row>
    <row r="613" spans="4:86">
      <c r="D613" s="18" t="s">
        <v>362</v>
      </c>
      <c r="E613" s="92">
        <f>+tIRA2_Start</f>
        <v>62</v>
      </c>
      <c r="F613" s="964" t="str">
        <f t="shared" si="58"/>
        <v/>
      </c>
      <c r="G613" s="210">
        <v>62</v>
      </c>
      <c r="H613" s="210">
        <v>62</v>
      </c>
      <c r="I613" s="210">
        <v>62</v>
      </c>
      <c r="J613" s="210">
        <v>62</v>
      </c>
      <c r="K613" s="212"/>
      <c r="L613" s="210"/>
      <c r="M613" s="210"/>
      <c r="N613" s="727"/>
      <c r="O613" s="135"/>
      <c r="Z613"/>
      <c r="AX613"/>
      <c r="AY613"/>
      <c r="AZ613"/>
      <c r="BA613"/>
      <c r="CH613"/>
    </row>
    <row r="614" spans="4:86">
      <c r="D614" s="18" t="s">
        <v>363</v>
      </c>
      <c r="E614" s="92">
        <f>+tIRA2_End</f>
        <v>70</v>
      </c>
      <c r="F614" s="964" t="str">
        <f t="shared" si="58"/>
        <v/>
      </c>
      <c r="G614" s="210">
        <v>70</v>
      </c>
      <c r="H614" s="210">
        <v>70</v>
      </c>
      <c r="I614" s="210">
        <v>70</v>
      </c>
      <c r="J614" s="210">
        <v>70</v>
      </c>
      <c r="K614" s="212"/>
      <c r="L614" s="210"/>
      <c r="M614" s="210"/>
      <c r="N614" s="727"/>
      <c r="O614" s="135"/>
      <c r="Z614"/>
      <c r="AX614"/>
      <c r="AY614"/>
      <c r="AZ614"/>
      <c r="BA614"/>
      <c r="CH614"/>
    </row>
    <row r="615" spans="4:86">
      <c r="D615" s="18" t="s">
        <v>1750</v>
      </c>
      <c r="E615" s="92">
        <f>+tIRA_Withdr_Compare3</f>
        <v>0</v>
      </c>
      <c r="F615" s="964" t="str">
        <f t="shared" si="58"/>
        <v/>
      </c>
      <c r="G615" s="210">
        <v>0</v>
      </c>
      <c r="H615" s="210">
        <v>0</v>
      </c>
      <c r="I615" s="210">
        <v>0</v>
      </c>
      <c r="J615" s="210">
        <v>0</v>
      </c>
      <c r="K615" s="212"/>
      <c r="L615" s="210"/>
      <c r="M615" s="210"/>
      <c r="N615" s="727"/>
      <c r="O615" s="135"/>
      <c r="Z615"/>
      <c r="AX615"/>
      <c r="AY615"/>
      <c r="AZ615"/>
      <c r="BA615"/>
      <c r="CH615"/>
    </row>
    <row r="616" spans="4:86">
      <c r="D616" s="18" t="s">
        <v>587</v>
      </c>
      <c r="E616" s="44">
        <f>+Esc_Compare3</f>
        <v>0</v>
      </c>
      <c r="F616" s="964" t="str">
        <f t="shared" si="58"/>
        <v/>
      </c>
      <c r="G616" s="223">
        <v>0</v>
      </c>
      <c r="H616" s="223">
        <v>0</v>
      </c>
      <c r="I616" s="223">
        <v>0</v>
      </c>
      <c r="J616" s="223">
        <v>0</v>
      </c>
      <c r="K616" s="212"/>
      <c r="L616" s="223"/>
      <c r="M616" s="223"/>
      <c r="N616" s="944"/>
      <c r="O616" s="122"/>
      <c r="Z616"/>
      <c r="AX616"/>
      <c r="AY616"/>
      <c r="AZ616"/>
      <c r="BA616"/>
      <c r="CH616"/>
    </row>
    <row r="617" spans="4:86">
      <c r="D617" s="18" t="s">
        <v>362</v>
      </c>
      <c r="E617" s="92">
        <f>+Start_Compare3</f>
        <v>0</v>
      </c>
      <c r="F617" s="964" t="str">
        <f t="shared" si="58"/>
        <v/>
      </c>
      <c r="G617" s="210">
        <v>0</v>
      </c>
      <c r="H617" s="210">
        <v>0</v>
      </c>
      <c r="I617" s="210">
        <v>0</v>
      </c>
      <c r="J617" s="210">
        <v>0</v>
      </c>
      <c r="K617" s="212"/>
      <c r="L617" s="210"/>
      <c r="M617" s="210"/>
      <c r="N617" s="727"/>
      <c r="O617" s="135"/>
      <c r="Z617"/>
      <c r="AX617"/>
      <c r="AY617"/>
      <c r="AZ617"/>
      <c r="BA617"/>
      <c r="CH617"/>
    </row>
    <row r="618" spans="4:86">
      <c r="D618" s="18" t="s">
        <v>363</v>
      </c>
      <c r="E618" s="92">
        <f>+End_Compare3</f>
        <v>0</v>
      </c>
      <c r="F618" s="964" t="str">
        <f t="shared" si="58"/>
        <v/>
      </c>
      <c r="G618" s="210">
        <v>0</v>
      </c>
      <c r="H618" s="210">
        <v>0</v>
      </c>
      <c r="I618" s="210">
        <v>0</v>
      </c>
      <c r="J618" s="210">
        <v>0</v>
      </c>
      <c r="K618" s="212"/>
      <c r="L618" s="210"/>
      <c r="M618" s="210"/>
      <c r="N618" s="727"/>
      <c r="O618" s="135"/>
      <c r="Z618"/>
      <c r="AX618"/>
      <c r="AY618"/>
      <c r="AZ618"/>
      <c r="BA618"/>
      <c r="CH618"/>
    </row>
    <row r="619" spans="4:86">
      <c r="D619" s="18" t="s">
        <v>1751</v>
      </c>
      <c r="E619" s="1213">
        <f>+tIRA_Withdr_Base3</f>
        <v>0</v>
      </c>
      <c r="F619" s="964" t="str">
        <f t="shared" si="58"/>
        <v/>
      </c>
      <c r="G619" s="210">
        <v>0</v>
      </c>
      <c r="H619" s="210">
        <v>0</v>
      </c>
      <c r="I619" s="210">
        <v>0</v>
      </c>
      <c r="J619" s="210">
        <v>0</v>
      </c>
      <c r="K619" s="212"/>
      <c r="L619" s="1348"/>
      <c r="M619" s="210"/>
      <c r="N619" s="727"/>
      <c r="O619" s="135"/>
      <c r="Z619"/>
      <c r="AX619"/>
      <c r="AY619"/>
      <c r="AZ619"/>
      <c r="BA619"/>
      <c r="CH619"/>
    </row>
    <row r="620" spans="4:86">
      <c r="D620" s="18" t="s">
        <v>587</v>
      </c>
      <c r="E620" s="44">
        <f>+Esc_Base3</f>
        <v>0</v>
      </c>
      <c r="F620" s="964" t="str">
        <f t="shared" si="58"/>
        <v/>
      </c>
      <c r="G620" s="223">
        <v>0</v>
      </c>
      <c r="H620" s="223">
        <v>0</v>
      </c>
      <c r="I620" s="223">
        <v>0</v>
      </c>
      <c r="J620" s="223">
        <v>0</v>
      </c>
      <c r="K620" s="212"/>
      <c r="L620" s="223"/>
      <c r="M620" s="223"/>
      <c r="N620" s="944"/>
      <c r="O620" s="122"/>
      <c r="Z620"/>
      <c r="AX620"/>
      <c r="AY620"/>
      <c r="AZ620"/>
      <c r="BA620"/>
      <c r="CH620"/>
    </row>
    <row r="621" spans="4:86">
      <c r="D621" s="18" t="s">
        <v>362</v>
      </c>
      <c r="E621" s="92">
        <f>+Start_Base3</f>
        <v>0</v>
      </c>
      <c r="F621" s="964" t="str">
        <f t="shared" si="58"/>
        <v/>
      </c>
      <c r="G621" s="210">
        <v>0</v>
      </c>
      <c r="H621" s="210">
        <v>0</v>
      </c>
      <c r="I621" s="210">
        <v>0</v>
      </c>
      <c r="J621" s="210">
        <v>0</v>
      </c>
      <c r="K621" s="212"/>
      <c r="L621" s="210"/>
      <c r="M621" s="210"/>
      <c r="N621" s="727"/>
      <c r="O621" s="135"/>
      <c r="Z621"/>
      <c r="AX621"/>
      <c r="AY621"/>
      <c r="AZ621"/>
      <c r="BA621"/>
      <c r="CH621"/>
    </row>
    <row r="622" spans="4:86">
      <c r="D622" s="18" t="s">
        <v>363</v>
      </c>
      <c r="E622" s="92">
        <f>+End_Base3</f>
        <v>0</v>
      </c>
      <c r="F622" s="964" t="str">
        <f t="shared" si="58"/>
        <v/>
      </c>
      <c r="G622" s="210">
        <v>0</v>
      </c>
      <c r="H622" s="210">
        <v>0</v>
      </c>
      <c r="I622" s="210">
        <v>0</v>
      </c>
      <c r="J622" s="210">
        <v>0</v>
      </c>
      <c r="K622" s="212"/>
      <c r="L622" s="210"/>
      <c r="M622" s="210"/>
      <c r="N622" s="727"/>
      <c r="O622" s="135"/>
      <c r="Z622"/>
      <c r="AX622"/>
      <c r="AY622"/>
      <c r="AZ622"/>
      <c r="BA622"/>
      <c r="CH622"/>
    </row>
    <row r="623" spans="4:86" ht="15.6">
      <c r="D623" s="265" t="s">
        <v>760</v>
      </c>
      <c r="F623" s="964" t="str">
        <f t="shared" si="58"/>
        <v/>
      </c>
      <c r="G623" s="210"/>
      <c r="H623" s="210"/>
      <c r="I623" s="210"/>
      <c r="J623" s="210"/>
      <c r="K623" s="212"/>
      <c r="L623" s="212"/>
      <c r="M623" s="210"/>
      <c r="N623" s="727"/>
      <c r="O623" s="135"/>
      <c r="Z623"/>
      <c r="AX623"/>
      <c r="AY623"/>
      <c r="AZ623"/>
      <c r="BA623"/>
      <c r="CH623"/>
    </row>
    <row r="624" spans="4:86">
      <c r="D624" s="1454" t="s">
        <v>1833</v>
      </c>
      <c r="E624" s="92">
        <f>Roth1_Add</f>
        <v>1000</v>
      </c>
      <c r="F624" s="964"/>
      <c r="G624" s="210">
        <v>1000</v>
      </c>
      <c r="H624" s="210">
        <v>1000</v>
      </c>
      <c r="I624" s="210">
        <v>1000</v>
      </c>
      <c r="J624" s="210"/>
      <c r="K624" s="212"/>
      <c r="L624" s="212"/>
      <c r="M624" s="210"/>
      <c r="N624" s="727"/>
      <c r="O624" s="135"/>
      <c r="Z624"/>
      <c r="AX624"/>
      <c r="AY624"/>
      <c r="AZ624"/>
      <c r="BA624"/>
      <c r="CH624"/>
    </row>
    <row r="625" spans="4:86">
      <c r="D625" s="18" t="s">
        <v>587</v>
      </c>
      <c r="E625" s="44">
        <f>Roth1_Esc</f>
        <v>0.1</v>
      </c>
      <c r="F625" s="964"/>
      <c r="G625" s="210">
        <v>0.1</v>
      </c>
      <c r="H625" s="210">
        <v>0.1</v>
      </c>
      <c r="I625" s="210">
        <v>0.1</v>
      </c>
      <c r="J625" s="210"/>
      <c r="K625" s="212"/>
      <c r="L625" s="212"/>
      <c r="M625" s="210"/>
      <c r="N625" s="727"/>
      <c r="O625" s="135"/>
      <c r="Z625"/>
      <c r="AX625"/>
      <c r="AY625"/>
      <c r="AZ625"/>
      <c r="BA625"/>
      <c r="CH625"/>
    </row>
    <row r="626" spans="4:86">
      <c r="D626" s="18" t="s">
        <v>362</v>
      </c>
      <c r="E626" s="92">
        <f>Roth1_Start</f>
        <v>62</v>
      </c>
      <c r="F626" s="964"/>
      <c r="G626" s="210">
        <v>62</v>
      </c>
      <c r="H626" s="210">
        <v>62</v>
      </c>
      <c r="I626" s="210">
        <v>62</v>
      </c>
      <c r="J626" s="210"/>
      <c r="K626" s="212"/>
      <c r="L626" s="212"/>
      <c r="M626" s="210"/>
      <c r="N626" s="727"/>
      <c r="O626" s="135"/>
      <c r="Z626"/>
      <c r="AX626"/>
      <c r="AY626"/>
      <c r="AZ626"/>
      <c r="BA626"/>
      <c r="CH626"/>
    </row>
    <row r="627" spans="4:86">
      <c r="D627" s="18" t="s">
        <v>363</v>
      </c>
      <c r="E627" s="92">
        <f>Roth1_End</f>
        <v>65</v>
      </c>
      <c r="F627" s="964"/>
      <c r="G627" s="210">
        <v>65</v>
      </c>
      <c r="H627" s="210">
        <v>65</v>
      </c>
      <c r="I627" s="210">
        <v>65</v>
      </c>
      <c r="J627" s="210"/>
      <c r="K627" s="212"/>
      <c r="L627" s="212"/>
      <c r="M627" s="210"/>
      <c r="N627" s="727"/>
      <c r="O627" s="135"/>
      <c r="Z627"/>
      <c r="AX627"/>
      <c r="AY627"/>
      <c r="AZ627"/>
      <c r="BA627"/>
      <c r="CH627"/>
    </row>
    <row r="628" spans="4:86">
      <c r="D628" s="1454" t="s">
        <v>2102</v>
      </c>
      <c r="E628" s="92">
        <f>+With_ExRoth</f>
        <v>500</v>
      </c>
      <c r="F628" s="964" t="str">
        <f t="shared" si="58"/>
        <v/>
      </c>
      <c r="G628" s="210">
        <v>500</v>
      </c>
      <c r="H628" s="210">
        <v>500</v>
      </c>
      <c r="I628" s="210">
        <v>500</v>
      </c>
      <c r="J628" s="210">
        <v>1000</v>
      </c>
      <c r="K628" s="212"/>
      <c r="L628" s="210"/>
      <c r="M628" s="210"/>
      <c r="N628" s="727"/>
      <c r="O628" s="135"/>
      <c r="Z628"/>
      <c r="AX628"/>
      <c r="AY628"/>
      <c r="AZ628"/>
      <c r="BA628"/>
      <c r="CH628"/>
    </row>
    <row r="629" spans="4:86">
      <c r="D629" s="18" t="s">
        <v>587</v>
      </c>
      <c r="E629" s="44">
        <f>+Esc_ExRoth</f>
        <v>0</v>
      </c>
      <c r="F629" s="964" t="str">
        <f t="shared" si="58"/>
        <v/>
      </c>
      <c r="G629" s="223">
        <v>0</v>
      </c>
      <c r="H629" s="223">
        <v>0</v>
      </c>
      <c r="I629" s="223">
        <v>0</v>
      </c>
      <c r="J629" s="223">
        <v>0</v>
      </c>
      <c r="K629" s="212"/>
      <c r="L629" s="223"/>
      <c r="M629" s="223"/>
      <c r="N629" s="944"/>
      <c r="O629" s="122"/>
      <c r="Z629"/>
      <c r="AX629"/>
      <c r="AY629"/>
      <c r="AZ629"/>
      <c r="BA629"/>
      <c r="CH629"/>
    </row>
    <row r="630" spans="4:86">
      <c r="D630" s="18" t="s">
        <v>362</v>
      </c>
      <c r="E630" s="92">
        <f>+Start_ExRoth</f>
        <v>80</v>
      </c>
      <c r="F630" s="964" t="str">
        <f t="shared" si="58"/>
        <v/>
      </c>
      <c r="G630" s="210">
        <v>80</v>
      </c>
      <c r="H630" s="210">
        <v>80</v>
      </c>
      <c r="I630" s="210">
        <v>80</v>
      </c>
      <c r="J630" s="210">
        <v>80</v>
      </c>
      <c r="K630" s="212"/>
      <c r="L630" s="210"/>
      <c r="M630" s="210"/>
      <c r="N630" s="727"/>
      <c r="O630" s="135"/>
      <c r="Z630"/>
      <c r="AX630"/>
      <c r="AY630"/>
      <c r="AZ630"/>
      <c r="BA630"/>
      <c r="CH630"/>
    </row>
    <row r="631" spans="4:86">
      <c r="D631" s="18" t="s">
        <v>363</v>
      </c>
      <c r="E631" s="92">
        <f>+End_ExRoth</f>
        <v>0</v>
      </c>
      <c r="F631" s="964" t="str">
        <f t="shared" si="58"/>
        <v/>
      </c>
      <c r="G631" s="210">
        <v>0</v>
      </c>
      <c r="H631" s="210">
        <v>0</v>
      </c>
      <c r="I631" s="210">
        <v>0</v>
      </c>
      <c r="J631" s="210">
        <v>0</v>
      </c>
      <c r="K631" s="212"/>
      <c r="L631" s="210"/>
      <c r="M631" s="210"/>
      <c r="N631" s="727"/>
      <c r="O631" s="135"/>
      <c r="Z631"/>
      <c r="AX631"/>
      <c r="AY631"/>
      <c r="AZ631"/>
      <c r="BA631"/>
      <c r="CH631"/>
    </row>
    <row r="632" spans="4:86">
      <c r="D632" s="1454" t="s">
        <v>2103</v>
      </c>
      <c r="E632" s="92">
        <f>+With_ExRoth1_2</f>
        <v>500</v>
      </c>
      <c r="F632" s="964"/>
      <c r="G632" s="210">
        <v>500</v>
      </c>
      <c r="H632" s="210">
        <v>500</v>
      </c>
      <c r="I632" s="210">
        <v>500</v>
      </c>
      <c r="J632" s="210"/>
      <c r="K632" s="212"/>
      <c r="L632" s="210"/>
      <c r="M632" s="210"/>
      <c r="N632" s="727"/>
      <c r="O632" s="135"/>
      <c r="Z632"/>
      <c r="AX632"/>
      <c r="AY632"/>
      <c r="AZ632"/>
      <c r="BA632"/>
      <c r="CH632"/>
    </row>
    <row r="633" spans="4:86">
      <c r="D633" s="18" t="s">
        <v>587</v>
      </c>
      <c r="E633" s="44">
        <f>+Esc_ExRoth1_2</f>
        <v>0</v>
      </c>
      <c r="F633" s="964"/>
      <c r="G633" s="223">
        <v>0</v>
      </c>
      <c r="H633" s="223">
        <v>0</v>
      </c>
      <c r="I633" s="223">
        <v>0</v>
      </c>
      <c r="J633" s="223"/>
      <c r="K633" s="212"/>
      <c r="L633" s="210"/>
      <c r="M633" s="210"/>
      <c r="N633" s="727"/>
      <c r="O633" s="135"/>
      <c r="Z633"/>
      <c r="AX633"/>
      <c r="AY633"/>
      <c r="AZ633"/>
      <c r="BA633"/>
      <c r="CH633"/>
    </row>
    <row r="634" spans="4:86">
      <c r="D634" s="18" t="s">
        <v>362</v>
      </c>
      <c r="E634" s="92">
        <f>+Start_ExRoth1_2</f>
        <v>80</v>
      </c>
      <c r="F634" s="964"/>
      <c r="G634" s="210">
        <v>80</v>
      </c>
      <c r="H634" s="210">
        <v>80</v>
      </c>
      <c r="I634" s="210">
        <v>80</v>
      </c>
      <c r="J634" s="210"/>
      <c r="K634" s="212"/>
      <c r="L634" s="210"/>
      <c r="M634" s="210"/>
      <c r="N634" s="727"/>
      <c r="O634" s="135"/>
      <c r="Z634"/>
      <c r="AX634"/>
      <c r="AY634"/>
      <c r="AZ634"/>
      <c r="BA634"/>
      <c r="CH634"/>
    </row>
    <row r="635" spans="4:86">
      <c r="D635" s="18" t="s">
        <v>363</v>
      </c>
      <c r="E635" s="92">
        <f>+End_ExRoth1_2</f>
        <v>0</v>
      </c>
      <c r="F635" s="964"/>
      <c r="G635" s="210">
        <v>0</v>
      </c>
      <c r="H635" s="210">
        <v>0</v>
      </c>
      <c r="I635" s="210">
        <v>0</v>
      </c>
      <c r="J635" s="210"/>
      <c r="K635" s="212"/>
      <c r="L635" s="210"/>
      <c r="M635" s="210"/>
      <c r="N635" s="727"/>
      <c r="O635" s="135"/>
      <c r="Z635"/>
      <c r="AX635"/>
      <c r="AY635"/>
      <c r="AZ635"/>
      <c r="BA635"/>
      <c r="CH635"/>
    </row>
    <row r="636" spans="4:86" ht="15.6">
      <c r="D636" s="265" t="s">
        <v>761</v>
      </c>
      <c r="F636" s="964" t="str">
        <f t="shared" si="58"/>
        <v/>
      </c>
      <c r="G636" s="210"/>
      <c r="H636" s="210"/>
      <c r="I636" s="210"/>
      <c r="J636" s="210"/>
      <c r="K636" s="212"/>
      <c r="L636" s="212"/>
      <c r="M636" s="210"/>
      <c r="N636" s="727"/>
      <c r="O636" s="135"/>
      <c r="Z636"/>
      <c r="AX636"/>
      <c r="AY636"/>
      <c r="AZ636"/>
      <c r="BA636"/>
      <c r="CH636"/>
    </row>
    <row r="637" spans="4:86">
      <c r="D637" s="18" t="s">
        <v>1750</v>
      </c>
      <c r="E637" s="92">
        <f>+With_ExRoth2</f>
        <v>5000</v>
      </c>
      <c r="F637" s="964" t="str">
        <f t="shared" si="58"/>
        <v/>
      </c>
      <c r="G637" s="210">
        <v>5000</v>
      </c>
      <c r="H637" s="210">
        <v>5000</v>
      </c>
      <c r="I637" s="210">
        <v>5000</v>
      </c>
      <c r="J637" s="210">
        <v>5000</v>
      </c>
      <c r="K637" s="212"/>
      <c r="L637" s="210"/>
      <c r="M637" s="210"/>
      <c r="N637" s="727"/>
      <c r="O637" s="135"/>
      <c r="Z637"/>
      <c r="AX637"/>
      <c r="AY637"/>
      <c r="AZ637"/>
      <c r="BA637"/>
      <c r="CH637"/>
    </row>
    <row r="638" spans="4:86">
      <c r="D638" s="18" t="s">
        <v>587</v>
      </c>
      <c r="E638" s="44">
        <f>+Esc_ExRoth2</f>
        <v>0.1</v>
      </c>
      <c r="F638" s="964" t="str">
        <f t="shared" si="58"/>
        <v/>
      </c>
      <c r="G638" s="210">
        <v>0.1</v>
      </c>
      <c r="H638" s="210">
        <v>0.1</v>
      </c>
      <c r="I638" s="210">
        <v>0.1</v>
      </c>
      <c r="J638" s="210">
        <v>0.1</v>
      </c>
      <c r="K638" s="212"/>
      <c r="L638" s="223"/>
      <c r="M638" s="210"/>
      <c r="N638" s="727"/>
      <c r="O638" s="135"/>
      <c r="Z638"/>
      <c r="AX638"/>
      <c r="AY638"/>
      <c r="AZ638"/>
      <c r="BA638"/>
      <c r="CH638"/>
    </row>
    <row r="639" spans="4:86">
      <c r="D639" s="18" t="s">
        <v>362</v>
      </c>
      <c r="E639" s="92">
        <f>+Start_ExRoth2</f>
        <v>70</v>
      </c>
      <c r="F639" s="964" t="str">
        <f t="shared" si="58"/>
        <v/>
      </c>
      <c r="G639" s="210">
        <v>70</v>
      </c>
      <c r="H639" s="210">
        <v>70</v>
      </c>
      <c r="I639" s="210">
        <v>70</v>
      </c>
      <c r="J639" s="210">
        <v>70</v>
      </c>
      <c r="K639" s="212"/>
      <c r="L639" s="210"/>
      <c r="M639" s="210"/>
      <c r="N639" s="727"/>
      <c r="O639" s="135"/>
      <c r="Z639"/>
      <c r="AX639"/>
      <c r="AY639"/>
      <c r="AZ639"/>
      <c r="BA639"/>
      <c r="CH639"/>
    </row>
    <row r="640" spans="4:86">
      <c r="D640" s="18" t="s">
        <v>363</v>
      </c>
      <c r="E640" s="92">
        <f>+End_ExRoth2</f>
        <v>75</v>
      </c>
      <c r="F640" s="964" t="str">
        <f t="shared" si="58"/>
        <v/>
      </c>
      <c r="G640" s="210">
        <v>75</v>
      </c>
      <c r="H640" s="210">
        <v>75</v>
      </c>
      <c r="I640" s="210">
        <v>75</v>
      </c>
      <c r="J640" s="210">
        <v>75</v>
      </c>
      <c r="K640" s="212"/>
      <c r="L640" s="210"/>
      <c r="M640" s="210"/>
      <c r="N640" s="727"/>
      <c r="O640" s="135"/>
      <c r="Z640"/>
      <c r="AX640"/>
      <c r="AY640"/>
      <c r="AZ640"/>
      <c r="BA640"/>
      <c r="CH640"/>
    </row>
    <row r="641" spans="4:86" ht="15.6">
      <c r="D641" s="265" t="s">
        <v>1118</v>
      </c>
      <c r="E641" s="92"/>
      <c r="F641" s="964" t="str">
        <f t="shared" si="58"/>
        <v/>
      </c>
      <c r="G641" s="210"/>
      <c r="H641" s="210"/>
      <c r="I641" s="210"/>
      <c r="J641" s="210"/>
      <c r="K641" s="212"/>
      <c r="L641" s="210"/>
      <c r="M641" s="210"/>
      <c r="N641" s="727"/>
      <c r="O641" s="135"/>
      <c r="Z641"/>
      <c r="AX641"/>
      <c r="AY641"/>
      <c r="AZ641"/>
      <c r="BA641"/>
      <c r="CH641"/>
    </row>
    <row r="642" spans="4:86">
      <c r="D642" s="18" t="s">
        <v>1750</v>
      </c>
      <c r="E642" s="92">
        <f>+With_InhIRA</f>
        <v>4000</v>
      </c>
      <c r="F642" s="964" t="str">
        <f t="shared" si="58"/>
        <v/>
      </c>
      <c r="G642" s="210">
        <v>4000</v>
      </c>
      <c r="H642" s="210">
        <v>4000</v>
      </c>
      <c r="I642" s="210">
        <v>4000</v>
      </c>
      <c r="J642" s="210">
        <v>4000</v>
      </c>
      <c r="K642" s="212"/>
      <c r="L642" s="210"/>
      <c r="M642" s="210"/>
      <c r="N642" s="727"/>
      <c r="O642" s="135"/>
      <c r="Z642"/>
      <c r="AX642"/>
      <c r="AY642"/>
      <c r="AZ642"/>
      <c r="BA642"/>
      <c r="CH642"/>
    </row>
    <row r="643" spans="4:86">
      <c r="D643" s="18" t="s">
        <v>587</v>
      </c>
      <c r="E643" s="44">
        <f>+Esc_InhIRA</f>
        <v>0</v>
      </c>
      <c r="F643" s="964" t="str">
        <f t="shared" si="58"/>
        <v/>
      </c>
      <c r="G643" s="223">
        <v>0</v>
      </c>
      <c r="H643" s="223">
        <v>0</v>
      </c>
      <c r="I643" s="223">
        <v>0</v>
      </c>
      <c r="J643" s="223">
        <v>0</v>
      </c>
      <c r="K643" s="212"/>
      <c r="L643" s="223"/>
      <c r="M643" s="223"/>
      <c r="N643" s="944"/>
      <c r="O643" s="122"/>
      <c r="Z643"/>
      <c r="AX643"/>
      <c r="AY643"/>
      <c r="AZ643"/>
      <c r="BA643"/>
      <c r="CH643"/>
    </row>
    <row r="644" spans="4:86">
      <c r="D644" s="18" t="s">
        <v>362</v>
      </c>
      <c r="E644" s="92">
        <f>+Start_InhIRA</f>
        <v>77</v>
      </c>
      <c r="F644" s="964" t="str">
        <f t="shared" si="58"/>
        <v/>
      </c>
      <c r="G644" s="210">
        <v>77</v>
      </c>
      <c r="H644" s="210">
        <v>77</v>
      </c>
      <c r="I644" s="210">
        <v>77</v>
      </c>
      <c r="J644" s="210">
        <v>77</v>
      </c>
      <c r="K644" s="212"/>
      <c r="L644" s="210"/>
      <c r="M644" s="210"/>
      <c r="N644" s="727"/>
      <c r="O644" s="135"/>
      <c r="Z644"/>
      <c r="AX644"/>
      <c r="AY644"/>
      <c r="AZ644"/>
      <c r="BA644"/>
      <c r="CH644"/>
    </row>
    <row r="645" spans="4:86">
      <c r="D645" s="18" t="s">
        <v>363</v>
      </c>
      <c r="E645" s="92">
        <f>+End_InhIRA</f>
        <v>79</v>
      </c>
      <c r="F645" s="964" t="str">
        <f t="shared" si="58"/>
        <v/>
      </c>
      <c r="G645" s="210">
        <v>79</v>
      </c>
      <c r="H645" s="210">
        <v>79</v>
      </c>
      <c r="I645" s="210">
        <v>79</v>
      </c>
      <c r="J645" s="210">
        <v>79</v>
      </c>
      <c r="K645" s="212"/>
      <c r="L645" s="210"/>
      <c r="M645" s="210"/>
      <c r="N645" s="727"/>
      <c r="O645" s="135"/>
      <c r="Z645"/>
      <c r="AX645"/>
      <c r="AY645"/>
      <c r="AZ645"/>
      <c r="BA645"/>
      <c r="CH645"/>
    </row>
    <row r="646" spans="4:86" ht="15.6">
      <c r="D646" s="265" t="s">
        <v>1119</v>
      </c>
      <c r="E646" s="92"/>
      <c r="F646" s="964" t="str">
        <f t="shared" si="58"/>
        <v/>
      </c>
      <c r="G646" s="210"/>
      <c r="H646" s="210"/>
      <c r="I646" s="210"/>
      <c r="J646" s="210"/>
      <c r="K646" s="212"/>
      <c r="L646" s="210"/>
      <c r="M646" s="210"/>
      <c r="N646" s="727"/>
      <c r="O646" s="135"/>
      <c r="Z646"/>
      <c r="AX646"/>
      <c r="AY646"/>
      <c r="AZ646"/>
      <c r="BA646"/>
      <c r="CH646"/>
    </row>
    <row r="647" spans="4:86">
      <c r="D647" s="18" t="s">
        <v>1750</v>
      </c>
      <c r="E647" s="92">
        <f>+With_InhIRA2</f>
        <v>1000</v>
      </c>
      <c r="F647" s="964" t="str">
        <f t="shared" si="58"/>
        <v/>
      </c>
      <c r="G647" s="210">
        <v>1000</v>
      </c>
      <c r="H647" s="210">
        <v>1000</v>
      </c>
      <c r="I647" s="210">
        <v>1000</v>
      </c>
      <c r="J647" s="210">
        <v>1000</v>
      </c>
      <c r="K647" s="212"/>
      <c r="L647" s="210"/>
      <c r="M647" s="210"/>
      <c r="N647" s="727"/>
      <c r="O647" s="135"/>
      <c r="Z647"/>
      <c r="AX647"/>
      <c r="AY647"/>
      <c r="AZ647"/>
      <c r="BA647"/>
      <c r="CH647"/>
    </row>
    <row r="648" spans="4:86">
      <c r="D648" s="18" t="s">
        <v>587</v>
      </c>
      <c r="E648" s="92">
        <f>+Esc_InhIRA2</f>
        <v>0.1</v>
      </c>
      <c r="F648" s="964" t="str">
        <f t="shared" si="58"/>
        <v/>
      </c>
      <c r="G648" s="210">
        <v>0.1</v>
      </c>
      <c r="H648" s="210">
        <v>0.1</v>
      </c>
      <c r="I648" s="210">
        <v>0.1</v>
      </c>
      <c r="J648" s="210">
        <v>0.1</v>
      </c>
      <c r="K648" s="212"/>
      <c r="L648" s="210"/>
      <c r="M648" s="210"/>
      <c r="N648" s="727"/>
      <c r="O648" s="135"/>
      <c r="Z648"/>
      <c r="AX648"/>
      <c r="AY648"/>
      <c r="AZ648"/>
      <c r="BA648"/>
      <c r="CH648"/>
    </row>
    <row r="649" spans="4:86">
      <c r="D649" s="18" t="s">
        <v>362</v>
      </c>
      <c r="E649" s="92">
        <f>+Start_InhIRA2</f>
        <v>78</v>
      </c>
      <c r="F649" s="964" t="str">
        <f t="shared" si="58"/>
        <v/>
      </c>
      <c r="G649" s="210">
        <v>78</v>
      </c>
      <c r="H649" s="210">
        <v>78</v>
      </c>
      <c r="I649" s="210">
        <v>78</v>
      </c>
      <c r="J649" s="210">
        <v>78</v>
      </c>
      <c r="K649" s="212"/>
      <c r="L649" s="210"/>
      <c r="M649" s="210"/>
      <c r="N649" s="727"/>
      <c r="O649" s="135"/>
      <c r="Z649"/>
      <c r="AX649"/>
      <c r="AY649"/>
      <c r="AZ649"/>
      <c r="BA649"/>
      <c r="CH649"/>
    </row>
    <row r="650" spans="4:86">
      <c r="D650" s="18" t="s">
        <v>363</v>
      </c>
      <c r="E650" s="92">
        <f>+End_InhIRA2</f>
        <v>80</v>
      </c>
      <c r="F650" s="964" t="str">
        <f t="shared" si="58"/>
        <v/>
      </c>
      <c r="G650" s="210">
        <v>80</v>
      </c>
      <c r="H650" s="210">
        <v>80</v>
      </c>
      <c r="I650" s="210">
        <v>80</v>
      </c>
      <c r="J650" s="210">
        <v>80</v>
      </c>
      <c r="K650" s="212"/>
      <c r="L650" s="210"/>
      <c r="M650" s="210"/>
      <c r="N650" s="727"/>
      <c r="O650" s="135"/>
      <c r="Z650"/>
      <c r="AX650"/>
      <c r="AY650"/>
      <c r="AZ650"/>
      <c r="BA650"/>
      <c r="CH650"/>
    </row>
    <row r="651" spans="4:86" ht="15.6">
      <c r="D651" s="266" t="s">
        <v>1432</v>
      </c>
      <c r="E651" s="44">
        <f>+Discount_Rate</f>
        <v>0.03</v>
      </c>
      <c r="F651" s="964" t="str">
        <f t="shared" si="58"/>
        <v/>
      </c>
      <c r="G651" s="223">
        <v>0.03</v>
      </c>
      <c r="H651" s="223">
        <v>0.03</v>
      </c>
      <c r="I651" s="223">
        <v>0.03</v>
      </c>
      <c r="J651" s="223">
        <v>0.03</v>
      </c>
      <c r="K651" s="212"/>
      <c r="L651" s="223"/>
      <c r="M651" s="223"/>
      <c r="N651" s="944"/>
      <c r="O651" s="122"/>
      <c r="Z651"/>
      <c r="AX651"/>
      <c r="AY651"/>
      <c r="AZ651"/>
      <c r="BA651"/>
      <c r="CH651"/>
    </row>
    <row r="652" spans="4:86" ht="17.399999999999999">
      <c r="D652" s="739" t="s">
        <v>208</v>
      </c>
      <c r="E652" s="44"/>
      <c r="F652" s="964" t="str">
        <f t="shared" si="58"/>
        <v/>
      </c>
      <c r="G652" s="223"/>
      <c r="H652" s="223"/>
      <c r="I652" s="223"/>
      <c r="J652" s="223"/>
      <c r="K652" s="212"/>
      <c r="L652" s="223"/>
      <c r="M652" s="223"/>
      <c r="N652" s="1"/>
      <c r="O652" s="122"/>
      <c r="Z652"/>
      <c r="AX652"/>
      <c r="AY652"/>
      <c r="AZ652"/>
      <c r="BA652"/>
      <c r="CH652"/>
    </row>
    <row r="653" spans="4:86" ht="15.6">
      <c r="D653" s="17" t="s">
        <v>423</v>
      </c>
      <c r="E653" s="340" t="str">
        <f>+Inheritance</f>
        <v>y</v>
      </c>
      <c r="F653" s="964" t="str">
        <f t="shared" si="58"/>
        <v/>
      </c>
      <c r="G653" s="445" t="s">
        <v>851</v>
      </c>
      <c r="H653" s="445" t="s">
        <v>851</v>
      </c>
      <c r="I653" s="445" t="s">
        <v>851</v>
      </c>
      <c r="J653" s="445" t="s">
        <v>851</v>
      </c>
      <c r="K653" s="212"/>
      <c r="L653" s="445"/>
      <c r="M653" s="445"/>
      <c r="N653" s="942"/>
      <c r="O653" s="943"/>
      <c r="Z653"/>
      <c r="AX653"/>
      <c r="AY653"/>
      <c r="AZ653"/>
      <c r="BA653"/>
      <c r="CH653"/>
    </row>
    <row r="654" spans="4:86">
      <c r="D654" s="15" t="s">
        <v>1420</v>
      </c>
      <c r="E654" s="92">
        <f>+Inherit_Taxable</f>
        <v>60000</v>
      </c>
      <c r="F654" s="964" t="str">
        <f t="shared" si="58"/>
        <v/>
      </c>
      <c r="G654" s="210">
        <v>60000</v>
      </c>
      <c r="H654" s="210">
        <v>60000</v>
      </c>
      <c r="I654" s="210">
        <v>60000</v>
      </c>
      <c r="J654" s="210">
        <v>60000</v>
      </c>
      <c r="K654" s="212"/>
      <c r="L654" s="210"/>
      <c r="M654" s="210"/>
      <c r="N654" s="727"/>
      <c r="O654" s="135"/>
      <c r="Z654"/>
      <c r="AX654"/>
      <c r="AY654"/>
      <c r="AZ654"/>
      <c r="BA654"/>
      <c r="CH654"/>
    </row>
    <row r="655" spans="4:86">
      <c r="D655" s="15" t="s">
        <v>358</v>
      </c>
      <c r="E655" s="92">
        <f>+Inherit_tIRA</f>
        <v>40000</v>
      </c>
      <c r="F655" s="964" t="str">
        <f t="shared" si="58"/>
        <v/>
      </c>
      <c r="G655" s="210">
        <v>40000</v>
      </c>
      <c r="H655" s="210">
        <v>40000</v>
      </c>
      <c r="I655" s="210">
        <v>40000</v>
      </c>
      <c r="J655" s="210">
        <v>40000</v>
      </c>
      <c r="K655" s="212"/>
      <c r="L655" s="210"/>
      <c r="M655" s="210"/>
      <c r="N655" s="727"/>
      <c r="O655" s="135"/>
      <c r="Z655"/>
      <c r="AX655"/>
      <c r="AY655"/>
      <c r="AZ655"/>
      <c r="BA655"/>
      <c r="CH655"/>
    </row>
    <row r="656" spans="4:86">
      <c r="D656" s="18" t="s">
        <v>916</v>
      </c>
      <c r="E656" s="92">
        <f>+Inherit_Age</f>
        <v>77</v>
      </c>
      <c r="F656" s="964" t="str">
        <f t="shared" si="58"/>
        <v/>
      </c>
      <c r="G656" s="210">
        <v>77</v>
      </c>
      <c r="H656" s="210">
        <v>77</v>
      </c>
      <c r="I656" s="210">
        <v>77</v>
      </c>
      <c r="J656" s="210">
        <v>77</v>
      </c>
      <c r="K656" s="212"/>
      <c r="L656" s="210"/>
      <c r="M656" s="210"/>
      <c r="N656" s="727"/>
      <c r="O656" s="135"/>
      <c r="Z656"/>
      <c r="AX656"/>
      <c r="AY656"/>
      <c r="AZ656"/>
      <c r="BA656"/>
      <c r="CH656"/>
    </row>
    <row r="657" spans="4:86" ht="15.6">
      <c r="D657" s="17" t="s">
        <v>424</v>
      </c>
      <c r="E657" s="340" t="str">
        <f>+Inheritance2</f>
        <v>y</v>
      </c>
      <c r="F657" s="964" t="str">
        <f t="shared" si="58"/>
        <v/>
      </c>
      <c r="G657" s="445" t="s">
        <v>851</v>
      </c>
      <c r="H657" s="445" t="s">
        <v>851</v>
      </c>
      <c r="I657" s="445" t="s">
        <v>851</v>
      </c>
      <c r="J657" s="445" t="s">
        <v>851</v>
      </c>
      <c r="K657" s="212"/>
      <c r="L657" s="445"/>
      <c r="M657" s="445"/>
      <c r="N657" s="942"/>
      <c r="O657" s="943"/>
      <c r="Z657"/>
      <c r="AX657"/>
      <c r="AY657"/>
      <c r="AZ657"/>
      <c r="BA657"/>
      <c r="CH657"/>
    </row>
    <row r="658" spans="4:86">
      <c r="D658" s="15" t="s">
        <v>1420</v>
      </c>
      <c r="E658" s="92">
        <f>+Inherit_Taxable2</f>
        <v>40000</v>
      </c>
      <c r="F658" s="964" t="str">
        <f t="shared" si="58"/>
        <v/>
      </c>
      <c r="G658" s="210">
        <v>40000</v>
      </c>
      <c r="H658" s="210">
        <v>40000</v>
      </c>
      <c r="I658" s="210">
        <v>40000</v>
      </c>
      <c r="J658" s="210">
        <v>40000</v>
      </c>
      <c r="K658" s="212"/>
      <c r="L658" s="210"/>
      <c r="M658" s="210"/>
      <c r="N658" s="727"/>
      <c r="O658" s="135"/>
      <c r="Z658"/>
      <c r="AX658"/>
      <c r="AY658"/>
      <c r="AZ658"/>
      <c r="BA658"/>
      <c r="CH658"/>
    </row>
    <row r="659" spans="4:86">
      <c r="D659" s="15" t="s">
        <v>358</v>
      </c>
      <c r="E659" s="92">
        <f>+Inherit_tIRA2</f>
        <v>60000</v>
      </c>
      <c r="F659" s="964" t="str">
        <f t="shared" si="58"/>
        <v/>
      </c>
      <c r="G659" s="210">
        <v>60000</v>
      </c>
      <c r="H659" s="210">
        <v>60000</v>
      </c>
      <c r="I659" s="210">
        <v>60000</v>
      </c>
      <c r="J659" s="210">
        <v>60000</v>
      </c>
      <c r="K659" s="212"/>
      <c r="L659" s="210"/>
      <c r="M659" s="210"/>
      <c r="N659" s="727"/>
      <c r="O659" s="135"/>
      <c r="Z659"/>
      <c r="AX659"/>
      <c r="AY659"/>
      <c r="AZ659"/>
      <c r="BA659"/>
      <c r="CH659"/>
    </row>
    <row r="660" spans="4:86">
      <c r="D660" s="18" t="s">
        <v>916</v>
      </c>
      <c r="E660" s="92">
        <f>+Inherit_Age2</f>
        <v>72</v>
      </c>
      <c r="F660" s="964" t="str">
        <f t="shared" si="58"/>
        <v/>
      </c>
      <c r="G660" s="210">
        <v>72</v>
      </c>
      <c r="H660" s="210">
        <v>72</v>
      </c>
      <c r="I660" s="210">
        <v>72</v>
      </c>
      <c r="J660" s="210">
        <v>72</v>
      </c>
      <c r="K660" s="212"/>
      <c r="L660" s="210"/>
      <c r="M660" s="210"/>
      <c r="N660" s="727"/>
      <c r="O660" s="135"/>
      <c r="Z660"/>
      <c r="AX660"/>
      <c r="AY660"/>
      <c r="AZ660"/>
      <c r="BA660"/>
      <c r="CH660"/>
    </row>
    <row r="661" spans="4:86" ht="15.6">
      <c r="D661" s="17" t="s">
        <v>425</v>
      </c>
      <c r="E661" s="340" t="str">
        <f>+Asset_Sale</f>
        <v>y</v>
      </c>
      <c r="F661" s="964" t="str">
        <f t="shared" si="58"/>
        <v/>
      </c>
      <c r="G661" s="445" t="s">
        <v>851</v>
      </c>
      <c r="H661" s="445" t="s">
        <v>851</v>
      </c>
      <c r="I661" s="445" t="s">
        <v>851</v>
      </c>
      <c r="J661" s="445" t="s">
        <v>851</v>
      </c>
      <c r="K661" s="212"/>
      <c r="L661" s="445"/>
      <c r="M661" s="445"/>
      <c r="N661" s="942"/>
      <c r="O661" s="943"/>
      <c r="Z661"/>
      <c r="AX661"/>
      <c r="AY661"/>
      <c r="AZ661"/>
      <c r="BA661"/>
      <c r="CH661"/>
    </row>
    <row r="662" spans="4:86">
      <c r="D662" s="15" t="s">
        <v>633</v>
      </c>
      <c r="E662" s="92">
        <f>+Asset_Sale_Amt</f>
        <v>100000</v>
      </c>
      <c r="F662" s="964" t="str">
        <f t="shared" si="58"/>
        <v/>
      </c>
      <c r="G662" s="210">
        <v>100000</v>
      </c>
      <c r="H662" s="210">
        <v>100000</v>
      </c>
      <c r="I662" s="210">
        <v>100000</v>
      </c>
      <c r="J662" s="210">
        <v>100000</v>
      </c>
      <c r="K662" s="212"/>
      <c r="L662" s="210"/>
      <c r="M662" s="210"/>
      <c r="N662" s="727"/>
      <c r="O662" s="135"/>
      <c r="Z662"/>
      <c r="AX662"/>
      <c r="AY662"/>
      <c r="AZ662"/>
      <c r="BA662"/>
      <c r="CH662"/>
    </row>
    <row r="663" spans="4:86">
      <c r="D663" s="18" t="s">
        <v>916</v>
      </c>
      <c r="E663" s="92">
        <f>+Asset_Sale_Age</f>
        <v>86</v>
      </c>
      <c r="F663" s="964" t="str">
        <f t="shared" si="58"/>
        <v/>
      </c>
      <c r="G663" s="210">
        <v>86</v>
      </c>
      <c r="H663" s="210">
        <v>86</v>
      </c>
      <c r="I663" s="210">
        <v>86</v>
      </c>
      <c r="J663" s="210">
        <v>86</v>
      </c>
      <c r="K663" s="212"/>
      <c r="L663" s="210"/>
      <c r="M663" s="210"/>
      <c r="N663" s="727"/>
      <c r="O663" s="135"/>
      <c r="Z663"/>
      <c r="AX663"/>
      <c r="AY663"/>
      <c r="AZ663"/>
      <c r="BA663"/>
      <c r="CH663"/>
    </row>
    <row r="664" spans="4:86" ht="15.6">
      <c r="D664" s="17" t="s">
        <v>1137</v>
      </c>
      <c r="E664" s="340" t="str">
        <f>+Asset_Sale2</f>
        <v>y</v>
      </c>
      <c r="F664" s="964" t="str">
        <f t="shared" si="58"/>
        <v/>
      </c>
      <c r="G664" s="445" t="s">
        <v>851</v>
      </c>
      <c r="H664" s="445" t="s">
        <v>851</v>
      </c>
      <c r="I664" s="445" t="s">
        <v>851</v>
      </c>
      <c r="J664" s="445" t="s">
        <v>851</v>
      </c>
      <c r="K664" s="212"/>
      <c r="L664" s="445"/>
      <c r="M664" s="445"/>
      <c r="N664" s="942"/>
      <c r="O664" s="943"/>
      <c r="Z664"/>
      <c r="AX664"/>
      <c r="AY664"/>
      <c r="AZ664"/>
      <c r="BA664"/>
      <c r="CH664"/>
    </row>
    <row r="665" spans="4:86">
      <c r="D665" s="15" t="s">
        <v>633</v>
      </c>
      <c r="E665" s="92">
        <f>+Asset_Sale_Amt2</f>
        <v>400000</v>
      </c>
      <c r="F665" s="964" t="str">
        <f t="shared" si="58"/>
        <v/>
      </c>
      <c r="G665" s="210">
        <v>400000</v>
      </c>
      <c r="H665" s="210">
        <v>400000</v>
      </c>
      <c r="I665" s="210">
        <v>400000</v>
      </c>
      <c r="J665" s="210">
        <v>400000</v>
      </c>
      <c r="K665" s="212"/>
      <c r="L665" s="210"/>
      <c r="M665" s="210"/>
      <c r="N665" s="727"/>
      <c r="O665" s="135"/>
      <c r="Z665"/>
      <c r="AX665"/>
      <c r="AY665"/>
      <c r="AZ665"/>
      <c r="BA665"/>
      <c r="CH665"/>
    </row>
    <row r="666" spans="4:86">
      <c r="D666" s="18" t="s">
        <v>916</v>
      </c>
      <c r="E666" s="92">
        <f>+Asset_Sale_Age2</f>
        <v>84</v>
      </c>
      <c r="F666" s="964" t="str">
        <f t="shared" si="58"/>
        <v/>
      </c>
      <c r="G666" s="210">
        <v>84</v>
      </c>
      <c r="H666" s="210">
        <v>84</v>
      </c>
      <c r="I666" s="210">
        <v>84</v>
      </c>
      <c r="J666" s="210">
        <v>84</v>
      </c>
      <c r="K666" s="212"/>
      <c r="L666" s="210"/>
      <c r="M666" s="210"/>
      <c r="N666" s="727"/>
      <c r="O666" s="135"/>
      <c r="Z666"/>
      <c r="AX666"/>
      <c r="AY666"/>
      <c r="AZ666"/>
      <c r="BA666"/>
      <c r="CH666"/>
    </row>
    <row r="667" spans="4:86" ht="15.6">
      <c r="D667" s="17" t="s">
        <v>426</v>
      </c>
      <c r="E667" s="340" t="str">
        <f>+Expenditure</f>
        <v>y</v>
      </c>
      <c r="F667" s="964" t="str">
        <f t="shared" si="58"/>
        <v/>
      </c>
      <c r="G667" s="445" t="s">
        <v>851</v>
      </c>
      <c r="H667" s="445" t="s">
        <v>851</v>
      </c>
      <c r="I667" s="445" t="s">
        <v>851</v>
      </c>
      <c r="J667" s="445" t="s">
        <v>851</v>
      </c>
      <c r="K667" s="212"/>
      <c r="L667" s="445"/>
      <c r="M667" s="445"/>
      <c r="N667" s="942"/>
      <c r="O667" s="943"/>
      <c r="Z667"/>
      <c r="AX667"/>
      <c r="AY667"/>
      <c r="AZ667"/>
      <c r="BA667"/>
      <c r="CH667"/>
    </row>
    <row r="668" spans="4:86">
      <c r="D668" s="15" t="s">
        <v>633</v>
      </c>
      <c r="E668" s="92">
        <f>+Expenditure_Amt</f>
        <v>80000</v>
      </c>
      <c r="F668" s="964" t="str">
        <f t="shared" si="58"/>
        <v/>
      </c>
      <c r="G668" s="210">
        <v>80000</v>
      </c>
      <c r="H668" s="210">
        <v>80000</v>
      </c>
      <c r="I668" s="210">
        <v>80000</v>
      </c>
      <c r="J668" s="210">
        <v>80000</v>
      </c>
      <c r="K668" s="212"/>
      <c r="L668" s="210"/>
      <c r="M668" s="210"/>
      <c r="N668" s="727"/>
      <c r="O668" s="135"/>
      <c r="Z668"/>
      <c r="AX668"/>
      <c r="AY668"/>
      <c r="AZ668"/>
      <c r="BA668"/>
      <c r="CH668"/>
    </row>
    <row r="669" spans="4:86">
      <c r="D669" s="18" t="s">
        <v>916</v>
      </c>
      <c r="E669" s="92">
        <f>+Expenditure_Age</f>
        <v>72</v>
      </c>
      <c r="F669" s="964" t="str">
        <f t="shared" si="58"/>
        <v/>
      </c>
      <c r="G669" s="210">
        <v>72</v>
      </c>
      <c r="H669" s="210">
        <v>72</v>
      </c>
      <c r="I669" s="210">
        <v>72</v>
      </c>
      <c r="J669" s="210">
        <v>72</v>
      </c>
      <c r="K669" s="212"/>
      <c r="L669" s="210"/>
      <c r="M669" s="210"/>
      <c r="N669" s="727"/>
      <c r="O669" s="135"/>
      <c r="Z669"/>
      <c r="AX669"/>
      <c r="AY669"/>
      <c r="AZ669"/>
      <c r="BA669"/>
      <c r="CH669"/>
    </row>
    <row r="670" spans="4:86" ht="15.6">
      <c r="D670" s="17" t="s">
        <v>427</v>
      </c>
      <c r="E670" s="340" t="str">
        <f>+Expenditure2</f>
        <v>y</v>
      </c>
      <c r="F670" s="964" t="str">
        <f t="shared" si="58"/>
        <v/>
      </c>
      <c r="G670" s="445" t="s">
        <v>851</v>
      </c>
      <c r="H670" s="445" t="s">
        <v>851</v>
      </c>
      <c r="I670" s="445" t="s">
        <v>851</v>
      </c>
      <c r="J670" s="445" t="s">
        <v>851</v>
      </c>
      <c r="K670" s="212"/>
      <c r="L670" s="445"/>
      <c r="M670" s="445"/>
      <c r="N670" s="942"/>
      <c r="O670" s="943"/>
      <c r="Z670"/>
      <c r="AX670"/>
      <c r="AY670"/>
      <c r="AZ670"/>
      <c r="BA670"/>
      <c r="CH670"/>
    </row>
    <row r="671" spans="4:86">
      <c r="D671" s="15" t="s">
        <v>633</v>
      </c>
      <c r="E671" s="92">
        <f>+Expenditure_Amt2</f>
        <v>20000</v>
      </c>
      <c r="F671" s="964" t="str">
        <f t="shared" si="58"/>
        <v/>
      </c>
      <c r="G671" s="210">
        <v>20000</v>
      </c>
      <c r="H671" s="210">
        <v>20000</v>
      </c>
      <c r="I671" s="210">
        <v>20000</v>
      </c>
      <c r="J671" s="210">
        <v>20000</v>
      </c>
      <c r="K671" s="212"/>
      <c r="L671" s="210"/>
      <c r="M671" s="210"/>
      <c r="N671" s="727"/>
      <c r="O671" s="135"/>
      <c r="Z671"/>
      <c r="AX671"/>
      <c r="AY671"/>
      <c r="AZ671"/>
      <c r="BA671"/>
      <c r="CH671"/>
    </row>
    <row r="672" spans="4:86">
      <c r="D672" s="18" t="s">
        <v>916</v>
      </c>
      <c r="E672" s="92">
        <f>+Expenditure_Age2</f>
        <v>74</v>
      </c>
      <c r="F672" s="964" t="str">
        <f t="shared" si="58"/>
        <v/>
      </c>
      <c r="G672" s="210">
        <v>74</v>
      </c>
      <c r="H672" s="210">
        <v>74</v>
      </c>
      <c r="I672" s="210">
        <v>74</v>
      </c>
      <c r="J672" s="210">
        <v>74</v>
      </c>
      <c r="K672" s="212"/>
      <c r="L672" s="210"/>
      <c r="M672" s="210"/>
      <c r="N672" s="727"/>
      <c r="O672" s="135"/>
      <c r="Z672"/>
      <c r="AX672"/>
      <c r="AY672"/>
      <c r="AZ672"/>
      <c r="BA672"/>
      <c r="CH672"/>
    </row>
    <row r="673" spans="4:86" ht="17.399999999999999">
      <c r="D673" s="739" t="s">
        <v>409</v>
      </c>
      <c r="E673" s="92"/>
      <c r="F673" s="964" t="str">
        <f t="shared" si="58"/>
        <v/>
      </c>
      <c r="G673" s="210"/>
      <c r="H673" s="210"/>
      <c r="I673" s="210"/>
      <c r="J673" s="210"/>
      <c r="K673" s="212"/>
      <c r="L673" s="210"/>
      <c r="M673" s="210"/>
      <c r="N673" s="727"/>
      <c r="O673" s="135"/>
      <c r="Z673"/>
      <c r="AX673"/>
      <c r="AY673"/>
      <c r="AZ673"/>
      <c r="BA673"/>
      <c r="CH673"/>
    </row>
    <row r="674" spans="4:86">
      <c r="D674" s="12" t="s">
        <v>1492</v>
      </c>
      <c r="E674" s="340" t="str">
        <f>+Qual1</f>
        <v>y</v>
      </c>
      <c r="F674" s="964" t="str">
        <f t="shared" si="58"/>
        <v/>
      </c>
      <c r="G674" s="445" t="s">
        <v>851</v>
      </c>
      <c r="H674" s="445" t="s">
        <v>851</v>
      </c>
      <c r="I674" s="445" t="s">
        <v>851</v>
      </c>
      <c r="J674" s="445" t="s">
        <v>851</v>
      </c>
      <c r="K674" s="212"/>
      <c r="L674" s="445"/>
      <c r="M674" s="210"/>
      <c r="N674" s="727"/>
      <c r="O674" s="135"/>
      <c r="Z674"/>
      <c r="AX674"/>
      <c r="AY674"/>
      <c r="AZ674"/>
      <c r="BA674"/>
      <c r="CH674"/>
    </row>
    <row r="675" spans="4:86">
      <c r="D675" s="657" t="s">
        <v>411</v>
      </c>
      <c r="E675" s="340" t="str">
        <f>+QCD_Src1</f>
        <v>i2</v>
      </c>
      <c r="F675" s="964" t="str">
        <f t="shared" si="58"/>
        <v/>
      </c>
      <c r="G675" s="445" t="s">
        <v>40</v>
      </c>
      <c r="H675" s="445" t="s">
        <v>40</v>
      </c>
      <c r="I675" s="445" t="s">
        <v>40</v>
      </c>
      <c r="J675" s="445" t="s">
        <v>40</v>
      </c>
      <c r="K675" s="212"/>
      <c r="L675" s="445"/>
      <c r="M675" s="210"/>
      <c r="N675" s="727"/>
      <c r="O675" s="135"/>
      <c r="Z675"/>
      <c r="AX675"/>
      <c r="AY675"/>
      <c r="AZ675"/>
      <c r="BA675"/>
      <c r="CH675"/>
    </row>
    <row r="676" spans="4:86">
      <c r="D676" s="657" t="s">
        <v>410</v>
      </c>
      <c r="E676" s="340" t="str">
        <f>+QCD_Src2</f>
        <v>h2</v>
      </c>
      <c r="F676" s="964" t="str">
        <f t="shared" si="58"/>
        <v/>
      </c>
      <c r="G676" s="445" t="s">
        <v>534</v>
      </c>
      <c r="H676" s="445" t="s">
        <v>534</v>
      </c>
      <c r="I676" s="445" t="s">
        <v>534</v>
      </c>
      <c r="J676" s="445" t="s">
        <v>534</v>
      </c>
      <c r="K676" s="212"/>
      <c r="L676" s="445"/>
      <c r="M676" s="210"/>
      <c r="N676" s="727"/>
      <c r="O676" s="135"/>
      <c r="Z676"/>
      <c r="AX676"/>
      <c r="AY676"/>
      <c r="AZ676"/>
      <c r="BA676"/>
      <c r="CH676"/>
    </row>
    <row r="677" spans="4:86">
      <c r="D677" s="18" t="s">
        <v>412</v>
      </c>
      <c r="E677" s="92">
        <f>+QCD_Age1</f>
        <v>71</v>
      </c>
      <c r="F677" s="964" t="str">
        <f t="shared" si="58"/>
        <v/>
      </c>
      <c r="G677" s="210">
        <v>71</v>
      </c>
      <c r="H677" s="210">
        <v>71</v>
      </c>
      <c r="I677" s="210">
        <v>71</v>
      </c>
      <c r="J677" s="210">
        <v>71</v>
      </c>
      <c r="K677" s="212"/>
      <c r="L677" s="210"/>
      <c r="M677" s="210"/>
      <c r="N677" s="727"/>
      <c r="O677" s="135"/>
      <c r="Z677"/>
      <c r="AX677"/>
      <c r="AY677"/>
      <c r="AZ677"/>
      <c r="BA677"/>
      <c r="CH677"/>
    </row>
    <row r="678" spans="4:86">
      <c r="D678" s="18" t="s">
        <v>413</v>
      </c>
      <c r="E678" s="92">
        <f>+QCD_Age2</f>
        <v>80</v>
      </c>
      <c r="F678" s="964" t="str">
        <f t="shared" si="58"/>
        <v/>
      </c>
      <c r="G678" s="210">
        <v>80</v>
      </c>
      <c r="H678" s="210">
        <v>80</v>
      </c>
      <c r="I678" s="210">
        <v>80</v>
      </c>
      <c r="J678" s="210">
        <v>80</v>
      </c>
      <c r="K678" s="212"/>
      <c r="L678" s="210"/>
      <c r="M678" s="210"/>
      <c r="N678" s="727"/>
      <c r="O678" s="135"/>
      <c r="Z678"/>
      <c r="AX678"/>
      <c r="AY678"/>
      <c r="AZ678"/>
      <c r="BA678"/>
      <c r="CH678"/>
    </row>
    <row r="679" spans="4:86">
      <c r="D679" s="1046" t="s">
        <v>415</v>
      </c>
      <c r="E679" s="92">
        <f>+QCD_Amt1</f>
        <v>15000</v>
      </c>
      <c r="F679" s="964" t="str">
        <f t="shared" si="58"/>
        <v/>
      </c>
      <c r="G679" s="210">
        <v>15000</v>
      </c>
      <c r="H679" s="210">
        <v>15000</v>
      </c>
      <c r="I679" s="210">
        <v>15000</v>
      </c>
      <c r="J679" s="210">
        <v>15000</v>
      </c>
      <c r="K679" s="212"/>
      <c r="L679" s="210"/>
      <c r="M679" s="210"/>
      <c r="N679" s="727"/>
      <c r="O679" s="135"/>
      <c r="Z679"/>
      <c r="AX679"/>
      <c r="AY679"/>
      <c r="AZ679"/>
      <c r="BA679"/>
      <c r="CH679"/>
    </row>
    <row r="680" spans="4:86">
      <c r="D680" s="1046" t="s">
        <v>414</v>
      </c>
      <c r="E680" s="92">
        <f>+QCD_Amt2</f>
        <v>5000</v>
      </c>
      <c r="F680" s="964" t="str">
        <f t="shared" si="58"/>
        <v/>
      </c>
      <c r="G680" s="210">
        <v>5000</v>
      </c>
      <c r="H680" s="210">
        <v>5000</v>
      </c>
      <c r="I680" s="210">
        <v>5000</v>
      </c>
      <c r="J680" s="210">
        <v>5000</v>
      </c>
      <c r="K680" s="212"/>
      <c r="L680" s="210"/>
      <c r="M680" s="210"/>
      <c r="N680" s="727"/>
      <c r="O680" s="135"/>
      <c r="Z680"/>
      <c r="AX680"/>
      <c r="AY680"/>
      <c r="AZ680"/>
      <c r="BA680"/>
      <c r="CH680"/>
    </row>
    <row r="681" spans="4:86">
      <c r="D681" s="8" t="s">
        <v>417</v>
      </c>
      <c r="E681" s="92">
        <f>+QCD1_Cnt</f>
        <v>5</v>
      </c>
      <c r="F681" s="964" t="str">
        <f t="shared" si="58"/>
        <v/>
      </c>
      <c r="G681" s="210">
        <v>5</v>
      </c>
      <c r="H681" s="210">
        <v>5</v>
      </c>
      <c r="I681" s="210">
        <v>5</v>
      </c>
      <c r="J681" s="210">
        <v>5</v>
      </c>
      <c r="K681" s="212"/>
      <c r="L681" s="210"/>
      <c r="M681" s="210"/>
      <c r="N681" s="727"/>
      <c r="O681" s="135"/>
      <c r="Z681"/>
      <c r="AX681"/>
      <c r="AY681"/>
      <c r="AZ681"/>
      <c r="BA681"/>
      <c r="CH681"/>
    </row>
    <row r="682" spans="4:86">
      <c r="D682" s="8" t="s">
        <v>416</v>
      </c>
      <c r="E682" s="92">
        <f>+QCD2_Cnt</f>
        <v>5</v>
      </c>
      <c r="F682" s="964" t="str">
        <f t="shared" si="58"/>
        <v/>
      </c>
      <c r="G682" s="210">
        <v>5</v>
      </c>
      <c r="H682" s="210">
        <v>5</v>
      </c>
      <c r="I682" s="210">
        <v>5</v>
      </c>
      <c r="J682" s="210">
        <v>5</v>
      </c>
      <c r="K682" s="212"/>
      <c r="L682" s="210"/>
      <c r="M682" s="210"/>
      <c r="N682" s="727"/>
      <c r="O682" s="135"/>
      <c r="Z682"/>
      <c r="AX682"/>
      <c r="AY682"/>
      <c r="AZ682"/>
      <c r="BA682"/>
      <c r="CH682"/>
    </row>
    <row r="683" spans="4:86" ht="17.399999999999999">
      <c r="D683" s="739" t="s">
        <v>207</v>
      </c>
      <c r="E683" s="92"/>
      <c r="F683" s="964" t="str">
        <f t="shared" ref="F683:F739" si="59">IF(E683&lt;&gt;G683,"&lt;#&gt;","")</f>
        <v/>
      </c>
      <c r="G683" s="210"/>
      <c r="H683" s="210"/>
      <c r="I683" s="210"/>
      <c r="J683" s="210"/>
      <c r="K683" s="212"/>
      <c r="L683" s="210"/>
      <c r="M683" s="210"/>
      <c r="N683" s="1"/>
      <c r="O683" s="135"/>
      <c r="Z683"/>
      <c r="AX683"/>
      <c r="AY683"/>
      <c r="AZ683"/>
      <c r="BA683"/>
      <c r="CH683"/>
    </row>
    <row r="684" spans="4:86">
      <c r="D684" s="12" t="s">
        <v>1421</v>
      </c>
      <c r="E684" s="340" t="str">
        <f>+Filing_Status</f>
        <v>m</v>
      </c>
      <c r="F684" s="964" t="str">
        <f t="shared" si="59"/>
        <v/>
      </c>
      <c r="G684" s="445" t="s">
        <v>1176</v>
      </c>
      <c r="H684" s="445" t="s">
        <v>1176</v>
      </c>
      <c r="I684" s="445" t="s">
        <v>1176</v>
      </c>
      <c r="J684" s="445" t="s">
        <v>1176</v>
      </c>
      <c r="K684" s="212"/>
      <c r="L684" s="445"/>
      <c r="M684" s="445"/>
      <c r="N684" s="942"/>
      <c r="O684" s="943"/>
      <c r="Z684"/>
      <c r="AX684"/>
      <c r="AY684"/>
      <c r="AZ684"/>
      <c r="BA684"/>
      <c r="CH684"/>
    </row>
    <row r="685" spans="4:86">
      <c r="D685" s="12" t="str">
        <f>"Year to start Single Rate: " &amp; First_Year &amp; "-" &amp; Final_Year</f>
        <v>Year to start Single Rate: 2019-2048</v>
      </c>
      <c r="E685" s="267">
        <f>+Single_Rate_Start</f>
        <v>2043</v>
      </c>
      <c r="F685" s="964" t="str">
        <f t="shared" si="59"/>
        <v/>
      </c>
      <c r="G685" s="446">
        <v>2043</v>
      </c>
      <c r="H685" s="446">
        <v>2043</v>
      </c>
      <c r="I685" s="446">
        <v>2043</v>
      </c>
      <c r="J685" s="446">
        <v>2042</v>
      </c>
      <c r="K685" s="212"/>
      <c r="L685" s="446"/>
      <c r="M685" s="446"/>
      <c r="N685" s="946"/>
      <c r="O685" s="947"/>
      <c r="Z685"/>
      <c r="AX685"/>
      <c r="AY685"/>
      <c r="AZ685"/>
      <c r="BA685"/>
      <c r="CH685"/>
    </row>
    <row r="686" spans="4:86">
      <c r="D686" s="8" t="s">
        <v>0</v>
      </c>
      <c r="E686" s="92">
        <f>+Itemized</f>
        <v>25000</v>
      </c>
      <c r="F686" s="964" t="str">
        <f t="shared" si="59"/>
        <v/>
      </c>
      <c r="G686" s="210">
        <v>25000</v>
      </c>
      <c r="H686" s="210">
        <v>25000</v>
      </c>
      <c r="I686" s="210">
        <v>25000</v>
      </c>
      <c r="J686" s="210">
        <v>25000</v>
      </c>
      <c r="K686" s="212"/>
      <c r="L686" s="210"/>
      <c r="M686" s="210"/>
      <c r="N686" s="727"/>
      <c r="O686" s="135"/>
      <c r="Z686"/>
      <c r="AX686"/>
      <c r="AY686"/>
      <c r="AZ686"/>
      <c r="BA686"/>
      <c r="CH686"/>
    </row>
    <row r="687" spans="4:86">
      <c r="D687" s="8" t="s">
        <v>433</v>
      </c>
      <c r="E687" s="44">
        <f>+Esc_Itemized</f>
        <v>0.05</v>
      </c>
      <c r="F687" s="964" t="str">
        <f t="shared" si="59"/>
        <v/>
      </c>
      <c r="G687" s="223">
        <v>0.05</v>
      </c>
      <c r="H687" s="223">
        <v>0.05</v>
      </c>
      <c r="I687" s="223">
        <v>0.05</v>
      </c>
      <c r="J687" s="223">
        <v>0.05</v>
      </c>
      <c r="K687" s="212"/>
      <c r="L687" s="223"/>
      <c r="M687" s="223"/>
      <c r="N687" s="944"/>
      <c r="O687" s="122"/>
      <c r="Z687"/>
      <c r="AX687"/>
      <c r="AY687"/>
      <c r="AZ687"/>
      <c r="BA687"/>
      <c r="CH687"/>
    </row>
    <row r="688" spans="4:86">
      <c r="D688" s="8" t="s">
        <v>739</v>
      </c>
      <c r="E688" s="92">
        <f>+End_Itemized</f>
        <v>68</v>
      </c>
      <c r="F688" s="964" t="str">
        <f t="shared" si="59"/>
        <v/>
      </c>
      <c r="G688" s="210">
        <v>68</v>
      </c>
      <c r="H688" s="210">
        <v>68</v>
      </c>
      <c r="I688" s="210">
        <v>68</v>
      </c>
      <c r="J688" s="210">
        <v>68</v>
      </c>
      <c r="K688" s="212"/>
      <c r="L688" s="210"/>
      <c r="M688" s="210"/>
      <c r="N688" s="727"/>
      <c r="O688" s="135"/>
      <c r="Z688"/>
      <c r="AX688"/>
      <c r="AY688"/>
      <c r="AZ688"/>
      <c r="BA688"/>
      <c r="CH688"/>
    </row>
    <row r="689" spans="4:86">
      <c r="D689" s="454" t="s">
        <v>2099</v>
      </c>
      <c r="E689" s="92">
        <f>+E202</f>
        <v>9600</v>
      </c>
      <c r="F689" s="964" t="str">
        <f t="shared" si="59"/>
        <v/>
      </c>
      <c r="G689" s="210">
        <v>9600</v>
      </c>
      <c r="H689" s="210">
        <v>10300</v>
      </c>
      <c r="I689" s="210">
        <v>9600</v>
      </c>
      <c r="J689" s="210">
        <v>0.6</v>
      </c>
      <c r="K689" s="212"/>
      <c r="L689" s="223"/>
      <c r="M689" s="223"/>
      <c r="N689" s="944"/>
      <c r="O689" s="122"/>
      <c r="Z689"/>
      <c r="AX689"/>
      <c r="AY689"/>
      <c r="AZ689"/>
      <c r="BA689"/>
      <c r="CH689"/>
    </row>
    <row r="690" spans="4:86">
      <c r="D690" s="454" t="s">
        <v>2098</v>
      </c>
      <c r="E690" s="92">
        <f>+E203</f>
        <v>2900</v>
      </c>
      <c r="F690" s="964"/>
      <c r="G690" s="210">
        <v>2900</v>
      </c>
      <c r="H690" s="210">
        <v>3100</v>
      </c>
      <c r="I690" s="210">
        <v>2900</v>
      </c>
      <c r="J690" s="210"/>
      <c r="K690" s="212"/>
      <c r="L690" s="223"/>
      <c r="M690" s="223"/>
      <c r="N690" s="944"/>
      <c r="O690" s="122"/>
      <c r="Z690"/>
      <c r="AX690"/>
      <c r="AY690"/>
      <c r="AZ690"/>
      <c r="BA690"/>
      <c r="CH690"/>
    </row>
    <row r="691" spans="4:86">
      <c r="D691" s="454" t="s">
        <v>2100</v>
      </c>
      <c r="E691" s="92">
        <f>+E205</f>
        <v>2700</v>
      </c>
      <c r="F691" s="964"/>
      <c r="G691" s="210">
        <v>2700</v>
      </c>
      <c r="H691" s="210">
        <v>2700</v>
      </c>
      <c r="I691" s="210">
        <v>2700</v>
      </c>
      <c r="J691" s="210"/>
      <c r="K691" s="212"/>
      <c r="L691" s="223"/>
      <c r="M691" s="223"/>
      <c r="N691" s="944"/>
      <c r="O691" s="122"/>
      <c r="Z691"/>
      <c r="AX691"/>
      <c r="AY691"/>
      <c r="AZ691"/>
      <c r="BA691"/>
      <c r="CH691"/>
    </row>
    <row r="692" spans="4:86">
      <c r="D692" s="454" t="s">
        <v>2101</v>
      </c>
      <c r="E692" s="92">
        <f>+E206</f>
        <v>2000</v>
      </c>
      <c r="F692" s="964"/>
      <c r="G692" s="210">
        <v>2000</v>
      </c>
      <c r="H692" s="210">
        <v>2000</v>
      </c>
      <c r="I692" s="210">
        <v>2000</v>
      </c>
      <c r="J692" s="210"/>
      <c r="K692" s="212"/>
      <c r="L692" s="223"/>
      <c r="M692" s="223"/>
      <c r="N692" s="944"/>
      <c r="O692" s="122"/>
      <c r="Z692"/>
      <c r="AX692"/>
      <c r="AY692"/>
      <c r="AZ692"/>
      <c r="BA692"/>
      <c r="CH692"/>
    </row>
    <row r="693" spans="4:86">
      <c r="D693" s="8" t="s">
        <v>1510</v>
      </c>
      <c r="E693" s="118" t="str">
        <f>+State_Method</f>
        <v>bracket</v>
      </c>
      <c r="F693" s="964" t="str">
        <f t="shared" si="59"/>
        <v/>
      </c>
      <c r="G693" s="830" t="s">
        <v>1136</v>
      </c>
      <c r="H693" s="830" t="s">
        <v>1136</v>
      </c>
      <c r="I693" s="830" t="s">
        <v>1136</v>
      </c>
      <c r="J693" s="830" t="s">
        <v>1136</v>
      </c>
      <c r="K693" s="444"/>
      <c r="L693" s="830"/>
      <c r="M693" s="223"/>
      <c r="N693" s="944"/>
      <c r="O693" s="122"/>
      <c r="Z693"/>
      <c r="AX693"/>
      <c r="AY693"/>
      <c r="AZ693"/>
      <c r="BA693"/>
      <c r="CH693"/>
    </row>
    <row r="694" spans="4:86">
      <c r="D694" s="18" t="s">
        <v>1423</v>
      </c>
      <c r="E694" s="44">
        <f>+State_Rate</f>
        <v>0.01</v>
      </c>
      <c r="F694" s="964" t="str">
        <f t="shared" si="59"/>
        <v/>
      </c>
      <c r="G694" s="223">
        <v>0.01</v>
      </c>
      <c r="H694" s="223">
        <v>0.01</v>
      </c>
      <c r="I694" s="223">
        <v>0.01</v>
      </c>
      <c r="J694" s="223">
        <v>0.01</v>
      </c>
      <c r="K694" s="212"/>
      <c r="L694" s="223"/>
      <c r="M694" s="223"/>
      <c r="N694" s="944"/>
      <c r="O694" s="122"/>
      <c r="Z694"/>
      <c r="AX694"/>
      <c r="AY694"/>
      <c r="AZ694"/>
      <c r="BA694"/>
      <c r="CH694"/>
    </row>
    <row r="695" spans="4:86">
      <c r="D695" s="18" t="s">
        <v>234</v>
      </c>
      <c r="E695" s="44">
        <f>+State_Rate2</f>
        <v>0.02</v>
      </c>
      <c r="F695" s="964" t="str">
        <f t="shared" si="59"/>
        <v/>
      </c>
      <c r="G695" s="223">
        <v>0.02</v>
      </c>
      <c r="H695" s="223">
        <v>0.02</v>
      </c>
      <c r="I695" s="223">
        <v>0.02</v>
      </c>
      <c r="J695" s="223">
        <v>0.02</v>
      </c>
      <c r="K695" s="223"/>
      <c r="L695" s="223"/>
      <c r="M695" s="223"/>
      <c r="N695" s="944"/>
      <c r="O695" s="122"/>
      <c r="Z695"/>
      <c r="AX695"/>
      <c r="AY695"/>
      <c r="AZ695"/>
      <c r="BA695"/>
      <c r="CH695"/>
    </row>
    <row r="696" spans="4:86">
      <c r="D696" s="19" t="s">
        <v>1220</v>
      </c>
      <c r="E696" s="340" t="str">
        <f>+SS_Tax_State</f>
        <v>n</v>
      </c>
      <c r="F696" s="964" t="str">
        <f t="shared" si="59"/>
        <v/>
      </c>
      <c r="G696" s="445" t="s">
        <v>1133</v>
      </c>
      <c r="H696" s="445" t="s">
        <v>1133</v>
      </c>
      <c r="I696" s="445" t="s">
        <v>1133</v>
      </c>
      <c r="J696" s="445" t="s">
        <v>1133</v>
      </c>
      <c r="K696" s="212"/>
      <c r="L696" s="445"/>
      <c r="M696" s="445"/>
      <c r="N696" s="942"/>
      <c r="O696" s="943"/>
      <c r="Z696"/>
      <c r="AX696"/>
      <c r="AY696"/>
      <c r="AZ696"/>
      <c r="BA696"/>
      <c r="CH696"/>
    </row>
    <row r="697" spans="4:86">
      <c r="D697" s="19" t="s">
        <v>684</v>
      </c>
      <c r="E697" s="340" t="str">
        <f>+SS_Tax_State2</f>
        <v>y</v>
      </c>
      <c r="F697" s="964" t="str">
        <f t="shared" si="59"/>
        <v/>
      </c>
      <c r="G697" s="445" t="s">
        <v>851</v>
      </c>
      <c r="H697" s="445" t="s">
        <v>851</v>
      </c>
      <c r="I697" s="445" t="s">
        <v>851</v>
      </c>
      <c r="J697" s="445" t="s">
        <v>851</v>
      </c>
      <c r="K697" s="212"/>
      <c r="L697" s="445"/>
      <c r="M697" s="445"/>
      <c r="N697" s="942"/>
      <c r="O697" s="943"/>
      <c r="Z697"/>
      <c r="AX697"/>
      <c r="AY697"/>
      <c r="AZ697"/>
      <c r="BA697"/>
      <c r="CH697"/>
    </row>
    <row r="698" spans="4:86">
      <c r="D698" s="8" t="s">
        <v>235</v>
      </c>
      <c r="E698" s="44">
        <f>+Pen_Tax_State</f>
        <v>1</v>
      </c>
      <c r="F698" s="964" t="str">
        <f t="shared" si="59"/>
        <v/>
      </c>
      <c r="G698" s="223">
        <v>1</v>
      </c>
      <c r="H698" s="223">
        <v>1</v>
      </c>
      <c r="I698" s="223">
        <v>1</v>
      </c>
      <c r="J698" s="223">
        <v>1</v>
      </c>
      <c r="K698" s="223"/>
      <c r="L698" s="223"/>
      <c r="M698" s="445"/>
      <c r="N698" s="942"/>
      <c r="O698" s="943"/>
      <c r="Z698"/>
      <c r="AX698"/>
      <c r="AY698"/>
      <c r="AZ698"/>
      <c r="BA698"/>
      <c r="CH698"/>
    </row>
    <row r="699" spans="4:86">
      <c r="D699" s="8" t="s">
        <v>236</v>
      </c>
      <c r="E699" s="44">
        <f>+Pen_Tax_State2</f>
        <v>0.5</v>
      </c>
      <c r="F699" s="964" t="str">
        <f t="shared" si="59"/>
        <v/>
      </c>
      <c r="G699" s="223">
        <v>0.5</v>
      </c>
      <c r="H699" s="223">
        <v>0.5</v>
      </c>
      <c r="I699" s="223">
        <v>0.5</v>
      </c>
      <c r="J699" s="223">
        <v>0.5</v>
      </c>
      <c r="K699" s="223"/>
      <c r="L699" s="223"/>
      <c r="M699" s="445"/>
      <c r="N699" s="942"/>
      <c r="O699" s="943"/>
      <c r="Z699"/>
      <c r="AX699"/>
      <c r="AY699"/>
      <c r="AZ699"/>
      <c r="BA699"/>
      <c r="CH699"/>
    </row>
    <row r="700" spans="4:86">
      <c r="D700" s="8" t="s">
        <v>1014</v>
      </c>
      <c r="E700" s="44">
        <f>+TaxEx_State</f>
        <v>1</v>
      </c>
      <c r="F700" s="964" t="str">
        <f t="shared" si="59"/>
        <v/>
      </c>
      <c r="G700" s="223">
        <v>1</v>
      </c>
      <c r="H700" s="223">
        <v>1</v>
      </c>
      <c r="I700" s="223">
        <v>1</v>
      </c>
      <c r="J700" s="223">
        <v>1</v>
      </c>
      <c r="K700" s="223"/>
      <c r="L700" s="223"/>
      <c r="M700" s="445"/>
      <c r="N700" s="942"/>
      <c r="O700" s="943"/>
      <c r="Z700"/>
      <c r="AX700"/>
      <c r="AY700"/>
      <c r="AZ700"/>
      <c r="BA700"/>
      <c r="CH700"/>
    </row>
    <row r="701" spans="4:86">
      <c r="D701" s="8" t="s">
        <v>1015</v>
      </c>
      <c r="E701" s="44">
        <f>+TaxEx_State2</f>
        <v>0</v>
      </c>
      <c r="F701" s="964" t="str">
        <f t="shared" si="59"/>
        <v/>
      </c>
      <c r="G701" s="223">
        <v>0</v>
      </c>
      <c r="H701" s="223">
        <v>0</v>
      </c>
      <c r="I701" s="223">
        <v>0</v>
      </c>
      <c r="J701" s="223">
        <v>0</v>
      </c>
      <c r="K701" s="223"/>
      <c r="L701" s="223"/>
      <c r="M701" s="445"/>
      <c r="N701" s="942"/>
      <c r="O701" s="943"/>
      <c r="Z701"/>
      <c r="AX701"/>
      <c r="AY701"/>
      <c r="AZ701"/>
      <c r="BA701"/>
      <c r="CH701"/>
    </row>
    <row r="702" spans="4:86">
      <c r="D702" s="8" t="s">
        <v>545</v>
      </c>
      <c r="E702" s="92">
        <f>+State_PE</f>
        <v>2000</v>
      </c>
      <c r="F702" s="964" t="str">
        <f t="shared" si="59"/>
        <v/>
      </c>
      <c r="G702" s="210">
        <v>2000</v>
      </c>
      <c r="H702" s="210">
        <v>2000</v>
      </c>
      <c r="I702" s="210">
        <v>2000</v>
      </c>
      <c r="J702" s="210">
        <v>2100</v>
      </c>
      <c r="K702" s="210"/>
      <c r="L702" s="210"/>
      <c r="M702" s="445"/>
      <c r="N702" s="942"/>
      <c r="O702" s="943"/>
      <c r="Z702"/>
      <c r="AX702"/>
      <c r="AY702"/>
      <c r="AZ702"/>
      <c r="BA702"/>
      <c r="CH702"/>
    </row>
    <row r="703" spans="4:86">
      <c r="D703" s="8" t="s">
        <v>1059</v>
      </c>
      <c r="E703" s="92">
        <f>+Exemptions_Add</f>
        <v>0</v>
      </c>
      <c r="F703" s="964" t="str">
        <f t="shared" si="59"/>
        <v/>
      </c>
      <c r="G703" s="210">
        <v>0</v>
      </c>
      <c r="H703" s="210">
        <v>0</v>
      </c>
      <c r="I703" s="210">
        <v>0</v>
      </c>
      <c r="J703" s="210">
        <v>0</v>
      </c>
      <c r="K703" s="210"/>
      <c r="L703" s="210"/>
      <c r="M703" s="445"/>
      <c r="N703" s="942"/>
      <c r="O703" s="943"/>
      <c r="Z703"/>
      <c r="AX703"/>
      <c r="AY703"/>
      <c r="AZ703"/>
      <c r="BA703"/>
      <c r="CH703"/>
    </row>
    <row r="704" spans="4:86">
      <c r="D704" s="8" t="s">
        <v>152</v>
      </c>
      <c r="E704" s="92">
        <f>+Exemptions_Start</f>
        <v>0</v>
      </c>
      <c r="F704" s="964" t="str">
        <f t="shared" si="59"/>
        <v/>
      </c>
      <c r="G704" s="210">
        <v>0</v>
      </c>
      <c r="H704" s="210">
        <v>0</v>
      </c>
      <c r="I704" s="210">
        <v>0</v>
      </c>
      <c r="J704" s="210">
        <v>68</v>
      </c>
      <c r="K704" s="210"/>
      <c r="L704" s="210"/>
      <c r="M704" s="445"/>
      <c r="N704" s="942"/>
      <c r="O704" s="943"/>
      <c r="Z704"/>
      <c r="AX704"/>
      <c r="AY704"/>
      <c r="AZ704"/>
      <c r="BA704"/>
      <c r="CH704"/>
    </row>
    <row r="705" spans="4:86">
      <c r="D705" s="8" t="s">
        <v>296</v>
      </c>
      <c r="E705" s="92">
        <f>+Exemptions_End</f>
        <v>0</v>
      </c>
      <c r="F705" s="964" t="str">
        <f t="shared" si="59"/>
        <v/>
      </c>
      <c r="G705" s="210">
        <v>0</v>
      </c>
      <c r="H705" s="210">
        <v>0</v>
      </c>
      <c r="I705" s="210">
        <v>0</v>
      </c>
      <c r="J705" s="210">
        <v>75</v>
      </c>
      <c r="K705" s="210"/>
      <c r="L705" s="210"/>
      <c r="M705" s="445"/>
      <c r="N705" s="942"/>
      <c r="O705" s="943"/>
      <c r="Z705"/>
      <c r="AX705"/>
      <c r="AY705"/>
      <c r="AZ705"/>
      <c r="BA705"/>
      <c r="CH705"/>
    </row>
    <row r="706" spans="4:86">
      <c r="D706" s="8" t="s">
        <v>857</v>
      </c>
      <c r="E706" s="92">
        <f>+State_SD</f>
        <v>5000</v>
      </c>
      <c r="F706" s="964" t="str">
        <f t="shared" si="59"/>
        <v/>
      </c>
      <c r="G706" s="210">
        <v>5000</v>
      </c>
      <c r="H706" s="210">
        <v>5000</v>
      </c>
      <c r="I706" s="210">
        <v>5000</v>
      </c>
      <c r="J706" s="210">
        <v>4945</v>
      </c>
      <c r="K706" s="210"/>
      <c r="L706" s="210"/>
      <c r="M706" s="445"/>
      <c r="N706" s="942"/>
      <c r="O706" s="943"/>
      <c r="Z706"/>
      <c r="AX706"/>
      <c r="AY706"/>
      <c r="AZ706"/>
      <c r="BA706"/>
      <c r="CH706"/>
    </row>
    <row r="707" spans="4:86">
      <c r="D707" s="8" t="s">
        <v>959</v>
      </c>
      <c r="E707" s="44">
        <f>+State_Br_Per1</f>
        <v>0.02</v>
      </c>
      <c r="F707" s="964" t="str">
        <f t="shared" si="59"/>
        <v/>
      </c>
      <c r="G707" s="223">
        <v>0.02</v>
      </c>
      <c r="H707" s="223">
        <v>0.02</v>
      </c>
      <c r="I707" s="223">
        <v>0.02</v>
      </c>
      <c r="J707" s="223">
        <v>2.5899999999999999E-2</v>
      </c>
      <c r="K707" s="223"/>
      <c r="L707" s="223"/>
      <c r="M707" s="445"/>
      <c r="N707" s="942"/>
      <c r="O707" s="943"/>
      <c r="Z707"/>
      <c r="AX707"/>
      <c r="AY707"/>
      <c r="AZ707"/>
      <c r="BA707"/>
      <c r="CH707"/>
    </row>
    <row r="708" spans="4:86">
      <c r="D708" s="8" t="s">
        <v>1038</v>
      </c>
      <c r="E708" s="92">
        <f>+State_Br_Amt1</f>
        <v>10000</v>
      </c>
      <c r="F708" s="964" t="str">
        <f t="shared" si="59"/>
        <v/>
      </c>
      <c r="G708" s="210">
        <v>10000</v>
      </c>
      <c r="H708" s="210">
        <v>10000</v>
      </c>
      <c r="I708" s="210">
        <v>10000</v>
      </c>
      <c r="J708" s="210">
        <v>10000</v>
      </c>
      <c r="K708" s="210"/>
      <c r="L708" s="210"/>
      <c r="M708" s="445"/>
      <c r="N708" s="942"/>
      <c r="O708" s="943"/>
      <c r="Z708"/>
      <c r="AX708"/>
      <c r="AY708"/>
      <c r="AZ708"/>
      <c r="BA708"/>
      <c r="CH708"/>
    </row>
    <row r="709" spans="4:86">
      <c r="D709" s="8" t="s">
        <v>960</v>
      </c>
      <c r="E709" s="44">
        <f>+State_Br_Per2</f>
        <v>0.03</v>
      </c>
      <c r="F709" s="964" t="str">
        <f t="shared" si="59"/>
        <v/>
      </c>
      <c r="G709" s="223">
        <v>0.03</v>
      </c>
      <c r="H709" s="223">
        <v>0.03</v>
      </c>
      <c r="I709" s="223">
        <v>0.03</v>
      </c>
      <c r="J709" s="223">
        <v>2.8799999999999999E-2</v>
      </c>
      <c r="K709" s="223"/>
      <c r="L709" s="223"/>
      <c r="M709" s="445"/>
      <c r="N709" s="942"/>
      <c r="O709" s="943"/>
      <c r="Z709"/>
      <c r="AX709"/>
      <c r="AY709"/>
      <c r="AZ709"/>
      <c r="BA709"/>
      <c r="CH709"/>
    </row>
    <row r="710" spans="4:86">
      <c r="D710" s="8" t="s">
        <v>1038</v>
      </c>
      <c r="E710" s="92">
        <f>+State_Br_Amt2</f>
        <v>30000</v>
      </c>
      <c r="F710" s="964" t="str">
        <f t="shared" si="59"/>
        <v/>
      </c>
      <c r="G710" s="210">
        <v>30000</v>
      </c>
      <c r="H710" s="210">
        <v>30000</v>
      </c>
      <c r="I710" s="210">
        <v>30000</v>
      </c>
      <c r="J710" s="210">
        <v>25000</v>
      </c>
      <c r="K710" s="210"/>
      <c r="L710" s="210"/>
      <c r="M710" s="445"/>
      <c r="N710" s="942"/>
      <c r="O710" s="943"/>
      <c r="Z710"/>
      <c r="AX710"/>
      <c r="AY710"/>
      <c r="AZ710"/>
      <c r="BA710"/>
      <c r="CH710"/>
    </row>
    <row r="711" spans="4:86">
      <c r="D711" s="8" t="s">
        <v>961</v>
      </c>
      <c r="E711" s="44">
        <f>+State_Br_Per3</f>
        <v>0.04</v>
      </c>
      <c r="F711" s="964" t="str">
        <f t="shared" si="59"/>
        <v/>
      </c>
      <c r="G711" s="223">
        <v>0.04</v>
      </c>
      <c r="H711" s="223">
        <v>0.04</v>
      </c>
      <c r="I711" s="223">
        <v>0.04</v>
      </c>
      <c r="J711" s="223">
        <v>3.3599999999999998E-2</v>
      </c>
      <c r="K711" s="223"/>
      <c r="L711" s="223"/>
      <c r="M711" s="445"/>
      <c r="N711" s="942"/>
      <c r="O711" s="943"/>
      <c r="Z711"/>
      <c r="AX711"/>
      <c r="AY711"/>
      <c r="AZ711"/>
      <c r="BA711"/>
      <c r="CH711"/>
    </row>
    <row r="712" spans="4:86">
      <c r="D712" s="8" t="s">
        <v>995</v>
      </c>
      <c r="E712" s="92">
        <f>+State2_PE</f>
        <v>4000</v>
      </c>
      <c r="F712" s="964" t="str">
        <f t="shared" si="59"/>
        <v/>
      </c>
      <c r="G712" s="210">
        <v>4000</v>
      </c>
      <c r="H712" s="210">
        <v>4000</v>
      </c>
      <c r="I712" s="210">
        <v>4000</v>
      </c>
      <c r="J712" s="210">
        <v>3900</v>
      </c>
      <c r="K712" s="210"/>
      <c r="L712" s="210"/>
      <c r="M712" s="445"/>
      <c r="N712" s="942"/>
      <c r="O712" s="943"/>
      <c r="Z712"/>
      <c r="AX712"/>
      <c r="AY712"/>
      <c r="AZ712"/>
      <c r="BA712"/>
      <c r="CH712"/>
    </row>
    <row r="713" spans="4:86">
      <c r="D713" s="8" t="s">
        <v>996</v>
      </c>
      <c r="E713" s="92">
        <f>+State2_SD</f>
        <v>6000</v>
      </c>
      <c r="F713" s="964" t="str">
        <f t="shared" si="59"/>
        <v/>
      </c>
      <c r="G713" s="210">
        <v>6000</v>
      </c>
      <c r="H713" s="210">
        <v>6000</v>
      </c>
      <c r="I713" s="210">
        <v>6000</v>
      </c>
      <c r="J713" s="210">
        <v>6200</v>
      </c>
      <c r="K713" s="210"/>
      <c r="L713" s="210"/>
      <c r="M713" s="445"/>
      <c r="N713" s="942"/>
      <c r="O713" s="943"/>
      <c r="Z713"/>
      <c r="AX713"/>
      <c r="AY713"/>
      <c r="AZ713"/>
      <c r="BA713"/>
      <c r="CH713"/>
    </row>
    <row r="714" spans="4:86">
      <c r="D714" s="8" t="s">
        <v>997</v>
      </c>
      <c r="E714" s="44">
        <f>+State2_Br_Per1</f>
        <v>0.05</v>
      </c>
      <c r="F714" s="964" t="str">
        <f t="shared" si="59"/>
        <v/>
      </c>
      <c r="G714" s="223">
        <v>0.05</v>
      </c>
      <c r="H714" s="223">
        <v>0.05</v>
      </c>
      <c r="I714" s="223">
        <v>0.05</v>
      </c>
      <c r="J714" s="223">
        <v>5.2499999999999998E-2</v>
      </c>
      <c r="K714" s="223"/>
      <c r="L714" s="223"/>
      <c r="M714" s="445"/>
      <c r="N714" s="942"/>
      <c r="O714" s="943"/>
      <c r="Z714"/>
      <c r="AX714"/>
      <c r="AY714"/>
      <c r="AZ714"/>
      <c r="BA714"/>
      <c r="CH714"/>
    </row>
    <row r="715" spans="4:86">
      <c r="D715" s="8" t="s">
        <v>1038</v>
      </c>
      <c r="E715" s="92">
        <f>+State2_Br_Amt1</f>
        <v>25000</v>
      </c>
      <c r="F715" s="964" t="str">
        <f t="shared" si="59"/>
        <v/>
      </c>
      <c r="G715" s="210">
        <v>25000</v>
      </c>
      <c r="H715" s="210">
        <v>25000</v>
      </c>
      <c r="I715" s="210">
        <v>25000</v>
      </c>
      <c r="J715" s="210">
        <v>24680</v>
      </c>
      <c r="K715" s="210"/>
      <c r="L715" s="210"/>
      <c r="M715" s="445"/>
      <c r="N715" s="942"/>
      <c r="O715" s="943"/>
      <c r="Z715"/>
      <c r="AX715"/>
      <c r="AY715"/>
      <c r="AZ715"/>
      <c r="BA715"/>
      <c r="CH715"/>
    </row>
    <row r="716" spans="4:86">
      <c r="D716" s="8" t="s">
        <v>998</v>
      </c>
      <c r="E716" s="44">
        <f>+State2_Br_Per2</f>
        <v>7.0000000000000007E-2</v>
      </c>
      <c r="F716" s="964" t="str">
        <f t="shared" si="59"/>
        <v/>
      </c>
      <c r="G716" s="223">
        <v>7.0000000000000007E-2</v>
      </c>
      <c r="H716" s="223">
        <v>7.0000000000000007E-2</v>
      </c>
      <c r="I716" s="223">
        <v>7.0000000000000007E-2</v>
      </c>
      <c r="J716" s="223">
        <v>7.0499999999999993E-2</v>
      </c>
      <c r="K716" s="223"/>
      <c r="L716" s="223"/>
      <c r="M716" s="445"/>
      <c r="N716" s="942"/>
      <c r="O716" s="943"/>
      <c r="Z716"/>
      <c r="AX716"/>
      <c r="AY716"/>
      <c r="AZ716"/>
      <c r="BA716"/>
      <c r="CH716"/>
    </row>
    <row r="717" spans="4:86">
      <c r="D717" s="8" t="s">
        <v>1038</v>
      </c>
      <c r="E717" s="92">
        <f>+State2_Br_Amt2</f>
        <v>80000</v>
      </c>
      <c r="F717" s="964" t="str">
        <f t="shared" si="59"/>
        <v/>
      </c>
      <c r="G717" s="210">
        <v>80000</v>
      </c>
      <c r="H717" s="210">
        <v>80000</v>
      </c>
      <c r="I717" s="210">
        <v>80000</v>
      </c>
      <c r="J717" s="210">
        <v>81080</v>
      </c>
      <c r="K717" s="210"/>
      <c r="L717" s="210"/>
      <c r="M717" s="445"/>
      <c r="N717" s="942"/>
      <c r="O717" s="943"/>
      <c r="Z717"/>
      <c r="AX717"/>
      <c r="AY717"/>
      <c r="AZ717"/>
      <c r="BA717"/>
      <c r="CH717"/>
    </row>
    <row r="718" spans="4:86">
      <c r="D718" s="8" t="s">
        <v>999</v>
      </c>
      <c r="E718" s="44">
        <f>+State2_Br_Per3</f>
        <v>0.08</v>
      </c>
      <c r="F718" s="964" t="str">
        <f t="shared" si="59"/>
        <v/>
      </c>
      <c r="G718" s="223">
        <v>0.08</v>
      </c>
      <c r="H718" s="223">
        <v>0.08</v>
      </c>
      <c r="I718" s="223">
        <v>0.08</v>
      </c>
      <c r="J718" s="223">
        <v>7.85E-2</v>
      </c>
      <c r="K718" s="223"/>
      <c r="L718" s="223"/>
      <c r="M718" s="445"/>
      <c r="N718" s="942"/>
      <c r="O718" s="943"/>
      <c r="Z718"/>
      <c r="AX718"/>
      <c r="AY718"/>
      <c r="AZ718"/>
      <c r="BA718"/>
      <c r="CH718"/>
    </row>
    <row r="719" spans="4:86">
      <c r="D719" s="12" t="s">
        <v>1037</v>
      </c>
      <c r="E719" s="118" t="str">
        <f>+Esc_Fed_Ded</f>
        <v>y</v>
      </c>
      <c r="F719" s="964" t="str">
        <f t="shared" si="59"/>
        <v/>
      </c>
      <c r="G719" s="830" t="s">
        <v>851</v>
      </c>
      <c r="H719" s="830" t="s">
        <v>851</v>
      </c>
      <c r="I719" s="830" t="s">
        <v>851</v>
      </c>
      <c r="J719" s="830" t="s">
        <v>851</v>
      </c>
      <c r="K719" s="830"/>
      <c r="L719" s="830"/>
      <c r="M719" s="445"/>
      <c r="N719" s="942"/>
      <c r="O719" s="943"/>
      <c r="Z719"/>
      <c r="AX719"/>
      <c r="AY719"/>
      <c r="AZ719"/>
      <c r="BA719"/>
      <c r="CH719"/>
    </row>
    <row r="720" spans="4:86">
      <c r="D720" s="19" t="s">
        <v>1422</v>
      </c>
      <c r="E720" s="92">
        <f>+State_Move_Age</f>
        <v>84</v>
      </c>
      <c r="F720" s="964" t="str">
        <f t="shared" si="59"/>
        <v/>
      </c>
      <c r="G720" s="210">
        <v>84</v>
      </c>
      <c r="H720" s="210">
        <v>84</v>
      </c>
      <c r="I720" s="210">
        <v>84</v>
      </c>
      <c r="J720" s="210">
        <v>84</v>
      </c>
      <c r="K720" s="212"/>
      <c r="L720" s="210"/>
      <c r="M720" s="210"/>
      <c r="N720" s="727"/>
      <c r="O720" s="135"/>
      <c r="Z720"/>
      <c r="AX720"/>
      <c r="AY720"/>
      <c r="AZ720"/>
      <c r="BA720"/>
      <c r="CH720"/>
    </row>
    <row r="721" spans="4:86" ht="17.399999999999999">
      <c r="D721" s="739" t="s">
        <v>142</v>
      </c>
      <c r="E721" s="92"/>
      <c r="F721" s="964" t="str">
        <f t="shared" si="59"/>
        <v/>
      </c>
      <c r="G721" s="210"/>
      <c r="H721" s="210"/>
      <c r="I721" s="210"/>
      <c r="J721" s="210"/>
      <c r="K721" s="212"/>
      <c r="L721" s="210"/>
      <c r="M721" s="210"/>
      <c r="N721" s="1"/>
      <c r="O721" s="135"/>
      <c r="Z721"/>
      <c r="AX721"/>
      <c r="AY721"/>
      <c r="AZ721"/>
      <c r="BA721"/>
      <c r="CH721"/>
    </row>
    <row r="722" spans="4:86">
      <c r="D722" s="12" t="s">
        <v>1427</v>
      </c>
      <c r="E722" s="454" t="str">
        <f>+Setup!E233*100 &amp; "," &amp; Setup!E234*100 &amp; "," &amp; Setup!E235*100 &amp; "," &amp; Setup!E236*100</f>
        <v>15,20,30,33</v>
      </c>
      <c r="F722" s="964" t="str">
        <f t="shared" si="59"/>
        <v/>
      </c>
      <c r="G722" s="455" t="s">
        <v>1433</v>
      </c>
      <c r="H722" s="455" t="s">
        <v>1433</v>
      </c>
      <c r="I722" s="455" t="s">
        <v>1433</v>
      </c>
      <c r="J722" s="455" t="s">
        <v>1433</v>
      </c>
      <c r="K722" s="212"/>
      <c r="L722" s="455"/>
      <c r="M722" s="455"/>
      <c r="N722" s="948"/>
      <c r="O722" s="949"/>
      <c r="Z722"/>
      <c r="AX722"/>
      <c r="AY722"/>
      <c r="AZ722"/>
      <c r="BA722"/>
      <c r="CH722"/>
    </row>
    <row r="723" spans="4:86">
      <c r="D723" s="12" t="s">
        <v>1428</v>
      </c>
      <c r="E723" s="8">
        <f>+Setup!F233</f>
        <v>2025</v>
      </c>
      <c r="F723" s="964" t="str">
        <f t="shared" si="59"/>
        <v/>
      </c>
      <c r="G723" s="444">
        <v>2025</v>
      </c>
      <c r="H723" s="444">
        <v>2025</v>
      </c>
      <c r="I723" s="444">
        <v>2025</v>
      </c>
      <c r="J723" s="444">
        <v>2025</v>
      </c>
      <c r="K723" s="212"/>
      <c r="L723" s="444"/>
      <c r="M723" s="444"/>
      <c r="N723" s="941"/>
      <c r="O723" s="629"/>
      <c r="Z723"/>
      <c r="AX723"/>
      <c r="AY723"/>
      <c r="AZ723"/>
      <c r="BA723"/>
      <c r="CH723"/>
    </row>
    <row r="724" spans="4:86">
      <c r="D724" s="12" t="s">
        <v>1429</v>
      </c>
      <c r="E724" s="454" t="str">
        <f>+Setup!H233*100 &amp; "," &amp; Setup!H234*100 &amp; "," &amp; Setup!H235*100 &amp; "," &amp; Setup!H236*100</f>
        <v>14,19,29,32</v>
      </c>
      <c r="F724" s="964" t="str">
        <f t="shared" si="59"/>
        <v/>
      </c>
      <c r="G724" s="455" t="s">
        <v>83</v>
      </c>
      <c r="H724" s="455" t="s">
        <v>83</v>
      </c>
      <c r="I724" s="455" t="s">
        <v>83</v>
      </c>
      <c r="J724" s="455" t="s">
        <v>83</v>
      </c>
      <c r="K724" s="212"/>
      <c r="L724" s="455"/>
      <c r="M724" s="455"/>
      <c r="N724" s="948"/>
      <c r="O724" s="949"/>
      <c r="Z724"/>
      <c r="AX724"/>
      <c r="AY724"/>
      <c r="AZ724"/>
      <c r="BA724"/>
      <c r="CH724"/>
    </row>
    <row r="725" spans="4:86">
      <c r="D725" s="12" t="s">
        <v>1428</v>
      </c>
      <c r="E725" s="8">
        <f>+Setup!I234</f>
        <v>2025</v>
      </c>
      <c r="F725" s="964" t="str">
        <f t="shared" si="59"/>
        <v/>
      </c>
      <c r="G725" s="444">
        <v>2025</v>
      </c>
      <c r="H725" s="444">
        <v>2025</v>
      </c>
      <c r="I725" s="444">
        <v>2025</v>
      </c>
      <c r="J725" s="444">
        <v>2025</v>
      </c>
      <c r="K725" s="212"/>
      <c r="L725" s="444"/>
      <c r="M725" s="444"/>
      <c r="N725" s="941"/>
      <c r="O725" s="629"/>
      <c r="Z725"/>
      <c r="AX725"/>
      <c r="AY725"/>
      <c r="AZ725"/>
      <c r="BA725"/>
      <c r="CH725"/>
    </row>
    <row r="726" spans="4:86" ht="17.399999999999999">
      <c r="D726" s="739" t="s">
        <v>213</v>
      </c>
      <c r="E726" s="86"/>
      <c r="F726" s="964" t="str">
        <f t="shared" si="59"/>
        <v/>
      </c>
      <c r="G726" s="222"/>
      <c r="H726" s="222"/>
      <c r="I726" s="222"/>
      <c r="J726" s="222"/>
      <c r="K726" s="212"/>
      <c r="L726" s="222"/>
      <c r="M726" s="222"/>
      <c r="N726" s="221"/>
      <c r="O726" s="183"/>
      <c r="Z726"/>
      <c r="AX726"/>
      <c r="AY726"/>
      <c r="AZ726"/>
      <c r="BA726"/>
      <c r="CH726"/>
    </row>
    <row r="727" spans="4:86">
      <c r="D727" s="343" t="s">
        <v>1486</v>
      </c>
      <c r="E727" s="340" t="str">
        <f>+Roth_Method</f>
        <v>e</v>
      </c>
      <c r="F727" s="964" t="str">
        <f t="shared" si="59"/>
        <v/>
      </c>
      <c r="G727" s="445" t="s">
        <v>1657</v>
      </c>
      <c r="H727" s="445" t="s">
        <v>1657</v>
      </c>
      <c r="I727" s="445" t="s">
        <v>1657</v>
      </c>
      <c r="J727" s="445" t="s">
        <v>1657</v>
      </c>
      <c r="K727" s="212"/>
      <c r="L727" s="445"/>
      <c r="M727" s="445"/>
      <c r="N727" s="942"/>
      <c r="O727" s="943"/>
      <c r="Z727"/>
      <c r="AX727"/>
      <c r="AY727"/>
      <c r="AZ727"/>
      <c r="BA727"/>
      <c r="CH727"/>
    </row>
    <row r="728" spans="4:86">
      <c r="D728" s="343" t="s">
        <v>442</v>
      </c>
      <c r="E728" s="92">
        <f>+Roth_Convert</f>
        <v>15000</v>
      </c>
      <c r="F728" s="964" t="str">
        <f t="shared" si="59"/>
        <v/>
      </c>
      <c r="G728" s="210">
        <v>15000</v>
      </c>
      <c r="H728" s="210">
        <v>15000</v>
      </c>
      <c r="I728" s="210">
        <v>15000</v>
      </c>
      <c r="J728" s="210">
        <v>15000</v>
      </c>
      <c r="K728" s="212"/>
      <c r="L728" s="210"/>
      <c r="M728" s="210"/>
      <c r="N728" s="727"/>
      <c r="O728" s="135"/>
      <c r="Z728"/>
      <c r="AX728"/>
      <c r="AY728"/>
      <c r="AZ728"/>
      <c r="BA728"/>
      <c r="CH728"/>
    </row>
    <row r="729" spans="4:86">
      <c r="D729" s="343" t="s">
        <v>440</v>
      </c>
      <c r="E729" s="44">
        <f>+Roth_Esc</f>
        <v>9.5000000000000001E-2</v>
      </c>
      <c r="F729" s="964" t="str">
        <f t="shared" si="59"/>
        <v/>
      </c>
      <c r="G729" s="223">
        <v>9.5000000000000001E-2</v>
      </c>
      <c r="H729" s="223">
        <v>9.5000000000000001E-2</v>
      </c>
      <c r="I729" s="223">
        <v>9.5000000000000001E-2</v>
      </c>
      <c r="J729" s="223">
        <v>9.5000000000000001E-2</v>
      </c>
      <c r="K729" s="212"/>
      <c r="L729" s="223"/>
      <c r="M729" s="223"/>
      <c r="N729" s="944"/>
      <c r="O729" s="122"/>
      <c r="Z729"/>
      <c r="AX729"/>
      <c r="AY729"/>
      <c r="AZ729"/>
      <c r="BA729"/>
      <c r="CH729"/>
    </row>
    <row r="730" spans="4:86">
      <c r="D730" s="343" t="s">
        <v>362</v>
      </c>
      <c r="E730" s="92">
        <f>+Roth_Start</f>
        <v>62</v>
      </c>
      <c r="F730" s="964" t="str">
        <f t="shared" si="59"/>
        <v/>
      </c>
      <c r="G730" s="210">
        <v>62</v>
      </c>
      <c r="H730" s="210">
        <v>62</v>
      </c>
      <c r="I730" s="210">
        <v>62</v>
      </c>
      <c r="J730" s="210">
        <v>62</v>
      </c>
      <c r="K730" s="212"/>
      <c r="L730" s="210"/>
      <c r="M730" s="444"/>
      <c r="N730" s="727"/>
      <c r="O730" s="135"/>
      <c r="Z730"/>
      <c r="AX730"/>
      <c r="AY730"/>
      <c r="AZ730"/>
      <c r="BA730"/>
      <c r="CH730"/>
    </row>
    <row r="731" spans="4:86">
      <c r="D731" s="343" t="s">
        <v>363</v>
      </c>
      <c r="E731" s="92">
        <f>+Roth_Convert</f>
        <v>15000</v>
      </c>
      <c r="F731" s="964" t="str">
        <f t="shared" si="59"/>
        <v/>
      </c>
      <c r="G731" s="210">
        <v>15000</v>
      </c>
      <c r="H731" s="210">
        <v>15000</v>
      </c>
      <c r="I731" s="210">
        <v>15000</v>
      </c>
      <c r="J731" s="210">
        <v>15000</v>
      </c>
      <c r="K731" s="212"/>
      <c r="L731" s="210"/>
      <c r="M731" s="210"/>
      <c r="N731" s="727"/>
      <c r="O731" s="135"/>
      <c r="Z731"/>
      <c r="AX731"/>
      <c r="AY731"/>
      <c r="AZ731"/>
      <c r="BA731"/>
      <c r="CH731"/>
    </row>
    <row r="732" spans="4:86">
      <c r="D732" s="343" t="s">
        <v>441</v>
      </c>
      <c r="E732" s="92">
        <f>+Roth_With</f>
        <v>10000</v>
      </c>
      <c r="F732" s="964" t="str">
        <f t="shared" si="59"/>
        <v/>
      </c>
      <c r="G732" s="210">
        <v>10000</v>
      </c>
      <c r="H732" s="210">
        <v>10000</v>
      </c>
      <c r="I732" s="210">
        <v>10000</v>
      </c>
      <c r="J732" s="210">
        <v>10000</v>
      </c>
      <c r="K732" s="212"/>
      <c r="L732" s="210"/>
      <c r="M732" s="210"/>
      <c r="N732" s="727"/>
      <c r="O732" s="135"/>
      <c r="Z732"/>
      <c r="AX732"/>
      <c r="AY732"/>
      <c r="AZ732"/>
      <c r="BA732"/>
      <c r="CH732"/>
    </row>
    <row r="733" spans="4:86">
      <c r="D733" s="343" t="s">
        <v>440</v>
      </c>
      <c r="E733" s="44">
        <f>+Roth_W_Esc</f>
        <v>0.5</v>
      </c>
      <c r="F733" s="964" t="str">
        <f t="shared" si="59"/>
        <v/>
      </c>
      <c r="G733" s="223">
        <v>0.5</v>
      </c>
      <c r="H733" s="223">
        <v>0.5</v>
      </c>
      <c r="I733" s="223">
        <v>0.5</v>
      </c>
      <c r="J733" s="223">
        <v>0.5</v>
      </c>
      <c r="K733" s="212"/>
      <c r="L733" s="223"/>
      <c r="M733" s="223"/>
      <c r="N733" s="944"/>
      <c r="O733" s="122"/>
      <c r="Z733"/>
      <c r="AX733"/>
      <c r="AY733"/>
      <c r="AZ733"/>
      <c r="BA733"/>
      <c r="CH733"/>
    </row>
    <row r="734" spans="4:86">
      <c r="D734" s="343" t="s">
        <v>362</v>
      </c>
      <c r="E734" s="92">
        <f>+Roth_W_Start</f>
        <v>75</v>
      </c>
      <c r="F734" s="964" t="str">
        <f t="shared" si="59"/>
        <v/>
      </c>
      <c r="G734" s="210">
        <v>75</v>
      </c>
      <c r="H734" s="210">
        <v>75</v>
      </c>
      <c r="I734" s="210">
        <v>75</v>
      </c>
      <c r="J734" s="210">
        <v>75</v>
      </c>
      <c r="K734" s="212"/>
      <c r="L734" s="210"/>
      <c r="M734" s="444"/>
      <c r="N734" s="727"/>
      <c r="O734" s="135"/>
      <c r="Z734"/>
      <c r="AX734"/>
      <c r="AY734"/>
      <c r="AZ734"/>
      <c r="BA734"/>
      <c r="CH734"/>
    </row>
    <row r="735" spans="4:86">
      <c r="D735" s="343" t="s">
        <v>363</v>
      </c>
      <c r="E735" s="92">
        <f>+Roth_W_End</f>
        <v>76</v>
      </c>
      <c r="F735" s="964" t="str">
        <f t="shared" si="59"/>
        <v/>
      </c>
      <c r="G735" s="210">
        <v>76</v>
      </c>
      <c r="H735" s="210">
        <v>76</v>
      </c>
      <c r="I735" s="210">
        <v>76</v>
      </c>
      <c r="J735" s="210">
        <v>76</v>
      </c>
      <c r="K735" s="212"/>
      <c r="L735" s="210"/>
      <c r="M735" s="444"/>
      <c r="N735" s="727"/>
      <c r="O735" s="135"/>
      <c r="Z735"/>
      <c r="AX735"/>
      <c r="AY735"/>
      <c r="AZ735"/>
      <c r="BA735"/>
      <c r="CH735"/>
    </row>
    <row r="736" spans="4:86">
      <c r="D736" s="343" t="s">
        <v>438</v>
      </c>
      <c r="E736" s="340">
        <f>+Setup!E251</f>
        <v>0</v>
      </c>
      <c r="F736" s="964" t="str">
        <f t="shared" si="59"/>
        <v/>
      </c>
      <c r="G736" s="445">
        <v>0</v>
      </c>
      <c r="H736" s="445">
        <v>0</v>
      </c>
      <c r="I736" s="445">
        <v>0</v>
      </c>
      <c r="J736" s="445">
        <v>0</v>
      </c>
      <c r="K736" s="212"/>
      <c r="L736" s="445"/>
      <c r="M736" s="445"/>
      <c r="N736" s="942"/>
      <c r="O736" s="943"/>
      <c r="Z736"/>
      <c r="AX736"/>
      <c r="AY736"/>
      <c r="AZ736"/>
      <c r="BA736"/>
      <c r="CH736"/>
    </row>
    <row r="737" spans="1:86">
      <c r="D737" s="343" t="s">
        <v>438</v>
      </c>
      <c r="E737" s="340">
        <f>+Setup!F251</f>
        <v>0</v>
      </c>
      <c r="F737" s="964" t="str">
        <f t="shared" si="59"/>
        <v/>
      </c>
      <c r="G737" s="445">
        <v>0</v>
      </c>
      <c r="H737" s="445">
        <v>0</v>
      </c>
      <c r="I737" s="445">
        <v>0</v>
      </c>
      <c r="J737" s="445">
        <v>0</v>
      </c>
      <c r="K737" s="212"/>
      <c r="L737" s="445"/>
      <c r="M737" s="445"/>
      <c r="N737" s="942"/>
      <c r="O737" s="943"/>
      <c r="Z737"/>
      <c r="AX737"/>
      <c r="AY737"/>
      <c r="AZ737"/>
      <c r="BA737"/>
      <c r="CH737"/>
    </row>
    <row r="738" spans="1:86">
      <c r="D738" s="8" t="s">
        <v>563</v>
      </c>
      <c r="E738" s="340">
        <f>+Roth_Conversion</f>
        <v>274000</v>
      </c>
      <c r="F738" s="964" t="str">
        <f t="shared" si="59"/>
        <v/>
      </c>
      <c r="G738" s="445">
        <v>274000</v>
      </c>
      <c r="H738" s="445">
        <v>274000</v>
      </c>
      <c r="I738" s="445">
        <v>274000</v>
      </c>
      <c r="J738" s="445">
        <v>273000</v>
      </c>
      <c r="K738" s="212"/>
      <c r="L738" s="445"/>
      <c r="M738" s="445"/>
      <c r="N738" s="942"/>
      <c r="O738" s="943"/>
      <c r="Z738"/>
      <c r="AX738"/>
      <c r="AY738"/>
      <c r="AZ738"/>
      <c r="BA738"/>
      <c r="CH738"/>
    </row>
    <row r="739" spans="1:86">
      <c r="D739" s="8" t="s">
        <v>1660</v>
      </c>
      <c r="E739" s="340">
        <f>+Setup!D254</f>
        <v>25000</v>
      </c>
      <c r="F739" s="964" t="str">
        <f t="shared" si="59"/>
        <v/>
      </c>
      <c r="G739" s="445">
        <v>25000</v>
      </c>
      <c r="H739" s="445">
        <v>25000</v>
      </c>
      <c r="I739" s="445">
        <v>25000</v>
      </c>
      <c r="J739" s="445">
        <v>25000</v>
      </c>
      <c r="K739" s="212"/>
      <c r="L739" s="445"/>
      <c r="M739" s="445"/>
      <c r="N739" s="942"/>
      <c r="O739" s="943"/>
      <c r="Z739"/>
      <c r="AX739"/>
      <c r="AY739"/>
      <c r="AZ739"/>
      <c r="BA739"/>
      <c r="CH739"/>
    </row>
    <row r="740" spans="1:86">
      <c r="D740" s="12"/>
      <c r="E740" s="1071" t="s">
        <v>1223</v>
      </c>
      <c r="G740" s="222"/>
      <c r="H740" s="222"/>
      <c r="I740" s="222"/>
      <c r="J740" s="222"/>
      <c r="K740" s="222"/>
      <c r="L740" s="222"/>
      <c r="M740" s="222"/>
      <c r="N740" s="340"/>
      <c r="O740" s="222"/>
      <c r="Z740"/>
      <c r="AX740"/>
      <c r="AY740"/>
      <c r="AZ740"/>
      <c r="BA740"/>
      <c r="CH740"/>
    </row>
    <row r="741" spans="1:86" ht="15.6">
      <c r="C741" s="1443" t="s">
        <v>1935</v>
      </c>
      <c r="D741" s="12"/>
      <c r="E741" s="86"/>
      <c r="G741" s="86"/>
      <c r="H741" s="86"/>
      <c r="I741" s="86"/>
      <c r="J741" s="86"/>
      <c r="K741" s="86"/>
      <c r="L741" s="86"/>
      <c r="M741" s="86"/>
      <c r="N741" s="86"/>
      <c r="O741" s="210"/>
      <c r="Z741"/>
      <c r="AX741"/>
      <c r="AY741"/>
      <c r="AZ741"/>
      <c r="BA741"/>
      <c r="CH741"/>
    </row>
    <row r="742" spans="1:86">
      <c r="A742" s="3"/>
      <c r="M742" s="3"/>
      <c r="N742" s="3"/>
      <c r="O742" s="3"/>
    </row>
    <row r="743" spans="1:86">
      <c r="A743" s="3"/>
      <c r="M743" s="3"/>
      <c r="N743" s="3"/>
      <c r="O743" s="3"/>
    </row>
    <row r="744" spans="1:86">
      <c r="A744" s="3"/>
      <c r="M744" s="3"/>
      <c r="N744" s="3"/>
      <c r="O744" s="3"/>
    </row>
    <row r="745" spans="1:86">
      <c r="A745" s="3"/>
      <c r="M745" s="3"/>
      <c r="N745" s="3"/>
      <c r="O745" s="3"/>
    </row>
    <row r="746" spans="1:86">
      <c r="A746" s="3"/>
      <c r="M746" s="3"/>
      <c r="N746" s="3"/>
      <c r="O746" s="3"/>
    </row>
    <row r="747" spans="1:86">
      <c r="A747" s="3"/>
      <c r="M747" s="3"/>
      <c r="N747" s="3"/>
      <c r="O747" s="3"/>
    </row>
    <row r="748" spans="1:86">
      <c r="A748" s="3"/>
      <c r="M748" s="3"/>
      <c r="N748" s="3"/>
      <c r="O748" s="3"/>
    </row>
    <row r="749" spans="1:86">
      <c r="A749" s="3"/>
      <c r="M749" s="3"/>
      <c r="N749" s="3"/>
      <c r="O749" s="3"/>
    </row>
    <row r="750" spans="1:86">
      <c r="A750" s="3"/>
      <c r="M750" s="3"/>
      <c r="N750" s="3"/>
      <c r="O750" s="3"/>
    </row>
    <row r="751" spans="1:86">
      <c r="A751" s="3"/>
      <c r="M751" s="3"/>
      <c r="N751" s="3"/>
      <c r="O751" s="3"/>
    </row>
    <row r="752" spans="1:86">
      <c r="A752" s="3"/>
      <c r="M752" s="3"/>
      <c r="N752" s="3"/>
      <c r="O752" s="3"/>
    </row>
    <row r="753" spans="1:15">
      <c r="A753" s="3"/>
      <c r="M753" s="3"/>
      <c r="N753" s="3"/>
      <c r="O753" s="3"/>
    </row>
    <row r="754" spans="1:15">
      <c r="A754" s="3"/>
      <c r="M754" s="3"/>
      <c r="N754" s="3"/>
      <c r="O754" s="3"/>
    </row>
    <row r="755" spans="1:15">
      <c r="A755" s="3"/>
      <c r="M755" s="3"/>
      <c r="N755" s="3"/>
      <c r="O755" s="3"/>
    </row>
    <row r="756" spans="1:15">
      <c r="A756" s="3"/>
      <c r="M756" s="3"/>
      <c r="N756" s="3"/>
      <c r="O756" s="3"/>
    </row>
    <row r="757" spans="1:15">
      <c r="A757" s="3"/>
      <c r="M757" s="3"/>
      <c r="N757" s="3"/>
      <c r="O757" s="3"/>
    </row>
    <row r="758" spans="1:15">
      <c r="A758" s="3"/>
      <c r="M758" s="3"/>
      <c r="N758" s="3"/>
      <c r="O758" s="3"/>
    </row>
    <row r="759" spans="1:15">
      <c r="A759" s="3"/>
      <c r="M759" s="3"/>
      <c r="N759" s="3"/>
      <c r="O759" s="3"/>
    </row>
    <row r="760" spans="1:15">
      <c r="A760" s="3"/>
      <c r="M760" s="3"/>
      <c r="N760" s="3"/>
      <c r="O760" s="3"/>
    </row>
    <row r="776" spans="1:62" s="3" customFormat="1">
      <c r="A776" s="69" t="s">
        <v>435</v>
      </c>
      <c r="B776" s="69"/>
      <c r="C776" s="69"/>
      <c r="D776" s="69"/>
      <c r="E776" s="69"/>
      <c r="F776" s="69"/>
      <c r="G776" s="69"/>
      <c r="H776" s="69"/>
      <c r="I776" s="69"/>
      <c r="J776" s="69"/>
      <c r="K776" s="69"/>
      <c r="L776" s="69"/>
      <c r="M776" s="69"/>
      <c r="N776" s="69"/>
      <c r="O776" s="69"/>
      <c r="P776" s="69"/>
      <c r="Q776" s="69"/>
      <c r="R776" s="69"/>
      <c r="S776" s="69"/>
      <c r="T776" s="69"/>
      <c r="U776" s="69"/>
      <c r="V776" s="69"/>
      <c r="W776" s="69"/>
      <c r="X776" s="69"/>
      <c r="Y776" s="69"/>
      <c r="Z776" s="1188"/>
      <c r="AA776" s="69"/>
      <c r="AB776" s="69"/>
      <c r="AC776" s="69"/>
      <c r="AD776" s="69"/>
      <c r="AE776" s="69"/>
      <c r="AF776" s="69"/>
      <c r="AG776" s="69"/>
      <c r="AH776" s="69"/>
      <c r="AI776" s="69"/>
      <c r="AJ776" s="69"/>
      <c r="AK776" s="69"/>
      <c r="AL776" s="69"/>
      <c r="AM776" s="69"/>
      <c r="AN776" s="69"/>
      <c r="AO776" s="69"/>
      <c r="AP776" s="69"/>
      <c r="AQ776" s="69"/>
      <c r="AR776" s="69"/>
      <c r="AS776" s="69"/>
      <c r="AT776" s="69"/>
      <c r="AU776" s="69"/>
      <c r="AV776" s="69"/>
      <c r="AW776" s="69"/>
      <c r="AX776" s="69"/>
      <c r="AY776" s="69"/>
      <c r="AZ776" s="69"/>
      <c r="BA776" s="69"/>
      <c r="BB776" s="69"/>
      <c r="BC776" s="69"/>
      <c r="BD776" s="69"/>
      <c r="BE776" s="69"/>
      <c r="BF776" s="69"/>
      <c r="BG776" s="69"/>
      <c r="BH776" s="69"/>
      <c r="BI776" s="69"/>
      <c r="BJ776" s="69"/>
    </row>
  </sheetData>
  <sheetProtection sheet="1" objects="1" scenarios="1" formatCells="0" formatColumns="0" formatRows="0"/>
  <mergeCells count="8">
    <mergeCell ref="BS256:BX256"/>
    <mergeCell ref="BL255:BP255"/>
    <mergeCell ref="BL256:BQ256"/>
    <mergeCell ref="I23:J23"/>
    <mergeCell ref="G132:H132"/>
    <mergeCell ref="D231:F231"/>
    <mergeCell ref="G231:I231"/>
    <mergeCell ref="E179:F179"/>
  </mergeCells>
  <phoneticPr fontId="13" type="noConversion"/>
  <dataValidations xWindow="241" yWindow="496" count="32">
    <dataValidation type="whole" operator="greaterThanOrEqual" allowBlank="1" showInputMessage="1" showErrorMessage="1" errorTitle="Input Error" error="End Age must be equal to or greater than Start Age" sqref="E250:F250">
      <formula1>E249</formula1>
    </dataValidation>
    <dataValidation type="whole" operator="greaterThanOrEqual" allowBlank="1" showInputMessage="1" showErrorMessage="1" errorTitle="Age Error" error="The Start Age must be equal to or greater than Your Age when bought." sqref="G124">
      <formula1>G123</formula1>
    </dataValidation>
    <dataValidation type="whole" operator="lessThanOrEqual" allowBlank="1" showInputMessage="1" showErrorMessage="1" errorTitle="Age Error" error="Must be equal to or less than Your age end." sqref="E199">
      <formula1>G25</formula1>
    </dataValidation>
    <dataValidation type="whole" errorStyle="warning" operator="equal" allowBlank="1" showInputMessage="1" showErrorMessage="1" errorTitle="Year Choice" error="First year is not the same as the first tax rate year.   Use same year, or exclude taxes, or accept that current year tax rates don't correspond to year selected. If using a different year, change Single Rate Start Year too." sqref="E23">
      <formula1>D232</formula1>
    </dataValidation>
    <dataValidation type="whole" operator="greaterThanOrEqual" allowBlank="1" showInputMessage="1" showErrorMessage="1" errorTitle="Age Error" error="The income starting age must be equal to or greater than Your Age." sqref="G123 G93:G96">
      <formula1>0</formula1>
    </dataValidation>
    <dataValidation type="whole" operator="greaterThanOrEqual" allowBlank="1" showInputMessage="1" showErrorMessage="1" errorTitle="Age Error" error="Age must be equal to or greater than inherit age." sqref="E77">
      <formula1>P195</formula1>
    </dataValidation>
    <dataValidation type="list" allowBlank="1" showInputMessage="1" showErrorMessage="1" sqref="C348">
      <formula1>"Full,Base"</formula1>
    </dataValidation>
    <dataValidation type="list" allowBlank="1" showInputMessage="1" showErrorMessage="1" errorTitle="Input Check" error="Enter y or n" sqref="AB46 I14 E228 E99">
      <formula1>"y, n"</formula1>
    </dataValidation>
    <dataValidation type="whole" operator="greaterThanOrEqual" allowBlank="1" showInputMessage="1" showErrorMessage="1" errorTitle="Age Error" error="Age entered must be equal to or greater than Your Start Age." sqref="G164:G165 G148:G149 G151 G167 G154:G156">
      <formula1>Your_Age</formula1>
    </dataValidation>
    <dataValidation type="whole" operator="greaterThanOrEqual" allowBlank="1" showInputMessage="1" showErrorMessage="1" errorTitle="Age Error" error="Start age must be equal to or greater than the inherit age." sqref="G159">
      <formula1>Inherit_Age</formula1>
    </dataValidation>
    <dataValidation type="whole" operator="greaterThanOrEqual" allowBlank="1" showInputMessage="1" showErrorMessage="1" errorTitle="Age Error" error="Start age must be equal to or greater than the inherit age." sqref="G160">
      <formula1>Inherit_Age2</formula1>
    </dataValidation>
    <dataValidation type="list" allowBlank="1" showErrorMessage="1" errorTitle="Error" error="Enter 66 or 67" prompt="66 or 67" sqref="F101">
      <formula1>"66,67"</formula1>
    </dataValidation>
    <dataValidation type="whole" operator="greaterThanOrEqual" allowBlank="1" showInputMessage="1" showErrorMessage="1" errorTitle="Age Error" error="The SS benefit Start Age must be equal to or greater than the person's start age and 62." sqref="G101:G102 G117:H118 G106:H107 G112:G113">
      <formula1>62</formula1>
    </dataValidation>
    <dataValidation type="list" allowBlank="1" showInputMessage="1" showErrorMessage="1" errorTitle="Input Error" error="Enter a (account) or c (class)" promptTitle="Enter or select" prompt="a - account_x000a_c - class " sqref="E53">
      <formula1>"a, c"</formula1>
    </dataValidation>
    <dataValidation type="list" allowBlank="1" showInputMessage="1" showErrorMessage="1" errorTitle="Input Check" error="Enter c or e" promptTitle="Enter or select" prompt="c - calculated_x000a_e - entered" sqref="E244">
      <formula1>"c, e"</formula1>
    </dataValidation>
    <dataValidation type="list" allowBlank="1" showInputMessage="1" showErrorMessage="1" errorTitle="Input Check" error="Enter t (taxable), i (IRA 1), or r (Roth 1 existing)" promptTitle="Enter or select" prompt="t - taxable_x000a_i - IRA 1_x000a_r - Roth 1 existing" sqref="E124">
      <formula1>"t, i, r"</formula1>
    </dataValidation>
    <dataValidation type="list" allowBlank="1" showInputMessage="1" showErrorMessage="1" errorTitle="Input Check" error="Enter m or s" promptTitle="Enter filing status" prompt="m - married, filing jointly_x000a_s - single" sqref="E192">
      <formula1>"m, s"</formula1>
    </dataValidation>
    <dataValidation type="list" allowBlank="1" showInputMessage="1" showErrorMessage="1" errorTitle="Input Check" error="Select method" promptTitle="Select method" prompt="percent_x000a_bracket" sqref="E209">
      <formula1>"percent,bracket"</formula1>
    </dataValidation>
    <dataValidation type="whole" allowBlank="1" showInputMessage="1" showErrorMessage="1" errorTitle="Year Check" error="Range must be from 1 to 40" sqref="E24">
      <formula1>1</formula1>
      <formula2>40</formula2>
    </dataValidation>
    <dataValidation type="list" allowBlank="1" showInputMessage="1" showErrorMessage="1" errorTitle="Input Error" error="Enter 66 or 67" sqref="F102">
      <formula1>"66,67"</formula1>
    </dataValidation>
    <dataValidation type="list" allowBlank="1" showInputMessage="1" showErrorMessage="1" errorTitle="Input Error" error="Enter y or s" promptTitle="Enter or select" prompt="y - you_x000a_s - spouse" sqref="F30:F33">
      <formula1>"y, s"</formula1>
    </dataValidation>
    <dataValidation type="list" allowBlank="1" showErrorMessage="1" errorTitle="Input Check" error="Enter y or n" prompt="Enter or select_x000a_y - yes_x000a_n - no" sqref="AJ3">
      <formula1>"y, n"</formula1>
    </dataValidation>
    <dataValidation type="whole" operator="greaterThanOrEqual" allowBlank="1" showInputMessage="1" showErrorMessage="1" errorTitle="Age Error" error="Must be equal to or greater than Your age start." sqref="H193">
      <formula1>E25</formula1>
    </dataValidation>
    <dataValidation type="list" allowBlank="1" showInputMessage="1" showErrorMessage="1" errorTitle="Input Check" error="Enter m or s" promptTitle="Filing Status" prompt="single or married" sqref="S191">
      <formula1>"m, s"</formula1>
    </dataValidation>
    <dataValidation type="list" allowBlank="1" showInputMessage="1" showErrorMessage="1" errorTitle="Input Check" error="Enter y or n" promptTitle="Enter or select" prompt="y - yes_x000a_n - no" sqref="E16:E17 E12:E13 E104:E105 E115:E116 E173:J173 D180 E213 G213 E227">
      <formula1>"y, n"</formula1>
    </dataValidation>
    <dataValidation type="list" allowBlank="1" showInputMessage="1" showErrorMessage="1" errorTitle="Input Check" error="Enter i1 (IRA 2), i2 (IRA 2), h1 (Inherited IRA 1) or h2 (Inherited IRA 2)" promptTitle="Enter source of donation" prompt="i1 (IRA 1) or _x000a_i2 (IRA 2) or_x000a_h1 (Inherited IRA 1) or_x000a_h2 (Inherited IRA 2) " sqref="E181:F181">
      <formula1>"i1, i2, h1, h2"</formula1>
    </dataValidation>
    <dataValidation type="list" allowBlank="1" showInputMessage="1" showErrorMessage="1" errorTitle="Input Check" error="Enter i or s" promptTitle="Enter or select" prompt="i - itemized_x000a_s - standard_x000a_" sqref="E217 G217">
      <formula1>"i,s"</formula1>
    </dataValidation>
    <dataValidation type="whole" operator="lessThanOrEqual" allowBlank="1" showInputMessage="1" showErrorMessage="1" errorTitle="Age Error" error="Must be equal to or less than Your age end." sqref="H194">
      <formula1>G25</formula1>
    </dataValidation>
    <dataValidation type="whole" errorStyle="warning" operator="lessThanOrEqual" allowBlank="1" showInputMessage="1" showErrorMessage="1" errorTitle="Data Error" error="Roth withdrawal exceeds the Roth account amount" sqref="E154:E155">
      <formula1>E43</formula1>
    </dataValidation>
    <dataValidation type="whole" errorStyle="warning" operator="lessThanOrEqual" allowBlank="1" showInputMessage="1" showErrorMessage="1" errorTitle="Data Error" error="Roth withdrawal exceeds the Roth account amount" sqref="E156">
      <formula1>E44</formula1>
    </dataValidation>
    <dataValidation type="whole" errorStyle="warning" operator="lessThanOrEqual" allowBlank="1" showInputMessage="1" showErrorMessage="1" errorTitle="Data Error" error="Inherited IRA withdrawal exceeds the inherited IRA account amount" sqref="E159">
      <formula1>E175</formula1>
    </dataValidation>
    <dataValidation type="whole" errorStyle="warning" operator="lessThanOrEqual" allowBlank="1" showInputMessage="1" showErrorMessage="1" errorTitle="Data Error" error="Inherited IRA withdrawal exceeds the inherited IRA account amount" sqref="E160">
      <formula1>F175</formula1>
    </dataValidation>
  </dataValidations>
  <hyperlinks>
    <hyperlink ref="Q117" r:id="rId1"/>
    <hyperlink ref="AA168" r:id="rId2" display="Effect of Early or Delayed Retirement on Retirement Benefits"/>
  </hyperlinks>
  <pageMargins left="0.75" right="0.75" top="1" bottom="1" header="0.5" footer="0.5"/>
  <pageSetup scale="50" orientation="landscape" r:id="rId3"/>
  <headerFooter alignWithMargins="0"/>
  <rowBreaks count="7" manualBreakCount="7">
    <brk id="48" max="24" man="1"/>
    <brk id="88" max="24" man="1"/>
    <brk id="126" max="24" man="1"/>
    <brk id="188" max="24" man="1"/>
    <brk id="227" max="24" man="1"/>
    <brk id="240" max="24" man="1"/>
    <brk id="297" max="24" man="1"/>
  </rowBreaks>
  <ignoredErrors>
    <ignoredError sqref="E365:AP365 AD103:AG104 F350:AR350 AG117 AD117:AF118" formula="1"/>
    <ignoredError sqref="V191" numberStoredAsText="1"/>
  </ignoredErrors>
  <drawing r:id="rId4"/>
  <legacyDrawing r:id="rId5"/>
  <mc:AlternateContent xmlns:mc="http://schemas.openxmlformats.org/markup-compatibility/2006">
    <mc:Choice Requires="x14">
      <controls>
        <mc:AlternateContent xmlns:mc="http://schemas.openxmlformats.org/markup-compatibility/2006">
          <mc:Choice Requires="x14">
            <control shapeId="20905" r:id="rId6" name="Button 1449">
              <controlPr defaultSize="0" print="0" autoFill="0" autoPict="0" macro="[0]!Results_1">
                <anchor moveWithCells="1" sizeWithCells="1">
                  <from>
                    <xdr:col>33</xdr:col>
                    <xdr:colOff>335280</xdr:colOff>
                    <xdr:row>45</xdr:row>
                    <xdr:rowOff>190500</xdr:rowOff>
                  </from>
                  <to>
                    <xdr:col>33</xdr:col>
                    <xdr:colOff>883920</xdr:colOff>
                    <xdr:row>47</xdr:row>
                    <xdr:rowOff>68580</xdr:rowOff>
                  </to>
                </anchor>
              </controlPr>
            </control>
          </mc:Choice>
        </mc:AlternateContent>
        <mc:AlternateContent xmlns:mc="http://schemas.openxmlformats.org/markup-compatibility/2006">
          <mc:Choice Requires="x14">
            <control shapeId="5315" r:id="rId7" name="Option Button 195">
              <controlPr defaultSize="0" autoFill="0" autoLine="0" autoPict="0">
                <anchor moveWithCells="1" sizeWithCells="1">
                  <from>
                    <xdr:col>34</xdr:col>
                    <xdr:colOff>807720</xdr:colOff>
                    <xdr:row>53</xdr:row>
                    <xdr:rowOff>53340</xdr:rowOff>
                  </from>
                  <to>
                    <xdr:col>34</xdr:col>
                    <xdr:colOff>807720</xdr:colOff>
                    <xdr:row>53</xdr:row>
                    <xdr:rowOff>53340</xdr:rowOff>
                  </to>
                </anchor>
              </controlPr>
            </control>
          </mc:Choice>
        </mc:AlternateContent>
        <mc:AlternateContent xmlns:mc="http://schemas.openxmlformats.org/markup-compatibility/2006">
          <mc:Choice Requires="x14">
            <control shapeId="5316" r:id="rId8" name="Option Button 196">
              <controlPr defaultSize="0" autoFill="0" autoLine="0" autoPict="0">
                <anchor moveWithCells="1" sizeWithCells="1">
                  <from>
                    <xdr:col>34</xdr:col>
                    <xdr:colOff>807720</xdr:colOff>
                    <xdr:row>53</xdr:row>
                    <xdr:rowOff>53340</xdr:rowOff>
                  </from>
                  <to>
                    <xdr:col>34</xdr:col>
                    <xdr:colOff>807720</xdr:colOff>
                    <xdr:row>53</xdr:row>
                    <xdr:rowOff>53340</xdr:rowOff>
                  </to>
                </anchor>
              </controlPr>
            </control>
          </mc:Choice>
        </mc:AlternateContent>
        <mc:AlternateContent xmlns:mc="http://schemas.openxmlformats.org/markup-compatibility/2006">
          <mc:Choice Requires="x14">
            <control shapeId="5741" r:id="rId9" name="Option Button 621">
              <controlPr defaultSize="0" autoFill="0" autoLine="0" autoPict="0">
                <anchor moveWithCells="1" sizeWithCells="1">
                  <from>
                    <xdr:col>34</xdr:col>
                    <xdr:colOff>45720</xdr:colOff>
                    <xdr:row>50</xdr:row>
                    <xdr:rowOff>30480</xdr:rowOff>
                  </from>
                  <to>
                    <xdr:col>34</xdr:col>
                    <xdr:colOff>45720</xdr:colOff>
                    <xdr:row>50</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241" yWindow="496" count="1">
        <x14:dataValidation type="list" allowBlank="1" showInputMessage="1" showErrorMessage="1" promptTitle="Choose tax year">
          <x14:formula1>
            <xm:f>'Tax Tables'!$T$403:$T$404</xm:f>
          </x14:formula1>
          <xm:sqref>U191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52"/>
    <pageSetUpPr autoPageBreaks="0" fitToPage="1"/>
  </sheetPr>
  <dimension ref="A1:CP282"/>
  <sheetViews>
    <sheetView showGridLines="0" showRowColHeaders="0" zoomScale="75" zoomScaleNormal="75" workbookViewId="0">
      <pane xSplit="5" ySplit="7" topLeftCell="F8" activePane="bottomRight" state="frozen"/>
      <selection pane="topRight" activeCell="F1" sqref="F1"/>
      <selection pane="bottomLeft" activeCell="A9" sqref="A9"/>
      <selection pane="bottomRight"/>
    </sheetView>
  </sheetViews>
  <sheetFormatPr defaultColWidth="0" defaultRowHeight="15" zeroHeight="1"/>
  <cols>
    <col min="1" max="1" width="3.08984375" style="539" customWidth="1"/>
    <col min="2" max="2" width="4.1796875" style="539" customWidth="1"/>
    <col min="3" max="4" width="4.1796875" style="271" customWidth="1"/>
    <col min="5" max="5" width="6.6328125" style="540" customWidth="1"/>
    <col min="6" max="11" width="7.6328125" style="539" customWidth="1"/>
    <col min="12" max="12" width="2.6328125" style="539" customWidth="1"/>
    <col min="13" max="22" width="6.6328125" style="539" customWidth="1"/>
    <col min="23" max="23" width="7.6328125" style="539" customWidth="1"/>
    <col min="24" max="24" width="4.90625" style="539" customWidth="1"/>
    <col min="25" max="25" width="7.6328125" style="539" customWidth="1"/>
    <col min="26" max="26" width="6.6328125" style="539" customWidth="1"/>
    <col min="27" max="34" width="6.6328125" style="539" hidden="1" customWidth="1"/>
    <col min="35" max="35" width="6.6328125" style="539" customWidth="1"/>
    <col min="36" max="36" width="7.6328125" style="539" customWidth="1"/>
    <col min="37" max="37" width="2.6328125" style="539" customWidth="1"/>
    <col min="38" max="38" width="7.6328125" style="539" customWidth="1"/>
    <col min="39" max="39" width="4.6328125" style="539" customWidth="1"/>
    <col min="40" max="41" width="6.6328125" style="539" customWidth="1"/>
    <col min="42" max="43" width="6.6328125" style="539" hidden="1" customWidth="1"/>
    <col min="44" max="47" width="6.6328125" style="539" customWidth="1"/>
    <col min="48" max="49" width="6.6328125" style="539" hidden="1" customWidth="1"/>
    <col min="50" max="52" width="6.6328125" style="539" customWidth="1"/>
    <col min="53" max="54" width="6.6328125" style="539" hidden="1" customWidth="1"/>
    <col min="55" max="56" width="6.6328125" style="539" customWidth="1"/>
    <col min="57" max="58" width="6.6328125" style="539" hidden="1" customWidth="1"/>
    <col min="59" max="59" width="6.6328125" style="539" customWidth="1"/>
    <col min="60" max="61" width="6.6328125" style="539" hidden="1" customWidth="1"/>
    <col min="62" max="65" width="6.6328125" style="539" customWidth="1"/>
    <col min="66" max="67" width="6.6328125" style="539" hidden="1" customWidth="1"/>
    <col min="68" max="71" width="6.6328125" style="539" customWidth="1"/>
    <col min="72" max="77" width="7.6328125" style="539" customWidth="1"/>
    <col min="78" max="89" width="6.6328125" style="539" customWidth="1"/>
    <col min="90" max="93" width="10.1796875" style="539" customWidth="1"/>
    <col min="94" max="16384" width="0" style="539" hidden="1"/>
  </cols>
  <sheetData>
    <row r="1" spans="1:94" ht="18" customHeight="1">
      <c r="A1" s="711"/>
      <c r="B1" s="711" t="s">
        <v>1755</v>
      </c>
      <c r="C1" s="711"/>
      <c r="D1" s="711"/>
      <c r="E1" s="711"/>
      <c r="F1" s="711"/>
      <c r="G1" s="711"/>
      <c r="H1" s="711"/>
      <c r="I1" s="711"/>
      <c r="J1" s="354"/>
      <c r="K1" s="990" t="s">
        <v>575</v>
      </c>
      <c r="L1" s="707"/>
      <c r="M1" s="707"/>
      <c r="P1" s="354"/>
      <c r="Q1" s="1171" t="s">
        <v>580</v>
      </c>
      <c r="R1"/>
      <c r="S1" s="354"/>
      <c r="T1" s="354"/>
      <c r="U1" s="354"/>
      <c r="V1" s="354"/>
      <c r="W1" s="1020"/>
      <c r="Y1" s="1215"/>
      <c r="Z1" s="1710" t="s">
        <v>1672</v>
      </c>
      <c r="AA1" s="1661" t="s">
        <v>706</v>
      </c>
      <c r="AB1" s="1661" t="s">
        <v>706</v>
      </c>
      <c r="AC1" s="1661" t="s">
        <v>706</v>
      </c>
      <c r="AD1" s="1661" t="s">
        <v>706</v>
      </c>
      <c r="AE1" s="1661" t="s">
        <v>706</v>
      </c>
      <c r="AF1" s="1661" t="s">
        <v>706</v>
      </c>
      <c r="AG1" s="1661" t="s">
        <v>706</v>
      </c>
      <c r="AH1" s="1661" t="s">
        <v>706</v>
      </c>
      <c r="AI1" s="1219"/>
      <c r="AJ1" s="1219"/>
      <c r="AK1" s="1219"/>
      <c r="AL1" s="1219"/>
      <c r="AM1" s="1220"/>
      <c r="AN1" s="1219"/>
      <c r="AO1" s="1710" t="s">
        <v>2168</v>
      </c>
      <c r="AP1" s="1661" t="s">
        <v>706</v>
      </c>
      <c r="AQ1" s="1661" t="s">
        <v>706</v>
      </c>
      <c r="AR1" s="1219"/>
      <c r="AS1" s="1219"/>
      <c r="AT1" s="1219"/>
      <c r="AU1" s="1233"/>
      <c r="AV1" s="1661" t="s">
        <v>706</v>
      </c>
      <c r="AW1" s="1661" t="s">
        <v>706</v>
      </c>
      <c r="AX1" s="1445"/>
      <c r="AY1" s="1222"/>
      <c r="AZ1" s="1233"/>
      <c r="BA1" s="1661" t="s">
        <v>706</v>
      </c>
      <c r="BB1" s="1661" t="s">
        <v>706</v>
      </c>
      <c r="BC1" s="1222"/>
      <c r="BD1" s="1221"/>
      <c r="BE1" s="1661" t="s">
        <v>706</v>
      </c>
      <c r="BF1" s="1661" t="s">
        <v>706</v>
      </c>
      <c r="BG1" s="1221"/>
      <c r="BH1" s="1661" t="s">
        <v>706</v>
      </c>
      <c r="BI1" s="1661" t="s">
        <v>706</v>
      </c>
      <c r="BJ1" s="1222"/>
      <c r="BK1" s="1222"/>
      <c r="BL1" s="1223"/>
      <c r="BM1" s="1221"/>
      <c r="BN1" s="1661" t="s">
        <v>706</v>
      </c>
      <c r="BO1" s="1661" t="s">
        <v>706</v>
      </c>
      <c r="BP1" s="1224"/>
      <c r="BQ1" s="1224"/>
      <c r="BR1" s="1225"/>
      <c r="BS1" s="1216"/>
      <c r="BT1" s="1216"/>
      <c r="BU1" s="1216"/>
      <c r="BV1" s="1216"/>
      <c r="BW1" s="1216"/>
      <c r="BX1" s="1216"/>
      <c r="BY1" s="1216"/>
      <c r="BZ1" s="1216"/>
      <c r="CB1" s="1296"/>
      <c r="CC1" s="1018"/>
      <c r="CD1" s="1018"/>
      <c r="CE1" s="1018"/>
      <c r="CF1" s="1018"/>
      <c r="CG1" s="1018"/>
      <c r="CH1" s="1018"/>
      <c r="CI1" s="1018"/>
      <c r="CJ1" s="1018"/>
      <c r="CK1" s="1018"/>
      <c r="CL1" s="1018"/>
      <c r="CM1" s="1018"/>
      <c r="CN1" s="1018"/>
      <c r="CO1" s="1018"/>
    </row>
    <row r="2" spans="1:94" ht="15.6">
      <c r="G2" s="354"/>
      <c r="H2" s="354"/>
      <c r="I2" s="354"/>
      <c r="J2" s="354"/>
      <c r="K2" s="668" t="str">
        <f ca="1">IF(AND(OR(E49&gt;1,E49&lt;-1),OR(K4231&lt;&gt;K49,K96&lt;&gt;K97)),"Alert: check totals for difference",".")</f>
        <v>.</v>
      </c>
      <c r="L2" s="354"/>
      <c r="M2" s="354"/>
      <c r="N2" s="354"/>
      <c r="O2" s="354"/>
      <c r="P2" s="354"/>
      <c r="Q2" s="1171" t="s">
        <v>1207</v>
      </c>
      <c r="R2" s="354"/>
      <c r="T2" s="1234" t="s">
        <v>2329</v>
      </c>
      <c r="U2" s="354"/>
      <c r="V2" s="1214" t="s">
        <v>1462</v>
      </c>
      <c r="W2" s="464">
        <v>1000</v>
      </c>
      <c r="X2" s="354"/>
      <c r="Y2" s="1539"/>
      <c r="Z2" s="354"/>
      <c r="AA2" s="354"/>
      <c r="AB2" s="354"/>
      <c r="AC2" s="354"/>
      <c r="AD2" s="354"/>
      <c r="AE2" s="354"/>
      <c r="AF2" s="354"/>
      <c r="AG2" s="354"/>
      <c r="AH2" s="354"/>
      <c r="AI2" s="354"/>
      <c r="AJ2" s="354"/>
      <c r="AK2" s="354"/>
      <c r="AL2" s="354"/>
      <c r="AM2" s="354"/>
      <c r="AN2" s="354"/>
      <c r="AO2" s="354"/>
      <c r="AP2" s="354"/>
      <c r="AQ2" s="354"/>
      <c r="AR2" s="354"/>
      <c r="AS2" s="354"/>
      <c r="AT2" s="354"/>
      <c r="AU2" s="354"/>
      <c r="AV2" s="354"/>
      <c r="AW2" s="354"/>
      <c r="AX2" s="354"/>
      <c r="AY2" s="354"/>
      <c r="AZ2" s="354"/>
      <c r="BA2" s="354"/>
      <c r="BB2" s="354"/>
      <c r="BC2" s="354"/>
      <c r="BD2" s="354"/>
      <c r="BE2" s="354"/>
      <c r="BF2" s="354"/>
      <c r="BG2" s="354"/>
      <c r="BH2" s="354"/>
      <c r="BI2" s="354"/>
      <c r="BJ2" s="354"/>
      <c r="BK2" s="354"/>
      <c r="BL2" s="354"/>
      <c r="BM2" s="354"/>
      <c r="BN2" s="354"/>
      <c r="BO2" s="354"/>
      <c r="BP2" s="354"/>
      <c r="BQ2" s="354"/>
      <c r="BR2" s="354"/>
      <c r="BS2" s="354"/>
      <c r="BT2" s="354"/>
      <c r="BU2" s="354"/>
      <c r="BV2" s="354"/>
      <c r="BW2" s="354"/>
      <c r="BX2" s="354"/>
      <c r="BY2" s="354"/>
      <c r="BZ2" s="354"/>
      <c r="CA2" s="586"/>
      <c r="CB2" s="585"/>
      <c r="CC2" s="585"/>
      <c r="CD2" s="585"/>
      <c r="CE2" s="585"/>
      <c r="CF2" s="585"/>
      <c r="CG2" s="585"/>
      <c r="CH2" s="585"/>
      <c r="CI2" s="585"/>
      <c r="CJ2" s="585"/>
      <c r="CK2" s="585"/>
      <c r="CL2" s="585"/>
      <c r="CM2" s="585"/>
      <c r="CN2" s="585"/>
      <c r="CO2" s="585"/>
    </row>
    <row r="3" spans="1:94" ht="4.95" customHeight="1">
      <c r="G3" s="354"/>
      <c r="H3" s="354"/>
      <c r="I3" s="354"/>
      <c r="J3" s="354"/>
      <c r="L3" s="354"/>
      <c r="M3" s="354"/>
      <c r="N3" s="354"/>
      <c r="O3" s="354"/>
      <c r="P3" s="354"/>
      <c r="Q3" s="354"/>
      <c r="R3" s="354"/>
      <c r="S3" s="354"/>
      <c r="T3" s="354"/>
      <c r="U3" s="354"/>
      <c r="V3" s="354"/>
      <c r="W3" s="354"/>
      <c r="X3" s="354"/>
      <c r="Y3" s="354"/>
      <c r="Z3" s="354"/>
      <c r="AA3" s="354"/>
      <c r="AB3" s="354"/>
      <c r="AC3" s="354"/>
      <c r="AD3" s="354"/>
      <c r="AE3" s="354"/>
      <c r="AF3" s="354"/>
      <c r="AG3" s="354"/>
      <c r="AH3" s="354"/>
      <c r="AI3" s="1018"/>
      <c r="AJ3" s="551"/>
      <c r="AK3" s="354"/>
      <c r="AL3" s="354"/>
      <c r="AM3" s="354"/>
      <c r="AN3" s="354"/>
      <c r="AO3" s="354"/>
      <c r="AP3" s="354"/>
      <c r="AQ3" s="354"/>
      <c r="AR3" s="354"/>
      <c r="AS3" s="354"/>
      <c r="AT3" s="354"/>
      <c r="AU3" s="354"/>
      <c r="AV3" s="354"/>
      <c r="AW3" s="354"/>
      <c r="AX3" s="354"/>
      <c r="AY3" s="354"/>
      <c r="AZ3" s="354"/>
      <c r="BA3" s="354"/>
      <c r="BB3" s="354"/>
      <c r="BC3" s="354"/>
      <c r="BD3" s="354"/>
      <c r="BE3" s="354"/>
      <c r="BF3" s="354"/>
      <c r="BG3" s="354"/>
      <c r="BH3" s="354"/>
      <c r="BI3" s="354"/>
      <c r="BJ3" s="354"/>
      <c r="BK3" s="354"/>
      <c r="BL3" s="354"/>
      <c r="BM3" s="354"/>
      <c r="BN3" s="354"/>
      <c r="BO3" s="354"/>
      <c r="BP3" s="354"/>
      <c r="BQ3" s="354"/>
      <c r="BR3" s="354"/>
      <c r="BS3" s="354"/>
      <c r="BT3" s="354"/>
      <c r="BU3" s="354"/>
      <c r="BV3" s="354"/>
      <c r="BW3" s="354"/>
      <c r="BX3" s="354"/>
      <c r="BY3" s="354"/>
      <c r="BZ3" s="354"/>
      <c r="CA3" s="585"/>
      <c r="CB3" s="1752"/>
      <c r="CC3" s="585"/>
      <c r="CD3" s="585"/>
      <c r="CE3" s="585"/>
      <c r="CF3" s="585"/>
      <c r="CG3" s="585"/>
      <c r="CH3" s="585"/>
      <c r="CI3" s="585"/>
      <c r="CJ3" s="585"/>
      <c r="CK3" s="585"/>
      <c r="CL3" s="585"/>
      <c r="CM3" s="585"/>
      <c r="CN3" s="586"/>
      <c r="CO3" s="703"/>
    </row>
    <row r="4" spans="1:94" ht="15" customHeight="1">
      <c r="B4" s="539" t="str">
        <f>IF(Sum_Rnd=1000,"($000)",IF(Sum_Rnd=100,"($00)"))</f>
        <v>($000)</v>
      </c>
      <c r="G4" s="354"/>
      <c r="H4" s="354"/>
      <c r="I4" s="354"/>
      <c r="J4" s="354"/>
      <c r="K4" s="354"/>
      <c r="L4" s="354"/>
      <c r="M4" s="354"/>
      <c r="N4" s="354"/>
      <c r="O4" s="354"/>
      <c r="P4" s="354"/>
      <c r="Q4" s="354"/>
      <c r="R4" s="354"/>
      <c r="S4" s="354"/>
      <c r="T4" s="354"/>
      <c r="U4" s="354"/>
      <c r="V4" s="354"/>
      <c r="W4" s="354"/>
      <c r="X4" s="354"/>
      <c r="Y4" s="354"/>
      <c r="Z4" s="354"/>
      <c r="AA4" s="354"/>
      <c r="AB4" s="354"/>
      <c r="AC4" s="354"/>
      <c r="AD4" s="354"/>
      <c r="AE4" s="354"/>
      <c r="AF4" s="354"/>
      <c r="AG4" s="354"/>
      <c r="AH4" s="354"/>
      <c r="AI4" s="1018"/>
      <c r="AJ4" s="550"/>
      <c r="AK4" s="354"/>
      <c r="AL4" s="80" t="s">
        <v>89</v>
      </c>
      <c r="AM4" s="354"/>
      <c r="AN4" s="354"/>
      <c r="AO4" s="354"/>
      <c r="AP4" s="354"/>
      <c r="AQ4" s="354"/>
      <c r="AR4" s="354"/>
      <c r="AS4" s="354"/>
      <c r="AT4" s="354"/>
      <c r="AU4" s="354"/>
      <c r="AV4" s="354"/>
      <c r="AW4" s="354"/>
      <c r="AX4" s="354"/>
      <c r="AY4" s="354"/>
      <c r="AZ4" s="354"/>
      <c r="BA4" s="354"/>
      <c r="BB4" s="354"/>
      <c r="BC4" s="354"/>
      <c r="BD4" s="354"/>
      <c r="BE4" s="354"/>
      <c r="BF4" s="354"/>
      <c r="BG4" s="354"/>
      <c r="BH4" s="354"/>
      <c r="BI4" s="354"/>
      <c r="BJ4" s="354"/>
      <c r="BK4" s="354"/>
      <c r="BL4" s="354"/>
      <c r="BM4" s="354"/>
      <c r="BN4" s="354"/>
      <c r="BO4" s="354"/>
      <c r="BP4" s="354"/>
      <c r="BQ4" s="354"/>
      <c r="BR4" s="354"/>
      <c r="BS4" s="354"/>
      <c r="BT4" s="354"/>
      <c r="BU4" s="354"/>
      <c r="BV4" s="354"/>
      <c r="BW4" s="354"/>
      <c r="BX4" s="354"/>
      <c r="BY4" s="354"/>
      <c r="BZ4" s="354"/>
      <c r="CA4" s="585"/>
      <c r="CB4" s="585"/>
      <c r="CC4" s="585"/>
      <c r="CD4" s="585"/>
      <c r="CE4" s="585"/>
      <c r="CF4" s="585"/>
      <c r="CG4" s="585"/>
      <c r="CH4" s="585"/>
      <c r="CI4" s="585"/>
      <c r="CJ4" s="585"/>
      <c r="CK4" s="585"/>
      <c r="CL4" s="585"/>
      <c r="CM4" s="585"/>
      <c r="CN4" s="585"/>
      <c r="CO4" s="585"/>
    </row>
    <row r="5" spans="1:94" ht="16.2" thickBot="1">
      <c r="C5" s="571"/>
      <c r="D5" s="571"/>
      <c r="E5" s="572"/>
      <c r="F5" s="1150" t="s">
        <v>327</v>
      </c>
      <c r="G5" s="1150"/>
      <c r="H5" s="1150"/>
      <c r="I5" s="1150"/>
      <c r="J5" s="1150"/>
      <c r="K5" s="1150"/>
      <c r="L5" s="573"/>
      <c r="M5" s="1148" t="s">
        <v>448</v>
      </c>
      <c r="N5" s="1148"/>
      <c r="O5" s="1148"/>
      <c r="P5" s="1148"/>
      <c r="Q5" s="1148"/>
      <c r="R5" s="1148"/>
      <c r="S5" s="1148"/>
      <c r="T5" s="1148"/>
      <c r="U5" s="1148"/>
      <c r="V5" s="1148"/>
      <c r="W5" s="1148"/>
      <c r="X5" s="573"/>
      <c r="Y5" s="1724" t="s">
        <v>2233</v>
      </c>
      <c r="Z5" s="1149"/>
      <c r="AA5" s="1149"/>
      <c r="AB5" s="1149"/>
      <c r="AC5" s="1149"/>
      <c r="AD5" s="1149"/>
      <c r="AE5" s="1149"/>
      <c r="AF5" s="1149"/>
      <c r="AG5" s="1149"/>
      <c r="AH5" s="1149"/>
      <c r="AI5" s="1149"/>
      <c r="AJ5" s="1149"/>
      <c r="AK5" s="574"/>
      <c r="AL5" s="587" t="s">
        <v>436</v>
      </c>
      <c r="AM5" s="354"/>
      <c r="AN5" s="411" t="s">
        <v>1828</v>
      </c>
      <c r="AO5" s="1050"/>
      <c r="AP5" s="1050"/>
      <c r="AQ5" s="1050"/>
      <c r="AR5" s="1050"/>
      <c r="AS5" s="1050"/>
      <c r="AT5" s="1050"/>
      <c r="AU5" s="1050"/>
      <c r="AV5" s="1050"/>
      <c r="AW5" s="1050"/>
      <c r="AX5" s="1050"/>
      <c r="AY5" s="1050"/>
      <c r="AZ5" s="1050"/>
      <c r="BA5" s="1050"/>
      <c r="BB5" s="1050"/>
      <c r="BC5" s="1050"/>
      <c r="BD5" s="1050"/>
      <c r="BE5" s="1050"/>
      <c r="BF5" s="1050"/>
      <c r="BG5" s="1050"/>
      <c r="BH5" s="1050"/>
      <c r="BI5" s="1050"/>
      <c r="BJ5" s="1050"/>
      <c r="BK5" s="1050"/>
      <c r="BL5" s="1050"/>
      <c r="BM5" s="1050"/>
      <c r="BN5" s="1050"/>
      <c r="BO5" s="1050"/>
      <c r="BP5" s="1050"/>
      <c r="BQ5" s="1050"/>
      <c r="BR5" s="630"/>
      <c r="BS5" s="630"/>
      <c r="BT5" s="1150" t="s">
        <v>143</v>
      </c>
      <c r="BU5" s="1150"/>
      <c r="BV5" s="1150"/>
      <c r="BW5" s="1150"/>
      <c r="BX5" s="1150"/>
      <c r="BY5" s="1150"/>
      <c r="BZ5" s="630"/>
      <c r="CA5" s="630"/>
      <c r="CB5" s="1711"/>
      <c r="CC5" s="1711"/>
      <c r="CD5" s="1711"/>
      <c r="CE5" s="1711"/>
      <c r="CF5" s="1717"/>
      <c r="CG5" s="1717"/>
      <c r="CH5" s="1717"/>
      <c r="CI5" s="1717"/>
      <c r="CJ5" s="1717"/>
      <c r="CK5" s="1717"/>
      <c r="CL5" s="1717"/>
      <c r="CM5" s="1717"/>
      <c r="CN5" s="1717"/>
      <c r="CO5" s="1717"/>
      <c r="CP5" s="354"/>
    </row>
    <row r="6" spans="1:94">
      <c r="C6" s="1669" t="s">
        <v>2170</v>
      </c>
      <c r="D6" s="1666"/>
      <c r="E6" s="572"/>
      <c r="F6" s="291"/>
      <c r="G6" s="575"/>
      <c r="H6" s="575" t="s">
        <v>330</v>
      </c>
      <c r="I6" s="575"/>
      <c r="J6" s="575" t="s">
        <v>1134</v>
      </c>
      <c r="K6" s="575"/>
      <c r="L6" s="573"/>
      <c r="M6" s="291"/>
      <c r="N6" s="575"/>
      <c r="O6" s="575" t="s">
        <v>330</v>
      </c>
      <c r="P6" s="575"/>
      <c r="Q6" s="575" t="s">
        <v>1134</v>
      </c>
      <c r="R6" s="1822" t="s">
        <v>1306</v>
      </c>
      <c r="S6" s="1822"/>
      <c r="T6" s="575"/>
      <c r="U6" s="575"/>
      <c r="V6" s="575"/>
      <c r="W6" s="573"/>
      <c r="X6" s="573"/>
      <c r="Y6" s="575"/>
      <c r="Z6" s="575"/>
      <c r="AA6" s="1228" t="s">
        <v>330</v>
      </c>
      <c r="AB6" s="1228" t="s">
        <v>1350</v>
      </c>
      <c r="AC6" s="1228" t="s">
        <v>1321</v>
      </c>
      <c r="AD6" s="1228" t="s">
        <v>88</v>
      </c>
      <c r="AE6" s="1228" t="s">
        <v>88</v>
      </c>
      <c r="AF6" s="1228" t="s">
        <v>177</v>
      </c>
      <c r="AG6" s="1228" t="s">
        <v>88</v>
      </c>
      <c r="AH6" s="1228"/>
      <c r="AJ6" s="575"/>
      <c r="AK6" s="573"/>
      <c r="AL6" s="575" t="s">
        <v>326</v>
      </c>
      <c r="AM6" s="354"/>
      <c r="AN6" s="1101" t="s">
        <v>1555</v>
      </c>
      <c r="AO6" s="794"/>
      <c r="AP6" s="794"/>
      <c r="AQ6" s="794"/>
      <c r="AR6" s="794"/>
      <c r="AS6" s="794"/>
      <c r="AT6" s="796"/>
      <c r="AU6" s="793" t="s">
        <v>1554</v>
      </c>
      <c r="AV6" s="794"/>
      <c r="AW6" s="794"/>
      <c r="AX6" s="794"/>
      <c r="AY6" s="796"/>
      <c r="AZ6" s="793" t="s">
        <v>1553</v>
      </c>
      <c r="BA6" s="794"/>
      <c r="BB6" s="794"/>
      <c r="BC6" s="796"/>
      <c r="BD6" s="793" t="s">
        <v>1552</v>
      </c>
      <c r="BE6" s="794"/>
      <c r="BF6" s="794"/>
      <c r="BG6" s="796"/>
      <c r="BH6" s="793" t="s">
        <v>1551</v>
      </c>
      <c r="BI6" s="1804"/>
      <c r="BJ6" s="1805"/>
      <c r="BK6" s="1805" t="s">
        <v>2309</v>
      </c>
      <c r="BL6" s="1806"/>
      <c r="BM6" s="796" t="s">
        <v>1556</v>
      </c>
      <c r="BN6" s="793" t="s">
        <v>316</v>
      </c>
      <c r="BO6" s="794"/>
      <c r="BP6" s="792" t="s">
        <v>1165</v>
      </c>
      <c r="BQ6" s="1226"/>
      <c r="BR6" s="627" t="s">
        <v>1129</v>
      </c>
      <c r="BS6" s="627"/>
      <c r="BT6" s="291"/>
      <c r="BU6" s="575"/>
      <c r="BV6" s="575" t="s">
        <v>330</v>
      </c>
      <c r="BW6" s="575"/>
      <c r="BX6" s="575" t="s">
        <v>1134</v>
      </c>
      <c r="BY6" s="575"/>
      <c r="BZ6" s="627"/>
      <c r="CA6" s="627"/>
      <c r="CB6" s="1719"/>
      <c r="CC6" s="1718"/>
      <c r="CD6" s="1753"/>
      <c r="CE6" s="1713"/>
      <c r="CF6" s="1718"/>
      <c r="CG6" s="1713"/>
      <c r="CH6" s="1713"/>
      <c r="CI6" s="1713"/>
      <c r="CJ6" s="1713"/>
      <c r="CK6" s="1713"/>
      <c r="CL6" s="1713"/>
      <c r="CM6" s="1713"/>
      <c r="CN6" s="1713"/>
      <c r="CO6" s="1713"/>
      <c r="CP6" s="354"/>
    </row>
    <row r="7" spans="1:94">
      <c r="C7" s="564" t="s">
        <v>538</v>
      </c>
      <c r="D7" s="564" t="s">
        <v>714</v>
      </c>
      <c r="E7" s="576" t="s">
        <v>204</v>
      </c>
      <c r="F7" s="791" t="s">
        <v>979</v>
      </c>
      <c r="G7" s="565" t="s">
        <v>981</v>
      </c>
      <c r="H7" s="565" t="s">
        <v>981</v>
      </c>
      <c r="I7" s="565" t="s">
        <v>1134</v>
      </c>
      <c r="J7" s="565" t="s">
        <v>1165</v>
      </c>
      <c r="K7" s="565" t="s">
        <v>635</v>
      </c>
      <c r="L7" s="573"/>
      <c r="M7" s="791" t="s">
        <v>979</v>
      </c>
      <c r="N7" s="565" t="s">
        <v>981</v>
      </c>
      <c r="O7" s="565" t="s">
        <v>981</v>
      </c>
      <c r="P7" s="565" t="s">
        <v>1134</v>
      </c>
      <c r="Q7" s="565" t="s">
        <v>1165</v>
      </c>
      <c r="R7" s="565" t="s">
        <v>538</v>
      </c>
      <c r="S7" s="565" t="s">
        <v>643</v>
      </c>
      <c r="T7" s="565" t="s">
        <v>88</v>
      </c>
      <c r="U7" s="791" t="s">
        <v>1803</v>
      </c>
      <c r="V7" s="565" t="s">
        <v>614</v>
      </c>
      <c r="W7" s="565" t="s">
        <v>635</v>
      </c>
      <c r="X7" s="573"/>
      <c r="Y7" s="565" t="s">
        <v>205</v>
      </c>
      <c r="Z7" s="565" t="s">
        <v>1505</v>
      </c>
      <c r="AA7" s="1229" t="s">
        <v>178</v>
      </c>
      <c r="AB7" s="1229" t="s">
        <v>179</v>
      </c>
      <c r="AC7" s="1229" t="s">
        <v>329</v>
      </c>
      <c r="AD7" s="1229" t="s">
        <v>178</v>
      </c>
      <c r="AE7" s="1229" t="s">
        <v>981</v>
      </c>
      <c r="AF7" s="1229" t="s">
        <v>981</v>
      </c>
      <c r="AG7" s="1229" t="s">
        <v>1134</v>
      </c>
      <c r="AH7" s="1229" t="s">
        <v>409</v>
      </c>
      <c r="AI7" s="575" t="s">
        <v>614</v>
      </c>
      <c r="AJ7" s="565" t="s">
        <v>635</v>
      </c>
      <c r="AK7" s="577"/>
      <c r="AL7" s="565" t="s">
        <v>204</v>
      </c>
      <c r="AM7" s="585"/>
      <c r="AN7" s="790" t="s">
        <v>469</v>
      </c>
      <c r="AO7" s="790" t="s">
        <v>1165</v>
      </c>
      <c r="AP7" s="1227" t="s">
        <v>2167</v>
      </c>
      <c r="AQ7" s="1227" t="s">
        <v>7</v>
      </c>
      <c r="AR7" s="1099" t="s">
        <v>88</v>
      </c>
      <c r="AS7" s="1099" t="s">
        <v>1827</v>
      </c>
      <c r="AT7" s="1099" t="s">
        <v>470</v>
      </c>
      <c r="AU7" s="1099" t="s">
        <v>469</v>
      </c>
      <c r="AV7" s="1227" t="s">
        <v>470</v>
      </c>
      <c r="AW7" s="1227" t="s">
        <v>7</v>
      </c>
      <c r="AX7" s="1099" t="s">
        <v>1827</v>
      </c>
      <c r="AY7" s="1099" t="s">
        <v>470</v>
      </c>
      <c r="AZ7" s="1099" t="s">
        <v>469</v>
      </c>
      <c r="BA7" s="1227" t="s">
        <v>470</v>
      </c>
      <c r="BB7" s="1227" t="s">
        <v>7</v>
      </c>
      <c r="BC7" s="1099" t="s">
        <v>470</v>
      </c>
      <c r="BD7" s="1099" t="s">
        <v>469</v>
      </c>
      <c r="BE7" s="1227" t="s">
        <v>470</v>
      </c>
      <c r="BF7" s="1227" t="s">
        <v>7</v>
      </c>
      <c r="BG7" s="1099" t="s">
        <v>470</v>
      </c>
      <c r="BH7" s="1227" t="s">
        <v>470</v>
      </c>
      <c r="BI7" s="1227" t="s">
        <v>7</v>
      </c>
      <c r="BJ7" s="1099" t="s">
        <v>1827</v>
      </c>
      <c r="BK7" s="1099" t="s">
        <v>88</v>
      </c>
      <c r="BL7" s="1099" t="s">
        <v>470</v>
      </c>
      <c r="BM7" s="1099" t="s">
        <v>470</v>
      </c>
      <c r="BN7" s="1227" t="s">
        <v>470</v>
      </c>
      <c r="BO7" s="1227" t="s">
        <v>7</v>
      </c>
      <c r="BP7" s="790" t="s">
        <v>470</v>
      </c>
      <c r="BQ7" s="1100" t="s">
        <v>409</v>
      </c>
      <c r="BR7" s="791" t="s">
        <v>178</v>
      </c>
      <c r="BS7" s="627"/>
      <c r="BT7" s="791" t="s">
        <v>979</v>
      </c>
      <c r="BU7" s="791" t="s">
        <v>1085</v>
      </c>
      <c r="BV7" s="791" t="s">
        <v>1085</v>
      </c>
      <c r="BW7" s="791" t="s">
        <v>1086</v>
      </c>
      <c r="BX7" s="565" t="s">
        <v>1165</v>
      </c>
      <c r="BY7" s="565" t="s">
        <v>635</v>
      </c>
      <c r="BZ7" s="627"/>
      <c r="CA7" s="627"/>
      <c r="CB7" s="1718"/>
      <c r="CC7" s="1718"/>
      <c r="CD7" s="1754"/>
      <c r="CE7" s="1713"/>
      <c r="CF7" s="1713"/>
      <c r="CG7" s="1713"/>
      <c r="CH7" s="1713"/>
      <c r="CI7" s="1713"/>
      <c r="CJ7" s="1713"/>
      <c r="CK7" s="1713"/>
      <c r="CL7" s="1713"/>
      <c r="CM7" s="1713"/>
      <c r="CN7" s="1713"/>
      <c r="CO7" s="1713"/>
      <c r="CP7" s="354"/>
    </row>
    <row r="8" spans="1:94">
      <c r="B8" s="271">
        <v>1</v>
      </c>
      <c r="C8" s="541">
        <f>+Details!F$4</f>
        <v>62</v>
      </c>
      <c r="D8" s="541">
        <f>+Details!F$5</f>
        <v>61</v>
      </c>
      <c r="E8" s="540">
        <f>+Details!$F$7</f>
        <v>2019</v>
      </c>
      <c r="F8" s="354">
        <f>ROUND(+Details!$F$8/$W$2,1)</f>
        <v>200</v>
      </c>
      <c r="G8" s="354">
        <f>ROUND(+Details!$F$11/$W$2,0)</f>
        <v>700</v>
      </c>
      <c r="H8" s="354">
        <f>ROUND(+Details!$F$14/$W$2,0)</f>
        <v>0</v>
      </c>
      <c r="I8" s="354">
        <f>ROUND(+Details!$F$17/$W$2,0)</f>
        <v>100</v>
      </c>
      <c r="J8" s="354">
        <f>ROUND(+Details!$F$18/$W$2,0)</f>
        <v>0</v>
      </c>
      <c r="K8" s="354">
        <f t="shared" ref="K8:K47" si="0">SUM(F8:J8)</f>
        <v>1000</v>
      </c>
      <c r="M8" s="354">
        <f>ROUND(+Details!$F$28/$W$2,0)</f>
        <v>10</v>
      </c>
      <c r="N8" s="354">
        <f>ROUND(+Details!$F$31/$W$2,0)</f>
        <v>43</v>
      </c>
      <c r="O8" s="354">
        <f>ROUND(+Details!$F$34/$W$2,0)</f>
        <v>0</v>
      </c>
      <c r="P8" s="354">
        <f>ROUND(+Details!$F$37/$W$2,0)</f>
        <v>6</v>
      </c>
      <c r="Q8" s="354">
        <f>ROUND(+Details!$F$38/$W$2,0)</f>
        <v>0</v>
      </c>
      <c r="R8" s="354">
        <f>ROUND(+Details!$F$49/$W$2,0)</f>
        <v>0</v>
      </c>
      <c r="S8" s="354">
        <f>ROUND(+Details!$F$60/$W$2,0)</f>
        <v>0</v>
      </c>
      <c r="T8" s="354">
        <f>ROUND(+Details!$F$65/$W$2,0)</f>
        <v>0</v>
      </c>
      <c r="U8" s="354">
        <f>ROUND((Details!$F$66+Details!$F$67)/$W$2,0)</f>
        <v>10</v>
      </c>
      <c r="V8" s="354">
        <f>ROUND((Details!$F$68+Details!$F$69)/$W$2,0)</f>
        <v>10</v>
      </c>
      <c r="W8" s="354">
        <f t="shared" ref="W8:W13" si="1">SUM(M8:V8)</f>
        <v>79</v>
      </c>
      <c r="Y8" s="354">
        <f>ROUND(Details!$F$144/$W$2,0)</f>
        <v>70</v>
      </c>
      <c r="Z8" s="354">
        <f>ROUND(Details!$F$145/$W$2,0)</f>
        <v>5</v>
      </c>
      <c r="AA8" s="354">
        <f>ROUND(-Details!$F$234/$W$2,0)</f>
        <v>0</v>
      </c>
      <c r="AB8" s="354">
        <f>ROUND(-Details!$F$236/$W$2,0)</f>
        <v>0</v>
      </c>
      <c r="AC8" s="354">
        <f>ROUND(-Details!$F$237/$W$2,0)</f>
        <v>0</v>
      </c>
      <c r="AD8" s="354">
        <f>ROUND(-Details!$F$238/$W$2,0)</f>
        <v>0</v>
      </c>
      <c r="AE8" s="354">
        <f>ROUND(-Details!$F$96/$W$2,0)</f>
        <v>0</v>
      </c>
      <c r="AF8" s="354">
        <f>ROUND(-Details!$F$107/$W$2,0)</f>
        <v>0</v>
      </c>
      <c r="AG8" s="354">
        <f>ROUND(-Details!$F$127/$W$2,0)</f>
        <v>0</v>
      </c>
      <c r="AH8" s="354">
        <f>-ROUND(-Details!$F$137/$W$2,0)</f>
        <v>0</v>
      </c>
      <c r="AI8" s="354">
        <f>-ROUND(Details!$F$240/$W$2,0)</f>
        <v>0</v>
      </c>
      <c r="AJ8" s="354">
        <f t="shared" ref="AJ8:AJ47" si="2">+Y8+Z8+AI8</f>
        <v>75</v>
      </c>
      <c r="AL8" s="354">
        <f t="shared" ref="AL8:AL47" si="3">+K8+W8-AJ8</f>
        <v>1004</v>
      </c>
      <c r="AM8" s="586"/>
      <c r="AN8" s="354">
        <f>-ROUND(+Details!$F$94/$W$2,0)</f>
        <v>0</v>
      </c>
      <c r="AO8" s="354">
        <f>ROUND(+Details!$F$133/$W$2,0)</f>
        <v>0</v>
      </c>
      <c r="AP8" s="354">
        <f>-ROUND(+Details!$F$91/$W$2,0)</f>
        <v>40</v>
      </c>
      <c r="AQ8" s="354">
        <f>-ROUND(+Details!$F$95/$W$2,0)</f>
        <v>0</v>
      </c>
      <c r="AR8" s="354">
        <f>-ROUND(+Details!$F$96/$W$2,0)</f>
        <v>0</v>
      </c>
      <c r="AS8" s="354">
        <f>-ROUND(+Details!$F$74/$W$2,0)</f>
        <v>0</v>
      </c>
      <c r="AT8" s="354">
        <f>+AP8+AQ8</f>
        <v>40</v>
      </c>
      <c r="AU8" s="354">
        <f>-ROUND(+Details!$F$102/$W$2,0)</f>
        <v>0</v>
      </c>
      <c r="AV8" s="354">
        <f>-ROUND(+Details!$F$99/$W$2,0)</f>
        <v>0</v>
      </c>
      <c r="AW8" s="354">
        <f>-ROUND(+Details!$F$103/$W$2,0)</f>
        <v>0</v>
      </c>
      <c r="AX8" s="354">
        <f>-ROUND(+Details!$F$75/$W$2,0)</f>
        <v>7</v>
      </c>
      <c r="AY8" s="354">
        <f>+AV8+AW8</f>
        <v>0</v>
      </c>
      <c r="AZ8" s="354">
        <f>-ROUND(+Details!$F$110/$W$2,0)</f>
        <v>0</v>
      </c>
      <c r="BA8" s="354">
        <f>-ROUND(+Details!$F$113/$W$2,0)</f>
        <v>0</v>
      </c>
      <c r="BB8" s="354">
        <f>-ROUND(+Details!$F$116/$W$2,0)</f>
        <v>0</v>
      </c>
      <c r="BC8" s="354">
        <f>+BA8+BB8</f>
        <v>0</v>
      </c>
      <c r="BD8" s="354">
        <f>-ROUND(+Details!$F$111/$W$2,0)</f>
        <v>0</v>
      </c>
      <c r="BE8" s="354">
        <f>-ROUND(+Details!$F$114/$W$2,0)</f>
        <v>0</v>
      </c>
      <c r="BF8" s="354">
        <f>-ROUND(+Details!$F$117/$W$2,0)</f>
        <v>0</v>
      </c>
      <c r="BG8" s="354">
        <f>+BE8+BF8</f>
        <v>0</v>
      </c>
      <c r="BH8" s="354">
        <f>-ROUND(+Details!$F$123/$W$2,0)</f>
        <v>0</v>
      </c>
      <c r="BI8" s="354">
        <f>-ROUND(+Details!$F$126/$W$2,0)</f>
        <v>0</v>
      </c>
      <c r="BJ8" s="354">
        <f>-ROUND(+Details!$F$76/$W$2,0)</f>
        <v>1</v>
      </c>
      <c r="BK8" s="354">
        <f>-ROUND(+Details!$F$127/$W$2,0)</f>
        <v>0</v>
      </c>
      <c r="BL8" s="354">
        <f>+BH8+BI8</f>
        <v>0</v>
      </c>
      <c r="BM8" s="354">
        <f>-ROUND(+Details!$F$124/$W$2,0)</f>
        <v>0</v>
      </c>
      <c r="BN8" s="354">
        <f>-ROUND(+Details!$F$134/$W$2,0)</f>
        <v>0</v>
      </c>
      <c r="BO8" s="354">
        <f>-ROUND(+Details!$F$135/$W$2,0)</f>
        <v>0</v>
      </c>
      <c r="BP8" s="354">
        <f>+BN8+BO8</f>
        <v>0</v>
      </c>
      <c r="BQ8" s="354">
        <f t="shared" ref="BQ8:BQ47" si="4">-AH8</f>
        <v>0</v>
      </c>
      <c r="BR8" s="354">
        <f>+AN8+AR8-AS8+AT8+AU8+AY8+AZ8+BC8+BD8+BG8+BK8+BL8+BM8+BP8+BQ8-AX8</f>
        <v>33</v>
      </c>
      <c r="BS8" s="354"/>
      <c r="BT8" s="354">
        <f>ROUND(+Details!$F$248/$W$2,1)</f>
        <v>187.1</v>
      </c>
      <c r="BU8" s="354">
        <f>ROUND(+Details!$F$251/$W$2,1)</f>
        <v>709.7</v>
      </c>
      <c r="BV8" s="354">
        <f>ROUND(+Details!$F$254/$W$2,1)</f>
        <v>0</v>
      </c>
      <c r="BW8" s="354">
        <f>ROUND(+Details!$F$257/$W$2,1)</f>
        <v>107.1</v>
      </c>
      <c r="BX8" s="354">
        <f>ROUND(+Details!$F$258/$W$2,1)</f>
        <v>0</v>
      </c>
      <c r="BY8" s="354">
        <f t="shared" ref="BY8:BY46" si="5">SUM(BT8:BX8)</f>
        <v>1003.9000000000001</v>
      </c>
      <c r="BZ8" s="354"/>
      <c r="CA8" s="585"/>
      <c r="CB8" s="1755"/>
      <c r="CC8" s="1755"/>
      <c r="CD8" s="1756"/>
      <c r="CE8" s="1714"/>
      <c r="CF8" s="1714"/>
      <c r="CG8" s="1714"/>
      <c r="CH8" s="1714"/>
      <c r="CI8" s="1714"/>
      <c r="CJ8" s="1714"/>
      <c r="CK8" s="1714"/>
      <c r="CL8" s="1714"/>
      <c r="CM8" s="1714"/>
      <c r="CN8" s="1714"/>
      <c r="CO8" s="1714"/>
    </row>
    <row r="9" spans="1:94">
      <c r="B9" s="271">
        <f>+B8+1</f>
        <v>2</v>
      </c>
      <c r="C9" s="541">
        <f>+Details!G$4</f>
        <v>63</v>
      </c>
      <c r="D9" s="541">
        <f>+Details!G$5</f>
        <v>62</v>
      </c>
      <c r="E9" s="540">
        <f>+Details!$G$7</f>
        <v>2020</v>
      </c>
      <c r="F9" s="354">
        <f>ROUND(+Details!$G$8/$W$2,0)</f>
        <v>187</v>
      </c>
      <c r="G9" s="354">
        <f>ROUND(+Details!$G$11/$W$2,0)</f>
        <v>710</v>
      </c>
      <c r="H9" s="354">
        <f>ROUND(+Details!$G$14/$W$2,0)</f>
        <v>0</v>
      </c>
      <c r="I9" s="354">
        <f>ROUND(+Details!$G$17/$W$2,0)</f>
        <v>107</v>
      </c>
      <c r="J9" s="354">
        <f>ROUND(+Details!$G$18/$W$2,0)</f>
        <v>0</v>
      </c>
      <c r="K9" s="354">
        <f t="shared" si="0"/>
        <v>1004</v>
      </c>
      <c r="M9" s="354">
        <f>ROUND(+Details!$G$28/$W$2,0)</f>
        <v>9</v>
      </c>
      <c r="N9" s="354">
        <f>ROUND(+Details!$G$31/$W$2,0)</f>
        <v>44</v>
      </c>
      <c r="O9" s="354">
        <f>ROUND(+Details!$G$34/$W$2,0)</f>
        <v>0</v>
      </c>
      <c r="P9" s="354">
        <f>ROUND(+Details!$G$37/$W$2,0)</f>
        <v>7</v>
      </c>
      <c r="Q9" s="354">
        <f>ROUND(+Details!$G$38/$W$2,0)</f>
        <v>0</v>
      </c>
      <c r="R9" s="354">
        <f>ROUND(+Details!$G$49/$W$2,0)</f>
        <v>0</v>
      </c>
      <c r="S9" s="354">
        <f>ROUND(+Details!$G$60/$W$2,0)</f>
        <v>0</v>
      </c>
      <c r="T9" s="354">
        <f>ROUND(+Details!$G$65/$W$2,0)</f>
        <v>0</v>
      </c>
      <c r="U9" s="354">
        <f>ROUND((Details!$G$66+Details!$G$67)/$W$2,0)</f>
        <v>10</v>
      </c>
      <c r="V9" s="354">
        <f>ROUND((Details!$G$68+Details!$G$69)/$W$2,0)</f>
        <v>25</v>
      </c>
      <c r="W9" s="354">
        <f t="shared" si="1"/>
        <v>95</v>
      </c>
      <c r="Y9" s="354">
        <f>ROUND(Details!$G$144/$W$2,0)</f>
        <v>71</v>
      </c>
      <c r="Z9" s="354">
        <f>ROUND(Details!$G$145/$W$2,0)</f>
        <v>7</v>
      </c>
      <c r="AA9" s="354">
        <f>ROUND(-Details!$G$234/$W$2,0)</f>
        <v>0</v>
      </c>
      <c r="AB9" s="354">
        <f>ROUND(-Details!$G$236/$W$2,0)</f>
        <v>0</v>
      </c>
      <c r="AC9" s="354">
        <f>ROUND(-Details!$G$237/$W$2,0)</f>
        <v>0</v>
      </c>
      <c r="AD9" s="354">
        <f>ROUND(-Details!$G$238/$W$2,0)</f>
        <v>0</v>
      </c>
      <c r="AE9" s="354">
        <f>ROUND(-Details!$G$96/$W$2,0)</f>
        <v>0</v>
      </c>
      <c r="AF9" s="354">
        <f>ROUND(-Details!$G$107/$W$2,0)</f>
        <v>0</v>
      </c>
      <c r="AG9" s="354">
        <f>ROUND(-Details!$G$127/$W$2,0)</f>
        <v>0</v>
      </c>
      <c r="AH9" s="354">
        <f>-ROUND(-Details!$G$137/$W$2,0)</f>
        <v>0</v>
      </c>
      <c r="AI9" s="354">
        <f>-ROUND(Details!$G$240/$W$2,0)</f>
        <v>0</v>
      </c>
      <c r="AJ9" s="354">
        <f t="shared" si="2"/>
        <v>78</v>
      </c>
      <c r="AL9" s="354">
        <f t="shared" si="3"/>
        <v>1021</v>
      </c>
      <c r="AN9" s="354">
        <f>-ROUND(+Details!$G$94/$W$2,0)</f>
        <v>0</v>
      </c>
      <c r="AO9" s="354">
        <f>ROUND(+Details!$G$133/$W$2,0)</f>
        <v>0</v>
      </c>
      <c r="AP9" s="354">
        <f>-ROUND(+Details!$G$91/$W$2,0)</f>
        <v>41</v>
      </c>
      <c r="AQ9" s="354">
        <f>-ROUND(+Details!$G$95/$W$2,0)</f>
        <v>0</v>
      </c>
      <c r="AR9" s="354">
        <f>-ROUND(+Details!$G$96/$W$2,0)</f>
        <v>0</v>
      </c>
      <c r="AS9" s="354">
        <f>-ROUND(+Details!$G$74/$W$2,0)</f>
        <v>0</v>
      </c>
      <c r="AT9" s="354">
        <f t="shared" ref="AT9:AT47" si="6">+AP9+AQ9</f>
        <v>41</v>
      </c>
      <c r="AU9" s="354">
        <f>-ROUND(+Details!$G$102/$W$2,0)</f>
        <v>0</v>
      </c>
      <c r="AV9" s="354">
        <f>-ROUND(+Details!$G$99/$W$2,0)</f>
        <v>0</v>
      </c>
      <c r="AW9" s="354">
        <f>-ROUND(+Details!$G$103/$W$2,0)</f>
        <v>0</v>
      </c>
      <c r="AX9" s="354">
        <f>-ROUND(+Details!$G$75/$W$2,0)</f>
        <v>7</v>
      </c>
      <c r="AY9" s="354">
        <f t="shared" ref="AY9:AY47" si="7">+AV9+AW9</f>
        <v>0</v>
      </c>
      <c r="AZ9" s="354">
        <f>-ROUND(+Details!$G$110/$W$2,0)</f>
        <v>0</v>
      </c>
      <c r="BA9" s="354">
        <f>-ROUND(+Details!$G$113/$W$2,0)</f>
        <v>0</v>
      </c>
      <c r="BB9" s="354">
        <f>-ROUND(+Details!$G$116/$W$2,0)</f>
        <v>0</v>
      </c>
      <c r="BC9" s="354">
        <f t="shared" ref="BC9:BC47" si="8">+BA9+BB9</f>
        <v>0</v>
      </c>
      <c r="BD9" s="354">
        <f>-ROUND(+Details!$G$111/$W$2,0)</f>
        <v>0</v>
      </c>
      <c r="BE9" s="354">
        <f>-ROUND(+Details!$G$114/$W$2,0)</f>
        <v>0</v>
      </c>
      <c r="BF9" s="354">
        <f>-ROUND(+Details!$G$117/$W$2,0)</f>
        <v>0</v>
      </c>
      <c r="BG9" s="354">
        <f t="shared" ref="BG9:BG47" si="9">+BE9+BF9</f>
        <v>0</v>
      </c>
      <c r="BH9" s="354">
        <f>-ROUND(+Details!$G$123/$W$2,0)</f>
        <v>0</v>
      </c>
      <c r="BI9" s="354">
        <f>-ROUND(+Details!$G$126/$W$2,0)</f>
        <v>0</v>
      </c>
      <c r="BJ9" s="354">
        <f>-ROUND(+Details!$G$76/$W$2,0)</f>
        <v>1</v>
      </c>
      <c r="BK9" s="354">
        <f>-ROUND(+Details!$G$127/$W$2,0)</f>
        <v>0</v>
      </c>
      <c r="BL9" s="354">
        <f t="shared" ref="BL9:BL47" si="10">+BH9+BI9</f>
        <v>0</v>
      </c>
      <c r="BM9" s="354">
        <f>-ROUND(+Details!$G$124/$W$2,0)</f>
        <v>0</v>
      </c>
      <c r="BN9" s="354">
        <f>-ROUND(+Details!$G$134/$W$2,0)</f>
        <v>0</v>
      </c>
      <c r="BO9" s="354">
        <f>-ROUND(+Details!$G$135/$W$2,0)</f>
        <v>0</v>
      </c>
      <c r="BP9" s="354">
        <f t="shared" ref="BP9:BP47" si="11">+BN9+BO9</f>
        <v>0</v>
      </c>
      <c r="BQ9" s="354">
        <f t="shared" si="4"/>
        <v>0</v>
      </c>
      <c r="BR9" s="354">
        <f t="shared" ref="BR9:BR47" si="12">+AN9+AR9-AS9+AT9+AU9+AY9+AZ9+BC9+BD9+BG9+BK9+BL9+BM9+BP9+BQ9-AX9</f>
        <v>34</v>
      </c>
      <c r="BS9" s="354"/>
      <c r="BT9" s="354">
        <f>ROUND(+Details!$G$248/$W$2,0)</f>
        <v>187</v>
      </c>
      <c r="BU9" s="354">
        <f>ROUND(+Details!$G$251/$W$2,0)</f>
        <v>719</v>
      </c>
      <c r="BV9" s="354">
        <f>ROUND(+Details!$G$254/$W$2,0)</f>
        <v>0</v>
      </c>
      <c r="BW9" s="354">
        <f>ROUND(+Details!$G$257/$W$2,0)</f>
        <v>115</v>
      </c>
      <c r="BX9" s="354">
        <f>ROUND(+Details!$G$258/$W$2,0)</f>
        <v>0</v>
      </c>
      <c r="BY9" s="354">
        <f t="shared" si="5"/>
        <v>1021</v>
      </c>
      <c r="BZ9" s="354"/>
      <c r="CA9" s="354"/>
      <c r="CB9" s="1715"/>
      <c r="CC9" s="1715"/>
      <c r="CD9" s="1716"/>
      <c r="CE9" s="1712"/>
      <c r="CF9" s="1712"/>
      <c r="CG9" s="1712"/>
      <c r="CH9" s="1712"/>
      <c r="CI9" s="1712"/>
      <c r="CJ9" s="1712"/>
      <c r="CK9" s="1712"/>
      <c r="CL9" s="1712"/>
      <c r="CM9" s="1712"/>
      <c r="CN9" s="1712"/>
      <c r="CO9" s="1712"/>
    </row>
    <row r="10" spans="1:94">
      <c r="B10" s="271">
        <f t="shared" ref="B10:B47" si="13">+B9+1</f>
        <v>3</v>
      </c>
      <c r="C10" s="541">
        <f>+Details!H$4</f>
        <v>64</v>
      </c>
      <c r="D10" s="541">
        <f>+Details!H$5</f>
        <v>63</v>
      </c>
      <c r="E10" s="540">
        <f>+Details!$H$7</f>
        <v>2021</v>
      </c>
      <c r="F10" s="354">
        <f>ROUND(+Details!$H$8/$W$2,0)</f>
        <v>187</v>
      </c>
      <c r="G10" s="354">
        <f>ROUND(+Details!$H$11/$W$2,0)</f>
        <v>719</v>
      </c>
      <c r="H10" s="354">
        <f>ROUND(+Details!$H$14/$W$2,0)</f>
        <v>0</v>
      </c>
      <c r="I10" s="354">
        <f>ROUND(+Details!$H$17/$W$2,0)</f>
        <v>115</v>
      </c>
      <c r="J10" s="354">
        <f>ROUND(+Details!$H$18/$W$2,0)</f>
        <v>0</v>
      </c>
      <c r="K10" s="354">
        <f t="shared" si="0"/>
        <v>1021</v>
      </c>
      <c r="M10" s="354">
        <f>ROUND(+Details!$H$28/$W$2,0)</f>
        <v>9</v>
      </c>
      <c r="N10" s="354">
        <f>ROUND(+Details!$H$31/$W$2,0)</f>
        <v>44</v>
      </c>
      <c r="O10" s="354">
        <f>ROUND(+Details!$H$34/$W$2,0)</f>
        <v>0</v>
      </c>
      <c r="P10" s="354">
        <f>ROUND(+Details!$H$37/$W$2,0)</f>
        <v>7</v>
      </c>
      <c r="Q10" s="354">
        <f>ROUND(+Details!$H$38/$W$2,0)</f>
        <v>0</v>
      </c>
      <c r="R10" s="354">
        <f>ROUND(+Details!$H$49/$W$2,0)</f>
        <v>0</v>
      </c>
      <c r="S10" s="354">
        <f>ROUND(+Details!$H$60/$W$2,0)</f>
        <v>0</v>
      </c>
      <c r="T10" s="354">
        <f>ROUND(+Details!$H$65/$W$2,0)</f>
        <v>0</v>
      </c>
      <c r="U10" s="354">
        <f>ROUND((Details!$H$66+Details!$H$67)/$W$2,0)</f>
        <v>10</v>
      </c>
      <c r="V10" s="354">
        <f>ROUND((Details!$H$68+Details!$H$69)/$W$2,0)</f>
        <v>11</v>
      </c>
      <c r="W10" s="354">
        <f t="shared" si="1"/>
        <v>81</v>
      </c>
      <c r="Y10" s="354">
        <f>ROUND(Details!$H$144/$W$2,0)</f>
        <v>73</v>
      </c>
      <c r="Z10" s="354">
        <f>ROUND(Details!$H$145/$W$2,0)</f>
        <v>5</v>
      </c>
      <c r="AA10" s="354">
        <f>ROUND(-Details!$H$234/$W$2,0)</f>
        <v>0</v>
      </c>
      <c r="AB10" s="354">
        <f>ROUND(-Details!$H$236/$W$2,0)</f>
        <v>0</v>
      </c>
      <c r="AC10" s="354">
        <f>ROUND(-Details!$H$237/$W$2,0)</f>
        <v>0</v>
      </c>
      <c r="AD10" s="354">
        <f>ROUND(-Details!$H$238/$W$2,0)</f>
        <v>0</v>
      </c>
      <c r="AE10" s="354">
        <f>ROUND(-Details!$H$96/$W$2,0)</f>
        <v>0</v>
      </c>
      <c r="AF10" s="354">
        <f>ROUND(-Details!$H$107/$W$2,0)</f>
        <v>0</v>
      </c>
      <c r="AG10" s="354">
        <f>ROUND(-Details!$H$127/$W$2,0)</f>
        <v>0</v>
      </c>
      <c r="AH10" s="354">
        <f>-ROUND(-Details!$H$137/$W$2,0)</f>
        <v>0</v>
      </c>
      <c r="AI10" s="354">
        <f>-ROUND(Details!$H$240/$W$2,0)</f>
        <v>0</v>
      </c>
      <c r="AJ10" s="354">
        <f t="shared" si="2"/>
        <v>78</v>
      </c>
      <c r="AL10" s="354">
        <f t="shared" si="3"/>
        <v>1024</v>
      </c>
      <c r="AN10" s="354">
        <f>-ROUND(+Details!$H$94/$W$2,0)</f>
        <v>0</v>
      </c>
      <c r="AO10" s="354">
        <f>ROUND(+Details!$H$133/$W$2,0)</f>
        <v>0</v>
      </c>
      <c r="AP10" s="354">
        <f>-ROUND(+Details!$H$91/$W$2,0)</f>
        <v>42</v>
      </c>
      <c r="AQ10" s="354">
        <f>-ROUND(+Details!$H$95/$W$2,0)</f>
        <v>0</v>
      </c>
      <c r="AR10" s="354">
        <f>-ROUND(+Details!$H$96/$W$2,0)</f>
        <v>0</v>
      </c>
      <c r="AS10" s="354">
        <f>-ROUND(+Details!$H$74/$W$2,0)</f>
        <v>0</v>
      </c>
      <c r="AT10" s="354">
        <f t="shared" si="6"/>
        <v>42</v>
      </c>
      <c r="AU10" s="354">
        <f>-ROUND(+Details!$H$102/$W$2,0)</f>
        <v>0</v>
      </c>
      <c r="AV10" s="354">
        <f>-ROUND(+Details!$H$99/$W$2,0)</f>
        <v>0</v>
      </c>
      <c r="AW10" s="354">
        <f>-ROUND(+Details!$H$103/$W$2,0)</f>
        <v>0</v>
      </c>
      <c r="AX10" s="354">
        <f>-ROUND(+Details!$H$75/$W$2,0)</f>
        <v>7</v>
      </c>
      <c r="AY10" s="354">
        <f t="shared" si="7"/>
        <v>0</v>
      </c>
      <c r="AZ10" s="354">
        <f>-ROUND(+Details!$H$110/$W$2,0)</f>
        <v>0</v>
      </c>
      <c r="BA10" s="354">
        <f>-ROUND(+Details!$H$113/$W$2,0)</f>
        <v>0</v>
      </c>
      <c r="BB10" s="354">
        <f>-ROUND(+Details!$H$116/$W$2,0)</f>
        <v>0</v>
      </c>
      <c r="BC10" s="354">
        <f t="shared" si="8"/>
        <v>0</v>
      </c>
      <c r="BD10" s="354">
        <f>-ROUND(+Details!$H$111/$W$2,0)</f>
        <v>0</v>
      </c>
      <c r="BE10" s="354">
        <f>-ROUND(+Details!$H$114/$W$2,0)</f>
        <v>0</v>
      </c>
      <c r="BF10" s="354">
        <f>-ROUND(+Details!$H$117/$W$2,0)</f>
        <v>0</v>
      </c>
      <c r="BG10" s="354">
        <f t="shared" si="9"/>
        <v>0</v>
      </c>
      <c r="BH10" s="354">
        <f>-ROUND(+Details!$H$123/$W$2,0)</f>
        <v>0</v>
      </c>
      <c r="BI10" s="354">
        <f>-ROUND(+Details!$H$126/$W$2,0)</f>
        <v>0</v>
      </c>
      <c r="BJ10" s="354">
        <f>-ROUND(+Details!$H$76/$W$2,0)</f>
        <v>1</v>
      </c>
      <c r="BK10" s="354">
        <f>-ROUND(+Details!$H$127/$W$2,0)</f>
        <v>0</v>
      </c>
      <c r="BL10" s="354">
        <f t="shared" si="10"/>
        <v>0</v>
      </c>
      <c r="BM10" s="354">
        <f>-ROUND(+Details!$H$124/$W$2,0)</f>
        <v>0</v>
      </c>
      <c r="BN10" s="354">
        <f>-ROUND(+Details!$H$134/$W$2,0)</f>
        <v>0</v>
      </c>
      <c r="BO10" s="354">
        <f>-ROUND(+Details!$H$135/$W$2,0)</f>
        <v>0</v>
      </c>
      <c r="BP10" s="354">
        <f t="shared" si="11"/>
        <v>0</v>
      </c>
      <c r="BQ10" s="354">
        <f t="shared" si="4"/>
        <v>0</v>
      </c>
      <c r="BR10" s="354">
        <f t="shared" si="12"/>
        <v>35</v>
      </c>
      <c r="BS10" s="354"/>
      <c r="BT10" s="354">
        <f>ROUND(+Details!$H$248/$W$2,0)</f>
        <v>174</v>
      </c>
      <c r="BU10" s="354">
        <f>ROUND(+Details!$H$251/$W$2,0)</f>
        <v>727</v>
      </c>
      <c r="BV10" s="354">
        <f>ROUND(+Details!$H$254/$W$2,0)</f>
        <v>0</v>
      </c>
      <c r="BW10" s="354">
        <f>ROUND(+Details!$H$257/$W$2,0)</f>
        <v>123</v>
      </c>
      <c r="BX10" s="354">
        <f>ROUND(+Details!$H$258/$W$2,0)</f>
        <v>0</v>
      </c>
      <c r="BY10" s="354">
        <f t="shared" si="5"/>
        <v>1024</v>
      </c>
      <c r="BZ10" s="354"/>
      <c r="CA10" s="354"/>
      <c r="CB10" s="1715"/>
      <c r="CC10" s="1715"/>
      <c r="CD10" s="1716"/>
      <c r="CE10" s="1712"/>
      <c r="CF10" s="1712"/>
      <c r="CG10" s="1712"/>
      <c r="CH10" s="1712"/>
      <c r="CI10" s="1712"/>
      <c r="CJ10" s="1712"/>
      <c r="CK10" s="1712"/>
      <c r="CL10" s="1712"/>
      <c r="CM10" s="1712"/>
      <c r="CN10" s="1712"/>
      <c r="CO10" s="1712"/>
    </row>
    <row r="11" spans="1:94">
      <c r="B11" s="271">
        <f t="shared" si="13"/>
        <v>4</v>
      </c>
      <c r="C11" s="541">
        <f>+Details!I$4</f>
        <v>65</v>
      </c>
      <c r="D11" s="541">
        <f>+Details!I$5</f>
        <v>64</v>
      </c>
      <c r="E11" s="540">
        <f>+Details!$I$7</f>
        <v>2022</v>
      </c>
      <c r="F11" s="354">
        <f>ROUND(+Details!$I$8/$W$2,0)</f>
        <v>174</v>
      </c>
      <c r="G11" s="354">
        <f>ROUND(+Details!$I$11/$W$2,0)</f>
        <v>727</v>
      </c>
      <c r="H11" s="354">
        <f>ROUND(+Details!$I$14/$W$2,0)</f>
        <v>0</v>
      </c>
      <c r="I11" s="354">
        <f>ROUND(+Details!$I$17/$W$2,0)</f>
        <v>123</v>
      </c>
      <c r="J11" s="354">
        <f>ROUND(+Details!$I$18/$W$2,0)</f>
        <v>0</v>
      </c>
      <c r="K11" s="354">
        <f t="shared" si="0"/>
        <v>1024</v>
      </c>
      <c r="M11" s="354">
        <f>ROUND(+Details!$I$28/$W$2,0)</f>
        <v>8</v>
      </c>
      <c r="N11" s="354">
        <f>ROUND(+Details!$I$31/$W$2,0)</f>
        <v>45</v>
      </c>
      <c r="O11" s="354">
        <f>ROUND(+Details!$I$34/$W$2,0)</f>
        <v>0</v>
      </c>
      <c r="P11" s="354">
        <f>ROUND(+Details!$I$37/$W$2,0)</f>
        <v>8</v>
      </c>
      <c r="Q11" s="354">
        <f>ROUND(+Details!$I$38/$W$2,0)</f>
        <v>0</v>
      </c>
      <c r="R11" s="354">
        <f>ROUND(+Details!$I$49/$W$2,0)</f>
        <v>0</v>
      </c>
      <c r="S11" s="354">
        <f>ROUND(+Details!$I$60/$W$2,0)</f>
        <v>0</v>
      </c>
      <c r="T11" s="354">
        <f>ROUND(+Details!$I$65/$W$2,0)</f>
        <v>0</v>
      </c>
      <c r="U11" s="354">
        <f>ROUND((Details!$I$66+Details!$I$67)/$W$2,0)</f>
        <v>11</v>
      </c>
      <c r="V11" s="354">
        <f>ROUND((Details!$I$68+Details!$I$69)/$W$2,0)</f>
        <v>11</v>
      </c>
      <c r="W11" s="354">
        <f t="shared" si="1"/>
        <v>83</v>
      </c>
      <c r="Y11" s="354">
        <f>ROUND(Details!$I$144/$W$2,0)</f>
        <v>74</v>
      </c>
      <c r="Z11" s="354">
        <f>ROUND(Details!$I$145/$W$2,0)</f>
        <v>5</v>
      </c>
      <c r="AA11" s="354">
        <f>ROUND(-Details!$I$234/$W$2,0)</f>
        <v>0</v>
      </c>
      <c r="AB11" s="354">
        <f>ROUND(-Details!$I$236/$W$2,0)</f>
        <v>0</v>
      </c>
      <c r="AC11" s="354">
        <f>ROUND(-Details!$I$237/$W$2,0)</f>
        <v>0</v>
      </c>
      <c r="AD11" s="354">
        <f>ROUND(-Details!$I$238/$W$2,0)</f>
        <v>0</v>
      </c>
      <c r="AE11" s="354">
        <f>ROUND(-Details!$I$96/$W$2,0)</f>
        <v>0</v>
      </c>
      <c r="AF11" s="354">
        <f>ROUND(-Details!$I$107/$W$2,0)</f>
        <v>0</v>
      </c>
      <c r="AG11" s="354">
        <f>ROUND(-Details!$I$127/$W$2,0)</f>
        <v>0</v>
      </c>
      <c r="AH11" s="354">
        <f>-ROUND(-Details!$I$137/$W$2,0)</f>
        <v>0</v>
      </c>
      <c r="AI11" s="354">
        <f>-ROUND(Details!$I$240/$W$2,0)</f>
        <v>0</v>
      </c>
      <c r="AJ11" s="354">
        <f t="shared" si="2"/>
        <v>79</v>
      </c>
      <c r="AL11" s="354">
        <f t="shared" si="3"/>
        <v>1028</v>
      </c>
      <c r="AN11" s="354">
        <f>-ROUND(+Details!$I$94/$W$2,0)</f>
        <v>0</v>
      </c>
      <c r="AO11" s="354">
        <f>ROUND(+Details!$I$133/$W$2,0)</f>
        <v>0</v>
      </c>
      <c r="AP11" s="354">
        <f>-ROUND(+Details!$I$91/$W$2,0)</f>
        <v>44</v>
      </c>
      <c r="AQ11" s="354">
        <f>-ROUND(+Details!$I$95/$W$2,0)</f>
        <v>0</v>
      </c>
      <c r="AR11" s="354">
        <f>-ROUND(+Details!$I$96/$W$2,0)</f>
        <v>0</v>
      </c>
      <c r="AS11" s="354">
        <f>-ROUND(+Details!$I$74/$W$2,0)</f>
        <v>0</v>
      </c>
      <c r="AT11" s="354">
        <f t="shared" si="6"/>
        <v>44</v>
      </c>
      <c r="AU11" s="354">
        <f>-ROUND(+Details!$I$102/$W$2,0)</f>
        <v>0</v>
      </c>
      <c r="AV11" s="354">
        <f>-ROUND(+Details!$I$99/$W$2,0)</f>
        <v>0</v>
      </c>
      <c r="AW11" s="354">
        <f>-ROUND(+Details!$I$103/$W$2,0)</f>
        <v>0</v>
      </c>
      <c r="AX11" s="354">
        <f>-ROUND(+Details!$I$75/$W$2,0)</f>
        <v>7</v>
      </c>
      <c r="AY11" s="354">
        <f t="shared" si="7"/>
        <v>0</v>
      </c>
      <c r="AZ11" s="354">
        <f>-ROUND(+Details!$I$110/$W$2,0)</f>
        <v>0</v>
      </c>
      <c r="BA11" s="354">
        <f>-ROUND(+Details!$I$113/$W$2,0)</f>
        <v>0</v>
      </c>
      <c r="BB11" s="354">
        <f>-ROUND(+Details!$I$116/$W$2,0)</f>
        <v>0</v>
      </c>
      <c r="BC11" s="354">
        <f t="shared" si="8"/>
        <v>0</v>
      </c>
      <c r="BD11" s="354">
        <f>-ROUND(+Details!$I$111/$W$2,0)</f>
        <v>0</v>
      </c>
      <c r="BE11" s="354">
        <f>-ROUND(+Details!$I$114/$W$2,0)</f>
        <v>0</v>
      </c>
      <c r="BF11" s="354">
        <f>-ROUND(+Details!$I$117/$W$2,0)</f>
        <v>0</v>
      </c>
      <c r="BG11" s="354">
        <f t="shared" si="9"/>
        <v>0</v>
      </c>
      <c r="BH11" s="354">
        <f>-ROUND(+Details!$I$123/$W$2,0)</f>
        <v>0</v>
      </c>
      <c r="BI11" s="354">
        <f>-ROUND(+Details!$I$126/$W$2,0)</f>
        <v>0</v>
      </c>
      <c r="BJ11" s="354">
        <f>-ROUND(+Details!$I$76/$W$2,0)</f>
        <v>1</v>
      </c>
      <c r="BK11" s="354">
        <f>-ROUND(+Details!$I$127/$W$2,0)</f>
        <v>0</v>
      </c>
      <c r="BL11" s="354">
        <f t="shared" si="10"/>
        <v>0</v>
      </c>
      <c r="BM11" s="354">
        <f>-ROUND(+Details!$I$124/$W$2,0)</f>
        <v>0</v>
      </c>
      <c r="BN11" s="354">
        <f>-ROUND(+Details!$I$134/$W$2,0)</f>
        <v>0</v>
      </c>
      <c r="BO11" s="354">
        <f>-ROUND(+Details!$I$135/$W$2,0)</f>
        <v>0</v>
      </c>
      <c r="BP11" s="354">
        <f t="shared" si="11"/>
        <v>0</v>
      </c>
      <c r="BQ11" s="354">
        <f t="shared" si="4"/>
        <v>0</v>
      </c>
      <c r="BR11" s="354">
        <f t="shared" si="12"/>
        <v>37</v>
      </c>
      <c r="BS11" s="354"/>
      <c r="BT11" s="354">
        <f>ROUND(+Details!$I$248/$W$2,0)</f>
        <v>161</v>
      </c>
      <c r="BU11" s="354">
        <f>ROUND(+Details!$I$251/$W$2,0)</f>
        <v>734</v>
      </c>
      <c r="BV11" s="354">
        <f>ROUND(+Details!$I$254/$W$2,0)</f>
        <v>0</v>
      </c>
      <c r="BW11" s="354">
        <f>ROUND(+Details!$I$257/$W$2,0)</f>
        <v>132</v>
      </c>
      <c r="BX11" s="354">
        <f>ROUND(+Details!$I$258/$W$2,0)</f>
        <v>0</v>
      </c>
      <c r="BY11" s="354">
        <f t="shared" si="5"/>
        <v>1027</v>
      </c>
      <c r="BZ11" s="354"/>
      <c r="CA11" s="354"/>
      <c r="CB11" s="1715"/>
      <c r="CC11" s="1715"/>
      <c r="CD11" s="1716"/>
      <c r="CE11" s="1712"/>
      <c r="CF11" s="1712"/>
      <c r="CG11" s="1712"/>
      <c r="CH11" s="1712"/>
      <c r="CI11" s="1712"/>
      <c r="CJ11" s="1712"/>
      <c r="CK11" s="1712"/>
      <c r="CL11" s="1712"/>
      <c r="CM11" s="1712"/>
      <c r="CN11" s="1712"/>
      <c r="CO11" s="1712"/>
    </row>
    <row r="12" spans="1:94">
      <c r="B12" s="271">
        <f t="shared" si="13"/>
        <v>5</v>
      </c>
      <c r="C12" s="541">
        <f>+Details!J$4</f>
        <v>66</v>
      </c>
      <c r="D12" s="541">
        <f>+Details!J$5</f>
        <v>65</v>
      </c>
      <c r="E12" s="540">
        <f>+Details!$J$7</f>
        <v>2023</v>
      </c>
      <c r="F12" s="354">
        <f>ROUND(+Details!$J$8/$W$2,0)</f>
        <v>161</v>
      </c>
      <c r="G12" s="354">
        <f>ROUND(+Details!$J$11/$W$2,0)</f>
        <v>734</v>
      </c>
      <c r="H12" s="354">
        <f>ROUND(+Details!$J$14/$W$2,0)</f>
        <v>0</v>
      </c>
      <c r="I12" s="354">
        <f>ROUND(+Details!$J$17/$W$2,0)</f>
        <v>132</v>
      </c>
      <c r="J12" s="354">
        <f>ROUND(+Details!$J$18/$W$2,0)</f>
        <v>0</v>
      </c>
      <c r="K12" s="354">
        <f t="shared" si="0"/>
        <v>1027</v>
      </c>
      <c r="M12" s="354">
        <f>ROUND(+Details!$J$28/$W$2,0)</f>
        <v>8</v>
      </c>
      <c r="N12" s="354">
        <f>ROUND(+Details!$J$31/$W$2,0)</f>
        <v>45</v>
      </c>
      <c r="O12" s="354">
        <f>ROUND(+Details!$J$34/$W$2,0)</f>
        <v>0</v>
      </c>
      <c r="P12" s="354">
        <f>ROUND(+Details!$J$37/$W$2,0)</f>
        <v>8</v>
      </c>
      <c r="Q12" s="354">
        <f>ROUND(+Details!$J$38/$W$2,0)</f>
        <v>0</v>
      </c>
      <c r="R12" s="354">
        <f>ROUND(+Details!$J$49/$W$2,0)</f>
        <v>0</v>
      </c>
      <c r="S12" s="354">
        <f>ROUND(+Details!$J$60/$W$2,0)</f>
        <v>0</v>
      </c>
      <c r="T12" s="354">
        <f>ROUND(+Details!$J$65/$W$2,0)</f>
        <v>0</v>
      </c>
      <c r="U12" s="354">
        <f>ROUND((Details!$J$66+Details!$J$67)/$W$2,0)</f>
        <v>11</v>
      </c>
      <c r="V12" s="354">
        <f>ROUND((Details!$J$68+Details!$J$69)/$W$2,0)</f>
        <v>12</v>
      </c>
      <c r="W12" s="354">
        <f t="shared" si="1"/>
        <v>84</v>
      </c>
      <c r="Y12" s="354">
        <f>ROUND(Details!$J$144/$W$2,0)</f>
        <v>76</v>
      </c>
      <c r="Z12" s="354">
        <f>ROUND(Details!$J$145/$W$2,0)</f>
        <v>5</v>
      </c>
      <c r="AA12" s="354">
        <f>ROUND(-Details!$J$234/$W$2,0)</f>
        <v>0</v>
      </c>
      <c r="AB12" s="354">
        <f>ROUND(-Details!$J$236/$W$2,0)</f>
        <v>0</v>
      </c>
      <c r="AC12" s="354">
        <f>ROUND(-Details!$J$237/$W$2,0)</f>
        <v>0</v>
      </c>
      <c r="AD12" s="354">
        <f>ROUND(-Details!$J$238/$W$2,0)</f>
        <v>0</v>
      </c>
      <c r="AE12" s="354">
        <f>ROUND(-Details!$J$96/$W$2,0)</f>
        <v>0</v>
      </c>
      <c r="AF12" s="354">
        <f>ROUND(-Details!$J$107/$W$2,0)</f>
        <v>0</v>
      </c>
      <c r="AG12" s="354">
        <f>ROUND(-Details!$J$127/$W$2,0)</f>
        <v>0</v>
      </c>
      <c r="AH12" s="354">
        <f>-ROUND(-Details!$J$137/$W$2,0)</f>
        <v>0</v>
      </c>
      <c r="AI12" s="354">
        <f>-ROUND(Details!$J$240/$W$2,0)</f>
        <v>0</v>
      </c>
      <c r="AJ12" s="354">
        <f t="shared" si="2"/>
        <v>81</v>
      </c>
      <c r="AL12" s="354">
        <f t="shared" si="3"/>
        <v>1030</v>
      </c>
      <c r="AN12" s="354">
        <f>-ROUND(+Details!$J$94/$W$2,0)</f>
        <v>0</v>
      </c>
      <c r="AO12" s="354">
        <f>ROUND(+Details!$J$133/$W$2,0)</f>
        <v>0</v>
      </c>
      <c r="AP12" s="354">
        <f>-ROUND(+Details!$J$91/$W$2,0)</f>
        <v>45</v>
      </c>
      <c r="AQ12" s="354">
        <f>-ROUND(+Details!$J$95/$W$2,0)</f>
        <v>0</v>
      </c>
      <c r="AR12" s="354">
        <f>-ROUND(+Details!$J$96/$W$2,0)</f>
        <v>0</v>
      </c>
      <c r="AS12" s="354">
        <f>-ROUND(+Details!$J$74/$W$2,0)</f>
        <v>0</v>
      </c>
      <c r="AT12" s="354">
        <f t="shared" si="6"/>
        <v>45</v>
      </c>
      <c r="AU12" s="354">
        <f>-ROUND(+Details!$J$102/$W$2,0)</f>
        <v>0</v>
      </c>
      <c r="AV12" s="354">
        <f>-ROUND(+Details!$J$99/$W$2,0)</f>
        <v>0</v>
      </c>
      <c r="AW12" s="354">
        <f>-ROUND(+Details!$J$103/$W$2,0)</f>
        <v>0</v>
      </c>
      <c r="AX12" s="354">
        <f>-ROUND(+Details!$J$75/$W$2,0)</f>
        <v>7</v>
      </c>
      <c r="AY12" s="354">
        <f t="shared" si="7"/>
        <v>0</v>
      </c>
      <c r="AZ12" s="354">
        <f>-ROUND(+Details!$J$110/$W$2,0)</f>
        <v>0</v>
      </c>
      <c r="BA12" s="354">
        <f>-ROUND(+Details!$J$113/$W$2,0)</f>
        <v>0</v>
      </c>
      <c r="BB12" s="354">
        <f>-ROUND(+Details!$J$116/$W$2,0)</f>
        <v>0</v>
      </c>
      <c r="BC12" s="354">
        <f t="shared" si="8"/>
        <v>0</v>
      </c>
      <c r="BD12" s="354">
        <f>-ROUND(+Details!$J$111/$W$2,0)</f>
        <v>0</v>
      </c>
      <c r="BE12" s="354">
        <f>-ROUND(+Details!$J$114/$W$2,0)</f>
        <v>0</v>
      </c>
      <c r="BF12" s="354">
        <f>-ROUND(+Details!$J$117/$W$2,0)</f>
        <v>0</v>
      </c>
      <c r="BG12" s="354">
        <f t="shared" si="9"/>
        <v>0</v>
      </c>
      <c r="BH12" s="354">
        <f>-ROUND(+Details!$J$123/$W$2,0)</f>
        <v>0</v>
      </c>
      <c r="BI12" s="354">
        <f>-ROUND(+Details!$J$126/$W$2,0)</f>
        <v>0</v>
      </c>
      <c r="BJ12" s="354">
        <f>-ROUND(+Details!$J$76/$W$2,0)</f>
        <v>0</v>
      </c>
      <c r="BK12" s="354">
        <f>-ROUND(+Details!$J$127/$W$2,0)</f>
        <v>0</v>
      </c>
      <c r="BL12" s="354">
        <f t="shared" si="10"/>
        <v>0</v>
      </c>
      <c r="BM12" s="354">
        <f>-ROUND(+Details!$J$124/$W$2,0)</f>
        <v>0</v>
      </c>
      <c r="BN12" s="354">
        <f>-ROUND(+Details!$J$134/$W$2,0)</f>
        <v>0</v>
      </c>
      <c r="BO12" s="354">
        <f>-ROUND(+Details!$J$135/$W$2,0)</f>
        <v>0</v>
      </c>
      <c r="BP12" s="354">
        <f t="shared" si="11"/>
        <v>0</v>
      </c>
      <c r="BQ12" s="354">
        <f t="shared" si="4"/>
        <v>0</v>
      </c>
      <c r="BR12" s="354">
        <f t="shared" si="12"/>
        <v>38</v>
      </c>
      <c r="BS12" s="354"/>
      <c r="BT12" s="354">
        <f>ROUND(+Details!$J$248/$W$2,0)</f>
        <v>148</v>
      </c>
      <c r="BU12" s="354">
        <f>ROUND(+Details!$J$251/$W$2,0)</f>
        <v>741</v>
      </c>
      <c r="BV12" s="354">
        <f>ROUND(+Details!$J$254/$W$2,0)</f>
        <v>0</v>
      </c>
      <c r="BW12" s="354">
        <f>ROUND(+Details!$J$257/$W$2,0)</f>
        <v>140</v>
      </c>
      <c r="BX12" s="354">
        <f>ROUND(+Details!$J$258/$W$2,0)</f>
        <v>0</v>
      </c>
      <c r="BY12" s="354">
        <f t="shared" si="5"/>
        <v>1029</v>
      </c>
      <c r="BZ12" s="354"/>
      <c r="CA12" s="354"/>
      <c r="CB12" s="1715"/>
      <c r="CC12" s="1715"/>
      <c r="CD12" s="1716"/>
      <c r="CE12" s="1712"/>
      <c r="CF12" s="1712"/>
      <c r="CG12" s="1712"/>
      <c r="CH12" s="1712"/>
      <c r="CI12" s="1712"/>
      <c r="CJ12" s="1712"/>
      <c r="CK12" s="1712"/>
      <c r="CL12" s="1712"/>
      <c r="CM12" s="1712"/>
      <c r="CN12" s="1712"/>
      <c r="CO12" s="1712"/>
    </row>
    <row r="13" spans="1:94">
      <c r="B13" s="271">
        <f t="shared" si="13"/>
        <v>6</v>
      </c>
      <c r="C13" s="541">
        <f>+Details!K$4</f>
        <v>67</v>
      </c>
      <c r="D13" s="541">
        <f>+Details!K$5</f>
        <v>66</v>
      </c>
      <c r="E13" s="540">
        <f>+Details!$K$7</f>
        <v>2024</v>
      </c>
      <c r="F13" s="354">
        <f>ROUND(+Details!$K$8/$W$2,0)</f>
        <v>148</v>
      </c>
      <c r="G13" s="354">
        <f>ROUND(+Details!$K$11/$W$2,0)</f>
        <v>741</v>
      </c>
      <c r="H13" s="354">
        <f>ROUND(+Details!$K$14/$W$2,0)</f>
        <v>0</v>
      </c>
      <c r="I13" s="354">
        <f>ROUND(+Details!$K$17/$W$2,0)</f>
        <v>140</v>
      </c>
      <c r="J13" s="354">
        <f>ROUND(+Details!$K$18/$W$2,0)</f>
        <v>0</v>
      </c>
      <c r="K13" s="354">
        <f t="shared" si="0"/>
        <v>1029</v>
      </c>
      <c r="M13" s="354">
        <f>ROUND(+Details!$K$28/$W$2,0)</f>
        <v>8</v>
      </c>
      <c r="N13" s="354">
        <f>ROUND(+Details!$K$31/$W$2,0)</f>
        <v>45</v>
      </c>
      <c r="O13" s="354">
        <f>ROUND(+Details!$K$34/$W$2,0)</f>
        <v>0</v>
      </c>
      <c r="P13" s="354">
        <f>ROUND(+Details!$K$37/$W$2,0)</f>
        <v>9</v>
      </c>
      <c r="Q13" s="354">
        <f>ROUND(+Details!$K$38/$W$2,0)</f>
        <v>0</v>
      </c>
      <c r="R13" s="354">
        <f>ROUND(+Details!$K$49/$W$2,0)</f>
        <v>0</v>
      </c>
      <c r="S13" s="354">
        <f>ROUND(+Details!$K$60/$W$2,0)</f>
        <v>22</v>
      </c>
      <c r="T13" s="354">
        <f>ROUND(+Details!$K$65/$W$2,0)</f>
        <v>0</v>
      </c>
      <c r="U13" s="354">
        <f>ROUND((Details!$K$66+Details!$K$67)/$W$2,0)</f>
        <v>11</v>
      </c>
      <c r="V13" s="354">
        <f>ROUND((Details!$K$68+Details!$K$69)/$W$2,0)</f>
        <v>12</v>
      </c>
      <c r="W13" s="354">
        <f t="shared" si="1"/>
        <v>107</v>
      </c>
      <c r="Y13" s="354">
        <f>ROUND(Details!$K$144/$W$2,0)</f>
        <v>77</v>
      </c>
      <c r="Z13" s="354">
        <f>ROUND(Details!$K$145/$W$2,0)</f>
        <v>8</v>
      </c>
      <c r="AA13" s="354">
        <f>ROUND(-Details!$K$234/$W$2,0)</f>
        <v>0</v>
      </c>
      <c r="AB13" s="354">
        <f>ROUND(-Details!$K$236/$W$2,0)</f>
        <v>0</v>
      </c>
      <c r="AC13" s="354">
        <f>ROUND(-Details!$K$237/$W$2,0)</f>
        <v>0</v>
      </c>
      <c r="AD13" s="354">
        <f>ROUND(-Details!$K$238/$W$2,0)</f>
        <v>0</v>
      </c>
      <c r="AE13" s="354">
        <f>ROUND(-Details!$K$96/$W$2,0)</f>
        <v>0</v>
      </c>
      <c r="AF13" s="354">
        <f>ROUND(-Details!$K$107/$W$2,0)</f>
        <v>0</v>
      </c>
      <c r="AG13" s="354">
        <f>ROUND(-Details!$K$127/$W$2,0)</f>
        <v>0</v>
      </c>
      <c r="AH13" s="354">
        <f>-ROUND(-Details!$K$137/$W$2,0)</f>
        <v>0</v>
      </c>
      <c r="AI13" s="354">
        <f>-ROUND(Details!$K$240/$W$2,0)</f>
        <v>0</v>
      </c>
      <c r="AJ13" s="354">
        <f t="shared" si="2"/>
        <v>85</v>
      </c>
      <c r="AL13" s="354">
        <f t="shared" si="3"/>
        <v>1051</v>
      </c>
      <c r="AN13" s="354">
        <f>-ROUND(+Details!$K$94/$W$2,0)</f>
        <v>0</v>
      </c>
      <c r="AO13" s="354">
        <f>ROUND(+Details!$K$133/$W$2,0)</f>
        <v>0</v>
      </c>
      <c r="AP13" s="354">
        <f>-ROUND(+Details!$K$91/$W$2,0)</f>
        <v>46</v>
      </c>
      <c r="AQ13" s="354">
        <f>-ROUND(+Details!$K$95/$W$2,0)</f>
        <v>0</v>
      </c>
      <c r="AR13" s="354">
        <f>-ROUND(+Details!$K$96/$W$2,0)</f>
        <v>0</v>
      </c>
      <c r="AS13" s="354">
        <f>-ROUND(+Details!$K$74/$W$2,0)</f>
        <v>0</v>
      </c>
      <c r="AT13" s="354">
        <f t="shared" si="6"/>
        <v>46</v>
      </c>
      <c r="AU13" s="354">
        <f>-ROUND(+Details!$K$102/$W$2,0)</f>
        <v>0</v>
      </c>
      <c r="AV13" s="354">
        <f>-ROUND(+Details!$K$99/$W$2,0)</f>
        <v>0</v>
      </c>
      <c r="AW13" s="354">
        <f>-ROUND(+Details!$K$103/$W$2,0)</f>
        <v>0</v>
      </c>
      <c r="AX13" s="354">
        <f>-ROUND(+Details!$K$75/$W$2,0)</f>
        <v>7</v>
      </c>
      <c r="AY13" s="354">
        <f t="shared" si="7"/>
        <v>0</v>
      </c>
      <c r="AZ13" s="354">
        <f>-ROUND(+Details!$K$110/$W$2,0)</f>
        <v>0</v>
      </c>
      <c r="BA13" s="354">
        <f>-ROUND(+Details!$K$113/$W$2,0)</f>
        <v>0</v>
      </c>
      <c r="BB13" s="354">
        <f>-ROUND(+Details!$K$116/$W$2,0)</f>
        <v>0</v>
      </c>
      <c r="BC13" s="354">
        <f t="shared" si="8"/>
        <v>0</v>
      </c>
      <c r="BD13" s="354">
        <f>-ROUND(+Details!$K$111/$W$2,0)</f>
        <v>0</v>
      </c>
      <c r="BE13" s="354">
        <f>-ROUND(+Details!$K$114/$W$2,0)</f>
        <v>0</v>
      </c>
      <c r="BF13" s="354">
        <f>-ROUND(+Details!$K$117/$W$2,0)</f>
        <v>0</v>
      </c>
      <c r="BG13" s="354">
        <f t="shared" si="9"/>
        <v>0</v>
      </c>
      <c r="BH13" s="354">
        <f>-ROUND(+Details!$K$123/$W$2,0)</f>
        <v>0</v>
      </c>
      <c r="BI13" s="354">
        <f>-ROUND(+Details!$K$126/$W$2,0)</f>
        <v>0</v>
      </c>
      <c r="BJ13" s="354">
        <f>-ROUND(+Details!$K$76/$W$2,0)</f>
        <v>0</v>
      </c>
      <c r="BK13" s="354">
        <f>-ROUND(+Details!$K$127/$W$2,0)</f>
        <v>0</v>
      </c>
      <c r="BL13" s="354">
        <f t="shared" si="10"/>
        <v>0</v>
      </c>
      <c r="BM13" s="354">
        <f>-ROUND(+Details!$K$124/$W$2,0)</f>
        <v>0</v>
      </c>
      <c r="BN13" s="354">
        <f>-ROUND(+Details!$K$134/$W$2,0)</f>
        <v>0</v>
      </c>
      <c r="BO13" s="354">
        <f>-ROUND(+Details!$K$135/$W$2,0)</f>
        <v>0</v>
      </c>
      <c r="BP13" s="354">
        <f t="shared" si="11"/>
        <v>0</v>
      </c>
      <c r="BQ13" s="354">
        <f t="shared" si="4"/>
        <v>0</v>
      </c>
      <c r="BR13" s="354">
        <f t="shared" si="12"/>
        <v>39</v>
      </c>
      <c r="BS13" s="354"/>
      <c r="BT13" s="354">
        <f>ROUND(+Details!$K$248/$W$2,0)</f>
        <v>156</v>
      </c>
      <c r="BU13" s="354">
        <f>ROUND(+Details!$K$251/$W$2,0)</f>
        <v>746</v>
      </c>
      <c r="BV13" s="354">
        <f>ROUND(+Details!$K$254/$W$2,0)</f>
        <v>0</v>
      </c>
      <c r="BW13" s="354">
        <f>ROUND(+Details!$K$257/$W$2,0)</f>
        <v>148</v>
      </c>
      <c r="BX13" s="354">
        <f>ROUND(+Details!$K$258/$W$2,0)</f>
        <v>0</v>
      </c>
      <c r="BY13" s="354">
        <f t="shared" si="5"/>
        <v>1050</v>
      </c>
      <c r="BZ13" s="354"/>
      <c r="CA13" s="354"/>
      <c r="CB13" s="1715"/>
      <c r="CC13" s="1715"/>
      <c r="CD13" s="1716"/>
      <c r="CE13" s="1712"/>
      <c r="CF13" s="1712"/>
      <c r="CG13" s="1712"/>
      <c r="CH13" s="1712"/>
      <c r="CI13" s="1712"/>
      <c r="CJ13" s="1712"/>
      <c r="CK13" s="1712"/>
      <c r="CL13" s="1712"/>
      <c r="CM13" s="1712"/>
      <c r="CN13" s="1712"/>
      <c r="CO13" s="1712"/>
    </row>
    <row r="14" spans="1:94">
      <c r="B14" s="271">
        <f t="shared" si="13"/>
        <v>7</v>
      </c>
      <c r="C14" s="541">
        <f>+Details!L$4</f>
        <v>68</v>
      </c>
      <c r="D14" s="541">
        <f>+Details!L$5</f>
        <v>67</v>
      </c>
      <c r="E14" s="540">
        <f>+Details!$L$7</f>
        <v>2025</v>
      </c>
      <c r="F14" s="354">
        <f>ROUND(+Details!$L$8/$W$2,0)</f>
        <v>156</v>
      </c>
      <c r="G14" s="354">
        <f>ROUND(+Details!$L$11/$W$2,0)</f>
        <v>746</v>
      </c>
      <c r="H14" s="354">
        <f>ROUND(+Details!$L$14/$W$2,0)</f>
        <v>0</v>
      </c>
      <c r="I14" s="354">
        <f>ROUND(+Details!$L$17/$W$2,0)</f>
        <v>148</v>
      </c>
      <c r="J14" s="354">
        <f>ROUND(+Details!$L$18/$W$2,0)</f>
        <v>0</v>
      </c>
      <c r="K14" s="354">
        <f t="shared" si="0"/>
        <v>1050</v>
      </c>
      <c r="M14" s="354">
        <f>ROUND(+Details!$L$28/$W$2,0)</f>
        <v>8</v>
      </c>
      <c r="N14" s="354">
        <f>ROUND(+Details!$L$31/$W$2,0)</f>
        <v>45</v>
      </c>
      <c r="O14" s="354">
        <f>ROUND(+Details!$L$34/$W$2,0)</f>
        <v>0</v>
      </c>
      <c r="P14" s="354">
        <f>ROUND(+Details!$L$37/$W$2,0)</f>
        <v>9</v>
      </c>
      <c r="Q14" s="354">
        <f>ROUND(+Details!$L$38/$W$2,0)</f>
        <v>0</v>
      </c>
      <c r="R14" s="354">
        <f>ROUND(+Details!$L$49/$W$2,0)</f>
        <v>0</v>
      </c>
      <c r="S14" s="354">
        <f>ROUND(+Details!$L$60/$W$2,0)</f>
        <v>23</v>
      </c>
      <c r="T14" s="354">
        <f>ROUND(+Details!$L$65/$W$2,0)</f>
        <v>0</v>
      </c>
      <c r="U14" s="354">
        <f>ROUND((Details!$L$66+Details!$L$67)/$W$2,0)</f>
        <v>12</v>
      </c>
      <c r="V14" s="354">
        <f>ROUND((Details!$L$68+Details!$L$69)/$W$2,0)</f>
        <v>13</v>
      </c>
      <c r="W14" s="354">
        <f t="shared" ref="W14:W47" si="14">SUM(M14:V14)</f>
        <v>110</v>
      </c>
      <c r="Y14" s="354">
        <f>ROUND(Details!$L$144/$W$2,0)</f>
        <v>79</v>
      </c>
      <c r="Z14" s="354">
        <f>ROUND(Details!$L$145/$W$2,0)</f>
        <v>8</v>
      </c>
      <c r="AA14" s="354">
        <f>ROUND(-Details!$L$234/$W$2,0)</f>
        <v>0</v>
      </c>
      <c r="AB14" s="354">
        <f>ROUND(-Details!$L$236/$W$2,0)</f>
        <v>0</v>
      </c>
      <c r="AC14" s="354">
        <f>ROUND(-Details!$L$237/$W$2,0)</f>
        <v>0</v>
      </c>
      <c r="AD14" s="354">
        <f>ROUND(-Details!$L$238/$W$2,0)</f>
        <v>0</v>
      </c>
      <c r="AE14" s="354">
        <f>ROUND(-Details!$L$96/$W$2,0)</f>
        <v>0</v>
      </c>
      <c r="AF14" s="354">
        <f>ROUND(-Details!$L$107/$W$2,0)</f>
        <v>0</v>
      </c>
      <c r="AG14" s="354">
        <f>ROUND(-Details!$L$127/$W$2,0)</f>
        <v>0</v>
      </c>
      <c r="AH14" s="354">
        <f>-ROUND(-Details!$L$137/$W$2,0)</f>
        <v>0</v>
      </c>
      <c r="AI14" s="354">
        <f>-ROUND(Details!$L$240/$W$2,0)</f>
        <v>0</v>
      </c>
      <c r="AJ14" s="354">
        <f t="shared" si="2"/>
        <v>87</v>
      </c>
      <c r="AL14" s="354">
        <f t="shared" si="3"/>
        <v>1073</v>
      </c>
      <c r="AN14" s="354">
        <f>-ROUND(+Details!$L$94/$W$2,0)</f>
        <v>0</v>
      </c>
      <c r="AO14" s="354">
        <f>ROUND(+Details!$L$133/$W$2,0)</f>
        <v>0</v>
      </c>
      <c r="AP14" s="354">
        <f>-ROUND(+Details!$L$91/$W$2,0)</f>
        <v>48</v>
      </c>
      <c r="AQ14" s="354">
        <f>-ROUND(+Details!$L$95/$W$2,0)</f>
        <v>0</v>
      </c>
      <c r="AR14" s="354">
        <f>-ROUND(+Details!$L$96/$W$2,0)</f>
        <v>0</v>
      </c>
      <c r="AS14" s="354">
        <f>-ROUND(+Details!$L$74/$W$2,0)</f>
        <v>0</v>
      </c>
      <c r="AT14" s="354">
        <f t="shared" si="6"/>
        <v>48</v>
      </c>
      <c r="AU14" s="354">
        <f>-ROUND(+Details!$L$102/$W$2,0)</f>
        <v>0</v>
      </c>
      <c r="AV14" s="354">
        <f>-ROUND(+Details!$L$99/$W$2,0)</f>
        <v>0</v>
      </c>
      <c r="AW14" s="354">
        <f>-ROUND(+Details!$L$103/$W$2,0)</f>
        <v>0</v>
      </c>
      <c r="AX14" s="354">
        <f>-ROUND(+Details!$L$75/$W$2,0)</f>
        <v>7</v>
      </c>
      <c r="AY14" s="354">
        <f t="shared" si="7"/>
        <v>0</v>
      </c>
      <c r="AZ14" s="354">
        <f>-ROUND(+Details!$L$110/$W$2,0)</f>
        <v>0</v>
      </c>
      <c r="BA14" s="354">
        <f>-ROUND(+Details!$L$113/$W$2,0)</f>
        <v>0</v>
      </c>
      <c r="BB14" s="354">
        <f>-ROUND(+Details!$L$116/$W$2,0)</f>
        <v>0</v>
      </c>
      <c r="BC14" s="354">
        <f t="shared" si="8"/>
        <v>0</v>
      </c>
      <c r="BD14" s="354">
        <f>-ROUND(+Details!$L$111/$W$2,0)</f>
        <v>0</v>
      </c>
      <c r="BE14" s="354">
        <f>-ROUND(+Details!$L$114/$W$2,0)</f>
        <v>0</v>
      </c>
      <c r="BF14" s="354">
        <f>-ROUND(+Details!$L$117/$W$2,0)</f>
        <v>0</v>
      </c>
      <c r="BG14" s="354">
        <f t="shared" si="9"/>
        <v>0</v>
      </c>
      <c r="BH14" s="354">
        <f>-ROUND(+Details!$L$123/$W$2,0)</f>
        <v>0</v>
      </c>
      <c r="BI14" s="354">
        <f>-ROUND(+Details!$L$126/$W$2,0)</f>
        <v>0</v>
      </c>
      <c r="BJ14" s="354">
        <f>-ROUND(+Details!$L$76/$W$2,0)</f>
        <v>0</v>
      </c>
      <c r="BK14" s="354">
        <f>-ROUND(+Details!$L$127/$W$2,0)</f>
        <v>0</v>
      </c>
      <c r="BL14" s="354">
        <f t="shared" si="10"/>
        <v>0</v>
      </c>
      <c r="BM14" s="354">
        <f>-ROUND(+Details!$L$124/$W$2,0)</f>
        <v>0</v>
      </c>
      <c r="BN14" s="354">
        <f>-ROUND(+Details!$L$134/$W$2,0)</f>
        <v>0</v>
      </c>
      <c r="BO14" s="354">
        <f>-ROUND(+Details!$L$135/$W$2,0)</f>
        <v>0</v>
      </c>
      <c r="BP14" s="354">
        <f t="shared" si="11"/>
        <v>0</v>
      </c>
      <c r="BQ14" s="354">
        <f t="shared" si="4"/>
        <v>0</v>
      </c>
      <c r="BR14" s="354">
        <f t="shared" si="12"/>
        <v>41</v>
      </c>
      <c r="BS14" s="354"/>
      <c r="BT14" s="354">
        <f>ROUND(+Details!$L$248/$W$2,0)</f>
        <v>166</v>
      </c>
      <c r="BU14" s="354">
        <f>ROUND(+Details!$L$251/$W$2,0)</f>
        <v>749</v>
      </c>
      <c r="BV14" s="354">
        <f>ROUND(+Details!$L$254/$W$2,0)</f>
        <v>0</v>
      </c>
      <c r="BW14" s="354">
        <f>ROUND(+Details!$L$257/$W$2,0)</f>
        <v>157</v>
      </c>
      <c r="BX14" s="354">
        <f>ROUND(+Details!$L$258/$W$2,0)</f>
        <v>0</v>
      </c>
      <c r="BY14" s="354">
        <f t="shared" si="5"/>
        <v>1072</v>
      </c>
      <c r="BZ14" s="354"/>
      <c r="CA14" s="354"/>
      <c r="CB14" s="1715"/>
      <c r="CC14" s="1715"/>
      <c r="CD14" s="1716"/>
      <c r="CE14" s="1712"/>
      <c r="CF14" s="1712"/>
      <c r="CG14" s="1712"/>
      <c r="CH14" s="1712"/>
      <c r="CI14" s="1712"/>
      <c r="CJ14" s="1712"/>
      <c r="CK14" s="1712"/>
      <c r="CL14" s="1712"/>
      <c r="CM14" s="1712"/>
      <c r="CN14" s="1712"/>
      <c r="CO14" s="1712"/>
    </row>
    <row r="15" spans="1:94">
      <c r="B15" s="271">
        <f t="shared" si="13"/>
        <v>8</v>
      </c>
      <c r="C15" s="541">
        <f>+Details!M$4</f>
        <v>69</v>
      </c>
      <c r="D15" s="541">
        <f>+Details!M$5</f>
        <v>68</v>
      </c>
      <c r="E15" s="540">
        <f>+Details!$M$7</f>
        <v>2026</v>
      </c>
      <c r="F15" s="354">
        <f>ROUND(+Details!$M$8/$W$2,0)</f>
        <v>166</v>
      </c>
      <c r="G15" s="354">
        <f>ROUND(+Details!$M$11/$W$2,0)</f>
        <v>749</v>
      </c>
      <c r="H15" s="354">
        <f>ROUND(+Details!$M$14/$W$2,0)</f>
        <v>0</v>
      </c>
      <c r="I15" s="354">
        <f>ROUND(+Details!$M$17/$W$2,0)</f>
        <v>157</v>
      </c>
      <c r="J15" s="354">
        <f>ROUND(+Details!$M$18/$W$2,0)</f>
        <v>0</v>
      </c>
      <c r="K15" s="354">
        <f t="shared" si="0"/>
        <v>1072</v>
      </c>
      <c r="M15" s="354">
        <f>ROUND(+Details!$M$28/$W$2,0)</f>
        <v>9</v>
      </c>
      <c r="N15" s="354">
        <f>ROUND(+Details!$M$31/$W$2,0)</f>
        <v>45</v>
      </c>
      <c r="O15" s="354">
        <f>ROUND(+Details!$M$34/$W$2,0)</f>
        <v>0</v>
      </c>
      <c r="P15" s="354">
        <f>ROUND(+Details!$M$37/$W$2,0)</f>
        <v>10</v>
      </c>
      <c r="Q15" s="354">
        <f>ROUND(+Details!$M$38/$W$2,0)</f>
        <v>0</v>
      </c>
      <c r="R15" s="354">
        <f>ROUND(+Details!$M$49/$W$2,0)</f>
        <v>0</v>
      </c>
      <c r="S15" s="354">
        <f>ROUND(+Details!$M$60/$W$2,0)</f>
        <v>23</v>
      </c>
      <c r="T15" s="354">
        <f>ROUND(+Details!$M$65/$W$2,0)</f>
        <v>0</v>
      </c>
      <c r="U15" s="354">
        <f>ROUND((Details!$M$66+Details!$M$67)/$W$2,0)</f>
        <v>12</v>
      </c>
      <c r="V15" s="354">
        <f>ROUND((Details!$M$68+Details!$M$69)/$W$2,0)</f>
        <v>13</v>
      </c>
      <c r="W15" s="354">
        <f t="shared" si="14"/>
        <v>112</v>
      </c>
      <c r="Y15" s="354">
        <f>ROUND(Details!$M$144/$W$2,0)</f>
        <v>80</v>
      </c>
      <c r="Z15" s="354">
        <f>ROUND(Details!$M$145/$W$2,0)</f>
        <v>9</v>
      </c>
      <c r="AA15" s="354">
        <f>ROUND(-Details!$M$234/$W$2,0)</f>
        <v>0</v>
      </c>
      <c r="AB15" s="354">
        <f>ROUND(-Details!$M$236/$W$2,0)</f>
        <v>0</v>
      </c>
      <c r="AC15" s="354">
        <f>ROUND(-Details!$M$237/$W$2,0)</f>
        <v>0</v>
      </c>
      <c r="AD15" s="354">
        <f>ROUND(-Details!$M$238/$W$2,0)</f>
        <v>0</v>
      </c>
      <c r="AE15" s="354">
        <f>ROUND(-Details!$M$96/$W$2,0)</f>
        <v>0</v>
      </c>
      <c r="AF15" s="354">
        <f>ROUND(-Details!$M$107/$W$2,0)</f>
        <v>0</v>
      </c>
      <c r="AG15" s="354">
        <f>ROUND(-Details!$M$127/$W$2,0)</f>
        <v>0</v>
      </c>
      <c r="AH15" s="354">
        <f>-ROUND(-Details!$M$137/$W$2,0)</f>
        <v>0</v>
      </c>
      <c r="AI15" s="354">
        <f>-ROUND(Details!$M$240/$W$2,0)</f>
        <v>0</v>
      </c>
      <c r="AJ15" s="354">
        <f t="shared" si="2"/>
        <v>89</v>
      </c>
      <c r="AL15" s="354">
        <f t="shared" si="3"/>
        <v>1095</v>
      </c>
      <c r="AN15" s="354">
        <f>-ROUND(+Details!$M$94/$W$2,0)</f>
        <v>0</v>
      </c>
      <c r="AO15" s="354">
        <f>ROUND(+Details!$M$133/$W$2,0)</f>
        <v>0</v>
      </c>
      <c r="AP15" s="354">
        <f>-ROUND(+Details!$M$91/$W$2,0)</f>
        <v>49</v>
      </c>
      <c r="AQ15" s="354">
        <f>-ROUND(+Details!$M$95/$W$2,0)</f>
        <v>0</v>
      </c>
      <c r="AR15" s="354">
        <f>-ROUND(+Details!$M$96/$W$2,0)</f>
        <v>0</v>
      </c>
      <c r="AS15" s="354">
        <f>-ROUND(+Details!$M$74/$W$2,0)</f>
        <v>0</v>
      </c>
      <c r="AT15" s="354">
        <f t="shared" si="6"/>
        <v>49</v>
      </c>
      <c r="AU15" s="354">
        <f>-ROUND(+Details!$M$102/$W$2,0)</f>
        <v>0</v>
      </c>
      <c r="AV15" s="354">
        <f>-ROUND(+Details!$M$99/$W$2,0)</f>
        <v>0</v>
      </c>
      <c r="AW15" s="354">
        <f>-ROUND(+Details!$M$103/$W$2,0)</f>
        <v>0</v>
      </c>
      <c r="AX15" s="354">
        <f>-ROUND(+Details!$M$75/$W$2,0)</f>
        <v>7</v>
      </c>
      <c r="AY15" s="354">
        <f t="shared" si="7"/>
        <v>0</v>
      </c>
      <c r="AZ15" s="354">
        <f>-ROUND(+Details!$M$110/$W$2,0)</f>
        <v>0</v>
      </c>
      <c r="BA15" s="354">
        <f>-ROUND(+Details!$M$113/$W$2,0)</f>
        <v>0</v>
      </c>
      <c r="BB15" s="354">
        <f>-ROUND(+Details!$M$116/$W$2,0)</f>
        <v>0</v>
      </c>
      <c r="BC15" s="354">
        <f t="shared" si="8"/>
        <v>0</v>
      </c>
      <c r="BD15" s="354">
        <f>-ROUND(+Details!$M$111/$W$2,0)</f>
        <v>0</v>
      </c>
      <c r="BE15" s="354">
        <f>-ROUND(+Details!$M$114/$W$2,0)</f>
        <v>0</v>
      </c>
      <c r="BF15" s="354">
        <f>-ROUND(+Details!$M$117/$W$2,0)</f>
        <v>0</v>
      </c>
      <c r="BG15" s="354">
        <f t="shared" si="9"/>
        <v>0</v>
      </c>
      <c r="BH15" s="354">
        <f>-ROUND(+Details!$M$123/$W$2,0)</f>
        <v>0</v>
      </c>
      <c r="BI15" s="354">
        <f>-ROUND(+Details!$M$126/$W$2,0)</f>
        <v>0</v>
      </c>
      <c r="BJ15" s="354">
        <f>-ROUND(+Details!$M$76/$W$2,0)</f>
        <v>0</v>
      </c>
      <c r="BK15" s="354">
        <f>-ROUND(+Details!$M$127/$W$2,0)</f>
        <v>0</v>
      </c>
      <c r="BL15" s="354">
        <f t="shared" si="10"/>
        <v>0</v>
      </c>
      <c r="BM15" s="354">
        <f>-ROUND(+Details!$M$124/$W$2,0)</f>
        <v>0</v>
      </c>
      <c r="BN15" s="354">
        <f>-ROUND(+Details!$M$134/$W$2,0)</f>
        <v>0</v>
      </c>
      <c r="BO15" s="354">
        <f>-ROUND(+Details!$M$135/$W$2,0)</f>
        <v>0</v>
      </c>
      <c r="BP15" s="354">
        <f t="shared" si="11"/>
        <v>0</v>
      </c>
      <c r="BQ15" s="354">
        <f t="shared" si="4"/>
        <v>0</v>
      </c>
      <c r="BR15" s="354">
        <f t="shared" si="12"/>
        <v>42</v>
      </c>
      <c r="BS15" s="354"/>
      <c r="BT15" s="354">
        <f>ROUND(+Details!$M$248/$W$2,0)</f>
        <v>176</v>
      </c>
      <c r="BU15" s="354">
        <f>ROUND(+Details!$M$251/$W$2,0)</f>
        <v>752</v>
      </c>
      <c r="BV15" s="354">
        <f>ROUND(+Details!$M$254/$W$2,0)</f>
        <v>0</v>
      </c>
      <c r="BW15" s="354">
        <f>ROUND(+Details!$M$257/$W$2,0)</f>
        <v>167</v>
      </c>
      <c r="BX15" s="354">
        <f>ROUND(+Details!$M$258/$W$2,0)</f>
        <v>0</v>
      </c>
      <c r="BY15" s="354">
        <f t="shared" si="5"/>
        <v>1095</v>
      </c>
      <c r="BZ15" s="354"/>
      <c r="CA15" s="354"/>
      <c r="CB15" s="1715"/>
      <c r="CC15" s="1715"/>
      <c r="CD15" s="1716"/>
      <c r="CE15" s="1712"/>
      <c r="CF15" s="1712"/>
      <c r="CG15" s="1712"/>
      <c r="CH15" s="1712"/>
      <c r="CI15" s="1712"/>
      <c r="CJ15" s="1712"/>
      <c r="CK15" s="1712"/>
      <c r="CL15" s="1712"/>
      <c r="CM15" s="1712"/>
      <c r="CN15" s="1712"/>
      <c r="CO15" s="1712"/>
    </row>
    <row r="16" spans="1:94">
      <c r="B16" s="271">
        <f t="shared" si="13"/>
        <v>9</v>
      </c>
      <c r="C16" s="541">
        <f>+Details!N$4</f>
        <v>70</v>
      </c>
      <c r="D16" s="541">
        <f>+Details!N$5</f>
        <v>69</v>
      </c>
      <c r="E16" s="540">
        <f>+Details!$N$7</f>
        <v>2027</v>
      </c>
      <c r="F16" s="354">
        <f>ROUND(+Details!$N$8/$W$2,0)</f>
        <v>176</v>
      </c>
      <c r="G16" s="354">
        <f>ROUND(+Details!$N$11/$W$2,0)</f>
        <v>752</v>
      </c>
      <c r="H16" s="354">
        <f>ROUND(+Details!$N$14/$W$2,0)</f>
        <v>0</v>
      </c>
      <c r="I16" s="354">
        <f>ROUND(+Details!$N$17/$W$2,0)</f>
        <v>167</v>
      </c>
      <c r="J16" s="354">
        <f>ROUND(+Details!$N$18/$W$2,0)</f>
        <v>0</v>
      </c>
      <c r="K16" s="354">
        <f t="shared" si="0"/>
        <v>1095</v>
      </c>
      <c r="M16" s="354">
        <f>ROUND(+Details!$N$28/$W$2,0)</f>
        <v>9</v>
      </c>
      <c r="N16" s="354">
        <f>ROUND(+Details!$N$31/$W$2,0)</f>
        <v>47</v>
      </c>
      <c r="O16" s="354">
        <f>ROUND(+Details!$N$34/$W$2,0)</f>
        <v>0</v>
      </c>
      <c r="P16" s="354">
        <f>ROUND(+Details!$N$37/$W$2,0)</f>
        <v>10</v>
      </c>
      <c r="Q16" s="354">
        <f>ROUND(+Details!$N$38/$W$2,0)</f>
        <v>0</v>
      </c>
      <c r="R16" s="354">
        <f>ROUND(+Details!$N$49/$W$2,0)</f>
        <v>46</v>
      </c>
      <c r="S16" s="354">
        <f>ROUND(+Details!$N$60/$W$2,0)</f>
        <v>24</v>
      </c>
      <c r="T16" s="354">
        <f>ROUND(+Details!$N$65/$W$2,0)</f>
        <v>0</v>
      </c>
      <c r="U16" s="354">
        <f>ROUND((Details!$N$66+Details!$N$67)/$W$2,0)</f>
        <v>12</v>
      </c>
      <c r="V16" s="354">
        <f>ROUND((Details!$N$68+Details!$N$69)/$W$2,0)</f>
        <v>14</v>
      </c>
      <c r="W16" s="354">
        <f t="shared" si="14"/>
        <v>162</v>
      </c>
      <c r="Y16" s="354">
        <f>ROUND(Details!$N$144/$W$2,0)</f>
        <v>82</v>
      </c>
      <c r="Z16" s="354">
        <f>ROUND(Details!$N$145/$W$2,0)</f>
        <v>5</v>
      </c>
      <c r="AA16" s="354">
        <f>ROUND(-Details!$N$234/$W$2,0)</f>
        <v>0</v>
      </c>
      <c r="AB16" s="354">
        <f>ROUND(-Details!$N$236/$W$2,0)</f>
        <v>0</v>
      </c>
      <c r="AC16" s="354">
        <f>ROUND(-Details!$N$237/$W$2,0)</f>
        <v>0</v>
      </c>
      <c r="AD16" s="354">
        <f>ROUND(-Details!$N$238/$W$2,0)</f>
        <v>0</v>
      </c>
      <c r="AE16" s="354">
        <f>ROUND(-Details!$N$96/$W$2,0)</f>
        <v>0</v>
      </c>
      <c r="AF16" s="354">
        <f>ROUND(-Details!$N$107/$W$2,0)</f>
        <v>0</v>
      </c>
      <c r="AG16" s="354">
        <f>ROUND(-Details!$N$127/$W$2,0)</f>
        <v>0</v>
      </c>
      <c r="AH16" s="354">
        <f>-ROUND(-Details!$N$137/$W$2,0)</f>
        <v>0</v>
      </c>
      <c r="AI16" s="354">
        <f>-ROUND(Details!$N$240/$W$2,0)</f>
        <v>0</v>
      </c>
      <c r="AJ16" s="354">
        <f t="shared" si="2"/>
        <v>87</v>
      </c>
      <c r="AL16" s="354">
        <f t="shared" si="3"/>
        <v>1170</v>
      </c>
      <c r="AN16" s="354">
        <f>-ROUND(+Details!$N$94/$W$2,0)</f>
        <v>0</v>
      </c>
      <c r="AO16" s="354">
        <f>ROUND(+Details!$N$133/$W$2,0)</f>
        <v>0</v>
      </c>
      <c r="AP16" s="354">
        <f>-ROUND(+Details!$N$91/$W$2,0)</f>
        <v>10</v>
      </c>
      <c r="AQ16" s="354">
        <f>-ROUND(+Details!$N$95/$W$2,0)</f>
        <v>0</v>
      </c>
      <c r="AR16" s="354">
        <f>-ROUND(+Details!$N$96/$W$2,0)</f>
        <v>0</v>
      </c>
      <c r="AS16" s="354">
        <f>-ROUND(+Details!$N$74/$W$2,0)</f>
        <v>0</v>
      </c>
      <c r="AT16" s="354">
        <f t="shared" si="6"/>
        <v>10</v>
      </c>
      <c r="AU16" s="354">
        <f>-ROUND(+Details!$N$102/$W$2,0)</f>
        <v>0</v>
      </c>
      <c r="AV16" s="354">
        <f>-ROUND(+Details!$N$99/$W$2,0)</f>
        <v>0</v>
      </c>
      <c r="AW16" s="354">
        <f>-ROUND(+Details!$N$103/$W$2,0)</f>
        <v>0</v>
      </c>
      <c r="AX16" s="354">
        <f>-ROUND(+Details!$N$75/$W$2,0)</f>
        <v>7</v>
      </c>
      <c r="AY16" s="354">
        <f t="shared" si="7"/>
        <v>0</v>
      </c>
      <c r="AZ16" s="354">
        <f>-ROUND(+Details!$N$110/$W$2,0)</f>
        <v>0</v>
      </c>
      <c r="BA16" s="354">
        <f>-ROUND(+Details!$N$113/$W$2,0)</f>
        <v>0</v>
      </c>
      <c r="BB16" s="354">
        <f>-ROUND(+Details!$N$116/$W$2,0)</f>
        <v>0</v>
      </c>
      <c r="BC16" s="354">
        <f t="shared" si="8"/>
        <v>0</v>
      </c>
      <c r="BD16" s="354">
        <f>-ROUND(+Details!$N$111/$W$2,0)</f>
        <v>0</v>
      </c>
      <c r="BE16" s="354">
        <f>-ROUND(+Details!$N$114/$W$2,0)</f>
        <v>0</v>
      </c>
      <c r="BF16" s="354">
        <f>-ROUND(+Details!$N$117/$W$2,0)</f>
        <v>0</v>
      </c>
      <c r="BG16" s="354">
        <f t="shared" si="9"/>
        <v>0</v>
      </c>
      <c r="BH16" s="354">
        <f>-ROUND(+Details!$N$123/$W$2,0)</f>
        <v>0</v>
      </c>
      <c r="BI16" s="354">
        <f>-ROUND(+Details!$N$126/$W$2,0)</f>
        <v>0</v>
      </c>
      <c r="BJ16" s="354">
        <f>-ROUND(+Details!$N$76/$W$2,0)</f>
        <v>0</v>
      </c>
      <c r="BK16" s="354">
        <f>-ROUND(+Details!$N$127/$W$2,0)</f>
        <v>0</v>
      </c>
      <c r="BL16" s="354">
        <f t="shared" si="10"/>
        <v>0</v>
      </c>
      <c r="BM16" s="354">
        <f>-ROUND(+Details!$N$124/$W$2,0)</f>
        <v>5</v>
      </c>
      <c r="BN16" s="354">
        <f>-ROUND(+Details!$N$134/$W$2,0)</f>
        <v>0</v>
      </c>
      <c r="BO16" s="354">
        <f>-ROUND(+Details!$N$135/$W$2,0)</f>
        <v>0</v>
      </c>
      <c r="BP16" s="354">
        <f t="shared" si="11"/>
        <v>0</v>
      </c>
      <c r="BQ16" s="354">
        <f t="shared" si="4"/>
        <v>0</v>
      </c>
      <c r="BR16" s="354">
        <f t="shared" si="12"/>
        <v>8</v>
      </c>
      <c r="BS16" s="354"/>
      <c r="BT16" s="354">
        <f>ROUND(+Details!$N$248/$W$2,0)</f>
        <v>203</v>
      </c>
      <c r="BU16" s="354">
        <f>ROUND(+Details!$N$251/$W$2,0)</f>
        <v>795</v>
      </c>
      <c r="BV16" s="354">
        <f>ROUND(+Details!$N$254/$W$2,0)</f>
        <v>0</v>
      </c>
      <c r="BW16" s="354">
        <f>ROUND(+Details!$N$257/$W$2,0)</f>
        <v>172</v>
      </c>
      <c r="BX16" s="354">
        <f>ROUND(+Details!$N$258/$W$2,0)</f>
        <v>0</v>
      </c>
      <c r="BY16" s="354">
        <f t="shared" si="5"/>
        <v>1170</v>
      </c>
      <c r="BZ16" s="354"/>
      <c r="CA16" s="354"/>
      <c r="CB16" s="1715"/>
      <c r="CC16" s="1715"/>
      <c r="CD16" s="1716"/>
      <c r="CE16" s="1712"/>
      <c r="CF16" s="1712"/>
      <c r="CG16" s="1712"/>
      <c r="CH16" s="1712"/>
      <c r="CI16" s="1712"/>
      <c r="CJ16" s="1712"/>
      <c r="CK16" s="1712"/>
      <c r="CL16" s="1712"/>
      <c r="CM16" s="1712"/>
      <c r="CN16" s="1712"/>
      <c r="CO16" s="1712"/>
    </row>
    <row r="17" spans="2:93">
      <c r="B17" s="271">
        <f t="shared" si="13"/>
        <v>10</v>
      </c>
      <c r="C17" s="541">
        <f>+Details!O$4</f>
        <v>71</v>
      </c>
      <c r="D17" s="541">
        <f>+Details!O$5</f>
        <v>70</v>
      </c>
      <c r="E17" s="540">
        <f>+Details!$O$7</f>
        <v>2028</v>
      </c>
      <c r="F17" s="354">
        <f>ROUND(+Details!$O$8/$W$2,0)</f>
        <v>203</v>
      </c>
      <c r="G17" s="354">
        <f>ROUND(+Details!$O$11/$W$2,0)</f>
        <v>795</v>
      </c>
      <c r="H17" s="354">
        <f>ROUND(+Details!$O$14/$W$2,0)</f>
        <v>0</v>
      </c>
      <c r="I17" s="354">
        <f>ROUND(+Details!$O$17/$W$2,0)</f>
        <v>172</v>
      </c>
      <c r="J17" s="354">
        <f>ROUND(+Details!$O$18/$W$2,0)</f>
        <v>0</v>
      </c>
      <c r="K17" s="354">
        <f t="shared" si="0"/>
        <v>1170</v>
      </c>
      <c r="M17" s="354">
        <f>ROUND(+Details!$O$28/$W$2,0)</f>
        <v>11</v>
      </c>
      <c r="N17" s="354">
        <f>ROUND(+Details!$O$31/$W$2,0)</f>
        <v>48</v>
      </c>
      <c r="O17" s="354">
        <f>ROUND(+Details!$O$34/$W$2,0)</f>
        <v>0</v>
      </c>
      <c r="P17" s="354">
        <f>ROUND(+Details!$O$37/$W$2,0)</f>
        <v>10</v>
      </c>
      <c r="Q17" s="354">
        <f>ROUND(+Details!$O$38/$W$2,0)</f>
        <v>0</v>
      </c>
      <c r="R17" s="354">
        <f>ROUND(+Details!$O$49/$W$2,0)</f>
        <v>47</v>
      </c>
      <c r="S17" s="354">
        <f>ROUND(+Details!$O$60/$W$2,0)</f>
        <v>24</v>
      </c>
      <c r="T17" s="354">
        <f>ROUND(+Details!$O$65/$W$2,0)</f>
        <v>0</v>
      </c>
      <c r="U17" s="354">
        <f>ROUND((Details!$O$66+Details!$O$67)/$W$2,0)</f>
        <v>13</v>
      </c>
      <c r="V17" s="354">
        <f>ROUND((Details!$O$68+Details!$O$69)/$W$2,0)</f>
        <v>0</v>
      </c>
      <c r="W17" s="354">
        <f t="shared" si="14"/>
        <v>153</v>
      </c>
      <c r="Y17" s="354">
        <f>ROUND(Details!$O$144/$W$2,0)</f>
        <v>84</v>
      </c>
      <c r="Z17" s="354">
        <f>ROUND(Details!$O$145/$W$2,0)</f>
        <v>5</v>
      </c>
      <c r="AA17" s="354">
        <f>ROUND(-Details!$O$234/$W$2,0)</f>
        <v>0</v>
      </c>
      <c r="AB17" s="354">
        <f>ROUND(-Details!$O$236/$W$2,0)</f>
        <v>0</v>
      </c>
      <c r="AC17" s="354">
        <f>ROUND(-Details!$O$237/$W$2,0)</f>
        <v>0</v>
      </c>
      <c r="AD17" s="354">
        <f>ROUND(-Details!$O$238/$W$2,0)</f>
        <v>0</v>
      </c>
      <c r="AE17" s="354">
        <f>ROUND(-Details!$O$96/$W$2,0)</f>
        <v>0</v>
      </c>
      <c r="AF17" s="354">
        <f>ROUND(-Details!$O$107/$W$2,0)</f>
        <v>0</v>
      </c>
      <c r="AG17" s="354">
        <f>ROUND(-Details!$O$127/$W$2,0)</f>
        <v>0</v>
      </c>
      <c r="AH17" s="354">
        <f>-ROUND(-Details!$O$137/$W$2,0)</f>
        <v>-15</v>
      </c>
      <c r="AI17" s="354">
        <f>-ROUND(Details!$O$240/$W$2,0)</f>
        <v>15</v>
      </c>
      <c r="AJ17" s="354">
        <f t="shared" si="2"/>
        <v>104</v>
      </c>
      <c r="AL17" s="354">
        <f t="shared" si="3"/>
        <v>1219</v>
      </c>
      <c r="AN17" s="354">
        <f>-ROUND(+Details!$O$94/$W$2,0)</f>
        <v>15</v>
      </c>
      <c r="AO17" s="354">
        <f>ROUND(+Details!$O$133/$W$2,0)</f>
        <v>0</v>
      </c>
      <c r="AP17" s="354">
        <f>-ROUND(+Details!$O$91/$W$2,0)</f>
        <v>9</v>
      </c>
      <c r="AQ17" s="354">
        <f>-ROUND(+Details!$O$95/$W$2,0)</f>
        <v>0</v>
      </c>
      <c r="AR17" s="354">
        <f>-ROUND(+Details!$O$96/$W$2,0)</f>
        <v>0</v>
      </c>
      <c r="AS17" s="354">
        <f>-ROUND(+Details!$O$74/$W$2,0)</f>
        <v>0</v>
      </c>
      <c r="AT17" s="354">
        <f t="shared" si="6"/>
        <v>9</v>
      </c>
      <c r="AU17" s="354">
        <f>-ROUND(+Details!$O$102/$W$2,0)</f>
        <v>15</v>
      </c>
      <c r="AV17" s="354">
        <f>-ROUND(+Details!$O$99/$W$2,0)</f>
        <v>0</v>
      </c>
      <c r="AW17" s="354">
        <f>-ROUND(+Details!$O$103/$W$2,0)</f>
        <v>0</v>
      </c>
      <c r="AX17" s="354">
        <f>-ROUND(+Details!$O$75/$W$2,0)</f>
        <v>0</v>
      </c>
      <c r="AY17" s="354">
        <f t="shared" si="7"/>
        <v>0</v>
      </c>
      <c r="AZ17" s="354">
        <f>-ROUND(+Details!$O$110/$W$2,0)</f>
        <v>0</v>
      </c>
      <c r="BA17" s="354">
        <f>-ROUND(+Details!$O$113/$W$2,0)</f>
        <v>0</v>
      </c>
      <c r="BB17" s="354">
        <f>-ROUND(+Details!$O$116/$W$2,0)</f>
        <v>0</v>
      </c>
      <c r="BC17" s="354">
        <f t="shared" si="8"/>
        <v>0</v>
      </c>
      <c r="BD17" s="354">
        <f>-ROUND(+Details!$O$111/$W$2,0)</f>
        <v>0</v>
      </c>
      <c r="BE17" s="354">
        <f>-ROUND(+Details!$O$114/$W$2,0)</f>
        <v>0</v>
      </c>
      <c r="BF17" s="354">
        <f>-ROUND(+Details!$O$117/$W$2,0)</f>
        <v>0</v>
      </c>
      <c r="BG17" s="354">
        <f t="shared" si="9"/>
        <v>0</v>
      </c>
      <c r="BH17" s="354">
        <f>-ROUND(+Details!$O$123/$W$2,0)</f>
        <v>0</v>
      </c>
      <c r="BI17" s="354">
        <f>-ROUND(+Details!$O$126/$W$2,0)</f>
        <v>0</v>
      </c>
      <c r="BJ17" s="354">
        <f>-ROUND(+Details!$O$76/$W$2,0)</f>
        <v>0</v>
      </c>
      <c r="BK17" s="354">
        <f>-ROUND(+Details!$O$127/$W$2,0)</f>
        <v>0</v>
      </c>
      <c r="BL17" s="354">
        <f t="shared" si="10"/>
        <v>0</v>
      </c>
      <c r="BM17" s="354">
        <f>-ROUND(+Details!$O$124/$W$2,0)</f>
        <v>6</v>
      </c>
      <c r="BN17" s="354">
        <f>-ROUND(+Details!$O$134/$W$2,0)</f>
        <v>0</v>
      </c>
      <c r="BO17" s="354">
        <f>-ROUND(+Details!$O$135/$W$2,0)</f>
        <v>0</v>
      </c>
      <c r="BP17" s="354">
        <f t="shared" si="11"/>
        <v>0</v>
      </c>
      <c r="BQ17" s="354">
        <f t="shared" si="4"/>
        <v>15</v>
      </c>
      <c r="BR17" s="354">
        <f t="shared" si="12"/>
        <v>60</v>
      </c>
      <c r="BS17" s="354"/>
      <c r="BT17" s="354">
        <f>ROUND(+Details!$O$248/$W$2,0)</f>
        <v>238</v>
      </c>
      <c r="BU17" s="354">
        <f>ROUND(+Details!$O$251/$W$2,0)</f>
        <v>804</v>
      </c>
      <c r="BV17" s="354">
        <f>ROUND(+Details!$O$254/$W$2,0)</f>
        <v>0</v>
      </c>
      <c r="BW17" s="354">
        <f>ROUND(+Details!$O$257/$W$2,0)</f>
        <v>177</v>
      </c>
      <c r="BX17" s="354">
        <f>ROUND(+Details!$O$258/$W$2,0)</f>
        <v>0</v>
      </c>
      <c r="BY17" s="354">
        <f t="shared" si="5"/>
        <v>1219</v>
      </c>
      <c r="BZ17" s="354"/>
      <c r="CA17" s="354"/>
      <c r="CB17" s="1715"/>
      <c r="CC17" s="1715"/>
      <c r="CD17" s="1716"/>
      <c r="CE17" s="1712"/>
      <c r="CF17" s="1712"/>
      <c r="CG17" s="1712"/>
      <c r="CH17" s="1712"/>
      <c r="CI17" s="1712"/>
      <c r="CJ17" s="1712"/>
      <c r="CK17" s="1712"/>
      <c r="CL17" s="1712"/>
      <c r="CM17" s="1712"/>
      <c r="CN17" s="1712"/>
      <c r="CO17" s="1712"/>
    </row>
    <row r="18" spans="2:93">
      <c r="B18" s="271">
        <f t="shared" si="13"/>
        <v>11</v>
      </c>
      <c r="C18" s="541">
        <f>+Details!P$4</f>
        <v>72</v>
      </c>
      <c r="D18" s="541">
        <f>+Details!P$5</f>
        <v>71</v>
      </c>
      <c r="E18" s="540">
        <f>+Details!$P$7</f>
        <v>2029</v>
      </c>
      <c r="F18" s="354">
        <f>ROUND(+Details!$P$8/$W$2,0)</f>
        <v>238</v>
      </c>
      <c r="G18" s="354">
        <f>ROUND(+Details!$P$11/$W$2,0)</f>
        <v>804</v>
      </c>
      <c r="H18" s="354">
        <f>ROUND(+Details!$P$14/$W$2,0)</f>
        <v>0</v>
      </c>
      <c r="I18" s="354">
        <f>ROUND(+Details!$P$17/$W$2,0)</f>
        <v>177</v>
      </c>
      <c r="J18" s="354">
        <f>ROUND(+Details!$P$18/$W$2,0)</f>
        <v>0</v>
      </c>
      <c r="K18" s="354">
        <f t="shared" si="0"/>
        <v>1219</v>
      </c>
      <c r="M18" s="354">
        <f>ROUND(+Details!$P$28/$W$2,0)</f>
        <v>11</v>
      </c>
      <c r="N18" s="354">
        <f>ROUND(+Details!$P$31/$W$2,0)</f>
        <v>49</v>
      </c>
      <c r="O18" s="354">
        <f>ROUND(+Details!$P$34/$W$2,0)</f>
        <v>0</v>
      </c>
      <c r="P18" s="354">
        <f>ROUND(+Details!$P$37/$W$2,0)</f>
        <v>11</v>
      </c>
      <c r="Q18" s="354">
        <f>ROUND(+Details!$P$38/$W$2,0)</f>
        <v>0</v>
      </c>
      <c r="R18" s="354">
        <f>ROUND(+Details!$P$49/$W$2,0)</f>
        <v>48</v>
      </c>
      <c r="S18" s="354">
        <f>ROUND(+Details!$P$60/$W$2,0)</f>
        <v>25</v>
      </c>
      <c r="T18" s="354">
        <f>ROUND(+Details!$P$65/$W$2,0)</f>
        <v>0</v>
      </c>
      <c r="U18" s="354">
        <f>ROUND((Details!$P$66+Details!$P$67)/$W$2,0)</f>
        <v>13</v>
      </c>
      <c r="V18" s="354">
        <f>ROUND((Details!$P$68+Details!$P$69)/$W$2,0)</f>
        <v>0</v>
      </c>
      <c r="W18" s="354">
        <f t="shared" si="14"/>
        <v>157</v>
      </c>
      <c r="Y18" s="354">
        <f>ROUND(Details!$P$144/$W$2,0)</f>
        <v>85</v>
      </c>
      <c r="Z18" s="354">
        <f>ROUND(Details!$P$145/$W$2,0)</f>
        <v>5</v>
      </c>
      <c r="AA18" s="354">
        <f>ROUND(-Details!$P$234/$W$2,0)</f>
        <v>0</v>
      </c>
      <c r="AB18" s="354">
        <f>ROUND(-Details!$P$236/$W$2,0)</f>
        <v>0</v>
      </c>
      <c r="AC18" s="354">
        <f>ROUND(-Details!$P$237/$W$2,0)</f>
        <v>80</v>
      </c>
      <c r="AD18" s="354">
        <f>ROUND(-Details!$P$238/$W$2,0)</f>
        <v>0</v>
      </c>
      <c r="AE18" s="354">
        <f>ROUND(-Details!$P$96/$W$2,0)</f>
        <v>0</v>
      </c>
      <c r="AF18" s="354">
        <f>ROUND(-Details!$P$107/$W$2,0)</f>
        <v>0</v>
      </c>
      <c r="AG18" s="354">
        <f>ROUND(-Details!$P$127/$W$2,0)</f>
        <v>0</v>
      </c>
      <c r="AH18" s="354">
        <f>-ROUND(-Details!$P$137/$W$2,0)</f>
        <v>-15</v>
      </c>
      <c r="AI18" s="354">
        <f>-ROUND(Details!$P$240/$W$2,0)</f>
        <v>95</v>
      </c>
      <c r="AJ18" s="354">
        <f t="shared" si="2"/>
        <v>185</v>
      </c>
      <c r="AL18" s="354">
        <f t="shared" si="3"/>
        <v>1191</v>
      </c>
      <c r="AN18" s="354">
        <f>-ROUND(+Details!$P$94/$W$2,0)</f>
        <v>15</v>
      </c>
      <c r="AO18" s="354">
        <f>ROUND(+Details!$P$133/$W$2,0)</f>
        <v>0</v>
      </c>
      <c r="AP18" s="354">
        <f>-ROUND(+Details!$P$91/$W$2,0)</f>
        <v>8</v>
      </c>
      <c r="AQ18" s="354">
        <f>-ROUND(+Details!$P$95/$W$2,0)</f>
        <v>0</v>
      </c>
      <c r="AR18" s="354">
        <f>-ROUND(+Details!$P$96/$W$2,0)</f>
        <v>0</v>
      </c>
      <c r="AS18" s="354">
        <f>-ROUND(+Details!$P$74/$W$2,0)</f>
        <v>0</v>
      </c>
      <c r="AT18" s="354">
        <f t="shared" si="6"/>
        <v>8</v>
      </c>
      <c r="AU18" s="354">
        <f>-ROUND(+Details!$P$102/$W$2,0)</f>
        <v>16</v>
      </c>
      <c r="AV18" s="354">
        <f>-ROUND(+Details!$P$99/$W$2,0)</f>
        <v>0</v>
      </c>
      <c r="AW18" s="354">
        <f>-ROUND(+Details!$P$103/$W$2,0)</f>
        <v>0</v>
      </c>
      <c r="AX18" s="354">
        <f>-ROUND(+Details!$P$75/$W$2,0)</f>
        <v>0</v>
      </c>
      <c r="AY18" s="354">
        <f t="shared" si="7"/>
        <v>0</v>
      </c>
      <c r="AZ18" s="354">
        <f>-ROUND(+Details!$P$110/$W$2,0)</f>
        <v>0</v>
      </c>
      <c r="BA18" s="354">
        <f>-ROUND(+Details!$P$113/$W$2,0)</f>
        <v>0</v>
      </c>
      <c r="BB18" s="354">
        <f>-ROUND(+Details!$P$116/$W$2,0)</f>
        <v>0</v>
      </c>
      <c r="BC18" s="354">
        <f t="shared" si="8"/>
        <v>0</v>
      </c>
      <c r="BD18" s="354">
        <f>-ROUND(+Details!$P$111/$W$2,0)</f>
        <v>0</v>
      </c>
      <c r="BE18" s="354">
        <f>-ROUND(+Details!$P$114/$W$2,0)</f>
        <v>0</v>
      </c>
      <c r="BF18" s="354">
        <f>-ROUND(+Details!$P$117/$W$2,0)</f>
        <v>0</v>
      </c>
      <c r="BG18" s="354">
        <f t="shared" si="9"/>
        <v>0</v>
      </c>
      <c r="BH18" s="354">
        <f>-ROUND(+Details!$P$123/$W$2,0)</f>
        <v>0</v>
      </c>
      <c r="BI18" s="354">
        <f>-ROUND(+Details!$P$126/$W$2,0)</f>
        <v>0</v>
      </c>
      <c r="BJ18" s="354">
        <f>-ROUND(+Details!$P$76/$W$2,0)</f>
        <v>0</v>
      </c>
      <c r="BK18" s="354">
        <f>-ROUND(+Details!$P$127/$W$2,0)</f>
        <v>0</v>
      </c>
      <c r="BL18" s="354">
        <f t="shared" si="10"/>
        <v>0</v>
      </c>
      <c r="BM18" s="354">
        <f>-ROUND(+Details!$P$124/$W$2,0)</f>
        <v>6</v>
      </c>
      <c r="BN18" s="354">
        <f>-ROUND(+Details!$P$134/$W$2,0)</f>
        <v>0</v>
      </c>
      <c r="BO18" s="354">
        <f>-ROUND(+Details!$P$135/$W$2,0)</f>
        <v>0</v>
      </c>
      <c r="BP18" s="354">
        <f t="shared" si="11"/>
        <v>0</v>
      </c>
      <c r="BQ18" s="354">
        <f t="shared" si="4"/>
        <v>15</v>
      </c>
      <c r="BR18" s="354">
        <f t="shared" si="12"/>
        <v>60</v>
      </c>
      <c r="BS18" s="354"/>
      <c r="BT18" s="354">
        <f>ROUND(+Details!$P$248/$W$2,0)</f>
        <v>194</v>
      </c>
      <c r="BU18" s="354">
        <f>ROUND(+Details!$P$251/$W$2,0)</f>
        <v>814</v>
      </c>
      <c r="BV18" s="354">
        <f>ROUND(+Details!$P$254/$W$2,0)</f>
        <v>0</v>
      </c>
      <c r="BW18" s="354">
        <f>ROUND(+Details!$P$257/$W$2,0)</f>
        <v>181</v>
      </c>
      <c r="BX18" s="354">
        <f>ROUND(+Details!$P$258/$W$2,0)</f>
        <v>0</v>
      </c>
      <c r="BY18" s="354">
        <f t="shared" si="5"/>
        <v>1189</v>
      </c>
      <c r="BZ18" s="354"/>
      <c r="CA18" s="354"/>
      <c r="CB18" s="1715"/>
      <c r="CC18" s="1715"/>
      <c r="CD18" s="1716"/>
      <c r="CE18" s="1712"/>
      <c r="CF18" s="1712"/>
      <c r="CG18" s="1712"/>
      <c r="CH18" s="1712"/>
      <c r="CI18" s="1712"/>
      <c r="CJ18" s="1712"/>
      <c r="CK18" s="1712"/>
      <c r="CL18" s="1712"/>
      <c r="CM18" s="1712"/>
      <c r="CN18" s="1712"/>
      <c r="CO18" s="1712"/>
    </row>
    <row r="19" spans="2:93">
      <c r="B19" s="271">
        <f t="shared" si="13"/>
        <v>12</v>
      </c>
      <c r="C19" s="541">
        <f>+Details!Q$4</f>
        <v>73</v>
      </c>
      <c r="D19" s="541">
        <f>+Details!Q$5</f>
        <v>72</v>
      </c>
      <c r="E19" s="540">
        <f>+Details!$Q$7</f>
        <v>2030</v>
      </c>
      <c r="F19" s="354">
        <f>ROUND(+Details!$Q$8/$W$2,0)</f>
        <v>194</v>
      </c>
      <c r="G19" s="354">
        <f>ROUND(+Details!$Q$11/$W$2,0)</f>
        <v>814</v>
      </c>
      <c r="H19" s="354">
        <f>ROUND(+Details!$Q$14/$W$2,0)</f>
        <v>0</v>
      </c>
      <c r="I19" s="354">
        <f>ROUND(+Details!$Q$17/$W$2,0)</f>
        <v>181</v>
      </c>
      <c r="J19" s="354">
        <f>ROUND(+Details!$Q$18/$W$2,0)</f>
        <v>0</v>
      </c>
      <c r="K19" s="354">
        <f t="shared" si="0"/>
        <v>1189</v>
      </c>
      <c r="M19" s="354">
        <f>ROUND(+Details!$Q$28/$W$2,0)</f>
        <v>12</v>
      </c>
      <c r="N19" s="354">
        <f>ROUND(+Details!$Q$31/$W$2,0)</f>
        <v>49</v>
      </c>
      <c r="O19" s="354">
        <f>ROUND(+Details!$Q$34/$W$2,0)</f>
        <v>0</v>
      </c>
      <c r="P19" s="354">
        <f>ROUND(+Details!$Q$37/$W$2,0)</f>
        <v>11</v>
      </c>
      <c r="Q19" s="354">
        <f>ROUND(+Details!$Q$38/$W$2,0)</f>
        <v>0</v>
      </c>
      <c r="R19" s="354">
        <f>ROUND(+Details!$Q$49/$W$2,0)</f>
        <v>49</v>
      </c>
      <c r="S19" s="354">
        <f>ROUND(+Details!$Q$60/$W$2,0)</f>
        <v>25</v>
      </c>
      <c r="T19" s="354">
        <f>ROUND(+Details!$Q$65/$W$2,0)</f>
        <v>0</v>
      </c>
      <c r="U19" s="354">
        <f>ROUND((Details!$Q$66+Details!$Q$67)/$W$2,0)</f>
        <v>13</v>
      </c>
      <c r="V19" s="354">
        <f>ROUND((Details!$Q$68+Details!$Q$69)/$W$2,0)</f>
        <v>0</v>
      </c>
      <c r="W19" s="354">
        <f t="shared" si="14"/>
        <v>159</v>
      </c>
      <c r="Y19" s="354">
        <f>ROUND(Details!$Q$144/$W$2,0)</f>
        <v>87</v>
      </c>
      <c r="Z19" s="354">
        <f>ROUND(Details!$Q$145/$W$2,0)</f>
        <v>5</v>
      </c>
      <c r="AA19" s="354">
        <f>ROUND(-Details!$Q$234/$W$2,0)</f>
        <v>-40</v>
      </c>
      <c r="AB19" s="354">
        <f>ROUND(-Details!$Q$236/$W$2,0)</f>
        <v>0</v>
      </c>
      <c r="AC19" s="354">
        <f>ROUND(-Details!$Q$237/$W$2,0)</f>
        <v>0</v>
      </c>
      <c r="AD19" s="354">
        <f>ROUND(-Details!$Q$238/$W$2,0)</f>
        <v>0</v>
      </c>
      <c r="AE19" s="354">
        <f>ROUND(-Details!$Q$96/$W$2,0)</f>
        <v>0</v>
      </c>
      <c r="AF19" s="354">
        <f>ROUND(-Details!$Q$107/$W$2,0)</f>
        <v>-60</v>
      </c>
      <c r="AG19" s="354">
        <f>ROUND(-Details!$Q$127/$W$2,0)</f>
        <v>0</v>
      </c>
      <c r="AH19" s="354">
        <f>-ROUND(-Details!$Q$137/$W$2,0)</f>
        <v>-15</v>
      </c>
      <c r="AI19" s="354">
        <f>-ROUND(Details!$Q$240/$W$2,0)</f>
        <v>-85</v>
      </c>
      <c r="AJ19" s="354">
        <f t="shared" si="2"/>
        <v>7</v>
      </c>
      <c r="AL19" s="354">
        <f t="shared" si="3"/>
        <v>1341</v>
      </c>
      <c r="AN19" s="354">
        <f>-ROUND(+Details!$Q$94/$W$2,0)</f>
        <v>16</v>
      </c>
      <c r="AO19" s="354">
        <f>ROUND(+Details!$Q$133/$W$2,0)</f>
        <v>0</v>
      </c>
      <c r="AP19" s="354">
        <f>-ROUND(+Details!$Q$91/$W$2,0)</f>
        <v>7</v>
      </c>
      <c r="AQ19" s="354">
        <f>-ROUND(+Details!$Q$95/$W$2,0)</f>
        <v>0</v>
      </c>
      <c r="AR19" s="354">
        <f>-ROUND(+Details!$Q$96/$W$2,0)</f>
        <v>0</v>
      </c>
      <c r="AS19" s="354">
        <f>-ROUND(+Details!$Q$74/$W$2,0)</f>
        <v>0</v>
      </c>
      <c r="AT19" s="354">
        <f t="shared" si="6"/>
        <v>7</v>
      </c>
      <c r="AU19" s="354">
        <f>-ROUND(+Details!$Q$102/$W$2,0)</f>
        <v>17</v>
      </c>
      <c r="AV19" s="354">
        <f>-ROUND(+Details!$Q$99/$W$2,0)</f>
        <v>0</v>
      </c>
      <c r="AW19" s="354">
        <f>-ROUND(+Details!$Q$103/$W$2,0)</f>
        <v>0</v>
      </c>
      <c r="AX19" s="354">
        <f>-ROUND(+Details!$Q$75/$W$2,0)</f>
        <v>0</v>
      </c>
      <c r="AY19" s="354">
        <f t="shared" si="7"/>
        <v>0</v>
      </c>
      <c r="AZ19" s="354">
        <f>-ROUND(+Details!$Q$110/$W$2,0)</f>
        <v>0</v>
      </c>
      <c r="BA19" s="354">
        <f>-ROUND(+Details!$Q$113/$W$2,0)</f>
        <v>0</v>
      </c>
      <c r="BB19" s="354">
        <f>-ROUND(+Details!$Q$116/$W$2,0)</f>
        <v>0</v>
      </c>
      <c r="BC19" s="354">
        <f t="shared" si="8"/>
        <v>0</v>
      </c>
      <c r="BD19" s="354">
        <f>-ROUND(+Details!$Q$111/$W$2,0)</f>
        <v>0</v>
      </c>
      <c r="BE19" s="354">
        <f>-ROUND(+Details!$Q$114/$W$2,0)</f>
        <v>0</v>
      </c>
      <c r="BF19" s="354">
        <f>-ROUND(+Details!$Q$117/$W$2,0)</f>
        <v>0</v>
      </c>
      <c r="BG19" s="354">
        <f t="shared" si="9"/>
        <v>0</v>
      </c>
      <c r="BH19" s="354">
        <f>-ROUND(+Details!$Q$123/$W$2,0)</f>
        <v>0</v>
      </c>
      <c r="BI19" s="354">
        <f>-ROUND(+Details!$Q$126/$W$2,0)</f>
        <v>0</v>
      </c>
      <c r="BJ19" s="354">
        <f>-ROUND(+Details!$Q$76/$W$2,0)</f>
        <v>0</v>
      </c>
      <c r="BK19" s="354">
        <f>-ROUND(+Details!$Q$127/$W$2,0)</f>
        <v>0</v>
      </c>
      <c r="BL19" s="354">
        <f t="shared" si="10"/>
        <v>0</v>
      </c>
      <c r="BM19" s="354">
        <f>-ROUND(+Details!$Q$124/$W$2,0)</f>
        <v>7</v>
      </c>
      <c r="BN19" s="354">
        <f>-ROUND(+Details!$Q$134/$W$2,0)</f>
        <v>0</v>
      </c>
      <c r="BO19" s="354">
        <f>-ROUND(+Details!$Q$135/$W$2,0)</f>
        <v>0</v>
      </c>
      <c r="BP19" s="354">
        <f t="shared" si="11"/>
        <v>0</v>
      </c>
      <c r="BQ19" s="354">
        <f t="shared" si="4"/>
        <v>15</v>
      </c>
      <c r="BR19" s="354">
        <f t="shared" si="12"/>
        <v>62</v>
      </c>
      <c r="BS19" s="354"/>
      <c r="BT19" s="354">
        <f>ROUND(+Details!$Q$248/$W$2,0)</f>
        <v>272</v>
      </c>
      <c r="BU19" s="354">
        <f>ROUND(+Details!$Q$251/$W$2,0)</f>
        <v>823</v>
      </c>
      <c r="BV19" s="354">
        <f>ROUND(+Details!$Q$254/$W$2,0)</f>
        <v>60</v>
      </c>
      <c r="BW19" s="354">
        <f>ROUND(+Details!$Q$257/$W$2,0)</f>
        <v>185</v>
      </c>
      <c r="BX19" s="354">
        <f>ROUND(+Details!$Q$258/$W$2,0)</f>
        <v>0</v>
      </c>
      <c r="BY19" s="354">
        <f t="shared" si="5"/>
        <v>1340</v>
      </c>
      <c r="BZ19" s="354"/>
      <c r="CA19" s="354"/>
      <c r="CB19" s="1715"/>
      <c r="CC19" s="1715"/>
      <c r="CD19" s="1716"/>
      <c r="CE19" s="1712"/>
      <c r="CF19" s="1712"/>
      <c r="CG19" s="1712"/>
      <c r="CH19" s="1712"/>
      <c r="CI19" s="1712"/>
      <c r="CJ19" s="1712"/>
      <c r="CK19" s="1712"/>
      <c r="CL19" s="1712"/>
      <c r="CM19" s="1712"/>
      <c r="CN19" s="1712"/>
      <c r="CO19" s="1712"/>
    </row>
    <row r="20" spans="2:93">
      <c r="B20" s="271">
        <f t="shared" si="13"/>
        <v>13</v>
      </c>
      <c r="C20" s="541">
        <f>+Details!R$4</f>
        <v>74</v>
      </c>
      <c r="D20" s="541">
        <f>+Details!R$5</f>
        <v>73</v>
      </c>
      <c r="E20" s="540">
        <f>+Details!$R$7</f>
        <v>2031</v>
      </c>
      <c r="F20" s="354">
        <f>ROUND(+Details!$R$8/$W$2,0)</f>
        <v>272</v>
      </c>
      <c r="G20" s="354">
        <f>ROUND(+Details!$R$11/$W$2,0)</f>
        <v>823</v>
      </c>
      <c r="H20" s="354">
        <f>ROUND(+Details!$R$14/$W$2,0)</f>
        <v>60</v>
      </c>
      <c r="I20" s="354">
        <f>ROUND(+Details!$R$17/$W$2,0)</f>
        <v>185</v>
      </c>
      <c r="J20" s="354">
        <f>ROUND(+Details!$R$18/$W$2,0)</f>
        <v>0</v>
      </c>
      <c r="K20" s="354">
        <f t="shared" si="0"/>
        <v>1340</v>
      </c>
      <c r="M20" s="354">
        <f>ROUND(+Details!$R$28/$W$2,0)</f>
        <v>14</v>
      </c>
      <c r="N20" s="354">
        <f>ROUND(+Details!$R$31/$W$2,0)</f>
        <v>50</v>
      </c>
      <c r="O20" s="354">
        <f>ROUND(+Details!$R$34/$W$2,0)</f>
        <v>3</v>
      </c>
      <c r="P20" s="354">
        <f>ROUND(+Details!$R$37/$W$2,0)</f>
        <v>11</v>
      </c>
      <c r="Q20" s="354">
        <f>ROUND(+Details!$R$38/$W$2,0)</f>
        <v>0</v>
      </c>
      <c r="R20" s="354">
        <f>ROUND(+Details!$R$49/$W$2,0)</f>
        <v>50</v>
      </c>
      <c r="S20" s="354">
        <f>ROUND(+Details!$R$60/$W$2,0)</f>
        <v>26</v>
      </c>
      <c r="T20" s="354">
        <f>ROUND(+Details!$R$65/$W$2,0)</f>
        <v>0</v>
      </c>
      <c r="U20" s="354">
        <f>ROUND((Details!$R$66+Details!$R$67)/$W$2,0)</f>
        <v>13</v>
      </c>
      <c r="V20" s="354">
        <f>ROUND((Details!$R$68+Details!$R$69)/$W$2,0)</f>
        <v>0</v>
      </c>
      <c r="W20" s="354">
        <f t="shared" si="14"/>
        <v>167</v>
      </c>
      <c r="Y20" s="354">
        <f>ROUND(Details!$R$144/$W$2,0)</f>
        <v>89</v>
      </c>
      <c r="Z20" s="354">
        <f>ROUND(Details!$R$145/$W$2,0)</f>
        <v>7</v>
      </c>
      <c r="AA20" s="354">
        <f>ROUND(-Details!$R$234/$W$2,0)</f>
        <v>0</v>
      </c>
      <c r="AB20" s="354">
        <f>ROUND(-Details!$R$236/$W$2,0)</f>
        <v>0</v>
      </c>
      <c r="AC20" s="354">
        <f>ROUND(-Details!$R$237/$W$2,0)</f>
        <v>20</v>
      </c>
      <c r="AD20" s="354">
        <f>ROUND(-Details!$R$238/$W$2,0)</f>
        <v>0</v>
      </c>
      <c r="AE20" s="354">
        <f>ROUND(-Details!$R$96/$W$2,0)</f>
        <v>0</v>
      </c>
      <c r="AF20" s="354">
        <f>ROUND(-Details!$R$107/$W$2,0)</f>
        <v>0</v>
      </c>
      <c r="AG20" s="354">
        <f>ROUND(-Details!$R$127/$W$2,0)</f>
        <v>0</v>
      </c>
      <c r="AH20" s="354">
        <f>-ROUND(-Details!$R$137/$W$2,0)</f>
        <v>-15</v>
      </c>
      <c r="AI20" s="354">
        <f>-ROUND(Details!$R$240/$W$2,0)</f>
        <v>35</v>
      </c>
      <c r="AJ20" s="354">
        <f t="shared" si="2"/>
        <v>131</v>
      </c>
      <c r="AL20" s="354">
        <f t="shared" si="3"/>
        <v>1376</v>
      </c>
      <c r="AN20" s="354">
        <f>-ROUND(+Details!$R$94/$W$2,0)</f>
        <v>16</v>
      </c>
      <c r="AO20" s="354">
        <f>ROUND(+Details!$R$133/$W$2,0)</f>
        <v>0</v>
      </c>
      <c r="AP20" s="354">
        <f>-ROUND(+Details!$R$91/$W$2,0)</f>
        <v>7</v>
      </c>
      <c r="AQ20" s="354">
        <f>-ROUND(+Details!$R$95/$W$2,0)</f>
        <v>0</v>
      </c>
      <c r="AR20" s="354">
        <f>-ROUND(+Details!$R$96/$W$2,0)</f>
        <v>0</v>
      </c>
      <c r="AS20" s="354">
        <f>-ROUND(+Details!$R$74/$W$2,0)</f>
        <v>0</v>
      </c>
      <c r="AT20" s="354">
        <f t="shared" si="6"/>
        <v>7</v>
      </c>
      <c r="AU20" s="354">
        <f>-ROUND(+Details!$R$102/$W$2,0)</f>
        <v>18</v>
      </c>
      <c r="AV20" s="354">
        <f>-ROUND(+Details!$R$99/$W$2,0)</f>
        <v>0</v>
      </c>
      <c r="AW20" s="354">
        <f>-ROUND(+Details!$R$103/$W$2,0)</f>
        <v>0</v>
      </c>
      <c r="AX20" s="354">
        <f>-ROUND(+Details!$R$75/$W$2,0)</f>
        <v>0</v>
      </c>
      <c r="AY20" s="354">
        <f t="shared" si="7"/>
        <v>0</v>
      </c>
      <c r="AZ20" s="354">
        <f>-ROUND(+Details!$R$110/$W$2,0)</f>
        <v>0</v>
      </c>
      <c r="BA20" s="354">
        <f>-ROUND(+Details!$R$113/$W$2,0)</f>
        <v>0</v>
      </c>
      <c r="BB20" s="354">
        <f>-ROUND(+Details!$R$116/$W$2,0)</f>
        <v>0</v>
      </c>
      <c r="BC20" s="354">
        <f t="shared" si="8"/>
        <v>0</v>
      </c>
      <c r="BD20" s="354">
        <f>-ROUND(+Details!$R$111/$W$2,0)</f>
        <v>4</v>
      </c>
      <c r="BE20" s="354">
        <f>-ROUND(+Details!$R$114/$W$2,0)</f>
        <v>0</v>
      </c>
      <c r="BF20" s="354">
        <f>-ROUND(+Details!$R$117/$W$2,0)</f>
        <v>0</v>
      </c>
      <c r="BG20" s="354">
        <f t="shared" si="9"/>
        <v>0</v>
      </c>
      <c r="BH20" s="354">
        <f>-ROUND(+Details!$R$123/$W$2,0)</f>
        <v>0</v>
      </c>
      <c r="BI20" s="354">
        <f>-ROUND(+Details!$R$126/$W$2,0)</f>
        <v>0</v>
      </c>
      <c r="BJ20" s="354">
        <f>-ROUND(+Details!$R$76/$W$2,0)</f>
        <v>0</v>
      </c>
      <c r="BK20" s="354">
        <f>-ROUND(+Details!$R$127/$W$2,0)</f>
        <v>0</v>
      </c>
      <c r="BL20" s="354">
        <f t="shared" si="10"/>
        <v>0</v>
      </c>
      <c r="BM20" s="354">
        <f>-ROUND(+Details!$R$124/$W$2,0)</f>
        <v>7</v>
      </c>
      <c r="BN20" s="354">
        <f>-ROUND(+Details!$R$134/$W$2,0)</f>
        <v>0</v>
      </c>
      <c r="BO20" s="354">
        <f>-ROUND(+Details!$R$135/$W$2,0)</f>
        <v>0</v>
      </c>
      <c r="BP20" s="354">
        <f t="shared" si="11"/>
        <v>0</v>
      </c>
      <c r="BQ20" s="354">
        <f t="shared" si="4"/>
        <v>15</v>
      </c>
      <c r="BR20" s="354">
        <f t="shared" si="12"/>
        <v>67</v>
      </c>
      <c r="BS20" s="354"/>
      <c r="BT20" s="354">
        <f>ROUND(+Details!$R$248/$W$2,0)</f>
        <v>297</v>
      </c>
      <c r="BU20" s="354">
        <f>ROUND(+Details!$R$251/$W$2,0)</f>
        <v>832</v>
      </c>
      <c r="BV20" s="354">
        <f>ROUND(+Details!$R$254/$W$2,0)</f>
        <v>59</v>
      </c>
      <c r="BW20" s="354">
        <f>ROUND(+Details!$R$257/$W$2,0)</f>
        <v>189</v>
      </c>
      <c r="BX20" s="354">
        <f>ROUND(+Details!$R$258/$W$2,0)</f>
        <v>0</v>
      </c>
      <c r="BY20" s="354">
        <f t="shared" si="5"/>
        <v>1377</v>
      </c>
      <c r="BZ20" s="354"/>
      <c r="CA20" s="354"/>
      <c r="CB20" s="1715"/>
      <c r="CC20" s="1715"/>
      <c r="CD20" s="1716"/>
      <c r="CE20" s="1712"/>
      <c r="CF20" s="1712"/>
      <c r="CG20" s="1712"/>
      <c r="CH20" s="1712"/>
      <c r="CI20" s="1712"/>
      <c r="CJ20" s="1712"/>
      <c r="CK20" s="1712"/>
      <c r="CL20" s="1712"/>
      <c r="CM20" s="1712"/>
      <c r="CN20" s="1712"/>
      <c r="CO20" s="1712"/>
    </row>
    <row r="21" spans="2:93">
      <c r="B21" s="271">
        <f t="shared" si="13"/>
        <v>14</v>
      </c>
      <c r="C21" s="541">
        <f>+Details!S$4</f>
        <v>75</v>
      </c>
      <c r="D21" s="541">
        <f>+Details!S$5</f>
        <v>74</v>
      </c>
      <c r="E21" s="540">
        <f>+Details!$S$7</f>
        <v>2032</v>
      </c>
      <c r="F21" s="354">
        <f>ROUND(+Details!$S$8/$W$2,0)</f>
        <v>297</v>
      </c>
      <c r="G21" s="354">
        <f>ROUND(+Details!$S$11/$W$2,0)</f>
        <v>832</v>
      </c>
      <c r="H21" s="354">
        <f>ROUND(+Details!$S$14/$W$2,0)</f>
        <v>59</v>
      </c>
      <c r="I21" s="354">
        <f>ROUND(+Details!$S$17/$W$2,0)</f>
        <v>189</v>
      </c>
      <c r="J21" s="354">
        <f>ROUND(+Details!$S$18/$W$2,0)</f>
        <v>0</v>
      </c>
      <c r="K21" s="354">
        <f t="shared" si="0"/>
        <v>1377</v>
      </c>
      <c r="M21" s="354">
        <f>ROUND(+Details!$S$28/$W$2,0)</f>
        <v>16</v>
      </c>
      <c r="N21" s="354">
        <f>ROUND(+Details!$S$31/$W$2,0)</f>
        <v>50</v>
      </c>
      <c r="O21" s="354">
        <f>ROUND(+Details!$S$34/$W$2,0)</f>
        <v>3</v>
      </c>
      <c r="P21" s="354">
        <f>ROUND(+Details!$S$37/$W$2,0)</f>
        <v>11</v>
      </c>
      <c r="Q21" s="354">
        <f>ROUND(+Details!$S$38/$W$2,0)</f>
        <v>0</v>
      </c>
      <c r="R21" s="354">
        <f>ROUND(+Details!$S$49/$W$2,0)</f>
        <v>51</v>
      </c>
      <c r="S21" s="354">
        <f>ROUND(+Details!$S$60/$W$2,0)</f>
        <v>26</v>
      </c>
      <c r="T21" s="354">
        <f>ROUND(+Details!$S$65/$W$2,0)</f>
        <v>0</v>
      </c>
      <c r="U21" s="354">
        <f>ROUND((Details!$S$66+Details!$S$67)/$W$2,0)</f>
        <v>14</v>
      </c>
      <c r="V21" s="354">
        <f>ROUND((Details!$S$68+Details!$S$69)/$W$2,0)</f>
        <v>0</v>
      </c>
      <c r="W21" s="354">
        <f t="shared" si="14"/>
        <v>171</v>
      </c>
      <c r="Y21" s="354">
        <f>ROUND(Details!$S$144/$W$2,0)</f>
        <v>91</v>
      </c>
      <c r="Z21" s="354">
        <f>ROUND(Details!$S$145/$W$2,0)</f>
        <v>7</v>
      </c>
      <c r="AA21" s="354">
        <f>ROUND(-Details!$S$234/$W$2,0)</f>
        <v>0</v>
      </c>
      <c r="AB21" s="354">
        <f>ROUND(-Details!$S$236/$W$2,0)</f>
        <v>0</v>
      </c>
      <c r="AC21" s="354">
        <f>ROUND(-Details!$S$237/$W$2,0)</f>
        <v>0</v>
      </c>
      <c r="AD21" s="354">
        <f>ROUND(-Details!$S$238/$W$2,0)</f>
        <v>0</v>
      </c>
      <c r="AE21" s="354">
        <f>ROUND(-Details!$S$96/$W$2,0)</f>
        <v>0</v>
      </c>
      <c r="AF21" s="354">
        <f>ROUND(-Details!$S$107/$W$2,0)</f>
        <v>0</v>
      </c>
      <c r="AG21" s="354">
        <f>ROUND(-Details!$S$127/$W$2,0)</f>
        <v>0</v>
      </c>
      <c r="AH21" s="354">
        <f>-ROUND(-Details!$S$137/$W$2,0)</f>
        <v>-15</v>
      </c>
      <c r="AI21" s="354">
        <f>-ROUND(Details!$S$240/$W$2,0)</f>
        <v>15</v>
      </c>
      <c r="AJ21" s="354">
        <f t="shared" si="2"/>
        <v>113</v>
      </c>
      <c r="AL21" s="354">
        <f t="shared" si="3"/>
        <v>1435</v>
      </c>
      <c r="AN21" s="354">
        <f>-ROUND(+Details!$S$94/$W$2,0)</f>
        <v>17</v>
      </c>
      <c r="AO21" s="354">
        <f>ROUND(+Details!$S$133/$W$2,0)</f>
        <v>0</v>
      </c>
      <c r="AP21" s="354">
        <f>-ROUND(+Details!$S$91/$W$2,0)</f>
        <v>6</v>
      </c>
      <c r="AQ21" s="354">
        <f>-ROUND(+Details!$S$95/$W$2,0)</f>
        <v>0</v>
      </c>
      <c r="AR21" s="354">
        <f>-ROUND(+Details!$S$96/$W$2,0)</f>
        <v>0</v>
      </c>
      <c r="AS21" s="354">
        <f>-ROUND(+Details!$S$74/$W$2,0)</f>
        <v>0</v>
      </c>
      <c r="AT21" s="354">
        <f t="shared" si="6"/>
        <v>6</v>
      </c>
      <c r="AU21" s="354">
        <f>-ROUND(+Details!$S$102/$W$2,0)</f>
        <v>19</v>
      </c>
      <c r="AV21" s="354">
        <f>-ROUND(+Details!$S$99/$W$2,0)</f>
        <v>0</v>
      </c>
      <c r="AW21" s="354">
        <f>-ROUND(+Details!$S$103/$W$2,0)</f>
        <v>0</v>
      </c>
      <c r="AX21" s="354">
        <f>-ROUND(+Details!$S$75/$W$2,0)</f>
        <v>0</v>
      </c>
      <c r="AY21" s="354">
        <f t="shared" si="7"/>
        <v>0</v>
      </c>
      <c r="AZ21" s="354">
        <f>-ROUND(+Details!$S$110/$W$2,0)</f>
        <v>0</v>
      </c>
      <c r="BA21" s="354">
        <f>-ROUND(+Details!$S$113/$W$2,0)</f>
        <v>0</v>
      </c>
      <c r="BB21" s="354">
        <f>-ROUND(+Details!$S$116/$W$2,0)</f>
        <v>0</v>
      </c>
      <c r="BC21" s="354">
        <f t="shared" si="8"/>
        <v>0</v>
      </c>
      <c r="BD21" s="354">
        <f>-ROUND(+Details!$S$111/$W$2,0)</f>
        <v>4</v>
      </c>
      <c r="BE21" s="354">
        <f>-ROUND(+Details!$S$114/$W$2,0)</f>
        <v>0</v>
      </c>
      <c r="BF21" s="354">
        <f>-ROUND(+Details!$S$117/$W$2,0)</f>
        <v>0</v>
      </c>
      <c r="BG21" s="354">
        <f t="shared" si="9"/>
        <v>0</v>
      </c>
      <c r="BH21" s="354">
        <f>-ROUND(+Details!$S$123/$W$2,0)</f>
        <v>0</v>
      </c>
      <c r="BI21" s="354">
        <f>-ROUND(+Details!$S$126/$W$2,0)</f>
        <v>0</v>
      </c>
      <c r="BJ21" s="354">
        <f>-ROUND(+Details!$S$76/$W$2,0)</f>
        <v>0</v>
      </c>
      <c r="BK21" s="354">
        <f>-ROUND(+Details!$S$127/$W$2,0)</f>
        <v>0</v>
      </c>
      <c r="BL21" s="354">
        <f t="shared" si="10"/>
        <v>0</v>
      </c>
      <c r="BM21" s="354">
        <f>-ROUND(+Details!$S$124/$W$2,0)</f>
        <v>8</v>
      </c>
      <c r="BN21" s="354">
        <f>-ROUND(+Details!$S$134/$W$2,0)</f>
        <v>0</v>
      </c>
      <c r="BO21" s="354">
        <f>-ROUND(+Details!$S$135/$W$2,0)</f>
        <v>0</v>
      </c>
      <c r="BP21" s="354">
        <f t="shared" si="11"/>
        <v>0</v>
      </c>
      <c r="BQ21" s="354">
        <f t="shared" si="4"/>
        <v>15</v>
      </c>
      <c r="BR21" s="354">
        <f t="shared" si="12"/>
        <v>69</v>
      </c>
      <c r="BS21" s="354"/>
      <c r="BT21" s="354">
        <f>ROUND(+Details!$S$248/$W$2,0)</f>
        <v>345</v>
      </c>
      <c r="BU21" s="354">
        <f>ROUND(+Details!$S$251/$W$2,0)</f>
        <v>841</v>
      </c>
      <c r="BV21" s="354">
        <f>ROUND(+Details!$S$254/$W$2,0)</f>
        <v>58</v>
      </c>
      <c r="BW21" s="354">
        <f>ROUND(+Details!$S$257/$W$2,0)</f>
        <v>192</v>
      </c>
      <c r="BX21" s="354">
        <f>ROUND(+Details!$S$258/$W$2,0)</f>
        <v>0</v>
      </c>
      <c r="BY21" s="354">
        <f t="shared" si="5"/>
        <v>1436</v>
      </c>
      <c r="BZ21" s="354"/>
      <c r="CA21" s="354"/>
      <c r="CB21" s="1715"/>
      <c r="CC21" s="1715"/>
      <c r="CD21" s="1716"/>
      <c r="CE21" s="1712"/>
      <c r="CF21" s="1712"/>
      <c r="CG21" s="1712"/>
      <c r="CH21" s="1712"/>
      <c r="CI21" s="1712"/>
      <c r="CJ21" s="1712"/>
      <c r="CK21" s="1712"/>
      <c r="CL21" s="1712"/>
      <c r="CM21" s="1712"/>
      <c r="CN21" s="1712"/>
      <c r="CO21" s="1712"/>
    </row>
    <row r="22" spans="2:93">
      <c r="B22" s="271">
        <f t="shared" si="13"/>
        <v>15</v>
      </c>
      <c r="C22" s="541">
        <f>+Details!T$4</f>
        <v>76</v>
      </c>
      <c r="D22" s="541">
        <f>+Details!T$5</f>
        <v>75</v>
      </c>
      <c r="E22" s="540">
        <f>+Details!$T$7</f>
        <v>2033</v>
      </c>
      <c r="F22" s="354">
        <f>ROUND(+Details!$T$8/$W$2,0)</f>
        <v>345</v>
      </c>
      <c r="G22" s="354">
        <f>ROUND(+Details!$T$11/$W$2,0)</f>
        <v>841</v>
      </c>
      <c r="H22" s="354">
        <f>ROUND(+Details!$T$14/$W$2,0)</f>
        <v>58</v>
      </c>
      <c r="I22" s="354">
        <f>ROUND(+Details!$T$17/$W$2,0)</f>
        <v>192</v>
      </c>
      <c r="J22" s="354">
        <f>ROUND(+Details!$T$18/$W$2,0)</f>
        <v>0</v>
      </c>
      <c r="K22" s="354">
        <f t="shared" si="0"/>
        <v>1436</v>
      </c>
      <c r="M22" s="354">
        <f>ROUND(+Details!$T$28/$W$2,0)</f>
        <v>16</v>
      </c>
      <c r="N22" s="354">
        <f>ROUND(+Details!$T$31/$W$2,0)</f>
        <v>51</v>
      </c>
      <c r="O22" s="354">
        <f>ROUND(+Details!$T$34/$W$2,0)</f>
        <v>3</v>
      </c>
      <c r="P22" s="354">
        <f>ROUND(+Details!$T$37/$W$2,0)</f>
        <v>12</v>
      </c>
      <c r="Q22" s="354">
        <f>ROUND(+Details!$T$38/$W$2,0)</f>
        <v>0</v>
      </c>
      <c r="R22" s="354">
        <f>ROUND(+Details!$T$49/$W$2,0)</f>
        <v>52</v>
      </c>
      <c r="S22" s="354">
        <f>ROUND(+Details!$T$60/$W$2,0)</f>
        <v>27</v>
      </c>
      <c r="T22" s="354">
        <f>ROUND(+Details!$T$65/$W$2,0)</f>
        <v>9</v>
      </c>
      <c r="U22" s="354">
        <f>ROUND((Details!$T$66+Details!$T$67)/$W$2,0)</f>
        <v>14</v>
      </c>
      <c r="V22" s="354">
        <f>ROUND((Details!$T$68+Details!$T$69)/$W$2,0)</f>
        <v>0</v>
      </c>
      <c r="W22" s="354">
        <f t="shared" si="14"/>
        <v>184</v>
      </c>
      <c r="Y22" s="354">
        <f>ROUND(Details!$T$144/$W$2,0)</f>
        <v>92</v>
      </c>
      <c r="Z22" s="354">
        <f>ROUND(Details!$T$145/$W$2,0)</f>
        <v>11</v>
      </c>
      <c r="AA22" s="354">
        <f>ROUND(-Details!$T$234/$W$2,0)</f>
        <v>0</v>
      </c>
      <c r="AB22" s="354">
        <f>ROUND(-Details!$T$236/$W$2,0)</f>
        <v>0</v>
      </c>
      <c r="AC22" s="354">
        <f>ROUND(-Details!$T$237/$W$2,0)</f>
        <v>0</v>
      </c>
      <c r="AD22" s="354">
        <f>ROUND(-Details!$T$238/$W$2,0)</f>
        <v>100</v>
      </c>
      <c r="AE22" s="354">
        <f>ROUND(-Details!$T$96/$W$2,0)</f>
        <v>0</v>
      </c>
      <c r="AF22" s="354">
        <f>ROUND(-Details!$T$107/$W$2,0)</f>
        <v>0</v>
      </c>
      <c r="AG22" s="354">
        <f>ROUND(-Details!$T$127/$W$2,0)</f>
        <v>0</v>
      </c>
      <c r="AH22" s="354">
        <f>-ROUND(-Details!$T$137/$W$2,0)</f>
        <v>0</v>
      </c>
      <c r="AI22" s="354">
        <f>-ROUND(Details!$T$240/$W$2,0)</f>
        <v>100</v>
      </c>
      <c r="AJ22" s="354">
        <f t="shared" si="2"/>
        <v>203</v>
      </c>
      <c r="AL22" s="354">
        <f t="shared" si="3"/>
        <v>1417</v>
      </c>
      <c r="AN22" s="354">
        <f>-ROUND(+Details!$T$94/$W$2,0)</f>
        <v>18</v>
      </c>
      <c r="AO22" s="354">
        <f>ROUND(+Details!$T$133/$W$2,0)</f>
        <v>0</v>
      </c>
      <c r="AP22" s="354">
        <f>-ROUND(+Details!$T$91/$W$2,0)</f>
        <v>0</v>
      </c>
      <c r="AQ22" s="354">
        <f>-ROUND(+Details!$T$95/$W$2,0)</f>
        <v>0</v>
      </c>
      <c r="AR22" s="354">
        <f>-ROUND(+Details!$T$96/$W$2,0)</f>
        <v>0</v>
      </c>
      <c r="AS22" s="354">
        <f>-ROUND(+Details!$T$74/$W$2,0)</f>
        <v>0</v>
      </c>
      <c r="AT22" s="354">
        <f t="shared" si="6"/>
        <v>0</v>
      </c>
      <c r="AU22" s="354">
        <f>-ROUND(+Details!$T$102/$W$2,0)</f>
        <v>20</v>
      </c>
      <c r="AV22" s="354">
        <f>-ROUND(+Details!$T$99/$W$2,0)</f>
        <v>0</v>
      </c>
      <c r="AW22" s="354">
        <f>-ROUND(+Details!$T$103/$W$2,0)</f>
        <v>0</v>
      </c>
      <c r="AX22" s="354">
        <f>-ROUND(+Details!$T$75/$W$2,0)</f>
        <v>0</v>
      </c>
      <c r="AY22" s="354">
        <f t="shared" si="7"/>
        <v>0</v>
      </c>
      <c r="AZ22" s="354">
        <f>-ROUND(+Details!$T$110/$W$2,0)</f>
        <v>0</v>
      </c>
      <c r="BA22" s="354">
        <f>-ROUND(+Details!$T$113/$W$2,0)</f>
        <v>0</v>
      </c>
      <c r="BB22" s="354">
        <f>-ROUND(+Details!$T$116/$W$2,0)</f>
        <v>0</v>
      </c>
      <c r="BC22" s="354">
        <f t="shared" si="8"/>
        <v>0</v>
      </c>
      <c r="BD22" s="354">
        <f>-ROUND(+Details!$T$111/$W$2,0)</f>
        <v>5</v>
      </c>
      <c r="BE22" s="354">
        <f>-ROUND(+Details!$T$114/$W$2,0)</f>
        <v>0</v>
      </c>
      <c r="BF22" s="354">
        <f>-ROUND(+Details!$T$117/$W$2,0)</f>
        <v>0</v>
      </c>
      <c r="BG22" s="354">
        <f t="shared" si="9"/>
        <v>0</v>
      </c>
      <c r="BH22" s="354">
        <f>-ROUND(+Details!$T$123/$W$2,0)</f>
        <v>0</v>
      </c>
      <c r="BI22" s="354">
        <f>-ROUND(+Details!$T$126/$W$2,0)</f>
        <v>0</v>
      </c>
      <c r="BJ22" s="354">
        <f>-ROUND(+Details!$T$76/$W$2,0)</f>
        <v>0</v>
      </c>
      <c r="BK22" s="354">
        <f>-ROUND(+Details!$T$127/$W$2,0)</f>
        <v>0</v>
      </c>
      <c r="BL22" s="354">
        <f t="shared" si="10"/>
        <v>0</v>
      </c>
      <c r="BM22" s="354">
        <f>-ROUND(+Details!$T$124/$W$2,0)</f>
        <v>0</v>
      </c>
      <c r="BN22" s="354">
        <f>-ROUND(+Details!$T$134/$W$2,0)</f>
        <v>0</v>
      </c>
      <c r="BO22" s="354">
        <f>-ROUND(+Details!$T$135/$W$2,0)</f>
        <v>0</v>
      </c>
      <c r="BP22" s="354">
        <f t="shared" si="11"/>
        <v>0</v>
      </c>
      <c r="BQ22" s="354">
        <f t="shared" si="4"/>
        <v>0</v>
      </c>
      <c r="BR22" s="354">
        <f t="shared" si="12"/>
        <v>43</v>
      </c>
      <c r="BS22" s="354"/>
      <c r="BT22" s="354">
        <f>ROUND(+Details!$T$248/$W$2,0)</f>
        <v>301</v>
      </c>
      <c r="BU22" s="354">
        <f>ROUND(+Details!$T$251/$W$2,0)</f>
        <v>855</v>
      </c>
      <c r="BV22" s="354">
        <f>ROUND(+Details!$T$254/$W$2,0)</f>
        <v>57</v>
      </c>
      <c r="BW22" s="354">
        <f>ROUND(+Details!$T$257/$W$2,0)</f>
        <v>204</v>
      </c>
      <c r="BX22" s="354">
        <f>ROUND(+Details!$T$258/$W$2,0)</f>
        <v>0</v>
      </c>
      <c r="BY22" s="354">
        <f t="shared" si="5"/>
        <v>1417</v>
      </c>
      <c r="BZ22" s="354"/>
      <c r="CA22" s="354"/>
      <c r="CB22" s="1715"/>
      <c r="CC22" s="1715"/>
      <c r="CD22" s="1716"/>
      <c r="CE22" s="1712"/>
      <c r="CF22" s="1712"/>
      <c r="CG22" s="1712"/>
      <c r="CH22" s="1712"/>
      <c r="CI22" s="1712"/>
      <c r="CJ22" s="1712"/>
      <c r="CK22" s="1712"/>
      <c r="CL22" s="1712"/>
      <c r="CM22" s="1712"/>
      <c r="CN22" s="1712"/>
      <c r="CO22" s="1712"/>
    </row>
    <row r="23" spans="2:93">
      <c r="B23" s="271">
        <f t="shared" si="13"/>
        <v>16</v>
      </c>
      <c r="C23" s="541">
        <f>+Details!U$4</f>
        <v>77</v>
      </c>
      <c r="D23" s="541">
        <f>+Details!U$5</f>
        <v>76</v>
      </c>
      <c r="E23" s="540">
        <f>+Details!$U$7</f>
        <v>2034</v>
      </c>
      <c r="F23" s="354">
        <f>ROUND(+Details!$U$8/$W$2,0)</f>
        <v>301</v>
      </c>
      <c r="G23" s="354">
        <f>ROUND(+Details!$U$11/$W$2,0)</f>
        <v>855</v>
      </c>
      <c r="H23" s="354">
        <f>ROUND(+Details!$U$14/$W$2,0)</f>
        <v>57</v>
      </c>
      <c r="I23" s="354">
        <f>ROUND(+Details!$U$17/$W$2,0)</f>
        <v>204</v>
      </c>
      <c r="J23" s="354">
        <f>ROUND(+Details!$U$18/$W$2,0)</f>
        <v>0</v>
      </c>
      <c r="K23" s="354">
        <f t="shared" si="0"/>
        <v>1417</v>
      </c>
      <c r="M23" s="354">
        <f>ROUND(+Details!$U$28/$W$2,0)</f>
        <v>18</v>
      </c>
      <c r="N23" s="354">
        <f>ROUND(+Details!$U$31/$W$2,0)</f>
        <v>52</v>
      </c>
      <c r="O23" s="354">
        <f>ROUND(+Details!$U$34/$W$2,0)</f>
        <v>3</v>
      </c>
      <c r="P23" s="354">
        <f>ROUND(+Details!$U$37/$W$2,0)</f>
        <v>13</v>
      </c>
      <c r="Q23" s="354">
        <f>ROUND(+Details!$U$38/$W$2,0)</f>
        <v>0</v>
      </c>
      <c r="R23" s="354">
        <f>ROUND(+Details!$U$49/$W$2,0)</f>
        <v>53</v>
      </c>
      <c r="S23" s="354">
        <f>ROUND(+Details!$U$60/$W$2,0)</f>
        <v>27</v>
      </c>
      <c r="T23" s="354">
        <f>ROUND(+Details!$U$65/$W$2,0)</f>
        <v>9</v>
      </c>
      <c r="U23" s="354">
        <f>ROUND((Details!$U$66+Details!$U$67)/$W$2,0)</f>
        <v>15</v>
      </c>
      <c r="V23" s="354">
        <f>ROUND((Details!$U$68+Details!$U$69)/$W$2,0)</f>
        <v>0</v>
      </c>
      <c r="W23" s="354">
        <f t="shared" si="14"/>
        <v>190</v>
      </c>
      <c r="Y23" s="354">
        <f>ROUND(Details!$U$144/$W$2,0)</f>
        <v>94</v>
      </c>
      <c r="Z23" s="354">
        <f>ROUND(Details!$U$145/$W$2,0)</f>
        <v>13</v>
      </c>
      <c r="AA23" s="354">
        <f>ROUND(-Details!$U$234/$W$2,0)</f>
        <v>-60</v>
      </c>
      <c r="AB23" s="354">
        <f>ROUND(-Details!$U$236/$W$2,0)</f>
        <v>0</v>
      </c>
      <c r="AC23" s="354">
        <f>ROUND(-Details!$U$237/$W$2,0)</f>
        <v>0</v>
      </c>
      <c r="AD23" s="354">
        <f>ROUND(-Details!$U$238/$W$2,0)</f>
        <v>0</v>
      </c>
      <c r="AE23" s="354">
        <f>ROUND(-Details!$U$96/$W$2,0)</f>
        <v>0</v>
      </c>
      <c r="AF23" s="354">
        <f>ROUND(-Details!$U$107/$W$2,0)</f>
        <v>-40</v>
      </c>
      <c r="AG23" s="354">
        <f>ROUND(-Details!$U$127/$W$2,0)</f>
        <v>0</v>
      </c>
      <c r="AH23" s="354">
        <f>-ROUND(-Details!$U$137/$W$2,0)</f>
        <v>0</v>
      </c>
      <c r="AI23" s="354">
        <f>-ROUND(Details!$U$240/$W$2,0)</f>
        <v>-100</v>
      </c>
      <c r="AJ23" s="354">
        <f t="shared" si="2"/>
        <v>7</v>
      </c>
      <c r="AL23" s="354">
        <f t="shared" si="3"/>
        <v>1600</v>
      </c>
      <c r="AN23" s="354">
        <f>-ROUND(+Details!$U$94/$W$2,0)</f>
        <v>19</v>
      </c>
      <c r="AO23" s="354">
        <f>ROUND(+Details!$U$133/$W$2,0)</f>
        <v>0</v>
      </c>
      <c r="AP23" s="354">
        <f>-ROUND(+Details!$U$91/$W$2,0)</f>
        <v>0</v>
      </c>
      <c r="AQ23" s="354">
        <f>-ROUND(+Details!$U$95/$W$2,0)</f>
        <v>0</v>
      </c>
      <c r="AR23" s="354">
        <f>-ROUND(+Details!$U$96/$W$2,0)</f>
        <v>0</v>
      </c>
      <c r="AS23" s="354">
        <f>-ROUND(+Details!$U$74/$W$2,0)</f>
        <v>0</v>
      </c>
      <c r="AT23" s="354">
        <f t="shared" si="6"/>
        <v>0</v>
      </c>
      <c r="AU23" s="354">
        <f>-ROUND(+Details!$U$102/$W$2,0)</f>
        <v>21</v>
      </c>
      <c r="AV23" s="354">
        <f>-ROUND(+Details!$U$99/$W$2,0)</f>
        <v>0</v>
      </c>
      <c r="AW23" s="354">
        <f>-ROUND(+Details!$U$103/$W$2,0)</f>
        <v>0</v>
      </c>
      <c r="AX23" s="354">
        <f>-ROUND(+Details!$U$75/$W$2,0)</f>
        <v>0</v>
      </c>
      <c r="AY23" s="354">
        <f t="shared" si="7"/>
        <v>0</v>
      </c>
      <c r="AZ23" s="354">
        <f>-ROUND(+Details!$U$110/$W$2,0)</f>
        <v>0</v>
      </c>
      <c r="BA23" s="354">
        <f>-ROUND(+Details!$U$113/$W$2,0)</f>
        <v>4</v>
      </c>
      <c r="BB23" s="354">
        <f>-ROUND(+Details!$U$116/$W$2,0)</f>
        <v>0</v>
      </c>
      <c r="BC23" s="354">
        <f t="shared" si="8"/>
        <v>4</v>
      </c>
      <c r="BD23" s="354">
        <f>-ROUND(+Details!$U$111/$W$2,0)</f>
        <v>5</v>
      </c>
      <c r="BE23" s="354">
        <f>-ROUND(+Details!$U$114/$W$2,0)</f>
        <v>0</v>
      </c>
      <c r="BF23" s="354">
        <f>-ROUND(+Details!$U$117/$W$2,0)</f>
        <v>0</v>
      </c>
      <c r="BG23" s="354">
        <f t="shared" si="9"/>
        <v>0</v>
      </c>
      <c r="BH23" s="354">
        <f>-ROUND(+Details!$U$123/$W$2,0)</f>
        <v>0</v>
      </c>
      <c r="BI23" s="354">
        <f>-ROUND(+Details!$U$126/$W$2,0)</f>
        <v>0</v>
      </c>
      <c r="BJ23" s="354">
        <f>-ROUND(+Details!$U$76/$W$2,0)</f>
        <v>0</v>
      </c>
      <c r="BK23" s="354">
        <f>-ROUND(+Details!$U$127/$W$2,0)</f>
        <v>0</v>
      </c>
      <c r="BL23" s="354">
        <f t="shared" si="10"/>
        <v>0</v>
      </c>
      <c r="BM23" s="354">
        <f>-ROUND(+Details!$U$124/$W$2,0)</f>
        <v>0</v>
      </c>
      <c r="BN23" s="354">
        <f>-ROUND(+Details!$U$134/$W$2,0)</f>
        <v>0</v>
      </c>
      <c r="BO23" s="354">
        <f>-ROUND(+Details!$U$135/$W$2,0)</f>
        <v>0</v>
      </c>
      <c r="BP23" s="354">
        <f t="shared" si="11"/>
        <v>0</v>
      </c>
      <c r="BQ23" s="354">
        <f t="shared" si="4"/>
        <v>0</v>
      </c>
      <c r="BR23" s="354">
        <f t="shared" si="12"/>
        <v>49</v>
      </c>
      <c r="BS23" s="354"/>
      <c r="BT23" s="354">
        <f>ROUND(+Details!$U$248/$W$2,0)</f>
        <v>425</v>
      </c>
      <c r="BU23" s="354">
        <f>ROUND(+Details!$U$251/$W$2,0)</f>
        <v>867</v>
      </c>
      <c r="BV23" s="354">
        <f>ROUND(+Details!$U$254/$W$2,0)</f>
        <v>92</v>
      </c>
      <c r="BW23" s="354">
        <f>ROUND(+Details!$U$257/$W$2,0)</f>
        <v>217</v>
      </c>
      <c r="BX23" s="354">
        <f>ROUND(+Details!$U$258/$W$2,0)</f>
        <v>0</v>
      </c>
      <c r="BY23" s="354">
        <f t="shared" si="5"/>
        <v>1601</v>
      </c>
      <c r="BZ23" s="354"/>
      <c r="CA23" s="354"/>
      <c r="CB23" s="1715"/>
      <c r="CC23" s="1715"/>
      <c r="CD23" s="1716"/>
      <c r="CE23" s="1712"/>
      <c r="CF23" s="1712"/>
      <c r="CG23" s="1712"/>
      <c r="CH23" s="1712"/>
      <c r="CI23" s="1712"/>
      <c r="CJ23" s="1712"/>
      <c r="CK23" s="1712"/>
      <c r="CL23" s="1712"/>
      <c r="CM23" s="1712"/>
      <c r="CN23" s="1712"/>
      <c r="CO23" s="1712"/>
    </row>
    <row r="24" spans="2:93">
      <c r="B24" s="271">
        <f t="shared" si="13"/>
        <v>17</v>
      </c>
      <c r="C24" s="541">
        <f>+Details!V$4</f>
        <v>78</v>
      </c>
      <c r="D24" s="541">
        <f>+Details!V$5</f>
        <v>77</v>
      </c>
      <c r="E24" s="540">
        <f>+Details!$V$7</f>
        <v>2035</v>
      </c>
      <c r="F24" s="354">
        <f>ROUND(+Details!$V$8/$W$2,0)</f>
        <v>425</v>
      </c>
      <c r="G24" s="354">
        <f>ROUND(+Details!$V$11/$W$2,0)</f>
        <v>867</v>
      </c>
      <c r="H24" s="354">
        <f>ROUND(+Details!$V$14/$W$2,0)</f>
        <v>92</v>
      </c>
      <c r="I24" s="354">
        <f>ROUND(+Details!$V$17/$W$2,0)</f>
        <v>217</v>
      </c>
      <c r="J24" s="354">
        <f>ROUND(+Details!$V$18/$W$2,0)</f>
        <v>0</v>
      </c>
      <c r="K24" s="354">
        <f t="shared" si="0"/>
        <v>1601</v>
      </c>
      <c r="M24" s="354">
        <f>ROUND(+Details!$V$28/$W$2,0)</f>
        <v>22</v>
      </c>
      <c r="N24" s="354">
        <f>ROUND(+Details!$V$31/$W$2,0)</f>
        <v>52</v>
      </c>
      <c r="O24" s="354">
        <f>ROUND(+Details!$V$34/$W$2,0)</f>
        <v>5</v>
      </c>
      <c r="P24" s="354">
        <f>ROUND(+Details!$V$37/$W$2,0)</f>
        <v>13</v>
      </c>
      <c r="Q24" s="354">
        <f>ROUND(+Details!$V$38/$W$2,0)</f>
        <v>0</v>
      </c>
      <c r="R24" s="354">
        <f>ROUND(+Details!$V$49/$W$2,0)</f>
        <v>42</v>
      </c>
      <c r="S24" s="354">
        <f>ROUND(+Details!$V$60/$W$2,0)</f>
        <v>21</v>
      </c>
      <c r="T24" s="354">
        <f>ROUND(+Details!$V$65/$W$2,0)</f>
        <v>9</v>
      </c>
      <c r="U24" s="354">
        <f>ROUND((Details!$V$66+Details!$V$67)/$W$2,0)</f>
        <v>15</v>
      </c>
      <c r="V24" s="354">
        <f>ROUND((Details!$V$68+Details!$V$69)/$W$2,0)</f>
        <v>0</v>
      </c>
      <c r="W24" s="354">
        <f t="shared" si="14"/>
        <v>179</v>
      </c>
      <c r="Y24" s="354">
        <f>ROUND(Details!$V$144/$W$2,0)</f>
        <v>96</v>
      </c>
      <c r="Z24" s="354">
        <f>ROUND(Details!$V$145/$W$2,0)</f>
        <v>12</v>
      </c>
      <c r="AA24" s="354">
        <f>ROUND(-Details!$V$234/$W$2,0)</f>
        <v>0</v>
      </c>
      <c r="AB24" s="354">
        <f>ROUND(-Details!$V$236/$W$2,0)</f>
        <v>0</v>
      </c>
      <c r="AC24" s="354">
        <f>ROUND(-Details!$V$237/$W$2,0)</f>
        <v>0</v>
      </c>
      <c r="AD24" s="354">
        <f>ROUND(-Details!$V$238/$W$2,0)</f>
        <v>0</v>
      </c>
      <c r="AE24" s="354">
        <f>ROUND(-Details!$V$96/$W$2,0)</f>
        <v>0</v>
      </c>
      <c r="AF24" s="354">
        <f>ROUND(-Details!$V$107/$W$2,0)</f>
        <v>0</v>
      </c>
      <c r="AG24" s="354">
        <f>ROUND(-Details!$V$127/$W$2,0)</f>
        <v>0</v>
      </c>
      <c r="AH24" s="354">
        <f>-ROUND(-Details!$V$137/$W$2,0)</f>
        <v>0</v>
      </c>
      <c r="AI24" s="354">
        <f>-ROUND(Details!$V$240/$W$2,0)</f>
        <v>0</v>
      </c>
      <c r="AJ24" s="354">
        <f t="shared" si="2"/>
        <v>108</v>
      </c>
      <c r="AL24" s="354">
        <f t="shared" si="3"/>
        <v>1672</v>
      </c>
      <c r="AN24" s="354">
        <f>-ROUND(+Details!$V$94/$W$2,0)</f>
        <v>20</v>
      </c>
      <c r="AO24" s="354">
        <f>ROUND(+Details!$V$133/$W$2,0)</f>
        <v>0</v>
      </c>
      <c r="AP24" s="354">
        <f>-ROUND(+Details!$V$91/$W$2,0)</f>
        <v>0</v>
      </c>
      <c r="AQ24" s="354">
        <f>-ROUND(+Details!$V$95/$W$2,0)</f>
        <v>0</v>
      </c>
      <c r="AR24" s="354">
        <f>-ROUND(+Details!$V$96/$W$2,0)</f>
        <v>0</v>
      </c>
      <c r="AS24" s="354">
        <f>-ROUND(+Details!$V$74/$W$2,0)</f>
        <v>0</v>
      </c>
      <c r="AT24" s="354">
        <f t="shared" si="6"/>
        <v>0</v>
      </c>
      <c r="AU24" s="354">
        <f>-ROUND(+Details!$V$102/$W$2,0)</f>
        <v>22</v>
      </c>
      <c r="AV24" s="354">
        <f>-ROUND(+Details!$V$99/$W$2,0)</f>
        <v>0</v>
      </c>
      <c r="AW24" s="354">
        <f>-ROUND(+Details!$V$103/$W$2,0)</f>
        <v>0</v>
      </c>
      <c r="AX24" s="354">
        <f>-ROUND(+Details!$V$75/$W$2,0)</f>
        <v>0</v>
      </c>
      <c r="AY24" s="354">
        <f t="shared" si="7"/>
        <v>0</v>
      </c>
      <c r="AZ24" s="354">
        <f>-ROUND(+Details!$V$110/$W$2,0)</f>
        <v>3</v>
      </c>
      <c r="BA24" s="354">
        <f>-ROUND(+Details!$V$113/$W$2,0)</f>
        <v>4</v>
      </c>
      <c r="BB24" s="354">
        <f>-ROUND(+Details!$V$116/$W$2,0)</f>
        <v>0</v>
      </c>
      <c r="BC24" s="354">
        <f t="shared" si="8"/>
        <v>4</v>
      </c>
      <c r="BD24" s="354">
        <f>-ROUND(+Details!$V$111/$W$2,0)</f>
        <v>5</v>
      </c>
      <c r="BE24" s="354">
        <f>-ROUND(+Details!$V$114/$W$2,0)</f>
        <v>1</v>
      </c>
      <c r="BF24" s="354">
        <f>-ROUND(+Details!$V$117/$W$2,0)</f>
        <v>0</v>
      </c>
      <c r="BG24" s="354">
        <f t="shared" si="9"/>
        <v>1</v>
      </c>
      <c r="BH24" s="354">
        <f>-ROUND(+Details!$V$123/$W$2,0)</f>
        <v>0</v>
      </c>
      <c r="BI24" s="354">
        <f>-ROUND(+Details!$V$126/$W$2,0)</f>
        <v>0</v>
      </c>
      <c r="BJ24" s="354">
        <f>-ROUND(+Details!$V$76/$W$2,0)</f>
        <v>0</v>
      </c>
      <c r="BK24" s="354">
        <f>-ROUND(+Details!$V$127/$W$2,0)</f>
        <v>0</v>
      </c>
      <c r="BL24" s="354">
        <f t="shared" si="10"/>
        <v>0</v>
      </c>
      <c r="BM24" s="354">
        <f>-ROUND(+Details!$V$124/$W$2,0)</f>
        <v>0</v>
      </c>
      <c r="BN24" s="354">
        <f>-ROUND(+Details!$V$134/$W$2,0)</f>
        <v>0</v>
      </c>
      <c r="BO24" s="354">
        <f>-ROUND(+Details!$V$135/$W$2,0)</f>
        <v>0</v>
      </c>
      <c r="BP24" s="354">
        <f t="shared" si="11"/>
        <v>0</v>
      </c>
      <c r="BQ24" s="354">
        <f t="shared" si="4"/>
        <v>0</v>
      </c>
      <c r="BR24" s="354">
        <f t="shared" si="12"/>
        <v>55</v>
      </c>
      <c r="BS24" s="354"/>
      <c r="BT24" s="354">
        <f>ROUND(+Details!$V$248/$W$2,0)</f>
        <v>481</v>
      </c>
      <c r="BU24" s="354">
        <f>ROUND(+Details!$V$251/$W$2,0)</f>
        <v>877</v>
      </c>
      <c r="BV24" s="354">
        <f>ROUND(+Details!$V$254/$W$2,0)</f>
        <v>84</v>
      </c>
      <c r="BW24" s="354">
        <f>ROUND(+Details!$V$257/$W$2,0)</f>
        <v>230</v>
      </c>
      <c r="BX24" s="354">
        <f>ROUND(+Details!$V$258/$W$2,0)</f>
        <v>0</v>
      </c>
      <c r="BY24" s="354">
        <f t="shared" si="5"/>
        <v>1672</v>
      </c>
      <c r="BZ24" s="354"/>
      <c r="CA24" s="354"/>
      <c r="CB24" s="1715"/>
      <c r="CC24" s="1715"/>
      <c r="CD24" s="1716"/>
      <c r="CE24" s="1712"/>
      <c r="CF24" s="1712"/>
      <c r="CG24" s="1712"/>
      <c r="CH24" s="1712"/>
      <c r="CI24" s="1712"/>
      <c r="CJ24" s="1712"/>
      <c r="CK24" s="1712"/>
      <c r="CL24" s="1712"/>
      <c r="CM24" s="1712"/>
      <c r="CN24" s="1712"/>
      <c r="CO24" s="1712"/>
    </row>
    <row r="25" spans="2:93">
      <c r="B25" s="271">
        <f t="shared" si="13"/>
        <v>18</v>
      </c>
      <c r="C25" s="541">
        <f>+Details!W$4</f>
        <v>79</v>
      </c>
      <c r="D25" s="541">
        <f>+Details!W$5</f>
        <v>78</v>
      </c>
      <c r="E25" s="540">
        <f>+Details!$W$7</f>
        <v>2036</v>
      </c>
      <c r="F25" s="354">
        <f>ROUND(+Details!$W$8/$W$2,0)</f>
        <v>481</v>
      </c>
      <c r="G25" s="354">
        <f>ROUND(+Details!$W$11/$W$2,0)</f>
        <v>877</v>
      </c>
      <c r="H25" s="354">
        <f>ROUND(+Details!$W$14/$W$2,0)</f>
        <v>84</v>
      </c>
      <c r="I25" s="354">
        <f>ROUND(+Details!$W$17/$W$2,0)</f>
        <v>230</v>
      </c>
      <c r="J25" s="354">
        <f>ROUND(+Details!$W$18/$W$2,0)</f>
        <v>0</v>
      </c>
      <c r="K25" s="354">
        <f t="shared" si="0"/>
        <v>1672</v>
      </c>
      <c r="M25" s="354">
        <f>ROUND(+Details!$W$28/$W$2,0)</f>
        <v>25</v>
      </c>
      <c r="N25" s="354">
        <f>ROUND(+Details!$W$31/$W$2,0)</f>
        <v>53</v>
      </c>
      <c r="O25" s="354">
        <f>ROUND(+Details!$W$34/$W$2,0)</f>
        <v>5</v>
      </c>
      <c r="P25" s="354">
        <f>ROUND(+Details!$W$37/$W$2,0)</f>
        <v>14</v>
      </c>
      <c r="Q25" s="354">
        <f>ROUND(+Details!$W$38/$W$2,0)</f>
        <v>0</v>
      </c>
      <c r="R25" s="354">
        <f>ROUND(+Details!$W$49/$W$2,0)</f>
        <v>43</v>
      </c>
      <c r="S25" s="354">
        <f>ROUND(+Details!$W$60/$W$2,0)</f>
        <v>22</v>
      </c>
      <c r="T25" s="354">
        <f>ROUND(+Details!$W$65/$W$2,0)</f>
        <v>9</v>
      </c>
      <c r="U25" s="354">
        <f>ROUND((Details!$W$66+Details!$W$67)/$W$2,0)</f>
        <v>15</v>
      </c>
      <c r="V25" s="354">
        <f>ROUND((Details!$W$68+Details!$W$69)/$W$2,0)</f>
        <v>0</v>
      </c>
      <c r="W25" s="354">
        <f t="shared" si="14"/>
        <v>186</v>
      </c>
      <c r="Y25" s="354">
        <f>ROUND(Details!$W$144/$W$2,0)</f>
        <v>98</v>
      </c>
      <c r="Z25" s="354">
        <f>ROUND(Details!$W$145/$W$2,0)</f>
        <v>13</v>
      </c>
      <c r="AA25" s="354">
        <f>ROUND(-Details!$W$234/$W$2,0)</f>
        <v>0</v>
      </c>
      <c r="AB25" s="354">
        <f>ROUND(-Details!$W$236/$W$2,0)</f>
        <v>0</v>
      </c>
      <c r="AC25" s="354">
        <f>ROUND(-Details!$W$237/$W$2,0)</f>
        <v>0</v>
      </c>
      <c r="AD25" s="354">
        <f>ROUND(-Details!$W$238/$W$2,0)</f>
        <v>0</v>
      </c>
      <c r="AE25" s="354">
        <f>ROUND(-Details!$W$96/$W$2,0)</f>
        <v>0</v>
      </c>
      <c r="AF25" s="354">
        <f>ROUND(-Details!$W$107/$W$2,0)</f>
        <v>0</v>
      </c>
      <c r="AG25" s="354">
        <f>ROUND(-Details!$W$127/$W$2,0)</f>
        <v>0</v>
      </c>
      <c r="AH25" s="354">
        <f>-ROUND(-Details!$W$137/$W$2,0)</f>
        <v>0</v>
      </c>
      <c r="AI25" s="354">
        <f>-ROUND(Details!$W$240/$W$2,0)</f>
        <v>0</v>
      </c>
      <c r="AJ25" s="354">
        <f t="shared" si="2"/>
        <v>111</v>
      </c>
      <c r="AL25" s="354">
        <f t="shared" si="3"/>
        <v>1747</v>
      </c>
      <c r="AN25" s="354">
        <f>-ROUND(+Details!$W$94/$W$2,0)</f>
        <v>21</v>
      </c>
      <c r="AO25" s="354">
        <f>ROUND(+Details!$W$133/$W$2,0)</f>
        <v>0</v>
      </c>
      <c r="AP25" s="354">
        <f>-ROUND(+Details!$W$91/$W$2,0)</f>
        <v>0</v>
      </c>
      <c r="AQ25" s="354">
        <f>-ROUND(+Details!$W$95/$W$2,0)</f>
        <v>0</v>
      </c>
      <c r="AR25" s="354">
        <f>-ROUND(+Details!$W$96/$W$2,0)</f>
        <v>0</v>
      </c>
      <c r="AS25" s="354">
        <f>-ROUND(+Details!$W$74/$W$2,0)</f>
        <v>0</v>
      </c>
      <c r="AT25" s="354">
        <f t="shared" si="6"/>
        <v>0</v>
      </c>
      <c r="AU25" s="354">
        <f>-ROUND(+Details!$W$102/$W$2,0)</f>
        <v>23</v>
      </c>
      <c r="AV25" s="354">
        <f>-ROUND(+Details!$W$99/$W$2,0)</f>
        <v>0</v>
      </c>
      <c r="AW25" s="354">
        <f>-ROUND(+Details!$W$103/$W$2,0)</f>
        <v>0</v>
      </c>
      <c r="AX25" s="354">
        <f>-ROUND(+Details!$W$75/$W$2,0)</f>
        <v>0</v>
      </c>
      <c r="AY25" s="354">
        <f t="shared" si="7"/>
        <v>0</v>
      </c>
      <c r="AZ25" s="354">
        <f>-ROUND(+Details!$W$110/$W$2,0)</f>
        <v>3</v>
      </c>
      <c r="BA25" s="354">
        <f>-ROUND(+Details!$W$113/$W$2,0)</f>
        <v>4</v>
      </c>
      <c r="BB25" s="354">
        <f>-ROUND(+Details!$W$116/$W$2,0)</f>
        <v>0</v>
      </c>
      <c r="BC25" s="354">
        <f t="shared" si="8"/>
        <v>4</v>
      </c>
      <c r="BD25" s="354">
        <f>-ROUND(+Details!$W$111/$W$2,0)</f>
        <v>5</v>
      </c>
      <c r="BE25" s="354">
        <f>-ROUND(+Details!$W$114/$W$2,0)</f>
        <v>1</v>
      </c>
      <c r="BF25" s="354">
        <f>-ROUND(+Details!$W$117/$W$2,0)</f>
        <v>0</v>
      </c>
      <c r="BG25" s="354">
        <f t="shared" si="9"/>
        <v>1</v>
      </c>
      <c r="BH25" s="354">
        <f>-ROUND(+Details!$W$123/$W$2,0)</f>
        <v>0</v>
      </c>
      <c r="BI25" s="354">
        <f>-ROUND(+Details!$W$126/$W$2,0)</f>
        <v>0</v>
      </c>
      <c r="BJ25" s="354">
        <f>-ROUND(+Details!$W$76/$W$2,0)</f>
        <v>0</v>
      </c>
      <c r="BK25" s="354">
        <f>-ROUND(+Details!$W$127/$W$2,0)</f>
        <v>0</v>
      </c>
      <c r="BL25" s="354">
        <f t="shared" si="10"/>
        <v>0</v>
      </c>
      <c r="BM25" s="354">
        <f>-ROUND(+Details!$W$124/$W$2,0)</f>
        <v>0</v>
      </c>
      <c r="BN25" s="354">
        <f>-ROUND(+Details!$W$134/$W$2,0)</f>
        <v>0</v>
      </c>
      <c r="BO25" s="354">
        <f>-ROUND(+Details!$W$135/$W$2,0)</f>
        <v>0</v>
      </c>
      <c r="BP25" s="354">
        <f t="shared" si="11"/>
        <v>0</v>
      </c>
      <c r="BQ25" s="354">
        <f t="shared" si="4"/>
        <v>0</v>
      </c>
      <c r="BR25" s="354">
        <f t="shared" si="12"/>
        <v>57</v>
      </c>
      <c r="BS25" s="354"/>
      <c r="BT25" s="354">
        <f>ROUND(+Details!$W$248/$W$2,0)</f>
        <v>541</v>
      </c>
      <c r="BU25" s="354">
        <f>ROUND(+Details!$W$251/$W$2,0)</f>
        <v>886</v>
      </c>
      <c r="BV25" s="354">
        <f>ROUND(+Details!$W$254/$W$2,0)</f>
        <v>75</v>
      </c>
      <c r="BW25" s="354">
        <f>ROUND(+Details!$W$257/$W$2,0)</f>
        <v>245</v>
      </c>
      <c r="BX25" s="354">
        <f>ROUND(+Details!$W$258/$W$2,0)</f>
        <v>0</v>
      </c>
      <c r="BY25" s="354">
        <f t="shared" si="5"/>
        <v>1747</v>
      </c>
      <c r="BZ25" s="354"/>
      <c r="CA25" s="354"/>
      <c r="CB25" s="1715"/>
      <c r="CC25" s="1715"/>
      <c r="CD25" s="1716"/>
      <c r="CE25" s="1712"/>
      <c r="CF25" s="1712"/>
      <c r="CG25" s="1712"/>
      <c r="CH25" s="1712"/>
      <c r="CI25" s="1712"/>
      <c r="CJ25" s="1712"/>
      <c r="CK25" s="1712"/>
      <c r="CL25" s="1712"/>
      <c r="CM25" s="1712"/>
      <c r="CN25" s="1712"/>
      <c r="CO25" s="1712"/>
    </row>
    <row r="26" spans="2:93">
      <c r="B26" s="271">
        <f t="shared" si="13"/>
        <v>19</v>
      </c>
      <c r="C26" s="541">
        <f>+Details!X$4</f>
        <v>80</v>
      </c>
      <c r="D26" s="541">
        <f>+Details!X$5</f>
        <v>79</v>
      </c>
      <c r="E26" s="540">
        <f>+Details!$X$7</f>
        <v>2037</v>
      </c>
      <c r="F26" s="354">
        <f>ROUND(+Details!$X$8/$W$2,0)</f>
        <v>541</v>
      </c>
      <c r="G26" s="354">
        <f>ROUND(+Details!$X$11/$W$2,0)</f>
        <v>886</v>
      </c>
      <c r="H26" s="354">
        <f>ROUND(+Details!$X$14/$W$2,0)</f>
        <v>75</v>
      </c>
      <c r="I26" s="354">
        <f>ROUND(+Details!$X$17/$W$2,0)</f>
        <v>245</v>
      </c>
      <c r="J26" s="354">
        <f>ROUND(+Details!$X$18/$W$2,0)</f>
        <v>0</v>
      </c>
      <c r="K26" s="354">
        <f t="shared" si="0"/>
        <v>1747</v>
      </c>
      <c r="M26" s="354">
        <f>ROUND(+Details!$X$28/$W$2,0)</f>
        <v>23</v>
      </c>
      <c r="N26" s="354">
        <f>ROUND(+Details!$X$31/$W$2,0)</f>
        <v>47</v>
      </c>
      <c r="O26" s="354">
        <f>ROUND(+Details!$X$34/$W$2,0)</f>
        <v>4</v>
      </c>
      <c r="P26" s="354">
        <f>ROUND(+Details!$X$37/$W$2,0)</f>
        <v>13</v>
      </c>
      <c r="Q26" s="354">
        <f>ROUND(+Details!$X$38/$W$2,0)</f>
        <v>0</v>
      </c>
      <c r="R26" s="354">
        <f>ROUND(+Details!$X$49/$W$2,0)</f>
        <v>44</v>
      </c>
      <c r="S26" s="354">
        <f>ROUND(+Details!$X$60/$W$2,0)</f>
        <v>22</v>
      </c>
      <c r="T26" s="354">
        <f>ROUND(+Details!$X$65/$W$2,0)</f>
        <v>9</v>
      </c>
      <c r="U26" s="354">
        <f>ROUND((Details!$X$66+Details!$X$67)/$W$2,0)</f>
        <v>16</v>
      </c>
      <c r="V26" s="354">
        <f>ROUND((Details!$X$68+Details!$X$69)/$W$2,0)</f>
        <v>0</v>
      </c>
      <c r="W26" s="354">
        <f t="shared" si="14"/>
        <v>178</v>
      </c>
      <c r="Y26" s="354">
        <f>ROUND(Details!$X$144/$W$2,0)</f>
        <v>120</v>
      </c>
      <c r="Z26" s="354">
        <f>ROUND(Details!$X$145/$W$2,0)</f>
        <v>12</v>
      </c>
      <c r="AA26" s="354">
        <f>ROUND(-Details!$X$234/$W$2,0)</f>
        <v>0</v>
      </c>
      <c r="AB26" s="354">
        <f>ROUND(-Details!$X$236/$W$2,0)</f>
        <v>0</v>
      </c>
      <c r="AC26" s="354">
        <f>ROUND(-Details!$X$237/$W$2,0)</f>
        <v>0</v>
      </c>
      <c r="AD26" s="354">
        <f>ROUND(-Details!$X$238/$W$2,0)</f>
        <v>0</v>
      </c>
      <c r="AE26" s="354">
        <f>ROUND(-Details!$X$96/$W$2,0)</f>
        <v>0</v>
      </c>
      <c r="AF26" s="354">
        <f>ROUND(-Details!$X$107/$W$2,0)</f>
        <v>0</v>
      </c>
      <c r="AG26" s="354">
        <f>ROUND(-Details!$X$127/$W$2,0)</f>
        <v>0</v>
      </c>
      <c r="AH26" s="354">
        <f>-ROUND(-Details!$X$137/$W$2,0)</f>
        <v>-5</v>
      </c>
      <c r="AI26" s="354">
        <f>-ROUND(Details!$X$240/$W$2,0)</f>
        <v>5</v>
      </c>
      <c r="AJ26" s="354">
        <f t="shared" si="2"/>
        <v>137</v>
      </c>
      <c r="AL26" s="354">
        <f t="shared" si="3"/>
        <v>1788</v>
      </c>
      <c r="AN26" s="354">
        <f>-ROUND(+Details!$X$94/$W$2,0)</f>
        <v>22</v>
      </c>
      <c r="AO26" s="354">
        <f>ROUND(+Details!$X$133/$W$2,0)</f>
        <v>0</v>
      </c>
      <c r="AP26" s="354">
        <f>-ROUND(+Details!$X$91/$W$2,0)</f>
        <v>0</v>
      </c>
      <c r="AQ26" s="354">
        <f>-ROUND(+Details!$X$95/$W$2,0)</f>
        <v>0</v>
      </c>
      <c r="AR26" s="354">
        <f>-ROUND(+Details!$X$96/$W$2,0)</f>
        <v>0</v>
      </c>
      <c r="AS26" s="354">
        <f>-ROUND(+Details!$X$74/$W$2,0)</f>
        <v>0</v>
      </c>
      <c r="AT26" s="354">
        <f t="shared" si="6"/>
        <v>0</v>
      </c>
      <c r="AU26" s="354">
        <f>-ROUND(+Details!$X$102/$W$2,0)</f>
        <v>24</v>
      </c>
      <c r="AV26" s="354">
        <f>-ROUND(+Details!$X$99/$W$2,0)</f>
        <v>0</v>
      </c>
      <c r="AW26" s="354">
        <f>-ROUND(+Details!$X$103/$W$2,0)</f>
        <v>0</v>
      </c>
      <c r="AX26" s="354">
        <f>-ROUND(+Details!$X$75/$W$2,0)</f>
        <v>0</v>
      </c>
      <c r="AY26" s="354">
        <f t="shared" si="7"/>
        <v>0</v>
      </c>
      <c r="AZ26" s="354">
        <f>-ROUND(+Details!$X$110/$W$2,0)</f>
        <v>3</v>
      </c>
      <c r="BA26" s="354">
        <f>-ROUND(+Details!$X$113/$W$2,0)</f>
        <v>0</v>
      </c>
      <c r="BB26" s="354">
        <f>-ROUND(+Details!$X$116/$W$2,0)</f>
        <v>0</v>
      </c>
      <c r="BC26" s="354">
        <f t="shared" si="8"/>
        <v>0</v>
      </c>
      <c r="BD26" s="354">
        <f>-ROUND(+Details!$X$111/$W$2,0)</f>
        <v>6</v>
      </c>
      <c r="BE26" s="354">
        <f>-ROUND(+Details!$X$114/$W$2,0)</f>
        <v>1</v>
      </c>
      <c r="BF26" s="354">
        <f>-ROUND(+Details!$X$117/$W$2,0)</f>
        <v>0</v>
      </c>
      <c r="BG26" s="354">
        <f t="shared" si="9"/>
        <v>1</v>
      </c>
      <c r="BH26" s="354">
        <f>-ROUND(+Details!$X$123/$W$2,0)</f>
        <v>1</v>
      </c>
      <c r="BI26" s="354">
        <f>-ROUND(+Details!$X$126/$W$2,0)</f>
        <v>0</v>
      </c>
      <c r="BJ26" s="354">
        <f>-ROUND(+Details!$X$76/$W$2,0)</f>
        <v>0</v>
      </c>
      <c r="BK26" s="354">
        <f>-ROUND(+Details!$X$127/$W$2,0)</f>
        <v>0</v>
      </c>
      <c r="BL26" s="354">
        <f t="shared" si="10"/>
        <v>1</v>
      </c>
      <c r="BM26" s="354">
        <f>-ROUND(+Details!$X$124/$W$2,0)</f>
        <v>0</v>
      </c>
      <c r="BN26" s="354">
        <f>-ROUND(+Details!$X$134/$W$2,0)</f>
        <v>0</v>
      </c>
      <c r="BO26" s="354">
        <f>-ROUND(+Details!$X$135/$W$2,0)</f>
        <v>0</v>
      </c>
      <c r="BP26" s="354">
        <f t="shared" si="11"/>
        <v>0</v>
      </c>
      <c r="BQ26" s="354">
        <f t="shared" si="4"/>
        <v>5</v>
      </c>
      <c r="BR26" s="354">
        <f t="shared" si="12"/>
        <v>62</v>
      </c>
      <c r="BS26" s="354"/>
      <c r="BT26" s="354">
        <f>ROUND(+Details!$X$248/$W$2,0)</f>
        <v>575</v>
      </c>
      <c r="BU26" s="354">
        <f>ROUND(+Details!$X$251/$W$2,0)</f>
        <v>886</v>
      </c>
      <c r="BV26" s="354">
        <f>ROUND(+Details!$X$254/$W$2,0)</f>
        <v>69</v>
      </c>
      <c r="BW26" s="354">
        <f>ROUND(+Details!$X$257/$W$2,0)</f>
        <v>256</v>
      </c>
      <c r="BX26" s="354">
        <f>ROUND(+Details!$X$258/$W$2,0)</f>
        <v>0</v>
      </c>
      <c r="BY26" s="354">
        <f t="shared" si="5"/>
        <v>1786</v>
      </c>
      <c r="BZ26" s="354"/>
      <c r="CA26" s="354"/>
      <c r="CB26" s="1715"/>
      <c r="CC26" s="1715"/>
      <c r="CD26" s="1716"/>
      <c r="CE26" s="1712"/>
      <c r="CF26" s="1712"/>
      <c r="CG26" s="1712"/>
      <c r="CH26" s="1712"/>
      <c r="CI26" s="1712"/>
      <c r="CJ26" s="1712"/>
      <c r="CK26" s="1712"/>
      <c r="CL26" s="1712"/>
      <c r="CM26" s="1712"/>
      <c r="CN26" s="1712"/>
      <c r="CO26" s="1712"/>
    </row>
    <row r="27" spans="2:93">
      <c r="B27" s="271">
        <f t="shared" si="13"/>
        <v>20</v>
      </c>
      <c r="C27" s="541">
        <f>+Details!Y$4</f>
        <v>81</v>
      </c>
      <c r="D27" s="541">
        <f>+Details!Y$5</f>
        <v>80</v>
      </c>
      <c r="E27" s="540">
        <f>+Details!$Y$7</f>
        <v>2038</v>
      </c>
      <c r="F27" s="354">
        <f>ROUND(+Details!$Y$8/$W$2,0)</f>
        <v>575</v>
      </c>
      <c r="G27" s="354">
        <f>ROUND(+Details!$Y$11/$W$2,0)</f>
        <v>886</v>
      </c>
      <c r="H27" s="354">
        <f>ROUND(+Details!$Y$14/$W$2,0)</f>
        <v>69</v>
      </c>
      <c r="I27" s="354">
        <f>ROUND(+Details!$Y$17/$W$2,0)</f>
        <v>256</v>
      </c>
      <c r="J27" s="354">
        <f>ROUND(+Details!$Y$18/$W$2,0)</f>
        <v>0</v>
      </c>
      <c r="K27" s="354">
        <f t="shared" si="0"/>
        <v>1786</v>
      </c>
      <c r="M27" s="354">
        <f>ROUND(+Details!$Y$28/$W$2,0)</f>
        <v>24</v>
      </c>
      <c r="N27" s="354">
        <f>ROUND(+Details!$Y$31/$W$2,0)</f>
        <v>47</v>
      </c>
      <c r="O27" s="354">
        <f>ROUND(+Details!$Y$34/$W$2,0)</f>
        <v>4</v>
      </c>
      <c r="P27" s="354">
        <f>ROUND(+Details!$Y$37/$W$2,0)</f>
        <v>14</v>
      </c>
      <c r="Q27" s="354">
        <f>ROUND(+Details!$Y$38/$W$2,0)</f>
        <v>0</v>
      </c>
      <c r="R27" s="354">
        <f>ROUND(+Details!$Y$49/$W$2,0)</f>
        <v>44</v>
      </c>
      <c r="S27" s="354">
        <f>ROUND(+Details!$Y$60/$W$2,0)</f>
        <v>22</v>
      </c>
      <c r="T27" s="354">
        <f>ROUND(+Details!$Y$65/$W$2,0)</f>
        <v>9</v>
      </c>
      <c r="U27" s="354">
        <f>ROUND((Details!$Y$66+Details!$Y$67)/$W$2,0)</f>
        <v>16</v>
      </c>
      <c r="V27" s="354">
        <f>ROUND((Details!$Y$68+Details!$Y$69)/$W$2,0)</f>
        <v>0</v>
      </c>
      <c r="W27" s="354">
        <f t="shared" si="14"/>
        <v>180</v>
      </c>
      <c r="Y27" s="354">
        <f>ROUND(Details!$Y$144/$W$2,0)</f>
        <v>122</v>
      </c>
      <c r="Z27" s="354">
        <f>ROUND(Details!$Y$145/$W$2,0)</f>
        <v>12</v>
      </c>
      <c r="AA27" s="354">
        <f>ROUND(-Details!$Y$234/$W$2,0)</f>
        <v>0</v>
      </c>
      <c r="AB27" s="354">
        <f>ROUND(-Details!$Y$236/$W$2,0)</f>
        <v>0</v>
      </c>
      <c r="AC27" s="354">
        <f>ROUND(-Details!$Y$237/$W$2,0)</f>
        <v>0</v>
      </c>
      <c r="AD27" s="354">
        <f>ROUND(-Details!$Y$238/$W$2,0)</f>
        <v>0</v>
      </c>
      <c r="AE27" s="354">
        <f>ROUND(-Details!$Y$96/$W$2,0)</f>
        <v>0</v>
      </c>
      <c r="AF27" s="354">
        <f>ROUND(-Details!$Y$107/$W$2,0)</f>
        <v>0</v>
      </c>
      <c r="AG27" s="354">
        <f>ROUND(-Details!$Y$127/$W$2,0)</f>
        <v>0</v>
      </c>
      <c r="AH27" s="354">
        <f>-ROUND(-Details!$Y$137/$W$2,0)</f>
        <v>-5</v>
      </c>
      <c r="AI27" s="354">
        <f>-ROUND(Details!$Y$240/$W$2,0)</f>
        <v>5</v>
      </c>
      <c r="AJ27" s="354">
        <f t="shared" si="2"/>
        <v>139</v>
      </c>
      <c r="AL27" s="354">
        <f t="shared" si="3"/>
        <v>1827</v>
      </c>
      <c r="AN27" s="354">
        <f>-ROUND(+Details!$Y$94/$W$2,0)</f>
        <v>23</v>
      </c>
      <c r="AO27" s="354">
        <f>ROUND(+Details!$Y$133/$W$2,0)</f>
        <v>0</v>
      </c>
      <c r="AP27" s="354">
        <f>-ROUND(+Details!$Y$91/$W$2,0)</f>
        <v>0</v>
      </c>
      <c r="AQ27" s="354">
        <f>-ROUND(+Details!$Y$95/$W$2,0)</f>
        <v>0</v>
      </c>
      <c r="AR27" s="354">
        <f>-ROUND(+Details!$Y$96/$W$2,0)</f>
        <v>0</v>
      </c>
      <c r="AS27" s="354">
        <f>-ROUND(+Details!$Y$74/$W$2,0)</f>
        <v>0</v>
      </c>
      <c r="AT27" s="354">
        <f t="shared" si="6"/>
        <v>0</v>
      </c>
      <c r="AU27" s="354">
        <f>-ROUND(+Details!$Y$102/$W$2,0)</f>
        <v>25</v>
      </c>
      <c r="AV27" s="354">
        <f>-ROUND(+Details!$Y$99/$W$2,0)</f>
        <v>0</v>
      </c>
      <c r="AW27" s="354">
        <f>-ROUND(+Details!$Y$103/$W$2,0)</f>
        <v>0</v>
      </c>
      <c r="AX27" s="354">
        <f>-ROUND(+Details!$Y$75/$W$2,0)</f>
        <v>0</v>
      </c>
      <c r="AY27" s="354">
        <f t="shared" si="7"/>
        <v>0</v>
      </c>
      <c r="AZ27" s="354">
        <f>-ROUND(+Details!$Y$110/$W$2,0)</f>
        <v>3</v>
      </c>
      <c r="BA27" s="354">
        <f>-ROUND(+Details!$Y$113/$W$2,0)</f>
        <v>0</v>
      </c>
      <c r="BB27" s="354">
        <f>-ROUND(+Details!$Y$116/$W$2,0)</f>
        <v>0</v>
      </c>
      <c r="BC27" s="354">
        <f t="shared" si="8"/>
        <v>0</v>
      </c>
      <c r="BD27" s="354">
        <f>-ROUND(+Details!$Y$111/$W$2,0)</f>
        <v>6</v>
      </c>
      <c r="BE27" s="354">
        <f>-ROUND(+Details!$Y$114/$W$2,0)</f>
        <v>0</v>
      </c>
      <c r="BF27" s="354">
        <f>-ROUND(+Details!$Y$117/$W$2,0)</f>
        <v>0</v>
      </c>
      <c r="BG27" s="354">
        <f t="shared" si="9"/>
        <v>0</v>
      </c>
      <c r="BH27" s="354">
        <f>-ROUND(+Details!$Y$123/$W$2,0)</f>
        <v>1</v>
      </c>
      <c r="BI27" s="354">
        <f>-ROUND(+Details!$Y$126/$W$2,0)</f>
        <v>0</v>
      </c>
      <c r="BJ27" s="354">
        <f>-ROUND(+Details!$Y$76/$W$2,0)</f>
        <v>0</v>
      </c>
      <c r="BK27" s="354">
        <f>-ROUND(+Details!$Y$127/$W$2,0)</f>
        <v>0</v>
      </c>
      <c r="BL27" s="354">
        <f t="shared" si="10"/>
        <v>1</v>
      </c>
      <c r="BM27" s="354">
        <f>-ROUND(+Details!$Y$124/$W$2,0)</f>
        <v>0</v>
      </c>
      <c r="BN27" s="354">
        <f>-ROUND(+Details!$Y$134/$W$2,0)</f>
        <v>0</v>
      </c>
      <c r="BO27" s="354">
        <f>-ROUND(+Details!$Y$135/$W$2,0)</f>
        <v>0</v>
      </c>
      <c r="BP27" s="354">
        <f t="shared" si="11"/>
        <v>0</v>
      </c>
      <c r="BQ27" s="354">
        <f t="shared" si="4"/>
        <v>5</v>
      </c>
      <c r="BR27" s="354">
        <f t="shared" si="12"/>
        <v>63</v>
      </c>
      <c r="BS27" s="354"/>
      <c r="BT27" s="354">
        <f>ROUND(+Details!$Y$248/$W$2,0)</f>
        <v>610</v>
      </c>
      <c r="BU27" s="354">
        <f>ROUND(+Details!$Y$251/$W$2,0)</f>
        <v>885</v>
      </c>
      <c r="BV27" s="354">
        <f>ROUND(+Details!$Y$254/$W$2,0)</f>
        <v>64</v>
      </c>
      <c r="BW27" s="354">
        <f>ROUND(+Details!$Y$257/$W$2,0)</f>
        <v>269</v>
      </c>
      <c r="BX27" s="354">
        <f>ROUND(+Details!$Y$258/$W$2,0)</f>
        <v>0</v>
      </c>
      <c r="BY27" s="354">
        <f t="shared" si="5"/>
        <v>1828</v>
      </c>
      <c r="BZ27" s="354"/>
      <c r="CA27" s="354"/>
      <c r="CB27" s="1715"/>
      <c r="CC27" s="1715"/>
      <c r="CD27" s="1716"/>
      <c r="CE27" s="1712"/>
      <c r="CF27" s="1712"/>
      <c r="CG27" s="1712"/>
      <c r="CH27" s="1712"/>
      <c r="CI27" s="1712"/>
      <c r="CJ27" s="1712"/>
      <c r="CK27" s="1712"/>
      <c r="CL27" s="1712"/>
      <c r="CM27" s="1712"/>
      <c r="CN27" s="1712"/>
      <c r="CO27" s="1712"/>
    </row>
    <row r="28" spans="2:93">
      <c r="B28" s="271">
        <f t="shared" si="13"/>
        <v>21</v>
      </c>
      <c r="C28" s="541">
        <f>+Details!Z$4</f>
        <v>82</v>
      </c>
      <c r="D28" s="541">
        <f>+Details!Z$5</f>
        <v>81</v>
      </c>
      <c r="E28" s="540">
        <f>+Details!$Z$7</f>
        <v>2039</v>
      </c>
      <c r="F28" s="354">
        <f>ROUND(+Details!$Z$8/$W$2,0)</f>
        <v>610</v>
      </c>
      <c r="G28" s="354">
        <f>ROUND(+Details!$Z$11/$W$2,0)</f>
        <v>885</v>
      </c>
      <c r="H28" s="354">
        <f>ROUND(+Details!$Z$14/$W$2,0)</f>
        <v>64</v>
      </c>
      <c r="I28" s="354">
        <f>ROUND(+Details!$Z$17/$W$2,0)</f>
        <v>269</v>
      </c>
      <c r="J28" s="354">
        <f>ROUND(+Details!$Z$18/$W$2,0)</f>
        <v>0</v>
      </c>
      <c r="K28" s="354">
        <f t="shared" si="0"/>
        <v>1828</v>
      </c>
      <c r="M28" s="354">
        <f>ROUND(+Details!$Z$28/$W$2,0)</f>
        <v>26</v>
      </c>
      <c r="N28" s="354">
        <f>ROUND(+Details!$Z$31/$W$2,0)</f>
        <v>47</v>
      </c>
      <c r="O28" s="354">
        <f>ROUND(+Details!$Z$34/$W$2,0)</f>
        <v>3</v>
      </c>
      <c r="P28" s="354">
        <f>ROUND(+Details!$Z$37/$W$2,0)</f>
        <v>14</v>
      </c>
      <c r="Q28" s="354">
        <f>ROUND(+Details!$Z$38/$W$2,0)</f>
        <v>0</v>
      </c>
      <c r="R28" s="354">
        <f>ROUND(+Details!$Z$49/$W$2,0)</f>
        <v>45</v>
      </c>
      <c r="S28" s="354">
        <f>ROUND(+Details!$Z$60/$W$2,0)</f>
        <v>23</v>
      </c>
      <c r="T28" s="354">
        <f>ROUND(+Details!$Z$65/$W$2,0)</f>
        <v>9</v>
      </c>
      <c r="U28" s="354">
        <f>ROUND((Details!$Z$66+Details!$Z$67)/$W$2,0)</f>
        <v>17</v>
      </c>
      <c r="V28" s="354">
        <f>ROUND((Details!$Z$68+Details!$Z$69)/$W$2,0)</f>
        <v>0</v>
      </c>
      <c r="W28" s="354">
        <f t="shared" si="14"/>
        <v>184</v>
      </c>
      <c r="Y28" s="354">
        <f>ROUND(Details!$Z$144/$W$2,0)</f>
        <v>125</v>
      </c>
      <c r="Z28" s="354">
        <f>ROUND(Details!$Z$145/$W$2,0)</f>
        <v>12</v>
      </c>
      <c r="AA28" s="354">
        <f>ROUND(-Details!$Z$234/$W$2,0)</f>
        <v>0</v>
      </c>
      <c r="AB28" s="354">
        <f>ROUND(-Details!$Z$236/$W$2,0)</f>
        <v>0</v>
      </c>
      <c r="AC28" s="354">
        <f>ROUND(-Details!$Z$237/$W$2,0)</f>
        <v>0</v>
      </c>
      <c r="AD28" s="354">
        <f>ROUND(-Details!$Z$238/$W$2,0)</f>
        <v>0</v>
      </c>
      <c r="AE28" s="354">
        <f>ROUND(-Details!$Z$96/$W$2,0)</f>
        <v>0</v>
      </c>
      <c r="AF28" s="354">
        <f>ROUND(-Details!$Z$107/$W$2,0)</f>
        <v>0</v>
      </c>
      <c r="AG28" s="354">
        <f>ROUND(-Details!$Z$127/$W$2,0)</f>
        <v>0</v>
      </c>
      <c r="AH28" s="354">
        <f>-ROUND(-Details!$Z$137/$W$2,0)</f>
        <v>-5</v>
      </c>
      <c r="AI28" s="354">
        <f>-ROUND(Details!$Z$240/$W$2,0)</f>
        <v>5</v>
      </c>
      <c r="AJ28" s="354">
        <f t="shared" si="2"/>
        <v>142</v>
      </c>
      <c r="AL28" s="354">
        <f t="shared" si="3"/>
        <v>1870</v>
      </c>
      <c r="AN28" s="354">
        <f>-ROUND(+Details!$Z$94/$W$2,0)</f>
        <v>24</v>
      </c>
      <c r="AO28" s="354">
        <f>ROUND(+Details!$Z$133/$W$2,0)</f>
        <v>0</v>
      </c>
      <c r="AP28" s="354">
        <f>-ROUND(+Details!$Z$91/$W$2,0)</f>
        <v>0</v>
      </c>
      <c r="AQ28" s="354">
        <f>-ROUND(+Details!$Z$95/$W$2,0)</f>
        <v>0</v>
      </c>
      <c r="AR28" s="354">
        <f>-ROUND(+Details!$Z$96/$W$2,0)</f>
        <v>0</v>
      </c>
      <c r="AS28" s="354">
        <f>-ROUND(+Details!$Z$74/$W$2,0)</f>
        <v>0</v>
      </c>
      <c r="AT28" s="354">
        <f t="shared" si="6"/>
        <v>0</v>
      </c>
      <c r="AU28" s="354">
        <f>-ROUND(+Details!$Z$102/$W$2,0)</f>
        <v>26</v>
      </c>
      <c r="AV28" s="354">
        <f>-ROUND(+Details!$Z$99/$W$2,0)</f>
        <v>0</v>
      </c>
      <c r="AW28" s="354">
        <f>-ROUND(+Details!$Z$103/$W$2,0)</f>
        <v>0</v>
      </c>
      <c r="AX28" s="354">
        <f>-ROUND(+Details!$Z$75/$W$2,0)</f>
        <v>0</v>
      </c>
      <c r="AY28" s="354">
        <f t="shared" si="7"/>
        <v>0</v>
      </c>
      <c r="AZ28" s="354">
        <f>-ROUND(+Details!$Z$110/$W$2,0)</f>
        <v>3</v>
      </c>
      <c r="BA28" s="354">
        <f>-ROUND(+Details!$Z$113/$W$2,0)</f>
        <v>0</v>
      </c>
      <c r="BB28" s="354">
        <f>-ROUND(+Details!$Z$116/$W$2,0)</f>
        <v>0</v>
      </c>
      <c r="BC28" s="354">
        <f t="shared" si="8"/>
        <v>0</v>
      </c>
      <c r="BD28" s="354">
        <f>-ROUND(+Details!$Z$111/$W$2,0)</f>
        <v>6</v>
      </c>
      <c r="BE28" s="354">
        <f>-ROUND(+Details!$Z$114/$W$2,0)</f>
        <v>0</v>
      </c>
      <c r="BF28" s="354">
        <f>-ROUND(+Details!$Z$117/$W$2,0)</f>
        <v>0</v>
      </c>
      <c r="BG28" s="354">
        <f t="shared" si="9"/>
        <v>0</v>
      </c>
      <c r="BH28" s="354">
        <f>-ROUND(+Details!$Z$123/$W$2,0)</f>
        <v>1</v>
      </c>
      <c r="BI28" s="354">
        <f>-ROUND(+Details!$Z$126/$W$2,0)</f>
        <v>0</v>
      </c>
      <c r="BJ28" s="354">
        <f>-ROUND(+Details!$Z$76/$W$2,0)</f>
        <v>0</v>
      </c>
      <c r="BK28" s="354">
        <f>-ROUND(+Details!$Z$127/$W$2,0)</f>
        <v>0</v>
      </c>
      <c r="BL28" s="354">
        <f t="shared" si="10"/>
        <v>1</v>
      </c>
      <c r="BM28" s="354">
        <f>-ROUND(+Details!$Z$124/$W$2,0)</f>
        <v>0</v>
      </c>
      <c r="BN28" s="354">
        <f>-ROUND(+Details!$Z$134/$W$2,0)</f>
        <v>0</v>
      </c>
      <c r="BO28" s="354">
        <f>-ROUND(+Details!$Z$135/$W$2,0)</f>
        <v>0</v>
      </c>
      <c r="BP28" s="354">
        <f t="shared" si="11"/>
        <v>0</v>
      </c>
      <c r="BQ28" s="354">
        <f t="shared" si="4"/>
        <v>5</v>
      </c>
      <c r="BR28" s="354">
        <f t="shared" si="12"/>
        <v>65</v>
      </c>
      <c r="BS28" s="354"/>
      <c r="BT28" s="354">
        <f>ROUND(+Details!$Z$248/$W$2,0)</f>
        <v>647</v>
      </c>
      <c r="BU28" s="354">
        <f>ROUND(+Details!$Z$251/$W$2,0)</f>
        <v>881</v>
      </c>
      <c r="BV28" s="354">
        <f>ROUND(+Details!$Z$254/$W$2,0)</f>
        <v>58</v>
      </c>
      <c r="BW28" s="354">
        <f>ROUND(+Details!$Z$257/$W$2,0)</f>
        <v>282</v>
      </c>
      <c r="BX28" s="354">
        <f>ROUND(+Details!$Z$258/$W$2,0)</f>
        <v>0</v>
      </c>
      <c r="BY28" s="354">
        <f t="shared" si="5"/>
        <v>1868</v>
      </c>
      <c r="BZ28" s="354"/>
      <c r="CA28" s="354"/>
      <c r="CB28" s="1715"/>
      <c r="CC28" s="1715"/>
      <c r="CD28" s="1716"/>
      <c r="CE28" s="1712"/>
      <c r="CF28" s="1712"/>
      <c r="CG28" s="1712"/>
      <c r="CH28" s="1712"/>
      <c r="CI28" s="1712"/>
      <c r="CJ28" s="1712"/>
      <c r="CK28" s="1712"/>
      <c r="CL28" s="1712"/>
      <c r="CM28" s="1712"/>
      <c r="CN28" s="1712"/>
      <c r="CO28" s="1712"/>
    </row>
    <row r="29" spans="2:93">
      <c r="B29" s="271">
        <f t="shared" si="13"/>
        <v>22</v>
      </c>
      <c r="C29" s="541">
        <f>+Details!AA$4</f>
        <v>83</v>
      </c>
      <c r="D29" s="541">
        <f>+Details!AA$5</f>
        <v>82</v>
      </c>
      <c r="E29" s="540">
        <f>+Details!$AA$7</f>
        <v>2040</v>
      </c>
      <c r="F29" s="354">
        <f>ROUND(+Details!$AA$8/$W$2,0)</f>
        <v>647</v>
      </c>
      <c r="G29" s="354">
        <f>ROUND(+Details!$AA$11/$W$2,0)</f>
        <v>881</v>
      </c>
      <c r="H29" s="354">
        <f>ROUND(+Details!$AA$14/$W$2,0)</f>
        <v>58</v>
      </c>
      <c r="I29" s="354">
        <f>ROUND(+Details!$AA$17/$W$2,0)</f>
        <v>282</v>
      </c>
      <c r="J29" s="354">
        <f>ROUND(+Details!$AA$18/$W$2,0)</f>
        <v>0</v>
      </c>
      <c r="K29" s="354">
        <f t="shared" si="0"/>
        <v>1868</v>
      </c>
      <c r="M29" s="354">
        <f>ROUND(+Details!$AA$28/$W$2,0)</f>
        <v>27</v>
      </c>
      <c r="N29" s="354">
        <f>ROUND(+Details!$AA$31/$W$2,0)</f>
        <v>47</v>
      </c>
      <c r="O29" s="354">
        <f>ROUND(+Details!$AA$34/$W$2,0)</f>
        <v>3</v>
      </c>
      <c r="P29" s="354">
        <f>ROUND(+Details!$AA$37/$W$2,0)</f>
        <v>15</v>
      </c>
      <c r="Q29" s="354">
        <f>ROUND(+Details!$AA$38/$W$2,0)</f>
        <v>0</v>
      </c>
      <c r="R29" s="354">
        <f>ROUND(+Details!$AA$49/$W$2,0)</f>
        <v>46</v>
      </c>
      <c r="S29" s="354">
        <f>ROUND(+Details!$AA$60/$W$2,0)</f>
        <v>23</v>
      </c>
      <c r="T29" s="354">
        <f>ROUND(+Details!$AA$65/$W$2,0)</f>
        <v>9</v>
      </c>
      <c r="U29" s="354">
        <f>ROUND((Details!$AA$66+Details!$AA$67)/$W$2,0)</f>
        <v>17</v>
      </c>
      <c r="V29" s="354">
        <f>ROUND((Details!$AA$68+Details!$AA$69)/$W$2,0)</f>
        <v>0</v>
      </c>
      <c r="W29" s="354">
        <f t="shared" si="14"/>
        <v>187</v>
      </c>
      <c r="Y29" s="354">
        <f>ROUND(Details!$AA$144/$W$2,0)</f>
        <v>127</v>
      </c>
      <c r="Z29" s="354">
        <f>ROUND(Details!$AA$145/$W$2,0)</f>
        <v>13</v>
      </c>
      <c r="AA29" s="354">
        <f>ROUND(-Details!$AA$234/$W$2,0)</f>
        <v>0</v>
      </c>
      <c r="AB29" s="354">
        <f>ROUND(-Details!$AA$236/$W$2,0)</f>
        <v>0</v>
      </c>
      <c r="AC29" s="354">
        <f>ROUND(-Details!$AA$237/$W$2,0)</f>
        <v>0</v>
      </c>
      <c r="AD29" s="354">
        <f>ROUND(-Details!$AA$238/$W$2,0)</f>
        <v>0</v>
      </c>
      <c r="AE29" s="354">
        <f>ROUND(-Details!$AA$96/$W$2,0)</f>
        <v>0</v>
      </c>
      <c r="AF29" s="354">
        <f>ROUND(-Details!$AA$107/$W$2,0)</f>
        <v>0</v>
      </c>
      <c r="AG29" s="354">
        <f>ROUND(-Details!$AA$127/$W$2,0)</f>
        <v>0</v>
      </c>
      <c r="AH29" s="354">
        <f>-ROUND(-Details!$AA$137/$W$2,0)</f>
        <v>-5</v>
      </c>
      <c r="AI29" s="354">
        <f>-ROUND(Details!$AA$240/$W$2,0)</f>
        <v>5</v>
      </c>
      <c r="AJ29" s="354">
        <f t="shared" si="2"/>
        <v>145</v>
      </c>
      <c r="AL29" s="354">
        <f t="shared" si="3"/>
        <v>1910</v>
      </c>
      <c r="AN29" s="354">
        <f>-ROUND(+Details!$AA$94/$W$2,0)</f>
        <v>25</v>
      </c>
      <c r="AO29" s="354">
        <f>ROUND(+Details!$AA$133/$W$2,0)</f>
        <v>0</v>
      </c>
      <c r="AP29" s="354">
        <f>-ROUND(+Details!$AA$91/$W$2,0)</f>
        <v>0</v>
      </c>
      <c r="AQ29" s="354">
        <f>-ROUND(+Details!$AA$95/$W$2,0)</f>
        <v>0</v>
      </c>
      <c r="AR29" s="354">
        <f>-ROUND(+Details!$AA$96/$W$2,0)</f>
        <v>0</v>
      </c>
      <c r="AS29" s="354">
        <f>-ROUND(+Details!$AA$74/$W$2,0)</f>
        <v>0</v>
      </c>
      <c r="AT29" s="354">
        <f t="shared" si="6"/>
        <v>0</v>
      </c>
      <c r="AU29" s="354">
        <f>-ROUND(+Details!$AA$102/$W$2,0)</f>
        <v>28</v>
      </c>
      <c r="AV29" s="354">
        <f>-ROUND(+Details!$AA$99/$W$2,0)</f>
        <v>0</v>
      </c>
      <c r="AW29" s="354">
        <f>-ROUND(+Details!$AA$103/$W$2,0)</f>
        <v>0</v>
      </c>
      <c r="AX29" s="354">
        <f>-ROUND(+Details!$AA$75/$W$2,0)</f>
        <v>0</v>
      </c>
      <c r="AY29" s="354">
        <f t="shared" si="7"/>
        <v>0</v>
      </c>
      <c r="AZ29" s="354">
        <f>-ROUND(+Details!$AA$110/$W$2,0)</f>
        <v>3</v>
      </c>
      <c r="BA29" s="354">
        <f>-ROUND(+Details!$AA$113/$W$2,0)</f>
        <v>0</v>
      </c>
      <c r="BB29" s="354">
        <f>-ROUND(+Details!$AA$116/$W$2,0)</f>
        <v>0</v>
      </c>
      <c r="BC29" s="354">
        <f t="shared" si="8"/>
        <v>0</v>
      </c>
      <c r="BD29" s="354">
        <f>-ROUND(+Details!$AA$111/$W$2,0)</f>
        <v>6</v>
      </c>
      <c r="BE29" s="354">
        <f>-ROUND(+Details!$AA$114/$W$2,0)</f>
        <v>0</v>
      </c>
      <c r="BF29" s="354">
        <f>-ROUND(+Details!$AA$117/$W$2,0)</f>
        <v>0</v>
      </c>
      <c r="BG29" s="354">
        <f t="shared" si="9"/>
        <v>0</v>
      </c>
      <c r="BH29" s="354">
        <f>-ROUND(+Details!$AA$123/$W$2,0)</f>
        <v>1</v>
      </c>
      <c r="BI29" s="354">
        <f>-ROUND(+Details!$AA$126/$W$2,0)</f>
        <v>0</v>
      </c>
      <c r="BJ29" s="354">
        <f>-ROUND(+Details!$AA$76/$W$2,0)</f>
        <v>0</v>
      </c>
      <c r="BK29" s="354">
        <f>-ROUND(+Details!$AA$127/$W$2,0)</f>
        <v>0</v>
      </c>
      <c r="BL29" s="354">
        <f t="shared" si="10"/>
        <v>1</v>
      </c>
      <c r="BM29" s="354">
        <f>-ROUND(+Details!$AA$124/$W$2,0)</f>
        <v>0</v>
      </c>
      <c r="BN29" s="354">
        <f>-ROUND(+Details!$AA$134/$W$2,0)</f>
        <v>0</v>
      </c>
      <c r="BO29" s="354">
        <f>-ROUND(+Details!$AA$135/$W$2,0)</f>
        <v>0</v>
      </c>
      <c r="BP29" s="354">
        <f t="shared" si="11"/>
        <v>0</v>
      </c>
      <c r="BQ29" s="354">
        <f t="shared" si="4"/>
        <v>5</v>
      </c>
      <c r="BR29" s="354">
        <f t="shared" si="12"/>
        <v>68</v>
      </c>
      <c r="BS29" s="354"/>
      <c r="BT29" s="354">
        <f>ROUND(+Details!$AA$248/$W$2,0)</f>
        <v>688</v>
      </c>
      <c r="BU29" s="354">
        <f>ROUND(+Details!$AA$251/$W$2,0)</f>
        <v>875</v>
      </c>
      <c r="BV29" s="354">
        <f>ROUND(+Details!$AA$254/$W$2,0)</f>
        <v>51</v>
      </c>
      <c r="BW29" s="354">
        <f>ROUND(+Details!$AA$257/$W$2,0)</f>
        <v>296</v>
      </c>
      <c r="BX29" s="354">
        <f>ROUND(+Details!$AA$258/$W$2,0)</f>
        <v>0</v>
      </c>
      <c r="BY29" s="354">
        <f t="shared" si="5"/>
        <v>1910</v>
      </c>
      <c r="BZ29" s="354"/>
      <c r="CA29" s="354"/>
      <c r="CB29" s="1715"/>
      <c r="CC29" s="1715"/>
      <c r="CD29" s="1716"/>
      <c r="CE29" s="1712"/>
      <c r="CF29" s="1712"/>
      <c r="CG29" s="1712"/>
      <c r="CH29" s="1712"/>
      <c r="CI29" s="1712"/>
      <c r="CJ29" s="1712"/>
      <c r="CK29" s="1712"/>
      <c r="CL29" s="1712"/>
      <c r="CM29" s="1712"/>
      <c r="CN29" s="1712"/>
      <c r="CO29" s="1712"/>
    </row>
    <row r="30" spans="2:93">
      <c r="B30" s="271">
        <f t="shared" si="13"/>
        <v>23</v>
      </c>
      <c r="C30" s="541">
        <f>+Details!AB$4</f>
        <v>84</v>
      </c>
      <c r="D30" s="541">
        <f>+Details!AB$5</f>
        <v>83</v>
      </c>
      <c r="E30" s="540">
        <f>+Details!$AB$7</f>
        <v>2041</v>
      </c>
      <c r="F30" s="354">
        <f>ROUND(+Details!$AB$8/$W$2,0)</f>
        <v>688</v>
      </c>
      <c r="G30" s="354">
        <f>ROUND(+Details!$AB$11/$W$2,0)</f>
        <v>875</v>
      </c>
      <c r="H30" s="354">
        <f>ROUND(+Details!$AB$14/$W$2,0)</f>
        <v>51</v>
      </c>
      <c r="I30" s="354">
        <f>ROUND(+Details!$AB$17/$W$2,0)</f>
        <v>296</v>
      </c>
      <c r="J30" s="354">
        <f>ROUND(+Details!$AB$18/$W$2,0)</f>
        <v>0</v>
      </c>
      <c r="K30" s="354">
        <f t="shared" si="0"/>
        <v>1910</v>
      </c>
      <c r="M30" s="354">
        <f>ROUND(+Details!$AB$28/$W$2,0)</f>
        <v>37</v>
      </c>
      <c r="N30" s="354">
        <f>ROUND(+Details!$AB$31/$W$2,0)</f>
        <v>46</v>
      </c>
      <c r="O30" s="354">
        <f>ROUND(+Details!$AB$34/$W$2,0)</f>
        <v>3</v>
      </c>
      <c r="P30" s="354">
        <f>ROUND(+Details!$AB$37/$W$2,0)</f>
        <v>16</v>
      </c>
      <c r="Q30" s="354">
        <f>ROUND(+Details!$AB$38/$W$2,0)</f>
        <v>0</v>
      </c>
      <c r="R30" s="354">
        <f>ROUND(+Details!$AB$49/$W$2,0)</f>
        <v>47</v>
      </c>
      <c r="S30" s="354">
        <f>ROUND(+Details!$AB$60/$W$2,0)</f>
        <v>24</v>
      </c>
      <c r="T30" s="354">
        <f>ROUND(+Details!$AB$65/$W$2,0)</f>
        <v>9</v>
      </c>
      <c r="U30" s="354">
        <f>ROUND((Details!$AB$66+Details!$AB$67)/$W$2,0)</f>
        <v>17</v>
      </c>
      <c r="V30" s="354">
        <f>ROUND((Details!$AB$68+Details!$AB$69)/$W$2,0)</f>
        <v>0</v>
      </c>
      <c r="W30" s="354">
        <f t="shared" si="14"/>
        <v>199</v>
      </c>
      <c r="Y30" s="354">
        <f>ROUND(Details!$AB$144/$W$2,0)</f>
        <v>130</v>
      </c>
      <c r="Z30" s="354">
        <f>ROUND(Details!$AB$145/$W$2,0)</f>
        <v>18</v>
      </c>
      <c r="AA30" s="354">
        <f>ROUND(-Details!$AB$234/$W$2,0)</f>
        <v>0</v>
      </c>
      <c r="AB30" s="354">
        <f>ROUND(-Details!$AB$236/$W$2,0)</f>
        <v>-400</v>
      </c>
      <c r="AC30" s="354">
        <f>ROUND(-Details!$AB$237/$W$2,0)</f>
        <v>0</v>
      </c>
      <c r="AD30" s="354">
        <f>ROUND(-Details!$AB$238/$W$2,0)</f>
        <v>0</v>
      </c>
      <c r="AE30" s="354">
        <f>ROUND(-Details!$AB$96/$W$2,0)</f>
        <v>0</v>
      </c>
      <c r="AF30" s="354">
        <f>ROUND(-Details!$AB$107/$W$2,0)</f>
        <v>0</v>
      </c>
      <c r="AG30" s="354">
        <f>ROUND(-Details!$AB$127/$W$2,0)</f>
        <v>0</v>
      </c>
      <c r="AH30" s="354">
        <f>-ROUND(-Details!$AB$137/$W$2,0)</f>
        <v>-5</v>
      </c>
      <c r="AI30" s="354">
        <f>-ROUND(Details!$AB$240/$W$2,0)</f>
        <v>-395</v>
      </c>
      <c r="AJ30" s="354">
        <f t="shared" si="2"/>
        <v>-247</v>
      </c>
      <c r="AL30" s="354">
        <f t="shared" si="3"/>
        <v>2356</v>
      </c>
      <c r="AN30" s="354">
        <f>-ROUND(+Details!$AB$94/$W$2,0)</f>
        <v>26</v>
      </c>
      <c r="AO30" s="354">
        <f>ROUND(+Details!$AB$133/$W$2,0)</f>
        <v>0</v>
      </c>
      <c r="AP30" s="354">
        <f>-ROUND(+Details!$AB$91/$W$2,0)</f>
        <v>0</v>
      </c>
      <c r="AQ30" s="354">
        <f>-ROUND(+Details!$AB$95/$W$2,0)</f>
        <v>0</v>
      </c>
      <c r="AR30" s="354">
        <f>-ROUND(+Details!$AB$96/$W$2,0)</f>
        <v>0</v>
      </c>
      <c r="AS30" s="354">
        <f>-ROUND(+Details!$AB$74/$W$2,0)</f>
        <v>0</v>
      </c>
      <c r="AT30" s="354">
        <f t="shared" si="6"/>
        <v>0</v>
      </c>
      <c r="AU30" s="354">
        <f>-ROUND(+Details!$AB$102/$W$2,0)</f>
        <v>29</v>
      </c>
      <c r="AV30" s="354">
        <f>-ROUND(+Details!$AB$99/$W$2,0)</f>
        <v>0</v>
      </c>
      <c r="AW30" s="354">
        <f>-ROUND(+Details!$AB$103/$W$2,0)</f>
        <v>0</v>
      </c>
      <c r="AX30" s="354">
        <f>-ROUND(+Details!$AB$75/$W$2,0)</f>
        <v>0</v>
      </c>
      <c r="AY30" s="354">
        <f t="shared" si="7"/>
        <v>0</v>
      </c>
      <c r="AZ30" s="354">
        <f>-ROUND(+Details!$AB$110/$W$2,0)</f>
        <v>4</v>
      </c>
      <c r="BA30" s="354">
        <f>-ROUND(+Details!$AB$113/$W$2,0)</f>
        <v>0</v>
      </c>
      <c r="BB30" s="354">
        <f>-ROUND(+Details!$AB$116/$W$2,0)</f>
        <v>0</v>
      </c>
      <c r="BC30" s="354">
        <f t="shared" si="8"/>
        <v>0</v>
      </c>
      <c r="BD30" s="354">
        <f>-ROUND(+Details!$AB$111/$W$2,0)</f>
        <v>7</v>
      </c>
      <c r="BE30" s="354">
        <f>-ROUND(+Details!$AB$114/$W$2,0)</f>
        <v>0</v>
      </c>
      <c r="BF30" s="354">
        <f>-ROUND(+Details!$AB$117/$W$2,0)</f>
        <v>0</v>
      </c>
      <c r="BG30" s="354">
        <f t="shared" si="9"/>
        <v>0</v>
      </c>
      <c r="BH30" s="354">
        <f>-ROUND(+Details!$AB$123/$W$2,0)</f>
        <v>1</v>
      </c>
      <c r="BI30" s="354">
        <f>-ROUND(+Details!$AB$126/$W$2,0)</f>
        <v>0</v>
      </c>
      <c r="BJ30" s="354">
        <f>-ROUND(+Details!$AB$76/$W$2,0)</f>
        <v>0</v>
      </c>
      <c r="BK30" s="354">
        <f>-ROUND(+Details!$AB$127/$W$2,0)</f>
        <v>0</v>
      </c>
      <c r="BL30" s="354">
        <f t="shared" si="10"/>
        <v>1</v>
      </c>
      <c r="BM30" s="354">
        <f>-ROUND(+Details!$AB$124/$W$2,0)</f>
        <v>0</v>
      </c>
      <c r="BN30" s="354">
        <f>-ROUND(+Details!$AB$134/$W$2,0)</f>
        <v>0</v>
      </c>
      <c r="BO30" s="354">
        <f>-ROUND(+Details!$AB$135/$W$2,0)</f>
        <v>0</v>
      </c>
      <c r="BP30" s="354">
        <f t="shared" si="11"/>
        <v>0</v>
      </c>
      <c r="BQ30" s="354">
        <f t="shared" si="4"/>
        <v>5</v>
      </c>
      <c r="BR30" s="354">
        <f t="shared" si="12"/>
        <v>72</v>
      </c>
      <c r="BS30" s="354"/>
      <c r="BT30" s="354">
        <f>ROUND(+Details!$AB$248/$W$2,0)</f>
        <v>1136</v>
      </c>
      <c r="BU30" s="354">
        <f>ROUND(+Details!$AB$251/$W$2,0)</f>
        <v>866</v>
      </c>
      <c r="BV30" s="354">
        <f>ROUND(+Details!$AB$254/$W$2,0)</f>
        <v>43</v>
      </c>
      <c r="BW30" s="354">
        <f>ROUND(+Details!$AB$257/$W$2,0)</f>
        <v>311</v>
      </c>
      <c r="BX30" s="354">
        <f>ROUND(+Details!$AB$258/$W$2,0)</f>
        <v>0</v>
      </c>
      <c r="BY30" s="354">
        <f t="shared" si="5"/>
        <v>2356</v>
      </c>
      <c r="BZ30" s="354"/>
      <c r="CA30" s="354"/>
      <c r="CB30" s="1715"/>
      <c r="CC30" s="1715"/>
      <c r="CD30" s="1716"/>
      <c r="CE30" s="1712"/>
      <c r="CF30" s="1712"/>
      <c r="CG30" s="1712"/>
      <c r="CH30" s="1712"/>
      <c r="CI30" s="1712"/>
      <c r="CJ30" s="1712"/>
      <c r="CK30" s="1712"/>
      <c r="CL30" s="1712"/>
      <c r="CM30" s="1712"/>
      <c r="CN30" s="1712"/>
      <c r="CO30" s="1712"/>
    </row>
    <row r="31" spans="2:93">
      <c r="B31" s="271">
        <f t="shared" si="13"/>
        <v>24</v>
      </c>
      <c r="C31" s="541">
        <f>+Details!AC$4</f>
        <v>85</v>
      </c>
      <c r="D31" s="541">
        <f>+Details!AC$5</f>
        <v>84</v>
      </c>
      <c r="E31" s="540">
        <f>+Details!$AC$7</f>
        <v>2042</v>
      </c>
      <c r="F31" s="354">
        <f>ROUND(+Details!$AC$8/$W$2,0)</f>
        <v>1136</v>
      </c>
      <c r="G31" s="354">
        <f>ROUND(+Details!$AC$11/$W$2,0)</f>
        <v>866</v>
      </c>
      <c r="H31" s="354">
        <f>ROUND(+Details!$AC$14/$W$2,0)</f>
        <v>43</v>
      </c>
      <c r="I31" s="354">
        <f>ROUND(+Details!$AC$17/$W$2,0)</f>
        <v>311</v>
      </c>
      <c r="J31" s="354">
        <f>ROUND(+Details!$AC$18/$W$2,0)</f>
        <v>0</v>
      </c>
      <c r="K31" s="354">
        <f t="shared" si="0"/>
        <v>2356</v>
      </c>
      <c r="M31" s="354">
        <f>ROUND(+Details!$AC$28/$W$2,0)</f>
        <v>47</v>
      </c>
      <c r="N31" s="354">
        <f>ROUND(+Details!$AC$31/$W$2,0)</f>
        <v>46</v>
      </c>
      <c r="O31" s="354">
        <f>ROUND(+Details!$AC$34/$W$2,0)</f>
        <v>2</v>
      </c>
      <c r="P31" s="354">
        <f>ROUND(+Details!$AC$37/$W$2,0)</f>
        <v>17</v>
      </c>
      <c r="Q31" s="354">
        <f>ROUND(+Details!$AC$38/$W$2,0)</f>
        <v>0</v>
      </c>
      <c r="R31" s="354">
        <f>ROUND(+Details!$AC$49/$W$2,0)</f>
        <v>48</v>
      </c>
      <c r="S31" s="354">
        <f>ROUND(+Details!$AC$60/$W$2,0)</f>
        <v>24</v>
      </c>
      <c r="T31" s="354">
        <f>ROUND(+Details!$AC$65/$W$2,0)</f>
        <v>9</v>
      </c>
      <c r="U31" s="354">
        <f>ROUND((Details!$AC$66+Details!$AC$67)/$W$2,0)</f>
        <v>18</v>
      </c>
      <c r="V31" s="354">
        <f>ROUND((Details!$AC$68+Details!$AC$69)/$W$2,0)</f>
        <v>0</v>
      </c>
      <c r="W31" s="354">
        <f t="shared" si="14"/>
        <v>211</v>
      </c>
      <c r="Y31" s="354">
        <f>ROUND(Details!$AC$144/$W$2,0)</f>
        <v>132</v>
      </c>
      <c r="Z31" s="354">
        <f>ROUND(Details!$AC$145/$W$2,0)</f>
        <v>20</v>
      </c>
      <c r="AA31" s="354">
        <f>ROUND(-Details!$AC$234/$W$2,0)</f>
        <v>0</v>
      </c>
      <c r="AB31" s="354">
        <f>ROUND(-Details!$AC$236/$W$2,0)</f>
        <v>0</v>
      </c>
      <c r="AC31" s="354">
        <f>ROUND(-Details!$AC$237/$W$2,0)</f>
        <v>0</v>
      </c>
      <c r="AD31" s="354">
        <f>ROUND(-Details!$AC$238/$W$2,0)</f>
        <v>0</v>
      </c>
      <c r="AE31" s="354">
        <f>ROUND(-Details!$AC$96/$W$2,0)</f>
        <v>0</v>
      </c>
      <c r="AF31" s="354">
        <f>ROUND(-Details!$AC$107/$W$2,0)</f>
        <v>0</v>
      </c>
      <c r="AG31" s="354">
        <f>ROUND(-Details!$AC$127/$W$2,0)</f>
        <v>0</v>
      </c>
      <c r="AH31" s="354">
        <f>-ROUND(-Details!$AC$137/$W$2,0)</f>
        <v>0</v>
      </c>
      <c r="AI31" s="354">
        <f>-ROUND(Details!$AC$240/$W$2,0)</f>
        <v>0</v>
      </c>
      <c r="AJ31" s="354">
        <f t="shared" si="2"/>
        <v>152</v>
      </c>
      <c r="AL31" s="354">
        <f t="shared" si="3"/>
        <v>2415</v>
      </c>
      <c r="AN31" s="354">
        <f>-ROUND(+Details!$AC$94/$W$2,0)</f>
        <v>27</v>
      </c>
      <c r="AO31" s="354">
        <f>ROUND(+Details!$AC$133/$W$2,0)</f>
        <v>0</v>
      </c>
      <c r="AP31" s="354">
        <f>-ROUND(+Details!$AC$91/$W$2,0)</f>
        <v>0</v>
      </c>
      <c r="AQ31" s="354">
        <f>-ROUND(+Details!$AC$95/$W$2,0)</f>
        <v>0</v>
      </c>
      <c r="AR31" s="354">
        <f>-ROUND(+Details!$AC$96/$W$2,0)</f>
        <v>0</v>
      </c>
      <c r="AS31" s="354">
        <f>-ROUND(+Details!$AC$74/$W$2,0)</f>
        <v>0</v>
      </c>
      <c r="AT31" s="354">
        <f t="shared" si="6"/>
        <v>0</v>
      </c>
      <c r="AU31" s="354">
        <f>-ROUND(+Details!$AC$102/$W$2,0)</f>
        <v>30</v>
      </c>
      <c r="AV31" s="354">
        <f>-ROUND(+Details!$AC$99/$W$2,0)</f>
        <v>0</v>
      </c>
      <c r="AW31" s="354">
        <f>-ROUND(+Details!$AC$103/$W$2,0)</f>
        <v>0</v>
      </c>
      <c r="AX31" s="354">
        <f>-ROUND(+Details!$AC$75/$W$2,0)</f>
        <v>0</v>
      </c>
      <c r="AY31" s="354">
        <f t="shared" si="7"/>
        <v>0</v>
      </c>
      <c r="AZ31" s="354">
        <f>-ROUND(+Details!$AC$110/$W$2,0)</f>
        <v>4</v>
      </c>
      <c r="BA31" s="354">
        <f>-ROUND(+Details!$AC$113/$W$2,0)</f>
        <v>0</v>
      </c>
      <c r="BB31" s="354">
        <f>-ROUND(+Details!$AC$116/$W$2,0)</f>
        <v>0</v>
      </c>
      <c r="BC31" s="354">
        <f t="shared" si="8"/>
        <v>0</v>
      </c>
      <c r="BD31" s="354">
        <f>-ROUND(+Details!$AC$111/$W$2,0)</f>
        <v>7</v>
      </c>
      <c r="BE31" s="354">
        <f>-ROUND(+Details!$AC$114/$W$2,0)</f>
        <v>0</v>
      </c>
      <c r="BF31" s="354">
        <f>-ROUND(+Details!$AC$117/$W$2,0)</f>
        <v>0</v>
      </c>
      <c r="BG31" s="354">
        <f t="shared" si="9"/>
        <v>0</v>
      </c>
      <c r="BH31" s="354">
        <f>-ROUND(+Details!$AC$123/$W$2,0)</f>
        <v>1</v>
      </c>
      <c r="BI31" s="354">
        <f>-ROUND(+Details!$AC$126/$W$2,0)</f>
        <v>0</v>
      </c>
      <c r="BJ31" s="354">
        <f>-ROUND(+Details!$AC$76/$W$2,0)</f>
        <v>0</v>
      </c>
      <c r="BK31" s="354">
        <f>-ROUND(+Details!$AC$127/$W$2,0)</f>
        <v>0</v>
      </c>
      <c r="BL31" s="354">
        <f t="shared" si="10"/>
        <v>1</v>
      </c>
      <c r="BM31" s="354">
        <f>-ROUND(+Details!$AC$124/$W$2,0)</f>
        <v>0</v>
      </c>
      <c r="BN31" s="354">
        <f>-ROUND(+Details!$AC$134/$W$2,0)</f>
        <v>0</v>
      </c>
      <c r="BO31" s="354">
        <f>-ROUND(+Details!$AC$135/$W$2,0)</f>
        <v>0</v>
      </c>
      <c r="BP31" s="354">
        <f t="shared" si="11"/>
        <v>0</v>
      </c>
      <c r="BQ31" s="354">
        <f t="shared" si="4"/>
        <v>0</v>
      </c>
      <c r="BR31" s="354">
        <f t="shared" si="12"/>
        <v>69</v>
      </c>
      <c r="BS31" s="354"/>
      <c r="BT31" s="354">
        <f>ROUND(+Details!$AC$248/$W$2,0)</f>
        <v>1200</v>
      </c>
      <c r="BU31" s="354">
        <f>ROUND(+Details!$AC$251/$W$2,0)</f>
        <v>855</v>
      </c>
      <c r="BV31" s="354">
        <f>ROUND(+Details!$AC$254/$W$2,0)</f>
        <v>35</v>
      </c>
      <c r="BW31" s="354">
        <f>ROUND(+Details!$AC$257/$W$2,0)</f>
        <v>326</v>
      </c>
      <c r="BX31" s="354">
        <f>ROUND(+Details!$AC$258/$W$2,0)</f>
        <v>0</v>
      </c>
      <c r="BY31" s="354">
        <f t="shared" si="5"/>
        <v>2416</v>
      </c>
      <c r="BZ31" s="354"/>
      <c r="CA31" s="354"/>
      <c r="CB31" s="1715"/>
      <c r="CC31" s="1715"/>
      <c r="CD31" s="1716"/>
      <c r="CE31" s="1712"/>
      <c r="CF31" s="1712"/>
      <c r="CG31" s="1712"/>
      <c r="CH31" s="1712"/>
      <c r="CI31" s="1712"/>
      <c r="CJ31" s="1712"/>
      <c r="CK31" s="1712"/>
      <c r="CL31" s="1712"/>
      <c r="CM31" s="1712"/>
      <c r="CN31" s="1712"/>
      <c r="CO31" s="1712"/>
    </row>
    <row r="32" spans="2:93">
      <c r="B32" s="271">
        <f t="shared" si="13"/>
        <v>25</v>
      </c>
      <c r="C32" s="541">
        <f>+Details!AD$4</f>
        <v>86</v>
      </c>
      <c r="D32" s="541">
        <f>+Details!AD$5</f>
        <v>85</v>
      </c>
      <c r="E32" s="540">
        <f>+Details!$AD$7</f>
        <v>2043</v>
      </c>
      <c r="F32" s="354">
        <f>ROUND(+Details!$AD$8/$W$2,0)</f>
        <v>1200</v>
      </c>
      <c r="G32" s="354">
        <f>ROUND(+Details!$AD$11/$W$2,0)</f>
        <v>855</v>
      </c>
      <c r="H32" s="354">
        <f>ROUND(+Details!$AD$14/$W$2,0)</f>
        <v>35</v>
      </c>
      <c r="I32" s="354">
        <f>ROUND(+Details!$AD$17/$W$2,0)</f>
        <v>326</v>
      </c>
      <c r="J32" s="354">
        <f>ROUND(+Details!$AD$18/$W$2,0)</f>
        <v>0</v>
      </c>
      <c r="K32" s="354">
        <f t="shared" si="0"/>
        <v>2416</v>
      </c>
      <c r="M32" s="354">
        <f>ROUND(+Details!$AD$28/$W$2,0)</f>
        <v>52</v>
      </c>
      <c r="N32" s="354">
        <f>ROUND(+Details!$AD$31/$W$2,0)</f>
        <v>45</v>
      </c>
      <c r="O32" s="354">
        <f>ROUND(+Details!$AD$34/$W$2,0)</f>
        <v>2</v>
      </c>
      <c r="P32" s="354">
        <f>ROUND(+Details!$AD$37/$W$2,0)</f>
        <v>17</v>
      </c>
      <c r="Q32" s="354">
        <f>ROUND(+Details!$AD$38/$W$2,0)</f>
        <v>0</v>
      </c>
      <c r="R32" s="354">
        <f>ROUND(+Details!$AD$49/$W$2,0)</f>
        <v>49</v>
      </c>
      <c r="S32" s="354">
        <f>ROUND(+Details!$AD$60/$W$2,0)</f>
        <v>0</v>
      </c>
      <c r="T32" s="354">
        <f>ROUND(+Details!$AD$65/$W$2,0)</f>
        <v>9</v>
      </c>
      <c r="U32" s="354">
        <f>ROUND((Details!$AD$66+Details!$AD$67)/$W$2,0)</f>
        <v>16</v>
      </c>
      <c r="V32" s="354">
        <f>ROUND((Details!$AD$68+Details!$AD$69)/$W$2,0)</f>
        <v>0</v>
      </c>
      <c r="W32" s="354">
        <f t="shared" si="14"/>
        <v>190</v>
      </c>
      <c r="Y32" s="354">
        <f>ROUND(Details!$AD$144/$W$2,0)</f>
        <v>135</v>
      </c>
      <c r="Z32" s="354">
        <f>ROUND(Details!$AD$145/$W$2,0)</f>
        <v>25</v>
      </c>
      <c r="AA32" s="354">
        <f>ROUND(-Details!$AD$234/$W$2,0)</f>
        <v>0</v>
      </c>
      <c r="AB32" s="354">
        <f>ROUND(-Details!$AD$236/$W$2,0)</f>
        <v>-100</v>
      </c>
      <c r="AC32" s="354">
        <f>ROUND(-Details!$AD$237/$W$2,0)</f>
        <v>0</v>
      </c>
      <c r="AD32" s="354">
        <f>ROUND(-Details!$AD$238/$W$2,0)</f>
        <v>0</v>
      </c>
      <c r="AE32" s="354">
        <f>ROUND(-Details!$AD$96/$W$2,0)</f>
        <v>0</v>
      </c>
      <c r="AF32" s="354">
        <f>ROUND(-Details!$AD$107/$W$2,0)</f>
        <v>0</v>
      </c>
      <c r="AG32" s="354">
        <f>ROUND(-Details!$AD$127/$W$2,0)</f>
        <v>0</v>
      </c>
      <c r="AH32" s="354">
        <f>-ROUND(-Details!$AD$137/$W$2,0)</f>
        <v>0</v>
      </c>
      <c r="AI32" s="354">
        <f>-ROUND(Details!$AD$240/$W$2,0)</f>
        <v>-100</v>
      </c>
      <c r="AJ32" s="354">
        <f t="shared" si="2"/>
        <v>60</v>
      </c>
      <c r="AL32" s="354">
        <f t="shared" si="3"/>
        <v>2546</v>
      </c>
      <c r="AN32" s="354">
        <f>-ROUND(+Details!$AD$94/$W$2,0)</f>
        <v>28</v>
      </c>
      <c r="AO32" s="354">
        <f>ROUND(+Details!$AD$133/$W$2,0)</f>
        <v>0</v>
      </c>
      <c r="AP32" s="354">
        <f>-ROUND(+Details!$AD$91/$W$2,0)</f>
        <v>0</v>
      </c>
      <c r="AQ32" s="354">
        <f>-ROUND(+Details!$AD$95/$W$2,0)</f>
        <v>0</v>
      </c>
      <c r="AR32" s="354">
        <f>-ROUND(+Details!$AD$96/$W$2,0)</f>
        <v>0</v>
      </c>
      <c r="AS32" s="354">
        <f>-ROUND(+Details!$AD$74/$W$2,0)</f>
        <v>0</v>
      </c>
      <c r="AT32" s="354">
        <f t="shared" si="6"/>
        <v>0</v>
      </c>
      <c r="AU32" s="354">
        <f>-ROUND(+Details!$AD$102/$W$2,0)</f>
        <v>31</v>
      </c>
      <c r="AV32" s="354">
        <f>-ROUND(+Details!$AD$99/$W$2,0)</f>
        <v>0</v>
      </c>
      <c r="AW32" s="354">
        <f>-ROUND(+Details!$AD$103/$W$2,0)</f>
        <v>0</v>
      </c>
      <c r="AX32" s="354">
        <f>-ROUND(+Details!$AD$75/$W$2,0)</f>
        <v>0</v>
      </c>
      <c r="AY32" s="354">
        <f t="shared" si="7"/>
        <v>0</v>
      </c>
      <c r="AZ32" s="354">
        <f>-ROUND(+Details!$AD$110/$W$2,0)</f>
        <v>4</v>
      </c>
      <c r="BA32" s="354">
        <f>-ROUND(+Details!$AD$113/$W$2,0)</f>
        <v>0</v>
      </c>
      <c r="BB32" s="354">
        <f>-ROUND(+Details!$AD$116/$W$2,0)</f>
        <v>0</v>
      </c>
      <c r="BC32" s="354">
        <f t="shared" si="8"/>
        <v>0</v>
      </c>
      <c r="BD32" s="354">
        <f>-ROUND(+Details!$AD$111/$W$2,0)</f>
        <v>8</v>
      </c>
      <c r="BE32" s="354">
        <f>-ROUND(+Details!$AD$114/$W$2,0)</f>
        <v>0</v>
      </c>
      <c r="BF32" s="354">
        <f>-ROUND(+Details!$AD$117/$W$2,0)</f>
        <v>0</v>
      </c>
      <c r="BG32" s="354">
        <f t="shared" si="9"/>
        <v>0</v>
      </c>
      <c r="BH32" s="354">
        <f>-ROUND(+Details!$AD$123/$W$2,0)</f>
        <v>1</v>
      </c>
      <c r="BI32" s="354">
        <f>-ROUND(+Details!$AD$126/$W$2,0)</f>
        <v>0</v>
      </c>
      <c r="BJ32" s="354">
        <f>-ROUND(+Details!$AD$76/$W$2,0)</f>
        <v>0</v>
      </c>
      <c r="BK32" s="354">
        <f>-ROUND(+Details!$AD$127/$W$2,0)</f>
        <v>0</v>
      </c>
      <c r="BL32" s="354">
        <f t="shared" si="10"/>
        <v>1</v>
      </c>
      <c r="BM32" s="354">
        <f>-ROUND(+Details!$AD$124/$W$2,0)</f>
        <v>0</v>
      </c>
      <c r="BN32" s="354">
        <f>-ROUND(+Details!$AD$134/$W$2,0)</f>
        <v>0</v>
      </c>
      <c r="BO32" s="354">
        <f>-ROUND(+Details!$AD$135/$W$2,0)</f>
        <v>0</v>
      </c>
      <c r="BP32" s="354">
        <f t="shared" si="11"/>
        <v>0</v>
      </c>
      <c r="BQ32" s="354">
        <f t="shared" si="4"/>
        <v>0</v>
      </c>
      <c r="BR32" s="354">
        <f t="shared" si="12"/>
        <v>72</v>
      </c>
      <c r="BS32" s="354"/>
      <c r="BT32" s="354">
        <f>ROUND(+Details!$AD$248/$W$2,0)</f>
        <v>1338</v>
      </c>
      <c r="BU32" s="354">
        <f>ROUND(+Details!$AD$251/$W$2,0)</f>
        <v>840</v>
      </c>
      <c r="BV32" s="354">
        <f>ROUND(+Details!$AD$254/$W$2,0)</f>
        <v>25</v>
      </c>
      <c r="BW32" s="354">
        <f>ROUND(+Details!$AD$257/$W$2,0)</f>
        <v>342</v>
      </c>
      <c r="BX32" s="354">
        <f>ROUND(+Details!$AD$258/$W$2,0)</f>
        <v>0</v>
      </c>
      <c r="BY32" s="354">
        <f t="shared" si="5"/>
        <v>2545</v>
      </c>
      <c r="BZ32" s="354"/>
      <c r="CA32" s="354"/>
      <c r="CB32" s="1715"/>
      <c r="CC32" s="1715"/>
      <c r="CD32" s="1716"/>
      <c r="CE32" s="1712"/>
      <c r="CF32" s="1712"/>
      <c r="CG32" s="1712"/>
      <c r="CH32" s="1712"/>
      <c r="CI32" s="1712"/>
      <c r="CJ32" s="1712"/>
      <c r="CK32" s="1712"/>
      <c r="CL32" s="1712"/>
      <c r="CM32" s="1712"/>
      <c r="CN32" s="1712"/>
      <c r="CO32" s="1712"/>
    </row>
    <row r="33" spans="2:93">
      <c r="B33" s="271">
        <f t="shared" si="13"/>
        <v>26</v>
      </c>
      <c r="C33" s="541">
        <f>+Details!AE$4</f>
        <v>87</v>
      </c>
      <c r="D33" s="541">
        <f>+Details!AE$5</f>
        <v>86</v>
      </c>
      <c r="E33" s="540">
        <f>+Details!$AE$7</f>
        <v>2044</v>
      </c>
      <c r="F33" s="354">
        <f>ROUND(+Details!$AE$8/$W$2,0)</f>
        <v>1338</v>
      </c>
      <c r="G33" s="354">
        <f>ROUND(+Details!$AE$11/$W$2,0)</f>
        <v>840</v>
      </c>
      <c r="H33" s="354">
        <f>ROUND(+Details!$AE$14/$W$2,0)</f>
        <v>25</v>
      </c>
      <c r="I33" s="354">
        <f>ROUND(+Details!$AE$17/$W$2,0)</f>
        <v>342</v>
      </c>
      <c r="J33" s="354">
        <f>ROUND(+Details!$AE$18/$W$2,0)</f>
        <v>0</v>
      </c>
      <c r="K33" s="354">
        <f t="shared" si="0"/>
        <v>2545</v>
      </c>
      <c r="M33" s="354">
        <f>ROUND(+Details!$AE$28/$W$2,0)</f>
        <v>55</v>
      </c>
      <c r="N33" s="354">
        <f>ROUND(+Details!$AE$31/$W$2,0)</f>
        <v>44</v>
      </c>
      <c r="O33" s="354">
        <f>ROUND(+Details!$AE$34/$W$2,0)</f>
        <v>1</v>
      </c>
      <c r="P33" s="354">
        <f>ROUND(+Details!$AE$37/$W$2,0)</f>
        <v>18</v>
      </c>
      <c r="Q33" s="354">
        <f>ROUND(+Details!$AE$38/$W$2,0)</f>
        <v>0</v>
      </c>
      <c r="R33" s="354">
        <f>ROUND(+Details!$AE$49/$W$2,0)</f>
        <v>50</v>
      </c>
      <c r="S33" s="354">
        <f>ROUND(+Details!$AE$60/$W$2,0)</f>
        <v>0</v>
      </c>
      <c r="T33" s="354">
        <f>ROUND(+Details!$AE$65/$W$2,0)</f>
        <v>9</v>
      </c>
      <c r="U33" s="354">
        <f>ROUND((Details!$AE$66+Details!$AE$67)/$W$2,0)</f>
        <v>17</v>
      </c>
      <c r="V33" s="354">
        <f>ROUND((Details!$AE$68+Details!$AE$69)/$W$2,0)</f>
        <v>0</v>
      </c>
      <c r="W33" s="354">
        <f t="shared" si="14"/>
        <v>194</v>
      </c>
      <c r="Y33" s="354">
        <f>ROUND(Details!$AE$144/$W$2,0)</f>
        <v>138</v>
      </c>
      <c r="Z33" s="354">
        <f>ROUND(Details!$AE$145/$W$2,0)</f>
        <v>26</v>
      </c>
      <c r="AA33" s="354">
        <f>ROUND(-Details!$AE$234/$W$2,0)</f>
        <v>0</v>
      </c>
      <c r="AB33" s="354">
        <f>ROUND(-Details!$AE$236/$W$2,0)</f>
        <v>0</v>
      </c>
      <c r="AC33" s="354">
        <f>ROUND(-Details!$AE$237/$W$2,0)</f>
        <v>0</v>
      </c>
      <c r="AD33" s="354">
        <f>ROUND(-Details!$AE$238/$W$2,0)</f>
        <v>0</v>
      </c>
      <c r="AE33" s="354">
        <f>ROUND(-Details!$AE$96/$W$2,0)</f>
        <v>0</v>
      </c>
      <c r="AF33" s="354">
        <f>ROUND(-Details!$AE$107/$W$2,0)</f>
        <v>0</v>
      </c>
      <c r="AG33" s="354">
        <f>ROUND(-Details!$AE$127/$W$2,0)</f>
        <v>0</v>
      </c>
      <c r="AH33" s="354">
        <f>-ROUND(-Details!$AE$137/$W$2,0)</f>
        <v>0</v>
      </c>
      <c r="AI33" s="354">
        <f>-ROUND(Details!$AE$240/$W$2,0)</f>
        <v>0</v>
      </c>
      <c r="AJ33" s="354">
        <f t="shared" si="2"/>
        <v>164</v>
      </c>
      <c r="AL33" s="354">
        <f t="shared" si="3"/>
        <v>2575</v>
      </c>
      <c r="AN33" s="354">
        <f>-ROUND(+Details!$AE$94/$W$2,0)</f>
        <v>29</v>
      </c>
      <c r="AO33" s="354">
        <f>ROUND(+Details!$AE$133/$W$2,0)</f>
        <v>0</v>
      </c>
      <c r="AP33" s="354">
        <f>-ROUND(+Details!$AE$91/$W$2,0)</f>
        <v>0</v>
      </c>
      <c r="AQ33" s="354">
        <f>-ROUND(+Details!$AE$95/$W$2,0)</f>
        <v>0</v>
      </c>
      <c r="AR33" s="354">
        <f>-ROUND(+Details!$AE$96/$W$2,0)</f>
        <v>0</v>
      </c>
      <c r="AS33" s="354">
        <f>-ROUND(+Details!$AE$74/$W$2,0)</f>
        <v>0</v>
      </c>
      <c r="AT33" s="354">
        <f t="shared" si="6"/>
        <v>0</v>
      </c>
      <c r="AU33" s="354">
        <f>-ROUND(+Details!$AE$102/$W$2,0)</f>
        <v>32</v>
      </c>
      <c r="AV33" s="354">
        <f>-ROUND(+Details!$AE$99/$W$2,0)</f>
        <v>0</v>
      </c>
      <c r="AW33" s="354">
        <f>-ROUND(+Details!$AE$103/$W$2,0)</f>
        <v>0</v>
      </c>
      <c r="AX33" s="354">
        <f>-ROUND(+Details!$AE$75/$W$2,0)</f>
        <v>0</v>
      </c>
      <c r="AY33" s="354">
        <f t="shared" si="7"/>
        <v>0</v>
      </c>
      <c r="AZ33" s="354">
        <f>-ROUND(+Details!$AE$110/$W$2,0)</f>
        <v>4</v>
      </c>
      <c r="BA33" s="354">
        <f>-ROUND(+Details!$AE$113/$W$2,0)</f>
        <v>0</v>
      </c>
      <c r="BB33" s="354">
        <f>-ROUND(+Details!$AE$116/$W$2,0)</f>
        <v>0</v>
      </c>
      <c r="BC33" s="354">
        <f t="shared" si="8"/>
        <v>0</v>
      </c>
      <c r="BD33" s="354">
        <f>-ROUND(+Details!$AE$111/$W$2,0)</f>
        <v>8</v>
      </c>
      <c r="BE33" s="354">
        <f>-ROUND(+Details!$AE$114/$W$2,0)</f>
        <v>0</v>
      </c>
      <c r="BF33" s="354">
        <f>-ROUND(+Details!$AE$117/$W$2,0)</f>
        <v>0</v>
      </c>
      <c r="BG33" s="354">
        <f t="shared" si="9"/>
        <v>0</v>
      </c>
      <c r="BH33" s="354">
        <f>-ROUND(+Details!$AE$123/$W$2,0)</f>
        <v>1</v>
      </c>
      <c r="BI33" s="354">
        <f>-ROUND(+Details!$AE$126/$W$2,0)</f>
        <v>0</v>
      </c>
      <c r="BJ33" s="354">
        <f>-ROUND(+Details!$AE$76/$W$2,0)</f>
        <v>0</v>
      </c>
      <c r="BK33" s="354">
        <f>-ROUND(+Details!$AE$127/$W$2,0)</f>
        <v>0</v>
      </c>
      <c r="BL33" s="354">
        <f t="shared" si="10"/>
        <v>1</v>
      </c>
      <c r="BM33" s="354">
        <f>-ROUND(+Details!$AE$124/$W$2,0)</f>
        <v>0</v>
      </c>
      <c r="BN33" s="354">
        <f>-ROUND(+Details!$AE$134/$W$2,0)</f>
        <v>0</v>
      </c>
      <c r="BO33" s="354">
        <f>-ROUND(+Details!$AE$135/$W$2,0)</f>
        <v>0</v>
      </c>
      <c r="BP33" s="354">
        <f t="shared" si="11"/>
        <v>0</v>
      </c>
      <c r="BQ33" s="354">
        <f t="shared" si="4"/>
        <v>0</v>
      </c>
      <c r="BR33" s="354">
        <f t="shared" si="12"/>
        <v>74</v>
      </c>
      <c r="BS33" s="354"/>
      <c r="BT33" s="354">
        <f>ROUND(+Details!$AE$248/$W$2,0)</f>
        <v>1380</v>
      </c>
      <c r="BU33" s="354">
        <f>ROUND(+Details!$AE$251/$W$2,0)</f>
        <v>823</v>
      </c>
      <c r="BV33" s="354">
        <f>ROUND(+Details!$AE$254/$W$2,0)</f>
        <v>13</v>
      </c>
      <c r="BW33" s="354">
        <f>ROUND(+Details!$AE$257/$W$2,0)</f>
        <v>360</v>
      </c>
      <c r="BX33" s="354">
        <f>ROUND(+Details!$AE$258/$W$2,0)</f>
        <v>0</v>
      </c>
      <c r="BY33" s="354">
        <f t="shared" si="5"/>
        <v>2576</v>
      </c>
      <c r="BZ33" s="354"/>
      <c r="CA33" s="354"/>
      <c r="CB33" s="1715"/>
      <c r="CC33" s="1715"/>
      <c r="CD33" s="1716"/>
      <c r="CE33" s="1712"/>
      <c r="CF33" s="1712"/>
      <c r="CG33" s="1712"/>
      <c r="CH33" s="1712"/>
      <c r="CI33" s="1712"/>
      <c r="CJ33" s="1712"/>
      <c r="CK33" s="1712"/>
      <c r="CL33" s="1712"/>
      <c r="CM33" s="1712"/>
      <c r="CN33" s="1712"/>
      <c r="CO33" s="1712"/>
    </row>
    <row r="34" spans="2:93">
      <c r="B34" s="271">
        <f t="shared" si="13"/>
        <v>27</v>
      </c>
      <c r="C34" s="541">
        <f>+Details!AF$4</f>
        <v>88</v>
      </c>
      <c r="D34" s="541">
        <f>+Details!AF$5</f>
        <v>87</v>
      </c>
      <c r="E34" s="540">
        <f>+Details!$AF$7</f>
        <v>2045</v>
      </c>
      <c r="F34" s="354">
        <f>ROUND(+Details!$AF$8/$W$2,0)</f>
        <v>1380</v>
      </c>
      <c r="G34" s="354">
        <f>ROUND(+Details!$AF$11/$W$2,0)</f>
        <v>823</v>
      </c>
      <c r="H34" s="354">
        <f>ROUND(+Details!$AF$14/$W$2,0)</f>
        <v>13</v>
      </c>
      <c r="I34" s="354">
        <f>ROUND(+Details!$AF$17/$W$2,0)</f>
        <v>360</v>
      </c>
      <c r="J34" s="354">
        <f>ROUND(+Details!$AF$18/$W$2,0)</f>
        <v>0</v>
      </c>
      <c r="K34" s="354">
        <f t="shared" si="0"/>
        <v>2576</v>
      </c>
      <c r="M34" s="354">
        <f>ROUND(+Details!$AF$28/$W$2,0)</f>
        <v>57</v>
      </c>
      <c r="N34" s="354">
        <f>ROUND(+Details!$AF$31/$W$2,0)</f>
        <v>43</v>
      </c>
      <c r="O34" s="354">
        <f>ROUND(+Details!$AF$34/$W$2,0)</f>
        <v>0</v>
      </c>
      <c r="P34" s="354">
        <f>ROUND(+Details!$AF$37/$W$2,0)</f>
        <v>19</v>
      </c>
      <c r="Q34" s="354">
        <f>ROUND(+Details!$AF$38/$W$2,0)</f>
        <v>0</v>
      </c>
      <c r="R34" s="354">
        <f>ROUND(+Details!$AF$49/$W$2,0)</f>
        <v>51</v>
      </c>
      <c r="S34" s="354">
        <f>ROUND(+Details!$AF$60/$W$2,0)</f>
        <v>0</v>
      </c>
      <c r="T34" s="354">
        <f>ROUND(+Details!$AF$65/$W$2,0)</f>
        <v>9</v>
      </c>
      <c r="U34" s="354">
        <f>ROUND((Details!$AF$66+Details!$AF$67)/$W$2,0)</f>
        <v>17</v>
      </c>
      <c r="V34" s="354">
        <f>ROUND((Details!$AF$68+Details!$AF$69)/$W$2,0)</f>
        <v>0</v>
      </c>
      <c r="W34" s="354">
        <f t="shared" si="14"/>
        <v>196</v>
      </c>
      <c r="Y34" s="354">
        <f>ROUND(Details!$AF$144/$W$2,0)</f>
        <v>140</v>
      </c>
      <c r="Z34" s="354">
        <f>ROUND(Details!$AF$145/$W$2,0)</f>
        <v>26</v>
      </c>
      <c r="AA34" s="354">
        <f>ROUND(-Details!$AF$234/$W$2,0)</f>
        <v>0</v>
      </c>
      <c r="AB34" s="354">
        <f>ROUND(-Details!$AF$236/$W$2,0)</f>
        <v>0</v>
      </c>
      <c r="AC34" s="354">
        <f>ROUND(-Details!$AF$237/$W$2,0)</f>
        <v>0</v>
      </c>
      <c r="AD34" s="354">
        <f>ROUND(-Details!$AF$238/$W$2,0)</f>
        <v>0</v>
      </c>
      <c r="AE34" s="354">
        <f>ROUND(-Details!$AF$96/$W$2,0)</f>
        <v>0</v>
      </c>
      <c r="AF34" s="354">
        <f>ROUND(-Details!$AF$107/$W$2,0)</f>
        <v>0</v>
      </c>
      <c r="AG34" s="354">
        <f>ROUND(-Details!$AF$127/$W$2,0)</f>
        <v>0</v>
      </c>
      <c r="AH34" s="354">
        <f>-ROUND(-Details!$AF$137/$W$2,0)</f>
        <v>0</v>
      </c>
      <c r="AI34" s="354">
        <f>-ROUND(Details!$AF$240/$W$2,0)</f>
        <v>0</v>
      </c>
      <c r="AJ34" s="354">
        <f t="shared" si="2"/>
        <v>166</v>
      </c>
      <c r="AL34" s="354">
        <f t="shared" si="3"/>
        <v>2606</v>
      </c>
      <c r="AN34" s="354">
        <f>-ROUND(+Details!$AF$94/$W$2,0)</f>
        <v>30</v>
      </c>
      <c r="AO34" s="354">
        <f>ROUND(+Details!$AF$133/$W$2,0)</f>
        <v>0</v>
      </c>
      <c r="AP34" s="354">
        <f>-ROUND(+Details!$AF$91/$W$2,0)</f>
        <v>0</v>
      </c>
      <c r="AQ34" s="354">
        <f>-ROUND(+Details!$AF$95/$W$2,0)</f>
        <v>0</v>
      </c>
      <c r="AR34" s="354">
        <f>-ROUND(+Details!$AF$96/$W$2,0)</f>
        <v>0</v>
      </c>
      <c r="AS34" s="354">
        <f>-ROUND(+Details!$AF$74/$W$2,0)</f>
        <v>0</v>
      </c>
      <c r="AT34" s="354">
        <f t="shared" si="6"/>
        <v>0</v>
      </c>
      <c r="AU34" s="354">
        <f>-ROUND(+Details!$AF$102/$W$2,0)</f>
        <v>33</v>
      </c>
      <c r="AV34" s="354">
        <f>-ROUND(+Details!$AF$99/$W$2,0)</f>
        <v>0</v>
      </c>
      <c r="AW34" s="354">
        <f>-ROUND(+Details!$AF$103/$W$2,0)</f>
        <v>0</v>
      </c>
      <c r="AX34" s="354">
        <f>-ROUND(+Details!$AF$75/$W$2,0)</f>
        <v>0</v>
      </c>
      <c r="AY34" s="354">
        <f t="shared" si="7"/>
        <v>0</v>
      </c>
      <c r="AZ34" s="354">
        <f>-ROUND(+Details!$AF$110/$W$2,0)</f>
        <v>5</v>
      </c>
      <c r="BA34" s="354">
        <f>-ROUND(+Details!$AF$113/$W$2,0)</f>
        <v>0</v>
      </c>
      <c r="BB34" s="354">
        <f>-ROUND(+Details!$AF$116/$W$2,0)</f>
        <v>0</v>
      </c>
      <c r="BC34" s="354">
        <f t="shared" si="8"/>
        <v>0</v>
      </c>
      <c r="BD34" s="354">
        <f>-ROUND(+Details!$AF$111/$W$2,0)</f>
        <v>7</v>
      </c>
      <c r="BE34" s="354">
        <f>-ROUND(+Details!$AF$114/$W$2,0)</f>
        <v>0</v>
      </c>
      <c r="BF34" s="354">
        <f>-ROUND(+Details!$AF$117/$W$2,0)</f>
        <v>0</v>
      </c>
      <c r="BG34" s="354">
        <f t="shared" si="9"/>
        <v>0</v>
      </c>
      <c r="BH34" s="354">
        <f>-ROUND(+Details!$AF$123/$W$2,0)</f>
        <v>1</v>
      </c>
      <c r="BI34" s="354">
        <f>-ROUND(+Details!$AF$126/$W$2,0)</f>
        <v>0</v>
      </c>
      <c r="BJ34" s="354">
        <f>-ROUND(+Details!$AF$76/$W$2,0)</f>
        <v>0</v>
      </c>
      <c r="BK34" s="354">
        <f>-ROUND(+Details!$AF$127/$W$2,0)</f>
        <v>0</v>
      </c>
      <c r="BL34" s="354">
        <f t="shared" si="10"/>
        <v>1</v>
      </c>
      <c r="BM34" s="354">
        <f>-ROUND(+Details!$AF$124/$W$2,0)</f>
        <v>0</v>
      </c>
      <c r="BN34" s="354">
        <f>-ROUND(+Details!$AF$134/$W$2,0)</f>
        <v>0</v>
      </c>
      <c r="BO34" s="354">
        <f>-ROUND(+Details!$AF$135/$W$2,0)</f>
        <v>0</v>
      </c>
      <c r="BP34" s="354">
        <f t="shared" si="11"/>
        <v>0</v>
      </c>
      <c r="BQ34" s="354">
        <f t="shared" si="4"/>
        <v>0</v>
      </c>
      <c r="BR34" s="354">
        <f t="shared" si="12"/>
        <v>76</v>
      </c>
      <c r="BS34" s="354"/>
      <c r="BT34" s="354">
        <f>ROUND(+Details!$AF$248/$W$2,0)</f>
        <v>1423</v>
      </c>
      <c r="BU34" s="354">
        <f>ROUND(+Details!$AF$251/$W$2,0)</f>
        <v>803</v>
      </c>
      <c r="BV34" s="354">
        <f>ROUND(+Details!$AF$254/$W$2,0)</f>
        <v>2</v>
      </c>
      <c r="BW34" s="354">
        <f>ROUND(+Details!$AF$257/$W$2,0)</f>
        <v>378</v>
      </c>
      <c r="BX34" s="354">
        <f>ROUND(+Details!$AF$258/$W$2,0)</f>
        <v>0</v>
      </c>
      <c r="BY34" s="354">
        <f t="shared" si="5"/>
        <v>2606</v>
      </c>
      <c r="BZ34" s="354"/>
      <c r="CA34" s="354"/>
      <c r="CB34" s="1715"/>
      <c r="CC34" s="1715"/>
      <c r="CD34" s="1716"/>
      <c r="CE34" s="1712"/>
      <c r="CF34" s="1712"/>
      <c r="CG34" s="1712"/>
      <c r="CH34" s="1712"/>
      <c r="CI34" s="1712"/>
      <c r="CJ34" s="1712"/>
      <c r="CK34" s="1712"/>
      <c r="CL34" s="1712"/>
      <c r="CM34" s="1712"/>
      <c r="CN34" s="1712"/>
      <c r="CO34" s="1712"/>
    </row>
    <row r="35" spans="2:93">
      <c r="B35" s="271">
        <f t="shared" si="13"/>
        <v>28</v>
      </c>
      <c r="C35" s="541">
        <f>+Details!AG$4</f>
        <v>89</v>
      </c>
      <c r="D35" s="541">
        <f>+Details!AG$5</f>
        <v>88</v>
      </c>
      <c r="E35" s="540">
        <f>+Details!$AG$7</f>
        <v>2046</v>
      </c>
      <c r="F35" s="354">
        <f>ROUND(+Details!$AG$8/$W$2,0)</f>
        <v>1423</v>
      </c>
      <c r="G35" s="354">
        <f>ROUND(+Details!$AG$11/$W$2,0)</f>
        <v>803</v>
      </c>
      <c r="H35" s="354">
        <f>ROUND(+Details!$AG$14/$W$2,0)</f>
        <v>2</v>
      </c>
      <c r="I35" s="354">
        <f>ROUND(+Details!$AG$17/$W$2,0)</f>
        <v>378</v>
      </c>
      <c r="J35" s="354">
        <f>ROUND(+Details!$AG$18/$W$2,0)</f>
        <v>0</v>
      </c>
      <c r="K35" s="354">
        <f t="shared" si="0"/>
        <v>2606</v>
      </c>
      <c r="M35" s="354">
        <f>ROUND(+Details!$AG$28/$W$2,0)</f>
        <v>58</v>
      </c>
      <c r="N35" s="354">
        <f>ROUND(+Details!$AG$31/$W$2,0)</f>
        <v>42</v>
      </c>
      <c r="O35" s="354">
        <f>ROUND(+Details!$AG$34/$W$2,0)</f>
        <v>0</v>
      </c>
      <c r="P35" s="354">
        <f>ROUND(+Details!$AG$37/$W$2,0)</f>
        <v>20</v>
      </c>
      <c r="Q35" s="354">
        <f>ROUND(+Details!$AG$38/$W$2,0)</f>
        <v>0</v>
      </c>
      <c r="R35" s="354">
        <f>ROUND(+Details!$AG$49/$W$2,0)</f>
        <v>52</v>
      </c>
      <c r="S35" s="354">
        <f>ROUND(+Details!$AG$60/$W$2,0)</f>
        <v>0</v>
      </c>
      <c r="T35" s="354">
        <f>ROUND(+Details!$AG$65/$W$2,0)</f>
        <v>9</v>
      </c>
      <c r="U35" s="354">
        <f>ROUND((Details!$AG$66+Details!$AG$67)/$W$2,0)</f>
        <v>18</v>
      </c>
      <c r="V35" s="354">
        <f>ROUND((Details!$AG$68+Details!$AG$69)/$W$2,0)</f>
        <v>0</v>
      </c>
      <c r="W35" s="354">
        <f t="shared" si="14"/>
        <v>199</v>
      </c>
      <c r="Y35" s="354">
        <f>ROUND(Details!$AG$144/$W$2,0)</f>
        <v>143</v>
      </c>
      <c r="Z35" s="354">
        <f>ROUND(Details!$AG$145/$W$2,0)</f>
        <v>24</v>
      </c>
      <c r="AA35" s="354">
        <f>ROUND(-Details!$AG$234/$W$2,0)</f>
        <v>0</v>
      </c>
      <c r="AB35" s="354">
        <f>ROUND(-Details!$AG$236/$W$2,0)</f>
        <v>0</v>
      </c>
      <c r="AC35" s="354">
        <f>ROUND(-Details!$AG$237/$W$2,0)</f>
        <v>0</v>
      </c>
      <c r="AD35" s="354">
        <f>ROUND(-Details!$AG$238/$W$2,0)</f>
        <v>0</v>
      </c>
      <c r="AE35" s="354">
        <f>ROUND(-Details!$AG$96/$W$2,0)</f>
        <v>0</v>
      </c>
      <c r="AF35" s="354">
        <f>ROUND(-Details!$AG$107/$W$2,0)</f>
        <v>0</v>
      </c>
      <c r="AG35" s="354">
        <f>ROUND(-Details!$AG$127/$W$2,0)</f>
        <v>0</v>
      </c>
      <c r="AH35" s="354">
        <f>-ROUND(-Details!$AG$137/$W$2,0)</f>
        <v>0</v>
      </c>
      <c r="AI35" s="354">
        <f>-ROUND(Details!$AG$240/$W$2,0)</f>
        <v>0</v>
      </c>
      <c r="AJ35" s="354">
        <f t="shared" si="2"/>
        <v>167</v>
      </c>
      <c r="AL35" s="354">
        <f t="shared" si="3"/>
        <v>2638</v>
      </c>
      <c r="AN35" s="354">
        <f>-ROUND(+Details!$AG$94/$W$2,0)</f>
        <v>31</v>
      </c>
      <c r="AO35" s="354">
        <f>ROUND(+Details!$AG$133/$W$2,0)</f>
        <v>0</v>
      </c>
      <c r="AP35" s="354">
        <f>-ROUND(+Details!$AG$91/$W$2,0)</f>
        <v>0</v>
      </c>
      <c r="AQ35" s="354">
        <f>-ROUND(+Details!$AG$95/$W$2,0)</f>
        <v>0</v>
      </c>
      <c r="AR35" s="354">
        <f>-ROUND(+Details!$AG$96/$W$2,0)</f>
        <v>0</v>
      </c>
      <c r="AS35" s="354">
        <f>-ROUND(+Details!$AG$74/$W$2,0)</f>
        <v>0</v>
      </c>
      <c r="AT35" s="354">
        <f t="shared" si="6"/>
        <v>0</v>
      </c>
      <c r="AU35" s="354">
        <f>-ROUND(+Details!$AG$102/$W$2,0)</f>
        <v>34</v>
      </c>
      <c r="AV35" s="354">
        <f>-ROUND(+Details!$AG$99/$W$2,0)</f>
        <v>0</v>
      </c>
      <c r="AW35" s="354">
        <f>-ROUND(+Details!$AG$103/$W$2,0)</f>
        <v>0</v>
      </c>
      <c r="AX35" s="354">
        <f>-ROUND(+Details!$AG$75/$W$2,0)</f>
        <v>0</v>
      </c>
      <c r="AY35" s="354">
        <f t="shared" si="7"/>
        <v>0</v>
      </c>
      <c r="AZ35" s="354">
        <f>-ROUND(+Details!$AG$110/$W$2,0)</f>
        <v>2</v>
      </c>
      <c r="BA35" s="354">
        <f>-ROUND(+Details!$AG$113/$W$2,0)</f>
        <v>0</v>
      </c>
      <c r="BB35" s="354">
        <f>-ROUND(+Details!$AG$116/$W$2,0)</f>
        <v>0</v>
      </c>
      <c r="BC35" s="354">
        <f t="shared" si="8"/>
        <v>0</v>
      </c>
      <c r="BD35" s="354">
        <f>-ROUND(+Details!$AG$111/$W$2,0)</f>
        <v>0</v>
      </c>
      <c r="BE35" s="354">
        <f>-ROUND(+Details!$AG$114/$W$2,0)</f>
        <v>0</v>
      </c>
      <c r="BF35" s="354">
        <f>-ROUND(+Details!$AG$117/$W$2,0)</f>
        <v>0</v>
      </c>
      <c r="BG35" s="354">
        <f t="shared" si="9"/>
        <v>0</v>
      </c>
      <c r="BH35" s="354">
        <f>-ROUND(+Details!$AG$123/$W$2,0)</f>
        <v>1</v>
      </c>
      <c r="BI35" s="354">
        <f>-ROUND(+Details!$AG$126/$W$2,0)</f>
        <v>0</v>
      </c>
      <c r="BJ35" s="354">
        <f>-ROUND(+Details!$AG$76/$W$2,0)</f>
        <v>0</v>
      </c>
      <c r="BK35" s="354">
        <f>-ROUND(+Details!$AG$127/$W$2,0)</f>
        <v>0</v>
      </c>
      <c r="BL35" s="354">
        <f t="shared" si="10"/>
        <v>1</v>
      </c>
      <c r="BM35" s="354">
        <f>-ROUND(+Details!$AG$124/$W$2,0)</f>
        <v>0</v>
      </c>
      <c r="BN35" s="354">
        <f>-ROUND(+Details!$AG$134/$W$2,0)</f>
        <v>0</v>
      </c>
      <c r="BO35" s="354">
        <f>-ROUND(+Details!$AG$135/$W$2,0)</f>
        <v>0</v>
      </c>
      <c r="BP35" s="354">
        <f t="shared" si="11"/>
        <v>0</v>
      </c>
      <c r="BQ35" s="354">
        <f t="shared" si="4"/>
        <v>0</v>
      </c>
      <c r="BR35" s="354">
        <f t="shared" si="12"/>
        <v>68</v>
      </c>
      <c r="BS35" s="354"/>
      <c r="BT35" s="354">
        <f>ROUND(+Details!$AG$248/$W$2,0)</f>
        <v>1462</v>
      </c>
      <c r="BU35" s="354">
        <f>ROUND(+Details!$AG$251/$W$2,0)</f>
        <v>780</v>
      </c>
      <c r="BV35" s="354">
        <f>ROUND(+Details!$AG$254/$W$2,0)</f>
        <v>0</v>
      </c>
      <c r="BW35" s="354">
        <f>ROUND(+Details!$AG$257/$W$2,0)</f>
        <v>397</v>
      </c>
      <c r="BX35" s="354">
        <f>ROUND(+Details!$AG$258/$W$2,0)</f>
        <v>0</v>
      </c>
      <c r="BY35" s="354">
        <f t="shared" si="5"/>
        <v>2639</v>
      </c>
      <c r="BZ35" s="354"/>
      <c r="CA35" s="354"/>
      <c r="CB35" s="1715"/>
      <c r="CC35" s="1715"/>
      <c r="CD35" s="1716"/>
      <c r="CE35" s="1712"/>
      <c r="CF35" s="1712"/>
      <c r="CG35" s="1712"/>
      <c r="CH35" s="1712"/>
      <c r="CI35" s="1712"/>
      <c r="CJ35" s="1712"/>
      <c r="CK35" s="1712"/>
      <c r="CL35" s="1712"/>
      <c r="CM35" s="1712"/>
      <c r="CN35" s="1712"/>
      <c r="CO35" s="1712"/>
    </row>
    <row r="36" spans="2:93">
      <c r="B36" s="271">
        <f t="shared" si="13"/>
        <v>29</v>
      </c>
      <c r="C36" s="541">
        <f>+Details!AH$4</f>
        <v>90</v>
      </c>
      <c r="D36" s="541">
        <f>+Details!AH$5</f>
        <v>89</v>
      </c>
      <c r="E36" s="540">
        <f>+Details!$AH$7</f>
        <v>2047</v>
      </c>
      <c r="F36" s="354">
        <f>ROUND(+Details!$AH$8/$W$2,0)</f>
        <v>1462</v>
      </c>
      <c r="G36" s="354">
        <f>ROUND(+Details!$AH$11/$W$2,0)</f>
        <v>780</v>
      </c>
      <c r="H36" s="354">
        <f>ROUND(+Details!$AH$14/$W$2,0)</f>
        <v>0</v>
      </c>
      <c r="I36" s="354">
        <f>ROUND(+Details!$AH$17/$W$2,0)</f>
        <v>397</v>
      </c>
      <c r="J36" s="354">
        <f>ROUND(+Details!$AH$18/$W$2,0)</f>
        <v>0</v>
      </c>
      <c r="K36" s="354">
        <f t="shared" si="0"/>
        <v>2639</v>
      </c>
      <c r="M36" s="354">
        <f>ROUND(+Details!$AH$28/$W$2,0)</f>
        <v>60</v>
      </c>
      <c r="N36" s="354">
        <f>ROUND(+Details!$AH$31/$W$2,0)</f>
        <v>41</v>
      </c>
      <c r="O36" s="354">
        <f>ROUND(+Details!$AH$34/$W$2,0)</f>
        <v>0</v>
      </c>
      <c r="P36" s="354">
        <f>ROUND(+Details!$AH$37/$W$2,0)</f>
        <v>21</v>
      </c>
      <c r="Q36" s="354">
        <f>ROUND(+Details!$AH$38/$W$2,0)</f>
        <v>0</v>
      </c>
      <c r="R36" s="354">
        <f>ROUND(+Details!$AH$49/$W$2,0)</f>
        <v>53</v>
      </c>
      <c r="S36" s="354">
        <f>ROUND(+Details!$AH$60/$W$2,0)</f>
        <v>0</v>
      </c>
      <c r="T36" s="354">
        <f>ROUND(+Details!$AH$65/$W$2,0)</f>
        <v>9</v>
      </c>
      <c r="U36" s="354">
        <f>ROUND((Details!$AH$66+Details!$AH$67)/$W$2,0)</f>
        <v>18</v>
      </c>
      <c r="V36" s="354">
        <f>ROUND((Details!$AH$68+Details!$AH$69)/$W$2,0)</f>
        <v>0</v>
      </c>
      <c r="W36" s="354">
        <f t="shared" si="14"/>
        <v>202</v>
      </c>
      <c r="Y36" s="354">
        <f>ROUND(Details!$AH$144/$W$2,0)</f>
        <v>146</v>
      </c>
      <c r="Z36" s="354">
        <f>ROUND(Details!$AH$145/$W$2,0)</f>
        <v>24</v>
      </c>
      <c r="AA36" s="354">
        <f>ROUND(-Details!$AH$234/$W$2,0)</f>
        <v>0</v>
      </c>
      <c r="AB36" s="354">
        <f>ROUND(-Details!$AH$236/$W$2,0)</f>
        <v>0</v>
      </c>
      <c r="AC36" s="354">
        <f>ROUND(-Details!$AH$237/$W$2,0)</f>
        <v>0</v>
      </c>
      <c r="AD36" s="354">
        <f>ROUND(-Details!$AH$238/$W$2,0)</f>
        <v>0</v>
      </c>
      <c r="AE36" s="354">
        <f>ROUND(-Details!$AH$96/$W$2,0)</f>
        <v>0</v>
      </c>
      <c r="AF36" s="354">
        <f>ROUND(-Details!$AH$107/$W$2,0)</f>
        <v>0</v>
      </c>
      <c r="AG36" s="354">
        <f>ROUND(-Details!$AH$127/$W$2,0)</f>
        <v>0</v>
      </c>
      <c r="AH36" s="354">
        <f>-ROUND(-Details!$AH$137/$W$2,0)</f>
        <v>0</v>
      </c>
      <c r="AI36" s="354">
        <f>-ROUND(Details!$AH$240/$W$2,0)</f>
        <v>0</v>
      </c>
      <c r="AJ36" s="354">
        <f t="shared" si="2"/>
        <v>170</v>
      </c>
      <c r="AL36" s="354">
        <f t="shared" si="3"/>
        <v>2671</v>
      </c>
      <c r="AN36" s="354">
        <f>-ROUND(+Details!$AH$94/$W$2,0)</f>
        <v>32</v>
      </c>
      <c r="AO36" s="354">
        <f>ROUND(+Details!$AH$133/$W$2,0)</f>
        <v>0</v>
      </c>
      <c r="AP36" s="354">
        <f>-ROUND(+Details!$AH$91/$W$2,0)</f>
        <v>0</v>
      </c>
      <c r="AQ36" s="354">
        <f>-ROUND(+Details!$AH$95/$W$2,0)</f>
        <v>0</v>
      </c>
      <c r="AR36" s="354">
        <f>-ROUND(+Details!$AH$96/$W$2,0)</f>
        <v>0</v>
      </c>
      <c r="AS36" s="354">
        <f>-ROUND(+Details!$AH$74/$W$2,0)</f>
        <v>0</v>
      </c>
      <c r="AT36" s="354">
        <f t="shared" si="6"/>
        <v>0</v>
      </c>
      <c r="AU36" s="354">
        <f>-ROUND(+Details!$AH$102/$W$2,0)</f>
        <v>35</v>
      </c>
      <c r="AV36" s="354">
        <f>-ROUND(+Details!$AH$99/$W$2,0)</f>
        <v>0</v>
      </c>
      <c r="AW36" s="354">
        <f>-ROUND(+Details!$AH$103/$W$2,0)</f>
        <v>0</v>
      </c>
      <c r="AX36" s="354">
        <f>-ROUND(+Details!$AH$75/$W$2,0)</f>
        <v>0</v>
      </c>
      <c r="AY36" s="354">
        <f t="shared" si="7"/>
        <v>0</v>
      </c>
      <c r="AZ36" s="354">
        <f>-ROUND(+Details!$AH$110/$W$2,0)</f>
        <v>0</v>
      </c>
      <c r="BA36" s="354">
        <f>-ROUND(+Details!$AH$113/$W$2,0)</f>
        <v>0</v>
      </c>
      <c r="BB36" s="354">
        <f>-ROUND(+Details!$AH$116/$W$2,0)</f>
        <v>0</v>
      </c>
      <c r="BC36" s="354">
        <f t="shared" si="8"/>
        <v>0</v>
      </c>
      <c r="BD36" s="354">
        <f>-ROUND(+Details!$AH$111/$W$2,0)</f>
        <v>0</v>
      </c>
      <c r="BE36" s="354">
        <f>-ROUND(+Details!$AH$114/$W$2,0)</f>
        <v>0</v>
      </c>
      <c r="BF36" s="354">
        <f>-ROUND(+Details!$AH$117/$W$2,0)</f>
        <v>0</v>
      </c>
      <c r="BG36" s="354">
        <f t="shared" si="9"/>
        <v>0</v>
      </c>
      <c r="BH36" s="354">
        <f>-ROUND(+Details!$AH$123/$W$2,0)</f>
        <v>1</v>
      </c>
      <c r="BI36" s="354">
        <f>-ROUND(+Details!$AH$126/$W$2,0)</f>
        <v>0</v>
      </c>
      <c r="BJ36" s="354">
        <f>-ROUND(+Details!$AH$76/$W$2,0)</f>
        <v>0</v>
      </c>
      <c r="BK36" s="354">
        <f>-ROUND(+Details!$AH$127/$W$2,0)</f>
        <v>0</v>
      </c>
      <c r="BL36" s="354">
        <f t="shared" si="10"/>
        <v>1</v>
      </c>
      <c r="BM36" s="354">
        <f>-ROUND(+Details!$AH$124/$W$2,0)</f>
        <v>0</v>
      </c>
      <c r="BN36" s="354">
        <f>-ROUND(+Details!$AH$134/$W$2,0)</f>
        <v>0</v>
      </c>
      <c r="BO36" s="354">
        <f>-ROUND(+Details!$AH$135/$W$2,0)</f>
        <v>0</v>
      </c>
      <c r="BP36" s="354">
        <f t="shared" si="11"/>
        <v>0</v>
      </c>
      <c r="BQ36" s="354">
        <f t="shared" si="4"/>
        <v>0</v>
      </c>
      <c r="BR36" s="354">
        <f t="shared" si="12"/>
        <v>68</v>
      </c>
      <c r="BS36" s="354"/>
      <c r="BT36" s="354">
        <f>ROUND(+Details!$AH$248/$W$2,0)</f>
        <v>1500</v>
      </c>
      <c r="BU36" s="354">
        <f>ROUND(+Details!$AH$251/$W$2,0)</f>
        <v>755</v>
      </c>
      <c r="BV36" s="354">
        <f>ROUND(+Details!$AH$254/$W$2,0)</f>
        <v>0</v>
      </c>
      <c r="BW36" s="354">
        <f>ROUND(+Details!$AH$257/$W$2,0)</f>
        <v>417</v>
      </c>
      <c r="BX36" s="354">
        <f>ROUND(+Details!$AH$258/$W$2,0)</f>
        <v>0</v>
      </c>
      <c r="BY36" s="354">
        <f t="shared" si="5"/>
        <v>2672</v>
      </c>
      <c r="BZ36" s="354"/>
      <c r="CA36" s="354"/>
      <c r="CB36" s="1715"/>
      <c r="CC36" s="1715"/>
      <c r="CD36" s="1716"/>
      <c r="CE36" s="1712"/>
      <c r="CF36" s="1712"/>
      <c r="CG36" s="1712"/>
      <c r="CH36" s="1712"/>
      <c r="CI36" s="1712"/>
      <c r="CJ36" s="1712"/>
      <c r="CK36" s="1712"/>
      <c r="CL36" s="1712"/>
      <c r="CM36" s="1712"/>
      <c r="CN36" s="1712"/>
      <c r="CO36" s="1712"/>
    </row>
    <row r="37" spans="2:93">
      <c r="B37" s="271">
        <f t="shared" si="13"/>
        <v>30</v>
      </c>
      <c r="C37" s="541">
        <f>+Details!AI$4</f>
        <v>91</v>
      </c>
      <c r="D37" s="541">
        <f>+Details!AI$5</f>
        <v>90</v>
      </c>
      <c r="E37" s="540">
        <f>+Details!$AI$7</f>
        <v>2048</v>
      </c>
      <c r="F37" s="354">
        <f>ROUND(+Details!$AI$8/$W$2,0)</f>
        <v>1500</v>
      </c>
      <c r="G37" s="354">
        <f>ROUND(+Details!$AI$11/$W$2,0)</f>
        <v>755</v>
      </c>
      <c r="H37" s="354">
        <f>ROUND(+Details!$AI$14/$W$2,0)</f>
        <v>0</v>
      </c>
      <c r="I37" s="354">
        <f>ROUND(+Details!$AI$17/$W$2,0)</f>
        <v>417</v>
      </c>
      <c r="J37" s="354">
        <f>ROUND(+Details!$AI$18/$W$2,0)</f>
        <v>0</v>
      </c>
      <c r="K37" s="354">
        <f t="shared" si="0"/>
        <v>2672</v>
      </c>
      <c r="M37" s="354">
        <f>ROUND(+Details!$AI$28/$W$2,0)</f>
        <v>62</v>
      </c>
      <c r="N37" s="354">
        <f>ROUND(+Details!$AI$31/$W$2,0)</f>
        <v>39</v>
      </c>
      <c r="O37" s="354">
        <f>ROUND(+Details!$AI$34/$W$2,0)</f>
        <v>0</v>
      </c>
      <c r="P37" s="354">
        <f>ROUND(+Details!$AI$37/$W$2,0)</f>
        <v>22</v>
      </c>
      <c r="Q37" s="354">
        <f>ROUND(+Details!$AI$38/$W$2,0)</f>
        <v>0</v>
      </c>
      <c r="R37" s="354">
        <f>ROUND(+Details!$AI$49/$W$2,0)</f>
        <v>54</v>
      </c>
      <c r="S37" s="354">
        <f>ROUND(+Details!$AI$60/$W$2,0)</f>
        <v>0</v>
      </c>
      <c r="T37" s="354">
        <f>ROUND(+Details!$AI$65/$W$2,0)</f>
        <v>9</v>
      </c>
      <c r="U37" s="354">
        <f>ROUND((Details!$AI$66+Details!$AI$67)/$W$2,0)</f>
        <v>19</v>
      </c>
      <c r="V37" s="354">
        <f>ROUND((Details!$AI$68+Details!$AI$69)/$W$2,0)</f>
        <v>0</v>
      </c>
      <c r="W37" s="354">
        <f t="shared" si="14"/>
        <v>205</v>
      </c>
      <c r="Y37" s="354">
        <f>ROUND(Details!$AI$144/$W$2,0)</f>
        <v>149</v>
      </c>
      <c r="Z37" s="354">
        <f>ROUND(Details!$AI$145/$W$2,0)</f>
        <v>24</v>
      </c>
      <c r="AA37" s="354">
        <f>ROUND(-Details!$AI$234/$W$2,0)</f>
        <v>0</v>
      </c>
      <c r="AB37" s="354">
        <f>ROUND(-Details!$AI$236/$W$2,0)</f>
        <v>0</v>
      </c>
      <c r="AC37" s="354">
        <f>ROUND(-Details!$AI$237/$W$2,0)</f>
        <v>0</v>
      </c>
      <c r="AD37" s="354">
        <f>ROUND(-Details!$AI$238/$W$2,0)</f>
        <v>0</v>
      </c>
      <c r="AE37" s="354">
        <f>ROUND(-Details!$AI$96/$W$2,0)</f>
        <v>0</v>
      </c>
      <c r="AF37" s="354">
        <f>ROUND(-Details!$AI$107/$W$2,0)</f>
        <v>0</v>
      </c>
      <c r="AG37" s="354">
        <f>ROUND(-Details!$AI$127/$W$2,0)</f>
        <v>0</v>
      </c>
      <c r="AH37" s="354">
        <f>-ROUND(-Details!$AI$137/$W$2,0)</f>
        <v>0</v>
      </c>
      <c r="AI37" s="354">
        <f>-ROUND(Details!$AI$240/$W$2,0)</f>
        <v>0</v>
      </c>
      <c r="AJ37" s="354">
        <f t="shared" si="2"/>
        <v>173</v>
      </c>
      <c r="AL37" s="354">
        <f t="shared" si="3"/>
        <v>2704</v>
      </c>
      <c r="AN37" s="354">
        <f>-ROUND(+Details!$AI$94/$W$2,0)</f>
        <v>33</v>
      </c>
      <c r="AO37" s="354">
        <f>ROUND(+Details!$AI$133/$W$2,0)</f>
        <v>0</v>
      </c>
      <c r="AP37" s="354">
        <f>-ROUND(+Details!$AI$91/$W$2,0)</f>
        <v>0</v>
      </c>
      <c r="AQ37" s="354">
        <f>-ROUND(+Details!$AI$95/$W$2,0)</f>
        <v>0</v>
      </c>
      <c r="AR37" s="354">
        <f>-ROUND(+Details!$AI$96/$W$2,0)</f>
        <v>0</v>
      </c>
      <c r="AS37" s="354">
        <f>-ROUND(+Details!$AI$74/$W$2,0)</f>
        <v>0</v>
      </c>
      <c r="AT37" s="354">
        <f t="shared" si="6"/>
        <v>0</v>
      </c>
      <c r="AU37" s="354">
        <f>-ROUND(+Details!$AI$102/$W$2,0)</f>
        <v>35</v>
      </c>
      <c r="AV37" s="354">
        <f>-ROUND(+Details!$AI$99/$W$2,0)</f>
        <v>0</v>
      </c>
      <c r="AW37" s="354">
        <f>-ROUND(+Details!$AI$103/$W$2,0)</f>
        <v>0</v>
      </c>
      <c r="AX37" s="354">
        <f>-ROUND(+Details!$AI$75/$W$2,0)</f>
        <v>0</v>
      </c>
      <c r="AY37" s="354">
        <f t="shared" si="7"/>
        <v>0</v>
      </c>
      <c r="AZ37" s="354">
        <f>-ROUND(+Details!$AI$110/$W$2,0)</f>
        <v>0</v>
      </c>
      <c r="BA37" s="354">
        <f>-ROUND(+Details!$AI$113/$W$2,0)</f>
        <v>0</v>
      </c>
      <c r="BB37" s="354">
        <f>-ROUND(+Details!$AI$116/$W$2,0)</f>
        <v>0</v>
      </c>
      <c r="BC37" s="354">
        <f t="shared" si="8"/>
        <v>0</v>
      </c>
      <c r="BD37" s="354">
        <f>-ROUND(+Details!$AI$111/$W$2,0)</f>
        <v>0</v>
      </c>
      <c r="BE37" s="354">
        <f>-ROUND(+Details!$AI$114/$W$2,0)</f>
        <v>0</v>
      </c>
      <c r="BF37" s="354">
        <f>-ROUND(+Details!$AI$117/$W$2,0)</f>
        <v>0</v>
      </c>
      <c r="BG37" s="354">
        <f t="shared" si="9"/>
        <v>0</v>
      </c>
      <c r="BH37" s="354">
        <f>-ROUND(+Details!$AI$123/$W$2,0)</f>
        <v>1</v>
      </c>
      <c r="BI37" s="354">
        <f>-ROUND(+Details!$AI$126/$W$2,0)</f>
        <v>0</v>
      </c>
      <c r="BJ37" s="354">
        <f>-ROUND(+Details!$AI$76/$W$2,0)</f>
        <v>0</v>
      </c>
      <c r="BK37" s="354">
        <f>-ROUND(+Details!$AI$127/$W$2,0)</f>
        <v>0</v>
      </c>
      <c r="BL37" s="354">
        <f t="shared" si="10"/>
        <v>1</v>
      </c>
      <c r="BM37" s="354">
        <f>-ROUND(+Details!$AI$124/$W$2,0)</f>
        <v>0</v>
      </c>
      <c r="BN37" s="354">
        <f>-ROUND(+Details!$AI$134/$W$2,0)</f>
        <v>0</v>
      </c>
      <c r="BO37" s="354">
        <f>-ROUND(+Details!$AI$135/$W$2,0)</f>
        <v>0</v>
      </c>
      <c r="BP37" s="354">
        <f t="shared" si="11"/>
        <v>0</v>
      </c>
      <c r="BQ37" s="354">
        <f t="shared" si="4"/>
        <v>0</v>
      </c>
      <c r="BR37" s="354">
        <f t="shared" si="12"/>
        <v>69</v>
      </c>
      <c r="BS37" s="354"/>
      <c r="BT37" s="354">
        <f>ROUND(+Details!$AI$248/$W$2,0)</f>
        <v>1539</v>
      </c>
      <c r="BU37" s="354">
        <f>ROUND(+Details!$AI$251/$W$2,0)</f>
        <v>726</v>
      </c>
      <c r="BV37" s="354">
        <f>ROUND(+Details!$AI$254/$W$2,0)</f>
        <v>0</v>
      </c>
      <c r="BW37" s="354">
        <f>ROUND(+Details!$AI$257/$W$2,0)</f>
        <v>438</v>
      </c>
      <c r="BX37" s="354">
        <f>ROUND(+Details!$AI$258/$W$2,0)</f>
        <v>0</v>
      </c>
      <c r="BY37" s="354">
        <f t="shared" si="5"/>
        <v>2703</v>
      </c>
      <c r="BZ37" s="354"/>
      <c r="CA37" s="354"/>
      <c r="CB37" s="1715"/>
      <c r="CC37" s="1715"/>
      <c r="CD37" s="1716"/>
      <c r="CE37" s="1712"/>
      <c r="CF37" s="1712"/>
      <c r="CG37" s="1712"/>
      <c r="CH37" s="1712"/>
      <c r="CI37" s="1712"/>
      <c r="CJ37" s="1712"/>
      <c r="CK37" s="1712"/>
      <c r="CL37" s="1712"/>
      <c r="CM37" s="1712"/>
      <c r="CN37" s="1712"/>
      <c r="CO37" s="1712"/>
    </row>
    <row r="38" spans="2:93">
      <c r="B38" s="271">
        <f t="shared" si="13"/>
        <v>31</v>
      </c>
      <c r="C38" s="541">
        <f>+Details!AJ$4</f>
        <v>92</v>
      </c>
      <c r="D38" s="541">
        <f>+Details!AJ$5</f>
        <v>91</v>
      </c>
      <c r="E38" s="540">
        <f>+Details!$AJ$7</f>
        <v>2049</v>
      </c>
      <c r="F38" s="354">
        <f>ROUND(+Details!$AJ$8/$W$2,0)</f>
        <v>0</v>
      </c>
      <c r="G38" s="354">
        <f>ROUND(+Details!$AJ$11/$W$2,0)</f>
        <v>0</v>
      </c>
      <c r="H38" s="354">
        <f>ROUND(+Details!$AJ$14/$W$2,0)</f>
        <v>0</v>
      </c>
      <c r="I38" s="354">
        <f>ROUND(+Details!$AJ$17/$W$2,0)</f>
        <v>0</v>
      </c>
      <c r="J38" s="354">
        <f>ROUND(+Details!$AJ$18/$W$2,0)</f>
        <v>0</v>
      </c>
      <c r="K38" s="354">
        <f t="shared" si="0"/>
        <v>0</v>
      </c>
      <c r="M38" s="354">
        <f>ROUND(+Details!$AJ$28/$W$2,0)</f>
        <v>0</v>
      </c>
      <c r="N38" s="354">
        <f>ROUND(+Details!$AJ$31/$W$2,0)</f>
        <v>0</v>
      </c>
      <c r="O38" s="354">
        <f>ROUND(+Details!$AJ$34/$W$2,0)</f>
        <v>0</v>
      </c>
      <c r="P38" s="354">
        <f>ROUND(+Details!$AJ$37/$W$2,0)</f>
        <v>0</v>
      </c>
      <c r="Q38" s="354">
        <f>ROUND(+Details!$AJ$38/$W$2,0)</f>
        <v>0</v>
      </c>
      <c r="R38" s="354">
        <f>ROUND(+Details!$AJ$49/$W$2,0)</f>
        <v>0</v>
      </c>
      <c r="S38" s="354">
        <f>ROUND(+Details!$AJ$60/$W$2,0)</f>
        <v>0</v>
      </c>
      <c r="T38" s="354">
        <f>ROUND(+Details!$AJ$65/$W$2,0)</f>
        <v>0</v>
      </c>
      <c r="U38" s="354">
        <f>ROUND((Details!$AJ$66+Details!$AJ$67)/$W$2,0)</f>
        <v>0</v>
      </c>
      <c r="V38" s="354">
        <f>ROUND((Details!$AJ$68+Details!$AJ$69)/$W$2,0)</f>
        <v>0</v>
      </c>
      <c r="W38" s="354">
        <f t="shared" si="14"/>
        <v>0</v>
      </c>
      <c r="Y38" s="354">
        <f>ROUND(Details!$AJ$144/$W$2,0)</f>
        <v>0</v>
      </c>
      <c r="Z38" s="354">
        <f>ROUND(Details!$AJ$145/$W$2,0)</f>
        <v>0</v>
      </c>
      <c r="AA38" s="354">
        <f>ROUND(-Details!$AJ$234/$W$2,0)</f>
        <v>0</v>
      </c>
      <c r="AB38" s="354">
        <f>ROUND(-Details!$AJ$236/$W$2,0)</f>
        <v>0</v>
      </c>
      <c r="AC38" s="354">
        <f>ROUND(-Details!$AJ$237/$W$2,0)</f>
        <v>0</v>
      </c>
      <c r="AD38" s="354">
        <f>ROUND(-Details!$AJ$238/$W$2,0)</f>
        <v>0</v>
      </c>
      <c r="AE38" s="354">
        <f>ROUND(-Details!$AJ$96/$W$2,0)</f>
        <v>0</v>
      </c>
      <c r="AF38" s="354">
        <f>ROUND(-Details!$AJ$107/$W$2,0)</f>
        <v>0</v>
      </c>
      <c r="AG38" s="354">
        <f>ROUND(-Details!$AJ$127/$W$2,0)</f>
        <v>0</v>
      </c>
      <c r="AH38" s="354">
        <f>-ROUND(-Details!$AJ$137/$W$2,0)</f>
        <v>0</v>
      </c>
      <c r="AI38" s="354">
        <f>-ROUND(Details!$AJ$240/$W$2,0)</f>
        <v>0</v>
      </c>
      <c r="AJ38" s="354">
        <f t="shared" si="2"/>
        <v>0</v>
      </c>
      <c r="AL38" s="354">
        <f t="shared" si="3"/>
        <v>0</v>
      </c>
      <c r="AN38" s="354">
        <f>-ROUND(+Details!$AJ$94/$W$2,0)</f>
        <v>0</v>
      </c>
      <c r="AO38" s="354">
        <f>ROUND(+Details!$AJ$133/$W$2,0)</f>
        <v>0</v>
      </c>
      <c r="AP38" s="354">
        <f>-ROUND(+Details!$AJ$91/$W$2,0)</f>
        <v>0</v>
      </c>
      <c r="AQ38" s="354">
        <f>-ROUND(+Details!$AJ$95/$W$2,0)</f>
        <v>0</v>
      </c>
      <c r="AR38" s="354">
        <f>-ROUND(+Details!$AJ$96/$W$2,0)</f>
        <v>0</v>
      </c>
      <c r="AS38" s="354">
        <f>-ROUND(+Details!$AJ$74/$W$2,0)</f>
        <v>0</v>
      </c>
      <c r="AT38" s="354">
        <f t="shared" si="6"/>
        <v>0</v>
      </c>
      <c r="AU38" s="354">
        <f>-ROUND(+Details!$AJ$102/$W$2,0)</f>
        <v>0</v>
      </c>
      <c r="AV38" s="354">
        <f>-ROUND(+Details!$AJ$99/$W$2,0)</f>
        <v>0</v>
      </c>
      <c r="AW38" s="354">
        <f>-ROUND(+Details!$AJ$103/$W$2,0)</f>
        <v>0</v>
      </c>
      <c r="AX38" s="354">
        <f>-ROUND(+Details!$AJ$75/$W$2,0)</f>
        <v>0</v>
      </c>
      <c r="AY38" s="354">
        <f t="shared" si="7"/>
        <v>0</v>
      </c>
      <c r="AZ38" s="354">
        <f>-ROUND(+Details!$AJ$110/$W$2,0)</f>
        <v>0</v>
      </c>
      <c r="BA38" s="354">
        <f>-ROUND(+Details!$AJ$113/$W$2,0)</f>
        <v>0</v>
      </c>
      <c r="BB38" s="354">
        <f>-ROUND(+Details!$AJ$116/$W$2,0)</f>
        <v>0</v>
      </c>
      <c r="BC38" s="354">
        <f t="shared" si="8"/>
        <v>0</v>
      </c>
      <c r="BD38" s="354">
        <f>-ROUND(+Details!$AJ$111/$W$2,0)</f>
        <v>0</v>
      </c>
      <c r="BE38" s="354">
        <f>-ROUND(+Details!$AJ$114/$W$2,0)</f>
        <v>0</v>
      </c>
      <c r="BF38" s="354">
        <f>-ROUND(+Details!$AJ$117/$W$2,0)</f>
        <v>0</v>
      </c>
      <c r="BG38" s="354">
        <f t="shared" si="9"/>
        <v>0</v>
      </c>
      <c r="BH38" s="354">
        <f>-ROUND(+Details!$AJ$123/$W$2,0)</f>
        <v>0</v>
      </c>
      <c r="BI38" s="354">
        <f>-ROUND(+Details!$AJ$126/$W$2,0)</f>
        <v>0</v>
      </c>
      <c r="BJ38" s="354">
        <f>-ROUND(+Details!$AJ$76/$W$2,0)</f>
        <v>0</v>
      </c>
      <c r="BK38" s="354">
        <f>-ROUND(+Details!$AJ$127/$W$2,0)</f>
        <v>0</v>
      </c>
      <c r="BL38" s="354">
        <f t="shared" si="10"/>
        <v>0</v>
      </c>
      <c r="BM38" s="354">
        <f>-ROUND(+Details!$AJ$124/$W$2,0)</f>
        <v>0</v>
      </c>
      <c r="BN38" s="354">
        <f>-ROUND(+Details!$AJ$134/$W$2,0)</f>
        <v>0</v>
      </c>
      <c r="BO38" s="354">
        <f>-ROUND(+Details!$AJ$135/$W$2,0)</f>
        <v>0</v>
      </c>
      <c r="BP38" s="354">
        <f t="shared" si="11"/>
        <v>0</v>
      </c>
      <c r="BQ38" s="354">
        <f t="shared" si="4"/>
        <v>0</v>
      </c>
      <c r="BR38" s="354">
        <f t="shared" si="12"/>
        <v>0</v>
      </c>
      <c r="BS38" s="354"/>
      <c r="BT38" s="354">
        <f>ROUND(+Details!$AJ$248/$W$2,0)</f>
        <v>0</v>
      </c>
      <c r="BU38" s="354">
        <f>ROUND(+Details!$AJ$251/$W$2,0)</f>
        <v>0</v>
      </c>
      <c r="BV38" s="354">
        <f>ROUND(+Details!$AJ$254/$W$2,0)</f>
        <v>0</v>
      </c>
      <c r="BW38" s="354">
        <f>ROUND(+Details!$AJ$257/$W$2,0)</f>
        <v>0</v>
      </c>
      <c r="BX38" s="354">
        <f>ROUND(+Details!$AJ$258/$W$2,0)</f>
        <v>0</v>
      </c>
      <c r="BY38" s="354">
        <f t="shared" si="5"/>
        <v>0</v>
      </c>
      <c r="BZ38" s="354"/>
      <c r="CA38" s="354"/>
      <c r="CB38" s="1715"/>
      <c r="CC38" s="1715"/>
      <c r="CD38" s="1716"/>
      <c r="CE38" s="1712"/>
      <c r="CF38" s="1712"/>
      <c r="CG38" s="1712"/>
      <c r="CH38" s="1712"/>
      <c r="CI38" s="1712"/>
      <c r="CJ38" s="1712"/>
      <c r="CK38" s="1712"/>
      <c r="CL38" s="1712"/>
      <c r="CM38" s="1712"/>
      <c r="CN38" s="1712"/>
      <c r="CO38" s="1712"/>
    </row>
    <row r="39" spans="2:93">
      <c r="B39" s="271">
        <f t="shared" si="13"/>
        <v>32</v>
      </c>
      <c r="C39" s="541">
        <f>+Details!AK$4</f>
        <v>93</v>
      </c>
      <c r="D39" s="541">
        <f>+Details!AK$5</f>
        <v>92</v>
      </c>
      <c r="E39" s="540">
        <f>+Details!$AK$7</f>
        <v>2050</v>
      </c>
      <c r="F39" s="354">
        <f>ROUND(+Details!$AK$8/$W$2,0)</f>
        <v>0</v>
      </c>
      <c r="G39" s="354">
        <f>ROUND(+Details!$AK$11/$W$2,0)</f>
        <v>0</v>
      </c>
      <c r="H39" s="354">
        <f>ROUND(+Details!$AK$14/$W$2,0)</f>
        <v>0</v>
      </c>
      <c r="I39" s="354">
        <f>ROUND(+Details!$AK$17/$W$2,0)</f>
        <v>0</v>
      </c>
      <c r="J39" s="354">
        <f>ROUND(+Details!$AK$18/$W$2,0)</f>
        <v>0</v>
      </c>
      <c r="K39" s="354">
        <f t="shared" si="0"/>
        <v>0</v>
      </c>
      <c r="M39" s="354">
        <f>ROUND(+Details!$AK$28/$W$2,0)</f>
        <v>0</v>
      </c>
      <c r="N39" s="354">
        <f>ROUND(+Details!$AK$31/$W$2,0)</f>
        <v>0</v>
      </c>
      <c r="O39" s="354">
        <f>ROUND(+Details!$AK$34/$W$2,0)</f>
        <v>0</v>
      </c>
      <c r="P39" s="354">
        <f>ROUND(+Details!$AK$37/$W$2,0)</f>
        <v>0</v>
      </c>
      <c r="Q39" s="354">
        <f>ROUND(+Details!$AK$38/$W$2,0)</f>
        <v>0</v>
      </c>
      <c r="R39" s="354">
        <f>ROUND(+Details!$AK$49/$W$2,0)</f>
        <v>0</v>
      </c>
      <c r="S39" s="354">
        <f>ROUND(+Details!$AK$60/$W$2,0)</f>
        <v>0</v>
      </c>
      <c r="T39" s="354">
        <f>ROUND(+Details!$AK$65/$W$2,0)</f>
        <v>0</v>
      </c>
      <c r="U39" s="354">
        <f>ROUND((Details!$AK$66+Details!$AK$67)/$W$2,0)</f>
        <v>0</v>
      </c>
      <c r="V39" s="354">
        <f>ROUND((Details!$AK$68+Details!$AK$69)/$W$2,0)</f>
        <v>0</v>
      </c>
      <c r="W39" s="354">
        <f t="shared" si="14"/>
        <v>0</v>
      </c>
      <c r="Y39" s="354">
        <f>ROUND(Details!$AK$144/$W$2,0)</f>
        <v>0</v>
      </c>
      <c r="Z39" s="354">
        <f>ROUND(Details!$AK$145/$W$2,0)</f>
        <v>0</v>
      </c>
      <c r="AA39" s="354">
        <f>ROUND(-Details!$AK$234/$W$2,0)</f>
        <v>0</v>
      </c>
      <c r="AB39" s="354">
        <f>ROUND(-Details!$AK$236/$W$2,0)</f>
        <v>0</v>
      </c>
      <c r="AC39" s="354">
        <f>ROUND(-Details!$AK$237/$W$2,0)</f>
        <v>0</v>
      </c>
      <c r="AD39" s="354">
        <f>ROUND(-Details!$AK$238/$W$2,0)</f>
        <v>0</v>
      </c>
      <c r="AE39" s="354">
        <f>ROUND(-Details!$AK$96/$W$2,0)</f>
        <v>0</v>
      </c>
      <c r="AF39" s="354">
        <f>ROUND(-Details!$AK$107/$W$2,0)</f>
        <v>0</v>
      </c>
      <c r="AG39" s="354">
        <f>ROUND(-Details!$AK$127/$W$2,0)</f>
        <v>0</v>
      </c>
      <c r="AH39" s="354">
        <f>-ROUND(-Details!$AK$137/$W$2,0)</f>
        <v>0</v>
      </c>
      <c r="AI39" s="354">
        <f>-ROUND(Details!$AK$240/$W$2,0)</f>
        <v>0</v>
      </c>
      <c r="AJ39" s="354">
        <f t="shared" si="2"/>
        <v>0</v>
      </c>
      <c r="AL39" s="354">
        <f t="shared" si="3"/>
        <v>0</v>
      </c>
      <c r="AN39" s="354">
        <f>-ROUND(+Details!$AK$94/$W$2,0)</f>
        <v>0</v>
      </c>
      <c r="AO39" s="354">
        <f>ROUND(+Details!$AK$133/$W$2,0)</f>
        <v>0</v>
      </c>
      <c r="AP39" s="354">
        <f>-ROUND(+Details!$AK$91/$W$2,0)</f>
        <v>0</v>
      </c>
      <c r="AQ39" s="354">
        <f>-ROUND(+Details!$AK$95/$W$2,0)</f>
        <v>0</v>
      </c>
      <c r="AR39" s="354">
        <f>-ROUND(+Details!$AK$96/$W$2,0)</f>
        <v>0</v>
      </c>
      <c r="AS39" s="354">
        <f>-ROUND(+Details!$AK$74/$W$2,0)</f>
        <v>0</v>
      </c>
      <c r="AT39" s="354">
        <f t="shared" si="6"/>
        <v>0</v>
      </c>
      <c r="AU39" s="354">
        <f>-ROUND(+Details!$AK$102/$W$2,0)</f>
        <v>0</v>
      </c>
      <c r="AV39" s="354">
        <f>-ROUND(+Details!$AK$99/$W$2,0)</f>
        <v>0</v>
      </c>
      <c r="AW39" s="354">
        <f>-ROUND(+Details!$AK$103/$W$2,0)</f>
        <v>0</v>
      </c>
      <c r="AX39" s="354">
        <f>-ROUND(+Details!$AK$75/$W$2,0)</f>
        <v>0</v>
      </c>
      <c r="AY39" s="354">
        <f t="shared" si="7"/>
        <v>0</v>
      </c>
      <c r="AZ39" s="354">
        <f>-ROUND(+Details!$AK$110/$W$2,0)</f>
        <v>0</v>
      </c>
      <c r="BA39" s="354">
        <f>-ROUND(+Details!$AK$113/$W$2,0)</f>
        <v>0</v>
      </c>
      <c r="BB39" s="354">
        <f>-ROUND(+Details!$AK$116/$W$2,0)</f>
        <v>0</v>
      </c>
      <c r="BC39" s="354">
        <f t="shared" si="8"/>
        <v>0</v>
      </c>
      <c r="BD39" s="354">
        <f>-ROUND(+Details!$AK$111/$W$2,0)</f>
        <v>0</v>
      </c>
      <c r="BE39" s="354">
        <f>-ROUND(+Details!$AK$114/$W$2,0)</f>
        <v>0</v>
      </c>
      <c r="BF39" s="354">
        <f>-ROUND(+Details!$AK$117/$W$2,0)</f>
        <v>0</v>
      </c>
      <c r="BG39" s="354">
        <f t="shared" si="9"/>
        <v>0</v>
      </c>
      <c r="BH39" s="354">
        <f>-ROUND(+Details!$AK$123/$W$2,0)</f>
        <v>0</v>
      </c>
      <c r="BI39" s="354">
        <f>-ROUND(+Details!$AK$126/$W$2,0)</f>
        <v>0</v>
      </c>
      <c r="BJ39" s="354">
        <f>-ROUND(+Details!$AK$76/$W$2,0)</f>
        <v>0</v>
      </c>
      <c r="BK39" s="354">
        <f>-ROUND(+Details!$AK$127/$W$2,0)</f>
        <v>0</v>
      </c>
      <c r="BL39" s="354">
        <f t="shared" si="10"/>
        <v>0</v>
      </c>
      <c r="BM39" s="354">
        <f>-ROUND(+Details!$AK$124/$W$2,0)</f>
        <v>0</v>
      </c>
      <c r="BN39" s="354">
        <f>-ROUND(+Details!$AK$134/$W$2,0)</f>
        <v>0</v>
      </c>
      <c r="BO39" s="354">
        <f>-ROUND(+Details!$AK$135/$W$2,0)</f>
        <v>0</v>
      </c>
      <c r="BP39" s="354">
        <f t="shared" si="11"/>
        <v>0</v>
      </c>
      <c r="BQ39" s="354">
        <f t="shared" si="4"/>
        <v>0</v>
      </c>
      <c r="BR39" s="354">
        <f t="shared" si="12"/>
        <v>0</v>
      </c>
      <c r="BS39" s="354"/>
      <c r="BT39" s="354">
        <f>ROUND(+Details!$AK$248/$W$2,0)</f>
        <v>0</v>
      </c>
      <c r="BU39" s="354">
        <f>ROUND(+Details!$AK$251/$W$2,0)</f>
        <v>0</v>
      </c>
      <c r="BV39" s="354">
        <f>ROUND(+Details!$AK$254/$W$2,0)</f>
        <v>0</v>
      </c>
      <c r="BW39" s="354">
        <f>ROUND(+Details!$AK$257/$W$2,0)</f>
        <v>0</v>
      </c>
      <c r="BX39" s="354">
        <f>ROUND(+Details!$AK$258/$W$2,0)</f>
        <v>0</v>
      </c>
      <c r="BY39" s="354">
        <f t="shared" si="5"/>
        <v>0</v>
      </c>
      <c r="BZ39" s="354"/>
      <c r="CA39" s="354"/>
      <c r="CB39" s="1715"/>
      <c r="CC39" s="1715"/>
      <c r="CD39" s="1716"/>
      <c r="CE39" s="1712"/>
      <c r="CF39" s="1712"/>
      <c r="CG39" s="1712"/>
      <c r="CH39" s="1712"/>
      <c r="CI39" s="1712"/>
      <c r="CJ39" s="1712"/>
      <c r="CK39" s="1712"/>
      <c r="CL39" s="1712"/>
      <c r="CM39" s="1712"/>
      <c r="CN39" s="1712"/>
      <c r="CO39" s="1712"/>
    </row>
    <row r="40" spans="2:93">
      <c r="B40" s="271">
        <f t="shared" si="13"/>
        <v>33</v>
      </c>
      <c r="C40" s="541">
        <f>+Details!AL$4</f>
        <v>94</v>
      </c>
      <c r="D40" s="541">
        <f>+Details!AL$5</f>
        <v>93</v>
      </c>
      <c r="E40" s="540">
        <f>+Details!$AL$7</f>
        <v>2051</v>
      </c>
      <c r="F40" s="354">
        <f>ROUND(+Details!$AL$8/$W$2,0)</f>
        <v>0</v>
      </c>
      <c r="G40" s="354">
        <f>ROUND(+Details!$AL$11/$W$2,0)</f>
        <v>0</v>
      </c>
      <c r="H40" s="354">
        <f>ROUND(+Details!$AL$14/$W$2,0)</f>
        <v>0</v>
      </c>
      <c r="I40" s="354">
        <f>ROUND(+Details!$AL$17/$W$2,0)</f>
        <v>0</v>
      </c>
      <c r="J40" s="354">
        <f>ROUND(+Details!$AL$18/$W$2,0)</f>
        <v>0</v>
      </c>
      <c r="K40" s="354">
        <f t="shared" si="0"/>
        <v>0</v>
      </c>
      <c r="M40" s="354">
        <f>ROUND(+Details!$AL$28/$W$2,0)</f>
        <v>0</v>
      </c>
      <c r="N40" s="354">
        <f>ROUND(+Details!$AL$31/$W$2,0)</f>
        <v>0</v>
      </c>
      <c r="O40" s="354">
        <f>ROUND(+Details!$AL$34/$W$2,0)</f>
        <v>0</v>
      </c>
      <c r="P40" s="354">
        <f>ROUND(+Details!$AL$37/$W$2,0)</f>
        <v>0</v>
      </c>
      <c r="Q40" s="354">
        <f>ROUND(+Details!$AL$38/$W$2,0)</f>
        <v>0</v>
      </c>
      <c r="R40" s="354">
        <f>ROUND(+Details!$AL$49/$W$2,0)</f>
        <v>0</v>
      </c>
      <c r="S40" s="354">
        <f>ROUND(+Details!$AL$60/$W$2,0)</f>
        <v>0</v>
      </c>
      <c r="T40" s="354">
        <f>ROUND(+Details!$AL$65/$W$2,0)</f>
        <v>0</v>
      </c>
      <c r="U40" s="354">
        <f>ROUND((Details!$AL$66+Details!$AL$67)/$W$2,0)</f>
        <v>0</v>
      </c>
      <c r="V40" s="354">
        <f>ROUND((Details!$AL$68+Details!$AL$69)/$W$2,0)</f>
        <v>0</v>
      </c>
      <c r="W40" s="354">
        <f t="shared" si="14"/>
        <v>0</v>
      </c>
      <c r="Y40" s="354">
        <f>ROUND(Details!$AL$144/$W$2,0)</f>
        <v>0</v>
      </c>
      <c r="Z40" s="354">
        <f>ROUND(Details!$AL$145/$W$2,0)</f>
        <v>0</v>
      </c>
      <c r="AA40" s="354">
        <f>ROUND(-Details!$AL$234/$W$2,0)</f>
        <v>0</v>
      </c>
      <c r="AB40" s="354">
        <f>ROUND(-Details!$AL$236/$W$2,0)</f>
        <v>0</v>
      </c>
      <c r="AC40" s="354">
        <f>ROUND(-Details!$AL$237/$W$2,0)</f>
        <v>0</v>
      </c>
      <c r="AD40" s="354">
        <f>ROUND(-Details!$AL$238/$W$2,0)</f>
        <v>0</v>
      </c>
      <c r="AE40" s="354">
        <f>ROUND(-Details!$AL$96/$W$2,0)</f>
        <v>0</v>
      </c>
      <c r="AF40" s="354">
        <f>ROUND(-Details!$AL$107/$W$2,0)</f>
        <v>0</v>
      </c>
      <c r="AG40" s="354">
        <f>ROUND(-Details!$AL$127/$W$2,0)</f>
        <v>0</v>
      </c>
      <c r="AH40" s="354">
        <f>-ROUND(-Details!$AL$137/$W$2,0)</f>
        <v>0</v>
      </c>
      <c r="AI40" s="354">
        <f>-ROUND(Details!$AL$240/$W$2,0)</f>
        <v>0</v>
      </c>
      <c r="AJ40" s="354">
        <f t="shared" si="2"/>
        <v>0</v>
      </c>
      <c r="AL40" s="354">
        <f t="shared" si="3"/>
        <v>0</v>
      </c>
      <c r="AN40" s="354">
        <f>-ROUND(+Details!$AL$94/$W$2,0)</f>
        <v>0</v>
      </c>
      <c r="AO40" s="354">
        <f>ROUND(+Details!$AL$133/$W$2,0)</f>
        <v>0</v>
      </c>
      <c r="AP40" s="354">
        <f>-ROUND(+Details!$AL$91/$W$2,0)</f>
        <v>0</v>
      </c>
      <c r="AQ40" s="354">
        <f>-ROUND(+Details!$AL$95/$W$2,0)</f>
        <v>0</v>
      </c>
      <c r="AR40" s="354">
        <f>-ROUND(+Details!$AL$96/$W$2,0)</f>
        <v>0</v>
      </c>
      <c r="AS40" s="354">
        <f>-ROUND(+Details!$AL$74/$W$2,0)</f>
        <v>0</v>
      </c>
      <c r="AT40" s="354">
        <f t="shared" si="6"/>
        <v>0</v>
      </c>
      <c r="AU40" s="354">
        <f>-ROUND(+Details!$AL$102/$W$2,0)</f>
        <v>0</v>
      </c>
      <c r="AV40" s="354">
        <f>-ROUND(+Details!$AL$99/$W$2,0)</f>
        <v>0</v>
      </c>
      <c r="AW40" s="354">
        <f>-ROUND(+Details!$AL$103/$W$2,0)</f>
        <v>0</v>
      </c>
      <c r="AX40" s="354">
        <f>-ROUND(+Details!$AL$75/$W$2,0)</f>
        <v>0</v>
      </c>
      <c r="AY40" s="354">
        <f t="shared" si="7"/>
        <v>0</v>
      </c>
      <c r="AZ40" s="354">
        <f>-ROUND(+Details!$AL$110/$W$2,0)</f>
        <v>0</v>
      </c>
      <c r="BA40" s="354">
        <f>-ROUND(+Details!$AL$113/$W$2,0)</f>
        <v>0</v>
      </c>
      <c r="BB40" s="354">
        <f>-ROUND(+Details!$AL$116/$W$2,0)</f>
        <v>0</v>
      </c>
      <c r="BC40" s="354">
        <f t="shared" si="8"/>
        <v>0</v>
      </c>
      <c r="BD40" s="354">
        <f>-ROUND(+Details!$AL$111/$W$2,0)</f>
        <v>0</v>
      </c>
      <c r="BE40" s="354">
        <f>-ROUND(+Details!$AL$114/$W$2,0)</f>
        <v>0</v>
      </c>
      <c r="BF40" s="354">
        <f>-ROUND(+Details!$AL$117/$W$2,0)</f>
        <v>0</v>
      </c>
      <c r="BG40" s="354">
        <f t="shared" si="9"/>
        <v>0</v>
      </c>
      <c r="BH40" s="354">
        <f>-ROUND(+Details!$AL$123/$W$2,0)</f>
        <v>0</v>
      </c>
      <c r="BI40" s="354">
        <f>-ROUND(+Details!$AL$126/$W$2,0)</f>
        <v>0</v>
      </c>
      <c r="BJ40" s="354">
        <f>-ROUND(+Details!$AL$76/$W$2,0)</f>
        <v>0</v>
      </c>
      <c r="BK40" s="354">
        <f>-ROUND(+Details!$AL$127/$W$2,0)</f>
        <v>0</v>
      </c>
      <c r="BL40" s="354">
        <f t="shared" si="10"/>
        <v>0</v>
      </c>
      <c r="BM40" s="354">
        <f>-ROUND(+Details!$AL$124/$W$2,0)</f>
        <v>0</v>
      </c>
      <c r="BN40" s="354">
        <f>-ROUND(+Details!$AL$134/$W$2,0)</f>
        <v>0</v>
      </c>
      <c r="BO40" s="354">
        <f>-ROUND(+Details!$AL$135/$W$2,0)</f>
        <v>0</v>
      </c>
      <c r="BP40" s="354">
        <f t="shared" si="11"/>
        <v>0</v>
      </c>
      <c r="BQ40" s="354">
        <f t="shared" si="4"/>
        <v>0</v>
      </c>
      <c r="BR40" s="354">
        <f t="shared" si="12"/>
        <v>0</v>
      </c>
      <c r="BS40" s="354"/>
      <c r="BT40" s="354">
        <f>ROUND(+Details!$AL$248/$W$2,0)</f>
        <v>0</v>
      </c>
      <c r="BU40" s="354">
        <f>ROUND(+Details!$AL$251/$W$2,0)</f>
        <v>0</v>
      </c>
      <c r="BV40" s="354">
        <f>ROUND(+Details!$AL$254/$W$2,0)</f>
        <v>0</v>
      </c>
      <c r="BW40" s="354">
        <f>ROUND(+Details!$AL$257/$W$2,0)</f>
        <v>0</v>
      </c>
      <c r="BX40" s="354">
        <f>ROUND(+Details!$AL$258/$W$2,0)</f>
        <v>0</v>
      </c>
      <c r="BY40" s="354">
        <f t="shared" si="5"/>
        <v>0</v>
      </c>
      <c r="BZ40" s="354"/>
      <c r="CA40" s="354"/>
      <c r="CB40" s="1715"/>
      <c r="CC40" s="1715"/>
      <c r="CD40" s="1716"/>
      <c r="CE40" s="1712"/>
      <c r="CF40" s="1712"/>
      <c r="CG40" s="1712"/>
      <c r="CH40" s="1712"/>
      <c r="CI40" s="1712"/>
      <c r="CJ40" s="1712"/>
      <c r="CK40" s="1712"/>
      <c r="CL40" s="1712"/>
      <c r="CM40" s="1712"/>
      <c r="CN40" s="1712"/>
      <c r="CO40" s="1712"/>
    </row>
    <row r="41" spans="2:93">
      <c r="B41" s="271">
        <f t="shared" si="13"/>
        <v>34</v>
      </c>
      <c r="C41" s="541">
        <f>+Details!AM$4</f>
        <v>95</v>
      </c>
      <c r="D41" s="541">
        <f>+Details!AM$5</f>
        <v>94</v>
      </c>
      <c r="E41" s="540">
        <f>+Details!$AM$7</f>
        <v>2052</v>
      </c>
      <c r="F41" s="354">
        <f>ROUND(+Details!$AM$8/$W$2,0)</f>
        <v>0</v>
      </c>
      <c r="G41" s="354">
        <f>ROUND(+Details!$AM$11/$W$2,0)</f>
        <v>0</v>
      </c>
      <c r="H41" s="354">
        <f>ROUND(+Details!$AM$14/$W$2,0)</f>
        <v>0</v>
      </c>
      <c r="I41" s="354">
        <f>ROUND(+Details!$AM$17/$W$2,0)</f>
        <v>0</v>
      </c>
      <c r="J41" s="354">
        <f>ROUND(+Details!$AM$18/$W$2,0)</f>
        <v>0</v>
      </c>
      <c r="K41" s="354">
        <f t="shared" si="0"/>
        <v>0</v>
      </c>
      <c r="M41" s="354">
        <f>ROUND(+Details!$AM$28/$W$2,0)</f>
        <v>0</v>
      </c>
      <c r="N41" s="354">
        <f>ROUND(+Details!$AM$31/$W$2,0)</f>
        <v>0</v>
      </c>
      <c r="O41" s="354">
        <f>ROUND(+Details!$AM$34/$W$2,0)</f>
        <v>0</v>
      </c>
      <c r="P41" s="354">
        <f>ROUND(+Details!$AM$37/$W$2,0)</f>
        <v>0</v>
      </c>
      <c r="Q41" s="354">
        <f>ROUND(+Details!$AM$38/$W$2,0)</f>
        <v>0</v>
      </c>
      <c r="R41" s="354">
        <f>ROUND(+Details!$AM$49/$W$2,0)</f>
        <v>0</v>
      </c>
      <c r="S41" s="354">
        <f>ROUND(+Details!$AM$60/$W$2,0)</f>
        <v>0</v>
      </c>
      <c r="T41" s="354">
        <f>ROUND(+Details!$AM$65/$W$2,0)</f>
        <v>0</v>
      </c>
      <c r="U41" s="354">
        <f>ROUND((Details!$AM$66+Details!$AM$67)/$W$2,0)</f>
        <v>0</v>
      </c>
      <c r="V41" s="354">
        <f>ROUND((Details!$AM$68+Details!$AM$69)/$W$2,0)</f>
        <v>0</v>
      </c>
      <c r="W41" s="354">
        <f t="shared" si="14"/>
        <v>0</v>
      </c>
      <c r="Y41" s="354">
        <f>ROUND(Details!$AM$144/$W$2,0)</f>
        <v>0</v>
      </c>
      <c r="Z41" s="354">
        <f>ROUND(Details!$AM$145/$W$2,0)</f>
        <v>0</v>
      </c>
      <c r="AA41" s="354">
        <f>ROUND(-Details!$AM$234/$W$2,0)</f>
        <v>0</v>
      </c>
      <c r="AB41" s="354">
        <f>ROUND(-Details!$AM$236/$W$2,0)</f>
        <v>0</v>
      </c>
      <c r="AC41" s="354">
        <f>ROUND(-Details!$AM$237/$W$2,0)</f>
        <v>0</v>
      </c>
      <c r="AD41" s="354">
        <f>ROUND(-Details!$AM$238/$W$2,0)</f>
        <v>0</v>
      </c>
      <c r="AE41" s="354">
        <f>ROUND(-Details!$AM$96/$W$2,0)</f>
        <v>0</v>
      </c>
      <c r="AF41" s="354">
        <f>ROUND(-Details!$AM$107/$W$2,0)</f>
        <v>0</v>
      </c>
      <c r="AG41" s="354">
        <f>ROUND(-Details!$AM$127/$W$2,0)</f>
        <v>0</v>
      </c>
      <c r="AH41" s="354">
        <f>-ROUND(-Details!$AM$137/$W$2,0)</f>
        <v>0</v>
      </c>
      <c r="AI41" s="354">
        <f>-ROUND(Details!$AM$240/$W$2,0)</f>
        <v>0</v>
      </c>
      <c r="AJ41" s="354">
        <f t="shared" si="2"/>
        <v>0</v>
      </c>
      <c r="AL41" s="354">
        <f t="shared" si="3"/>
        <v>0</v>
      </c>
      <c r="AN41" s="354">
        <f>-ROUND(+Details!$AM$94/$W$2,0)</f>
        <v>0</v>
      </c>
      <c r="AO41" s="354">
        <f>ROUND(+Details!$AM$133/$W$2,0)</f>
        <v>0</v>
      </c>
      <c r="AP41" s="354">
        <f>-ROUND(+Details!$AM$91/$W$2,0)</f>
        <v>0</v>
      </c>
      <c r="AQ41" s="354">
        <f>-ROUND(+Details!$AM$95/$W$2,0)</f>
        <v>0</v>
      </c>
      <c r="AR41" s="354">
        <f>-ROUND(+Details!$AM$96/$W$2,0)</f>
        <v>0</v>
      </c>
      <c r="AS41" s="354">
        <f>-ROUND(+Details!$AM$74/$W$2,0)</f>
        <v>0</v>
      </c>
      <c r="AT41" s="354">
        <f t="shared" si="6"/>
        <v>0</v>
      </c>
      <c r="AU41" s="354">
        <f>-ROUND(+Details!$AM$102/$W$2,0)</f>
        <v>0</v>
      </c>
      <c r="AV41" s="354">
        <f>-ROUND(+Details!$AM$99/$W$2,0)</f>
        <v>0</v>
      </c>
      <c r="AW41" s="354">
        <f>-ROUND(+Details!$AM$103/$W$2,0)</f>
        <v>0</v>
      </c>
      <c r="AX41" s="354">
        <f>-ROUND(+Details!$AM$75/$W$2,0)</f>
        <v>0</v>
      </c>
      <c r="AY41" s="354">
        <f t="shared" si="7"/>
        <v>0</v>
      </c>
      <c r="AZ41" s="354">
        <f>-ROUND(+Details!$AM$110/$W$2,0)</f>
        <v>0</v>
      </c>
      <c r="BA41" s="354">
        <f>-ROUND(+Details!$AM$113/$W$2,0)</f>
        <v>0</v>
      </c>
      <c r="BB41" s="354">
        <f>-ROUND(+Details!$AM$116/$W$2,0)</f>
        <v>0</v>
      </c>
      <c r="BC41" s="354">
        <f t="shared" si="8"/>
        <v>0</v>
      </c>
      <c r="BD41" s="354">
        <f>-ROUND(+Details!$AM$111/$W$2,0)</f>
        <v>0</v>
      </c>
      <c r="BE41" s="354">
        <f>-ROUND(+Details!$AM$114/$W$2,0)</f>
        <v>0</v>
      </c>
      <c r="BF41" s="354">
        <f>-ROUND(+Details!$AM$117/$W$2,0)</f>
        <v>0</v>
      </c>
      <c r="BG41" s="354">
        <f t="shared" si="9"/>
        <v>0</v>
      </c>
      <c r="BH41" s="354">
        <f>-ROUND(+Details!$AM$123/$W$2,0)</f>
        <v>0</v>
      </c>
      <c r="BI41" s="354">
        <f>-ROUND(+Details!$AM$126/$W$2,0)</f>
        <v>0</v>
      </c>
      <c r="BJ41" s="354">
        <f>-ROUND(+Details!$AM$76/$W$2,0)</f>
        <v>0</v>
      </c>
      <c r="BK41" s="354">
        <f>-ROUND(+Details!$AM$127/$W$2,0)</f>
        <v>0</v>
      </c>
      <c r="BL41" s="354">
        <f t="shared" si="10"/>
        <v>0</v>
      </c>
      <c r="BM41" s="354">
        <f>-ROUND(+Details!$AM$124/$W$2,0)</f>
        <v>0</v>
      </c>
      <c r="BN41" s="354">
        <f>-ROUND(+Details!$AM$134/$W$2,0)</f>
        <v>0</v>
      </c>
      <c r="BO41" s="354">
        <f>-ROUND(+Details!$AM$135/$W$2,0)</f>
        <v>0</v>
      </c>
      <c r="BP41" s="354">
        <f t="shared" si="11"/>
        <v>0</v>
      </c>
      <c r="BQ41" s="354">
        <f t="shared" si="4"/>
        <v>0</v>
      </c>
      <c r="BR41" s="354">
        <f t="shared" si="12"/>
        <v>0</v>
      </c>
      <c r="BS41" s="354"/>
      <c r="BT41" s="354">
        <f>ROUND(+Details!$AM$248/$W$2,0)</f>
        <v>0</v>
      </c>
      <c r="BU41" s="354">
        <f>ROUND(+Details!$AM$251/$W$2,0)</f>
        <v>0</v>
      </c>
      <c r="BV41" s="354">
        <f>ROUND(+Details!$AM$254/$W$2,0)</f>
        <v>0</v>
      </c>
      <c r="BW41" s="354">
        <f>ROUND(+Details!$AM$257/$W$2,0)</f>
        <v>0</v>
      </c>
      <c r="BX41" s="354">
        <f>ROUND(+Details!$AM$258/$W$2,0)</f>
        <v>0</v>
      </c>
      <c r="BY41" s="354">
        <f t="shared" si="5"/>
        <v>0</v>
      </c>
      <c r="BZ41" s="354"/>
      <c r="CA41" s="354"/>
      <c r="CB41" s="1715"/>
      <c r="CC41" s="1715"/>
      <c r="CD41" s="1716"/>
      <c r="CE41" s="1712"/>
      <c r="CF41" s="1712"/>
      <c r="CG41" s="1712"/>
      <c r="CH41" s="1712"/>
      <c r="CI41" s="1712"/>
      <c r="CJ41" s="1712"/>
      <c r="CK41" s="1712"/>
      <c r="CL41" s="1712"/>
      <c r="CM41" s="1712"/>
      <c r="CN41" s="1712"/>
      <c r="CO41" s="1712"/>
    </row>
    <row r="42" spans="2:93">
      <c r="B42" s="271">
        <f t="shared" si="13"/>
        <v>35</v>
      </c>
      <c r="C42" s="541">
        <f>+Details!AN$4</f>
        <v>96</v>
      </c>
      <c r="D42" s="541">
        <f>+Details!AN$5</f>
        <v>95</v>
      </c>
      <c r="E42" s="540">
        <f>+Details!$AN$7</f>
        <v>2053</v>
      </c>
      <c r="F42" s="354">
        <f>ROUND(+Details!$AN$8/$W$2,0)</f>
        <v>0</v>
      </c>
      <c r="G42" s="354">
        <f>ROUND(+Details!$AN$11/$W$2,0)</f>
        <v>0</v>
      </c>
      <c r="H42" s="354">
        <f>ROUND(+Details!$AN$14/$W$2,0)</f>
        <v>0</v>
      </c>
      <c r="I42" s="354">
        <f>ROUND(+Details!$AN$17/$W$2,0)</f>
        <v>0</v>
      </c>
      <c r="J42" s="354">
        <f>ROUND(+Details!$AN$18/$W$2,0)</f>
        <v>0</v>
      </c>
      <c r="K42" s="354">
        <f t="shared" si="0"/>
        <v>0</v>
      </c>
      <c r="M42" s="354">
        <f>ROUND(+Details!$AN$28/$W$2,0)</f>
        <v>0</v>
      </c>
      <c r="N42" s="354">
        <f>ROUND(+Details!$AN$31/$W$2,0)</f>
        <v>0</v>
      </c>
      <c r="O42" s="354">
        <f>ROUND(+Details!$AN$34/$W$2,0)</f>
        <v>0</v>
      </c>
      <c r="P42" s="354">
        <f>ROUND(+Details!$AN$37/$W$2,0)</f>
        <v>0</v>
      </c>
      <c r="Q42" s="354">
        <f>ROUND(+Details!$AN$38/$W$2,0)</f>
        <v>0</v>
      </c>
      <c r="R42" s="354">
        <f>ROUND(+Details!$AN$49/$W$2,0)</f>
        <v>0</v>
      </c>
      <c r="S42" s="354">
        <f>ROUND(+Details!$AN$60/$W$2,0)</f>
        <v>0</v>
      </c>
      <c r="T42" s="354">
        <f>ROUND(+Details!$AN$65/$W$2,0)</f>
        <v>0</v>
      </c>
      <c r="U42" s="354">
        <f>ROUND((Details!$AN$66+Details!$AN$67)/$W$2,0)</f>
        <v>0</v>
      </c>
      <c r="V42" s="354">
        <f>ROUND((Details!$AN$68+Details!$AN$69)/$W$2,0)</f>
        <v>0</v>
      </c>
      <c r="W42" s="354">
        <f t="shared" si="14"/>
        <v>0</v>
      </c>
      <c r="Y42" s="354">
        <f>ROUND(Details!$AN$144/$W$2,0)</f>
        <v>0</v>
      </c>
      <c r="Z42" s="354">
        <f>ROUND(Details!$AN$145/$W$2,0)</f>
        <v>0</v>
      </c>
      <c r="AA42" s="354">
        <f>ROUND(-Details!$AN$234/$W$2,0)</f>
        <v>0</v>
      </c>
      <c r="AB42" s="354">
        <f>ROUND(-Details!$AN$236/$W$2,0)</f>
        <v>0</v>
      </c>
      <c r="AC42" s="354">
        <f>ROUND(-Details!$AN$237/$W$2,0)</f>
        <v>0</v>
      </c>
      <c r="AD42" s="354">
        <f>ROUND(-Details!$AN$238/$W$2,0)</f>
        <v>0</v>
      </c>
      <c r="AE42" s="354">
        <f>ROUND(-Details!$AN$96/$W$2,0)</f>
        <v>0</v>
      </c>
      <c r="AF42" s="354">
        <f>ROUND(-Details!$AN$107/$W$2,0)</f>
        <v>0</v>
      </c>
      <c r="AG42" s="354">
        <f>ROUND(-Details!$AN$127/$W$2,0)</f>
        <v>0</v>
      </c>
      <c r="AH42" s="354">
        <f>-ROUND(-Details!$AN$137/$W$2,0)</f>
        <v>0</v>
      </c>
      <c r="AI42" s="354">
        <f>-ROUND(Details!$AN$240/$W$2,0)</f>
        <v>0</v>
      </c>
      <c r="AJ42" s="354">
        <f t="shared" si="2"/>
        <v>0</v>
      </c>
      <c r="AL42" s="354">
        <f t="shared" si="3"/>
        <v>0</v>
      </c>
      <c r="AN42" s="354">
        <f>-ROUND(+Details!$AN$94/$W$2,0)</f>
        <v>0</v>
      </c>
      <c r="AO42" s="354">
        <f>ROUND(+Details!$AN$133/$W$2,0)</f>
        <v>0</v>
      </c>
      <c r="AP42" s="354">
        <f>-ROUND(+Details!$AN$91/$W$2,0)</f>
        <v>0</v>
      </c>
      <c r="AQ42" s="354">
        <f>-ROUND(+Details!$AN$95/$W$2,0)</f>
        <v>0</v>
      </c>
      <c r="AR42" s="354">
        <f>-ROUND(+Details!$AN$96/$W$2,0)</f>
        <v>0</v>
      </c>
      <c r="AS42" s="354">
        <f>-ROUND(+Details!$AN$74/$W$2,0)</f>
        <v>0</v>
      </c>
      <c r="AT42" s="354">
        <f t="shared" si="6"/>
        <v>0</v>
      </c>
      <c r="AU42" s="354">
        <f>-ROUND(+Details!$AN$102/$W$2,0)</f>
        <v>0</v>
      </c>
      <c r="AV42" s="354">
        <f>-ROUND(+Details!$AN$99/$W$2,0)</f>
        <v>0</v>
      </c>
      <c r="AW42" s="354">
        <f>-ROUND(+Details!$AN$103/$W$2,0)</f>
        <v>0</v>
      </c>
      <c r="AX42" s="354">
        <f>-ROUND(+Details!$AN$75/$W$2,0)</f>
        <v>0</v>
      </c>
      <c r="AY42" s="354">
        <f t="shared" si="7"/>
        <v>0</v>
      </c>
      <c r="AZ42" s="354">
        <f>-ROUND(+Details!$AN$110/$W$2,0)</f>
        <v>0</v>
      </c>
      <c r="BA42" s="354">
        <f>-ROUND(+Details!$AN$113/$W$2,0)</f>
        <v>0</v>
      </c>
      <c r="BB42" s="354">
        <f>-ROUND(+Details!$AN$116/$W$2,0)</f>
        <v>0</v>
      </c>
      <c r="BC42" s="354">
        <f t="shared" si="8"/>
        <v>0</v>
      </c>
      <c r="BD42" s="354">
        <f>-ROUND(+Details!$AN$111/$W$2,0)</f>
        <v>0</v>
      </c>
      <c r="BE42" s="354">
        <f>-ROUND(+Details!$AN$114/$W$2,0)</f>
        <v>0</v>
      </c>
      <c r="BF42" s="354">
        <f>-ROUND(+Details!$AN$117/$W$2,0)</f>
        <v>0</v>
      </c>
      <c r="BG42" s="354">
        <f t="shared" si="9"/>
        <v>0</v>
      </c>
      <c r="BH42" s="354">
        <f>-ROUND(+Details!$AN$123/$W$2,0)</f>
        <v>0</v>
      </c>
      <c r="BI42" s="354">
        <f>-ROUND(+Details!$AN$126/$W$2,0)</f>
        <v>0</v>
      </c>
      <c r="BJ42" s="354">
        <f>-ROUND(+Details!$AN$76/$W$2,0)</f>
        <v>0</v>
      </c>
      <c r="BK42" s="354">
        <f>-ROUND(+Details!$AN$127/$W$2,0)</f>
        <v>0</v>
      </c>
      <c r="BL42" s="354">
        <f t="shared" si="10"/>
        <v>0</v>
      </c>
      <c r="BM42" s="354">
        <f>-ROUND(+Details!$AN$124/$W$2,0)</f>
        <v>0</v>
      </c>
      <c r="BN42" s="354">
        <f>-ROUND(+Details!$AN$134/$W$2,0)</f>
        <v>0</v>
      </c>
      <c r="BO42" s="354">
        <f>-ROUND(+Details!$AN$135/$W$2,0)</f>
        <v>0</v>
      </c>
      <c r="BP42" s="354">
        <f t="shared" si="11"/>
        <v>0</v>
      </c>
      <c r="BQ42" s="354">
        <f t="shared" si="4"/>
        <v>0</v>
      </c>
      <c r="BR42" s="354">
        <f t="shared" si="12"/>
        <v>0</v>
      </c>
      <c r="BS42" s="354"/>
      <c r="BT42" s="354">
        <f>ROUND(+Details!$AN$248/$W$2,0)</f>
        <v>0</v>
      </c>
      <c r="BU42" s="354">
        <f>ROUND(+Details!$AN$251/$W$2,0)</f>
        <v>0</v>
      </c>
      <c r="BV42" s="354">
        <f>ROUND(+Details!$AN$254/$W$2,0)</f>
        <v>0</v>
      </c>
      <c r="BW42" s="354">
        <f>ROUND(+Details!$AN$257/$W$2,0)</f>
        <v>0</v>
      </c>
      <c r="BX42" s="354">
        <f>ROUND(+Details!$AN$258/$W$2,0)</f>
        <v>0</v>
      </c>
      <c r="BY42" s="354">
        <f t="shared" si="5"/>
        <v>0</v>
      </c>
      <c r="BZ42" s="354"/>
      <c r="CA42" s="354"/>
      <c r="CB42" s="1715"/>
      <c r="CC42" s="1715"/>
      <c r="CD42" s="1716"/>
      <c r="CE42" s="1712"/>
      <c r="CF42" s="1712"/>
      <c r="CG42" s="1712"/>
      <c r="CH42" s="1712"/>
      <c r="CI42" s="1712"/>
      <c r="CJ42" s="1712"/>
      <c r="CK42" s="1712"/>
      <c r="CL42" s="1712"/>
      <c r="CM42" s="1712"/>
      <c r="CN42" s="1712"/>
      <c r="CO42" s="1712"/>
    </row>
    <row r="43" spans="2:93">
      <c r="B43" s="271">
        <f t="shared" si="13"/>
        <v>36</v>
      </c>
      <c r="C43" s="541">
        <f>+Details!AO$4</f>
        <v>97</v>
      </c>
      <c r="D43" s="541">
        <f>+Details!AO$5</f>
        <v>96</v>
      </c>
      <c r="E43" s="540">
        <f>+Details!$AO$7</f>
        <v>2054</v>
      </c>
      <c r="F43" s="354">
        <f>ROUND(+Details!$AO$8/$W$2,0)</f>
        <v>0</v>
      </c>
      <c r="G43" s="354">
        <f>ROUND(+Details!$AO$11/$W$2,0)</f>
        <v>0</v>
      </c>
      <c r="H43" s="354">
        <f>ROUND(+Details!$AO$14/$W$2,0)</f>
        <v>0</v>
      </c>
      <c r="I43" s="354">
        <f>ROUND(+Details!$AO$17/$W$2,0)</f>
        <v>0</v>
      </c>
      <c r="J43" s="354">
        <f>ROUND(+Details!$AO$18/$W$2,0)</f>
        <v>0</v>
      </c>
      <c r="K43" s="354">
        <f t="shared" si="0"/>
        <v>0</v>
      </c>
      <c r="M43" s="354">
        <f>ROUND(+Details!$AO$28/$W$2,0)</f>
        <v>0</v>
      </c>
      <c r="N43" s="354">
        <f>ROUND(+Details!$AO$31/$W$2,0)</f>
        <v>0</v>
      </c>
      <c r="O43" s="354">
        <f>ROUND(+Details!$AO$34/$W$2,0)</f>
        <v>0</v>
      </c>
      <c r="P43" s="354">
        <f>ROUND(+Details!$AO$37/$W$2,0)</f>
        <v>0</v>
      </c>
      <c r="Q43" s="354">
        <f>ROUND(+Details!$AO$38/$W$2,0)</f>
        <v>0</v>
      </c>
      <c r="R43" s="354">
        <f>ROUND(+Details!$AO$49/$W$2,0)</f>
        <v>0</v>
      </c>
      <c r="S43" s="354">
        <f>ROUND(+Details!$AO$60/$W$2,0)</f>
        <v>0</v>
      </c>
      <c r="T43" s="354">
        <f>ROUND(+Details!$AO$65/$W$2,0)</f>
        <v>0</v>
      </c>
      <c r="U43" s="354">
        <f>ROUND((Details!$AO$66+Details!$AO$67)/$W$2,0)</f>
        <v>0</v>
      </c>
      <c r="V43" s="354">
        <f>ROUND((Details!$AO$68+Details!$AO$69)/$W$2,0)</f>
        <v>0</v>
      </c>
      <c r="W43" s="354">
        <f t="shared" si="14"/>
        <v>0</v>
      </c>
      <c r="Y43" s="354">
        <f>ROUND(Details!$AO$144/$W$2,0)</f>
        <v>0</v>
      </c>
      <c r="Z43" s="354">
        <f>ROUND(Details!$AO$145/$W$2,0)</f>
        <v>0</v>
      </c>
      <c r="AA43" s="354">
        <f>ROUND(-Details!$AO$234/$W$2,0)</f>
        <v>0</v>
      </c>
      <c r="AB43" s="354">
        <f>ROUND(-Details!$AO$236/$W$2,0)</f>
        <v>0</v>
      </c>
      <c r="AC43" s="354">
        <f>ROUND(-Details!$AO$237/$W$2,0)</f>
        <v>0</v>
      </c>
      <c r="AD43" s="354">
        <f>ROUND(-Details!$AO$238/$W$2,0)</f>
        <v>0</v>
      </c>
      <c r="AE43" s="354">
        <f>ROUND(-Details!$AO$96/$W$2,0)</f>
        <v>0</v>
      </c>
      <c r="AF43" s="354">
        <f>ROUND(-Details!$AO$107/$W$2,0)</f>
        <v>0</v>
      </c>
      <c r="AG43" s="354">
        <f>ROUND(-Details!$AO$127/$W$2,0)</f>
        <v>0</v>
      </c>
      <c r="AH43" s="354">
        <f>-ROUND(-Details!$AO$137/$W$2,0)</f>
        <v>0</v>
      </c>
      <c r="AI43" s="354">
        <f>-ROUND(Details!$AO$240/$W$2,0)</f>
        <v>0</v>
      </c>
      <c r="AJ43" s="354">
        <f t="shared" si="2"/>
        <v>0</v>
      </c>
      <c r="AL43" s="354">
        <f t="shared" si="3"/>
        <v>0</v>
      </c>
      <c r="AN43" s="354">
        <f>-ROUND(+Details!$AO$94/$W$2,0)</f>
        <v>0</v>
      </c>
      <c r="AO43" s="354">
        <f>ROUND(+Details!$AO$133/$W$2,0)</f>
        <v>0</v>
      </c>
      <c r="AP43" s="354">
        <f>-ROUND(+Details!$AO$91/$W$2,0)</f>
        <v>0</v>
      </c>
      <c r="AQ43" s="354">
        <f>-ROUND(+Details!$AO$95/$W$2,0)</f>
        <v>0</v>
      </c>
      <c r="AR43" s="354">
        <f>-ROUND(+Details!$AO$96/$W$2,0)</f>
        <v>0</v>
      </c>
      <c r="AS43" s="354">
        <f>-ROUND(+Details!$AO$74/$W$2,0)</f>
        <v>0</v>
      </c>
      <c r="AT43" s="354">
        <f t="shared" si="6"/>
        <v>0</v>
      </c>
      <c r="AU43" s="354">
        <f>-ROUND(+Details!$AO$102/$W$2,0)</f>
        <v>0</v>
      </c>
      <c r="AV43" s="354">
        <f>-ROUND(+Details!$AO$99/$W$2,0)</f>
        <v>0</v>
      </c>
      <c r="AW43" s="354">
        <f>-ROUND(+Details!$AO$103/$W$2,0)</f>
        <v>0</v>
      </c>
      <c r="AX43" s="354">
        <f>-ROUND(+Details!$AO$75/$W$2,0)</f>
        <v>0</v>
      </c>
      <c r="AY43" s="354">
        <f t="shared" si="7"/>
        <v>0</v>
      </c>
      <c r="AZ43" s="354">
        <f>-ROUND(+Details!$AO$110/$W$2,0)</f>
        <v>0</v>
      </c>
      <c r="BA43" s="354">
        <f>-ROUND(+Details!$AO$113/$W$2,0)</f>
        <v>0</v>
      </c>
      <c r="BB43" s="354">
        <f>-ROUND(+Details!$AO$116/$W$2,0)</f>
        <v>0</v>
      </c>
      <c r="BC43" s="354">
        <f t="shared" si="8"/>
        <v>0</v>
      </c>
      <c r="BD43" s="354">
        <f>-ROUND(+Details!$AO$111/$W$2,0)</f>
        <v>0</v>
      </c>
      <c r="BE43" s="354">
        <f>-ROUND(+Details!$AO$114/$W$2,0)</f>
        <v>0</v>
      </c>
      <c r="BF43" s="354">
        <f>-ROUND(+Details!$AO$117/$W$2,0)</f>
        <v>0</v>
      </c>
      <c r="BG43" s="354">
        <f t="shared" si="9"/>
        <v>0</v>
      </c>
      <c r="BH43" s="354">
        <f>-ROUND(+Details!$AO$123/$W$2,0)</f>
        <v>0</v>
      </c>
      <c r="BI43" s="354">
        <f>-ROUND(+Details!$AO$126/$W$2,0)</f>
        <v>0</v>
      </c>
      <c r="BJ43" s="354">
        <f>-ROUND(+Details!$AO$76/$W$2,0)</f>
        <v>0</v>
      </c>
      <c r="BK43" s="354">
        <f>-ROUND(+Details!$AO$127/$W$2,0)</f>
        <v>0</v>
      </c>
      <c r="BL43" s="354">
        <f t="shared" si="10"/>
        <v>0</v>
      </c>
      <c r="BM43" s="354">
        <f>-ROUND(+Details!$AO$124/$W$2,0)</f>
        <v>0</v>
      </c>
      <c r="BN43" s="354">
        <f>-ROUND(+Details!$AO$134/$W$2,0)</f>
        <v>0</v>
      </c>
      <c r="BO43" s="354">
        <f>-ROUND(+Details!$AO$135/$W$2,0)</f>
        <v>0</v>
      </c>
      <c r="BP43" s="354">
        <f t="shared" si="11"/>
        <v>0</v>
      </c>
      <c r="BQ43" s="354">
        <f t="shared" si="4"/>
        <v>0</v>
      </c>
      <c r="BR43" s="354">
        <f t="shared" si="12"/>
        <v>0</v>
      </c>
      <c r="BS43" s="354"/>
      <c r="BT43" s="354">
        <f>ROUND(+Details!$AO$248/$W$2,0)</f>
        <v>0</v>
      </c>
      <c r="BU43" s="354">
        <f>ROUND(+Details!$AO$251/$W$2,0)</f>
        <v>0</v>
      </c>
      <c r="BV43" s="354">
        <f>ROUND(+Details!$AO$254/$W$2,0)</f>
        <v>0</v>
      </c>
      <c r="BW43" s="354">
        <f>ROUND(+Details!$AO$257/$W$2,0)</f>
        <v>0</v>
      </c>
      <c r="BX43" s="354">
        <f>ROUND(+Details!$AO$258/$W$2,0)</f>
        <v>0</v>
      </c>
      <c r="BY43" s="354">
        <f t="shared" si="5"/>
        <v>0</v>
      </c>
      <c r="BZ43" s="354"/>
      <c r="CA43" s="354"/>
      <c r="CB43" s="1715"/>
      <c r="CC43" s="1715"/>
      <c r="CD43" s="1716"/>
      <c r="CE43" s="1712"/>
      <c r="CF43" s="1712"/>
      <c r="CG43" s="1712"/>
      <c r="CH43" s="1712"/>
      <c r="CI43" s="1712"/>
      <c r="CJ43" s="1712"/>
      <c r="CK43" s="1712"/>
      <c r="CL43" s="1712"/>
      <c r="CM43" s="1712"/>
      <c r="CN43" s="1712"/>
      <c r="CO43" s="1712"/>
    </row>
    <row r="44" spans="2:93">
      <c r="B44" s="271">
        <f t="shared" si="13"/>
        <v>37</v>
      </c>
      <c r="C44" s="541">
        <f>+Details!AP$4</f>
        <v>98</v>
      </c>
      <c r="D44" s="541">
        <f>+Details!AP$5</f>
        <v>97</v>
      </c>
      <c r="E44" s="540">
        <f>+Details!$AP$7</f>
        <v>2055</v>
      </c>
      <c r="F44" s="354">
        <f>ROUND(+Details!$AP$8/$W$2,0)</f>
        <v>0</v>
      </c>
      <c r="G44" s="354">
        <f>ROUND(+Details!$AP$11/$W$2,0)</f>
        <v>0</v>
      </c>
      <c r="H44" s="354">
        <f>ROUND(+Details!$AP$14/$W$2,0)</f>
        <v>0</v>
      </c>
      <c r="I44" s="354">
        <f>ROUND(+Details!$AP$17/$W$2,0)</f>
        <v>0</v>
      </c>
      <c r="J44" s="354">
        <f>ROUND(+Details!$AP$18/$W$2,0)</f>
        <v>0</v>
      </c>
      <c r="K44" s="354">
        <f t="shared" si="0"/>
        <v>0</v>
      </c>
      <c r="M44" s="354">
        <f>ROUND(+Details!$AP$28/$W$2,0)</f>
        <v>0</v>
      </c>
      <c r="N44" s="354">
        <f>ROUND(+Details!$AP$31/$W$2,0)</f>
        <v>0</v>
      </c>
      <c r="O44" s="354">
        <f>ROUND(+Details!$AP$34/$W$2,0)</f>
        <v>0</v>
      </c>
      <c r="P44" s="354">
        <f>ROUND(+Details!$AP$37/$W$2,0)</f>
        <v>0</v>
      </c>
      <c r="Q44" s="354">
        <f>ROUND(+Details!$AP$38/$W$2,0)</f>
        <v>0</v>
      </c>
      <c r="R44" s="354">
        <f>ROUND(+Details!$AP$49/$W$2,0)</f>
        <v>0</v>
      </c>
      <c r="S44" s="354">
        <f>ROUND(+Details!$AP$60/$W$2,0)</f>
        <v>0</v>
      </c>
      <c r="T44" s="354">
        <f>ROUND(+Details!$AP$65/$W$2,0)</f>
        <v>0</v>
      </c>
      <c r="U44" s="354">
        <f>ROUND((Details!$AP$66+Details!$AP$67)/$W$2,0)</f>
        <v>0</v>
      </c>
      <c r="V44" s="354">
        <f>ROUND((Details!$AP$68+Details!$AP$69)/$W$2,0)</f>
        <v>0</v>
      </c>
      <c r="W44" s="354">
        <f t="shared" si="14"/>
        <v>0</v>
      </c>
      <c r="Y44" s="354">
        <f>ROUND(Details!$AP$144/$W$2,0)</f>
        <v>0</v>
      </c>
      <c r="Z44" s="354">
        <f>ROUND(Details!$AP$145/$W$2,0)</f>
        <v>0</v>
      </c>
      <c r="AA44" s="354">
        <f>ROUND(-Details!$AP$234/$W$2,0)</f>
        <v>0</v>
      </c>
      <c r="AB44" s="354">
        <f>ROUND(-Details!$AP$236/$W$2,0)</f>
        <v>0</v>
      </c>
      <c r="AC44" s="354">
        <f>ROUND(-Details!$AP$237/$W$2,0)</f>
        <v>0</v>
      </c>
      <c r="AD44" s="354">
        <f>ROUND(-Details!$AP$238/$W$2,0)</f>
        <v>0</v>
      </c>
      <c r="AE44" s="354">
        <f>ROUND(-Details!$AP$96/$W$2,0)</f>
        <v>0</v>
      </c>
      <c r="AF44" s="354">
        <f>ROUND(-Details!$AP$107/$W$2,0)</f>
        <v>0</v>
      </c>
      <c r="AG44" s="354">
        <f>ROUND(-Details!$AP$127/$W$2,0)</f>
        <v>0</v>
      </c>
      <c r="AH44" s="354">
        <f>-ROUND(-Details!$AP$137/$W$2,0)</f>
        <v>0</v>
      </c>
      <c r="AI44" s="354">
        <f>-ROUND(Details!$AP$240/$W$2,0)</f>
        <v>0</v>
      </c>
      <c r="AJ44" s="354">
        <f t="shared" si="2"/>
        <v>0</v>
      </c>
      <c r="AL44" s="354">
        <f t="shared" si="3"/>
        <v>0</v>
      </c>
      <c r="AN44" s="354">
        <f>-ROUND(+Details!$AP$94/$W$2,0)</f>
        <v>0</v>
      </c>
      <c r="AO44" s="354">
        <f>ROUND(+Details!$AP$133/$W$2,0)</f>
        <v>0</v>
      </c>
      <c r="AP44" s="354">
        <f>-ROUND(+Details!$AP$91/$W$2,0)</f>
        <v>0</v>
      </c>
      <c r="AQ44" s="354">
        <f>-ROUND(+Details!$AP$95/$W$2,0)</f>
        <v>0</v>
      </c>
      <c r="AR44" s="354">
        <f>-ROUND(+Details!$AP$96/$W$2,0)</f>
        <v>0</v>
      </c>
      <c r="AS44" s="354">
        <f>-ROUND(+Details!$AP$74/$W$2,0)</f>
        <v>0</v>
      </c>
      <c r="AT44" s="354">
        <f t="shared" si="6"/>
        <v>0</v>
      </c>
      <c r="AU44" s="354">
        <f>-ROUND(+Details!$AP$102/$W$2,0)</f>
        <v>0</v>
      </c>
      <c r="AV44" s="354">
        <f>-ROUND(+Details!$AP$99/$W$2,0)</f>
        <v>0</v>
      </c>
      <c r="AW44" s="354">
        <f>-ROUND(+Details!$AP$103/$W$2,0)</f>
        <v>0</v>
      </c>
      <c r="AX44" s="354">
        <f>-ROUND(+Details!$AP$75/$W$2,0)</f>
        <v>0</v>
      </c>
      <c r="AY44" s="354">
        <f t="shared" si="7"/>
        <v>0</v>
      </c>
      <c r="AZ44" s="354">
        <f>-ROUND(+Details!$AP$110/$W$2,0)</f>
        <v>0</v>
      </c>
      <c r="BA44" s="354">
        <f>-ROUND(+Details!$AP$113/$W$2,0)</f>
        <v>0</v>
      </c>
      <c r="BB44" s="354">
        <f>-ROUND(+Details!$AP$116/$W$2,0)</f>
        <v>0</v>
      </c>
      <c r="BC44" s="354">
        <f t="shared" si="8"/>
        <v>0</v>
      </c>
      <c r="BD44" s="354">
        <f>-ROUND(+Details!$AP$111/$W$2,0)</f>
        <v>0</v>
      </c>
      <c r="BE44" s="354">
        <f>-ROUND(+Details!$AP$114/$W$2,0)</f>
        <v>0</v>
      </c>
      <c r="BF44" s="354">
        <f>-ROUND(+Details!$AP$117/$W$2,0)</f>
        <v>0</v>
      </c>
      <c r="BG44" s="354">
        <f t="shared" si="9"/>
        <v>0</v>
      </c>
      <c r="BH44" s="354">
        <f>-ROUND(+Details!$AP$123/$W$2,0)</f>
        <v>0</v>
      </c>
      <c r="BI44" s="354">
        <f>-ROUND(+Details!$AP$126/$W$2,0)</f>
        <v>0</v>
      </c>
      <c r="BJ44" s="354">
        <f>-ROUND(+Details!$AP$76/$W$2,0)</f>
        <v>0</v>
      </c>
      <c r="BK44" s="354">
        <f>-ROUND(+Details!$AP$127/$W$2,0)</f>
        <v>0</v>
      </c>
      <c r="BL44" s="354">
        <f t="shared" si="10"/>
        <v>0</v>
      </c>
      <c r="BM44" s="354">
        <f>-ROUND(+Details!$AP$124/$W$2,0)</f>
        <v>0</v>
      </c>
      <c r="BN44" s="354">
        <f>-ROUND(+Details!$AP$134/$W$2,0)</f>
        <v>0</v>
      </c>
      <c r="BO44" s="354">
        <f>-ROUND(+Details!$AP$135/$W$2,0)</f>
        <v>0</v>
      </c>
      <c r="BP44" s="354">
        <f t="shared" si="11"/>
        <v>0</v>
      </c>
      <c r="BQ44" s="354">
        <f t="shared" si="4"/>
        <v>0</v>
      </c>
      <c r="BR44" s="354">
        <f t="shared" si="12"/>
        <v>0</v>
      </c>
      <c r="BS44" s="354"/>
      <c r="BT44" s="354">
        <f>ROUND(+Details!$AP$248/$W$2,0)</f>
        <v>0</v>
      </c>
      <c r="BU44" s="354">
        <f>ROUND(+Details!$AP$251/$W$2,0)</f>
        <v>0</v>
      </c>
      <c r="BV44" s="354">
        <f>ROUND(+Details!$AP$254/$W$2,0)</f>
        <v>0</v>
      </c>
      <c r="BW44" s="354">
        <f>ROUND(+Details!$AP$257/$W$2,0)</f>
        <v>0</v>
      </c>
      <c r="BX44" s="354">
        <f>ROUND(+Details!$AP$258/$W$2,0)</f>
        <v>0</v>
      </c>
      <c r="BY44" s="354">
        <f t="shared" si="5"/>
        <v>0</v>
      </c>
      <c r="BZ44" s="354"/>
      <c r="CA44" s="354"/>
      <c r="CB44" s="1715"/>
      <c r="CC44" s="1715"/>
      <c r="CD44" s="1716"/>
      <c r="CE44" s="1712"/>
      <c r="CF44" s="1712"/>
      <c r="CG44" s="1712"/>
      <c r="CH44" s="1712"/>
      <c r="CI44" s="1712"/>
      <c r="CJ44" s="1712"/>
      <c r="CK44" s="1712"/>
      <c r="CL44" s="1712"/>
      <c r="CM44" s="1712"/>
      <c r="CN44" s="1712"/>
      <c r="CO44" s="1712"/>
    </row>
    <row r="45" spans="2:93">
      <c r="B45" s="271">
        <f t="shared" si="13"/>
        <v>38</v>
      </c>
      <c r="C45" s="541">
        <f>+Details!AQ$4</f>
        <v>99</v>
      </c>
      <c r="D45" s="541">
        <f>+Details!AQ$5</f>
        <v>98</v>
      </c>
      <c r="E45" s="540">
        <f>+Details!$AQ$7</f>
        <v>2056</v>
      </c>
      <c r="F45" s="354">
        <f>ROUND(+Details!$AQ$8/$W$2,0)</f>
        <v>0</v>
      </c>
      <c r="G45" s="354">
        <f>ROUND(+Details!$AQ$11/$W$2,0)</f>
        <v>0</v>
      </c>
      <c r="H45" s="354">
        <f>ROUND(+Details!$AQ$14/$W$2,0)</f>
        <v>0</v>
      </c>
      <c r="I45" s="354">
        <f>ROUND(+Details!$AQ$17/$W$2,0)</f>
        <v>0</v>
      </c>
      <c r="J45" s="354">
        <f>ROUND(+Details!$AQ$18/$W$2,0)</f>
        <v>0</v>
      </c>
      <c r="K45" s="354">
        <f t="shared" si="0"/>
        <v>0</v>
      </c>
      <c r="M45" s="354">
        <f>ROUND(+Details!$AQ$28/$W$2,0)</f>
        <v>0</v>
      </c>
      <c r="N45" s="354">
        <f>ROUND(+Details!$AQ$31/$W$2,0)</f>
        <v>0</v>
      </c>
      <c r="O45" s="354">
        <f>ROUND(+Details!$AQ$34/$W$2,0)</f>
        <v>0</v>
      </c>
      <c r="P45" s="354">
        <f>ROUND(+Details!$AQ$37/$W$2,0)</f>
        <v>0</v>
      </c>
      <c r="Q45" s="354">
        <f>ROUND(+Details!$AQ$38/$W$2,0)</f>
        <v>0</v>
      </c>
      <c r="R45" s="354">
        <f>ROUND(+Details!$AQ$49/$W$2,0)</f>
        <v>0</v>
      </c>
      <c r="S45" s="354">
        <f>ROUND(+Details!$AQ$60/$W$2,0)</f>
        <v>0</v>
      </c>
      <c r="T45" s="354">
        <f>ROUND(+Details!$AQ$65/$W$2,0)</f>
        <v>0</v>
      </c>
      <c r="U45" s="354">
        <f>ROUND((Details!$AQ$66+Details!$AQ$67)/$W$2,0)</f>
        <v>0</v>
      </c>
      <c r="V45" s="354">
        <f>ROUND((Details!$AQ$68+Details!$AQ$69)/$W$2,0)</f>
        <v>0</v>
      </c>
      <c r="W45" s="354">
        <f t="shared" si="14"/>
        <v>0</v>
      </c>
      <c r="Y45" s="354">
        <f>ROUND(Details!$AQ$144/$W$2,0)</f>
        <v>0</v>
      </c>
      <c r="Z45" s="354">
        <f>ROUND(Details!$AQ$145/$W$2,0)</f>
        <v>0</v>
      </c>
      <c r="AA45" s="354">
        <f>ROUND(-Details!$AQ$234/$W$2,0)</f>
        <v>0</v>
      </c>
      <c r="AB45" s="354">
        <f>ROUND(-Details!$AQ$236/$W$2,0)</f>
        <v>0</v>
      </c>
      <c r="AC45" s="354">
        <f>ROUND(-Details!$AQ$237/$W$2,0)</f>
        <v>0</v>
      </c>
      <c r="AD45" s="354">
        <f>ROUND(-Details!$AQ$238/$W$2,0)</f>
        <v>0</v>
      </c>
      <c r="AE45" s="354">
        <f>ROUND(-Details!$AQ$96/$W$2,0)</f>
        <v>0</v>
      </c>
      <c r="AF45" s="354">
        <f>ROUND(-Details!$AQ$107/$W$2,0)</f>
        <v>0</v>
      </c>
      <c r="AG45" s="354">
        <f>ROUND(-Details!$AQ$127/$W$2,0)</f>
        <v>0</v>
      </c>
      <c r="AH45" s="354">
        <f>-ROUND(-Details!$AQ$137/$W$2,0)</f>
        <v>0</v>
      </c>
      <c r="AI45" s="354">
        <f>-ROUND(Details!$AQ$240/$W$2,0)</f>
        <v>0</v>
      </c>
      <c r="AJ45" s="354">
        <f t="shared" si="2"/>
        <v>0</v>
      </c>
      <c r="AL45" s="354">
        <f t="shared" si="3"/>
        <v>0</v>
      </c>
      <c r="AN45" s="354">
        <f>-ROUND(+Details!$AQ$94/$W$2,0)</f>
        <v>0</v>
      </c>
      <c r="AO45" s="354">
        <f>ROUND(+Details!$AQ$133/$W$2,0)</f>
        <v>0</v>
      </c>
      <c r="AP45" s="354">
        <f>-ROUND(+Details!$AQ$91/$W$2,0)</f>
        <v>0</v>
      </c>
      <c r="AQ45" s="354">
        <f>-ROUND(+Details!$AQ$95/$W$2,0)</f>
        <v>0</v>
      </c>
      <c r="AR45" s="354">
        <f>-ROUND(+Details!$AQ$96/$W$2,0)</f>
        <v>0</v>
      </c>
      <c r="AS45" s="354">
        <f>-ROUND(+Details!$AQ$74/$W$2,0)</f>
        <v>0</v>
      </c>
      <c r="AT45" s="354">
        <f t="shared" si="6"/>
        <v>0</v>
      </c>
      <c r="AU45" s="354">
        <f>-ROUND(+Details!$AQ$102/$W$2,0)</f>
        <v>0</v>
      </c>
      <c r="AV45" s="354">
        <f>-ROUND(+Details!$AQ$99/$W$2,0)</f>
        <v>0</v>
      </c>
      <c r="AW45" s="354">
        <f>-ROUND(+Details!$AQ$103/$W$2,0)</f>
        <v>0</v>
      </c>
      <c r="AX45" s="354">
        <f>-ROUND(+Details!$AQ$75/$W$2,0)</f>
        <v>0</v>
      </c>
      <c r="AY45" s="354">
        <f t="shared" si="7"/>
        <v>0</v>
      </c>
      <c r="AZ45" s="354">
        <f>-ROUND(+Details!$AQ$110/$W$2,0)</f>
        <v>0</v>
      </c>
      <c r="BA45" s="354">
        <f>-ROUND(+Details!$AQ$113/$W$2,0)</f>
        <v>0</v>
      </c>
      <c r="BB45" s="354">
        <f>-ROUND(+Details!$AQ$116/$W$2,0)</f>
        <v>0</v>
      </c>
      <c r="BC45" s="354">
        <f t="shared" si="8"/>
        <v>0</v>
      </c>
      <c r="BD45" s="354">
        <f>-ROUND(+Details!$AQ$111/$W$2,0)</f>
        <v>0</v>
      </c>
      <c r="BE45" s="354">
        <f>-ROUND(+Details!$AQ$114/$W$2,0)</f>
        <v>0</v>
      </c>
      <c r="BF45" s="354">
        <f>-ROUND(+Details!$AQ$117/$W$2,0)</f>
        <v>0</v>
      </c>
      <c r="BG45" s="354">
        <f t="shared" si="9"/>
        <v>0</v>
      </c>
      <c r="BH45" s="354">
        <f>-ROUND(+Details!$AQ$123/$W$2,0)</f>
        <v>0</v>
      </c>
      <c r="BI45" s="354">
        <f>-ROUND(+Details!$AQ$126/$W$2,0)</f>
        <v>0</v>
      </c>
      <c r="BJ45" s="354">
        <f>-ROUND(+Details!$AQ$76/$W$2,0)</f>
        <v>0</v>
      </c>
      <c r="BK45" s="354">
        <f>-ROUND(+Details!$AQ$127/$W$2,0)</f>
        <v>0</v>
      </c>
      <c r="BL45" s="354">
        <f t="shared" si="10"/>
        <v>0</v>
      </c>
      <c r="BM45" s="354">
        <f>-ROUND(+Details!$AQ$124/$W$2,0)</f>
        <v>0</v>
      </c>
      <c r="BN45" s="354">
        <f>-ROUND(+Details!$AQ$134/$W$2,0)</f>
        <v>0</v>
      </c>
      <c r="BO45" s="354">
        <f>-ROUND(+Details!$AQ$135/$W$2,0)</f>
        <v>0</v>
      </c>
      <c r="BP45" s="354">
        <f t="shared" si="11"/>
        <v>0</v>
      </c>
      <c r="BQ45" s="354">
        <f t="shared" si="4"/>
        <v>0</v>
      </c>
      <c r="BR45" s="354">
        <f t="shared" si="12"/>
        <v>0</v>
      </c>
      <c r="BS45" s="354"/>
      <c r="BT45" s="354">
        <f>ROUND(+Details!$AQ$248/$W$2,0)</f>
        <v>0</v>
      </c>
      <c r="BU45" s="354">
        <f>ROUND(+Details!$AQ$251/$W$2,0)</f>
        <v>0</v>
      </c>
      <c r="BV45" s="354">
        <f>ROUND(+Details!$AQ$254/$W$2,0)</f>
        <v>0</v>
      </c>
      <c r="BW45" s="354">
        <f>ROUND(+Details!$AQ$257/$W$2,0)</f>
        <v>0</v>
      </c>
      <c r="BX45" s="354">
        <f>ROUND(+Details!$AQ$258/$W$2,0)</f>
        <v>0</v>
      </c>
      <c r="BY45" s="354">
        <f t="shared" si="5"/>
        <v>0</v>
      </c>
      <c r="BZ45" s="354"/>
      <c r="CA45" s="354"/>
      <c r="CB45" s="1715"/>
      <c r="CC45" s="1715"/>
      <c r="CD45" s="1716"/>
      <c r="CE45" s="1712"/>
      <c r="CF45" s="1712"/>
      <c r="CG45" s="1712"/>
      <c r="CH45" s="1712"/>
      <c r="CI45" s="1712"/>
      <c r="CJ45" s="1712"/>
      <c r="CK45" s="1712"/>
      <c r="CL45" s="1712"/>
      <c r="CM45" s="1712"/>
      <c r="CN45" s="1712"/>
      <c r="CO45" s="1712"/>
    </row>
    <row r="46" spans="2:93">
      <c r="B46" s="271">
        <f t="shared" si="13"/>
        <v>39</v>
      </c>
      <c r="C46" s="541">
        <f>+Details!AR$4</f>
        <v>100</v>
      </c>
      <c r="D46" s="541">
        <f>+Details!AR$5</f>
        <v>99</v>
      </c>
      <c r="E46" s="540">
        <f>+Details!$AR$7</f>
        <v>2057</v>
      </c>
      <c r="F46" s="354">
        <f>ROUND(+Details!$AR$8/$W$2,0)</f>
        <v>0</v>
      </c>
      <c r="G46" s="354">
        <f>ROUND(+Details!$AR$11/$W$2,0)</f>
        <v>0</v>
      </c>
      <c r="H46" s="354">
        <f>ROUND(+Details!$AR$14/$W$2,0)</f>
        <v>0</v>
      </c>
      <c r="I46" s="354">
        <f>ROUND(+Details!$AR$17/$W$2,0)</f>
        <v>0</v>
      </c>
      <c r="J46" s="354">
        <f>ROUND(+Details!$AR$18/$W$2,0)</f>
        <v>0</v>
      </c>
      <c r="K46" s="354">
        <f t="shared" si="0"/>
        <v>0</v>
      </c>
      <c r="M46" s="354">
        <f>ROUND(+Details!$AR$28/$W$2,0)</f>
        <v>0</v>
      </c>
      <c r="N46" s="354">
        <f>ROUND(+Details!$AR$31/$W$2,0)</f>
        <v>0</v>
      </c>
      <c r="O46" s="354">
        <f>ROUND(+Details!$AR$34/$W$2,0)</f>
        <v>0</v>
      </c>
      <c r="P46" s="354">
        <f>ROUND(+Details!$AR$37/$W$2,0)</f>
        <v>0</v>
      </c>
      <c r="Q46" s="354">
        <f>ROUND(+Details!$AR$38/$W$2,0)</f>
        <v>0</v>
      </c>
      <c r="R46" s="354">
        <f>ROUND(+Details!$AR$49/$W$2,0)</f>
        <v>0</v>
      </c>
      <c r="S46" s="354">
        <f>ROUND(+Details!$AR$60/$W$2,0)</f>
        <v>0</v>
      </c>
      <c r="T46" s="354">
        <f>ROUND(+Details!$AR$65/$W$2,0)</f>
        <v>0</v>
      </c>
      <c r="U46" s="354">
        <f>ROUND((Details!$AR$66+Details!$AR$67)/$W$2,0)</f>
        <v>0</v>
      </c>
      <c r="V46" s="354">
        <f>ROUND((Details!$AR$68+Details!$AR$69)/$W$2,0)</f>
        <v>0</v>
      </c>
      <c r="W46" s="354">
        <f t="shared" si="14"/>
        <v>0</v>
      </c>
      <c r="Y46" s="354">
        <f>ROUND(Details!$AR$144/$W$2,0)</f>
        <v>0</v>
      </c>
      <c r="Z46" s="354">
        <f>ROUND(Details!$AR$145/$W$2,0)</f>
        <v>0</v>
      </c>
      <c r="AA46" s="354">
        <f>ROUND(-Details!$AR$234/$W$2,0)</f>
        <v>0</v>
      </c>
      <c r="AB46" s="354">
        <f>ROUND(-Details!$AR$236/$W$2,0)</f>
        <v>0</v>
      </c>
      <c r="AC46" s="354">
        <f>ROUND(-Details!$AR$237/$W$2,0)</f>
        <v>0</v>
      </c>
      <c r="AD46" s="354">
        <f>ROUND(-Details!$AR$238/$W$2,0)</f>
        <v>0</v>
      </c>
      <c r="AE46" s="354">
        <f>ROUND(-Details!$AR$96/$W$2,0)</f>
        <v>0</v>
      </c>
      <c r="AF46" s="354">
        <f>ROUND(-Details!$AR$107/$W$2,0)</f>
        <v>0</v>
      </c>
      <c r="AG46" s="354">
        <f>ROUND(-Details!$AR$127/$W$2,0)</f>
        <v>0</v>
      </c>
      <c r="AH46" s="354">
        <f>-ROUND(-Details!$AR$137/$W$2,0)</f>
        <v>0</v>
      </c>
      <c r="AI46" s="354">
        <f>-ROUND(Details!$AR$240/$W$2,0)</f>
        <v>0</v>
      </c>
      <c r="AJ46" s="354">
        <f t="shared" si="2"/>
        <v>0</v>
      </c>
      <c r="AL46" s="354">
        <f t="shared" si="3"/>
        <v>0</v>
      </c>
      <c r="AN46" s="354">
        <f>-ROUND(+Details!$AR$94/$W$2,0)</f>
        <v>0</v>
      </c>
      <c r="AO46" s="354">
        <f>ROUND(+Details!$AR$133/$W$2,0)</f>
        <v>0</v>
      </c>
      <c r="AP46" s="354">
        <f>-ROUND(+Details!$AR$91/$W$2,0)</f>
        <v>0</v>
      </c>
      <c r="AQ46" s="354">
        <f>-ROUND(+Details!$AR$95/$W$2,0)</f>
        <v>0</v>
      </c>
      <c r="AR46" s="354">
        <f>-ROUND(+Details!$AR$96/$W$2,0)</f>
        <v>0</v>
      </c>
      <c r="AS46" s="354">
        <f>-ROUND(+Details!$AR$74/$W$2,0)</f>
        <v>0</v>
      </c>
      <c r="AT46" s="354">
        <f t="shared" si="6"/>
        <v>0</v>
      </c>
      <c r="AU46" s="354">
        <f>-ROUND(+Details!$AR$102/$W$2,0)</f>
        <v>0</v>
      </c>
      <c r="AV46" s="354">
        <f>-ROUND(+Details!$AR$99/$W$2,0)</f>
        <v>0</v>
      </c>
      <c r="AW46" s="354">
        <f>-ROUND(+Details!$AR$103/$W$2,0)</f>
        <v>0</v>
      </c>
      <c r="AX46" s="354">
        <f>-ROUND(+Details!$AR$75/$W$2,0)</f>
        <v>0</v>
      </c>
      <c r="AY46" s="354">
        <f t="shared" si="7"/>
        <v>0</v>
      </c>
      <c r="AZ46" s="354">
        <f>-ROUND(+Details!$AR$110/$W$2,0)</f>
        <v>0</v>
      </c>
      <c r="BA46" s="354">
        <f>-ROUND(+Details!$AR$113/$W$2,0)</f>
        <v>0</v>
      </c>
      <c r="BB46" s="354">
        <f>-ROUND(+Details!$AR$116/$W$2,0)</f>
        <v>0</v>
      </c>
      <c r="BC46" s="354">
        <f t="shared" si="8"/>
        <v>0</v>
      </c>
      <c r="BD46" s="354">
        <f>-ROUND(+Details!$AR$111/$W$2,0)</f>
        <v>0</v>
      </c>
      <c r="BE46" s="354">
        <f>-ROUND(+Details!$AR$114/$W$2,0)</f>
        <v>0</v>
      </c>
      <c r="BF46" s="354">
        <f>-ROUND(+Details!$AR$117/$W$2,0)</f>
        <v>0</v>
      </c>
      <c r="BG46" s="354">
        <f t="shared" si="9"/>
        <v>0</v>
      </c>
      <c r="BH46" s="354">
        <f>-ROUND(+Details!$AR$123/$W$2,0)</f>
        <v>0</v>
      </c>
      <c r="BI46" s="354">
        <f>-ROUND(+Details!$AR$126/$W$2,0)</f>
        <v>0</v>
      </c>
      <c r="BJ46" s="354">
        <f>-ROUND(+Details!$AR$76/$W$2,0)</f>
        <v>0</v>
      </c>
      <c r="BK46" s="354">
        <f>-ROUND(+Details!$AR$127/$W$2,0)</f>
        <v>0</v>
      </c>
      <c r="BL46" s="354">
        <f t="shared" si="10"/>
        <v>0</v>
      </c>
      <c r="BM46" s="354">
        <f>-ROUND(+Details!$AR$124/$W$2,0)</f>
        <v>0</v>
      </c>
      <c r="BN46" s="354">
        <f>-ROUND(+Details!$AR$134/$W$2,0)</f>
        <v>0</v>
      </c>
      <c r="BO46" s="354">
        <f>-ROUND(+Details!$AR$135/$W$2,0)</f>
        <v>0</v>
      </c>
      <c r="BP46" s="354">
        <f t="shared" si="11"/>
        <v>0</v>
      </c>
      <c r="BQ46" s="354">
        <f t="shared" si="4"/>
        <v>0</v>
      </c>
      <c r="BR46" s="354">
        <f t="shared" si="12"/>
        <v>0</v>
      </c>
      <c r="BS46" s="354"/>
      <c r="BT46" s="354">
        <f>ROUND(+Details!$AR$248/$W$2,0)</f>
        <v>0</v>
      </c>
      <c r="BU46" s="354">
        <f>ROUND(+Details!$AR$251/$W$2,0)</f>
        <v>0</v>
      </c>
      <c r="BV46" s="354">
        <f>ROUND(+Details!$AR$254/$W$2,0)</f>
        <v>0</v>
      </c>
      <c r="BW46" s="354">
        <f>ROUND(+Details!$AR$257/$W$2,0)</f>
        <v>0</v>
      </c>
      <c r="BX46" s="354">
        <f>ROUND(+Details!$AR$258/$W$2,0)</f>
        <v>0</v>
      </c>
      <c r="BY46" s="354">
        <f t="shared" si="5"/>
        <v>0</v>
      </c>
      <c r="BZ46" s="354"/>
      <c r="CA46" s="354"/>
      <c r="CB46" s="1715"/>
      <c r="CC46" s="1715"/>
      <c r="CD46" s="1716"/>
      <c r="CE46" s="1712"/>
      <c r="CF46" s="1712"/>
      <c r="CG46" s="1712"/>
      <c r="CH46" s="1712"/>
      <c r="CI46" s="1712"/>
      <c r="CJ46" s="1712"/>
      <c r="CK46" s="1712"/>
      <c r="CL46" s="1712"/>
      <c r="CM46" s="1712"/>
      <c r="CN46" s="1712"/>
      <c r="CO46" s="1712"/>
    </row>
    <row r="47" spans="2:93">
      <c r="B47" s="271">
        <f t="shared" si="13"/>
        <v>40</v>
      </c>
      <c r="C47" s="541">
        <f>+Details!AS$4</f>
        <v>101</v>
      </c>
      <c r="D47" s="541">
        <f>+Details!AS$5</f>
        <v>100</v>
      </c>
      <c r="E47" s="540">
        <f>+Details!$AS$7</f>
        <v>2058</v>
      </c>
      <c r="F47" s="354">
        <f>ROUND(+Details!$AS$8/$W$2,0)</f>
        <v>0</v>
      </c>
      <c r="G47" s="354">
        <f>ROUND(+Details!$AS$11/$W$2,0)</f>
        <v>0</v>
      </c>
      <c r="H47" s="354">
        <f>ROUND(+Details!$AS$14/$W$2,0)</f>
        <v>0</v>
      </c>
      <c r="I47" s="354">
        <f>ROUND(+Details!$AS$17/$W$2,0)</f>
        <v>0</v>
      </c>
      <c r="J47" s="354">
        <f>ROUND(+Details!$AS$18/$W$2,0)</f>
        <v>0</v>
      </c>
      <c r="K47" s="354">
        <f t="shared" si="0"/>
        <v>0</v>
      </c>
      <c r="M47" s="578">
        <f>ROUND(+Details!$AS$28/$W$2,0)</f>
        <v>0</v>
      </c>
      <c r="N47" s="578">
        <f>ROUND(+Details!$AS$31/$W$2,0)</f>
        <v>0</v>
      </c>
      <c r="O47" s="578">
        <f>ROUND(+Details!$AS$34/$W$2,0)</f>
        <v>0</v>
      </c>
      <c r="P47" s="578">
        <f>ROUND(+Details!$AS$37/$W$2,0)</f>
        <v>0</v>
      </c>
      <c r="Q47" s="578">
        <f>ROUND(+Details!$AS$38/$W$2,0)</f>
        <v>0</v>
      </c>
      <c r="R47" s="578">
        <f>ROUND(+Details!$AS$49/$W$2,0)</f>
        <v>0</v>
      </c>
      <c r="S47" s="578">
        <f>ROUND(+Details!$AS$60/$W$2,0)</f>
        <v>0</v>
      </c>
      <c r="T47" s="578">
        <f>ROUND(+Details!$AS$65/$W$2,0)</f>
        <v>0</v>
      </c>
      <c r="U47" s="578">
        <f>ROUND((Details!$AS$66+Details!$AS$67)/$W$2,0)</f>
        <v>0</v>
      </c>
      <c r="V47" s="578">
        <f>ROUND((Details!$AS$68+Details!$AS$69)/$W$2,0)</f>
        <v>0</v>
      </c>
      <c r="W47" s="578">
        <f t="shared" si="14"/>
        <v>0</v>
      </c>
      <c r="Y47" s="578">
        <f>ROUND(Details!$AS$144/$W$2,0)</f>
        <v>0</v>
      </c>
      <c r="Z47" s="578">
        <f>ROUND(Details!$AS$145/$W$2,0)</f>
        <v>0</v>
      </c>
      <c r="AA47" s="578">
        <f>ROUND(-Details!$AS$234/$W$2,0)</f>
        <v>0</v>
      </c>
      <c r="AB47" s="578">
        <f>ROUND(-Details!$AS$236/$W$2,0)</f>
        <v>0</v>
      </c>
      <c r="AC47" s="578">
        <f>ROUND(-Details!$AS$237/$W$2,0)</f>
        <v>0</v>
      </c>
      <c r="AD47" s="578">
        <f>ROUND(-Details!$AS$238/$W$2,0)</f>
        <v>0</v>
      </c>
      <c r="AE47" s="578">
        <f>ROUND(-Details!$AS$96/$W$2,0)</f>
        <v>0</v>
      </c>
      <c r="AF47" s="578">
        <f>ROUND(-Details!$AS$107/$W$2,0)</f>
        <v>0</v>
      </c>
      <c r="AG47" s="578">
        <f>ROUND(-Details!$AS$127/$W$2,0)</f>
        <v>0</v>
      </c>
      <c r="AH47" s="578">
        <f>-ROUND(-Details!$AS$137/$W$2,0)</f>
        <v>0</v>
      </c>
      <c r="AI47" s="578">
        <f>-ROUND(Details!$AS$240/$W$2,0)</f>
        <v>0</v>
      </c>
      <c r="AJ47" s="578">
        <f t="shared" si="2"/>
        <v>0</v>
      </c>
      <c r="AL47" s="354">
        <f t="shared" si="3"/>
        <v>0</v>
      </c>
      <c r="AN47" s="578">
        <f>-ROUND(+Details!$AS$94/$W$2,0)</f>
        <v>0</v>
      </c>
      <c r="AO47" s="578">
        <f>ROUND(+Details!$AS$133/$W$2,0)</f>
        <v>0</v>
      </c>
      <c r="AP47" s="578">
        <f>-ROUND(+Details!$AS$91/$W$2,0)</f>
        <v>0</v>
      </c>
      <c r="AQ47" s="578">
        <f>-ROUND(+Details!$AS$95/$W$2,0)</f>
        <v>0</v>
      </c>
      <c r="AR47" s="578">
        <f>-ROUND(+Details!$AS$96/$W$2,0)</f>
        <v>0</v>
      </c>
      <c r="AS47" s="578">
        <f>-ROUND(+Details!$AS$74/$W$2,0)</f>
        <v>0</v>
      </c>
      <c r="AT47" s="578">
        <f t="shared" si="6"/>
        <v>0</v>
      </c>
      <c r="AU47" s="578">
        <f>-ROUND(+Details!$AS$102/$W$2,0)</f>
        <v>0</v>
      </c>
      <c r="AV47" s="578">
        <f>-ROUND(+Details!$AS$99/$W$2,0)</f>
        <v>0</v>
      </c>
      <c r="AW47" s="578">
        <f>-ROUND(+Details!$AS$103/$W$2,0)</f>
        <v>0</v>
      </c>
      <c r="AX47" s="578">
        <f>-ROUND(+Details!$AS$75/$W$2,0)</f>
        <v>0</v>
      </c>
      <c r="AY47" s="578">
        <f t="shared" si="7"/>
        <v>0</v>
      </c>
      <c r="AZ47" s="578">
        <f>-ROUND(+Details!$AS$110/$W$2,0)</f>
        <v>0</v>
      </c>
      <c r="BA47" s="578">
        <f>-ROUND(+Details!$AS$113/$W$2,0)</f>
        <v>0</v>
      </c>
      <c r="BB47" s="578">
        <f>-ROUND(+Details!$AS$116/$W$2,0)</f>
        <v>0</v>
      </c>
      <c r="BC47" s="578">
        <f t="shared" si="8"/>
        <v>0</v>
      </c>
      <c r="BD47" s="578">
        <f>-ROUND(+Details!$AS$111/$W$2,0)</f>
        <v>0</v>
      </c>
      <c r="BE47" s="578">
        <f>-ROUND(+Details!$AS$114/$W$2,0)</f>
        <v>0</v>
      </c>
      <c r="BF47" s="578">
        <f>-ROUND(+Details!$AS$117/$W$2,0)</f>
        <v>0</v>
      </c>
      <c r="BG47" s="578">
        <f t="shared" si="9"/>
        <v>0</v>
      </c>
      <c r="BH47" s="578">
        <f>-ROUND(+Details!$AS$123/$W$2,0)</f>
        <v>0</v>
      </c>
      <c r="BI47" s="578">
        <f>-ROUND(+Details!$AS$126/$W$2,0)</f>
        <v>0</v>
      </c>
      <c r="BJ47" s="578">
        <f>-ROUND(+Details!$AS$76/$W$2,0)</f>
        <v>0</v>
      </c>
      <c r="BK47" s="578">
        <f>-ROUND(+Details!$AS$127/$W$2,0)</f>
        <v>0</v>
      </c>
      <c r="BL47" s="578">
        <f t="shared" si="10"/>
        <v>0</v>
      </c>
      <c r="BM47" s="578">
        <f>-ROUND(+Details!$AS$124/$W$2,0)</f>
        <v>0</v>
      </c>
      <c r="BN47" s="578">
        <f>-ROUND(+Details!$AS$134/$W$2,0)</f>
        <v>0</v>
      </c>
      <c r="BO47" s="578">
        <f>-ROUND(+Details!$AS$135/$W$2,0)</f>
        <v>0</v>
      </c>
      <c r="BP47" s="578">
        <f t="shared" si="11"/>
        <v>0</v>
      </c>
      <c r="BQ47" s="578">
        <f t="shared" si="4"/>
        <v>0</v>
      </c>
      <c r="BR47" s="578">
        <f t="shared" si="12"/>
        <v>0</v>
      </c>
      <c r="BS47" s="585"/>
      <c r="BT47" s="354">
        <f>ROUND(+Details!$AS$248/$W$2,0)</f>
        <v>0</v>
      </c>
      <c r="BU47" s="354">
        <f>ROUND(+Details!$AS$251/$W$2,0)</f>
        <v>0</v>
      </c>
      <c r="BV47" s="354">
        <f>ROUND(+Details!$AS$254/$W$2,0)</f>
        <v>0</v>
      </c>
      <c r="BW47" s="354">
        <f>ROUND(+Details!$AS$257/$W$2,0)</f>
        <v>0</v>
      </c>
      <c r="BX47" s="354">
        <f>ROUND(+Details!$AS$258/$W$2,0)</f>
        <v>0</v>
      </c>
      <c r="BY47" s="354">
        <f>SUM(BT47:BX47)</f>
        <v>0</v>
      </c>
      <c r="BZ47" s="585"/>
      <c r="CA47" s="585"/>
      <c r="CB47" s="1715"/>
      <c r="CC47" s="1715"/>
      <c r="CD47" s="1716"/>
      <c r="CE47" s="1714"/>
      <c r="CF47" s="1712"/>
      <c r="CG47" s="1712"/>
      <c r="CH47" s="1712"/>
      <c r="CI47" s="1712"/>
      <c r="CJ47" s="1712"/>
      <c r="CK47" s="1712"/>
      <c r="CL47" s="1712"/>
      <c r="CM47" s="1712"/>
      <c r="CN47" s="1712"/>
      <c r="CO47" s="1712"/>
    </row>
    <row r="48" spans="2:93">
      <c r="B48" s="726" t="s">
        <v>1458</v>
      </c>
      <c r="C48" s="541"/>
      <c r="D48" s="541"/>
      <c r="F48" s="33">
        <f ca="1">ROUND(+Details!$E248/$W$2,0)</f>
        <v>1539</v>
      </c>
      <c r="G48" s="33">
        <f ca="1">ROUND(+Details!$E11/$W$2,0)</f>
        <v>726</v>
      </c>
      <c r="H48" s="33">
        <f ca="1">ROUND(+Details!$E14/$W$2,0)</f>
        <v>0</v>
      </c>
      <c r="I48" s="33">
        <f ca="1">ROUND(+Details!$E17/$W$2,0)</f>
        <v>438</v>
      </c>
      <c r="J48" s="33">
        <f ca="1">ROUND(+Details!$E18/$W$2,0)</f>
        <v>0</v>
      </c>
      <c r="K48" s="33">
        <f ca="1">SUM(F48:J48)</f>
        <v>2703</v>
      </c>
      <c r="M48" s="354">
        <f>SUM(M8:M47)</f>
        <v>751</v>
      </c>
      <c r="N48" s="354">
        <f t="shared" ref="N48:AJ48" si="15">SUM(N8:N47)</f>
        <v>1391</v>
      </c>
      <c r="O48" s="354">
        <f t="shared" si="15"/>
        <v>44</v>
      </c>
      <c r="P48" s="354">
        <f t="shared" si="15"/>
        <v>386</v>
      </c>
      <c r="Q48" s="354">
        <f t="shared" si="15"/>
        <v>0</v>
      </c>
      <c r="R48" s="354">
        <f t="shared" si="15"/>
        <v>1064</v>
      </c>
      <c r="S48" s="354">
        <f t="shared" si="15"/>
        <v>453</v>
      </c>
      <c r="T48" s="354">
        <f t="shared" si="15"/>
        <v>144</v>
      </c>
      <c r="U48" s="354">
        <f t="shared" si="15"/>
        <v>430</v>
      </c>
      <c r="V48" s="354">
        <f t="shared" si="15"/>
        <v>121</v>
      </c>
      <c r="W48" s="354">
        <f t="shared" si="15"/>
        <v>4784</v>
      </c>
      <c r="X48" s="354"/>
      <c r="Y48" s="354">
        <f t="shared" si="15"/>
        <v>3105</v>
      </c>
      <c r="Z48" s="354">
        <f t="shared" si="15"/>
        <v>371</v>
      </c>
      <c r="AA48" s="354">
        <f t="shared" si="15"/>
        <v>-100</v>
      </c>
      <c r="AB48" s="354">
        <f t="shared" ref="AB48:AG48" si="16">SUM(AB8:AB47)</f>
        <v>-500</v>
      </c>
      <c r="AC48" s="354">
        <f t="shared" si="16"/>
        <v>100</v>
      </c>
      <c r="AD48" s="354">
        <f t="shared" si="16"/>
        <v>100</v>
      </c>
      <c r="AE48" s="354">
        <f t="shared" si="16"/>
        <v>0</v>
      </c>
      <c r="AF48" s="354">
        <f t="shared" si="16"/>
        <v>-100</v>
      </c>
      <c r="AG48" s="354">
        <f t="shared" si="16"/>
        <v>0</v>
      </c>
      <c r="AH48" s="354">
        <f>SUM(AH8:AH47)</f>
        <v>-100</v>
      </c>
      <c r="AI48" s="354">
        <f t="shared" si="15"/>
        <v>-400</v>
      </c>
      <c r="AJ48" s="354">
        <f t="shared" si="15"/>
        <v>3076</v>
      </c>
      <c r="AN48" s="354">
        <f t="shared" ref="AN48:BR48" si="17">SUM(AN8:AN47)</f>
        <v>487</v>
      </c>
      <c r="AO48" s="354">
        <f t="shared" si="17"/>
        <v>0</v>
      </c>
      <c r="AP48" s="354">
        <f t="shared" si="17"/>
        <v>402</v>
      </c>
      <c r="AQ48" s="354">
        <f t="shared" si="17"/>
        <v>0</v>
      </c>
      <c r="AR48" s="354">
        <f t="shared" si="17"/>
        <v>0</v>
      </c>
      <c r="AS48" s="354">
        <f>SUM(AS8:AS47)</f>
        <v>0</v>
      </c>
      <c r="AT48" s="354">
        <f t="shared" si="17"/>
        <v>402</v>
      </c>
      <c r="AU48" s="354">
        <f t="shared" si="17"/>
        <v>533</v>
      </c>
      <c r="AV48" s="354">
        <f t="shared" si="17"/>
        <v>0</v>
      </c>
      <c r="AW48" s="354">
        <f t="shared" si="17"/>
        <v>0</v>
      </c>
      <c r="AX48" s="354">
        <f t="shared" si="17"/>
        <v>63</v>
      </c>
      <c r="AY48" s="354">
        <f t="shared" si="17"/>
        <v>0</v>
      </c>
      <c r="AZ48" s="354">
        <f t="shared" si="17"/>
        <v>41</v>
      </c>
      <c r="BA48" s="354">
        <f t="shared" si="17"/>
        <v>12</v>
      </c>
      <c r="BB48" s="354">
        <f t="shared" si="17"/>
        <v>0</v>
      </c>
      <c r="BC48" s="354">
        <f t="shared" si="17"/>
        <v>12</v>
      </c>
      <c r="BD48" s="354">
        <f t="shared" si="17"/>
        <v>89</v>
      </c>
      <c r="BE48" s="354">
        <f t="shared" si="17"/>
        <v>3</v>
      </c>
      <c r="BF48" s="354">
        <f t="shared" si="17"/>
        <v>0</v>
      </c>
      <c r="BG48" s="354">
        <f t="shared" si="17"/>
        <v>3</v>
      </c>
      <c r="BH48" s="354">
        <f t="shared" si="17"/>
        <v>12</v>
      </c>
      <c r="BI48" s="354">
        <f t="shared" si="17"/>
        <v>0</v>
      </c>
      <c r="BJ48" s="354">
        <f t="shared" si="17"/>
        <v>4</v>
      </c>
      <c r="BK48" s="354">
        <f t="shared" si="17"/>
        <v>0</v>
      </c>
      <c r="BL48" s="354">
        <f t="shared" si="17"/>
        <v>12</v>
      </c>
      <c r="BM48" s="354">
        <f t="shared" si="17"/>
        <v>39</v>
      </c>
      <c r="BN48" s="354">
        <f t="shared" si="17"/>
        <v>0</v>
      </c>
      <c r="BO48" s="354">
        <f t="shared" si="17"/>
        <v>0</v>
      </c>
      <c r="BP48" s="354">
        <f t="shared" si="17"/>
        <v>0</v>
      </c>
      <c r="BQ48" s="354">
        <f t="shared" si="17"/>
        <v>100</v>
      </c>
      <c r="BR48" s="354">
        <f t="shared" si="17"/>
        <v>1655</v>
      </c>
      <c r="BS48" s="354"/>
      <c r="BT48" s="354"/>
      <c r="BU48" s="354"/>
      <c r="BV48" s="354"/>
      <c r="BW48" s="354"/>
      <c r="BX48" s="354"/>
      <c r="BY48" s="354"/>
      <c r="BZ48" s="354"/>
      <c r="CA48" s="354"/>
      <c r="CB48" s="354"/>
      <c r="CC48" s="354"/>
      <c r="CD48" s="354"/>
      <c r="CE48" s="354"/>
      <c r="CF48" s="354"/>
      <c r="CG48" s="354"/>
      <c r="CH48" s="354"/>
      <c r="CI48" s="354"/>
      <c r="CJ48" s="354"/>
      <c r="CK48" s="354"/>
      <c r="CL48" s="354"/>
    </row>
    <row r="49" spans="1:93">
      <c r="B49" s="726" t="s">
        <v>1264</v>
      </c>
      <c r="E49" s="152">
        <f ca="1">+K48-K49</f>
        <v>1</v>
      </c>
      <c r="K49" s="33">
        <f ca="1">ROUND(Details!E$19/$W$2,0)</f>
        <v>2702</v>
      </c>
    </row>
    <row r="50" spans="1:93" ht="25.2" customHeight="1">
      <c r="CM50" s="1116"/>
    </row>
    <row r="51" spans="1:93" ht="17.399999999999999">
      <c r="A51" s="69"/>
      <c r="B51" s="407" t="s">
        <v>1880</v>
      </c>
      <c r="C51" s="407"/>
      <c r="D51" s="407"/>
      <c r="E51" s="69"/>
      <c r="F51" s="69"/>
      <c r="G51" s="69"/>
      <c r="H51" s="69"/>
      <c r="I51" s="69"/>
      <c r="J51" s="69"/>
      <c r="K51" s="69"/>
      <c r="L51" s="354"/>
      <c r="M51" s="231"/>
      <c r="N51" s="354"/>
      <c r="O51" s="354"/>
      <c r="P51" s="354"/>
      <c r="Q51" s="354"/>
      <c r="R51" s="354"/>
      <c r="S51" s="354"/>
      <c r="T51" s="354"/>
      <c r="U51" s="354"/>
      <c r="V51" s="354"/>
      <c r="W51" s="354"/>
      <c r="X51" s="354"/>
      <c r="Y51" s="354"/>
      <c r="Z51" s="354"/>
      <c r="AA51" s="354"/>
      <c r="AB51" s="354"/>
      <c r="AC51" s="354"/>
      <c r="AD51" s="354"/>
      <c r="AE51" s="354"/>
      <c r="AF51" s="354"/>
      <c r="AG51" s="354"/>
      <c r="AH51" s="354"/>
      <c r="AI51" s="354"/>
      <c r="AJ51" s="550"/>
      <c r="AK51" s="354"/>
      <c r="AL51" s="354"/>
      <c r="AO51" s="1017"/>
      <c r="AP51" s="524"/>
      <c r="AQ51" s="524"/>
      <c r="AR51" s="524"/>
      <c r="AS51" s="524"/>
      <c r="AT51" s="524"/>
      <c r="AU51" s="1017"/>
      <c r="AV51" s="869"/>
      <c r="AW51" s="869"/>
      <c r="AX51" s="869"/>
      <c r="AY51" s="869"/>
      <c r="AZ51" s="1017"/>
      <c r="BA51" s="869"/>
      <c r="BB51" s="869"/>
      <c r="BC51" s="869"/>
      <c r="BD51" s="1017"/>
      <c r="BE51" s="869"/>
      <c r="BF51" s="869"/>
      <c r="BG51" s="1017"/>
      <c r="BH51" s="869"/>
      <c r="BI51" s="869"/>
      <c r="BJ51" s="869"/>
      <c r="BK51" s="869"/>
      <c r="BL51" s="524"/>
      <c r="BM51" s="1017"/>
      <c r="BN51" s="524"/>
      <c r="BO51" s="524"/>
      <c r="BP51" s="524"/>
      <c r="BQ51" s="524"/>
      <c r="BR51" s="524"/>
      <c r="BS51" s="524"/>
      <c r="BT51" s="524"/>
      <c r="BU51" s="524"/>
      <c r="BV51" s="524"/>
      <c r="BW51" s="524"/>
      <c r="BX51" s="524"/>
      <c r="BY51" s="524"/>
      <c r="BZ51" s="524"/>
      <c r="CA51" s="524"/>
      <c r="CB51" s="524"/>
      <c r="CC51" s="524"/>
      <c r="CD51" s="524"/>
      <c r="CE51" s="524"/>
      <c r="CF51" s="524"/>
      <c r="CG51" s="524"/>
      <c r="CH51" s="524"/>
      <c r="CI51" s="524"/>
      <c r="CJ51" s="524"/>
      <c r="CK51" s="524"/>
      <c r="CL51" s="524"/>
      <c r="CM51" s="693"/>
      <c r="CN51" s="693"/>
      <c r="CO51" s="693"/>
    </row>
    <row r="52" spans="1:93" ht="15.6">
      <c r="G52" s="354"/>
      <c r="H52" s="354"/>
      <c r="I52" s="354"/>
      <c r="J52" s="354"/>
      <c r="K52" s="354"/>
      <c r="L52" s="354"/>
      <c r="M52" s="354"/>
      <c r="N52" s="354"/>
      <c r="O52" s="354"/>
      <c r="P52" s="354"/>
      <c r="Q52" s="354"/>
      <c r="R52" s="354"/>
      <c r="S52" s="354"/>
      <c r="T52" s="354"/>
      <c r="U52" s="354"/>
      <c r="V52" s="354"/>
      <c r="W52" s="354"/>
      <c r="X52" s="354"/>
      <c r="Y52" s="354"/>
      <c r="Z52" s="354"/>
      <c r="AA52" s="354"/>
      <c r="AB52" s="354"/>
      <c r="AC52" s="354"/>
      <c r="AD52" s="354"/>
      <c r="AE52" s="354"/>
      <c r="AF52" s="354"/>
      <c r="AG52" s="354"/>
      <c r="AH52" s="354"/>
      <c r="AI52" s="354"/>
      <c r="AJ52" s="550"/>
      <c r="AK52" s="354"/>
      <c r="AL52" s="80" t="s">
        <v>474</v>
      </c>
      <c r="CM52" s="693"/>
      <c r="CN52" s="693"/>
      <c r="CO52" s="693"/>
    </row>
    <row r="53" spans="1:93" ht="16.2" thickBot="1">
      <c r="C53" s="571"/>
      <c r="D53" s="571"/>
      <c r="E53" s="572"/>
      <c r="F53" s="1150" t="s">
        <v>327</v>
      </c>
      <c r="G53" s="1150"/>
      <c r="H53" s="1150"/>
      <c r="I53" s="1150"/>
      <c r="J53" s="1150"/>
      <c r="K53" s="1150"/>
      <c r="L53" s="573"/>
      <c r="M53" s="1148" t="s">
        <v>448</v>
      </c>
      <c r="N53" s="1148"/>
      <c r="O53" s="1148"/>
      <c r="P53" s="1148"/>
      <c r="Q53" s="1148"/>
      <c r="R53" s="1148"/>
      <c r="S53" s="1148"/>
      <c r="T53" s="1148"/>
      <c r="U53" s="1148"/>
      <c r="V53" s="1148"/>
      <c r="W53" s="1148"/>
      <c r="X53" s="573"/>
      <c r="Y53" s="1148" t="s">
        <v>1557</v>
      </c>
      <c r="Z53" s="1149"/>
      <c r="AA53" s="1149"/>
      <c r="AB53" s="1149"/>
      <c r="AC53" s="1149"/>
      <c r="AD53" s="1149"/>
      <c r="AE53" s="1149"/>
      <c r="AF53" s="1149"/>
      <c r="AG53" s="1149"/>
      <c r="AH53" s="1149"/>
      <c r="AI53" s="1149"/>
      <c r="AJ53" s="1149"/>
      <c r="AK53" s="574"/>
      <c r="AL53" s="587" t="s">
        <v>1320</v>
      </c>
      <c r="AN53" s="411" t="s">
        <v>364</v>
      </c>
      <c r="AO53" s="1050"/>
      <c r="AP53" s="1050"/>
      <c r="AQ53" s="1050"/>
      <c r="AR53" s="1050"/>
      <c r="AS53" s="1050"/>
      <c r="AT53" s="1050"/>
      <c r="AU53" s="1050"/>
      <c r="AV53" s="1050"/>
      <c r="AW53" s="1050"/>
      <c r="AX53" s="1050"/>
      <c r="AY53" s="1050"/>
      <c r="AZ53" s="1050"/>
      <c r="BA53" s="1050"/>
      <c r="BB53" s="1050"/>
      <c r="BC53" s="1050"/>
      <c r="BD53" s="1050"/>
      <c r="BE53" s="1050"/>
      <c r="BF53" s="1050"/>
      <c r="BG53" s="1050"/>
      <c r="BH53" s="1050"/>
      <c r="BI53" s="1050"/>
      <c r="BJ53" s="1050"/>
      <c r="BK53" s="1050"/>
      <c r="BL53" s="1050"/>
      <c r="BM53" s="1050"/>
      <c r="BN53" s="1050"/>
      <c r="BO53" s="1050"/>
      <c r="BP53" s="1050"/>
      <c r="BQ53" s="1050"/>
      <c r="BR53" s="630"/>
      <c r="BS53" s="630"/>
      <c r="BT53" s="1150" t="s">
        <v>143</v>
      </c>
      <c r="BU53" s="1150"/>
      <c r="BV53" s="1150"/>
      <c r="BW53" s="1150"/>
      <c r="BX53" s="1150"/>
      <c r="BY53" s="1150"/>
      <c r="BZ53" s="630"/>
      <c r="CA53" s="630"/>
      <c r="CB53" s="630"/>
      <c r="CC53" s="630"/>
      <c r="CD53" s="630"/>
      <c r="CE53" s="630"/>
      <c r="CF53" s="630"/>
      <c r="CG53" s="630"/>
      <c r="CH53" s="630"/>
      <c r="CI53" s="630"/>
      <c r="CJ53" s="630"/>
      <c r="CK53" s="630"/>
      <c r="CL53" s="630"/>
      <c r="CM53" s="693"/>
      <c r="CN53" s="693"/>
      <c r="CO53" s="693"/>
    </row>
    <row r="54" spans="1:93">
      <c r="C54" s="1669" t="s">
        <v>2170</v>
      </c>
      <c r="D54" s="1666"/>
      <c r="E54" s="572"/>
      <c r="F54" s="291"/>
      <c r="G54" s="575"/>
      <c r="H54" s="575" t="s">
        <v>330</v>
      </c>
      <c r="I54" s="575"/>
      <c r="J54" s="575" t="s">
        <v>1134</v>
      </c>
      <c r="K54" s="575"/>
      <c r="L54" s="573"/>
      <c r="M54" s="291"/>
      <c r="N54" s="575"/>
      <c r="O54" s="575" t="s">
        <v>330</v>
      </c>
      <c r="P54" s="575"/>
      <c r="Q54" s="575" t="s">
        <v>1134</v>
      </c>
      <c r="R54" s="1822" t="s">
        <v>1306</v>
      </c>
      <c r="S54" s="1822"/>
      <c r="T54" s="575"/>
      <c r="U54" s="575"/>
      <c r="V54" s="575"/>
      <c r="W54" s="573"/>
      <c r="X54" s="573"/>
      <c r="Y54" s="575"/>
      <c r="Z54" s="575"/>
      <c r="AA54" s="1228" t="s">
        <v>330</v>
      </c>
      <c r="AB54" s="1228" t="s">
        <v>1321</v>
      </c>
      <c r="AC54" s="1228" t="s">
        <v>1321</v>
      </c>
      <c r="AD54" s="1228" t="s">
        <v>88</v>
      </c>
      <c r="AE54" s="1228" t="s">
        <v>88</v>
      </c>
      <c r="AF54" s="1228" t="s">
        <v>177</v>
      </c>
      <c r="AG54" s="1228" t="s">
        <v>88</v>
      </c>
      <c r="AH54" s="1228"/>
      <c r="AJ54" s="575"/>
      <c r="AK54" s="573"/>
      <c r="AL54" s="575" t="s">
        <v>326</v>
      </c>
      <c r="AN54" s="1101" t="s">
        <v>1555</v>
      </c>
      <c r="AO54" s="794"/>
      <c r="AP54" s="794"/>
      <c r="AQ54" s="794"/>
      <c r="AR54" s="794"/>
      <c r="AS54" s="794"/>
      <c r="AT54" s="796"/>
      <c r="AU54" s="793" t="s">
        <v>1554</v>
      </c>
      <c r="AV54" s="794"/>
      <c r="AW54" s="794"/>
      <c r="AX54" s="794"/>
      <c r="AY54" s="796"/>
      <c r="AZ54" s="793" t="s">
        <v>1553</v>
      </c>
      <c r="BA54" s="794"/>
      <c r="BB54" s="794"/>
      <c r="BC54" s="796"/>
      <c r="BD54" s="793" t="s">
        <v>1552</v>
      </c>
      <c r="BE54" s="794"/>
      <c r="BF54" s="794"/>
      <c r="BG54" s="796"/>
      <c r="BH54" s="793" t="s">
        <v>1551</v>
      </c>
      <c r="BI54" s="1804"/>
      <c r="BJ54" s="1805"/>
      <c r="BK54" s="1805" t="s">
        <v>2309</v>
      </c>
      <c r="BL54" s="1806"/>
      <c r="BM54" s="796" t="s">
        <v>1556</v>
      </c>
      <c r="BN54" s="793" t="s">
        <v>316</v>
      </c>
      <c r="BO54" s="794"/>
      <c r="BP54" s="792" t="s">
        <v>1165</v>
      </c>
      <c r="BQ54" s="627"/>
      <c r="BR54" s="627" t="s">
        <v>1129</v>
      </c>
      <c r="BS54" s="627"/>
      <c r="BT54" s="291"/>
      <c r="BU54" s="575"/>
      <c r="BV54" s="575" t="s">
        <v>330</v>
      </c>
      <c r="BW54" s="575"/>
      <c r="BX54" s="575" t="s">
        <v>1134</v>
      </c>
      <c r="BY54" s="575"/>
      <c r="BZ54" s="627"/>
      <c r="CA54" s="627"/>
      <c r="CB54" s="627"/>
      <c r="CC54" s="627"/>
      <c r="CD54" s="627"/>
      <c r="CE54" s="627"/>
      <c r="CF54" s="627"/>
      <c r="CG54" s="627"/>
      <c r="CH54" s="627"/>
      <c r="CI54" s="627"/>
      <c r="CJ54" s="627"/>
      <c r="CK54" s="627"/>
      <c r="CL54" s="627"/>
      <c r="CM54" s="693"/>
      <c r="CN54" s="693"/>
      <c r="CO54" s="693"/>
    </row>
    <row r="55" spans="1:93">
      <c r="C55" s="564" t="s">
        <v>538</v>
      </c>
      <c r="D55" s="564" t="s">
        <v>714</v>
      </c>
      <c r="E55" s="576" t="s">
        <v>204</v>
      </c>
      <c r="F55" s="791" t="s">
        <v>979</v>
      </c>
      <c r="G55" s="565" t="s">
        <v>981</v>
      </c>
      <c r="H55" s="565" t="s">
        <v>981</v>
      </c>
      <c r="I55" s="565" t="s">
        <v>1134</v>
      </c>
      <c r="J55" s="565" t="s">
        <v>1165</v>
      </c>
      <c r="K55" s="565" t="s">
        <v>635</v>
      </c>
      <c r="L55" s="573"/>
      <c r="M55" s="791" t="s">
        <v>979</v>
      </c>
      <c r="N55" s="565" t="s">
        <v>981</v>
      </c>
      <c r="O55" s="565" t="s">
        <v>981</v>
      </c>
      <c r="P55" s="565" t="s">
        <v>1134</v>
      </c>
      <c r="Q55" s="565" t="s">
        <v>1165</v>
      </c>
      <c r="R55" s="565" t="s">
        <v>538</v>
      </c>
      <c r="S55" s="565" t="s">
        <v>643</v>
      </c>
      <c r="T55" s="565" t="s">
        <v>88</v>
      </c>
      <c r="U55" s="791" t="s">
        <v>1803</v>
      </c>
      <c r="V55" s="565" t="s">
        <v>614</v>
      </c>
      <c r="W55" s="565" t="s">
        <v>635</v>
      </c>
      <c r="X55" s="573"/>
      <c r="Y55" s="565" t="s">
        <v>205</v>
      </c>
      <c r="Z55" s="565" t="s">
        <v>1505</v>
      </c>
      <c r="AA55" s="1230" t="s">
        <v>178</v>
      </c>
      <c r="AB55" s="1230" t="s">
        <v>179</v>
      </c>
      <c r="AC55" s="1230" t="s">
        <v>329</v>
      </c>
      <c r="AD55" s="1230" t="s">
        <v>178</v>
      </c>
      <c r="AE55" s="1230" t="s">
        <v>981</v>
      </c>
      <c r="AF55" s="1230" t="s">
        <v>981</v>
      </c>
      <c r="AG55" s="1230" t="s">
        <v>1134</v>
      </c>
      <c r="AH55" s="1230" t="s">
        <v>409</v>
      </c>
      <c r="AI55" s="1444" t="s">
        <v>614</v>
      </c>
      <c r="AJ55" s="565" t="s">
        <v>635</v>
      </c>
      <c r="AK55" s="577"/>
      <c r="AL55" s="565" t="s">
        <v>204</v>
      </c>
      <c r="AN55" s="790" t="s">
        <v>469</v>
      </c>
      <c r="AO55" s="790" t="s">
        <v>1165</v>
      </c>
      <c r="AP55" s="1099" t="s">
        <v>470</v>
      </c>
      <c r="AQ55" s="1099" t="s">
        <v>7</v>
      </c>
      <c r="AR55" s="1099" t="s">
        <v>88</v>
      </c>
      <c r="AS55" s="1099" t="s">
        <v>1827</v>
      </c>
      <c r="AT55" s="1099" t="s">
        <v>470</v>
      </c>
      <c r="AU55" s="1099" t="s">
        <v>469</v>
      </c>
      <c r="AV55" s="1099" t="s">
        <v>470</v>
      </c>
      <c r="AW55" s="1099" t="s">
        <v>7</v>
      </c>
      <c r="AX55" s="1099" t="s">
        <v>1827</v>
      </c>
      <c r="AY55" s="1099" t="s">
        <v>470</v>
      </c>
      <c r="AZ55" s="1099" t="s">
        <v>469</v>
      </c>
      <c r="BA55" s="1099" t="s">
        <v>470</v>
      </c>
      <c r="BB55" s="1099" t="s">
        <v>7</v>
      </c>
      <c r="BC55" s="1099" t="s">
        <v>470</v>
      </c>
      <c r="BD55" s="1099" t="s">
        <v>469</v>
      </c>
      <c r="BE55" s="1099" t="s">
        <v>470</v>
      </c>
      <c r="BF55" s="1099" t="s">
        <v>7</v>
      </c>
      <c r="BG55" s="1099" t="s">
        <v>470</v>
      </c>
      <c r="BH55" s="1227" t="s">
        <v>470</v>
      </c>
      <c r="BI55" s="1227" t="s">
        <v>7</v>
      </c>
      <c r="BJ55" s="1099" t="s">
        <v>1827</v>
      </c>
      <c r="BK55" s="1099" t="s">
        <v>88</v>
      </c>
      <c r="BL55" s="1099" t="s">
        <v>470</v>
      </c>
      <c r="BM55" s="1099" t="s">
        <v>470</v>
      </c>
      <c r="BN55" s="1099" t="s">
        <v>470</v>
      </c>
      <c r="BO55" s="1099" t="s">
        <v>7</v>
      </c>
      <c r="BP55" s="790" t="s">
        <v>470</v>
      </c>
      <c r="BQ55" s="1100" t="s">
        <v>409</v>
      </c>
      <c r="BR55" s="791" t="s">
        <v>178</v>
      </c>
      <c r="BS55" s="627"/>
      <c r="BT55" s="791" t="s">
        <v>979</v>
      </c>
      <c r="BU55" s="791" t="s">
        <v>1085</v>
      </c>
      <c r="BV55" s="791" t="s">
        <v>1085</v>
      </c>
      <c r="BW55" s="791" t="s">
        <v>1086</v>
      </c>
      <c r="BX55" s="565" t="s">
        <v>1165</v>
      </c>
      <c r="BY55" s="565" t="s">
        <v>635</v>
      </c>
      <c r="BZ55" s="627"/>
      <c r="CA55" s="627"/>
      <c r="CB55" s="627"/>
      <c r="CC55" s="627"/>
      <c r="CD55" s="627"/>
      <c r="CE55" s="627"/>
      <c r="CF55" s="627"/>
      <c r="CG55" s="627"/>
      <c r="CH55" s="627"/>
      <c r="CI55" s="627"/>
      <c r="CJ55" s="627"/>
      <c r="CK55" s="627"/>
      <c r="CL55" s="627"/>
      <c r="CM55" s="693"/>
      <c r="CN55" s="693"/>
      <c r="CO55" s="693"/>
    </row>
    <row r="56" spans="1:93">
      <c r="B56" s="271">
        <v>1</v>
      </c>
      <c r="C56" s="541">
        <f>+Base!F$4</f>
        <v>62</v>
      </c>
      <c r="D56" s="541">
        <f>+Base!F$5</f>
        <v>61</v>
      </c>
      <c r="E56" s="540">
        <f>+Base!F$7</f>
        <v>2019</v>
      </c>
      <c r="F56" s="354">
        <f>ROUND(+Base!$F$8/$W$2,1)</f>
        <v>200</v>
      </c>
      <c r="G56" s="354">
        <f>ROUND(+Base!$F$11/$W$2,0)</f>
        <v>700</v>
      </c>
      <c r="H56" s="354">
        <f>ROUND(+Base!$F$14/$W$2,0)</f>
        <v>0</v>
      </c>
      <c r="I56" s="354">
        <f>ROUND(+Base!$F$17/$W$2,0)</f>
        <v>100</v>
      </c>
      <c r="J56" s="354">
        <f>ROUND(+Base!$F$18/$W$2,0)</f>
        <v>0</v>
      </c>
      <c r="K56" s="354">
        <f>SUM(F56:J56)</f>
        <v>1000</v>
      </c>
      <c r="M56" s="354">
        <f>ROUND(+Base!$F$28/$W$2,0)</f>
        <v>10</v>
      </c>
      <c r="N56" s="354">
        <f>ROUND(+Base!$F$31/$W$2,0)</f>
        <v>43</v>
      </c>
      <c r="O56" s="354">
        <f>ROUND(+Base!$F$34/$W$2,0)</f>
        <v>0</v>
      </c>
      <c r="P56" s="354">
        <f>ROUND(+Base!$F$37/$W$2,0)</f>
        <v>6</v>
      </c>
      <c r="Q56" s="354">
        <f>ROUND(+Base!$F$38/$W$2,0)</f>
        <v>0</v>
      </c>
      <c r="R56" s="354">
        <f>ROUND(+Base!$F$49/$W$2,0)</f>
        <v>0</v>
      </c>
      <c r="S56" s="354">
        <f>ROUND(+Base!$F$60/$W$2,0)</f>
        <v>0</v>
      </c>
      <c r="T56" s="354">
        <f>ROUND(+Base!$F$65/$W$2,0)</f>
        <v>0</v>
      </c>
      <c r="U56" s="354">
        <f>ROUND((Base!$F$66+Base!$F$67)/$W$2,0)</f>
        <v>10</v>
      </c>
      <c r="V56" s="354">
        <f>ROUND((Base!$F$68+Base!$F$69)/$W$2,0)</f>
        <v>10</v>
      </c>
      <c r="W56" s="354">
        <f>SUM(M56:V56)</f>
        <v>79</v>
      </c>
      <c r="Y56" s="354">
        <f>ROUND(+Base!$F$144/$W$2,0)</f>
        <v>70</v>
      </c>
      <c r="Z56" s="354">
        <f>ROUND(+Base!$F$145/$W$2,0)</f>
        <v>5</v>
      </c>
      <c r="AA56" s="354">
        <f>ROUND(-Base!$F$234/$W$2,0)</f>
        <v>0</v>
      </c>
      <c r="AB56" s="354">
        <f>ROUND(-Base!$F$236/$W$2,0)</f>
        <v>0</v>
      </c>
      <c r="AC56" s="354">
        <f>ROUND(-Base!$F$237/$W$2,0)</f>
        <v>0</v>
      </c>
      <c r="AD56" s="354">
        <f>ROUND(-Base!$F$238/$W$2,0)</f>
        <v>0</v>
      </c>
      <c r="AE56" s="354">
        <f>ROUND(-Base!$F$96/$W$2,0)</f>
        <v>0</v>
      </c>
      <c r="AF56" s="354">
        <f>ROUND(-Base!$F$107/$W$2,0)</f>
        <v>0</v>
      </c>
      <c r="AG56" s="354">
        <f>ROUND(-Base!$F$127/$W$2,0)</f>
        <v>0</v>
      </c>
      <c r="AH56" s="354">
        <f>-ROUND(-Base!$F$137/$W$2,0)</f>
        <v>0</v>
      </c>
      <c r="AI56" s="354">
        <f>-ROUND(+Base!$F$240/$W$2,0)</f>
        <v>0</v>
      </c>
      <c r="AJ56" s="354">
        <f t="shared" ref="AJ56:AJ95" si="18">+Y56+Z56+AI56</f>
        <v>75</v>
      </c>
      <c r="AL56" s="354">
        <f t="shared" ref="AL56:AL95" si="19">+K56+W56-AJ56</f>
        <v>1004</v>
      </c>
      <c r="AN56" s="354">
        <f>-ROUND(+Base!$F$94/$W$2,0)</f>
        <v>0</v>
      </c>
      <c r="AO56" s="354">
        <f>ROUND(+Base!$F$133/$W$2,0)</f>
        <v>0</v>
      </c>
      <c r="AP56" s="354">
        <f>-ROUND(+Base!$F$91/$W$2,0)</f>
        <v>40</v>
      </c>
      <c r="AQ56" s="354">
        <f>-ROUND(+Base!$F$95/$W$2,0)</f>
        <v>0</v>
      </c>
      <c r="AR56" s="354">
        <f>-ROUND(+Base!$F$96/$W$2,0)</f>
        <v>0</v>
      </c>
      <c r="AS56" s="354">
        <f>-ROUND(+Base!$F$74/$W$2,0)</f>
        <v>0</v>
      </c>
      <c r="AT56" s="354">
        <f t="shared" ref="AT56:AT95" si="20">+AP56+AQ56</f>
        <v>40</v>
      </c>
      <c r="AU56" s="354">
        <f>-ROUND(+Base!$F$102/$W$2,0)</f>
        <v>0</v>
      </c>
      <c r="AV56" s="354">
        <f>-ROUND(+Base!$F$99/$W$2,0)</f>
        <v>0</v>
      </c>
      <c r="AW56" s="354">
        <f>-ROUND(+Base!$F$103/$W$2,0)</f>
        <v>0</v>
      </c>
      <c r="AX56" s="354">
        <f>-ROUND(+Base!$F$75/$W$2,0)</f>
        <v>7</v>
      </c>
      <c r="AY56" s="354">
        <f>+AV56+AW56</f>
        <v>0</v>
      </c>
      <c r="AZ56" s="354">
        <f>-ROUND(+Base!$F$110/$W$2,0)</f>
        <v>0</v>
      </c>
      <c r="BA56" s="354">
        <f>-ROUND(+Base!$F$113/$W$2,0)</f>
        <v>0</v>
      </c>
      <c r="BB56" s="354">
        <f>-ROUND(+Base!$F$116/$W$2,0)</f>
        <v>0</v>
      </c>
      <c r="BC56" s="354">
        <f>+BA56+BB56</f>
        <v>0</v>
      </c>
      <c r="BD56" s="354">
        <f>-ROUND(+Base!$F$111/$W$2,0)</f>
        <v>0</v>
      </c>
      <c r="BE56" s="354">
        <f>-ROUND(+Base!$F$114/$W$2,0)</f>
        <v>0</v>
      </c>
      <c r="BF56" s="354">
        <f>-ROUND(+Base!$F$117/$W$2,0)</f>
        <v>0</v>
      </c>
      <c r="BG56" s="354">
        <f>+BE56+BF56</f>
        <v>0</v>
      </c>
      <c r="BH56" s="354">
        <f>-ROUND(+Base!$F$123/$W$2,0)</f>
        <v>0</v>
      </c>
      <c r="BI56" s="354">
        <f>-ROUND(+Base!$F$126/$W$2,0)</f>
        <v>0</v>
      </c>
      <c r="BJ56" s="354">
        <f>-ROUND(+Base!$F$76/$W$2,0)</f>
        <v>1</v>
      </c>
      <c r="BK56" s="354">
        <f>-ROUND(+Base!$F$127/$W$2,0)</f>
        <v>0</v>
      </c>
      <c r="BL56" s="354">
        <f t="shared" ref="BL56:BL95" si="21">+BH56+BI56</f>
        <v>0</v>
      </c>
      <c r="BM56" s="354">
        <f>-ROUND(+Base!$F$124/$W$2,0)</f>
        <v>0</v>
      </c>
      <c r="BN56" s="354">
        <f>-ROUND(+Base!$F$134/$W$2,0)</f>
        <v>0</v>
      </c>
      <c r="BO56" s="354">
        <f>-ROUND(+Base!$F$135/$W$2,0)</f>
        <v>0</v>
      </c>
      <c r="BP56" s="354">
        <f>+BN56+BO56</f>
        <v>0</v>
      </c>
      <c r="BQ56" s="354">
        <f t="shared" ref="BQ56:BQ95" si="22">-AH56</f>
        <v>0</v>
      </c>
      <c r="BR56" s="354">
        <f t="shared" ref="BR56:BR95" si="23">+AN56+AR56+AT56+AU56+AY56+AZ56+BC56+BD56+BG56+BK56+BL56+BM56+BP56+BQ56</f>
        <v>40</v>
      </c>
      <c r="BS56" s="354"/>
      <c r="BT56" s="354">
        <f>ROUND(+Base!$F$248/$W$2,1)</f>
        <v>187.1</v>
      </c>
      <c r="BU56" s="354">
        <f>ROUND(+Base!$F$251/$W$2,1)</f>
        <v>709.7</v>
      </c>
      <c r="BV56" s="354">
        <f>ROUND(+Base!$F$254/$W$2,1)</f>
        <v>0</v>
      </c>
      <c r="BW56" s="354">
        <f>ROUND(+Base!$F$257/$W$2,1)</f>
        <v>107.1</v>
      </c>
      <c r="BX56" s="354">
        <f>ROUND(+Base!$F$258/$W$2,1)</f>
        <v>0</v>
      </c>
      <c r="BY56" s="354">
        <f t="shared" ref="BY56:BY94" si="24">SUM(BT56:BX56)</f>
        <v>1003.9000000000001</v>
      </c>
      <c r="BZ56" s="354"/>
      <c r="CA56" s="354"/>
      <c r="CB56" s="354"/>
      <c r="CC56" s="354"/>
      <c r="CD56" s="354"/>
      <c r="CE56" s="354"/>
      <c r="CF56" s="354"/>
      <c r="CG56" s="354"/>
      <c r="CH56" s="354"/>
      <c r="CI56" s="354"/>
      <c r="CJ56" s="354"/>
      <c r="CK56" s="354"/>
      <c r="CL56" s="354"/>
      <c r="CM56" s="693"/>
      <c r="CN56" s="693"/>
      <c r="CO56" s="693"/>
    </row>
    <row r="57" spans="1:93">
      <c r="B57" s="271">
        <f>+B56+1</f>
        <v>2</v>
      </c>
      <c r="C57" s="541">
        <f>+Base!G$4</f>
        <v>63</v>
      </c>
      <c r="D57" s="541">
        <f>+Base!G$5</f>
        <v>62</v>
      </c>
      <c r="E57" s="540">
        <f>+Base!G$7</f>
        <v>2020</v>
      </c>
      <c r="F57" s="354">
        <f>ROUND(+Base!$G$8/$W$2,0)</f>
        <v>187</v>
      </c>
      <c r="G57" s="354">
        <f>ROUND(+Base!$G$11/$W$2,0)</f>
        <v>710</v>
      </c>
      <c r="H57" s="354">
        <f>ROUND(+Base!$G$14/$W$2,0)</f>
        <v>0</v>
      </c>
      <c r="I57" s="354">
        <f>ROUND(+Base!$G$17/$W$2,0)</f>
        <v>107</v>
      </c>
      <c r="J57" s="354">
        <f>ROUND(+Base!$G$18/$W$2,0)</f>
        <v>0</v>
      </c>
      <c r="K57" s="354">
        <f t="shared" ref="K57:K95" si="25">SUM(F57:J57)</f>
        <v>1004</v>
      </c>
      <c r="M57" s="354">
        <f>ROUND(+Base!$G$28/$W$2,0)</f>
        <v>9</v>
      </c>
      <c r="N57" s="354">
        <f>ROUND(+Base!$G$31/$W$2,0)</f>
        <v>44</v>
      </c>
      <c r="O57" s="354">
        <f>ROUND(+Base!$G$34/$W$2,0)</f>
        <v>0</v>
      </c>
      <c r="P57" s="354">
        <f>ROUND(+Base!$G$37/$W$2,0)</f>
        <v>7</v>
      </c>
      <c r="Q57" s="354">
        <f>ROUND(+Base!$G$38/$W$2,0)</f>
        <v>0</v>
      </c>
      <c r="R57" s="354">
        <f>ROUND(+Base!$G$49/$W$2,0)</f>
        <v>0</v>
      </c>
      <c r="S57" s="354">
        <f>ROUND(+Base!$G$60/$W$2,0)</f>
        <v>0</v>
      </c>
      <c r="T57" s="354">
        <f>ROUND(+Base!$G$65/$W$2,0)</f>
        <v>0</v>
      </c>
      <c r="U57" s="354">
        <f>ROUND((Base!$G$66+Base!$G$67)/$W$2,0)</f>
        <v>10</v>
      </c>
      <c r="V57" s="354">
        <f>ROUND((Base!$G$68+Base!$G$69)/$W$2,0)</f>
        <v>25</v>
      </c>
      <c r="W57" s="354">
        <f>SUM(M57:V57)</f>
        <v>95</v>
      </c>
      <c r="Y57" s="354">
        <f>ROUND(+Base!$G$144/$W$2,0)</f>
        <v>71</v>
      </c>
      <c r="Z57" s="354">
        <f>ROUND(+Base!$G$145/$W$2,0)</f>
        <v>7</v>
      </c>
      <c r="AA57" s="354">
        <f>ROUND(-Base!$G$234/$W$2,0)</f>
        <v>0</v>
      </c>
      <c r="AB57" s="354">
        <f>ROUND(-Base!$G$236/$W$2,0)</f>
        <v>0</v>
      </c>
      <c r="AC57" s="354">
        <f>ROUND(-Base!$G$237/$W$2,0)</f>
        <v>0</v>
      </c>
      <c r="AD57" s="354">
        <f>ROUND(-Base!$G$238/$W$2,0)</f>
        <v>0</v>
      </c>
      <c r="AE57" s="354">
        <f>ROUND(-Base!$G$96/$W$2,0)</f>
        <v>0</v>
      </c>
      <c r="AF57" s="354">
        <f>ROUND(-Base!$G$107/$W$2,0)</f>
        <v>0</v>
      </c>
      <c r="AG57" s="354">
        <f>ROUND(-Base!$G$127/$W$2,0)</f>
        <v>0</v>
      </c>
      <c r="AH57" s="354">
        <f>-ROUND(-Base!$G$137/$W$2,0)</f>
        <v>0</v>
      </c>
      <c r="AI57" s="354">
        <f>-ROUND(+Base!$G$240/$W$2,0)</f>
        <v>0</v>
      </c>
      <c r="AJ57" s="354">
        <f t="shared" si="18"/>
        <v>78</v>
      </c>
      <c r="AL57" s="354">
        <f t="shared" si="19"/>
        <v>1021</v>
      </c>
      <c r="AN57" s="354">
        <f>-ROUND(+Base!$G$94/$W$2,0)</f>
        <v>0</v>
      </c>
      <c r="AO57" s="354">
        <f>ROUND(+Base!$G$133/$W$2,0)</f>
        <v>0</v>
      </c>
      <c r="AP57" s="354">
        <f>-ROUND(+Base!$G$91/$W$2,0)</f>
        <v>41</v>
      </c>
      <c r="AQ57" s="354">
        <f>-ROUND(+Base!$G$95/$W$2,0)</f>
        <v>0</v>
      </c>
      <c r="AR57" s="354">
        <f>-ROUND(+Base!$G$96/$W$2,0)</f>
        <v>0</v>
      </c>
      <c r="AS57" s="354">
        <f>-ROUND(+Base!$G$74/$W$2,0)</f>
        <v>0</v>
      </c>
      <c r="AT57" s="354">
        <f t="shared" si="20"/>
        <v>41</v>
      </c>
      <c r="AU57" s="354">
        <f>-ROUND(+Base!$G$102/$W$2,0)</f>
        <v>0</v>
      </c>
      <c r="AV57" s="354">
        <f>-ROUND(+Base!$G$99/$W$2,0)</f>
        <v>0</v>
      </c>
      <c r="AW57" s="354">
        <f>-ROUND(+Base!$G$103/$W$2,0)</f>
        <v>0</v>
      </c>
      <c r="AX57" s="354">
        <f>-ROUND(+Base!$G$75/$W$2,0)</f>
        <v>7</v>
      </c>
      <c r="AY57" s="354">
        <f t="shared" ref="AY57:AY95" si="26">+AV57+AW57</f>
        <v>0</v>
      </c>
      <c r="AZ57" s="354">
        <f>-ROUND(+Base!$G$110/$W$2,0)</f>
        <v>0</v>
      </c>
      <c r="BA57" s="354">
        <f>-ROUND(+Base!$G$113/$W$2,0)</f>
        <v>0</v>
      </c>
      <c r="BB57" s="354">
        <f>-ROUND(+Base!$G$116/$W$2,0)</f>
        <v>0</v>
      </c>
      <c r="BC57" s="354">
        <f t="shared" ref="BC57:BC95" si="27">+BA57+BB57</f>
        <v>0</v>
      </c>
      <c r="BD57" s="354">
        <f>-ROUND(+Base!$G$111/$W$2,0)</f>
        <v>0</v>
      </c>
      <c r="BE57" s="354">
        <f>-ROUND(+Base!$G$114/$W$2,0)</f>
        <v>0</v>
      </c>
      <c r="BF57" s="354">
        <f>-ROUND(+Base!$G$117/$W$2,0)</f>
        <v>0</v>
      </c>
      <c r="BG57" s="354">
        <f t="shared" ref="BG57:BG95" si="28">+BE57+BF57</f>
        <v>0</v>
      </c>
      <c r="BH57" s="354">
        <f>-ROUND(+Base!$G$123/$W$2,0)</f>
        <v>0</v>
      </c>
      <c r="BI57" s="354">
        <f>-ROUND(+Base!$G$126/$W$2,0)</f>
        <v>0</v>
      </c>
      <c r="BJ57" s="354">
        <f>-ROUND(+Base!$G$76/$W$2,0)</f>
        <v>1</v>
      </c>
      <c r="BK57" s="354">
        <f>-ROUND(+Base!$G$127/$W$2,0)</f>
        <v>0</v>
      </c>
      <c r="BL57" s="354">
        <f t="shared" si="21"/>
        <v>0</v>
      </c>
      <c r="BM57" s="354">
        <f>-ROUND(+Base!$G$124/$W$2,0)</f>
        <v>0</v>
      </c>
      <c r="BN57" s="354">
        <f>-ROUND(+Base!$G$134/$W$2,0)</f>
        <v>0</v>
      </c>
      <c r="BO57" s="354">
        <f>-ROUND(+Base!$G$135/$W$2,0)</f>
        <v>0</v>
      </c>
      <c r="BP57" s="354">
        <f t="shared" ref="BP57:BP95" si="29">+BN57+BO57</f>
        <v>0</v>
      </c>
      <c r="BQ57" s="354">
        <f t="shared" si="22"/>
        <v>0</v>
      </c>
      <c r="BR57" s="354">
        <f t="shared" si="23"/>
        <v>41</v>
      </c>
      <c r="BS57" s="354"/>
      <c r="BT57" s="354">
        <f>ROUND(+Base!$G$248/$W$2,0)</f>
        <v>187</v>
      </c>
      <c r="BU57" s="354">
        <f>ROUND(+Base!$G$251/$W$2,0)</f>
        <v>719</v>
      </c>
      <c r="BV57" s="354">
        <f>ROUND(+Base!$G$254/$W$2,0)</f>
        <v>0</v>
      </c>
      <c r="BW57" s="354">
        <f>ROUND(+Base!$G$257/$W$2,0)</f>
        <v>115</v>
      </c>
      <c r="BX57" s="354">
        <f>ROUND(+Base!$G$258/$W$2,0)</f>
        <v>0</v>
      </c>
      <c r="BY57" s="354">
        <f t="shared" si="24"/>
        <v>1021</v>
      </c>
      <c r="BZ57" s="354"/>
      <c r="CA57" s="354"/>
      <c r="CB57" s="354"/>
      <c r="CC57" s="354"/>
      <c r="CD57" s="354"/>
      <c r="CE57" s="354"/>
      <c r="CF57" s="354"/>
      <c r="CG57" s="354"/>
      <c r="CH57" s="354"/>
      <c r="CI57" s="354"/>
      <c r="CJ57" s="354"/>
      <c r="CK57" s="354"/>
      <c r="CL57" s="354"/>
      <c r="CM57" s="693"/>
      <c r="CN57" s="693"/>
      <c r="CO57" s="693"/>
    </row>
    <row r="58" spans="1:93">
      <c r="B58" s="271">
        <f t="shared" ref="B58:B95" si="30">+B57+1</f>
        <v>3</v>
      </c>
      <c r="C58" s="541">
        <f>+Base!H$4</f>
        <v>64</v>
      </c>
      <c r="D58" s="541">
        <f>+Base!H$5</f>
        <v>63</v>
      </c>
      <c r="E58" s="540">
        <f>+Base!H$7</f>
        <v>2021</v>
      </c>
      <c r="F58" s="354">
        <f>ROUND(+Base!$H$8/$W$2,0)</f>
        <v>187</v>
      </c>
      <c r="G58" s="354">
        <f>ROUND(+Base!$H$11/$W$2,0)</f>
        <v>719</v>
      </c>
      <c r="H58" s="354">
        <f>ROUND(+Base!$H$14/$W$2,0)</f>
        <v>0</v>
      </c>
      <c r="I58" s="354">
        <f>ROUND(+Base!$H$17/$W$2,0)</f>
        <v>115</v>
      </c>
      <c r="J58" s="354">
        <f>ROUND(+Base!$H$18/$W$2,0)</f>
        <v>0</v>
      </c>
      <c r="K58" s="354">
        <f t="shared" si="25"/>
        <v>1021</v>
      </c>
      <c r="M58" s="354">
        <f>ROUND(+Base!$H$28/$W$2,0)</f>
        <v>9</v>
      </c>
      <c r="N58" s="354">
        <f>ROUND(+Base!$H$31/$W$2,0)</f>
        <v>44</v>
      </c>
      <c r="O58" s="354">
        <f>ROUND(+Base!$H$34/$W$2,0)</f>
        <v>0</v>
      </c>
      <c r="P58" s="354">
        <f>ROUND(+Base!$H$37/$W$2,0)</f>
        <v>7</v>
      </c>
      <c r="Q58" s="354">
        <f>ROUND(+Base!$H$38/$W$2,0)</f>
        <v>0</v>
      </c>
      <c r="R58" s="354">
        <f>ROUND(+Base!$H$49/$W$2,0)</f>
        <v>0</v>
      </c>
      <c r="S58" s="354">
        <f>ROUND(+Base!$H$60/$W$2,0)</f>
        <v>0</v>
      </c>
      <c r="T58" s="354">
        <f>ROUND(+Base!$H$65/$W$2,0)</f>
        <v>0</v>
      </c>
      <c r="U58" s="354">
        <f>ROUND((Base!$H$66+Base!$H$67)/$W$2,0)</f>
        <v>10</v>
      </c>
      <c r="V58" s="354">
        <f>ROUND((Base!$H$68+Base!$H$69)/$W$2,0)</f>
        <v>11</v>
      </c>
      <c r="W58" s="354">
        <f>SUM(M58:V58)</f>
        <v>81</v>
      </c>
      <c r="Y58" s="354">
        <f>ROUND(+Base!$H$144/$W$2,0)</f>
        <v>73</v>
      </c>
      <c r="Z58" s="354">
        <f>ROUND(+Base!$H$145/$W$2,0)</f>
        <v>5</v>
      </c>
      <c r="AA58" s="354">
        <f>ROUND(-Base!$H$234/$W$2,0)</f>
        <v>0</v>
      </c>
      <c r="AB58" s="354">
        <f>ROUND(-Base!$H$236/$W$2,0)</f>
        <v>0</v>
      </c>
      <c r="AC58" s="354">
        <f>ROUND(-Base!$H$237/$W$2,0)</f>
        <v>0</v>
      </c>
      <c r="AD58" s="354">
        <f>ROUND(-Base!$H$238/$W$2,0)</f>
        <v>0</v>
      </c>
      <c r="AE58" s="354">
        <f>ROUND(-Base!$H$96/$W$2,0)</f>
        <v>0</v>
      </c>
      <c r="AF58" s="354">
        <f>ROUND(-Base!$H$107/$W$2,0)</f>
        <v>0</v>
      </c>
      <c r="AG58" s="354">
        <f>ROUND(-Base!$H$127/$W$2,0)</f>
        <v>0</v>
      </c>
      <c r="AH58" s="354">
        <f>-ROUND(-Base!$H$137/$W$2,0)</f>
        <v>0</v>
      </c>
      <c r="AI58" s="354">
        <f>-ROUND(+Base!$H$240/$W$2,0)</f>
        <v>0</v>
      </c>
      <c r="AJ58" s="354">
        <f t="shared" si="18"/>
        <v>78</v>
      </c>
      <c r="AL58" s="354">
        <f t="shared" si="19"/>
        <v>1024</v>
      </c>
      <c r="AN58" s="354">
        <f>-ROUND(+Base!$H$94/$W$2,0)</f>
        <v>0</v>
      </c>
      <c r="AO58" s="354">
        <f>ROUND(+Base!$H$133/$W$2,0)</f>
        <v>0</v>
      </c>
      <c r="AP58" s="354">
        <f>-ROUND(+Base!$H$91/$W$2,0)</f>
        <v>42</v>
      </c>
      <c r="AQ58" s="354">
        <f>-ROUND(+Base!$H$95/$W$2,0)</f>
        <v>0</v>
      </c>
      <c r="AR58" s="354">
        <f>-ROUND(+Base!$H$96/$W$2,0)</f>
        <v>0</v>
      </c>
      <c r="AS58" s="354">
        <f>-ROUND(+Base!$H$74/$W$2,0)</f>
        <v>0</v>
      </c>
      <c r="AT58" s="354">
        <f t="shared" si="20"/>
        <v>42</v>
      </c>
      <c r="AU58" s="354">
        <f>-ROUND(+Base!$H$102/$W$2,0)</f>
        <v>0</v>
      </c>
      <c r="AV58" s="354">
        <f>-ROUND(+Base!$H$99/$W$2,0)</f>
        <v>0</v>
      </c>
      <c r="AW58" s="354">
        <f>-ROUND(+Base!$H$103/$W$2,0)</f>
        <v>0</v>
      </c>
      <c r="AX58" s="354">
        <f>-ROUND(+Base!$H$75/$W$2,0)</f>
        <v>7</v>
      </c>
      <c r="AY58" s="354">
        <f t="shared" si="26"/>
        <v>0</v>
      </c>
      <c r="AZ58" s="354">
        <f>-ROUND(+Base!$H$110/$W$2,0)</f>
        <v>0</v>
      </c>
      <c r="BA58" s="354">
        <f>-ROUND(+Base!$H$113/$W$2,0)</f>
        <v>0</v>
      </c>
      <c r="BB58" s="354">
        <f>-ROUND(+Base!$H$116/$W$2,0)</f>
        <v>0</v>
      </c>
      <c r="BC58" s="354">
        <f t="shared" si="27"/>
        <v>0</v>
      </c>
      <c r="BD58" s="354">
        <f>-ROUND(+Base!$H$111/$W$2,0)</f>
        <v>0</v>
      </c>
      <c r="BE58" s="354">
        <f>-ROUND(+Base!$H$114/$W$2,0)</f>
        <v>0</v>
      </c>
      <c r="BF58" s="354">
        <f>-ROUND(+Base!$H$117/$W$2,0)</f>
        <v>0</v>
      </c>
      <c r="BG58" s="354">
        <f t="shared" si="28"/>
        <v>0</v>
      </c>
      <c r="BH58" s="354">
        <f>-ROUND(+Base!$H$123/$W$2,0)</f>
        <v>0</v>
      </c>
      <c r="BI58" s="354">
        <f>-ROUND(+Base!$H$126/$W$2,0)</f>
        <v>0</v>
      </c>
      <c r="BJ58" s="354">
        <f>-ROUND(+Base!$H$76/$W$2,0)</f>
        <v>1</v>
      </c>
      <c r="BK58" s="354">
        <f>-ROUND(+Base!$H$127/$W$2,0)</f>
        <v>0</v>
      </c>
      <c r="BL58" s="354">
        <f t="shared" si="21"/>
        <v>0</v>
      </c>
      <c r="BM58" s="354">
        <f>-ROUND(+Base!$H$124/$W$2,0)</f>
        <v>0</v>
      </c>
      <c r="BN58" s="354">
        <f>-ROUND(+Base!$H$134/$W$2,0)</f>
        <v>0</v>
      </c>
      <c r="BO58" s="354">
        <f>-ROUND(+Base!$H$135/$W$2,0)</f>
        <v>0</v>
      </c>
      <c r="BP58" s="354">
        <f t="shared" si="29"/>
        <v>0</v>
      </c>
      <c r="BQ58" s="354">
        <f t="shared" si="22"/>
        <v>0</v>
      </c>
      <c r="BR58" s="354">
        <f t="shared" si="23"/>
        <v>42</v>
      </c>
      <c r="BS58" s="354"/>
      <c r="BT58" s="354">
        <f>ROUND(+Base!$H$248/$W$2,0)</f>
        <v>174</v>
      </c>
      <c r="BU58" s="354">
        <f>ROUND(+Base!$H$251/$W$2,0)</f>
        <v>727</v>
      </c>
      <c r="BV58" s="354">
        <f>ROUND(+Base!$H$254/$W$2,0)</f>
        <v>0</v>
      </c>
      <c r="BW58" s="354">
        <f>ROUND(+Base!$H$257/$W$2,0)</f>
        <v>123</v>
      </c>
      <c r="BX58" s="354">
        <f>ROUND(+Base!$H$258/$W$2,0)</f>
        <v>0</v>
      </c>
      <c r="BY58" s="354">
        <f t="shared" si="24"/>
        <v>1024</v>
      </c>
      <c r="BZ58" s="354"/>
      <c r="CA58" s="354"/>
      <c r="CB58" s="354"/>
      <c r="CC58" s="354"/>
      <c r="CD58" s="354"/>
      <c r="CE58" s="354"/>
      <c r="CF58" s="354"/>
      <c r="CG58" s="354"/>
      <c r="CH58" s="354"/>
      <c r="CI58" s="354"/>
      <c r="CJ58" s="354"/>
      <c r="CK58" s="354"/>
      <c r="CL58" s="354"/>
      <c r="CM58" s="693"/>
      <c r="CN58" s="693"/>
      <c r="CO58" s="693"/>
    </row>
    <row r="59" spans="1:93">
      <c r="B59" s="271">
        <f t="shared" si="30"/>
        <v>4</v>
      </c>
      <c r="C59" s="541">
        <f>+Base!I$4</f>
        <v>65</v>
      </c>
      <c r="D59" s="541">
        <f>+Base!I$5</f>
        <v>64</v>
      </c>
      <c r="E59" s="540">
        <f>+Base!I$7</f>
        <v>2022</v>
      </c>
      <c r="F59" s="354">
        <f>ROUND(+Base!$I$8/$W$2,0)</f>
        <v>174</v>
      </c>
      <c r="G59" s="354">
        <f>ROUND(+Base!$I$11/$W$2,0)</f>
        <v>727</v>
      </c>
      <c r="H59" s="354">
        <f>ROUND(+Base!$I$14/$W$2,0)</f>
        <v>0</v>
      </c>
      <c r="I59" s="354">
        <f>ROUND(+Base!$I$17/$W$2,0)</f>
        <v>123</v>
      </c>
      <c r="J59" s="354">
        <f>ROUND(+Base!$I$18/$W$2,0)</f>
        <v>0</v>
      </c>
      <c r="K59" s="354">
        <f t="shared" si="25"/>
        <v>1024</v>
      </c>
      <c r="M59" s="354">
        <f>ROUND(+Base!$I$28/$W$2,0)</f>
        <v>8</v>
      </c>
      <c r="N59" s="354">
        <f>ROUND(+Base!$I$31/$W$2,0)</f>
        <v>45</v>
      </c>
      <c r="O59" s="354">
        <f>ROUND(+Base!$I$34/$W$2,0)</f>
        <v>0</v>
      </c>
      <c r="P59" s="354">
        <f>ROUND(+Base!$I$37/$W$2,0)</f>
        <v>8</v>
      </c>
      <c r="Q59" s="354">
        <f>ROUND(+Base!$I$38/$W$2,0)</f>
        <v>0</v>
      </c>
      <c r="R59" s="354">
        <f>ROUND(+Base!$I$49/$W$2,0)</f>
        <v>0</v>
      </c>
      <c r="S59" s="354">
        <f>ROUND(+Base!$I$60/$W$2,0)</f>
        <v>0</v>
      </c>
      <c r="T59" s="354">
        <f>ROUND(+Base!$I$65/$W$2,0)</f>
        <v>0</v>
      </c>
      <c r="U59" s="354">
        <f>ROUND((Base!$I$66+Base!$I$67)/$W$2,0)</f>
        <v>11</v>
      </c>
      <c r="V59" s="354">
        <f>ROUND((Base!$I$68+Base!$I$69)/$W$2,0)</f>
        <v>11</v>
      </c>
      <c r="W59" s="354">
        <f t="shared" ref="W59:W95" si="31">SUM(M59:V59)</f>
        <v>83</v>
      </c>
      <c r="Y59" s="354">
        <f>ROUND(+Base!$I$144/$W$2,0)</f>
        <v>74</v>
      </c>
      <c r="Z59" s="354">
        <f>ROUND(+Base!$I$145/$W$2,0)</f>
        <v>5</v>
      </c>
      <c r="AA59" s="354">
        <f>ROUND(-Base!$I$234/$W$2,0)</f>
        <v>0</v>
      </c>
      <c r="AB59" s="354">
        <f>ROUND(-Base!$I$236/$W$2,0)</f>
        <v>0</v>
      </c>
      <c r="AC59" s="354">
        <f>ROUND(-Base!$I$237/$W$2,0)</f>
        <v>0</v>
      </c>
      <c r="AD59" s="354">
        <f>ROUND(-Base!$I$238/$W$2,0)</f>
        <v>0</v>
      </c>
      <c r="AE59" s="354">
        <f>ROUND(-Base!$I$96/$W$2,0)</f>
        <v>0</v>
      </c>
      <c r="AF59" s="354">
        <f>ROUND(-Base!$I$107/$W$2,0)</f>
        <v>0</v>
      </c>
      <c r="AG59" s="354">
        <f>ROUND(-Base!$I$127/$W$2,0)</f>
        <v>0</v>
      </c>
      <c r="AH59" s="354">
        <f>-ROUND(-Base!$I$137/$W$2,0)</f>
        <v>0</v>
      </c>
      <c r="AI59" s="354">
        <f>-ROUND(+Base!$I$240/$W$2,0)</f>
        <v>0</v>
      </c>
      <c r="AJ59" s="354">
        <f t="shared" si="18"/>
        <v>79</v>
      </c>
      <c r="AL59" s="354">
        <f t="shared" si="19"/>
        <v>1028</v>
      </c>
      <c r="AN59" s="354">
        <f>-ROUND(+Base!$I$94/$W$2,0)</f>
        <v>0</v>
      </c>
      <c r="AO59" s="354">
        <f>ROUND(+Base!$I$133/$W$2,0)</f>
        <v>0</v>
      </c>
      <c r="AP59" s="354">
        <f>-ROUND(+Base!$I$91/$W$2,0)</f>
        <v>44</v>
      </c>
      <c r="AQ59" s="354">
        <f>-ROUND(+Base!$I$95/$W$2,0)</f>
        <v>0</v>
      </c>
      <c r="AR59" s="354">
        <f>-ROUND(+Base!$I$96/$W$2,0)</f>
        <v>0</v>
      </c>
      <c r="AS59" s="354">
        <f>-ROUND(+Base!$I$74/$W$2,0)</f>
        <v>0</v>
      </c>
      <c r="AT59" s="354">
        <f t="shared" si="20"/>
        <v>44</v>
      </c>
      <c r="AU59" s="354">
        <f>-ROUND(+Base!$I$102/$W$2,0)</f>
        <v>0</v>
      </c>
      <c r="AV59" s="354">
        <f>-ROUND(+Base!$I$99/$W$2,0)</f>
        <v>0</v>
      </c>
      <c r="AW59" s="354">
        <f>-ROUND(+Base!$I$103/$W$2,0)</f>
        <v>0</v>
      </c>
      <c r="AX59" s="354">
        <f>-ROUND(+Base!$I$75/$W$2,0)</f>
        <v>7</v>
      </c>
      <c r="AY59" s="354">
        <f t="shared" si="26"/>
        <v>0</v>
      </c>
      <c r="AZ59" s="354">
        <f>-ROUND(+Base!$I$110/$W$2,0)</f>
        <v>0</v>
      </c>
      <c r="BA59" s="354">
        <f>-ROUND(+Base!$I$113/$W$2,0)</f>
        <v>0</v>
      </c>
      <c r="BB59" s="354">
        <f>-ROUND(+Base!$I$116/$W$2,0)</f>
        <v>0</v>
      </c>
      <c r="BC59" s="354">
        <f t="shared" si="27"/>
        <v>0</v>
      </c>
      <c r="BD59" s="354">
        <f>-ROUND(+Base!$I$111/$W$2,0)</f>
        <v>0</v>
      </c>
      <c r="BE59" s="354">
        <f>-ROUND(+Base!$I$114/$W$2,0)</f>
        <v>0</v>
      </c>
      <c r="BF59" s="354">
        <f>-ROUND(+Base!$I$117/$W$2,0)</f>
        <v>0</v>
      </c>
      <c r="BG59" s="354">
        <f t="shared" si="28"/>
        <v>0</v>
      </c>
      <c r="BH59" s="354">
        <f>-ROUND(+Base!$I$123/$W$2,0)</f>
        <v>0</v>
      </c>
      <c r="BI59" s="354">
        <f>-ROUND(+Base!$I$126/$W$2,0)</f>
        <v>0</v>
      </c>
      <c r="BJ59" s="354">
        <f>-ROUND(+Base!$I$76/$W$2,0)</f>
        <v>1</v>
      </c>
      <c r="BK59" s="354">
        <f>-ROUND(+Base!$I$127/$W$2,0)</f>
        <v>0</v>
      </c>
      <c r="BL59" s="354">
        <f t="shared" si="21"/>
        <v>0</v>
      </c>
      <c r="BM59" s="354">
        <f>-ROUND(+Base!$I$124/$W$2,0)</f>
        <v>0</v>
      </c>
      <c r="BN59" s="354">
        <f>-ROUND(+Base!$I$134/$W$2,0)</f>
        <v>0</v>
      </c>
      <c r="BO59" s="354">
        <f>-ROUND(+Base!$I$135/$W$2,0)</f>
        <v>0</v>
      </c>
      <c r="BP59" s="354">
        <f t="shared" si="29"/>
        <v>0</v>
      </c>
      <c r="BQ59" s="354">
        <f t="shared" si="22"/>
        <v>0</v>
      </c>
      <c r="BR59" s="354">
        <f t="shared" si="23"/>
        <v>44</v>
      </c>
      <c r="BS59" s="354"/>
      <c r="BT59" s="354">
        <f>ROUND(+Base!$I$248/$W$2,0)</f>
        <v>161</v>
      </c>
      <c r="BU59" s="354">
        <f>ROUND(+Base!$I$251/$W$2,0)</f>
        <v>734</v>
      </c>
      <c r="BV59" s="354">
        <f>ROUND(+Base!$I$254/$W$2,0)</f>
        <v>0</v>
      </c>
      <c r="BW59" s="354">
        <f>ROUND(+Base!$I$257/$W$2,0)</f>
        <v>132</v>
      </c>
      <c r="BX59" s="354">
        <f>ROUND(+Base!$I$258/$W$2,0)</f>
        <v>0</v>
      </c>
      <c r="BY59" s="354">
        <f t="shared" si="24"/>
        <v>1027</v>
      </c>
      <c r="BZ59" s="354"/>
      <c r="CA59" s="354"/>
      <c r="CB59" s="354"/>
      <c r="CC59" s="354"/>
      <c r="CD59" s="354"/>
      <c r="CE59" s="354"/>
      <c r="CF59" s="354"/>
      <c r="CG59" s="354"/>
      <c r="CH59" s="354"/>
      <c r="CI59" s="354"/>
      <c r="CJ59" s="354"/>
      <c r="CK59" s="354"/>
      <c r="CL59" s="354"/>
      <c r="CM59" s="693"/>
      <c r="CN59" s="693"/>
      <c r="CO59" s="693"/>
    </row>
    <row r="60" spans="1:93">
      <c r="B60" s="271">
        <f t="shared" si="30"/>
        <v>5</v>
      </c>
      <c r="C60" s="541">
        <f>+Base!J$4</f>
        <v>66</v>
      </c>
      <c r="D60" s="541">
        <f>+Base!J$5</f>
        <v>65</v>
      </c>
      <c r="E60" s="540">
        <f>+Base!J$7</f>
        <v>2023</v>
      </c>
      <c r="F60" s="354">
        <f>ROUND(+Base!$J$8/$W$2,0)</f>
        <v>161</v>
      </c>
      <c r="G60" s="354">
        <f>ROUND(+Base!$J$11/$W$2,0)</f>
        <v>734</v>
      </c>
      <c r="H60" s="354">
        <f>ROUND(+Base!$J$14/$W$2,0)</f>
        <v>0</v>
      </c>
      <c r="I60" s="354">
        <f>ROUND(+Base!$J$17/$W$2,0)</f>
        <v>132</v>
      </c>
      <c r="J60" s="354">
        <f>ROUND(+Base!$J$18/$W$2,0)</f>
        <v>0</v>
      </c>
      <c r="K60" s="354">
        <f t="shared" si="25"/>
        <v>1027</v>
      </c>
      <c r="M60" s="354">
        <f>ROUND(+Base!$J$28/$W$2,0)</f>
        <v>8</v>
      </c>
      <c r="N60" s="354">
        <f>ROUND(+Base!$J$31/$W$2,0)</f>
        <v>45</v>
      </c>
      <c r="O60" s="354">
        <f>ROUND(+Base!$J$34/$W$2,0)</f>
        <v>0</v>
      </c>
      <c r="P60" s="354">
        <f>ROUND(+Base!$J$37/$W$2,0)</f>
        <v>8</v>
      </c>
      <c r="Q60" s="354">
        <f>ROUND(+Base!$J$38/$W$2,0)</f>
        <v>0</v>
      </c>
      <c r="R60" s="354">
        <f>ROUND(+Base!$J$49/$W$2,0)</f>
        <v>0</v>
      </c>
      <c r="S60" s="354">
        <f>ROUND(+Base!$J$60/$W$2,0)</f>
        <v>0</v>
      </c>
      <c r="T60" s="354">
        <f>ROUND(+Base!$J$65/$W$2,0)</f>
        <v>0</v>
      </c>
      <c r="U60" s="354">
        <f>ROUND((Base!$J$66+Base!$J$67)/$W$2,0)</f>
        <v>11</v>
      </c>
      <c r="V60" s="354">
        <f>ROUND((Base!$J$68+Base!$J$69)/$W$2,0)</f>
        <v>12</v>
      </c>
      <c r="W60" s="354">
        <f t="shared" si="31"/>
        <v>84</v>
      </c>
      <c r="Y60" s="354">
        <f>ROUND(+Base!$J$144/$W$2,0)</f>
        <v>76</v>
      </c>
      <c r="Z60" s="354">
        <f>ROUND(+Base!$J$145/$W$2,0)</f>
        <v>5</v>
      </c>
      <c r="AA60" s="354">
        <f>ROUND(-Base!$J$234/$W$2,0)</f>
        <v>0</v>
      </c>
      <c r="AB60" s="354">
        <f>ROUND(-Base!$J$236/$W$2,0)</f>
        <v>0</v>
      </c>
      <c r="AC60" s="354">
        <f>ROUND(-Base!$J$237/$W$2,0)</f>
        <v>0</v>
      </c>
      <c r="AD60" s="354">
        <f>ROUND(-Base!$J$238/$W$2,0)</f>
        <v>0</v>
      </c>
      <c r="AE60" s="354">
        <f>ROUND(-Base!$J$96/$W$2,0)</f>
        <v>0</v>
      </c>
      <c r="AF60" s="354">
        <f>ROUND(-Base!$J$107/$W$2,0)</f>
        <v>0</v>
      </c>
      <c r="AG60" s="354">
        <f>ROUND(-Base!$J$127/$W$2,0)</f>
        <v>0</v>
      </c>
      <c r="AH60" s="354">
        <f>-ROUND(-Base!$J$137/$W$2,0)</f>
        <v>0</v>
      </c>
      <c r="AI60" s="354">
        <f>-ROUND(+Base!$J$240/$W$2,0)</f>
        <v>0</v>
      </c>
      <c r="AJ60" s="354">
        <f t="shared" si="18"/>
        <v>81</v>
      </c>
      <c r="AL60" s="354">
        <f t="shared" si="19"/>
        <v>1030</v>
      </c>
      <c r="AN60" s="354">
        <f>-ROUND(+Base!$J$94/$W$2,0)</f>
        <v>0</v>
      </c>
      <c r="AO60" s="354">
        <f>ROUND(+Base!$J$133/$W$2,0)</f>
        <v>0</v>
      </c>
      <c r="AP60" s="354">
        <f>-ROUND(+Base!$J$91/$W$2,0)</f>
        <v>45</v>
      </c>
      <c r="AQ60" s="354">
        <f>-ROUND(+Base!$J$95/$W$2,0)</f>
        <v>0</v>
      </c>
      <c r="AR60" s="354">
        <f>-ROUND(+Base!$J$96/$W$2,0)</f>
        <v>0</v>
      </c>
      <c r="AS60" s="354">
        <f>-ROUND(+Base!$J$74/$W$2,0)</f>
        <v>0</v>
      </c>
      <c r="AT60" s="354">
        <f t="shared" si="20"/>
        <v>45</v>
      </c>
      <c r="AU60" s="354">
        <f>-ROUND(+Base!$J$102/$W$2,0)</f>
        <v>0</v>
      </c>
      <c r="AV60" s="354">
        <f>-ROUND(+Base!$J$99/$W$2,0)</f>
        <v>0</v>
      </c>
      <c r="AW60" s="354">
        <f>-ROUND(+Base!$J$103/$W$2,0)</f>
        <v>0</v>
      </c>
      <c r="AX60" s="354">
        <f>-ROUND(+Base!$J$75/$W$2,0)</f>
        <v>7</v>
      </c>
      <c r="AY60" s="354">
        <f t="shared" si="26"/>
        <v>0</v>
      </c>
      <c r="AZ60" s="354">
        <f>-ROUND(+Base!$J$110/$W$2,0)</f>
        <v>0</v>
      </c>
      <c r="BA60" s="354">
        <f>-ROUND(+Base!$J$113/$W$2,0)</f>
        <v>0</v>
      </c>
      <c r="BB60" s="354">
        <f>-ROUND(+Base!$J$116/$W$2,0)</f>
        <v>0</v>
      </c>
      <c r="BC60" s="354">
        <f t="shared" si="27"/>
        <v>0</v>
      </c>
      <c r="BD60" s="354">
        <f>-ROUND(+Base!$J$111/$W$2,0)</f>
        <v>0</v>
      </c>
      <c r="BE60" s="354">
        <f>-ROUND(+Base!$J$114/$W$2,0)</f>
        <v>0</v>
      </c>
      <c r="BF60" s="354">
        <f>-ROUND(+Base!$J$117/$W$2,0)</f>
        <v>0</v>
      </c>
      <c r="BG60" s="354">
        <f t="shared" si="28"/>
        <v>0</v>
      </c>
      <c r="BH60" s="354">
        <f>-ROUND(+Base!$J$123/$W$2,0)</f>
        <v>0</v>
      </c>
      <c r="BI60" s="354">
        <f>-ROUND(+Base!$J$126/$W$2,0)</f>
        <v>0</v>
      </c>
      <c r="BJ60" s="354">
        <f>-ROUND(+Base!$J$76/$W$2,0)</f>
        <v>0</v>
      </c>
      <c r="BK60" s="354">
        <f>-ROUND(+Base!$J$127/$W$2,0)</f>
        <v>0</v>
      </c>
      <c r="BL60" s="354">
        <f t="shared" si="21"/>
        <v>0</v>
      </c>
      <c r="BM60" s="354">
        <f>-ROUND(+Base!$J$124/$W$2,0)</f>
        <v>0</v>
      </c>
      <c r="BN60" s="354">
        <f>-ROUND(+Base!$J$134/$W$2,0)</f>
        <v>0</v>
      </c>
      <c r="BO60" s="354">
        <f>-ROUND(+Base!$J$135/$W$2,0)</f>
        <v>0</v>
      </c>
      <c r="BP60" s="354">
        <f t="shared" si="29"/>
        <v>0</v>
      </c>
      <c r="BQ60" s="354">
        <f t="shared" si="22"/>
        <v>0</v>
      </c>
      <c r="BR60" s="354">
        <f t="shared" si="23"/>
        <v>45</v>
      </c>
      <c r="BS60" s="354"/>
      <c r="BT60" s="354">
        <f>ROUND(+Base!$J$248/$W$2,0)</f>
        <v>148</v>
      </c>
      <c r="BU60" s="354">
        <f>ROUND(+Base!$J$251/$W$2,0)</f>
        <v>741</v>
      </c>
      <c r="BV60" s="354">
        <f>ROUND(+Base!$J$254/$W$2,0)</f>
        <v>0</v>
      </c>
      <c r="BW60" s="354">
        <f>ROUND(+Base!$J$257/$W$2,0)</f>
        <v>140</v>
      </c>
      <c r="BX60" s="354">
        <f>ROUND(+Base!$J$258/$W$2,0)</f>
        <v>0</v>
      </c>
      <c r="BY60" s="354">
        <f t="shared" si="24"/>
        <v>1029</v>
      </c>
      <c r="BZ60" s="354"/>
      <c r="CA60" s="354"/>
      <c r="CB60" s="354"/>
      <c r="CC60" s="354"/>
      <c r="CD60" s="354"/>
      <c r="CE60" s="354"/>
      <c r="CF60" s="354"/>
      <c r="CG60" s="354"/>
      <c r="CH60" s="354"/>
      <c r="CI60" s="354"/>
      <c r="CJ60" s="354"/>
      <c r="CK60" s="354"/>
      <c r="CL60" s="354"/>
      <c r="CM60" s="693"/>
      <c r="CN60" s="693"/>
      <c r="CO60" s="693"/>
    </row>
    <row r="61" spans="1:93">
      <c r="B61" s="271">
        <f t="shared" si="30"/>
        <v>6</v>
      </c>
      <c r="C61" s="541">
        <f>+Base!K$4</f>
        <v>67</v>
      </c>
      <c r="D61" s="541">
        <f>+Base!K$5</f>
        <v>66</v>
      </c>
      <c r="E61" s="540">
        <f>+Base!K$7</f>
        <v>2024</v>
      </c>
      <c r="F61" s="354">
        <f>ROUND(+Base!$K$8/$W$2,0)</f>
        <v>148</v>
      </c>
      <c r="G61" s="354">
        <f>ROUND(+Base!$K$11/$W$2,0)</f>
        <v>741</v>
      </c>
      <c r="H61" s="354">
        <f>ROUND(+Base!$K$14/$W$2,0)</f>
        <v>0</v>
      </c>
      <c r="I61" s="354">
        <f>ROUND(+Base!$K$17/$W$2,0)</f>
        <v>140</v>
      </c>
      <c r="J61" s="354">
        <f>ROUND(+Base!$K$18/$W$2,0)</f>
        <v>0</v>
      </c>
      <c r="K61" s="354">
        <f t="shared" si="25"/>
        <v>1029</v>
      </c>
      <c r="M61" s="354">
        <f>ROUND(+Base!$K$28/$W$2,0)</f>
        <v>8</v>
      </c>
      <c r="N61" s="354">
        <f>ROUND(+Base!$K$31/$W$2,0)</f>
        <v>45</v>
      </c>
      <c r="O61" s="354">
        <f>ROUND(+Base!$K$34/$W$2,0)</f>
        <v>0</v>
      </c>
      <c r="P61" s="354">
        <f>ROUND(+Base!$K$37/$W$2,0)</f>
        <v>9</v>
      </c>
      <c r="Q61" s="354">
        <f>ROUND(+Base!$K$38/$W$2,0)</f>
        <v>0</v>
      </c>
      <c r="R61" s="354">
        <f>ROUND(+Base!$K$49/$W$2,0)</f>
        <v>0</v>
      </c>
      <c r="S61" s="354">
        <f>ROUND(+Base!$K$60/$W$2,0)</f>
        <v>22</v>
      </c>
      <c r="T61" s="354">
        <f>ROUND(+Base!$K$65/$W$2,0)</f>
        <v>0</v>
      </c>
      <c r="U61" s="354">
        <f>ROUND((Base!$K$66+Base!$K$67)/$W$2,0)</f>
        <v>11</v>
      </c>
      <c r="V61" s="354">
        <f>ROUND((Base!$K$68+Base!$K$69)/$W$2,0)</f>
        <v>12</v>
      </c>
      <c r="W61" s="354">
        <f t="shared" si="31"/>
        <v>107</v>
      </c>
      <c r="Y61" s="354">
        <f>ROUND(+Base!$K$144/$W$2,0)</f>
        <v>77</v>
      </c>
      <c r="Z61" s="354">
        <f>ROUND(+Base!$K$145/$W$2,0)</f>
        <v>8</v>
      </c>
      <c r="AA61" s="354">
        <f>ROUND(-Base!$K$234/$W$2,0)</f>
        <v>0</v>
      </c>
      <c r="AB61" s="354">
        <f>ROUND(-Base!$K$236/$W$2,0)</f>
        <v>0</v>
      </c>
      <c r="AC61" s="354">
        <f>ROUND(-Base!$K$237/$W$2,0)</f>
        <v>0</v>
      </c>
      <c r="AD61" s="354">
        <f>ROUND(-Base!$K$238/$W$2,0)</f>
        <v>0</v>
      </c>
      <c r="AE61" s="354">
        <f>ROUND(-Base!$K$96/$W$2,0)</f>
        <v>0</v>
      </c>
      <c r="AF61" s="354">
        <f>ROUND(-Base!$K$107/$W$2,0)</f>
        <v>0</v>
      </c>
      <c r="AG61" s="354">
        <f>ROUND(-Base!$K$127/$W$2,0)</f>
        <v>0</v>
      </c>
      <c r="AH61" s="354">
        <f>-ROUND(-Base!$K$137/$W$2,0)</f>
        <v>0</v>
      </c>
      <c r="AI61" s="354">
        <f>-ROUND(+Base!$K$240/$W$2,0)</f>
        <v>0</v>
      </c>
      <c r="AJ61" s="354">
        <f t="shared" si="18"/>
        <v>85</v>
      </c>
      <c r="AL61" s="354">
        <f t="shared" si="19"/>
        <v>1051</v>
      </c>
      <c r="AN61" s="354">
        <f>-ROUND(+Base!$K$94/$W$2,0)</f>
        <v>0</v>
      </c>
      <c r="AO61" s="354">
        <f>ROUND(+Base!$K$133/$W$2,0)</f>
        <v>0</v>
      </c>
      <c r="AP61" s="354">
        <f>-ROUND(+Base!$K$91/$W$2,0)</f>
        <v>46</v>
      </c>
      <c r="AQ61" s="354">
        <f>-ROUND(+Base!$K$95/$W$2,0)</f>
        <v>0</v>
      </c>
      <c r="AR61" s="354">
        <f>-ROUND(+Base!$K$96/$W$2,0)</f>
        <v>0</v>
      </c>
      <c r="AS61" s="354">
        <f>-ROUND(+Base!$K$74/$W$2,0)</f>
        <v>0</v>
      </c>
      <c r="AT61" s="354">
        <f t="shared" si="20"/>
        <v>46</v>
      </c>
      <c r="AU61" s="354">
        <f>-ROUND(+Base!$K$102/$W$2,0)</f>
        <v>0</v>
      </c>
      <c r="AV61" s="354">
        <f>-ROUND(+Base!$K$99/$W$2,0)</f>
        <v>0</v>
      </c>
      <c r="AW61" s="354">
        <f>-ROUND(+Base!$K$103/$W$2,0)</f>
        <v>0</v>
      </c>
      <c r="AX61" s="354">
        <f>-ROUND(+Base!$K$75/$W$2,0)</f>
        <v>7</v>
      </c>
      <c r="AY61" s="354">
        <f t="shared" si="26"/>
        <v>0</v>
      </c>
      <c r="AZ61" s="354">
        <f>-ROUND(+Base!$K$110/$W$2,0)</f>
        <v>0</v>
      </c>
      <c r="BA61" s="354">
        <f>-ROUND(+Base!$K$113/$W$2,0)</f>
        <v>0</v>
      </c>
      <c r="BB61" s="354">
        <f>-ROUND(+Base!$K$116/$W$2,0)</f>
        <v>0</v>
      </c>
      <c r="BC61" s="354">
        <f t="shared" si="27"/>
        <v>0</v>
      </c>
      <c r="BD61" s="354">
        <f>-ROUND(+Base!$K$111/$W$2,0)</f>
        <v>0</v>
      </c>
      <c r="BE61" s="354">
        <f>-ROUND(+Base!$K$114/$W$2,0)</f>
        <v>0</v>
      </c>
      <c r="BF61" s="354">
        <f>-ROUND(+Base!$K$117/$W$2,0)</f>
        <v>0</v>
      </c>
      <c r="BG61" s="354">
        <f t="shared" si="28"/>
        <v>0</v>
      </c>
      <c r="BH61" s="354">
        <f>-ROUND(+Base!$K$123/$W$2,0)</f>
        <v>0</v>
      </c>
      <c r="BI61" s="354">
        <f>-ROUND(+Base!$K$126/$W$2,0)</f>
        <v>0</v>
      </c>
      <c r="BJ61" s="354">
        <f>-ROUND(+Base!$K$76/$W$2,0)</f>
        <v>0</v>
      </c>
      <c r="BK61" s="354">
        <f>-ROUND(+Base!$K$127/$W$2,0)</f>
        <v>0</v>
      </c>
      <c r="BL61" s="354">
        <f t="shared" si="21"/>
        <v>0</v>
      </c>
      <c r="BM61" s="354">
        <f>-ROUND(+Base!$K$124/$W$2,0)</f>
        <v>0</v>
      </c>
      <c r="BN61" s="354">
        <f>-ROUND(+Base!$K$134/$W$2,0)</f>
        <v>0</v>
      </c>
      <c r="BO61" s="354">
        <f>-ROUND(+Base!$K$135/$W$2,0)</f>
        <v>0</v>
      </c>
      <c r="BP61" s="354">
        <f t="shared" si="29"/>
        <v>0</v>
      </c>
      <c r="BQ61" s="354">
        <f t="shared" si="22"/>
        <v>0</v>
      </c>
      <c r="BR61" s="354">
        <f t="shared" si="23"/>
        <v>46</v>
      </c>
      <c r="BS61" s="354"/>
      <c r="BT61" s="354">
        <f>ROUND(+Base!$K$248/$W$2,0)</f>
        <v>156</v>
      </c>
      <c r="BU61" s="354">
        <f>ROUND(+Base!$K$251/$W$2,0)</f>
        <v>746</v>
      </c>
      <c r="BV61" s="354">
        <f>ROUND(+Base!$K$254/$W$2,0)</f>
        <v>0</v>
      </c>
      <c r="BW61" s="354">
        <f>ROUND(+Base!$K$257/$W$2,0)</f>
        <v>148</v>
      </c>
      <c r="BX61" s="354">
        <f>ROUND(+Base!$K$258/$W$2,0)</f>
        <v>0</v>
      </c>
      <c r="BY61" s="354">
        <f t="shared" si="24"/>
        <v>1050</v>
      </c>
      <c r="BZ61" s="354"/>
      <c r="CA61" s="354"/>
      <c r="CB61" s="354"/>
      <c r="CC61" s="354"/>
      <c r="CD61" s="354"/>
      <c r="CE61" s="354"/>
      <c r="CF61" s="354"/>
      <c r="CG61" s="354"/>
      <c r="CH61" s="354"/>
      <c r="CI61" s="354"/>
      <c r="CJ61" s="354"/>
      <c r="CK61" s="354"/>
      <c r="CL61" s="354"/>
      <c r="CM61" s="693"/>
      <c r="CN61" s="693"/>
      <c r="CO61" s="693"/>
    </row>
    <row r="62" spans="1:93">
      <c r="B62" s="271">
        <f t="shared" si="30"/>
        <v>7</v>
      </c>
      <c r="C62" s="541">
        <f>+Base!L$4</f>
        <v>68</v>
      </c>
      <c r="D62" s="541">
        <f>+Base!L$5</f>
        <v>67</v>
      </c>
      <c r="E62" s="540">
        <f>+Base!L$7</f>
        <v>2025</v>
      </c>
      <c r="F62" s="354">
        <f>ROUND(+Base!$L$8/$W$2,0)</f>
        <v>156</v>
      </c>
      <c r="G62" s="354">
        <f>ROUND(+Base!$L$11/$W$2,0)</f>
        <v>746</v>
      </c>
      <c r="H62" s="354">
        <f>ROUND(+Base!$L$14/$W$2,0)</f>
        <v>0</v>
      </c>
      <c r="I62" s="354">
        <f>ROUND(+Base!$L$17/$W$2,0)</f>
        <v>148</v>
      </c>
      <c r="J62" s="354">
        <f>ROUND(+Base!$L$18/$W$2,0)</f>
        <v>0</v>
      </c>
      <c r="K62" s="354">
        <f t="shared" si="25"/>
        <v>1050</v>
      </c>
      <c r="M62" s="354">
        <f>ROUND(+Base!$L$28/$W$2,0)</f>
        <v>8</v>
      </c>
      <c r="N62" s="354">
        <f>ROUND(+Base!$L$31/$W$2,0)</f>
        <v>45</v>
      </c>
      <c r="O62" s="354">
        <f>ROUND(+Base!$L$34/$W$2,0)</f>
        <v>0</v>
      </c>
      <c r="P62" s="354">
        <f>ROUND(+Base!$L$37/$W$2,0)</f>
        <v>9</v>
      </c>
      <c r="Q62" s="354">
        <f>ROUND(+Base!$L$38/$W$2,0)</f>
        <v>0</v>
      </c>
      <c r="R62" s="354">
        <f>ROUND(+Base!$L$49/$W$2,0)</f>
        <v>0</v>
      </c>
      <c r="S62" s="354">
        <f>ROUND(+Base!$L$60/$W$2,0)</f>
        <v>23</v>
      </c>
      <c r="T62" s="354">
        <f>ROUND(+Base!$L$65/$W$2,0)</f>
        <v>0</v>
      </c>
      <c r="U62" s="354">
        <f>ROUND((Base!$L$66+Base!$L$67)/$W$2,0)</f>
        <v>12</v>
      </c>
      <c r="V62" s="354">
        <f>ROUND((Base!$L$68+Base!$L$69)/$W$2,0)</f>
        <v>13</v>
      </c>
      <c r="W62" s="354">
        <f t="shared" si="31"/>
        <v>110</v>
      </c>
      <c r="Y62" s="354">
        <f>ROUND(+Base!$L$144/$W$2,0)</f>
        <v>79</v>
      </c>
      <c r="Z62" s="354">
        <f>ROUND(+Base!$L$145/$W$2,0)</f>
        <v>8</v>
      </c>
      <c r="AA62" s="354">
        <f>ROUND(-Base!$L$234/$W$2,0)</f>
        <v>0</v>
      </c>
      <c r="AB62" s="354">
        <f>ROUND(-Base!$L$236/$W$2,0)</f>
        <v>0</v>
      </c>
      <c r="AC62" s="354">
        <f>ROUND(-Base!$L$237/$W$2,0)</f>
        <v>0</v>
      </c>
      <c r="AD62" s="354">
        <f>ROUND(-Base!$L$238/$W$2,0)</f>
        <v>0</v>
      </c>
      <c r="AE62" s="354">
        <f>ROUND(-Base!$L$96/$W$2,0)</f>
        <v>0</v>
      </c>
      <c r="AF62" s="354">
        <f>ROUND(-Base!$L$107/$W$2,0)</f>
        <v>0</v>
      </c>
      <c r="AG62" s="354">
        <f>ROUND(-Base!$L$127/$W$2,0)</f>
        <v>0</v>
      </c>
      <c r="AH62" s="354">
        <f>-ROUND(-Base!$L$137/$W$2,0)</f>
        <v>0</v>
      </c>
      <c r="AI62" s="354">
        <f>-ROUND(+Base!$L$240/$W$2,0)</f>
        <v>0</v>
      </c>
      <c r="AJ62" s="354">
        <f t="shared" si="18"/>
        <v>87</v>
      </c>
      <c r="AL62" s="354">
        <f t="shared" si="19"/>
        <v>1073</v>
      </c>
      <c r="AN62" s="354">
        <f>-ROUND(+Base!$L$94/$W$2,0)</f>
        <v>0</v>
      </c>
      <c r="AO62" s="354">
        <f>ROUND(+Base!$L$133/$W$2,0)</f>
        <v>0</v>
      </c>
      <c r="AP62" s="354">
        <f>-ROUND(+Base!$L$91/$W$2,0)</f>
        <v>48</v>
      </c>
      <c r="AQ62" s="354">
        <f>-ROUND(+Base!$L$95/$W$2,0)</f>
        <v>0</v>
      </c>
      <c r="AR62" s="354">
        <f>-ROUND(+Base!$L$96/$W$2,0)</f>
        <v>0</v>
      </c>
      <c r="AS62" s="354">
        <f>-ROUND(+Base!$L$74/$W$2,0)</f>
        <v>0</v>
      </c>
      <c r="AT62" s="354">
        <f t="shared" si="20"/>
        <v>48</v>
      </c>
      <c r="AU62" s="354">
        <f>-ROUND(+Base!$L$102/$W$2,0)</f>
        <v>0</v>
      </c>
      <c r="AV62" s="354">
        <f>-ROUND(+Base!$L$99/$W$2,0)</f>
        <v>0</v>
      </c>
      <c r="AW62" s="354">
        <f>-ROUND(+Base!$L$103/$W$2,0)</f>
        <v>0</v>
      </c>
      <c r="AX62" s="354">
        <f>-ROUND(+Base!$L$75/$W$2,0)</f>
        <v>7</v>
      </c>
      <c r="AY62" s="354">
        <f t="shared" si="26"/>
        <v>0</v>
      </c>
      <c r="AZ62" s="354">
        <f>-ROUND(+Base!$L$110/$W$2,0)</f>
        <v>0</v>
      </c>
      <c r="BA62" s="354">
        <f>-ROUND(+Base!$L$113/$W$2,0)</f>
        <v>0</v>
      </c>
      <c r="BB62" s="354">
        <f>-ROUND(+Base!$L$116/$W$2,0)</f>
        <v>0</v>
      </c>
      <c r="BC62" s="354">
        <f t="shared" si="27"/>
        <v>0</v>
      </c>
      <c r="BD62" s="354">
        <f>-ROUND(+Base!$L$111/$W$2,0)</f>
        <v>0</v>
      </c>
      <c r="BE62" s="354">
        <f>-ROUND(+Base!$L$114/$W$2,0)</f>
        <v>0</v>
      </c>
      <c r="BF62" s="354">
        <f>-ROUND(+Base!$L$117/$W$2,0)</f>
        <v>0</v>
      </c>
      <c r="BG62" s="354">
        <f t="shared" si="28"/>
        <v>0</v>
      </c>
      <c r="BH62" s="354">
        <f>-ROUND(+Base!$L$123/$W$2,0)</f>
        <v>0</v>
      </c>
      <c r="BI62" s="354">
        <f>-ROUND(+Base!$L$126/$W$2,0)</f>
        <v>0</v>
      </c>
      <c r="BJ62" s="354">
        <f>-ROUND(+Base!$L$76/$W$2,0)</f>
        <v>0</v>
      </c>
      <c r="BK62" s="354">
        <f>-ROUND(+Base!$L$127/$W$2,0)</f>
        <v>0</v>
      </c>
      <c r="BL62" s="354">
        <f t="shared" si="21"/>
        <v>0</v>
      </c>
      <c r="BM62" s="354">
        <f>-ROUND(+Base!$L$124/$W$2,0)</f>
        <v>0</v>
      </c>
      <c r="BN62" s="354">
        <f>-ROUND(+Base!$L$134/$W$2,0)</f>
        <v>0</v>
      </c>
      <c r="BO62" s="354">
        <f>-ROUND(+Base!$L$135/$W$2,0)</f>
        <v>0</v>
      </c>
      <c r="BP62" s="354">
        <f t="shared" si="29"/>
        <v>0</v>
      </c>
      <c r="BQ62" s="354">
        <f t="shared" si="22"/>
        <v>0</v>
      </c>
      <c r="BR62" s="354">
        <f t="shared" si="23"/>
        <v>48</v>
      </c>
      <c r="BS62" s="354"/>
      <c r="BT62" s="354">
        <f>ROUND(+Base!$L$248/$W$2,0)</f>
        <v>166</v>
      </c>
      <c r="BU62" s="354">
        <f>ROUND(+Base!$L$251/$W$2,0)</f>
        <v>749</v>
      </c>
      <c r="BV62" s="354">
        <f>ROUND(+Base!$L$254/$W$2,0)</f>
        <v>0</v>
      </c>
      <c r="BW62" s="354">
        <f>ROUND(+Base!$L$257/$W$2,0)</f>
        <v>157</v>
      </c>
      <c r="BX62" s="354">
        <f>ROUND(+Base!$L$258/$W$2,0)</f>
        <v>0</v>
      </c>
      <c r="BY62" s="354">
        <f t="shared" si="24"/>
        <v>1072</v>
      </c>
      <c r="BZ62" s="354"/>
      <c r="CA62" s="354"/>
      <c r="CB62" s="354"/>
      <c r="CC62" s="354"/>
      <c r="CD62" s="354"/>
      <c r="CE62" s="354"/>
      <c r="CF62" s="354"/>
      <c r="CG62" s="354"/>
      <c r="CH62" s="354"/>
      <c r="CI62" s="354"/>
      <c r="CJ62" s="354"/>
      <c r="CK62" s="354"/>
      <c r="CL62" s="354"/>
      <c r="CM62" s="693"/>
      <c r="CN62" s="693"/>
      <c r="CO62" s="693"/>
    </row>
    <row r="63" spans="1:93">
      <c r="B63" s="271">
        <f t="shared" si="30"/>
        <v>8</v>
      </c>
      <c r="C63" s="541">
        <f>+Base!M$4</f>
        <v>69</v>
      </c>
      <c r="D63" s="541">
        <f>+Base!M$5</f>
        <v>68</v>
      </c>
      <c r="E63" s="540">
        <f>+Base!M$7</f>
        <v>2026</v>
      </c>
      <c r="F63" s="354">
        <f>ROUND(+Base!$M$8/$W$2,0)</f>
        <v>166</v>
      </c>
      <c r="G63" s="354">
        <f>ROUND(+Base!$M$11/$W$2,0)</f>
        <v>749</v>
      </c>
      <c r="H63" s="354">
        <f>ROUND(+Base!$M$14/$W$2,0)</f>
        <v>0</v>
      </c>
      <c r="I63" s="354">
        <f>ROUND(+Base!$M$17/$W$2,0)</f>
        <v>157</v>
      </c>
      <c r="J63" s="354">
        <f>ROUND(+Base!$M$18/$W$2,0)</f>
        <v>0</v>
      </c>
      <c r="K63" s="354">
        <f t="shared" si="25"/>
        <v>1072</v>
      </c>
      <c r="M63" s="354">
        <f>ROUND(+Base!$M$28/$W$2,0)</f>
        <v>9</v>
      </c>
      <c r="N63" s="354">
        <f>ROUND(+Base!$M$31/$W$2,0)</f>
        <v>45</v>
      </c>
      <c r="O63" s="354">
        <f>ROUND(+Base!$M$34/$W$2,0)</f>
        <v>0</v>
      </c>
      <c r="P63" s="354">
        <f>ROUND(+Base!$M$37/$W$2,0)</f>
        <v>10</v>
      </c>
      <c r="Q63" s="354">
        <f>ROUND(+Base!$M$38/$W$2,0)</f>
        <v>0</v>
      </c>
      <c r="R63" s="354">
        <f>ROUND(+Base!$M$49/$W$2,0)</f>
        <v>0</v>
      </c>
      <c r="S63" s="354">
        <f>ROUND(+Base!$M$60/$W$2,0)</f>
        <v>23</v>
      </c>
      <c r="T63" s="354">
        <f>ROUND(+Base!$M$65/$W$2,0)</f>
        <v>0</v>
      </c>
      <c r="U63" s="354">
        <f>ROUND((Base!$M$66+Base!$M$67)/$W$2,0)</f>
        <v>12</v>
      </c>
      <c r="V63" s="354">
        <f>ROUND((Base!$M$68+Base!$M$69)/$W$2,0)</f>
        <v>13</v>
      </c>
      <c r="W63" s="354">
        <f t="shared" si="31"/>
        <v>112</v>
      </c>
      <c r="Y63" s="354">
        <f>ROUND(+Base!$M$144/$W$2,0)</f>
        <v>80</v>
      </c>
      <c r="Z63" s="354">
        <f>ROUND(+Base!$M$145/$W$2,0)</f>
        <v>9</v>
      </c>
      <c r="AA63" s="354">
        <f>ROUND(-Base!$M$234/$W$2,0)</f>
        <v>0</v>
      </c>
      <c r="AB63" s="354">
        <f>ROUND(-Base!$M$236/$W$2,0)</f>
        <v>0</v>
      </c>
      <c r="AC63" s="354">
        <f>ROUND(-Base!$M$237/$W$2,0)</f>
        <v>0</v>
      </c>
      <c r="AD63" s="354">
        <f>ROUND(-Base!$M$238/$W$2,0)</f>
        <v>0</v>
      </c>
      <c r="AE63" s="354">
        <f>ROUND(-Base!$M$96/$W$2,0)</f>
        <v>0</v>
      </c>
      <c r="AF63" s="354">
        <f>ROUND(-Base!$M$107/$W$2,0)</f>
        <v>0</v>
      </c>
      <c r="AG63" s="354">
        <f>ROUND(-Base!$M$127/$W$2,0)</f>
        <v>0</v>
      </c>
      <c r="AH63" s="354">
        <f>-ROUND(-Base!$M$137/$W$2,0)</f>
        <v>0</v>
      </c>
      <c r="AI63" s="354">
        <f>-ROUND(+Base!$M$240/$W$2,0)</f>
        <v>0</v>
      </c>
      <c r="AJ63" s="354">
        <f t="shared" si="18"/>
        <v>89</v>
      </c>
      <c r="AL63" s="354">
        <f t="shared" si="19"/>
        <v>1095</v>
      </c>
      <c r="AN63" s="354">
        <f>-ROUND(+Base!$M$94/$W$2,0)</f>
        <v>0</v>
      </c>
      <c r="AO63" s="354">
        <f>ROUND(+Base!$M$133/$W$2,0)</f>
        <v>0</v>
      </c>
      <c r="AP63" s="354">
        <f>-ROUND(+Base!$M$91/$W$2,0)</f>
        <v>49</v>
      </c>
      <c r="AQ63" s="354">
        <f>-ROUND(+Base!$M$95/$W$2,0)</f>
        <v>0</v>
      </c>
      <c r="AR63" s="354">
        <f>-ROUND(+Base!$M$96/$W$2,0)</f>
        <v>0</v>
      </c>
      <c r="AS63" s="354">
        <f>-ROUND(+Base!$M$74/$W$2,0)</f>
        <v>0</v>
      </c>
      <c r="AT63" s="354">
        <f t="shared" si="20"/>
        <v>49</v>
      </c>
      <c r="AU63" s="354">
        <f>-ROUND(+Base!$M$102/$W$2,0)</f>
        <v>0</v>
      </c>
      <c r="AV63" s="354">
        <f>-ROUND(+Base!$M$99/$W$2,0)</f>
        <v>0</v>
      </c>
      <c r="AW63" s="354">
        <f>-ROUND(+Base!$M$103/$W$2,0)</f>
        <v>0</v>
      </c>
      <c r="AX63" s="354">
        <f>-ROUND(+Base!$M$75/$W$2,0)</f>
        <v>7</v>
      </c>
      <c r="AY63" s="354">
        <f t="shared" si="26"/>
        <v>0</v>
      </c>
      <c r="AZ63" s="354">
        <f>-ROUND(+Base!$M$110/$W$2,0)</f>
        <v>0</v>
      </c>
      <c r="BA63" s="354">
        <f>-ROUND(+Base!$M$113/$W$2,0)</f>
        <v>0</v>
      </c>
      <c r="BB63" s="354">
        <f>-ROUND(+Base!$M$116/$W$2,0)</f>
        <v>0</v>
      </c>
      <c r="BC63" s="354">
        <f t="shared" si="27"/>
        <v>0</v>
      </c>
      <c r="BD63" s="354">
        <f>-ROUND(+Base!$M$111/$W$2,0)</f>
        <v>0</v>
      </c>
      <c r="BE63" s="354">
        <f>-ROUND(+Base!$M$114/$W$2,0)</f>
        <v>0</v>
      </c>
      <c r="BF63" s="354">
        <f>-ROUND(+Base!$M$117/$W$2,0)</f>
        <v>0</v>
      </c>
      <c r="BG63" s="354">
        <f t="shared" si="28"/>
        <v>0</v>
      </c>
      <c r="BH63" s="354">
        <f>-ROUND(+Base!$M$123/$W$2,0)</f>
        <v>0</v>
      </c>
      <c r="BI63" s="354">
        <f>-ROUND(+Base!$M$126/$W$2,0)</f>
        <v>0</v>
      </c>
      <c r="BJ63" s="354">
        <f>-ROUND(+Base!$M$76/$W$2,0)</f>
        <v>0</v>
      </c>
      <c r="BK63" s="354">
        <f>-ROUND(+Base!$M$127/$W$2,0)</f>
        <v>0</v>
      </c>
      <c r="BL63" s="354">
        <f t="shared" si="21"/>
        <v>0</v>
      </c>
      <c r="BM63" s="354">
        <f>-ROUND(+Base!$M$124/$W$2,0)</f>
        <v>0</v>
      </c>
      <c r="BN63" s="354">
        <f>-ROUND(+Base!$M$134/$W$2,0)</f>
        <v>0</v>
      </c>
      <c r="BO63" s="354">
        <f>-ROUND(+Base!$M$135/$W$2,0)</f>
        <v>0</v>
      </c>
      <c r="BP63" s="354">
        <f t="shared" si="29"/>
        <v>0</v>
      </c>
      <c r="BQ63" s="354">
        <f t="shared" si="22"/>
        <v>0</v>
      </c>
      <c r="BR63" s="354">
        <f t="shared" si="23"/>
        <v>49</v>
      </c>
      <c r="BS63" s="354"/>
      <c r="BT63" s="354">
        <f>ROUND(+Base!$M$248/$W$2,0)</f>
        <v>176</v>
      </c>
      <c r="BU63" s="354">
        <f>ROUND(+Base!$M$251/$W$2,0)</f>
        <v>752</v>
      </c>
      <c r="BV63" s="354">
        <f>ROUND(+Base!$M$254/$W$2,0)</f>
        <v>0</v>
      </c>
      <c r="BW63" s="354">
        <f>ROUND(+Base!$M$257/$W$2,0)</f>
        <v>167</v>
      </c>
      <c r="BX63" s="354">
        <f>ROUND(+Base!$M$258/$W$2,0)</f>
        <v>0</v>
      </c>
      <c r="BY63" s="354">
        <f t="shared" si="24"/>
        <v>1095</v>
      </c>
      <c r="BZ63" s="354"/>
      <c r="CA63" s="354"/>
      <c r="CB63" s="354"/>
      <c r="CC63" s="354"/>
      <c r="CD63" s="354"/>
      <c r="CE63" s="354"/>
      <c r="CF63" s="354"/>
      <c r="CG63" s="354"/>
      <c r="CH63" s="354"/>
      <c r="CI63" s="354"/>
      <c r="CJ63" s="354"/>
      <c r="CK63" s="354"/>
      <c r="CL63" s="354"/>
      <c r="CM63" s="693"/>
      <c r="CN63" s="693"/>
      <c r="CO63" s="693"/>
    </row>
    <row r="64" spans="1:93">
      <c r="B64" s="271">
        <f t="shared" si="30"/>
        <v>9</v>
      </c>
      <c r="C64" s="541">
        <f>+Base!N$4</f>
        <v>70</v>
      </c>
      <c r="D64" s="541">
        <f>+Base!N$5</f>
        <v>69</v>
      </c>
      <c r="E64" s="540">
        <f>+Base!N$7</f>
        <v>2027</v>
      </c>
      <c r="F64" s="354">
        <f>ROUND(+Base!$N$8/$W$2,0)</f>
        <v>176</v>
      </c>
      <c r="G64" s="354">
        <f>ROUND(+Base!$N$11/$W$2,0)</f>
        <v>752</v>
      </c>
      <c r="H64" s="354">
        <f>ROUND(+Base!$N$14/$W$2,0)</f>
        <v>0</v>
      </c>
      <c r="I64" s="354">
        <f>ROUND(+Base!$N$17/$W$2,0)</f>
        <v>167</v>
      </c>
      <c r="J64" s="354">
        <f>ROUND(+Base!$N$18/$W$2,0)</f>
        <v>0</v>
      </c>
      <c r="K64" s="354">
        <f t="shared" si="25"/>
        <v>1095</v>
      </c>
      <c r="M64" s="354">
        <f>ROUND(+Base!$N$28/$W$2,0)</f>
        <v>9</v>
      </c>
      <c r="N64" s="354">
        <f>ROUND(+Base!$N$31/$W$2,0)</f>
        <v>47</v>
      </c>
      <c r="O64" s="354">
        <f>ROUND(+Base!$N$34/$W$2,0)</f>
        <v>0</v>
      </c>
      <c r="P64" s="354">
        <f>ROUND(+Base!$N$37/$W$2,0)</f>
        <v>10</v>
      </c>
      <c r="Q64" s="354">
        <f>ROUND(+Base!$N$38/$W$2,0)</f>
        <v>0</v>
      </c>
      <c r="R64" s="354">
        <f>ROUND(+Base!$N$49/$W$2,0)</f>
        <v>46</v>
      </c>
      <c r="S64" s="354">
        <f>ROUND(+Base!$N$60/$W$2,0)</f>
        <v>24</v>
      </c>
      <c r="T64" s="354">
        <f>ROUND(+Base!$N$65/$W$2,0)</f>
        <v>0</v>
      </c>
      <c r="U64" s="354">
        <f>ROUND((Base!$N$66+Base!$N$67)/$W$2,0)</f>
        <v>12</v>
      </c>
      <c r="V64" s="354">
        <f>ROUND((Base!$N$68+Base!$N$69)/$W$2,0)</f>
        <v>14</v>
      </c>
      <c r="W64" s="354">
        <f t="shared" si="31"/>
        <v>162</v>
      </c>
      <c r="Y64" s="354">
        <f>ROUND(+Base!$N$144/$W$2,0)</f>
        <v>82</v>
      </c>
      <c r="Z64" s="354">
        <f>ROUND(+Base!$N$145/$W$2,0)</f>
        <v>5</v>
      </c>
      <c r="AA64" s="354">
        <f>ROUND(-Base!$N$234/$W$2,0)</f>
        <v>0</v>
      </c>
      <c r="AB64" s="354">
        <f>ROUND(-Base!$N$236/$W$2,0)</f>
        <v>0</v>
      </c>
      <c r="AC64" s="354">
        <f>ROUND(-Base!$N$237/$W$2,0)</f>
        <v>0</v>
      </c>
      <c r="AD64" s="354">
        <f>ROUND(-Base!$N$238/$W$2,0)</f>
        <v>0</v>
      </c>
      <c r="AE64" s="354">
        <f>ROUND(-Base!$N$96/$W$2,0)</f>
        <v>0</v>
      </c>
      <c r="AF64" s="354">
        <f>ROUND(-Base!$N$107/$W$2,0)</f>
        <v>0</v>
      </c>
      <c r="AG64" s="354">
        <f>ROUND(-Base!$N$127/$W$2,0)</f>
        <v>0</v>
      </c>
      <c r="AH64" s="354">
        <f>-ROUND(-Base!$N$137/$W$2,0)</f>
        <v>0</v>
      </c>
      <c r="AI64" s="354">
        <f>-ROUND(+Base!$N$240/$W$2,0)</f>
        <v>0</v>
      </c>
      <c r="AJ64" s="354">
        <f t="shared" si="18"/>
        <v>87</v>
      </c>
      <c r="AL64" s="354">
        <f t="shared" si="19"/>
        <v>1170</v>
      </c>
      <c r="AN64" s="354">
        <f>-ROUND(+Base!$N$94/$W$2,0)</f>
        <v>0</v>
      </c>
      <c r="AO64" s="354">
        <f>ROUND(+Base!$N$133/$W$2,0)</f>
        <v>0</v>
      </c>
      <c r="AP64" s="354">
        <f>-ROUND(+Base!$N$91/$W$2,0)</f>
        <v>10</v>
      </c>
      <c r="AQ64" s="354">
        <f>-ROUND(+Base!$N$95/$W$2,0)</f>
        <v>0</v>
      </c>
      <c r="AR64" s="354">
        <f>-ROUND(+Base!$N$96/$W$2,0)</f>
        <v>0</v>
      </c>
      <c r="AS64" s="354">
        <f>-ROUND(+Base!$N$74/$W$2,0)</f>
        <v>0</v>
      </c>
      <c r="AT64" s="354">
        <f t="shared" si="20"/>
        <v>10</v>
      </c>
      <c r="AU64" s="354">
        <f>-ROUND(+Base!$N$102/$W$2,0)</f>
        <v>0</v>
      </c>
      <c r="AV64" s="354">
        <f>-ROUND(+Base!$N$99/$W$2,0)</f>
        <v>0</v>
      </c>
      <c r="AW64" s="354">
        <f>-ROUND(+Base!$N$103/$W$2,0)</f>
        <v>0</v>
      </c>
      <c r="AX64" s="354">
        <f>-ROUND(+Base!$N$75/$W$2,0)</f>
        <v>7</v>
      </c>
      <c r="AY64" s="354">
        <f t="shared" si="26"/>
        <v>0</v>
      </c>
      <c r="AZ64" s="354">
        <f>-ROUND(+Base!$N$110/$W$2,0)</f>
        <v>0</v>
      </c>
      <c r="BA64" s="354">
        <f>-ROUND(+Base!$N$113/$W$2,0)</f>
        <v>0</v>
      </c>
      <c r="BB64" s="354">
        <f>-ROUND(+Base!$N$116/$W$2,0)</f>
        <v>0</v>
      </c>
      <c r="BC64" s="354">
        <f t="shared" si="27"/>
        <v>0</v>
      </c>
      <c r="BD64" s="354">
        <f>-ROUND(+Base!$N$111/$W$2,0)</f>
        <v>0</v>
      </c>
      <c r="BE64" s="354">
        <f>-ROUND(+Base!$N$114/$W$2,0)</f>
        <v>0</v>
      </c>
      <c r="BF64" s="354">
        <f>-ROUND(+Base!$N$117/$W$2,0)</f>
        <v>0</v>
      </c>
      <c r="BG64" s="354">
        <f t="shared" si="28"/>
        <v>0</v>
      </c>
      <c r="BH64" s="354">
        <f>-ROUND(+Base!$N$123/$W$2,0)</f>
        <v>0</v>
      </c>
      <c r="BI64" s="354">
        <f>-ROUND(+Base!$N$126/$W$2,0)</f>
        <v>0</v>
      </c>
      <c r="BJ64" s="354">
        <f>-ROUND(+Base!$N$76/$W$2,0)</f>
        <v>0</v>
      </c>
      <c r="BK64" s="354">
        <f>-ROUND(+Base!$N$127/$W$2,0)</f>
        <v>0</v>
      </c>
      <c r="BL64" s="354">
        <f t="shared" si="21"/>
        <v>0</v>
      </c>
      <c r="BM64" s="354">
        <f>-ROUND(+Base!$N$124/$W$2,0)</f>
        <v>5</v>
      </c>
      <c r="BN64" s="354">
        <f>-ROUND(+Base!$N$134/$W$2,0)</f>
        <v>0</v>
      </c>
      <c r="BO64" s="354">
        <f>-ROUND(+Base!$N$135/$W$2,0)</f>
        <v>0</v>
      </c>
      <c r="BP64" s="354">
        <f t="shared" si="29"/>
        <v>0</v>
      </c>
      <c r="BQ64" s="354">
        <f t="shared" si="22"/>
        <v>0</v>
      </c>
      <c r="BR64" s="354">
        <f t="shared" si="23"/>
        <v>15</v>
      </c>
      <c r="BS64" s="354"/>
      <c r="BT64" s="354">
        <f>ROUND(+Base!$N$248/$W$2,0)</f>
        <v>203</v>
      </c>
      <c r="BU64" s="354">
        <f>ROUND(+Base!$N$251/$W$2,0)</f>
        <v>795</v>
      </c>
      <c r="BV64" s="354">
        <f>ROUND(+Base!$N$254/$W$2,0)</f>
        <v>0</v>
      </c>
      <c r="BW64" s="354">
        <f>ROUND(+Base!$N$257/$W$2,0)</f>
        <v>172</v>
      </c>
      <c r="BX64" s="354">
        <f>ROUND(+Base!$N$258/$W$2,0)</f>
        <v>0</v>
      </c>
      <c r="BY64" s="354">
        <f t="shared" si="24"/>
        <v>1170</v>
      </c>
      <c r="BZ64" s="354"/>
      <c r="CA64" s="354"/>
      <c r="CB64" s="354"/>
      <c r="CC64" s="354"/>
      <c r="CD64" s="354"/>
      <c r="CE64" s="354"/>
      <c r="CF64" s="354"/>
      <c r="CG64" s="354"/>
      <c r="CH64" s="354"/>
      <c r="CI64" s="354"/>
      <c r="CJ64" s="354"/>
      <c r="CK64" s="354"/>
      <c r="CL64" s="354"/>
      <c r="CM64" s="693"/>
      <c r="CN64" s="693"/>
      <c r="CO64" s="693"/>
    </row>
    <row r="65" spans="2:93">
      <c r="B65" s="271">
        <f t="shared" si="30"/>
        <v>10</v>
      </c>
      <c r="C65" s="541">
        <f>+Base!O$4</f>
        <v>71</v>
      </c>
      <c r="D65" s="541">
        <f>+Base!O$5</f>
        <v>70</v>
      </c>
      <c r="E65" s="540">
        <f>+Base!O$7</f>
        <v>2028</v>
      </c>
      <c r="F65" s="354">
        <f>ROUND(+Base!$O$8/$W$2,0)</f>
        <v>203</v>
      </c>
      <c r="G65" s="354">
        <f>ROUND(+Base!$O$11/$W$2,0)</f>
        <v>795</v>
      </c>
      <c r="H65" s="354">
        <f>ROUND(+Base!$O$14/$W$2,0)</f>
        <v>0</v>
      </c>
      <c r="I65" s="354">
        <f>ROUND(+Base!$O$17/$W$2,0)</f>
        <v>172</v>
      </c>
      <c r="J65" s="354">
        <f>ROUND(+Base!$O$18/$W$2,0)</f>
        <v>0</v>
      </c>
      <c r="K65" s="354">
        <f t="shared" si="25"/>
        <v>1170</v>
      </c>
      <c r="M65" s="354">
        <f>ROUND(+Base!$O$28/$W$2,0)</f>
        <v>11</v>
      </c>
      <c r="N65" s="354">
        <f>ROUND(+Base!$O$31/$W$2,0)</f>
        <v>48</v>
      </c>
      <c r="O65" s="354">
        <f>ROUND(+Base!$O$34/$W$2,0)</f>
        <v>0</v>
      </c>
      <c r="P65" s="354">
        <f>ROUND(+Base!$O$37/$W$2,0)</f>
        <v>10</v>
      </c>
      <c r="Q65" s="354">
        <f>ROUND(+Base!$O$38/$W$2,0)</f>
        <v>0</v>
      </c>
      <c r="R65" s="354">
        <f>ROUND(+Base!$O$49/$W$2,0)</f>
        <v>47</v>
      </c>
      <c r="S65" s="354">
        <f>ROUND(+Base!$O$60/$W$2,0)</f>
        <v>24</v>
      </c>
      <c r="T65" s="354">
        <f>ROUND(+Base!$O$65/$W$2,0)</f>
        <v>0</v>
      </c>
      <c r="U65" s="354">
        <f>ROUND((Base!$O$66+Base!$O$67)/$W$2,0)</f>
        <v>13</v>
      </c>
      <c r="V65" s="354">
        <f>ROUND((Base!$O$68+Base!$O$69)/$W$2,0)</f>
        <v>0</v>
      </c>
      <c r="W65" s="354">
        <f t="shared" si="31"/>
        <v>153</v>
      </c>
      <c r="Y65" s="354">
        <f>ROUND(+Base!$O$144/$W$2,0)</f>
        <v>84</v>
      </c>
      <c r="Z65" s="354">
        <f>ROUND(+Base!$O$145/$W$2,0)</f>
        <v>5</v>
      </c>
      <c r="AA65" s="354">
        <f>ROUND(-Base!$O$234/$W$2,0)</f>
        <v>0</v>
      </c>
      <c r="AB65" s="354">
        <f>ROUND(-Base!$O$236/$W$2,0)</f>
        <v>0</v>
      </c>
      <c r="AC65" s="354">
        <f>ROUND(-Base!$O$237/$W$2,0)</f>
        <v>0</v>
      </c>
      <c r="AD65" s="354">
        <f>ROUND(-Base!$O$238/$W$2,0)</f>
        <v>0</v>
      </c>
      <c r="AE65" s="354">
        <f>ROUND(-Base!$O$96/$W$2,0)</f>
        <v>0</v>
      </c>
      <c r="AF65" s="354">
        <f>ROUND(-Base!$O$107/$W$2,0)</f>
        <v>0</v>
      </c>
      <c r="AG65" s="354">
        <f>ROUND(-Base!$O$127/$W$2,0)</f>
        <v>0</v>
      </c>
      <c r="AH65" s="354">
        <f>-ROUND(-Base!$O$137/$W$2,0)</f>
        <v>-15</v>
      </c>
      <c r="AI65" s="354">
        <f>-ROUND(+Base!$O$240/$W$2,0)</f>
        <v>15</v>
      </c>
      <c r="AJ65" s="354">
        <f t="shared" si="18"/>
        <v>104</v>
      </c>
      <c r="AL65" s="354">
        <f t="shared" si="19"/>
        <v>1219</v>
      </c>
      <c r="AN65" s="354">
        <f>-ROUND(+Base!$O$94/$W$2,0)</f>
        <v>15</v>
      </c>
      <c r="AO65" s="354">
        <f>ROUND(+Base!$O$133/$W$2,0)</f>
        <v>0</v>
      </c>
      <c r="AP65" s="354">
        <f>-ROUND(+Base!$O$91/$W$2,0)</f>
        <v>9</v>
      </c>
      <c r="AQ65" s="354">
        <f>-ROUND(+Base!$O$95/$W$2,0)</f>
        <v>0</v>
      </c>
      <c r="AR65" s="354">
        <f>-ROUND(+Base!$O$96/$W$2,0)</f>
        <v>0</v>
      </c>
      <c r="AS65" s="354">
        <f>-ROUND(+Base!$O$74/$W$2,0)</f>
        <v>0</v>
      </c>
      <c r="AT65" s="354">
        <f t="shared" si="20"/>
        <v>9</v>
      </c>
      <c r="AU65" s="354">
        <f>-ROUND(+Base!$O$102/$W$2,0)</f>
        <v>15</v>
      </c>
      <c r="AV65" s="354">
        <f>-ROUND(+Base!$O$99/$W$2,0)</f>
        <v>0</v>
      </c>
      <c r="AW65" s="354">
        <f>-ROUND(+Base!$O$103/$W$2,0)</f>
        <v>0</v>
      </c>
      <c r="AX65" s="354">
        <f>-ROUND(+Base!$O$75/$W$2,0)</f>
        <v>0</v>
      </c>
      <c r="AY65" s="354">
        <f t="shared" si="26"/>
        <v>0</v>
      </c>
      <c r="AZ65" s="354">
        <f>-ROUND(+Base!$O$110/$W$2,0)</f>
        <v>0</v>
      </c>
      <c r="BA65" s="354">
        <f>-ROUND(+Base!$O$113/$W$2,0)</f>
        <v>0</v>
      </c>
      <c r="BB65" s="354">
        <f>-ROUND(+Base!$O$116/$W$2,0)</f>
        <v>0</v>
      </c>
      <c r="BC65" s="354">
        <f t="shared" si="27"/>
        <v>0</v>
      </c>
      <c r="BD65" s="354">
        <f>-ROUND(+Base!$O$111/$W$2,0)</f>
        <v>0</v>
      </c>
      <c r="BE65" s="354">
        <f>-ROUND(+Base!$O$114/$W$2,0)</f>
        <v>0</v>
      </c>
      <c r="BF65" s="354">
        <f>-ROUND(+Base!$O$117/$W$2,0)</f>
        <v>0</v>
      </c>
      <c r="BG65" s="354">
        <f t="shared" si="28"/>
        <v>0</v>
      </c>
      <c r="BH65" s="354">
        <f>-ROUND(+Base!$O$123/$W$2,0)</f>
        <v>0</v>
      </c>
      <c r="BI65" s="354">
        <f>-ROUND(+Base!$O$126/$W$2,0)</f>
        <v>0</v>
      </c>
      <c r="BJ65" s="354">
        <f>-ROUND(+Base!$O$76/$W$2,0)</f>
        <v>0</v>
      </c>
      <c r="BK65" s="354">
        <f>-ROUND(+Base!$O$127/$W$2,0)</f>
        <v>0</v>
      </c>
      <c r="BL65" s="354">
        <f t="shared" si="21"/>
        <v>0</v>
      </c>
      <c r="BM65" s="354">
        <f>-ROUND(+Base!$O$124/$W$2,0)</f>
        <v>6</v>
      </c>
      <c r="BN65" s="354">
        <f>-ROUND(+Base!$O$134/$W$2,0)</f>
        <v>0</v>
      </c>
      <c r="BO65" s="354">
        <f>-ROUND(+Base!$O$135/$W$2,0)</f>
        <v>0</v>
      </c>
      <c r="BP65" s="354">
        <f t="shared" si="29"/>
        <v>0</v>
      </c>
      <c r="BQ65" s="354">
        <f t="shared" si="22"/>
        <v>15</v>
      </c>
      <c r="BR65" s="354">
        <f t="shared" si="23"/>
        <v>60</v>
      </c>
      <c r="BS65" s="354"/>
      <c r="BT65" s="354">
        <f>ROUND(+Base!$O$248/$W$2,0)</f>
        <v>238</v>
      </c>
      <c r="BU65" s="354">
        <f>ROUND(+Base!$O$251/$W$2,0)</f>
        <v>804</v>
      </c>
      <c r="BV65" s="354">
        <f>ROUND(+Base!$O$254/$W$2,0)</f>
        <v>0</v>
      </c>
      <c r="BW65" s="354">
        <f>ROUND(+Base!$O$257/$W$2,0)</f>
        <v>177</v>
      </c>
      <c r="BX65" s="354">
        <f>ROUND(+Base!$O$258/$W$2,0)</f>
        <v>0</v>
      </c>
      <c r="BY65" s="354">
        <f t="shared" si="24"/>
        <v>1219</v>
      </c>
      <c r="BZ65" s="354"/>
      <c r="CA65" s="354"/>
      <c r="CB65" s="354"/>
      <c r="CC65" s="354"/>
      <c r="CD65" s="354"/>
      <c r="CE65" s="354"/>
      <c r="CF65" s="354"/>
      <c r="CG65" s="354"/>
      <c r="CH65" s="354"/>
      <c r="CI65" s="354"/>
      <c r="CJ65" s="354"/>
      <c r="CK65" s="354"/>
      <c r="CL65" s="354"/>
      <c r="CM65" s="693"/>
      <c r="CN65" s="693"/>
      <c r="CO65" s="693"/>
    </row>
    <row r="66" spans="2:93">
      <c r="B66" s="271">
        <f t="shared" si="30"/>
        <v>11</v>
      </c>
      <c r="C66" s="541">
        <f>+Base!P$4</f>
        <v>72</v>
      </c>
      <c r="D66" s="541">
        <f>+Base!P$5</f>
        <v>71</v>
      </c>
      <c r="E66" s="540">
        <f>+Base!P$7</f>
        <v>2029</v>
      </c>
      <c r="F66" s="354">
        <f>ROUND(+Base!$P$8/$W$2,0)</f>
        <v>238</v>
      </c>
      <c r="G66" s="354">
        <f>ROUND(+Base!$P$11/$W$2,0)</f>
        <v>804</v>
      </c>
      <c r="H66" s="354">
        <f>ROUND(+Base!$P$14/$W$2,0)</f>
        <v>0</v>
      </c>
      <c r="I66" s="354">
        <f>ROUND(+Base!$P$17/$W$2,0)</f>
        <v>177</v>
      </c>
      <c r="J66" s="354">
        <f>ROUND(+Base!$P$18/$W$2,0)</f>
        <v>0</v>
      </c>
      <c r="K66" s="354">
        <f t="shared" si="25"/>
        <v>1219</v>
      </c>
      <c r="M66" s="354">
        <f>ROUND(+Base!$P$28/$W$2,0)</f>
        <v>11</v>
      </c>
      <c r="N66" s="354">
        <f>ROUND(+Base!$P$31/$W$2,0)</f>
        <v>49</v>
      </c>
      <c r="O66" s="354">
        <f>ROUND(+Base!$P$34/$W$2,0)</f>
        <v>0</v>
      </c>
      <c r="P66" s="354">
        <f>ROUND(+Base!$P$37/$W$2,0)</f>
        <v>11</v>
      </c>
      <c r="Q66" s="354">
        <f>ROUND(+Base!$P$38/$W$2,0)</f>
        <v>0</v>
      </c>
      <c r="R66" s="354">
        <f>ROUND(+Base!$P$49/$W$2,0)</f>
        <v>48</v>
      </c>
      <c r="S66" s="354">
        <f>ROUND(+Base!$P$60/$W$2,0)</f>
        <v>25</v>
      </c>
      <c r="T66" s="354">
        <f>ROUND(+Base!$P$65/$W$2,0)</f>
        <v>0</v>
      </c>
      <c r="U66" s="354">
        <f>ROUND((Base!$P$66+Base!$P$67)/$W$2,0)</f>
        <v>13</v>
      </c>
      <c r="V66" s="354">
        <f>ROUND((Base!$P$68+Base!$P$69)/$W$2,0)</f>
        <v>0</v>
      </c>
      <c r="W66" s="354">
        <f t="shared" si="31"/>
        <v>157</v>
      </c>
      <c r="Y66" s="354">
        <f>ROUND(+Base!$P$144/$W$2,0)</f>
        <v>85</v>
      </c>
      <c r="Z66" s="354">
        <f>ROUND(+Base!$P$145/$W$2,0)</f>
        <v>5</v>
      </c>
      <c r="AA66" s="354">
        <f>ROUND(-Base!$P$234/$W$2,0)</f>
        <v>0</v>
      </c>
      <c r="AB66" s="354">
        <f>ROUND(-Base!$P$236/$W$2,0)</f>
        <v>0</v>
      </c>
      <c r="AC66" s="354">
        <f>ROUND(-Base!$P$237/$W$2,0)</f>
        <v>80</v>
      </c>
      <c r="AD66" s="354">
        <f>ROUND(-Base!$P$238/$W$2,0)</f>
        <v>0</v>
      </c>
      <c r="AE66" s="354">
        <f>ROUND(-Base!$P$96/$W$2,0)</f>
        <v>0</v>
      </c>
      <c r="AF66" s="354">
        <f>ROUND(-Base!$P$107/$W$2,0)</f>
        <v>0</v>
      </c>
      <c r="AG66" s="354">
        <f>ROUND(-Base!$P$127/$W$2,0)</f>
        <v>0</v>
      </c>
      <c r="AH66" s="354">
        <f>-ROUND(-Base!$P$137/$W$2,0)</f>
        <v>-15</v>
      </c>
      <c r="AI66" s="354">
        <f>-ROUND(+Base!$P$240/$W$2,0)</f>
        <v>95</v>
      </c>
      <c r="AJ66" s="354">
        <f t="shared" si="18"/>
        <v>185</v>
      </c>
      <c r="AL66" s="354">
        <f t="shared" si="19"/>
        <v>1191</v>
      </c>
      <c r="AN66" s="354">
        <f>-ROUND(+Base!$P$94/$W$2,0)</f>
        <v>15</v>
      </c>
      <c r="AO66" s="354">
        <f>ROUND(+Base!$P$133/$W$2,0)</f>
        <v>0</v>
      </c>
      <c r="AP66" s="354">
        <f>-ROUND(+Base!$P$91/$W$2,0)</f>
        <v>8</v>
      </c>
      <c r="AQ66" s="354">
        <f>-ROUND(+Base!$P$95/$W$2,0)</f>
        <v>0</v>
      </c>
      <c r="AR66" s="354">
        <f>-ROUND(+Base!$P$96/$W$2,0)</f>
        <v>0</v>
      </c>
      <c r="AS66" s="354">
        <f>-ROUND(+Base!$P$74/$W$2,0)</f>
        <v>0</v>
      </c>
      <c r="AT66" s="354">
        <f t="shared" si="20"/>
        <v>8</v>
      </c>
      <c r="AU66" s="354">
        <f>-ROUND(+Base!$P$102/$W$2,0)</f>
        <v>16</v>
      </c>
      <c r="AV66" s="354">
        <f>-ROUND(+Base!$P$99/$W$2,0)</f>
        <v>0</v>
      </c>
      <c r="AW66" s="354">
        <f>-ROUND(+Base!$P$103/$W$2,0)</f>
        <v>0</v>
      </c>
      <c r="AX66" s="354">
        <f>-ROUND(+Base!$P$75/$W$2,0)</f>
        <v>0</v>
      </c>
      <c r="AY66" s="354">
        <f t="shared" si="26"/>
        <v>0</v>
      </c>
      <c r="AZ66" s="354">
        <f>-ROUND(+Base!$P$110/$W$2,0)</f>
        <v>0</v>
      </c>
      <c r="BA66" s="354">
        <f>-ROUND(+Base!$P$113/$W$2,0)</f>
        <v>0</v>
      </c>
      <c r="BB66" s="354">
        <f>-ROUND(+Base!$P$116/$W$2,0)</f>
        <v>0</v>
      </c>
      <c r="BC66" s="354">
        <f t="shared" si="27"/>
        <v>0</v>
      </c>
      <c r="BD66" s="354">
        <f>-ROUND(+Base!$P$111/$W$2,0)</f>
        <v>0</v>
      </c>
      <c r="BE66" s="354">
        <f>-ROUND(+Base!$P$114/$W$2,0)</f>
        <v>0</v>
      </c>
      <c r="BF66" s="354">
        <f>-ROUND(+Base!$P$117/$W$2,0)</f>
        <v>0</v>
      </c>
      <c r="BG66" s="354">
        <f t="shared" si="28"/>
        <v>0</v>
      </c>
      <c r="BH66" s="354">
        <f>-ROUND(+Base!$P$123/$W$2,0)</f>
        <v>0</v>
      </c>
      <c r="BI66" s="354">
        <f>-ROUND(+Base!$P$126/$W$2,0)</f>
        <v>0</v>
      </c>
      <c r="BJ66" s="354">
        <f>-ROUND(+Base!$P$76/$W$2,0)</f>
        <v>0</v>
      </c>
      <c r="BK66" s="354">
        <f>-ROUND(+Base!$P$127/$W$2,0)</f>
        <v>0</v>
      </c>
      <c r="BL66" s="354">
        <f t="shared" si="21"/>
        <v>0</v>
      </c>
      <c r="BM66" s="354">
        <f>-ROUND(+Base!$P$124/$W$2,0)</f>
        <v>6</v>
      </c>
      <c r="BN66" s="354">
        <f>-ROUND(+Base!$P$134/$W$2,0)</f>
        <v>0</v>
      </c>
      <c r="BO66" s="354">
        <f>-ROUND(+Base!$P$135/$W$2,0)</f>
        <v>0</v>
      </c>
      <c r="BP66" s="354">
        <f t="shared" si="29"/>
        <v>0</v>
      </c>
      <c r="BQ66" s="354">
        <f t="shared" si="22"/>
        <v>15</v>
      </c>
      <c r="BR66" s="354">
        <f t="shared" si="23"/>
        <v>60</v>
      </c>
      <c r="BS66" s="354"/>
      <c r="BT66" s="354">
        <f>ROUND(+Base!$P$248/$W$2,0)</f>
        <v>194</v>
      </c>
      <c r="BU66" s="354">
        <f>ROUND(+Base!$P$251/$W$2,0)</f>
        <v>814</v>
      </c>
      <c r="BV66" s="354">
        <f>ROUND(+Base!$P$254/$W$2,0)</f>
        <v>0</v>
      </c>
      <c r="BW66" s="354">
        <f>ROUND(+Base!$P$257/$W$2,0)</f>
        <v>181</v>
      </c>
      <c r="BX66" s="354">
        <f>ROUND(+Base!$P$258/$W$2,0)</f>
        <v>0</v>
      </c>
      <c r="BY66" s="354">
        <f t="shared" si="24"/>
        <v>1189</v>
      </c>
      <c r="BZ66" s="354"/>
      <c r="CA66" s="354"/>
      <c r="CB66" s="354"/>
      <c r="CC66" s="354"/>
      <c r="CD66" s="354"/>
      <c r="CE66" s="354"/>
      <c r="CF66" s="354"/>
      <c r="CG66" s="354"/>
      <c r="CH66" s="354"/>
      <c r="CI66" s="354"/>
      <c r="CJ66" s="354"/>
      <c r="CK66" s="354"/>
      <c r="CL66" s="354"/>
      <c r="CM66" s="693"/>
      <c r="CN66" s="693"/>
      <c r="CO66" s="693"/>
    </row>
    <row r="67" spans="2:93">
      <c r="B67" s="271">
        <f t="shared" si="30"/>
        <v>12</v>
      </c>
      <c r="C67" s="541">
        <f>+Base!Q$4</f>
        <v>73</v>
      </c>
      <c r="D67" s="541">
        <f>+Base!Q$5</f>
        <v>72</v>
      </c>
      <c r="E67" s="540">
        <f>+Base!Q$7</f>
        <v>2030</v>
      </c>
      <c r="F67" s="354">
        <f>ROUND(+Base!$Q$8/$W$2,0)</f>
        <v>194</v>
      </c>
      <c r="G67" s="354">
        <f>ROUND(+Base!$Q$11/$W$2,0)</f>
        <v>814</v>
      </c>
      <c r="H67" s="354">
        <f>ROUND(+Base!$Q$14/$W$2,0)</f>
        <v>0</v>
      </c>
      <c r="I67" s="354">
        <f>ROUND(+Base!$Q$17/$W$2,0)</f>
        <v>181</v>
      </c>
      <c r="J67" s="354">
        <f>ROUND(+Base!$Q$18/$W$2,0)</f>
        <v>0</v>
      </c>
      <c r="K67" s="354">
        <f t="shared" si="25"/>
        <v>1189</v>
      </c>
      <c r="M67" s="354">
        <f>ROUND(+Base!$Q$28/$W$2,0)</f>
        <v>12</v>
      </c>
      <c r="N67" s="354">
        <f>ROUND(+Base!$Q$31/$W$2,0)</f>
        <v>49</v>
      </c>
      <c r="O67" s="354">
        <f>ROUND(+Base!$Q$34/$W$2,0)</f>
        <v>0</v>
      </c>
      <c r="P67" s="354">
        <f>ROUND(+Base!$Q$37/$W$2,0)</f>
        <v>11</v>
      </c>
      <c r="Q67" s="354">
        <f>ROUND(+Base!$Q$38/$W$2,0)</f>
        <v>0</v>
      </c>
      <c r="R67" s="354">
        <f>ROUND(+Base!$Q$49/$W$2,0)</f>
        <v>49</v>
      </c>
      <c r="S67" s="354">
        <f>ROUND(+Base!$Q$60/$W$2,0)</f>
        <v>25</v>
      </c>
      <c r="T67" s="354">
        <f>ROUND(+Base!$Q$65/$W$2,0)</f>
        <v>0</v>
      </c>
      <c r="U67" s="354">
        <f>ROUND((Base!$Q$66+Base!$Q$67)/$W$2,0)</f>
        <v>13</v>
      </c>
      <c r="V67" s="354">
        <f>ROUND((Base!$Q$68+Base!$Q$69)/$W$2,0)</f>
        <v>0</v>
      </c>
      <c r="W67" s="354">
        <f t="shared" si="31"/>
        <v>159</v>
      </c>
      <c r="Y67" s="354">
        <f>ROUND(+Base!$Q$144/$W$2,0)</f>
        <v>87</v>
      </c>
      <c r="Z67" s="354">
        <f>ROUND(+Base!$Q$145/$W$2,0)</f>
        <v>5</v>
      </c>
      <c r="AA67" s="354">
        <f>ROUND(-Base!$Q$234/$W$2,0)</f>
        <v>-40</v>
      </c>
      <c r="AB67" s="354">
        <f>ROUND(-Base!$Q$236/$W$2,0)</f>
        <v>0</v>
      </c>
      <c r="AC67" s="354">
        <f>ROUND(-Base!$Q$237/$W$2,0)</f>
        <v>0</v>
      </c>
      <c r="AD67" s="354">
        <f>ROUND(-Base!$Q$238/$W$2,0)</f>
        <v>0</v>
      </c>
      <c r="AE67" s="354">
        <f>ROUND(-Base!$Q$96/$W$2,0)</f>
        <v>0</v>
      </c>
      <c r="AF67" s="354">
        <f>ROUND(-Base!$Q$107/$W$2,0)</f>
        <v>-60</v>
      </c>
      <c r="AG67" s="354">
        <f>ROUND(-Base!$Q$127/$W$2,0)</f>
        <v>0</v>
      </c>
      <c r="AH67" s="354">
        <f>-ROUND(-Base!$Q$137/$W$2,0)</f>
        <v>-15</v>
      </c>
      <c r="AI67" s="354">
        <f>-ROUND(+Base!$Q$240/$W$2,0)</f>
        <v>-85</v>
      </c>
      <c r="AJ67" s="354">
        <f t="shared" si="18"/>
        <v>7</v>
      </c>
      <c r="AL67" s="354">
        <f t="shared" si="19"/>
        <v>1341</v>
      </c>
      <c r="AN67" s="354">
        <f>-ROUND(+Base!$Q$94/$W$2,0)</f>
        <v>16</v>
      </c>
      <c r="AO67" s="354">
        <f>ROUND(+Base!$Q$133/$W$2,0)</f>
        <v>0</v>
      </c>
      <c r="AP67" s="354">
        <f>-ROUND(+Base!$Q$91/$W$2,0)</f>
        <v>7</v>
      </c>
      <c r="AQ67" s="354">
        <f>-ROUND(+Base!$Q$95/$W$2,0)</f>
        <v>0</v>
      </c>
      <c r="AR67" s="354">
        <f>-ROUND(+Base!$Q$96/$W$2,0)</f>
        <v>0</v>
      </c>
      <c r="AS67" s="354">
        <f>-ROUND(+Base!$Q$74/$W$2,0)</f>
        <v>0</v>
      </c>
      <c r="AT67" s="354">
        <f t="shared" si="20"/>
        <v>7</v>
      </c>
      <c r="AU67" s="354">
        <f>-ROUND(+Base!$Q$102/$W$2,0)</f>
        <v>17</v>
      </c>
      <c r="AV67" s="354">
        <f>-ROUND(+Base!$Q$99/$W$2,0)</f>
        <v>0</v>
      </c>
      <c r="AW67" s="354">
        <f>-ROUND(+Base!$Q$103/$W$2,0)</f>
        <v>0</v>
      </c>
      <c r="AX67" s="354">
        <f>-ROUND(+Base!$Q$75/$W$2,0)</f>
        <v>0</v>
      </c>
      <c r="AY67" s="354">
        <f t="shared" si="26"/>
        <v>0</v>
      </c>
      <c r="AZ67" s="354">
        <f>-ROUND(+Base!$Q$110/$W$2,0)</f>
        <v>0</v>
      </c>
      <c r="BA67" s="354">
        <f>-ROUND(+Base!$Q$113/$W$2,0)</f>
        <v>0</v>
      </c>
      <c r="BB67" s="354">
        <f>-ROUND(+Base!$Q$116/$W$2,0)</f>
        <v>0</v>
      </c>
      <c r="BC67" s="354">
        <f t="shared" si="27"/>
        <v>0</v>
      </c>
      <c r="BD67" s="354">
        <f>-ROUND(+Base!$Q$111/$W$2,0)</f>
        <v>0</v>
      </c>
      <c r="BE67" s="354">
        <f>-ROUND(+Base!$Q$114/$W$2,0)</f>
        <v>0</v>
      </c>
      <c r="BF67" s="354">
        <f>-ROUND(+Base!$Q$117/$W$2,0)</f>
        <v>0</v>
      </c>
      <c r="BG67" s="354">
        <f t="shared" si="28"/>
        <v>0</v>
      </c>
      <c r="BH67" s="354">
        <f>-ROUND(+Base!$Q$123/$W$2,0)</f>
        <v>0</v>
      </c>
      <c r="BI67" s="354">
        <f>-ROUND(+Base!$Q$126/$W$2,0)</f>
        <v>0</v>
      </c>
      <c r="BJ67" s="354">
        <f>-ROUND(+Base!$Q$76/$W$2,0)</f>
        <v>0</v>
      </c>
      <c r="BK67" s="354">
        <f>-ROUND(+Base!$Q$127/$W$2,0)</f>
        <v>0</v>
      </c>
      <c r="BL67" s="354">
        <f t="shared" si="21"/>
        <v>0</v>
      </c>
      <c r="BM67" s="354">
        <f>-ROUND(+Base!$Q$124/$W$2,0)</f>
        <v>7</v>
      </c>
      <c r="BN67" s="354">
        <f>-ROUND(+Base!$Q$134/$W$2,0)</f>
        <v>0</v>
      </c>
      <c r="BO67" s="354">
        <f>-ROUND(+Base!$Q$135/$W$2,0)</f>
        <v>0</v>
      </c>
      <c r="BP67" s="354">
        <f t="shared" si="29"/>
        <v>0</v>
      </c>
      <c r="BQ67" s="354">
        <f t="shared" si="22"/>
        <v>15</v>
      </c>
      <c r="BR67" s="354">
        <f t="shared" si="23"/>
        <v>62</v>
      </c>
      <c r="BS67" s="354"/>
      <c r="BT67" s="354">
        <f>ROUND(+Base!$Q$248/$W$2,0)</f>
        <v>272</v>
      </c>
      <c r="BU67" s="354">
        <f>ROUND(+Base!$Q$251/$W$2,0)</f>
        <v>823</v>
      </c>
      <c r="BV67" s="354">
        <f>ROUND(+Base!$Q$254/$W$2,0)</f>
        <v>60</v>
      </c>
      <c r="BW67" s="354">
        <f>ROUND(+Base!$Q$257/$W$2,0)</f>
        <v>185</v>
      </c>
      <c r="BX67" s="354">
        <f>ROUND(+Base!$Q$258/$W$2,0)</f>
        <v>0</v>
      </c>
      <c r="BY67" s="354">
        <f t="shared" si="24"/>
        <v>1340</v>
      </c>
      <c r="BZ67" s="354"/>
      <c r="CA67" s="354"/>
      <c r="CB67" s="354"/>
      <c r="CC67" s="354"/>
      <c r="CD67" s="354"/>
      <c r="CE67" s="354"/>
      <c r="CF67" s="354"/>
      <c r="CG67" s="354"/>
      <c r="CH67" s="354"/>
      <c r="CI67" s="354"/>
      <c r="CJ67" s="354"/>
      <c r="CK67" s="354"/>
      <c r="CL67" s="354"/>
      <c r="CM67" s="693"/>
      <c r="CN67" s="693"/>
      <c r="CO67" s="693"/>
    </row>
    <row r="68" spans="2:93">
      <c r="B68" s="271">
        <f t="shared" si="30"/>
        <v>13</v>
      </c>
      <c r="C68" s="541">
        <f>+Base!R$4</f>
        <v>74</v>
      </c>
      <c r="D68" s="541">
        <f>+Base!R$5</f>
        <v>73</v>
      </c>
      <c r="E68" s="540">
        <f>+Base!R$7</f>
        <v>2031</v>
      </c>
      <c r="F68" s="354">
        <f>ROUND(+Base!$R$8/$W$2,0)</f>
        <v>272</v>
      </c>
      <c r="G68" s="354">
        <f>ROUND(+Base!$R$11/$W$2,0)</f>
        <v>823</v>
      </c>
      <c r="H68" s="354">
        <f>ROUND(+Base!$R$14/$W$2,0)</f>
        <v>60</v>
      </c>
      <c r="I68" s="354">
        <f>ROUND(+Base!$R$17/$W$2,0)</f>
        <v>185</v>
      </c>
      <c r="J68" s="354">
        <f>ROUND(+Base!$R$18/$W$2,0)</f>
        <v>0</v>
      </c>
      <c r="K68" s="354">
        <f t="shared" si="25"/>
        <v>1340</v>
      </c>
      <c r="M68" s="354">
        <f>ROUND(+Base!$R$28/$W$2,0)</f>
        <v>14</v>
      </c>
      <c r="N68" s="354">
        <f>ROUND(+Base!$R$31/$W$2,0)</f>
        <v>50</v>
      </c>
      <c r="O68" s="354">
        <f>ROUND(+Base!$R$34/$W$2,0)</f>
        <v>3</v>
      </c>
      <c r="P68" s="354">
        <f>ROUND(+Base!$R$37/$W$2,0)</f>
        <v>11</v>
      </c>
      <c r="Q68" s="354">
        <f>ROUND(+Base!$R$38/$W$2,0)</f>
        <v>0</v>
      </c>
      <c r="R68" s="354">
        <f>ROUND(+Base!$R$49/$W$2,0)</f>
        <v>50</v>
      </c>
      <c r="S68" s="354">
        <f>ROUND(+Base!$R$60/$W$2,0)</f>
        <v>26</v>
      </c>
      <c r="T68" s="354">
        <f>ROUND(+Base!$R$65/$W$2,0)</f>
        <v>0</v>
      </c>
      <c r="U68" s="354">
        <f>ROUND((Base!$R$66+Base!$R$67)/$W$2,0)</f>
        <v>13</v>
      </c>
      <c r="V68" s="354">
        <f>ROUND((Base!$R$68+Base!$R$69)/$W$2,0)</f>
        <v>0</v>
      </c>
      <c r="W68" s="354">
        <f t="shared" si="31"/>
        <v>167</v>
      </c>
      <c r="Y68" s="354">
        <f>ROUND(+Base!$R$144/$W$2,0)</f>
        <v>89</v>
      </c>
      <c r="Z68" s="354">
        <f>ROUND(+Base!$R$145/$W$2,0)</f>
        <v>7</v>
      </c>
      <c r="AA68" s="354">
        <f>ROUND(-Base!$R$234/$W$2,0)</f>
        <v>0</v>
      </c>
      <c r="AB68" s="354">
        <f>ROUND(-Base!$R$236/$W$2,0)</f>
        <v>0</v>
      </c>
      <c r="AC68" s="354">
        <f>ROUND(-Base!$R$237/$W$2,0)</f>
        <v>20</v>
      </c>
      <c r="AD68" s="354">
        <f>ROUND(-Base!$R$238/$W$2,0)</f>
        <v>0</v>
      </c>
      <c r="AE68" s="354">
        <f>ROUND(-Base!$R$96/$W$2,0)</f>
        <v>0</v>
      </c>
      <c r="AF68" s="354">
        <f>ROUND(-Base!$R$107/$W$2,0)</f>
        <v>0</v>
      </c>
      <c r="AG68" s="354">
        <f>ROUND(-Base!$R$127/$W$2,0)</f>
        <v>0</v>
      </c>
      <c r="AH68" s="354">
        <f>-ROUND(-Base!$R$137/$W$2,0)</f>
        <v>-15</v>
      </c>
      <c r="AI68" s="354">
        <f>-ROUND(+Base!$R$240/$W$2,0)</f>
        <v>35</v>
      </c>
      <c r="AJ68" s="354">
        <f t="shared" si="18"/>
        <v>131</v>
      </c>
      <c r="AL68" s="354">
        <f t="shared" si="19"/>
        <v>1376</v>
      </c>
      <c r="AN68" s="354">
        <f>-ROUND(+Base!$R$94/$W$2,0)</f>
        <v>16</v>
      </c>
      <c r="AO68" s="354">
        <f>ROUND(+Base!$R$133/$W$2,0)</f>
        <v>0</v>
      </c>
      <c r="AP68" s="354">
        <f>-ROUND(+Base!$R$91/$W$2,0)</f>
        <v>7</v>
      </c>
      <c r="AQ68" s="354">
        <f>-ROUND(+Base!$R$95/$W$2,0)</f>
        <v>0</v>
      </c>
      <c r="AR68" s="354">
        <f>-ROUND(+Base!$R$96/$W$2,0)</f>
        <v>0</v>
      </c>
      <c r="AS68" s="354">
        <f>-ROUND(+Base!$R$74/$W$2,0)</f>
        <v>0</v>
      </c>
      <c r="AT68" s="354">
        <f t="shared" si="20"/>
        <v>7</v>
      </c>
      <c r="AU68" s="354">
        <f>-ROUND(+Base!$R$102/$W$2,0)</f>
        <v>18</v>
      </c>
      <c r="AV68" s="354">
        <f>-ROUND(+Base!$R$99/$W$2,0)</f>
        <v>0</v>
      </c>
      <c r="AW68" s="354">
        <f>-ROUND(+Base!$R$103/$W$2,0)</f>
        <v>0</v>
      </c>
      <c r="AX68" s="354">
        <f>-ROUND(+Base!$R$75/$W$2,0)</f>
        <v>0</v>
      </c>
      <c r="AY68" s="354">
        <f t="shared" si="26"/>
        <v>0</v>
      </c>
      <c r="AZ68" s="354">
        <f>-ROUND(+Base!$R$110/$W$2,0)</f>
        <v>0</v>
      </c>
      <c r="BA68" s="354">
        <f>-ROUND(+Base!$R$113/$W$2,0)</f>
        <v>0</v>
      </c>
      <c r="BB68" s="354">
        <f>-ROUND(+Base!$R$116/$W$2,0)</f>
        <v>0</v>
      </c>
      <c r="BC68" s="354">
        <f t="shared" si="27"/>
        <v>0</v>
      </c>
      <c r="BD68" s="354">
        <f>-ROUND(+Base!$R$111/$W$2,0)</f>
        <v>4</v>
      </c>
      <c r="BE68" s="354">
        <f>-ROUND(+Base!$R$114/$W$2,0)</f>
        <v>0</v>
      </c>
      <c r="BF68" s="354">
        <f>-ROUND(+Base!$R$117/$W$2,0)</f>
        <v>0</v>
      </c>
      <c r="BG68" s="354">
        <f t="shared" si="28"/>
        <v>0</v>
      </c>
      <c r="BH68" s="354">
        <f>-ROUND(+Base!$R$123/$W$2,0)</f>
        <v>0</v>
      </c>
      <c r="BI68" s="354">
        <f>-ROUND(+Base!$R$126/$W$2,0)</f>
        <v>0</v>
      </c>
      <c r="BJ68" s="354">
        <f>-ROUND(+Base!$R$76/$W$2,0)</f>
        <v>0</v>
      </c>
      <c r="BK68" s="354">
        <f>-ROUND(+Base!$R$127/$W$2,0)</f>
        <v>0</v>
      </c>
      <c r="BL68" s="354">
        <f t="shared" si="21"/>
        <v>0</v>
      </c>
      <c r="BM68" s="354">
        <f>-ROUND(+Base!$R$124/$W$2,0)</f>
        <v>7</v>
      </c>
      <c r="BN68" s="354">
        <f>-ROUND(+Base!$R$134/$W$2,0)</f>
        <v>0</v>
      </c>
      <c r="BO68" s="354">
        <f>-ROUND(+Base!$R$135/$W$2,0)</f>
        <v>0</v>
      </c>
      <c r="BP68" s="354">
        <f t="shared" si="29"/>
        <v>0</v>
      </c>
      <c r="BQ68" s="354">
        <f t="shared" si="22"/>
        <v>15</v>
      </c>
      <c r="BR68" s="354">
        <f t="shared" si="23"/>
        <v>67</v>
      </c>
      <c r="BS68" s="354"/>
      <c r="BT68" s="354">
        <f>ROUND(+Base!$R$248/$W$2,0)</f>
        <v>297</v>
      </c>
      <c r="BU68" s="354">
        <f>ROUND(+Base!$R$251/$W$2,0)</f>
        <v>832</v>
      </c>
      <c r="BV68" s="354">
        <f>ROUND(+Base!$R$254/$W$2,0)</f>
        <v>59</v>
      </c>
      <c r="BW68" s="354">
        <f>ROUND(+Base!$R$257/$W$2,0)</f>
        <v>189</v>
      </c>
      <c r="BX68" s="354">
        <f>ROUND(+Base!$R$258/$W$2,0)</f>
        <v>0</v>
      </c>
      <c r="BY68" s="354">
        <f t="shared" si="24"/>
        <v>1377</v>
      </c>
      <c r="BZ68" s="354"/>
      <c r="CA68" s="354"/>
      <c r="CB68" s="354"/>
      <c r="CC68" s="354"/>
      <c r="CD68" s="354"/>
      <c r="CE68" s="354"/>
      <c r="CF68" s="354"/>
      <c r="CG68" s="354"/>
      <c r="CH68" s="354"/>
      <c r="CI68" s="354"/>
      <c r="CJ68" s="354"/>
      <c r="CK68" s="354"/>
      <c r="CL68" s="354"/>
      <c r="CM68" s="693"/>
      <c r="CN68" s="693"/>
      <c r="CO68" s="693"/>
    </row>
    <row r="69" spans="2:93">
      <c r="B69" s="271">
        <f t="shared" si="30"/>
        <v>14</v>
      </c>
      <c r="C69" s="541">
        <f>+Base!S$4</f>
        <v>75</v>
      </c>
      <c r="D69" s="541">
        <f>+Base!S$5</f>
        <v>74</v>
      </c>
      <c r="E69" s="540">
        <f>+Base!S$7</f>
        <v>2032</v>
      </c>
      <c r="F69" s="354">
        <f>ROUND(+Base!$S$8/$W$2,0)</f>
        <v>297</v>
      </c>
      <c r="G69" s="354">
        <f>ROUND(+Base!$S$11/$W$2,0)</f>
        <v>832</v>
      </c>
      <c r="H69" s="354">
        <f>ROUND(+Base!$S$14/$W$2,0)</f>
        <v>59</v>
      </c>
      <c r="I69" s="354">
        <f>ROUND(+Base!$S$17/$W$2,0)</f>
        <v>189</v>
      </c>
      <c r="J69" s="354">
        <f>ROUND(+Base!$S$18/$W$2,0)</f>
        <v>0</v>
      </c>
      <c r="K69" s="354">
        <f t="shared" si="25"/>
        <v>1377</v>
      </c>
      <c r="M69" s="354">
        <f>ROUND(+Base!$S$28/$W$2,0)</f>
        <v>16</v>
      </c>
      <c r="N69" s="354">
        <f>ROUND(+Base!$S$31/$W$2,0)</f>
        <v>50</v>
      </c>
      <c r="O69" s="354">
        <f>ROUND(+Base!$S$34/$W$2,0)</f>
        <v>3</v>
      </c>
      <c r="P69" s="354">
        <f>ROUND(+Base!$S$37/$W$2,0)</f>
        <v>11</v>
      </c>
      <c r="Q69" s="354">
        <f>ROUND(+Base!$S$38/$W$2,0)</f>
        <v>0</v>
      </c>
      <c r="R69" s="354">
        <f>ROUND(+Base!$S$49/$W$2,0)</f>
        <v>51</v>
      </c>
      <c r="S69" s="354">
        <f>ROUND(+Base!$S$60/$W$2,0)</f>
        <v>26</v>
      </c>
      <c r="T69" s="354">
        <f>ROUND(+Base!$S$65/$W$2,0)</f>
        <v>0</v>
      </c>
      <c r="U69" s="354">
        <f>ROUND((Base!$S$66+Base!$S$67)/$W$2,0)</f>
        <v>14</v>
      </c>
      <c r="V69" s="354">
        <f>ROUND((Base!$S$68+Base!$S$69)/$W$2,0)</f>
        <v>0</v>
      </c>
      <c r="W69" s="354">
        <f t="shared" si="31"/>
        <v>171</v>
      </c>
      <c r="Y69" s="354">
        <f>ROUND(+Base!$S$144/$W$2,0)</f>
        <v>91</v>
      </c>
      <c r="Z69" s="354">
        <f>ROUND(+Base!$S$145/$W$2,0)</f>
        <v>7</v>
      </c>
      <c r="AA69" s="354">
        <f>ROUND(-Base!$S$234/$W$2,0)</f>
        <v>0</v>
      </c>
      <c r="AB69" s="354">
        <f>ROUND(-Base!$S$236/$W$2,0)</f>
        <v>0</v>
      </c>
      <c r="AC69" s="354">
        <f>ROUND(-Base!$S$237/$W$2,0)</f>
        <v>0</v>
      </c>
      <c r="AD69" s="354">
        <f>ROUND(-Base!$S$238/$W$2,0)</f>
        <v>0</v>
      </c>
      <c r="AE69" s="354">
        <f>ROUND(-Base!$S$96/$W$2,0)</f>
        <v>0</v>
      </c>
      <c r="AF69" s="354">
        <f>ROUND(-Base!$S$107/$W$2,0)</f>
        <v>0</v>
      </c>
      <c r="AG69" s="354">
        <f>ROUND(-Base!$S$127/$W$2,0)</f>
        <v>0</v>
      </c>
      <c r="AH69" s="354">
        <f>-ROUND(-Base!$S$137/$W$2,0)</f>
        <v>-15</v>
      </c>
      <c r="AI69" s="354">
        <f>-ROUND(+Base!$S$240/$W$2,0)</f>
        <v>15</v>
      </c>
      <c r="AJ69" s="354">
        <f t="shared" si="18"/>
        <v>113</v>
      </c>
      <c r="AL69" s="354">
        <f t="shared" si="19"/>
        <v>1435</v>
      </c>
      <c r="AN69" s="354">
        <f>-ROUND(+Base!$S$94/$W$2,0)</f>
        <v>17</v>
      </c>
      <c r="AO69" s="354">
        <f>ROUND(+Base!$S$133/$W$2,0)</f>
        <v>0</v>
      </c>
      <c r="AP69" s="354">
        <f>-ROUND(+Base!$S$91/$W$2,0)</f>
        <v>6</v>
      </c>
      <c r="AQ69" s="354">
        <f>-ROUND(+Base!$S$95/$W$2,0)</f>
        <v>0</v>
      </c>
      <c r="AR69" s="354">
        <f>-ROUND(+Base!$S$96/$W$2,0)</f>
        <v>0</v>
      </c>
      <c r="AS69" s="354">
        <f>-ROUND(+Base!$S$74/$W$2,0)</f>
        <v>0</v>
      </c>
      <c r="AT69" s="354">
        <f t="shared" si="20"/>
        <v>6</v>
      </c>
      <c r="AU69" s="354">
        <f>-ROUND(+Base!$S$102/$W$2,0)</f>
        <v>19</v>
      </c>
      <c r="AV69" s="354">
        <f>-ROUND(+Base!$S$99/$W$2,0)</f>
        <v>0</v>
      </c>
      <c r="AW69" s="354">
        <f>-ROUND(+Base!$S$103/$W$2,0)</f>
        <v>0</v>
      </c>
      <c r="AX69" s="354">
        <f>-ROUND(+Base!$S$75/$W$2,0)</f>
        <v>0</v>
      </c>
      <c r="AY69" s="354">
        <f t="shared" si="26"/>
        <v>0</v>
      </c>
      <c r="AZ69" s="354">
        <f>-ROUND(+Base!$S$110/$W$2,0)</f>
        <v>0</v>
      </c>
      <c r="BA69" s="354">
        <f>-ROUND(+Base!$S$113/$W$2,0)</f>
        <v>0</v>
      </c>
      <c r="BB69" s="354">
        <f>-ROUND(+Base!$S$116/$W$2,0)</f>
        <v>0</v>
      </c>
      <c r="BC69" s="354">
        <f t="shared" si="27"/>
        <v>0</v>
      </c>
      <c r="BD69" s="354">
        <f>-ROUND(+Base!$S$111/$W$2,0)</f>
        <v>4</v>
      </c>
      <c r="BE69" s="354">
        <f>-ROUND(+Base!$S$114/$W$2,0)</f>
        <v>0</v>
      </c>
      <c r="BF69" s="354">
        <f>-ROUND(+Base!$S$117/$W$2,0)</f>
        <v>0</v>
      </c>
      <c r="BG69" s="354">
        <f t="shared" si="28"/>
        <v>0</v>
      </c>
      <c r="BH69" s="354">
        <f>-ROUND(+Base!$S$123/$W$2,0)</f>
        <v>0</v>
      </c>
      <c r="BI69" s="354">
        <f>-ROUND(+Base!$S$126/$W$2,0)</f>
        <v>0</v>
      </c>
      <c r="BJ69" s="354">
        <f>-ROUND(+Base!$S$76/$W$2,0)</f>
        <v>0</v>
      </c>
      <c r="BK69" s="354">
        <f>-ROUND(+Base!$S$127/$W$2,0)</f>
        <v>0</v>
      </c>
      <c r="BL69" s="354">
        <f t="shared" si="21"/>
        <v>0</v>
      </c>
      <c r="BM69" s="354">
        <f>-ROUND(+Base!$S$124/$W$2,0)</f>
        <v>8</v>
      </c>
      <c r="BN69" s="354">
        <f>-ROUND(+Base!$S$134/$W$2,0)</f>
        <v>0</v>
      </c>
      <c r="BO69" s="354">
        <f>-ROUND(+Base!$S$135/$W$2,0)</f>
        <v>0</v>
      </c>
      <c r="BP69" s="354">
        <f t="shared" si="29"/>
        <v>0</v>
      </c>
      <c r="BQ69" s="354">
        <f t="shared" si="22"/>
        <v>15</v>
      </c>
      <c r="BR69" s="354">
        <f t="shared" si="23"/>
        <v>69</v>
      </c>
      <c r="BS69" s="354"/>
      <c r="BT69" s="354">
        <f>ROUND(+Base!$S$248/$W$2,0)</f>
        <v>345</v>
      </c>
      <c r="BU69" s="354">
        <f>ROUND(+Base!$S$251/$W$2,0)</f>
        <v>841</v>
      </c>
      <c r="BV69" s="354">
        <f>ROUND(+Base!$S$254/$W$2,0)</f>
        <v>58</v>
      </c>
      <c r="BW69" s="354">
        <f>ROUND(+Base!$S$257/$W$2,0)</f>
        <v>192</v>
      </c>
      <c r="BX69" s="354">
        <f>ROUND(+Base!$S$258/$W$2,0)</f>
        <v>0</v>
      </c>
      <c r="BY69" s="354">
        <f t="shared" si="24"/>
        <v>1436</v>
      </c>
      <c r="BZ69" s="354"/>
      <c r="CA69" s="354"/>
      <c r="CB69" s="354"/>
      <c r="CC69" s="354"/>
      <c r="CD69" s="354"/>
      <c r="CE69" s="354"/>
      <c r="CF69" s="354"/>
      <c r="CG69" s="354"/>
      <c r="CH69" s="354"/>
      <c r="CI69" s="354"/>
      <c r="CJ69" s="354"/>
      <c r="CK69" s="354"/>
      <c r="CL69" s="354"/>
      <c r="CM69" s="693"/>
      <c r="CN69" s="693"/>
      <c r="CO69" s="693"/>
    </row>
    <row r="70" spans="2:93">
      <c r="B70" s="271">
        <f t="shared" si="30"/>
        <v>15</v>
      </c>
      <c r="C70" s="541">
        <f>+Base!T$4</f>
        <v>76</v>
      </c>
      <c r="D70" s="541">
        <f>+Base!T$5</f>
        <v>75</v>
      </c>
      <c r="E70" s="540">
        <f>+Base!T$7</f>
        <v>2033</v>
      </c>
      <c r="F70" s="354">
        <f>ROUND(+Base!$T$8/$W$2,0)</f>
        <v>345</v>
      </c>
      <c r="G70" s="354">
        <f>ROUND(+Base!$T$11/$W$2,0)</f>
        <v>841</v>
      </c>
      <c r="H70" s="354">
        <f>ROUND(+Base!$T$14/$W$2,0)</f>
        <v>58</v>
      </c>
      <c r="I70" s="354">
        <f>ROUND(+Base!$T$17/$W$2,0)</f>
        <v>192</v>
      </c>
      <c r="J70" s="354">
        <f>ROUND(+Base!$T$18/$W$2,0)</f>
        <v>0</v>
      </c>
      <c r="K70" s="354">
        <f t="shared" si="25"/>
        <v>1436</v>
      </c>
      <c r="M70" s="354">
        <f>ROUND(+Base!$T$28/$W$2,0)</f>
        <v>16</v>
      </c>
      <c r="N70" s="354">
        <f>ROUND(+Base!$T$31/$W$2,0)</f>
        <v>51</v>
      </c>
      <c r="O70" s="354">
        <f>ROUND(+Base!$T$34/$W$2,0)</f>
        <v>3</v>
      </c>
      <c r="P70" s="354">
        <f>ROUND(+Base!$T$37/$W$2,0)</f>
        <v>12</v>
      </c>
      <c r="Q70" s="354">
        <f>ROUND(+Base!$T$38/$W$2,0)</f>
        <v>0</v>
      </c>
      <c r="R70" s="354">
        <f>ROUND(+Base!$T$49/$W$2,0)</f>
        <v>52</v>
      </c>
      <c r="S70" s="354">
        <f>ROUND(+Base!$T$60/$W$2,0)</f>
        <v>27</v>
      </c>
      <c r="T70" s="354">
        <f>ROUND(+Base!$T$65/$W$2,0)</f>
        <v>9</v>
      </c>
      <c r="U70" s="354">
        <f>ROUND((Base!$T$66+Base!$T$67)/$W$2,0)</f>
        <v>14</v>
      </c>
      <c r="V70" s="354">
        <f>ROUND((Base!$T$68+Base!$T$69)/$W$2,0)</f>
        <v>0</v>
      </c>
      <c r="W70" s="354">
        <f t="shared" si="31"/>
        <v>184</v>
      </c>
      <c r="Y70" s="354">
        <f>ROUND(+Base!$T$144/$W$2,0)</f>
        <v>92</v>
      </c>
      <c r="Z70" s="354">
        <f>ROUND(+Base!$T$145/$W$2,0)</f>
        <v>11</v>
      </c>
      <c r="AA70" s="354">
        <f>ROUND(-Base!$T$234/$W$2,0)</f>
        <v>0</v>
      </c>
      <c r="AB70" s="354">
        <f>ROUND(-Base!$T$236/$W$2,0)</f>
        <v>0</v>
      </c>
      <c r="AC70" s="354">
        <f>ROUND(-Base!$T$237/$W$2,0)</f>
        <v>0</v>
      </c>
      <c r="AD70" s="354">
        <f>ROUND(-Base!$T$238/$W$2,0)</f>
        <v>100</v>
      </c>
      <c r="AE70" s="354">
        <f>ROUND(-Base!$T$96/$W$2,0)</f>
        <v>0</v>
      </c>
      <c r="AF70" s="354">
        <f>ROUND(-Base!$T$107/$W$2,0)</f>
        <v>0</v>
      </c>
      <c r="AG70" s="354">
        <f>ROUND(-Base!$T$127/$W$2,0)</f>
        <v>0</v>
      </c>
      <c r="AH70" s="354">
        <f>-ROUND(-Base!$T$137/$W$2,0)</f>
        <v>0</v>
      </c>
      <c r="AI70" s="354">
        <f>-ROUND(+Base!$T$240/$W$2,0)</f>
        <v>100</v>
      </c>
      <c r="AJ70" s="354">
        <f t="shared" si="18"/>
        <v>203</v>
      </c>
      <c r="AL70" s="354">
        <f t="shared" si="19"/>
        <v>1417</v>
      </c>
      <c r="AN70" s="354">
        <f>-ROUND(+Base!$T$94/$W$2,0)</f>
        <v>18</v>
      </c>
      <c r="AO70" s="354">
        <f>ROUND(+Base!$T$133/$W$2,0)</f>
        <v>0</v>
      </c>
      <c r="AP70" s="354">
        <f>-ROUND(+Base!$T$91/$W$2,0)</f>
        <v>0</v>
      </c>
      <c r="AQ70" s="354">
        <f>-ROUND(+Base!$T$95/$W$2,0)</f>
        <v>0</v>
      </c>
      <c r="AR70" s="354">
        <f>-ROUND(+Base!$T$96/$W$2,0)</f>
        <v>0</v>
      </c>
      <c r="AS70" s="354">
        <f>-ROUND(+Base!$T$74/$W$2,0)</f>
        <v>0</v>
      </c>
      <c r="AT70" s="354">
        <f t="shared" si="20"/>
        <v>0</v>
      </c>
      <c r="AU70" s="354">
        <f>-ROUND(+Base!$T$102/$W$2,0)</f>
        <v>20</v>
      </c>
      <c r="AV70" s="354">
        <f>-ROUND(+Base!$T$99/$W$2,0)</f>
        <v>0</v>
      </c>
      <c r="AW70" s="354">
        <f>-ROUND(+Base!$T$103/$W$2,0)</f>
        <v>0</v>
      </c>
      <c r="AX70" s="354">
        <f>-ROUND(+Base!$T$75/$W$2,0)</f>
        <v>0</v>
      </c>
      <c r="AY70" s="354">
        <f t="shared" si="26"/>
        <v>0</v>
      </c>
      <c r="AZ70" s="354">
        <f>-ROUND(+Base!$T$110/$W$2,0)</f>
        <v>0</v>
      </c>
      <c r="BA70" s="354">
        <f>-ROUND(+Base!$T$113/$W$2,0)</f>
        <v>0</v>
      </c>
      <c r="BB70" s="354">
        <f>-ROUND(+Base!$T$116/$W$2,0)</f>
        <v>0</v>
      </c>
      <c r="BC70" s="354">
        <f t="shared" si="27"/>
        <v>0</v>
      </c>
      <c r="BD70" s="354">
        <f>-ROUND(+Base!$T$111/$W$2,0)</f>
        <v>5</v>
      </c>
      <c r="BE70" s="354">
        <f>-ROUND(+Base!$T$114/$W$2,0)</f>
        <v>0</v>
      </c>
      <c r="BF70" s="354">
        <f>-ROUND(+Base!$T$117/$W$2,0)</f>
        <v>0</v>
      </c>
      <c r="BG70" s="354">
        <f t="shared" si="28"/>
        <v>0</v>
      </c>
      <c r="BH70" s="354">
        <f>-ROUND(+Base!$T$123/$W$2,0)</f>
        <v>0</v>
      </c>
      <c r="BI70" s="354">
        <f>-ROUND(+Base!$T$126/$W$2,0)</f>
        <v>0</v>
      </c>
      <c r="BJ70" s="354">
        <f>-ROUND(+Base!$T$76/$W$2,0)</f>
        <v>0</v>
      </c>
      <c r="BK70" s="354">
        <f>-ROUND(+Base!$T$127/$W$2,0)</f>
        <v>0</v>
      </c>
      <c r="BL70" s="354">
        <f t="shared" si="21"/>
        <v>0</v>
      </c>
      <c r="BM70" s="354">
        <f>-ROUND(+Base!$T$124/$W$2,0)</f>
        <v>0</v>
      </c>
      <c r="BN70" s="354">
        <f>-ROUND(+Base!$T$134/$W$2,0)</f>
        <v>0</v>
      </c>
      <c r="BO70" s="354">
        <f>-ROUND(+Base!$T$135/$W$2,0)</f>
        <v>0</v>
      </c>
      <c r="BP70" s="354">
        <f t="shared" si="29"/>
        <v>0</v>
      </c>
      <c r="BQ70" s="354">
        <f t="shared" si="22"/>
        <v>0</v>
      </c>
      <c r="BR70" s="354">
        <f t="shared" si="23"/>
        <v>43</v>
      </c>
      <c r="BS70" s="354"/>
      <c r="BT70" s="354">
        <f>ROUND(+Base!$T$248/$W$2,0)</f>
        <v>301</v>
      </c>
      <c r="BU70" s="354">
        <f>ROUND(+Base!$T$251/$W$2,0)</f>
        <v>855</v>
      </c>
      <c r="BV70" s="354">
        <f>ROUND(+Base!$T$254/$W$2,0)</f>
        <v>57</v>
      </c>
      <c r="BW70" s="354">
        <f>ROUND(+Base!$T$257/$W$2,0)</f>
        <v>204</v>
      </c>
      <c r="BX70" s="354">
        <f>ROUND(+Base!$T$258/$W$2,0)</f>
        <v>0</v>
      </c>
      <c r="BY70" s="354">
        <f t="shared" si="24"/>
        <v>1417</v>
      </c>
      <c r="BZ70" s="354"/>
      <c r="CA70" s="354"/>
      <c r="CB70" s="354"/>
      <c r="CC70" s="354"/>
      <c r="CD70" s="354"/>
      <c r="CE70" s="354"/>
      <c r="CF70" s="354"/>
      <c r="CG70" s="354"/>
      <c r="CH70" s="354"/>
      <c r="CI70" s="354"/>
      <c r="CJ70" s="354"/>
      <c r="CK70" s="354"/>
      <c r="CL70" s="354"/>
      <c r="CM70" s="693"/>
      <c r="CN70" s="693"/>
      <c r="CO70" s="693"/>
    </row>
    <row r="71" spans="2:93">
      <c r="B71" s="271">
        <f t="shared" si="30"/>
        <v>16</v>
      </c>
      <c r="C71" s="541">
        <f>+Base!U$4</f>
        <v>77</v>
      </c>
      <c r="D71" s="541">
        <f>+Base!U$5</f>
        <v>76</v>
      </c>
      <c r="E71" s="540">
        <f>+Base!U$7</f>
        <v>2034</v>
      </c>
      <c r="F71" s="354">
        <f>ROUND(+Base!$U$8/$W$2,0)</f>
        <v>301</v>
      </c>
      <c r="G71" s="354">
        <f>ROUND(+Base!$U$11/$W$2,0)</f>
        <v>855</v>
      </c>
      <c r="H71" s="354">
        <f>ROUND(+Base!$U$14/$W$2,0)</f>
        <v>57</v>
      </c>
      <c r="I71" s="354">
        <f>ROUND(+Base!$U$17/$W$2,0)</f>
        <v>204</v>
      </c>
      <c r="J71" s="354">
        <f>ROUND(+Base!$U$18/$W$2,0)</f>
        <v>0</v>
      </c>
      <c r="K71" s="354">
        <f t="shared" si="25"/>
        <v>1417</v>
      </c>
      <c r="M71" s="354">
        <f>ROUND(+Base!$U$28/$W$2,0)</f>
        <v>18</v>
      </c>
      <c r="N71" s="354">
        <f>ROUND(+Base!$U$31/$W$2,0)</f>
        <v>52</v>
      </c>
      <c r="O71" s="354">
        <f>ROUND(+Base!$U$34/$W$2,0)</f>
        <v>3</v>
      </c>
      <c r="P71" s="354">
        <f>ROUND(+Base!$U$37/$W$2,0)</f>
        <v>13</v>
      </c>
      <c r="Q71" s="354">
        <f>ROUND(+Base!$U$38/$W$2,0)</f>
        <v>0</v>
      </c>
      <c r="R71" s="354">
        <f>ROUND(+Base!$U$49/$W$2,0)</f>
        <v>53</v>
      </c>
      <c r="S71" s="354">
        <f>ROUND(+Base!$U$60/$W$2,0)</f>
        <v>27</v>
      </c>
      <c r="T71" s="354">
        <f>ROUND(+Base!$U$65/$W$2,0)</f>
        <v>9</v>
      </c>
      <c r="U71" s="354">
        <f>ROUND((Base!$U$66+Base!$U$67)/$W$2,0)</f>
        <v>15</v>
      </c>
      <c r="V71" s="354">
        <f>ROUND((Base!$U$68+Base!$U$69)/$W$2,0)</f>
        <v>0</v>
      </c>
      <c r="W71" s="354">
        <f t="shared" si="31"/>
        <v>190</v>
      </c>
      <c r="Y71" s="354">
        <f>ROUND(+Base!$U$144/$W$2,0)</f>
        <v>94</v>
      </c>
      <c r="Z71" s="354">
        <f>ROUND(+Base!$U$145/$W$2,0)</f>
        <v>13</v>
      </c>
      <c r="AA71" s="354">
        <f>ROUND(-Base!$U$234/$W$2,0)</f>
        <v>-60</v>
      </c>
      <c r="AB71" s="354">
        <f>ROUND(-Base!$U$236/$W$2,0)</f>
        <v>0</v>
      </c>
      <c r="AC71" s="354">
        <f>ROUND(-Base!$U$237/$W$2,0)</f>
        <v>0</v>
      </c>
      <c r="AD71" s="354">
        <f>ROUND(-Base!$U$238/$W$2,0)</f>
        <v>0</v>
      </c>
      <c r="AE71" s="354">
        <f>ROUND(-Base!$U$96/$W$2,0)</f>
        <v>0</v>
      </c>
      <c r="AF71" s="354">
        <f>ROUND(-Base!$U$107/$W$2,0)</f>
        <v>-40</v>
      </c>
      <c r="AG71" s="354">
        <f>ROUND(-Base!$U$127/$W$2,0)</f>
        <v>0</v>
      </c>
      <c r="AH71" s="354">
        <f>-ROUND(-Base!$U$137/$W$2,0)</f>
        <v>0</v>
      </c>
      <c r="AI71" s="354">
        <f>-ROUND(+Base!$U$240/$W$2,0)</f>
        <v>-100</v>
      </c>
      <c r="AJ71" s="354">
        <f t="shared" si="18"/>
        <v>7</v>
      </c>
      <c r="AL71" s="354">
        <f t="shared" si="19"/>
        <v>1600</v>
      </c>
      <c r="AN71" s="354">
        <f>-ROUND(+Base!$U$94/$W$2,0)</f>
        <v>19</v>
      </c>
      <c r="AO71" s="354">
        <f>ROUND(+Base!$U$133/$W$2,0)</f>
        <v>0</v>
      </c>
      <c r="AP71" s="354">
        <f>-ROUND(+Base!$U$91/$W$2,0)</f>
        <v>0</v>
      </c>
      <c r="AQ71" s="354">
        <f>-ROUND(+Base!$U$95/$W$2,0)</f>
        <v>0</v>
      </c>
      <c r="AR71" s="354">
        <f>-ROUND(+Base!$U$96/$W$2,0)</f>
        <v>0</v>
      </c>
      <c r="AS71" s="354">
        <f>-ROUND(+Base!$U$74/$W$2,0)</f>
        <v>0</v>
      </c>
      <c r="AT71" s="354">
        <f t="shared" si="20"/>
        <v>0</v>
      </c>
      <c r="AU71" s="354">
        <f>-ROUND(+Base!$U$102/$W$2,0)</f>
        <v>21</v>
      </c>
      <c r="AV71" s="354">
        <f>-ROUND(+Base!$U$99/$W$2,0)</f>
        <v>0</v>
      </c>
      <c r="AW71" s="354">
        <f>-ROUND(+Base!$U$103/$W$2,0)</f>
        <v>0</v>
      </c>
      <c r="AX71" s="354">
        <f>-ROUND(+Base!$U$75/$W$2,0)</f>
        <v>0</v>
      </c>
      <c r="AY71" s="354">
        <f t="shared" si="26"/>
        <v>0</v>
      </c>
      <c r="AZ71" s="354">
        <f>-ROUND(+Base!$U$110/$W$2,0)</f>
        <v>0</v>
      </c>
      <c r="BA71" s="354">
        <f>-ROUND(+Base!$U$113/$W$2,0)</f>
        <v>4</v>
      </c>
      <c r="BB71" s="354">
        <f>-ROUND(+Base!$U$116/$W$2,0)</f>
        <v>0</v>
      </c>
      <c r="BC71" s="354">
        <f t="shared" si="27"/>
        <v>4</v>
      </c>
      <c r="BD71" s="354">
        <f>-ROUND(+Base!$U$111/$W$2,0)</f>
        <v>5</v>
      </c>
      <c r="BE71" s="354">
        <f>-ROUND(+Base!$U$114/$W$2,0)</f>
        <v>0</v>
      </c>
      <c r="BF71" s="354">
        <f>-ROUND(+Base!$U$117/$W$2,0)</f>
        <v>0</v>
      </c>
      <c r="BG71" s="354">
        <f t="shared" si="28"/>
        <v>0</v>
      </c>
      <c r="BH71" s="354">
        <f>-ROUND(+Base!$U$123/$W$2,0)</f>
        <v>0</v>
      </c>
      <c r="BI71" s="354">
        <f>-ROUND(+Base!$U$126/$W$2,0)</f>
        <v>0</v>
      </c>
      <c r="BJ71" s="354">
        <f>-ROUND(+Base!$U$76/$W$2,0)</f>
        <v>0</v>
      </c>
      <c r="BK71" s="354">
        <f>-ROUND(+Base!$U$127/$W$2,0)</f>
        <v>0</v>
      </c>
      <c r="BL71" s="354">
        <f t="shared" si="21"/>
        <v>0</v>
      </c>
      <c r="BM71" s="354">
        <f>-ROUND(+Base!$U$124/$W$2,0)</f>
        <v>0</v>
      </c>
      <c r="BN71" s="354">
        <f>-ROUND(+Base!$U$134/$W$2,0)</f>
        <v>0</v>
      </c>
      <c r="BO71" s="354">
        <f>-ROUND(+Base!$U$135/$W$2,0)</f>
        <v>0</v>
      </c>
      <c r="BP71" s="354">
        <f t="shared" si="29"/>
        <v>0</v>
      </c>
      <c r="BQ71" s="354">
        <f t="shared" si="22"/>
        <v>0</v>
      </c>
      <c r="BR71" s="354">
        <f t="shared" si="23"/>
        <v>49</v>
      </c>
      <c r="BS71" s="354"/>
      <c r="BT71" s="354">
        <f>ROUND(+Base!$U$248/$W$2,0)</f>
        <v>425</v>
      </c>
      <c r="BU71" s="354">
        <f>ROUND(+Base!$U$251/$W$2,0)</f>
        <v>867</v>
      </c>
      <c r="BV71" s="354">
        <f>ROUND(+Base!$U$254/$W$2,0)</f>
        <v>92</v>
      </c>
      <c r="BW71" s="354">
        <f>ROUND(+Base!$U$257/$W$2,0)</f>
        <v>217</v>
      </c>
      <c r="BX71" s="354">
        <f>ROUND(+Base!$U$258/$W$2,0)</f>
        <v>0</v>
      </c>
      <c r="BY71" s="354">
        <f t="shared" si="24"/>
        <v>1601</v>
      </c>
      <c r="BZ71" s="354"/>
      <c r="CA71" s="354"/>
      <c r="CB71" s="354"/>
      <c r="CC71" s="354"/>
      <c r="CD71" s="354"/>
      <c r="CE71" s="354"/>
      <c r="CF71" s="354"/>
      <c r="CG71" s="354"/>
      <c r="CH71" s="354"/>
      <c r="CI71" s="354"/>
      <c r="CJ71" s="354"/>
      <c r="CK71" s="354"/>
      <c r="CL71" s="354"/>
      <c r="CM71" s="693"/>
      <c r="CN71" s="693"/>
      <c r="CO71" s="693"/>
    </row>
    <row r="72" spans="2:93">
      <c r="B72" s="271">
        <f t="shared" si="30"/>
        <v>17</v>
      </c>
      <c r="C72" s="541">
        <f>+Base!V$4</f>
        <v>78</v>
      </c>
      <c r="D72" s="541">
        <f>+Base!V$5</f>
        <v>77</v>
      </c>
      <c r="E72" s="540">
        <f>+Base!V$7</f>
        <v>2035</v>
      </c>
      <c r="F72" s="354">
        <f>ROUND(+Base!$V$8/$W$2,0)</f>
        <v>425</v>
      </c>
      <c r="G72" s="354">
        <f>ROUND(+Base!$V$11/$W$2,0)</f>
        <v>867</v>
      </c>
      <c r="H72" s="354">
        <f>ROUND(+Base!$V$14/$W$2,0)</f>
        <v>92</v>
      </c>
      <c r="I72" s="354">
        <f>ROUND(+Base!$V$17/$W$2,0)</f>
        <v>217</v>
      </c>
      <c r="J72" s="354">
        <f>ROUND(+Base!$V$18/$W$2,0)</f>
        <v>0</v>
      </c>
      <c r="K72" s="354">
        <f t="shared" si="25"/>
        <v>1601</v>
      </c>
      <c r="M72" s="354">
        <f>ROUND(+Base!$V$28/$W$2,0)</f>
        <v>22</v>
      </c>
      <c r="N72" s="354">
        <f>ROUND(+Base!$V$31/$W$2,0)</f>
        <v>52</v>
      </c>
      <c r="O72" s="354">
        <f>ROUND(+Base!$V$34/$W$2,0)</f>
        <v>5</v>
      </c>
      <c r="P72" s="354">
        <f>ROUND(+Base!$V$37/$W$2,0)</f>
        <v>13</v>
      </c>
      <c r="Q72" s="354">
        <f>ROUND(+Base!$V$38/$W$2,0)</f>
        <v>0</v>
      </c>
      <c r="R72" s="354">
        <f>ROUND(+Base!$V$49/$W$2,0)</f>
        <v>42</v>
      </c>
      <c r="S72" s="354">
        <f>ROUND(+Base!$V$60/$W$2,0)</f>
        <v>21</v>
      </c>
      <c r="T72" s="354">
        <f>ROUND(+Base!$V$65/$W$2,0)</f>
        <v>9</v>
      </c>
      <c r="U72" s="354">
        <f>ROUND((Base!$V$66+Base!$V$67)/$W$2,0)</f>
        <v>15</v>
      </c>
      <c r="V72" s="354">
        <f>ROUND((Base!$V$68+Base!$V$69)/$W$2,0)</f>
        <v>0</v>
      </c>
      <c r="W72" s="354">
        <f t="shared" si="31"/>
        <v>179</v>
      </c>
      <c r="Y72" s="354">
        <f>ROUND(+Base!$V$144/$W$2,0)</f>
        <v>96</v>
      </c>
      <c r="Z72" s="354">
        <f>ROUND(+Base!$V$145/$W$2,0)</f>
        <v>12</v>
      </c>
      <c r="AA72" s="354">
        <f>ROUND(-Base!$V$234/$W$2,0)</f>
        <v>0</v>
      </c>
      <c r="AB72" s="354">
        <f>ROUND(-Base!$V$236/$W$2,0)</f>
        <v>0</v>
      </c>
      <c r="AC72" s="354">
        <f>ROUND(-Base!$V$237/$W$2,0)</f>
        <v>0</v>
      </c>
      <c r="AD72" s="354">
        <f>ROUND(-Base!$V$238/$W$2,0)</f>
        <v>0</v>
      </c>
      <c r="AE72" s="354">
        <f>ROUND(-Base!$V$96/$W$2,0)</f>
        <v>0</v>
      </c>
      <c r="AF72" s="354">
        <f>ROUND(-Base!$V$107/$W$2,0)</f>
        <v>0</v>
      </c>
      <c r="AG72" s="354">
        <f>ROUND(-Base!$V$127/$W$2,0)</f>
        <v>0</v>
      </c>
      <c r="AH72" s="354">
        <f>-ROUND(-Base!$V$137/$W$2,0)</f>
        <v>0</v>
      </c>
      <c r="AI72" s="354">
        <f>-ROUND(+Base!$V$240/$W$2,0)</f>
        <v>0</v>
      </c>
      <c r="AJ72" s="354">
        <f t="shared" si="18"/>
        <v>108</v>
      </c>
      <c r="AL72" s="354">
        <f t="shared" si="19"/>
        <v>1672</v>
      </c>
      <c r="AN72" s="354">
        <f>-ROUND(+Base!$V$94/$W$2,0)</f>
        <v>20</v>
      </c>
      <c r="AO72" s="354">
        <f>ROUND(+Base!$V$133/$W$2,0)</f>
        <v>0</v>
      </c>
      <c r="AP72" s="354">
        <f>-ROUND(+Base!$V$91/$W$2,0)</f>
        <v>0</v>
      </c>
      <c r="AQ72" s="354">
        <f>-ROUND(+Base!$V$95/$W$2,0)</f>
        <v>0</v>
      </c>
      <c r="AR72" s="354">
        <f>-ROUND(+Base!$V$96/$W$2,0)</f>
        <v>0</v>
      </c>
      <c r="AS72" s="354">
        <f>-ROUND(+Base!$V$74/$W$2,0)</f>
        <v>0</v>
      </c>
      <c r="AT72" s="354">
        <f t="shared" si="20"/>
        <v>0</v>
      </c>
      <c r="AU72" s="354">
        <f>-ROUND(+Base!$V$102/$W$2,0)</f>
        <v>22</v>
      </c>
      <c r="AV72" s="354">
        <f>-ROUND(+Base!$V$99/$W$2,0)</f>
        <v>0</v>
      </c>
      <c r="AW72" s="354">
        <f>-ROUND(+Base!$V$103/$W$2,0)</f>
        <v>0</v>
      </c>
      <c r="AX72" s="354">
        <f>-ROUND(+Base!$V$75/$W$2,0)</f>
        <v>0</v>
      </c>
      <c r="AY72" s="354">
        <f t="shared" si="26"/>
        <v>0</v>
      </c>
      <c r="AZ72" s="354">
        <f>-ROUND(+Base!$V$110/$W$2,0)</f>
        <v>3</v>
      </c>
      <c r="BA72" s="354">
        <f>-ROUND(+Base!$V$113/$W$2,0)</f>
        <v>4</v>
      </c>
      <c r="BB72" s="354">
        <f>-ROUND(+Base!$V$116/$W$2,0)</f>
        <v>0</v>
      </c>
      <c r="BC72" s="354">
        <f t="shared" si="27"/>
        <v>4</v>
      </c>
      <c r="BD72" s="354">
        <f>-ROUND(+Base!$V$111/$W$2,0)</f>
        <v>5</v>
      </c>
      <c r="BE72" s="354">
        <f>-ROUND(+Base!$V$114/$W$2,0)</f>
        <v>1</v>
      </c>
      <c r="BF72" s="354">
        <f>-ROUND(+Base!$V$117/$W$2,0)</f>
        <v>0</v>
      </c>
      <c r="BG72" s="354">
        <f t="shared" si="28"/>
        <v>1</v>
      </c>
      <c r="BH72" s="354">
        <f>-ROUND(+Base!$V$123/$W$2,0)</f>
        <v>0</v>
      </c>
      <c r="BI72" s="354">
        <f>-ROUND(+Base!$V$126/$W$2,0)</f>
        <v>0</v>
      </c>
      <c r="BJ72" s="354">
        <f>-ROUND(+Base!$V$76/$W$2,0)</f>
        <v>0</v>
      </c>
      <c r="BK72" s="354">
        <f>-ROUND(+Base!$V$127/$W$2,0)</f>
        <v>0</v>
      </c>
      <c r="BL72" s="354">
        <f t="shared" si="21"/>
        <v>0</v>
      </c>
      <c r="BM72" s="354">
        <f>-ROUND(+Base!$V$124/$W$2,0)</f>
        <v>0</v>
      </c>
      <c r="BN72" s="354">
        <f>-ROUND(+Base!$V$134/$W$2,0)</f>
        <v>0</v>
      </c>
      <c r="BO72" s="354">
        <f>-ROUND(+Base!$V$135/$W$2,0)</f>
        <v>0</v>
      </c>
      <c r="BP72" s="354">
        <f t="shared" si="29"/>
        <v>0</v>
      </c>
      <c r="BQ72" s="354">
        <f t="shared" si="22"/>
        <v>0</v>
      </c>
      <c r="BR72" s="354">
        <f t="shared" si="23"/>
        <v>55</v>
      </c>
      <c r="BS72" s="354"/>
      <c r="BT72" s="354">
        <f>ROUND(+Base!$V$248/$W$2,0)</f>
        <v>481</v>
      </c>
      <c r="BU72" s="354">
        <f>ROUND(+Base!$V$251/$W$2,0)</f>
        <v>877</v>
      </c>
      <c r="BV72" s="354">
        <f>ROUND(+Base!$V$254/$W$2,0)</f>
        <v>84</v>
      </c>
      <c r="BW72" s="354">
        <f>ROUND(+Base!$V$257/$W$2,0)</f>
        <v>230</v>
      </c>
      <c r="BX72" s="354">
        <f>ROUND(+Base!$V$258/$W$2,0)</f>
        <v>0</v>
      </c>
      <c r="BY72" s="354">
        <f t="shared" si="24"/>
        <v>1672</v>
      </c>
      <c r="BZ72" s="354"/>
      <c r="CA72" s="354"/>
      <c r="CB72" s="354"/>
      <c r="CC72" s="354"/>
      <c r="CD72" s="354"/>
      <c r="CE72" s="354"/>
      <c r="CF72" s="354"/>
      <c r="CG72" s="354"/>
      <c r="CH72" s="354"/>
      <c r="CI72" s="354"/>
      <c r="CJ72" s="354"/>
      <c r="CK72" s="354"/>
      <c r="CL72" s="354"/>
      <c r="CM72" s="693"/>
      <c r="CN72" s="693"/>
      <c r="CO72" s="693"/>
    </row>
    <row r="73" spans="2:93">
      <c r="B73" s="271">
        <f t="shared" si="30"/>
        <v>18</v>
      </c>
      <c r="C73" s="541">
        <f>+Base!W$4</f>
        <v>79</v>
      </c>
      <c r="D73" s="541">
        <f>+Base!W$5</f>
        <v>78</v>
      </c>
      <c r="E73" s="540">
        <f>+Base!W$7</f>
        <v>2036</v>
      </c>
      <c r="F73" s="354">
        <f>ROUND(+Base!$W$8/$W$2,0)</f>
        <v>481</v>
      </c>
      <c r="G73" s="354">
        <f>ROUND(+Base!$W$11/$W$2,0)</f>
        <v>877</v>
      </c>
      <c r="H73" s="354">
        <f>ROUND(+Base!$W$14/$W$2,0)</f>
        <v>84</v>
      </c>
      <c r="I73" s="354">
        <f>ROUND(+Base!$W$17/$W$2,0)</f>
        <v>230</v>
      </c>
      <c r="J73" s="354">
        <f>ROUND(+Base!$W$18/$W$2,0)</f>
        <v>0</v>
      </c>
      <c r="K73" s="354">
        <f t="shared" si="25"/>
        <v>1672</v>
      </c>
      <c r="M73" s="354">
        <f>ROUND(+Base!$W$28/$W$2,0)</f>
        <v>25</v>
      </c>
      <c r="N73" s="354">
        <f>ROUND(+Base!$W$31/$W$2,0)</f>
        <v>53</v>
      </c>
      <c r="O73" s="354">
        <f>ROUND(+Base!$W$34/$W$2,0)</f>
        <v>5</v>
      </c>
      <c r="P73" s="354">
        <f>ROUND(+Base!$W$37/$W$2,0)</f>
        <v>14</v>
      </c>
      <c r="Q73" s="354">
        <f>ROUND(+Base!$W$38/$W$2,0)</f>
        <v>0</v>
      </c>
      <c r="R73" s="354">
        <f>ROUND(+Base!$W$49/$W$2,0)</f>
        <v>43</v>
      </c>
      <c r="S73" s="354">
        <f>ROUND(+Base!$W$60/$W$2,0)</f>
        <v>22</v>
      </c>
      <c r="T73" s="354">
        <f>ROUND(+Base!$W$65/$W$2,0)</f>
        <v>9</v>
      </c>
      <c r="U73" s="354">
        <f>ROUND((Base!$W$66+Base!$W$67)/$W$2,0)</f>
        <v>15</v>
      </c>
      <c r="V73" s="354">
        <f>ROUND((Base!$W$68+Base!$W$69)/$W$2,0)</f>
        <v>0</v>
      </c>
      <c r="W73" s="354">
        <f t="shared" si="31"/>
        <v>186</v>
      </c>
      <c r="Y73" s="354">
        <f>ROUND(+Base!$W$144/$W$2,0)</f>
        <v>98</v>
      </c>
      <c r="Z73" s="354">
        <f>ROUND(+Base!$W$145/$W$2,0)</f>
        <v>13</v>
      </c>
      <c r="AA73" s="354">
        <f>ROUND(-Base!$W$234/$W$2,0)</f>
        <v>0</v>
      </c>
      <c r="AB73" s="354">
        <f>ROUND(-Base!$W$236/$W$2,0)</f>
        <v>0</v>
      </c>
      <c r="AC73" s="354">
        <f>ROUND(-Base!$W$237/$W$2,0)</f>
        <v>0</v>
      </c>
      <c r="AD73" s="354">
        <f>ROUND(-Base!$W$238/$W$2,0)</f>
        <v>0</v>
      </c>
      <c r="AE73" s="354">
        <f>ROUND(-Base!$W$96/$W$2,0)</f>
        <v>0</v>
      </c>
      <c r="AF73" s="354">
        <f>ROUND(-Base!$W$107/$W$2,0)</f>
        <v>0</v>
      </c>
      <c r="AG73" s="354">
        <f>ROUND(-Base!$W$127/$W$2,0)</f>
        <v>0</v>
      </c>
      <c r="AH73" s="354">
        <f>-ROUND(-Base!$W$137/$W$2,0)</f>
        <v>0</v>
      </c>
      <c r="AI73" s="354">
        <f>-ROUND(+Base!$W$240/$W$2,0)</f>
        <v>0</v>
      </c>
      <c r="AJ73" s="354">
        <f t="shared" si="18"/>
        <v>111</v>
      </c>
      <c r="AL73" s="354">
        <f t="shared" si="19"/>
        <v>1747</v>
      </c>
      <c r="AN73" s="354">
        <f>-ROUND(+Base!$W$94/$W$2,0)</f>
        <v>21</v>
      </c>
      <c r="AO73" s="354">
        <f>ROUND(+Base!$W$133/$W$2,0)</f>
        <v>0</v>
      </c>
      <c r="AP73" s="354">
        <f>-ROUND(+Base!$W$91/$W$2,0)</f>
        <v>0</v>
      </c>
      <c r="AQ73" s="354">
        <f>-ROUND(+Base!$W$95/$W$2,0)</f>
        <v>0</v>
      </c>
      <c r="AR73" s="354">
        <f>-ROUND(+Base!$W$96/$W$2,0)</f>
        <v>0</v>
      </c>
      <c r="AS73" s="354">
        <f>-ROUND(+Base!$W$74/$W$2,0)</f>
        <v>0</v>
      </c>
      <c r="AT73" s="354">
        <f t="shared" si="20"/>
        <v>0</v>
      </c>
      <c r="AU73" s="354">
        <f>-ROUND(+Base!$W$102/$W$2,0)</f>
        <v>23</v>
      </c>
      <c r="AV73" s="354">
        <f>-ROUND(+Base!$W$99/$W$2,0)</f>
        <v>0</v>
      </c>
      <c r="AW73" s="354">
        <f>-ROUND(+Base!$W$103/$W$2,0)</f>
        <v>0</v>
      </c>
      <c r="AX73" s="354">
        <f>-ROUND(+Base!$W$75/$W$2,0)</f>
        <v>0</v>
      </c>
      <c r="AY73" s="354">
        <f t="shared" si="26"/>
        <v>0</v>
      </c>
      <c r="AZ73" s="354">
        <f>-ROUND(+Base!$W$110/$W$2,0)</f>
        <v>3</v>
      </c>
      <c r="BA73" s="354">
        <f>-ROUND(+Base!$W$113/$W$2,0)</f>
        <v>4</v>
      </c>
      <c r="BB73" s="354">
        <f>-ROUND(+Base!$W$116/$W$2,0)</f>
        <v>0</v>
      </c>
      <c r="BC73" s="354">
        <f t="shared" si="27"/>
        <v>4</v>
      </c>
      <c r="BD73" s="354">
        <f>-ROUND(+Base!$W$111/$W$2,0)</f>
        <v>5</v>
      </c>
      <c r="BE73" s="354">
        <f>-ROUND(+Base!$W$114/$W$2,0)</f>
        <v>1</v>
      </c>
      <c r="BF73" s="354">
        <f>-ROUND(+Base!$W$117/$W$2,0)</f>
        <v>0</v>
      </c>
      <c r="BG73" s="354">
        <f t="shared" si="28"/>
        <v>1</v>
      </c>
      <c r="BH73" s="354">
        <f>-ROUND(+Base!$W$123/$W$2,0)</f>
        <v>0</v>
      </c>
      <c r="BI73" s="354">
        <f>-ROUND(+Base!$W$126/$W$2,0)</f>
        <v>0</v>
      </c>
      <c r="BJ73" s="354">
        <f>-ROUND(+Base!$W$76/$W$2,0)</f>
        <v>0</v>
      </c>
      <c r="BK73" s="354">
        <f>-ROUND(+Base!$W$127/$W$2,0)</f>
        <v>0</v>
      </c>
      <c r="BL73" s="354">
        <f t="shared" si="21"/>
        <v>0</v>
      </c>
      <c r="BM73" s="354">
        <f>-ROUND(+Base!$W$124/$W$2,0)</f>
        <v>0</v>
      </c>
      <c r="BN73" s="354">
        <f>-ROUND(+Base!$W$134/$W$2,0)</f>
        <v>0</v>
      </c>
      <c r="BO73" s="354">
        <f>-ROUND(+Base!$W$135/$W$2,0)</f>
        <v>0</v>
      </c>
      <c r="BP73" s="354">
        <f t="shared" si="29"/>
        <v>0</v>
      </c>
      <c r="BQ73" s="354">
        <f t="shared" si="22"/>
        <v>0</v>
      </c>
      <c r="BR73" s="354">
        <f t="shared" si="23"/>
        <v>57</v>
      </c>
      <c r="BS73" s="354"/>
      <c r="BT73" s="354">
        <f>ROUND(+Base!$W$248/$W$2,0)</f>
        <v>541</v>
      </c>
      <c r="BU73" s="354">
        <f>ROUND(+Base!$W$251/$W$2,0)</f>
        <v>886</v>
      </c>
      <c r="BV73" s="354">
        <f>ROUND(+Base!$W$254/$W$2,0)</f>
        <v>75</v>
      </c>
      <c r="BW73" s="354">
        <f>ROUND(+Base!$W$257/$W$2,0)</f>
        <v>245</v>
      </c>
      <c r="BX73" s="354">
        <f>ROUND(+Base!$W$258/$W$2,0)</f>
        <v>0</v>
      </c>
      <c r="BY73" s="354">
        <f t="shared" si="24"/>
        <v>1747</v>
      </c>
      <c r="BZ73" s="354"/>
      <c r="CA73" s="354"/>
      <c r="CB73" s="354"/>
      <c r="CC73" s="354"/>
      <c r="CD73" s="354"/>
      <c r="CE73" s="354"/>
      <c r="CF73" s="354"/>
      <c r="CG73" s="354"/>
      <c r="CH73" s="354"/>
      <c r="CI73" s="354"/>
      <c r="CJ73" s="354"/>
      <c r="CK73" s="354"/>
      <c r="CL73" s="354"/>
      <c r="CM73" s="693"/>
      <c r="CN73" s="693"/>
      <c r="CO73" s="693"/>
    </row>
    <row r="74" spans="2:93">
      <c r="B74" s="271">
        <f t="shared" si="30"/>
        <v>19</v>
      </c>
      <c r="C74" s="541">
        <f>+Base!X$4</f>
        <v>80</v>
      </c>
      <c r="D74" s="541">
        <f>+Base!X$5</f>
        <v>79</v>
      </c>
      <c r="E74" s="540">
        <f>+Base!X$7</f>
        <v>2037</v>
      </c>
      <c r="F74" s="354">
        <f>ROUND(+Base!$X$8/$W$2,0)</f>
        <v>541</v>
      </c>
      <c r="G74" s="354">
        <f>ROUND(+Base!$X$11/$W$2,0)</f>
        <v>886</v>
      </c>
      <c r="H74" s="354">
        <f>ROUND(+Base!$X$14/$W$2,0)</f>
        <v>75</v>
      </c>
      <c r="I74" s="354">
        <f>ROUND(+Base!$X$17/$W$2,0)</f>
        <v>245</v>
      </c>
      <c r="J74" s="354">
        <f>ROUND(+Base!$X$18/$W$2,0)</f>
        <v>0</v>
      </c>
      <c r="K74" s="354">
        <f t="shared" si="25"/>
        <v>1747</v>
      </c>
      <c r="M74" s="354">
        <f>ROUND(+Base!$X$28/$W$2,0)</f>
        <v>23</v>
      </c>
      <c r="N74" s="354">
        <f>ROUND(+Base!$X$31/$W$2,0)</f>
        <v>47</v>
      </c>
      <c r="O74" s="354">
        <f>ROUND(+Base!$X$34/$W$2,0)</f>
        <v>4</v>
      </c>
      <c r="P74" s="354">
        <f>ROUND(+Base!$X$37/$W$2,0)</f>
        <v>13</v>
      </c>
      <c r="Q74" s="354">
        <f>ROUND(+Base!$X$38/$W$2,0)</f>
        <v>0</v>
      </c>
      <c r="R74" s="354">
        <f>ROUND(+Base!$X$49/$W$2,0)</f>
        <v>44</v>
      </c>
      <c r="S74" s="354">
        <f>ROUND(+Base!$X$60/$W$2,0)</f>
        <v>22</v>
      </c>
      <c r="T74" s="354">
        <f>ROUND(+Base!$X$65/$W$2,0)</f>
        <v>9</v>
      </c>
      <c r="U74" s="354">
        <f>ROUND((Base!$X$66+Base!$X$67)/$W$2,0)</f>
        <v>16</v>
      </c>
      <c r="V74" s="354">
        <f>ROUND((Base!$X$68+Base!$X$69)/$W$2,0)</f>
        <v>0</v>
      </c>
      <c r="W74" s="354">
        <f t="shared" si="31"/>
        <v>178</v>
      </c>
      <c r="Y74" s="354">
        <f>ROUND(+Base!$X$144/$W$2,0)</f>
        <v>120</v>
      </c>
      <c r="Z74" s="354">
        <f>ROUND(+Base!$X$145/$W$2,0)</f>
        <v>12</v>
      </c>
      <c r="AA74" s="354">
        <f>ROUND(-Base!$X$234/$W$2,0)</f>
        <v>0</v>
      </c>
      <c r="AB74" s="354">
        <f>ROUND(-Base!$X$236/$W$2,0)</f>
        <v>0</v>
      </c>
      <c r="AC74" s="354">
        <f>ROUND(-Base!$X$237/$W$2,0)</f>
        <v>0</v>
      </c>
      <c r="AD74" s="354">
        <f>ROUND(-Base!$X$238/$W$2,0)</f>
        <v>0</v>
      </c>
      <c r="AE74" s="354">
        <f>ROUND(-Base!$X$96/$W$2,0)</f>
        <v>0</v>
      </c>
      <c r="AF74" s="354">
        <f>ROUND(-Base!$X$107/$W$2,0)</f>
        <v>0</v>
      </c>
      <c r="AG74" s="354">
        <f>ROUND(-Base!$X$127/$W$2,0)</f>
        <v>0</v>
      </c>
      <c r="AH74" s="354">
        <f>-ROUND(-Base!$X$137/$W$2,0)</f>
        <v>-5</v>
      </c>
      <c r="AI74" s="354">
        <f>-ROUND(+Base!$X$240/$W$2,0)</f>
        <v>5</v>
      </c>
      <c r="AJ74" s="354">
        <f t="shared" si="18"/>
        <v>137</v>
      </c>
      <c r="AL74" s="354">
        <f t="shared" si="19"/>
        <v>1788</v>
      </c>
      <c r="AN74" s="354">
        <f>-ROUND(+Base!$X$94/$W$2,0)</f>
        <v>22</v>
      </c>
      <c r="AO74" s="354">
        <f>ROUND(+Base!$X$133/$W$2,0)</f>
        <v>0</v>
      </c>
      <c r="AP74" s="354">
        <f>-ROUND(+Base!$X$91/$W$2,0)</f>
        <v>0</v>
      </c>
      <c r="AQ74" s="354">
        <f>-ROUND(+Base!$X$95/$W$2,0)</f>
        <v>0</v>
      </c>
      <c r="AR74" s="354">
        <f>-ROUND(+Base!$X$96/$W$2,0)</f>
        <v>0</v>
      </c>
      <c r="AS74" s="354">
        <f>-ROUND(+Base!$X$74/$W$2,0)</f>
        <v>0</v>
      </c>
      <c r="AT74" s="354">
        <f t="shared" si="20"/>
        <v>0</v>
      </c>
      <c r="AU74" s="354">
        <f>-ROUND(+Base!$X$102/$W$2,0)</f>
        <v>24</v>
      </c>
      <c r="AV74" s="354">
        <f>-ROUND(+Base!$X$99/$W$2,0)</f>
        <v>0</v>
      </c>
      <c r="AW74" s="354">
        <f>-ROUND(+Base!$X$103/$W$2,0)</f>
        <v>0</v>
      </c>
      <c r="AX74" s="354">
        <f>-ROUND(+Base!$X$75/$W$2,0)</f>
        <v>0</v>
      </c>
      <c r="AY74" s="354">
        <f t="shared" si="26"/>
        <v>0</v>
      </c>
      <c r="AZ74" s="354">
        <f>-ROUND(+Base!$X$110/$W$2,0)</f>
        <v>3</v>
      </c>
      <c r="BA74" s="354">
        <f>-ROUND(+Base!$X$113/$W$2,0)</f>
        <v>0</v>
      </c>
      <c r="BB74" s="354">
        <f>-ROUND(+Base!$X$116/$W$2,0)</f>
        <v>0</v>
      </c>
      <c r="BC74" s="354">
        <f t="shared" si="27"/>
        <v>0</v>
      </c>
      <c r="BD74" s="354">
        <f>-ROUND(+Base!$X$111/$W$2,0)</f>
        <v>6</v>
      </c>
      <c r="BE74" s="354">
        <f>-ROUND(+Base!$X$114/$W$2,0)</f>
        <v>1</v>
      </c>
      <c r="BF74" s="354">
        <f>-ROUND(+Base!$X$117/$W$2,0)</f>
        <v>0</v>
      </c>
      <c r="BG74" s="354">
        <f t="shared" si="28"/>
        <v>1</v>
      </c>
      <c r="BH74" s="354">
        <f>-ROUND(+Base!$X$123/$W$2,0)</f>
        <v>1</v>
      </c>
      <c r="BI74" s="354">
        <f>-ROUND(+Base!$X$126/$W$2,0)</f>
        <v>0</v>
      </c>
      <c r="BJ74" s="354">
        <f>-ROUND(+Base!$X$76/$W$2,0)</f>
        <v>0</v>
      </c>
      <c r="BK74" s="354">
        <f>-ROUND(+Base!$X$127/$W$2,0)</f>
        <v>0</v>
      </c>
      <c r="BL74" s="354">
        <f t="shared" si="21"/>
        <v>1</v>
      </c>
      <c r="BM74" s="354">
        <f>-ROUND(+Base!$X$124/$W$2,0)</f>
        <v>0</v>
      </c>
      <c r="BN74" s="354">
        <f>-ROUND(+Base!$X$134/$W$2,0)</f>
        <v>0</v>
      </c>
      <c r="BO74" s="354">
        <f>-ROUND(+Base!$X$135/$W$2,0)</f>
        <v>0</v>
      </c>
      <c r="BP74" s="354">
        <f t="shared" si="29"/>
        <v>0</v>
      </c>
      <c r="BQ74" s="354">
        <f t="shared" si="22"/>
        <v>5</v>
      </c>
      <c r="BR74" s="354">
        <f t="shared" si="23"/>
        <v>62</v>
      </c>
      <c r="BS74" s="354"/>
      <c r="BT74" s="354">
        <f>ROUND(+Base!$X$248/$W$2,0)</f>
        <v>575</v>
      </c>
      <c r="BU74" s="354">
        <f>ROUND(+Base!$X$251/$W$2,0)</f>
        <v>886</v>
      </c>
      <c r="BV74" s="354">
        <f>ROUND(+Base!$X$254/$W$2,0)</f>
        <v>69</v>
      </c>
      <c r="BW74" s="354">
        <f>ROUND(+Base!$X$257/$W$2,0)</f>
        <v>256</v>
      </c>
      <c r="BX74" s="354">
        <f>ROUND(+Base!$X$258/$W$2,0)</f>
        <v>0</v>
      </c>
      <c r="BY74" s="354">
        <f t="shared" si="24"/>
        <v>1786</v>
      </c>
      <c r="BZ74" s="354"/>
      <c r="CA74" s="354"/>
      <c r="CB74" s="354"/>
      <c r="CC74" s="354"/>
      <c r="CD74" s="354"/>
      <c r="CE74" s="354"/>
      <c r="CF74" s="354"/>
      <c r="CG74" s="354"/>
      <c r="CH74" s="354"/>
      <c r="CI74" s="354"/>
      <c r="CJ74" s="354"/>
      <c r="CK74" s="354"/>
      <c r="CL74" s="354"/>
      <c r="CM74" s="693"/>
      <c r="CN74" s="693"/>
      <c r="CO74" s="693"/>
    </row>
    <row r="75" spans="2:93">
      <c r="B75" s="271">
        <f t="shared" si="30"/>
        <v>20</v>
      </c>
      <c r="C75" s="541">
        <f>+Base!Y$4</f>
        <v>81</v>
      </c>
      <c r="D75" s="541">
        <f>+Base!Y$5</f>
        <v>80</v>
      </c>
      <c r="E75" s="540">
        <f>+Base!Y$7</f>
        <v>2038</v>
      </c>
      <c r="F75" s="354">
        <f>ROUND(+Base!$Y$8/$W$2,0)</f>
        <v>575</v>
      </c>
      <c r="G75" s="354">
        <f>ROUND(+Base!$Y$11/$W$2,0)</f>
        <v>886</v>
      </c>
      <c r="H75" s="354">
        <f>ROUND(+Base!$Y$14/$W$2,0)</f>
        <v>69</v>
      </c>
      <c r="I75" s="354">
        <f>ROUND(+Base!$Y$17/$W$2,0)</f>
        <v>256</v>
      </c>
      <c r="J75" s="354">
        <f>ROUND(+Base!$Y$18/$W$2,0)</f>
        <v>0</v>
      </c>
      <c r="K75" s="354">
        <f t="shared" si="25"/>
        <v>1786</v>
      </c>
      <c r="M75" s="354">
        <f>ROUND(+Base!$Y$28/$W$2,0)</f>
        <v>24</v>
      </c>
      <c r="N75" s="354">
        <f>ROUND(+Base!$Y$31/$W$2,0)</f>
        <v>47</v>
      </c>
      <c r="O75" s="354">
        <f>ROUND(+Base!$Y$34/$W$2,0)</f>
        <v>4</v>
      </c>
      <c r="P75" s="354">
        <f>ROUND(+Base!$Y$37/$W$2,0)</f>
        <v>14</v>
      </c>
      <c r="Q75" s="354">
        <f>ROUND(+Base!$Y$38/$W$2,0)</f>
        <v>0</v>
      </c>
      <c r="R75" s="354">
        <f>ROUND(+Base!$Y$49/$W$2,0)</f>
        <v>44</v>
      </c>
      <c r="S75" s="354">
        <f>ROUND(+Base!$Y$60/$W$2,0)</f>
        <v>22</v>
      </c>
      <c r="T75" s="354">
        <f>ROUND(+Base!$Y$65/$W$2,0)</f>
        <v>9</v>
      </c>
      <c r="U75" s="354">
        <f>ROUND((Base!$Y$66+Base!$Y$67)/$W$2,0)</f>
        <v>16</v>
      </c>
      <c r="V75" s="354">
        <f>ROUND((Base!$Y$68+Base!$Y$69)/$W$2,0)</f>
        <v>0</v>
      </c>
      <c r="W75" s="354">
        <f t="shared" si="31"/>
        <v>180</v>
      </c>
      <c r="Y75" s="354">
        <f>ROUND(+Base!$Y$144/$W$2,0)</f>
        <v>122</v>
      </c>
      <c r="Z75" s="354">
        <f>ROUND(+Base!$Y$145/$W$2,0)</f>
        <v>12</v>
      </c>
      <c r="AA75" s="354">
        <f>ROUND(-Base!$Y$234/$W$2,0)</f>
        <v>0</v>
      </c>
      <c r="AB75" s="354">
        <f>ROUND(-Base!$Y$236/$W$2,0)</f>
        <v>0</v>
      </c>
      <c r="AC75" s="354">
        <f>ROUND(-Base!$Y$237/$W$2,0)</f>
        <v>0</v>
      </c>
      <c r="AD75" s="354">
        <f>ROUND(-Base!$Y$238/$W$2,0)</f>
        <v>0</v>
      </c>
      <c r="AE75" s="354">
        <f>ROUND(-Base!$Y$96/$W$2,0)</f>
        <v>0</v>
      </c>
      <c r="AF75" s="354">
        <f>ROUND(-Base!$Y$107/$W$2,0)</f>
        <v>0</v>
      </c>
      <c r="AG75" s="354">
        <f>ROUND(-Base!$Y$127/$W$2,0)</f>
        <v>0</v>
      </c>
      <c r="AH75" s="354">
        <f>-ROUND(-Base!$Y$137/$W$2,0)</f>
        <v>-5</v>
      </c>
      <c r="AI75" s="354">
        <f>-ROUND(+Base!$Y$240/$W$2,0)</f>
        <v>5</v>
      </c>
      <c r="AJ75" s="354">
        <f t="shared" si="18"/>
        <v>139</v>
      </c>
      <c r="AL75" s="354">
        <f t="shared" si="19"/>
        <v>1827</v>
      </c>
      <c r="AN75" s="354">
        <f>-ROUND(+Base!$Y$94/$W$2,0)</f>
        <v>23</v>
      </c>
      <c r="AO75" s="354">
        <f>ROUND(+Base!$Y$133/$W$2,0)</f>
        <v>0</v>
      </c>
      <c r="AP75" s="354">
        <f>-ROUND(+Base!$Y$91/$W$2,0)</f>
        <v>0</v>
      </c>
      <c r="AQ75" s="354">
        <f>-ROUND(+Base!$Y$95/$W$2,0)</f>
        <v>0</v>
      </c>
      <c r="AR75" s="354">
        <f>-ROUND(+Base!$Y$96/$W$2,0)</f>
        <v>0</v>
      </c>
      <c r="AS75" s="354">
        <f>-ROUND(+Base!$Y$74/$W$2,0)</f>
        <v>0</v>
      </c>
      <c r="AT75" s="354">
        <f t="shared" si="20"/>
        <v>0</v>
      </c>
      <c r="AU75" s="354">
        <f>-ROUND(+Base!$Y$102/$W$2,0)</f>
        <v>25</v>
      </c>
      <c r="AV75" s="354">
        <f>-ROUND(+Base!$Y$99/$W$2,0)</f>
        <v>0</v>
      </c>
      <c r="AW75" s="354">
        <f>-ROUND(+Base!$Y$103/$W$2,0)</f>
        <v>0</v>
      </c>
      <c r="AX75" s="354">
        <f>-ROUND(+Base!$Y$75/$W$2,0)</f>
        <v>0</v>
      </c>
      <c r="AY75" s="354">
        <f t="shared" si="26"/>
        <v>0</v>
      </c>
      <c r="AZ75" s="354">
        <f>-ROUND(+Base!$Y$110/$W$2,0)</f>
        <v>3</v>
      </c>
      <c r="BA75" s="354">
        <f>-ROUND(+Base!$Y$113/$W$2,0)</f>
        <v>0</v>
      </c>
      <c r="BB75" s="354">
        <f>-ROUND(+Base!$Y$116/$W$2,0)</f>
        <v>0</v>
      </c>
      <c r="BC75" s="354">
        <f t="shared" si="27"/>
        <v>0</v>
      </c>
      <c r="BD75" s="354">
        <f>-ROUND(+Base!$Y$111/$W$2,0)</f>
        <v>6</v>
      </c>
      <c r="BE75" s="354">
        <f>-ROUND(+Base!$Y$114/$W$2,0)</f>
        <v>0</v>
      </c>
      <c r="BF75" s="354">
        <f>-ROUND(+Base!$Y$117/$W$2,0)</f>
        <v>0</v>
      </c>
      <c r="BG75" s="354">
        <f t="shared" si="28"/>
        <v>0</v>
      </c>
      <c r="BH75" s="354">
        <f>-ROUND(+Base!$Y$123/$W$2,0)</f>
        <v>1</v>
      </c>
      <c r="BI75" s="354">
        <f>-ROUND(+Base!$Y$126/$W$2,0)</f>
        <v>0</v>
      </c>
      <c r="BJ75" s="354">
        <f>-ROUND(+Base!$Y$76/$W$2,0)</f>
        <v>0</v>
      </c>
      <c r="BK75" s="354">
        <f>-ROUND(+Base!$Y$127/$W$2,0)</f>
        <v>0</v>
      </c>
      <c r="BL75" s="354">
        <f t="shared" si="21"/>
        <v>1</v>
      </c>
      <c r="BM75" s="354">
        <f>-ROUND(+Base!$Y$124/$W$2,0)</f>
        <v>0</v>
      </c>
      <c r="BN75" s="354">
        <f>-ROUND(+Base!$Y$134/$W$2,0)</f>
        <v>0</v>
      </c>
      <c r="BO75" s="354">
        <f>-ROUND(+Base!$Y$135/$W$2,0)</f>
        <v>0</v>
      </c>
      <c r="BP75" s="354">
        <f t="shared" si="29"/>
        <v>0</v>
      </c>
      <c r="BQ75" s="354">
        <f t="shared" si="22"/>
        <v>5</v>
      </c>
      <c r="BR75" s="354">
        <f t="shared" si="23"/>
        <v>63</v>
      </c>
      <c r="BS75" s="354"/>
      <c r="BT75" s="354">
        <f>ROUND(+Base!$Y$248/$W$2,0)</f>
        <v>610</v>
      </c>
      <c r="BU75" s="354">
        <f>ROUND(+Base!$Y$251/$W$2,0)</f>
        <v>885</v>
      </c>
      <c r="BV75" s="354">
        <f>ROUND(+Base!$Y$254/$W$2,0)</f>
        <v>64</v>
      </c>
      <c r="BW75" s="354">
        <f>ROUND(+Base!$Y$257/$W$2,0)</f>
        <v>269</v>
      </c>
      <c r="BX75" s="354">
        <f>ROUND(+Base!$Y$258/$W$2,0)</f>
        <v>0</v>
      </c>
      <c r="BY75" s="354">
        <f t="shared" si="24"/>
        <v>1828</v>
      </c>
      <c r="BZ75" s="354"/>
      <c r="CA75" s="354"/>
      <c r="CB75" s="354"/>
      <c r="CC75" s="354"/>
      <c r="CD75" s="354"/>
      <c r="CE75" s="354"/>
      <c r="CF75" s="354"/>
      <c r="CG75" s="354"/>
      <c r="CH75" s="354"/>
      <c r="CI75" s="354"/>
      <c r="CJ75" s="354"/>
      <c r="CK75" s="354"/>
      <c r="CL75" s="354"/>
      <c r="CM75" s="693"/>
      <c r="CN75" s="693"/>
      <c r="CO75" s="693"/>
    </row>
    <row r="76" spans="2:93">
      <c r="B76" s="271">
        <f t="shared" si="30"/>
        <v>21</v>
      </c>
      <c r="C76" s="541">
        <f>+Base!Z$4</f>
        <v>82</v>
      </c>
      <c r="D76" s="541">
        <f>+Base!Z$5</f>
        <v>81</v>
      </c>
      <c r="E76" s="540">
        <f>+Base!Z$7</f>
        <v>2039</v>
      </c>
      <c r="F76" s="354">
        <f>ROUND(+Base!$Z$8/$W$2,0)</f>
        <v>610</v>
      </c>
      <c r="G76" s="354">
        <f>ROUND(+Base!$Z$11/$W$2,0)</f>
        <v>885</v>
      </c>
      <c r="H76" s="354">
        <f>ROUND(+Base!$Z$14/$W$2,0)</f>
        <v>64</v>
      </c>
      <c r="I76" s="354">
        <f>ROUND(+Base!$Z$17/$W$2,0)</f>
        <v>269</v>
      </c>
      <c r="J76" s="354">
        <f>ROUND(+Base!$Z$18/$W$2,0)</f>
        <v>0</v>
      </c>
      <c r="K76" s="354">
        <f t="shared" si="25"/>
        <v>1828</v>
      </c>
      <c r="M76" s="354">
        <f>ROUND(+Base!$Z$28/$W$2,0)</f>
        <v>26</v>
      </c>
      <c r="N76" s="354">
        <f>ROUND(+Base!$Z$31/$W$2,0)</f>
        <v>47</v>
      </c>
      <c r="O76" s="354">
        <f>ROUND(+Base!$Z$34/$W$2,0)</f>
        <v>3</v>
      </c>
      <c r="P76" s="354">
        <f>ROUND(+Base!$Z$37/$W$2,0)</f>
        <v>14</v>
      </c>
      <c r="Q76" s="354">
        <f>ROUND(+Base!$Z$38/$W$2,0)</f>
        <v>0</v>
      </c>
      <c r="R76" s="354">
        <f>ROUND(+Base!$Z$49/$W$2,0)</f>
        <v>45</v>
      </c>
      <c r="S76" s="354">
        <f>ROUND(+Base!$Z$60/$W$2,0)</f>
        <v>23</v>
      </c>
      <c r="T76" s="354">
        <f>ROUND(+Base!$Z$65/$W$2,0)</f>
        <v>9</v>
      </c>
      <c r="U76" s="354">
        <f>ROUND((Base!$Z$66+Base!$Z$67)/$W$2,0)</f>
        <v>17</v>
      </c>
      <c r="V76" s="354">
        <f>ROUND((Base!$Z$68+Base!$Z$69)/$W$2,0)</f>
        <v>0</v>
      </c>
      <c r="W76" s="354">
        <f t="shared" si="31"/>
        <v>184</v>
      </c>
      <c r="Y76" s="354">
        <f>ROUND(+Base!$Z$144/$W$2,0)</f>
        <v>125</v>
      </c>
      <c r="Z76" s="354">
        <f>ROUND(+Base!$Z$145/$W$2,0)</f>
        <v>12</v>
      </c>
      <c r="AA76" s="354">
        <f>ROUND(-Base!$Z$234/$W$2,0)</f>
        <v>0</v>
      </c>
      <c r="AB76" s="354">
        <f>ROUND(-Base!$Z$236/$W$2,0)</f>
        <v>0</v>
      </c>
      <c r="AC76" s="354">
        <f>ROUND(-Base!$Z$237/$W$2,0)</f>
        <v>0</v>
      </c>
      <c r="AD76" s="354">
        <f>ROUND(-Base!$Z$238/$W$2,0)</f>
        <v>0</v>
      </c>
      <c r="AE76" s="354">
        <f>ROUND(-Base!$Z$96/$W$2,0)</f>
        <v>0</v>
      </c>
      <c r="AF76" s="354">
        <f>ROUND(-Base!$Z$107/$W$2,0)</f>
        <v>0</v>
      </c>
      <c r="AG76" s="354">
        <f>ROUND(-Base!$Z$127/$W$2,0)</f>
        <v>0</v>
      </c>
      <c r="AH76" s="354">
        <f>-ROUND(-Base!$Z$137/$W$2,0)</f>
        <v>-5</v>
      </c>
      <c r="AI76" s="354">
        <f>-ROUND(+Base!$Z$240/$W$2,0)</f>
        <v>5</v>
      </c>
      <c r="AJ76" s="354">
        <f t="shared" si="18"/>
        <v>142</v>
      </c>
      <c r="AL76" s="354">
        <f t="shared" si="19"/>
        <v>1870</v>
      </c>
      <c r="AN76" s="354">
        <f>-ROUND(+Base!$Z$94/$W$2,0)</f>
        <v>24</v>
      </c>
      <c r="AO76" s="354">
        <f>ROUND(+Base!$Z$133/$W$2,0)</f>
        <v>0</v>
      </c>
      <c r="AP76" s="354">
        <f>-ROUND(+Base!$Z$91/$W$2,0)</f>
        <v>0</v>
      </c>
      <c r="AQ76" s="354">
        <f>-ROUND(+Base!$Z$95/$W$2,0)</f>
        <v>0</v>
      </c>
      <c r="AR76" s="354">
        <f>-ROUND(+Base!$Z$96/$W$2,0)</f>
        <v>0</v>
      </c>
      <c r="AS76" s="354">
        <f>-ROUND(+Base!$Z$74/$W$2,0)</f>
        <v>0</v>
      </c>
      <c r="AT76" s="354">
        <f t="shared" si="20"/>
        <v>0</v>
      </c>
      <c r="AU76" s="354">
        <f>-ROUND(+Base!$Z$102/$W$2,0)</f>
        <v>26</v>
      </c>
      <c r="AV76" s="354">
        <f>-ROUND(+Base!$Z$99/$W$2,0)</f>
        <v>0</v>
      </c>
      <c r="AW76" s="354">
        <f>-ROUND(+Base!$Z$103/$W$2,0)</f>
        <v>0</v>
      </c>
      <c r="AX76" s="354">
        <f>-ROUND(+Base!$Z$75/$W$2,0)</f>
        <v>0</v>
      </c>
      <c r="AY76" s="354">
        <f t="shared" si="26"/>
        <v>0</v>
      </c>
      <c r="AZ76" s="354">
        <f>-ROUND(+Base!$Z$110/$W$2,0)</f>
        <v>3</v>
      </c>
      <c r="BA76" s="354">
        <f>-ROUND(+Base!$Z$113/$W$2,0)</f>
        <v>0</v>
      </c>
      <c r="BB76" s="354">
        <f>-ROUND(+Base!$Z$116/$W$2,0)</f>
        <v>0</v>
      </c>
      <c r="BC76" s="354">
        <f t="shared" si="27"/>
        <v>0</v>
      </c>
      <c r="BD76" s="354">
        <f>-ROUND(+Base!$Z$111/$W$2,0)</f>
        <v>6</v>
      </c>
      <c r="BE76" s="354">
        <f>-ROUND(+Base!$Z$114/$W$2,0)</f>
        <v>0</v>
      </c>
      <c r="BF76" s="354">
        <f>-ROUND(+Base!$Z$117/$W$2,0)</f>
        <v>0</v>
      </c>
      <c r="BG76" s="354">
        <f t="shared" si="28"/>
        <v>0</v>
      </c>
      <c r="BH76" s="354">
        <f>-ROUND(+Base!$Z$123/$W$2,0)</f>
        <v>1</v>
      </c>
      <c r="BI76" s="354">
        <f>-ROUND(+Base!$Z$126/$W$2,0)</f>
        <v>0</v>
      </c>
      <c r="BJ76" s="354">
        <f>-ROUND(+Base!$Z$76/$W$2,0)</f>
        <v>0</v>
      </c>
      <c r="BK76" s="354">
        <f>-ROUND(+Base!$Z$127/$W$2,0)</f>
        <v>0</v>
      </c>
      <c r="BL76" s="354">
        <f t="shared" si="21"/>
        <v>1</v>
      </c>
      <c r="BM76" s="354">
        <f>-ROUND(+Base!$Z$124/$W$2,0)</f>
        <v>0</v>
      </c>
      <c r="BN76" s="354">
        <f>-ROUND(+Base!$Z$134/$W$2,0)</f>
        <v>0</v>
      </c>
      <c r="BO76" s="354">
        <f>-ROUND(+Base!$Z$135/$W$2,0)</f>
        <v>0</v>
      </c>
      <c r="BP76" s="354">
        <f t="shared" si="29"/>
        <v>0</v>
      </c>
      <c r="BQ76" s="354">
        <f t="shared" si="22"/>
        <v>5</v>
      </c>
      <c r="BR76" s="354">
        <f t="shared" si="23"/>
        <v>65</v>
      </c>
      <c r="BS76" s="354"/>
      <c r="BT76" s="354">
        <f>ROUND(+Base!$Z$248/$W$2,0)</f>
        <v>647</v>
      </c>
      <c r="BU76" s="354">
        <f>ROUND(+Base!$Z$251/$W$2,0)</f>
        <v>881</v>
      </c>
      <c r="BV76" s="354">
        <f>ROUND(+Base!$Z$254/$W$2,0)</f>
        <v>58</v>
      </c>
      <c r="BW76" s="354">
        <f>ROUND(+Base!$Z$257/$W$2,0)</f>
        <v>282</v>
      </c>
      <c r="BX76" s="354">
        <f>ROUND(+Base!$Z$258/$W$2,0)</f>
        <v>0</v>
      </c>
      <c r="BY76" s="354">
        <f t="shared" si="24"/>
        <v>1868</v>
      </c>
      <c r="BZ76" s="354"/>
      <c r="CA76" s="354"/>
      <c r="CB76" s="354"/>
      <c r="CC76" s="354"/>
      <c r="CD76" s="354"/>
      <c r="CE76" s="354"/>
      <c r="CF76" s="354"/>
      <c r="CG76" s="354"/>
      <c r="CH76" s="354"/>
      <c r="CI76" s="354"/>
      <c r="CJ76" s="354"/>
      <c r="CK76" s="354"/>
      <c r="CL76" s="354"/>
      <c r="CM76" s="693"/>
      <c r="CN76" s="693"/>
      <c r="CO76" s="693"/>
    </row>
    <row r="77" spans="2:93">
      <c r="B77" s="271">
        <f t="shared" si="30"/>
        <v>22</v>
      </c>
      <c r="C77" s="541">
        <f>+Base!AA$4</f>
        <v>83</v>
      </c>
      <c r="D77" s="541">
        <f>+Base!AA$5</f>
        <v>82</v>
      </c>
      <c r="E77" s="540">
        <f>+Base!AA$7</f>
        <v>2040</v>
      </c>
      <c r="F77" s="354">
        <f>ROUND(+Base!$AA$8/$W$2,0)</f>
        <v>647</v>
      </c>
      <c r="G77" s="354">
        <f>ROUND(+Base!$AA$11/$W$2,0)</f>
        <v>881</v>
      </c>
      <c r="H77" s="354">
        <f>ROUND(+Base!$AA$14/$W$2,0)</f>
        <v>58</v>
      </c>
      <c r="I77" s="354">
        <f>ROUND(+Base!$AA$17/$W$2,0)</f>
        <v>282</v>
      </c>
      <c r="J77" s="354">
        <f>ROUND(+Base!$AA$18/$W$2,0)</f>
        <v>0</v>
      </c>
      <c r="K77" s="354">
        <f t="shared" si="25"/>
        <v>1868</v>
      </c>
      <c r="M77" s="354">
        <f>ROUND(+Base!$AA$28/$W$2,0)</f>
        <v>27</v>
      </c>
      <c r="N77" s="354">
        <f>ROUND(+Base!$AA$31/$W$2,0)</f>
        <v>47</v>
      </c>
      <c r="O77" s="354">
        <f>ROUND(+Base!$AA$34/$W$2,0)</f>
        <v>3</v>
      </c>
      <c r="P77" s="354">
        <f>ROUND(+Base!$AA$37/$W$2,0)</f>
        <v>15</v>
      </c>
      <c r="Q77" s="354">
        <f>ROUND(+Base!$AA$38/$W$2,0)</f>
        <v>0</v>
      </c>
      <c r="R77" s="354">
        <f>ROUND(+Base!$AA$49/$W$2,0)</f>
        <v>46</v>
      </c>
      <c r="S77" s="354">
        <f>ROUND(+Base!$AA$60/$W$2,0)</f>
        <v>23</v>
      </c>
      <c r="T77" s="354">
        <f>ROUND(+Base!$AA$65/$W$2,0)</f>
        <v>9</v>
      </c>
      <c r="U77" s="354">
        <f>ROUND((Base!$AA$66+Base!$AA$67)/$W$2,0)</f>
        <v>17</v>
      </c>
      <c r="V77" s="354">
        <f>ROUND((Base!$AA$68+Base!$AA$69)/$W$2,0)</f>
        <v>0</v>
      </c>
      <c r="W77" s="354">
        <f t="shared" si="31"/>
        <v>187</v>
      </c>
      <c r="Y77" s="354">
        <f>ROUND(+Base!$AA$144/$W$2,0)</f>
        <v>127</v>
      </c>
      <c r="Z77" s="354">
        <f>ROUND(+Base!$AA$145/$W$2,0)</f>
        <v>13</v>
      </c>
      <c r="AA77" s="354">
        <f>ROUND(-Base!$AA$234/$W$2,0)</f>
        <v>0</v>
      </c>
      <c r="AB77" s="354">
        <f>ROUND(-Base!$AA$236/$W$2,0)</f>
        <v>0</v>
      </c>
      <c r="AC77" s="354">
        <f>ROUND(-Base!$AA$237/$W$2,0)</f>
        <v>0</v>
      </c>
      <c r="AD77" s="354">
        <f>ROUND(-Base!$AA$238/$W$2,0)</f>
        <v>0</v>
      </c>
      <c r="AE77" s="354">
        <f>ROUND(-Base!$AA$96/$W$2,0)</f>
        <v>0</v>
      </c>
      <c r="AF77" s="354">
        <f>ROUND(-Base!$AA$107/$W$2,0)</f>
        <v>0</v>
      </c>
      <c r="AG77" s="354">
        <f>ROUND(-Base!$AA$127/$W$2,0)</f>
        <v>0</v>
      </c>
      <c r="AH77" s="354">
        <f>-ROUND(-Base!$AA$137/$W$2,0)</f>
        <v>-5</v>
      </c>
      <c r="AI77" s="354">
        <f>-ROUND(+Base!$AA$240/$W$2,0)</f>
        <v>5</v>
      </c>
      <c r="AJ77" s="354">
        <f t="shared" si="18"/>
        <v>145</v>
      </c>
      <c r="AL77" s="354">
        <f t="shared" si="19"/>
        <v>1910</v>
      </c>
      <c r="AN77" s="354">
        <f>-ROUND(+Base!$AA$94/$W$2,0)</f>
        <v>25</v>
      </c>
      <c r="AO77" s="354">
        <f>ROUND(+Base!$AA$133/$W$2,0)</f>
        <v>0</v>
      </c>
      <c r="AP77" s="354">
        <f>-ROUND(+Base!$AA$91/$W$2,0)</f>
        <v>0</v>
      </c>
      <c r="AQ77" s="354">
        <f>-ROUND(+Base!$AA$95/$W$2,0)</f>
        <v>0</v>
      </c>
      <c r="AR77" s="354">
        <f>-ROUND(+Base!$AA$96/$W$2,0)</f>
        <v>0</v>
      </c>
      <c r="AS77" s="354">
        <f>-ROUND(+Base!$AA$74/$W$2,0)</f>
        <v>0</v>
      </c>
      <c r="AT77" s="354">
        <f t="shared" si="20"/>
        <v>0</v>
      </c>
      <c r="AU77" s="354">
        <f>-ROUND(+Base!$AA$102/$W$2,0)</f>
        <v>28</v>
      </c>
      <c r="AV77" s="354">
        <f>-ROUND(+Base!$AA$99/$W$2,0)</f>
        <v>0</v>
      </c>
      <c r="AW77" s="354">
        <f>-ROUND(+Base!$AA$103/$W$2,0)</f>
        <v>0</v>
      </c>
      <c r="AX77" s="354">
        <f>-ROUND(+Base!$AA$75/$W$2,0)</f>
        <v>0</v>
      </c>
      <c r="AY77" s="354">
        <f t="shared" si="26"/>
        <v>0</v>
      </c>
      <c r="AZ77" s="354">
        <f>-ROUND(+Base!$AA$110/$W$2,0)</f>
        <v>3</v>
      </c>
      <c r="BA77" s="354">
        <f>-ROUND(+Base!$AA$113/$W$2,0)</f>
        <v>0</v>
      </c>
      <c r="BB77" s="354">
        <f>-ROUND(+Base!$AA$116/$W$2,0)</f>
        <v>0</v>
      </c>
      <c r="BC77" s="354">
        <f t="shared" si="27"/>
        <v>0</v>
      </c>
      <c r="BD77" s="354">
        <f>-ROUND(+Base!$AA$111/$W$2,0)</f>
        <v>6</v>
      </c>
      <c r="BE77" s="354">
        <f>-ROUND(+Base!$AA$114/$W$2,0)</f>
        <v>0</v>
      </c>
      <c r="BF77" s="354">
        <f>-ROUND(+Base!$AA$117/$W$2,0)</f>
        <v>0</v>
      </c>
      <c r="BG77" s="354">
        <f t="shared" si="28"/>
        <v>0</v>
      </c>
      <c r="BH77" s="354">
        <f>-ROUND(+Base!$AA$123/$W$2,0)</f>
        <v>1</v>
      </c>
      <c r="BI77" s="354">
        <f>-ROUND(+Base!$AA$126/$W$2,0)</f>
        <v>0</v>
      </c>
      <c r="BJ77" s="354">
        <f>-ROUND(+Base!$AA$76/$W$2,0)</f>
        <v>0</v>
      </c>
      <c r="BK77" s="354">
        <f>-ROUND(+Base!$AA$127/$W$2,0)</f>
        <v>0</v>
      </c>
      <c r="BL77" s="354">
        <f t="shared" si="21"/>
        <v>1</v>
      </c>
      <c r="BM77" s="354">
        <f>-ROUND(+Base!$AA$124/$W$2,0)</f>
        <v>0</v>
      </c>
      <c r="BN77" s="354">
        <f>-ROUND(+Base!$AA$134/$W$2,0)</f>
        <v>0</v>
      </c>
      <c r="BO77" s="354">
        <f>-ROUND(+Base!$AA$135/$W$2,0)</f>
        <v>0</v>
      </c>
      <c r="BP77" s="354">
        <f t="shared" si="29"/>
        <v>0</v>
      </c>
      <c r="BQ77" s="354">
        <f t="shared" si="22"/>
        <v>5</v>
      </c>
      <c r="BR77" s="354">
        <f t="shared" si="23"/>
        <v>68</v>
      </c>
      <c r="BS77" s="354"/>
      <c r="BT77" s="354">
        <f>ROUND(+Base!$AA$248/$W$2,0)</f>
        <v>688</v>
      </c>
      <c r="BU77" s="354">
        <f>ROUND(+Base!$AA$251/$W$2,0)</f>
        <v>875</v>
      </c>
      <c r="BV77" s="354">
        <f>ROUND(+Base!$AA$254/$W$2,0)</f>
        <v>51</v>
      </c>
      <c r="BW77" s="354">
        <f>ROUND(+Base!$AA$257/$W$2,0)</f>
        <v>296</v>
      </c>
      <c r="BX77" s="354">
        <f>ROUND(+Base!$AA$258/$W$2,0)</f>
        <v>0</v>
      </c>
      <c r="BY77" s="354">
        <f t="shared" si="24"/>
        <v>1910</v>
      </c>
      <c r="BZ77" s="354"/>
      <c r="CA77" s="354"/>
      <c r="CB77" s="354"/>
      <c r="CC77" s="354"/>
      <c r="CD77" s="354"/>
      <c r="CE77" s="354"/>
      <c r="CF77" s="354"/>
      <c r="CG77" s="354"/>
      <c r="CH77" s="354"/>
      <c r="CI77" s="354"/>
      <c r="CJ77" s="354"/>
      <c r="CK77" s="354"/>
      <c r="CL77" s="354"/>
      <c r="CM77" s="693"/>
      <c r="CN77" s="693"/>
      <c r="CO77" s="693"/>
    </row>
    <row r="78" spans="2:93">
      <c r="B78" s="271">
        <f t="shared" si="30"/>
        <v>23</v>
      </c>
      <c r="C78" s="541">
        <f>+Base!AB$4</f>
        <v>84</v>
      </c>
      <c r="D78" s="541">
        <f>+Base!AB$5</f>
        <v>83</v>
      </c>
      <c r="E78" s="540">
        <f>+Base!AB$7</f>
        <v>2041</v>
      </c>
      <c r="F78" s="354">
        <f>ROUND(+Base!$AB$8/$W$2,0)</f>
        <v>688</v>
      </c>
      <c r="G78" s="354">
        <f>ROUND(+Base!$AB$11/$W$2,0)</f>
        <v>875</v>
      </c>
      <c r="H78" s="354">
        <f>ROUND(+Base!$AB$14/$W$2,0)</f>
        <v>51</v>
      </c>
      <c r="I78" s="354">
        <f>ROUND(+Base!$AB$17/$W$2,0)</f>
        <v>296</v>
      </c>
      <c r="J78" s="354">
        <f>ROUND(+Base!$AB$18/$W$2,0)</f>
        <v>0</v>
      </c>
      <c r="K78" s="354">
        <f t="shared" si="25"/>
        <v>1910</v>
      </c>
      <c r="M78" s="354">
        <f>ROUND(+Base!$AB$28/$W$2,0)</f>
        <v>37</v>
      </c>
      <c r="N78" s="354">
        <f>ROUND(+Base!$AB$31/$W$2,0)</f>
        <v>46</v>
      </c>
      <c r="O78" s="354">
        <f>ROUND(+Base!$AB$34/$W$2,0)</f>
        <v>3</v>
      </c>
      <c r="P78" s="354">
        <f>ROUND(+Base!$AB$37/$W$2,0)</f>
        <v>16</v>
      </c>
      <c r="Q78" s="354">
        <f>ROUND(+Base!$AB$38/$W$2,0)</f>
        <v>0</v>
      </c>
      <c r="R78" s="354">
        <f>ROUND(+Base!$AB$49/$W$2,0)</f>
        <v>47</v>
      </c>
      <c r="S78" s="354">
        <f>ROUND(+Base!$AB$60/$W$2,0)</f>
        <v>24</v>
      </c>
      <c r="T78" s="354">
        <f>ROUND(+Base!$AB$65/$W$2,0)</f>
        <v>9</v>
      </c>
      <c r="U78" s="354">
        <f>ROUND((Base!$AB$66+Base!$AB$67)/$W$2,0)</f>
        <v>17</v>
      </c>
      <c r="V78" s="354">
        <f>ROUND((Base!$AB$68+Base!$AB$69)/$W$2,0)</f>
        <v>0</v>
      </c>
      <c r="W78" s="354">
        <f t="shared" si="31"/>
        <v>199</v>
      </c>
      <c r="Y78" s="354">
        <f>ROUND(+Base!$AB$144/$W$2,0)</f>
        <v>130</v>
      </c>
      <c r="Z78" s="354">
        <f>ROUND(+Base!$AB$145/$W$2,0)</f>
        <v>18</v>
      </c>
      <c r="AA78" s="354">
        <f>ROUND(-Base!$AB$234/$W$2,0)</f>
        <v>0</v>
      </c>
      <c r="AB78" s="354">
        <f>ROUND(-Base!$AB$236/$W$2,0)</f>
        <v>-400</v>
      </c>
      <c r="AC78" s="354">
        <f>ROUND(-Base!$AB$237/$W$2,0)</f>
        <v>0</v>
      </c>
      <c r="AD78" s="354">
        <f>ROUND(-Base!$AB$238/$W$2,0)</f>
        <v>0</v>
      </c>
      <c r="AE78" s="354">
        <f>ROUND(-Base!$AB$96/$W$2,0)</f>
        <v>0</v>
      </c>
      <c r="AF78" s="354">
        <f>ROUND(-Base!$AB$107/$W$2,0)</f>
        <v>0</v>
      </c>
      <c r="AG78" s="354">
        <f>ROUND(-Base!$AB$127/$W$2,0)</f>
        <v>0</v>
      </c>
      <c r="AH78" s="354">
        <f>-ROUND(-Base!$AB$137/$W$2,0)</f>
        <v>-5</v>
      </c>
      <c r="AI78" s="354">
        <f>-ROUND(+Base!$AB$240/$W$2,0)</f>
        <v>-395</v>
      </c>
      <c r="AJ78" s="354">
        <f t="shared" si="18"/>
        <v>-247</v>
      </c>
      <c r="AL78" s="354">
        <f t="shared" si="19"/>
        <v>2356</v>
      </c>
      <c r="AN78" s="354">
        <f>-ROUND(+Base!$AB$94/$W$2,0)</f>
        <v>26</v>
      </c>
      <c r="AO78" s="354">
        <f>ROUND(+Base!$AB$133/$W$2,0)</f>
        <v>0</v>
      </c>
      <c r="AP78" s="354">
        <f>-ROUND(+Base!$AB$91/$W$2,0)</f>
        <v>0</v>
      </c>
      <c r="AQ78" s="354">
        <f>-ROUND(+Base!$AB$95/$W$2,0)</f>
        <v>0</v>
      </c>
      <c r="AR78" s="354">
        <f>-ROUND(+Base!$AB$96/$W$2,0)</f>
        <v>0</v>
      </c>
      <c r="AS78" s="354">
        <f>-ROUND(+Base!$AB$74/$W$2,0)</f>
        <v>0</v>
      </c>
      <c r="AT78" s="354">
        <f t="shared" si="20"/>
        <v>0</v>
      </c>
      <c r="AU78" s="354">
        <f>-ROUND(+Base!$AB$102/$W$2,0)</f>
        <v>29</v>
      </c>
      <c r="AV78" s="354">
        <f>-ROUND(+Base!$AB$99/$W$2,0)</f>
        <v>0</v>
      </c>
      <c r="AW78" s="354">
        <f>-ROUND(+Base!$AB$103/$W$2,0)</f>
        <v>0</v>
      </c>
      <c r="AX78" s="354">
        <f>-ROUND(+Base!$AB$75/$W$2,0)</f>
        <v>0</v>
      </c>
      <c r="AY78" s="354">
        <f t="shared" si="26"/>
        <v>0</v>
      </c>
      <c r="AZ78" s="354">
        <f>-ROUND(+Base!$AB$110/$W$2,0)</f>
        <v>4</v>
      </c>
      <c r="BA78" s="354">
        <f>-ROUND(+Base!$AB$113/$W$2,0)</f>
        <v>0</v>
      </c>
      <c r="BB78" s="354">
        <f>-ROUND(+Base!$AB$116/$W$2,0)</f>
        <v>0</v>
      </c>
      <c r="BC78" s="354">
        <f t="shared" si="27"/>
        <v>0</v>
      </c>
      <c r="BD78" s="354">
        <f>-ROUND(+Base!$AB$111/$W$2,0)</f>
        <v>7</v>
      </c>
      <c r="BE78" s="354">
        <f>-ROUND(+Base!$AB$114/$W$2,0)</f>
        <v>0</v>
      </c>
      <c r="BF78" s="354">
        <f>-ROUND(+Base!$AB$117/$W$2,0)</f>
        <v>0</v>
      </c>
      <c r="BG78" s="354">
        <f t="shared" si="28"/>
        <v>0</v>
      </c>
      <c r="BH78" s="354">
        <f>-ROUND(+Base!$AB$123/$W$2,0)</f>
        <v>1</v>
      </c>
      <c r="BI78" s="354">
        <f>-ROUND(+Base!$AB$126/$W$2,0)</f>
        <v>0</v>
      </c>
      <c r="BJ78" s="354">
        <f>-ROUND(+Base!$AB$76/$W$2,0)</f>
        <v>0</v>
      </c>
      <c r="BK78" s="354">
        <f>-ROUND(+Base!$AB$127/$W$2,0)</f>
        <v>0</v>
      </c>
      <c r="BL78" s="354">
        <f t="shared" si="21"/>
        <v>1</v>
      </c>
      <c r="BM78" s="354">
        <f>-ROUND(+Base!$AB$124/$W$2,0)</f>
        <v>0</v>
      </c>
      <c r="BN78" s="354">
        <f>-ROUND(+Base!$AB$134/$W$2,0)</f>
        <v>0</v>
      </c>
      <c r="BO78" s="354">
        <f>-ROUND(+Base!$AB$135/$W$2,0)</f>
        <v>0</v>
      </c>
      <c r="BP78" s="354">
        <f t="shared" si="29"/>
        <v>0</v>
      </c>
      <c r="BQ78" s="354">
        <f t="shared" si="22"/>
        <v>5</v>
      </c>
      <c r="BR78" s="354">
        <f t="shared" si="23"/>
        <v>72</v>
      </c>
      <c r="BS78" s="354"/>
      <c r="BT78" s="354">
        <f>ROUND(+Base!$AB$248/$W$2,0)</f>
        <v>1136</v>
      </c>
      <c r="BU78" s="354">
        <f>ROUND(+Base!$AB$251/$W$2,0)</f>
        <v>866</v>
      </c>
      <c r="BV78" s="354">
        <f>ROUND(+Base!$AB$254/$W$2,0)</f>
        <v>43</v>
      </c>
      <c r="BW78" s="354">
        <f>ROUND(+Base!$AB$257/$W$2,0)</f>
        <v>311</v>
      </c>
      <c r="BX78" s="354">
        <f>ROUND(+Base!$AB$258/$W$2,0)</f>
        <v>0</v>
      </c>
      <c r="BY78" s="354">
        <f t="shared" si="24"/>
        <v>2356</v>
      </c>
      <c r="BZ78" s="354"/>
      <c r="CA78" s="354"/>
      <c r="CB78" s="354"/>
      <c r="CC78" s="354"/>
      <c r="CD78" s="354"/>
      <c r="CE78" s="354"/>
      <c r="CF78" s="354"/>
      <c r="CG78" s="354"/>
      <c r="CH78" s="354"/>
      <c r="CI78" s="354"/>
      <c r="CJ78" s="354"/>
      <c r="CK78" s="354"/>
      <c r="CL78" s="354"/>
      <c r="CM78" s="693"/>
      <c r="CN78" s="693"/>
      <c r="CO78" s="693"/>
    </row>
    <row r="79" spans="2:93">
      <c r="B79" s="271">
        <f t="shared" si="30"/>
        <v>24</v>
      </c>
      <c r="C79" s="541">
        <f>+Base!AC$4</f>
        <v>85</v>
      </c>
      <c r="D79" s="541">
        <f>+Base!AC$5</f>
        <v>84</v>
      </c>
      <c r="E79" s="540">
        <f>+Base!AC$7</f>
        <v>2042</v>
      </c>
      <c r="F79" s="354">
        <f>ROUND(+Base!$AC$8/$W$2,0)</f>
        <v>1136</v>
      </c>
      <c r="G79" s="354">
        <f>ROUND(+Base!$AC$11/$W$2,0)</f>
        <v>866</v>
      </c>
      <c r="H79" s="354">
        <f>ROUND(+Base!$AC$14/$W$2,0)</f>
        <v>43</v>
      </c>
      <c r="I79" s="354">
        <f>ROUND(+Base!$AC$17/$W$2,0)</f>
        <v>311</v>
      </c>
      <c r="J79" s="354">
        <f>ROUND(+Base!$AC$18/$W$2,0)</f>
        <v>0</v>
      </c>
      <c r="K79" s="354">
        <f t="shared" si="25"/>
        <v>2356</v>
      </c>
      <c r="M79" s="354">
        <f>ROUND(+Base!$AC$28/$W$2,0)</f>
        <v>47</v>
      </c>
      <c r="N79" s="354">
        <f>ROUND(+Base!$AC$31/$W$2,0)</f>
        <v>46</v>
      </c>
      <c r="O79" s="354">
        <f>ROUND(+Base!$AC$34/$W$2,0)</f>
        <v>2</v>
      </c>
      <c r="P79" s="354">
        <f>ROUND(+Base!$AC$37/$W$2,0)</f>
        <v>17</v>
      </c>
      <c r="Q79" s="354">
        <f>ROUND(+Base!$AC$38/$W$2,0)</f>
        <v>0</v>
      </c>
      <c r="R79" s="354">
        <f>ROUND(+Base!$AC$49/$W$2,0)</f>
        <v>48</v>
      </c>
      <c r="S79" s="354">
        <f>ROUND(+Base!$AC$60/$W$2,0)</f>
        <v>24</v>
      </c>
      <c r="T79" s="354">
        <f>ROUND(+Base!$AC$65/$W$2,0)</f>
        <v>9</v>
      </c>
      <c r="U79" s="354">
        <f>ROUND((Base!$AC$66+Base!$AC$67)/$W$2,0)</f>
        <v>18</v>
      </c>
      <c r="V79" s="354">
        <f>ROUND((Base!$AC$68+Base!$AC$69)/$W$2,0)</f>
        <v>0</v>
      </c>
      <c r="W79" s="354">
        <f t="shared" si="31"/>
        <v>211</v>
      </c>
      <c r="Y79" s="354">
        <f>ROUND(+Base!$AC$144/$W$2,0)</f>
        <v>132</v>
      </c>
      <c r="Z79" s="354">
        <f>ROUND(+Base!$AC$145/$W$2,0)</f>
        <v>20</v>
      </c>
      <c r="AA79" s="354">
        <f>ROUND(-Base!$AC$234/$W$2,0)</f>
        <v>0</v>
      </c>
      <c r="AB79" s="354">
        <f>ROUND(-Base!$AC$236/$W$2,0)</f>
        <v>0</v>
      </c>
      <c r="AC79" s="354">
        <f>ROUND(-Base!$AC$237/$W$2,0)</f>
        <v>0</v>
      </c>
      <c r="AD79" s="354">
        <f>ROUND(-Base!$AC$238/$W$2,0)</f>
        <v>0</v>
      </c>
      <c r="AE79" s="354">
        <f>ROUND(-Base!$AC$96/$W$2,0)</f>
        <v>0</v>
      </c>
      <c r="AF79" s="354">
        <f>ROUND(-Base!$AC$107/$W$2,0)</f>
        <v>0</v>
      </c>
      <c r="AG79" s="354">
        <f>ROUND(-Base!$AC$127/$W$2,0)</f>
        <v>0</v>
      </c>
      <c r="AH79" s="354">
        <f>-ROUND(-Base!$AC$137/$W$2,0)</f>
        <v>0</v>
      </c>
      <c r="AI79" s="354">
        <f>-ROUND(+Base!$AC$240/$W$2,0)</f>
        <v>0</v>
      </c>
      <c r="AJ79" s="354">
        <f t="shared" si="18"/>
        <v>152</v>
      </c>
      <c r="AL79" s="354">
        <f t="shared" si="19"/>
        <v>2415</v>
      </c>
      <c r="AN79" s="354">
        <f>-ROUND(+Base!$AC$94/$W$2,0)</f>
        <v>27</v>
      </c>
      <c r="AO79" s="354">
        <f>ROUND(+Base!$AC$133/$W$2,0)</f>
        <v>0</v>
      </c>
      <c r="AP79" s="354">
        <f>-ROUND(+Base!$AC$91/$W$2,0)</f>
        <v>0</v>
      </c>
      <c r="AQ79" s="354">
        <f>-ROUND(+Base!$AC$95/$W$2,0)</f>
        <v>0</v>
      </c>
      <c r="AR79" s="354">
        <f>-ROUND(+Base!$AC$96/$W$2,0)</f>
        <v>0</v>
      </c>
      <c r="AS79" s="354">
        <f>-ROUND(+Base!$AC$74/$W$2,0)</f>
        <v>0</v>
      </c>
      <c r="AT79" s="354">
        <f t="shared" si="20"/>
        <v>0</v>
      </c>
      <c r="AU79" s="354">
        <f>-ROUND(+Base!$AC$102/$W$2,0)</f>
        <v>30</v>
      </c>
      <c r="AV79" s="354">
        <f>-ROUND(+Base!$AC$99/$W$2,0)</f>
        <v>0</v>
      </c>
      <c r="AW79" s="354">
        <f>-ROUND(+Base!$AC$103/$W$2,0)</f>
        <v>0</v>
      </c>
      <c r="AX79" s="354">
        <f>-ROUND(+Base!$AC$75/$W$2,0)</f>
        <v>0</v>
      </c>
      <c r="AY79" s="354">
        <f t="shared" si="26"/>
        <v>0</v>
      </c>
      <c r="AZ79" s="354">
        <f>-ROUND(+Base!$AC$110/$W$2,0)</f>
        <v>4</v>
      </c>
      <c r="BA79" s="354">
        <f>-ROUND(+Base!$AC$113/$W$2,0)</f>
        <v>0</v>
      </c>
      <c r="BB79" s="354">
        <f>-ROUND(+Base!$AC$116/$W$2,0)</f>
        <v>0</v>
      </c>
      <c r="BC79" s="354">
        <f t="shared" si="27"/>
        <v>0</v>
      </c>
      <c r="BD79" s="354">
        <f>-ROUND(+Base!$AC$111/$W$2,0)</f>
        <v>7</v>
      </c>
      <c r="BE79" s="354">
        <f>-ROUND(+Base!$AC$114/$W$2,0)</f>
        <v>0</v>
      </c>
      <c r="BF79" s="354">
        <f>-ROUND(+Base!$AC$117/$W$2,0)</f>
        <v>0</v>
      </c>
      <c r="BG79" s="354">
        <f t="shared" si="28"/>
        <v>0</v>
      </c>
      <c r="BH79" s="354">
        <f>-ROUND(+Base!$AC$123/$W$2,0)</f>
        <v>1</v>
      </c>
      <c r="BI79" s="354">
        <f>-ROUND(+Base!$AC$126/$W$2,0)</f>
        <v>0</v>
      </c>
      <c r="BJ79" s="354">
        <f>-ROUND(+Base!$AC$76/$W$2,0)</f>
        <v>0</v>
      </c>
      <c r="BK79" s="354">
        <f>-ROUND(+Base!$AC$127/$W$2,0)</f>
        <v>0</v>
      </c>
      <c r="BL79" s="354">
        <f t="shared" si="21"/>
        <v>1</v>
      </c>
      <c r="BM79" s="354">
        <f>-ROUND(+Base!$AC$124/$W$2,0)</f>
        <v>0</v>
      </c>
      <c r="BN79" s="354">
        <f>-ROUND(+Base!$AC$134/$W$2,0)</f>
        <v>0</v>
      </c>
      <c r="BO79" s="354">
        <f>-ROUND(+Base!$AC$135/$W$2,0)</f>
        <v>0</v>
      </c>
      <c r="BP79" s="354">
        <f t="shared" si="29"/>
        <v>0</v>
      </c>
      <c r="BQ79" s="354">
        <f t="shared" si="22"/>
        <v>0</v>
      </c>
      <c r="BR79" s="354">
        <f t="shared" si="23"/>
        <v>69</v>
      </c>
      <c r="BS79" s="354"/>
      <c r="BT79" s="354">
        <f>ROUND(+Base!$AC$248/$W$2,0)</f>
        <v>1200</v>
      </c>
      <c r="BU79" s="354">
        <f>ROUND(+Base!$AC$251/$W$2,0)</f>
        <v>855</v>
      </c>
      <c r="BV79" s="354">
        <f>ROUND(+Base!$AC$254/$W$2,0)</f>
        <v>35</v>
      </c>
      <c r="BW79" s="354">
        <f>ROUND(+Base!$AC$257/$W$2,0)</f>
        <v>326</v>
      </c>
      <c r="BX79" s="354">
        <f>ROUND(+Base!$AC$258/$W$2,0)</f>
        <v>0</v>
      </c>
      <c r="BY79" s="354">
        <f t="shared" si="24"/>
        <v>2416</v>
      </c>
      <c r="BZ79" s="354"/>
      <c r="CA79" s="354"/>
      <c r="CB79" s="354"/>
      <c r="CC79" s="354"/>
      <c r="CD79" s="354"/>
      <c r="CE79" s="354"/>
      <c r="CF79" s="354"/>
      <c r="CG79" s="354"/>
      <c r="CH79" s="354"/>
      <c r="CI79" s="354"/>
      <c r="CJ79" s="354"/>
      <c r="CK79" s="354"/>
      <c r="CL79" s="354"/>
      <c r="CM79" s="693"/>
      <c r="CN79" s="693"/>
      <c r="CO79" s="693"/>
    </row>
    <row r="80" spans="2:93">
      <c r="B80" s="271">
        <f t="shared" si="30"/>
        <v>25</v>
      </c>
      <c r="C80" s="541">
        <f>+Base!AD$4</f>
        <v>86</v>
      </c>
      <c r="D80" s="541">
        <f>+Base!AD$5</f>
        <v>85</v>
      </c>
      <c r="E80" s="540">
        <f>+Base!AD$7</f>
        <v>2043</v>
      </c>
      <c r="F80" s="354">
        <f>ROUND(+Base!$AD$8/$W$2,0)</f>
        <v>1200</v>
      </c>
      <c r="G80" s="354">
        <f>ROUND(+Base!$AD$11/$W$2,0)</f>
        <v>855</v>
      </c>
      <c r="H80" s="354">
        <f>ROUND(+Base!$AD$14/$W$2,0)</f>
        <v>35</v>
      </c>
      <c r="I80" s="354">
        <f>ROUND(+Base!$AD$17/$W$2,0)</f>
        <v>326</v>
      </c>
      <c r="J80" s="354">
        <f>ROUND(+Base!$AD$18/$W$2,0)</f>
        <v>0</v>
      </c>
      <c r="K80" s="354">
        <f t="shared" si="25"/>
        <v>2416</v>
      </c>
      <c r="M80" s="354">
        <f>ROUND(+Base!$AD$28/$W$2,0)</f>
        <v>52</v>
      </c>
      <c r="N80" s="354">
        <f>ROUND(+Base!$AD$31/$W$2,0)</f>
        <v>45</v>
      </c>
      <c r="O80" s="354">
        <f>ROUND(+Base!$AD$34/$W$2,0)</f>
        <v>2</v>
      </c>
      <c r="P80" s="354">
        <f>ROUND(+Base!$AD$37/$W$2,0)</f>
        <v>17</v>
      </c>
      <c r="Q80" s="354">
        <f>ROUND(+Base!$AD$38/$W$2,0)</f>
        <v>0</v>
      </c>
      <c r="R80" s="354">
        <f>ROUND(+Base!$AD$49/$W$2,0)</f>
        <v>49</v>
      </c>
      <c r="S80" s="354">
        <f>ROUND(+Base!$AD$60/$W$2,0)</f>
        <v>0</v>
      </c>
      <c r="T80" s="354">
        <f>ROUND(+Base!$AD$65/$W$2,0)</f>
        <v>9</v>
      </c>
      <c r="U80" s="354">
        <f>ROUND((Base!$AD$66+Base!$AD$67)/$W$2,0)</f>
        <v>16</v>
      </c>
      <c r="V80" s="354">
        <f>ROUND((Base!$AD$68+Base!$AD$69)/$W$2,0)</f>
        <v>0</v>
      </c>
      <c r="W80" s="354">
        <f t="shared" si="31"/>
        <v>190</v>
      </c>
      <c r="Y80" s="354">
        <f>ROUND(+Base!$AD$144/$W$2,0)</f>
        <v>135</v>
      </c>
      <c r="Z80" s="354">
        <f>ROUND(+Base!$AD$145/$W$2,0)</f>
        <v>25</v>
      </c>
      <c r="AA80" s="354">
        <f>ROUND(-Base!$AD$234/$W$2,0)</f>
        <v>0</v>
      </c>
      <c r="AB80" s="354">
        <f>ROUND(-Base!$AD$236/$W$2,0)</f>
        <v>-100</v>
      </c>
      <c r="AC80" s="354">
        <f>ROUND(-Base!$AD$237/$W$2,0)</f>
        <v>0</v>
      </c>
      <c r="AD80" s="354">
        <f>ROUND(-Base!$AD$238/$W$2,0)</f>
        <v>0</v>
      </c>
      <c r="AE80" s="354">
        <f>ROUND(-Base!$AD$96/$W$2,0)</f>
        <v>0</v>
      </c>
      <c r="AF80" s="354">
        <f>ROUND(-Base!$AD$107/$W$2,0)</f>
        <v>0</v>
      </c>
      <c r="AG80" s="354">
        <f>ROUND(-Base!$AD$127/$W$2,0)</f>
        <v>0</v>
      </c>
      <c r="AH80" s="354">
        <f>-ROUND(-Base!$AD$137/$W$2,0)</f>
        <v>0</v>
      </c>
      <c r="AI80" s="354">
        <f>-ROUND(+Base!$AD$240/$W$2,0)</f>
        <v>-100</v>
      </c>
      <c r="AJ80" s="354">
        <f t="shared" si="18"/>
        <v>60</v>
      </c>
      <c r="AL80" s="354">
        <f t="shared" si="19"/>
        <v>2546</v>
      </c>
      <c r="AN80" s="354">
        <f>-ROUND(+Base!$AD$94/$W$2,0)</f>
        <v>28</v>
      </c>
      <c r="AO80" s="354">
        <f>ROUND(+Base!$AD$133/$W$2,0)</f>
        <v>0</v>
      </c>
      <c r="AP80" s="354">
        <f>-ROUND(+Base!$AD$91/$W$2,0)</f>
        <v>0</v>
      </c>
      <c r="AQ80" s="354">
        <f>-ROUND(+Base!$AD$95/$W$2,0)</f>
        <v>0</v>
      </c>
      <c r="AR80" s="354">
        <f>-ROUND(+Base!$AD$96/$W$2,0)</f>
        <v>0</v>
      </c>
      <c r="AS80" s="354">
        <f>-ROUND(+Base!$AD$74/$W$2,0)</f>
        <v>0</v>
      </c>
      <c r="AT80" s="354">
        <f t="shared" si="20"/>
        <v>0</v>
      </c>
      <c r="AU80" s="354">
        <f>-ROUND(+Base!$AD$102/$W$2,0)</f>
        <v>31</v>
      </c>
      <c r="AV80" s="354">
        <f>-ROUND(+Base!$AD$99/$W$2,0)</f>
        <v>0</v>
      </c>
      <c r="AW80" s="354">
        <f>-ROUND(+Base!$AD$103/$W$2,0)</f>
        <v>0</v>
      </c>
      <c r="AX80" s="354">
        <f>-ROUND(+Base!$AD$75/$W$2,0)</f>
        <v>0</v>
      </c>
      <c r="AY80" s="354">
        <f t="shared" si="26"/>
        <v>0</v>
      </c>
      <c r="AZ80" s="354">
        <f>-ROUND(+Base!$AD$110/$W$2,0)</f>
        <v>4</v>
      </c>
      <c r="BA80" s="354">
        <f>-ROUND(+Base!$AD$113/$W$2,0)</f>
        <v>0</v>
      </c>
      <c r="BB80" s="354">
        <f>-ROUND(+Base!$AD$116/$W$2,0)</f>
        <v>0</v>
      </c>
      <c r="BC80" s="354">
        <f t="shared" si="27"/>
        <v>0</v>
      </c>
      <c r="BD80" s="354">
        <f>-ROUND(+Base!$AD$111/$W$2,0)</f>
        <v>8</v>
      </c>
      <c r="BE80" s="354">
        <f>-ROUND(+Base!$AD$114/$W$2,0)</f>
        <v>0</v>
      </c>
      <c r="BF80" s="354">
        <f>-ROUND(+Base!$AD$117/$W$2,0)</f>
        <v>0</v>
      </c>
      <c r="BG80" s="354">
        <f t="shared" si="28"/>
        <v>0</v>
      </c>
      <c r="BH80" s="354">
        <f>-ROUND(+Base!$AD$123/$W$2,0)</f>
        <v>1</v>
      </c>
      <c r="BI80" s="354">
        <f>-ROUND(+Base!$AD$126/$W$2,0)</f>
        <v>0</v>
      </c>
      <c r="BJ80" s="354">
        <f>-ROUND(+Base!$AD$76/$W$2,0)</f>
        <v>0</v>
      </c>
      <c r="BK80" s="354">
        <f>-ROUND(+Base!$AD$127/$W$2,0)</f>
        <v>0</v>
      </c>
      <c r="BL80" s="354">
        <f t="shared" si="21"/>
        <v>1</v>
      </c>
      <c r="BM80" s="354">
        <f>-ROUND(+Base!$AD$124/$W$2,0)</f>
        <v>0</v>
      </c>
      <c r="BN80" s="354">
        <f>-ROUND(+Base!$AD$134/$W$2,0)</f>
        <v>0</v>
      </c>
      <c r="BO80" s="354">
        <f>-ROUND(+Base!$AD$135/$W$2,0)</f>
        <v>0</v>
      </c>
      <c r="BP80" s="354">
        <f t="shared" si="29"/>
        <v>0</v>
      </c>
      <c r="BQ80" s="354">
        <f t="shared" si="22"/>
        <v>0</v>
      </c>
      <c r="BR80" s="354">
        <f t="shared" si="23"/>
        <v>72</v>
      </c>
      <c r="BS80" s="354"/>
      <c r="BT80" s="354">
        <f>ROUND(+Base!$AD$248/$W$2,0)</f>
        <v>1338</v>
      </c>
      <c r="BU80" s="354">
        <f>ROUND(+Base!$AD$251/$W$2,0)</f>
        <v>840</v>
      </c>
      <c r="BV80" s="354">
        <f>ROUND(+Base!$AD$254/$W$2,0)</f>
        <v>25</v>
      </c>
      <c r="BW80" s="354">
        <f>ROUND(+Base!$AD$257/$W$2,0)</f>
        <v>342</v>
      </c>
      <c r="BX80" s="354">
        <f>ROUND(+Base!$AD$258/$W$2,0)</f>
        <v>0</v>
      </c>
      <c r="BY80" s="354">
        <f t="shared" si="24"/>
        <v>2545</v>
      </c>
      <c r="BZ80" s="354"/>
      <c r="CA80" s="354"/>
      <c r="CB80" s="354"/>
      <c r="CC80" s="354"/>
      <c r="CD80" s="354"/>
      <c r="CE80" s="354"/>
      <c r="CF80" s="354"/>
      <c r="CG80" s="354"/>
      <c r="CH80" s="354"/>
      <c r="CI80" s="354"/>
      <c r="CJ80" s="354"/>
      <c r="CK80" s="354"/>
      <c r="CL80" s="354"/>
      <c r="CM80" s="693"/>
      <c r="CN80" s="693"/>
      <c r="CO80" s="693"/>
    </row>
    <row r="81" spans="2:93">
      <c r="B81" s="271">
        <f t="shared" si="30"/>
        <v>26</v>
      </c>
      <c r="C81" s="541">
        <f>+Base!AE$4</f>
        <v>87</v>
      </c>
      <c r="D81" s="541">
        <f>+Base!AE$5</f>
        <v>86</v>
      </c>
      <c r="E81" s="540">
        <f>+Base!AE$7</f>
        <v>2044</v>
      </c>
      <c r="F81" s="354">
        <f>ROUND(+Base!$AE$8/$W$2,0)</f>
        <v>1338</v>
      </c>
      <c r="G81" s="354">
        <f>ROUND(+Base!$AE$11/$W$2,0)</f>
        <v>840</v>
      </c>
      <c r="H81" s="354">
        <f>ROUND(+Base!$AE$14/$W$2,0)</f>
        <v>25</v>
      </c>
      <c r="I81" s="354">
        <f>ROUND(+Base!$AE$17/$W$2,0)</f>
        <v>342</v>
      </c>
      <c r="J81" s="354">
        <f>ROUND(+Base!$AE$18/$W$2,0)</f>
        <v>0</v>
      </c>
      <c r="K81" s="354">
        <f t="shared" si="25"/>
        <v>2545</v>
      </c>
      <c r="M81" s="354">
        <f>ROUND(+Base!$AE$28/$W$2,0)</f>
        <v>55</v>
      </c>
      <c r="N81" s="354">
        <f>ROUND(+Base!$AE$31/$W$2,0)</f>
        <v>44</v>
      </c>
      <c r="O81" s="354">
        <f>ROUND(+Base!$AE$34/$W$2,0)</f>
        <v>1</v>
      </c>
      <c r="P81" s="354">
        <f>ROUND(+Base!$AE$37/$W$2,0)</f>
        <v>18</v>
      </c>
      <c r="Q81" s="354">
        <f>ROUND(+Base!$AE$38/$W$2,0)</f>
        <v>0</v>
      </c>
      <c r="R81" s="354">
        <f>ROUND(+Base!$AE$49/$W$2,0)</f>
        <v>50</v>
      </c>
      <c r="S81" s="354">
        <f>ROUND(+Base!$AE$60/$W$2,0)</f>
        <v>0</v>
      </c>
      <c r="T81" s="354">
        <f>ROUND(+Base!$AE$65/$W$2,0)</f>
        <v>9</v>
      </c>
      <c r="U81" s="354">
        <f>ROUND((Base!$AE$66+Base!$AE$67)/$W$2,0)</f>
        <v>17</v>
      </c>
      <c r="V81" s="354">
        <f>ROUND((Base!$AE$68+Base!$AE$69)/$W$2,0)</f>
        <v>0</v>
      </c>
      <c r="W81" s="354">
        <f t="shared" si="31"/>
        <v>194</v>
      </c>
      <c r="Y81" s="354">
        <f>ROUND(+Base!$AE$144/$W$2,0)</f>
        <v>138</v>
      </c>
      <c r="Z81" s="354">
        <f>ROUND(+Base!$AE$145/$W$2,0)</f>
        <v>26</v>
      </c>
      <c r="AA81" s="354">
        <f>ROUND(-Base!$AE$234/$W$2,0)</f>
        <v>0</v>
      </c>
      <c r="AB81" s="354">
        <f>ROUND(-Base!$AE$236/$W$2,0)</f>
        <v>0</v>
      </c>
      <c r="AC81" s="354">
        <f>ROUND(-Base!$AE$237/$W$2,0)</f>
        <v>0</v>
      </c>
      <c r="AD81" s="354">
        <f>ROUND(-Base!$AE$238/$W$2,0)</f>
        <v>0</v>
      </c>
      <c r="AE81" s="354">
        <f>ROUND(-Base!$AE$96/$W$2,0)</f>
        <v>0</v>
      </c>
      <c r="AF81" s="354">
        <f>ROUND(-Base!$AE$107/$W$2,0)</f>
        <v>0</v>
      </c>
      <c r="AG81" s="354">
        <f>ROUND(-Base!$AE$127/$W$2,0)</f>
        <v>0</v>
      </c>
      <c r="AH81" s="354">
        <f>-ROUND(-Base!$AE$137/$W$2,0)</f>
        <v>0</v>
      </c>
      <c r="AI81" s="354">
        <f>-ROUND(+Base!$AE$240/$W$2,0)</f>
        <v>0</v>
      </c>
      <c r="AJ81" s="354">
        <f t="shared" si="18"/>
        <v>164</v>
      </c>
      <c r="AL81" s="354">
        <f t="shared" si="19"/>
        <v>2575</v>
      </c>
      <c r="AN81" s="354">
        <f>-ROUND(+Base!$AE$94/$W$2,0)</f>
        <v>29</v>
      </c>
      <c r="AO81" s="354">
        <f>ROUND(+Base!$AE$133/$W$2,0)</f>
        <v>0</v>
      </c>
      <c r="AP81" s="354">
        <f>-ROUND(+Base!$AE$91/$W$2,0)</f>
        <v>0</v>
      </c>
      <c r="AQ81" s="354">
        <f>-ROUND(+Base!$AE$95/$W$2,0)</f>
        <v>0</v>
      </c>
      <c r="AR81" s="354">
        <f>-ROUND(+Base!$AE$96/$W$2,0)</f>
        <v>0</v>
      </c>
      <c r="AS81" s="354">
        <f>-ROUND(+Base!$AE$74/$W$2,0)</f>
        <v>0</v>
      </c>
      <c r="AT81" s="354">
        <f t="shared" si="20"/>
        <v>0</v>
      </c>
      <c r="AU81" s="354">
        <f>-ROUND(+Base!$AE$102/$W$2,0)</f>
        <v>32</v>
      </c>
      <c r="AV81" s="354">
        <f>-ROUND(+Base!$AE$99/$W$2,0)</f>
        <v>0</v>
      </c>
      <c r="AW81" s="354">
        <f>-ROUND(+Base!$AE$103/$W$2,0)</f>
        <v>0</v>
      </c>
      <c r="AX81" s="354">
        <f>-ROUND(+Base!$AE$75/$W$2,0)</f>
        <v>0</v>
      </c>
      <c r="AY81" s="354">
        <f t="shared" si="26"/>
        <v>0</v>
      </c>
      <c r="AZ81" s="354">
        <f>-ROUND(+Base!$AE$110/$W$2,0)</f>
        <v>4</v>
      </c>
      <c r="BA81" s="354">
        <f>-ROUND(+Base!$AE$113/$W$2,0)</f>
        <v>0</v>
      </c>
      <c r="BB81" s="354">
        <f>-ROUND(+Base!$AE$116/$W$2,0)</f>
        <v>0</v>
      </c>
      <c r="BC81" s="354">
        <f t="shared" si="27"/>
        <v>0</v>
      </c>
      <c r="BD81" s="354">
        <f>-ROUND(+Base!$AE$111/$W$2,0)</f>
        <v>8</v>
      </c>
      <c r="BE81" s="354">
        <f>-ROUND(+Base!$AE$114/$W$2,0)</f>
        <v>0</v>
      </c>
      <c r="BF81" s="354">
        <f>-ROUND(+Base!$AE$117/$W$2,0)</f>
        <v>0</v>
      </c>
      <c r="BG81" s="354">
        <f t="shared" si="28"/>
        <v>0</v>
      </c>
      <c r="BH81" s="354">
        <f>-ROUND(+Base!$AE$123/$W$2,0)</f>
        <v>1</v>
      </c>
      <c r="BI81" s="354">
        <f>-ROUND(+Base!$AE$126/$W$2,0)</f>
        <v>0</v>
      </c>
      <c r="BJ81" s="354">
        <f>-ROUND(+Base!$AE$76/$W$2,0)</f>
        <v>0</v>
      </c>
      <c r="BK81" s="354">
        <f>-ROUND(+Base!$AE$127/$W$2,0)</f>
        <v>0</v>
      </c>
      <c r="BL81" s="354">
        <f t="shared" si="21"/>
        <v>1</v>
      </c>
      <c r="BM81" s="354">
        <f>-ROUND(+Base!$AE$124/$W$2,0)</f>
        <v>0</v>
      </c>
      <c r="BN81" s="354">
        <f>-ROUND(+Base!$AE$134/$W$2,0)</f>
        <v>0</v>
      </c>
      <c r="BO81" s="354">
        <f>-ROUND(+Base!$AE$135/$W$2,0)</f>
        <v>0</v>
      </c>
      <c r="BP81" s="354">
        <f t="shared" si="29"/>
        <v>0</v>
      </c>
      <c r="BQ81" s="354">
        <f t="shared" si="22"/>
        <v>0</v>
      </c>
      <c r="BR81" s="354">
        <f t="shared" si="23"/>
        <v>74</v>
      </c>
      <c r="BS81" s="354"/>
      <c r="BT81" s="354">
        <f>ROUND(+Base!$AE$248/$W$2,0)</f>
        <v>1380</v>
      </c>
      <c r="BU81" s="354">
        <f>ROUND(+Base!$AE$251/$W$2,0)</f>
        <v>823</v>
      </c>
      <c r="BV81" s="354">
        <f>ROUND(+Base!$AE$254/$W$2,0)</f>
        <v>13</v>
      </c>
      <c r="BW81" s="354">
        <f>ROUND(+Base!$AE$257/$W$2,0)</f>
        <v>360</v>
      </c>
      <c r="BX81" s="354">
        <f>ROUND(+Base!$AE$258/$W$2,0)</f>
        <v>0</v>
      </c>
      <c r="BY81" s="354">
        <f t="shared" si="24"/>
        <v>2576</v>
      </c>
      <c r="BZ81" s="354"/>
      <c r="CA81" s="354"/>
      <c r="CB81" s="354"/>
      <c r="CC81" s="354"/>
      <c r="CD81" s="354"/>
      <c r="CE81" s="354"/>
      <c r="CF81" s="354"/>
      <c r="CG81" s="354"/>
      <c r="CH81" s="354"/>
      <c r="CI81" s="354"/>
      <c r="CJ81" s="354"/>
      <c r="CK81" s="354"/>
      <c r="CL81" s="354"/>
      <c r="CM81" s="693"/>
      <c r="CN81" s="693"/>
      <c r="CO81" s="693"/>
    </row>
    <row r="82" spans="2:93">
      <c r="B82" s="271">
        <f t="shared" si="30"/>
        <v>27</v>
      </c>
      <c r="C82" s="541">
        <f>+Base!AF$4</f>
        <v>88</v>
      </c>
      <c r="D82" s="541">
        <f>+Base!AF$5</f>
        <v>87</v>
      </c>
      <c r="E82" s="540">
        <f>+Base!AF$7</f>
        <v>2045</v>
      </c>
      <c r="F82" s="354">
        <f>ROUND(+Base!$AF$8/$W$2,0)</f>
        <v>1380</v>
      </c>
      <c r="G82" s="354">
        <f>ROUND(+Base!$AF$11/$W$2,0)</f>
        <v>823</v>
      </c>
      <c r="H82" s="354">
        <f>ROUND(+Base!$AF$14/$W$2,0)</f>
        <v>13</v>
      </c>
      <c r="I82" s="354">
        <f>ROUND(+Base!$AF$17/$W$2,0)</f>
        <v>360</v>
      </c>
      <c r="J82" s="354">
        <f>ROUND(+Base!$AF$18/$W$2,0)</f>
        <v>0</v>
      </c>
      <c r="K82" s="354">
        <f t="shared" si="25"/>
        <v>2576</v>
      </c>
      <c r="M82" s="354">
        <f>ROUND(+Base!$AF$28/$W$2,0)</f>
        <v>57</v>
      </c>
      <c r="N82" s="354">
        <f>ROUND(+Base!$AF$31/$W$2,0)</f>
        <v>43</v>
      </c>
      <c r="O82" s="354">
        <f>ROUND(+Base!$AF$34/$W$2,0)</f>
        <v>0</v>
      </c>
      <c r="P82" s="354">
        <f>ROUND(+Base!$AF$37/$W$2,0)</f>
        <v>19</v>
      </c>
      <c r="Q82" s="354">
        <f>ROUND(+Base!$AF$38/$W$2,0)</f>
        <v>0</v>
      </c>
      <c r="R82" s="354">
        <f>ROUND(+Base!$AF$49/$W$2,0)</f>
        <v>51</v>
      </c>
      <c r="S82" s="354">
        <f>ROUND(+Base!$AF$60/$W$2,0)</f>
        <v>0</v>
      </c>
      <c r="T82" s="354">
        <f>ROUND(+Base!$AF$65/$W$2,0)</f>
        <v>9</v>
      </c>
      <c r="U82" s="354">
        <f>ROUND((Base!$AF$66+Base!$AF$67)/$W$2,0)</f>
        <v>17</v>
      </c>
      <c r="V82" s="354">
        <f>ROUND((Base!$AF$68+Base!$AF$69)/$W$2,0)</f>
        <v>0</v>
      </c>
      <c r="W82" s="354">
        <f t="shared" si="31"/>
        <v>196</v>
      </c>
      <c r="Y82" s="354">
        <f>ROUND(+Base!$AF$144/$W$2,0)</f>
        <v>140</v>
      </c>
      <c r="Z82" s="354">
        <f>ROUND(+Base!$AF$145/$W$2,0)</f>
        <v>26</v>
      </c>
      <c r="AA82" s="354">
        <f>ROUND(-Base!$AF$234/$W$2,0)</f>
        <v>0</v>
      </c>
      <c r="AB82" s="354">
        <f>ROUND(-Base!$AF$236/$W$2,0)</f>
        <v>0</v>
      </c>
      <c r="AC82" s="354">
        <f>ROUND(-Base!$AF$237/$W$2,0)</f>
        <v>0</v>
      </c>
      <c r="AD82" s="354">
        <f>ROUND(-Base!$AF$238/$W$2,0)</f>
        <v>0</v>
      </c>
      <c r="AE82" s="354">
        <f>ROUND(-Base!$AF$96/$W$2,0)</f>
        <v>0</v>
      </c>
      <c r="AF82" s="354">
        <f>ROUND(-Base!$AF$107/$W$2,0)</f>
        <v>0</v>
      </c>
      <c r="AG82" s="354">
        <f>ROUND(-Base!$AF$127/$W$2,0)</f>
        <v>0</v>
      </c>
      <c r="AH82" s="354">
        <f>-ROUND(-Base!$AF$137/$W$2,0)</f>
        <v>0</v>
      </c>
      <c r="AI82" s="354">
        <f>-ROUND(+Base!$AF$240/$W$2,0)</f>
        <v>0</v>
      </c>
      <c r="AJ82" s="354">
        <f t="shared" si="18"/>
        <v>166</v>
      </c>
      <c r="AL82" s="354">
        <f t="shared" si="19"/>
        <v>2606</v>
      </c>
      <c r="AN82" s="354">
        <f>-ROUND(+Base!$AF$94/$W$2,0)</f>
        <v>30</v>
      </c>
      <c r="AO82" s="354">
        <f>ROUND(+Base!$AF$133/$W$2,0)</f>
        <v>0</v>
      </c>
      <c r="AP82" s="354">
        <f>-ROUND(+Base!$AF$91/$W$2,0)</f>
        <v>0</v>
      </c>
      <c r="AQ82" s="354">
        <f>-ROUND(+Base!$AF$95/$W$2,0)</f>
        <v>0</v>
      </c>
      <c r="AR82" s="354">
        <f>-ROUND(+Base!$AF$96/$W$2,0)</f>
        <v>0</v>
      </c>
      <c r="AS82" s="354">
        <f>-ROUND(+Base!$AF$74/$W$2,0)</f>
        <v>0</v>
      </c>
      <c r="AT82" s="354">
        <f t="shared" si="20"/>
        <v>0</v>
      </c>
      <c r="AU82" s="354">
        <f>-ROUND(+Base!$AF$102/$W$2,0)</f>
        <v>33</v>
      </c>
      <c r="AV82" s="354">
        <f>-ROUND(+Base!$AF$99/$W$2,0)</f>
        <v>0</v>
      </c>
      <c r="AW82" s="354">
        <f>-ROUND(+Base!$AF$103/$W$2,0)</f>
        <v>0</v>
      </c>
      <c r="AX82" s="354">
        <f>-ROUND(+Base!$AF$75/$W$2,0)</f>
        <v>0</v>
      </c>
      <c r="AY82" s="354">
        <f t="shared" si="26"/>
        <v>0</v>
      </c>
      <c r="AZ82" s="354">
        <f>-ROUND(+Base!$AF$110/$W$2,0)</f>
        <v>5</v>
      </c>
      <c r="BA82" s="354">
        <f>-ROUND(+Base!$AF$113/$W$2,0)</f>
        <v>0</v>
      </c>
      <c r="BB82" s="354">
        <f>-ROUND(+Base!$AF$116/$W$2,0)</f>
        <v>0</v>
      </c>
      <c r="BC82" s="354">
        <f t="shared" si="27"/>
        <v>0</v>
      </c>
      <c r="BD82" s="354">
        <f>-ROUND(+Base!$AF$111/$W$2,0)</f>
        <v>7</v>
      </c>
      <c r="BE82" s="354">
        <f>-ROUND(+Base!$AF$114/$W$2,0)</f>
        <v>0</v>
      </c>
      <c r="BF82" s="354">
        <f>-ROUND(+Base!$AF$117/$W$2,0)</f>
        <v>0</v>
      </c>
      <c r="BG82" s="354">
        <f t="shared" si="28"/>
        <v>0</v>
      </c>
      <c r="BH82" s="354">
        <f>-ROUND(+Base!$AF$123/$W$2,0)</f>
        <v>1</v>
      </c>
      <c r="BI82" s="354">
        <f>-ROUND(+Base!$AF$126/$W$2,0)</f>
        <v>0</v>
      </c>
      <c r="BJ82" s="354">
        <f>-ROUND(+Base!$AF$76/$W$2,0)</f>
        <v>0</v>
      </c>
      <c r="BK82" s="354">
        <f>-ROUND(+Base!$AF$127/$W$2,0)</f>
        <v>0</v>
      </c>
      <c r="BL82" s="354">
        <f t="shared" si="21"/>
        <v>1</v>
      </c>
      <c r="BM82" s="354">
        <f>-ROUND(+Base!$AF$124/$W$2,0)</f>
        <v>0</v>
      </c>
      <c r="BN82" s="354">
        <f>-ROUND(+Base!$AF$134/$W$2,0)</f>
        <v>0</v>
      </c>
      <c r="BO82" s="354">
        <f>-ROUND(+Base!$AF$135/$W$2,0)</f>
        <v>0</v>
      </c>
      <c r="BP82" s="354">
        <f t="shared" si="29"/>
        <v>0</v>
      </c>
      <c r="BQ82" s="354">
        <f t="shared" si="22"/>
        <v>0</v>
      </c>
      <c r="BR82" s="354">
        <f t="shared" si="23"/>
        <v>76</v>
      </c>
      <c r="BS82" s="354"/>
      <c r="BT82" s="354">
        <f>ROUND(+Base!$AF$248/$W$2,0)</f>
        <v>1423</v>
      </c>
      <c r="BU82" s="354">
        <f>ROUND(+Base!$AF$251/$W$2,0)</f>
        <v>803</v>
      </c>
      <c r="BV82" s="354">
        <f>ROUND(+Base!$AF$254/$W$2,0)</f>
        <v>2</v>
      </c>
      <c r="BW82" s="354">
        <f>ROUND(+Base!$AF$257/$W$2,0)</f>
        <v>378</v>
      </c>
      <c r="BX82" s="354">
        <f>ROUND(+Base!$AF$258/$W$2,0)</f>
        <v>0</v>
      </c>
      <c r="BY82" s="354">
        <f t="shared" si="24"/>
        <v>2606</v>
      </c>
      <c r="BZ82" s="354"/>
      <c r="CA82" s="354"/>
      <c r="CB82" s="354"/>
      <c r="CC82" s="354"/>
      <c r="CD82" s="354"/>
      <c r="CE82" s="354"/>
      <c r="CF82" s="354"/>
      <c r="CG82" s="354"/>
      <c r="CH82" s="354"/>
      <c r="CI82" s="354"/>
      <c r="CJ82" s="354"/>
      <c r="CK82" s="354"/>
      <c r="CL82" s="354"/>
      <c r="CM82" s="693"/>
      <c r="CN82" s="693"/>
      <c r="CO82" s="693"/>
    </row>
    <row r="83" spans="2:93">
      <c r="B83" s="271">
        <f t="shared" si="30"/>
        <v>28</v>
      </c>
      <c r="C83" s="541">
        <f>+Base!AG$4</f>
        <v>89</v>
      </c>
      <c r="D83" s="541">
        <f>+Base!AG$5</f>
        <v>88</v>
      </c>
      <c r="E83" s="540">
        <f>+Base!AG$7</f>
        <v>2046</v>
      </c>
      <c r="F83" s="354">
        <f>ROUND(+Base!$AG$8/$W$2,0)</f>
        <v>1423</v>
      </c>
      <c r="G83" s="354">
        <f>ROUND(+Base!$AG$11/$W$2,0)</f>
        <v>803</v>
      </c>
      <c r="H83" s="354">
        <f>ROUND(+Base!$AG$14/$W$2,0)</f>
        <v>2</v>
      </c>
      <c r="I83" s="354">
        <f>ROUND(+Base!$AG$17/$W$2,0)</f>
        <v>378</v>
      </c>
      <c r="J83" s="354">
        <f>ROUND(+Base!$AG$18/$W$2,0)</f>
        <v>0</v>
      </c>
      <c r="K83" s="354">
        <f t="shared" si="25"/>
        <v>2606</v>
      </c>
      <c r="M83" s="354">
        <f>ROUND(+Base!$AG$28/$W$2,0)</f>
        <v>58</v>
      </c>
      <c r="N83" s="354">
        <f>ROUND(+Base!$AG$31/$W$2,0)</f>
        <v>42</v>
      </c>
      <c r="O83" s="354">
        <f>ROUND(+Base!$AG$34/$W$2,0)</f>
        <v>0</v>
      </c>
      <c r="P83" s="354">
        <f>ROUND(+Base!$AG$37/$W$2,0)</f>
        <v>20</v>
      </c>
      <c r="Q83" s="354">
        <f>ROUND(+Base!$AG$38/$W$2,0)</f>
        <v>0</v>
      </c>
      <c r="R83" s="354">
        <f>ROUND(+Base!$AG$49/$W$2,0)</f>
        <v>52</v>
      </c>
      <c r="S83" s="354">
        <f>ROUND(+Base!$AG$60/$W$2,0)</f>
        <v>0</v>
      </c>
      <c r="T83" s="354">
        <f>ROUND(+Base!$AG$65/$W$2,0)</f>
        <v>9</v>
      </c>
      <c r="U83" s="354">
        <f>ROUND((Base!$AG$66+Base!$AG$67)/$W$2,0)</f>
        <v>18</v>
      </c>
      <c r="V83" s="354">
        <f>ROUND((Base!$AG$68+Base!$AG$69)/$W$2,0)</f>
        <v>0</v>
      </c>
      <c r="W83" s="354">
        <f t="shared" si="31"/>
        <v>199</v>
      </c>
      <c r="Y83" s="354">
        <f>ROUND(+Base!$AG$144/$W$2,0)</f>
        <v>143</v>
      </c>
      <c r="Z83" s="354">
        <f>ROUND(+Base!$AG$145/$W$2,0)</f>
        <v>24</v>
      </c>
      <c r="AA83" s="354">
        <f>ROUND(-Base!$AG$234/$W$2,0)</f>
        <v>0</v>
      </c>
      <c r="AB83" s="354">
        <f>ROUND(-Base!$AG$236/$W$2,0)</f>
        <v>0</v>
      </c>
      <c r="AC83" s="354">
        <f>ROUND(-Base!$AG$237/$W$2,0)</f>
        <v>0</v>
      </c>
      <c r="AD83" s="354">
        <f>ROUND(-Base!$AG$238/$W$2,0)</f>
        <v>0</v>
      </c>
      <c r="AE83" s="354">
        <f>ROUND(-Base!$AG$96/$W$2,0)</f>
        <v>0</v>
      </c>
      <c r="AF83" s="354">
        <f>ROUND(-Base!$AG$107/$W$2,0)</f>
        <v>0</v>
      </c>
      <c r="AG83" s="354">
        <f>ROUND(-Base!$AG$127/$W$2,0)</f>
        <v>0</v>
      </c>
      <c r="AH83" s="354">
        <f>-ROUND(-Base!$AG$137/$W$2,0)</f>
        <v>0</v>
      </c>
      <c r="AI83" s="354">
        <f>-ROUND(+Base!$AG$240/$W$2,0)</f>
        <v>0</v>
      </c>
      <c r="AJ83" s="354">
        <f t="shared" si="18"/>
        <v>167</v>
      </c>
      <c r="AL83" s="354">
        <f t="shared" si="19"/>
        <v>2638</v>
      </c>
      <c r="AN83" s="354">
        <f>-ROUND(+Base!$AG$94/$W$2,0)</f>
        <v>31</v>
      </c>
      <c r="AO83" s="354">
        <f>ROUND(+Base!$AG$133/$W$2,0)</f>
        <v>0</v>
      </c>
      <c r="AP83" s="354">
        <f>-ROUND(+Base!$AG$91/$W$2,0)</f>
        <v>0</v>
      </c>
      <c r="AQ83" s="354">
        <f>-ROUND(+Base!$AG$95/$W$2,0)</f>
        <v>0</v>
      </c>
      <c r="AR83" s="354">
        <f>-ROUND(+Base!$AG$96/$W$2,0)</f>
        <v>0</v>
      </c>
      <c r="AS83" s="354">
        <f>-ROUND(+Base!$AG$74/$W$2,0)</f>
        <v>0</v>
      </c>
      <c r="AT83" s="354">
        <f t="shared" si="20"/>
        <v>0</v>
      </c>
      <c r="AU83" s="354">
        <f>-ROUND(+Base!$AG$102/$W$2,0)</f>
        <v>34</v>
      </c>
      <c r="AV83" s="354">
        <f>-ROUND(+Base!$AG$99/$W$2,0)</f>
        <v>0</v>
      </c>
      <c r="AW83" s="354">
        <f>-ROUND(+Base!$AG$103/$W$2,0)</f>
        <v>0</v>
      </c>
      <c r="AX83" s="354">
        <f>-ROUND(+Base!$AG$75/$W$2,0)</f>
        <v>0</v>
      </c>
      <c r="AY83" s="354">
        <f t="shared" si="26"/>
        <v>0</v>
      </c>
      <c r="AZ83" s="354">
        <f>-ROUND(+Base!$AG$110/$W$2,0)</f>
        <v>2</v>
      </c>
      <c r="BA83" s="354">
        <f>-ROUND(+Base!$AG$113/$W$2,0)</f>
        <v>0</v>
      </c>
      <c r="BB83" s="354">
        <f>-ROUND(+Base!$AG$116/$W$2,0)</f>
        <v>0</v>
      </c>
      <c r="BC83" s="354">
        <f t="shared" si="27"/>
        <v>0</v>
      </c>
      <c r="BD83" s="354">
        <f>-ROUND(+Base!$AG$111/$W$2,0)</f>
        <v>0</v>
      </c>
      <c r="BE83" s="354">
        <f>-ROUND(+Base!$AG$114/$W$2,0)</f>
        <v>0</v>
      </c>
      <c r="BF83" s="354">
        <f>-ROUND(+Base!$AG$117/$W$2,0)</f>
        <v>0</v>
      </c>
      <c r="BG83" s="354">
        <f t="shared" si="28"/>
        <v>0</v>
      </c>
      <c r="BH83" s="354">
        <f>-ROUND(+Base!$AG$123/$W$2,0)</f>
        <v>1</v>
      </c>
      <c r="BI83" s="354">
        <f>-ROUND(+Base!$AG$126/$W$2,0)</f>
        <v>0</v>
      </c>
      <c r="BJ83" s="354">
        <f>-ROUND(+Base!$AG$76/$W$2,0)</f>
        <v>0</v>
      </c>
      <c r="BK83" s="354">
        <f>-ROUND(+Base!$AG$127/$W$2,0)</f>
        <v>0</v>
      </c>
      <c r="BL83" s="354">
        <f t="shared" si="21"/>
        <v>1</v>
      </c>
      <c r="BM83" s="354">
        <f>-ROUND(+Base!$AG$124/$W$2,0)</f>
        <v>0</v>
      </c>
      <c r="BN83" s="354">
        <f>-ROUND(+Base!$AG$134/$W$2,0)</f>
        <v>0</v>
      </c>
      <c r="BO83" s="354">
        <f>-ROUND(+Base!$AG$135/$W$2,0)</f>
        <v>0</v>
      </c>
      <c r="BP83" s="354">
        <f t="shared" si="29"/>
        <v>0</v>
      </c>
      <c r="BQ83" s="354">
        <f t="shared" si="22"/>
        <v>0</v>
      </c>
      <c r="BR83" s="354">
        <f t="shared" si="23"/>
        <v>68</v>
      </c>
      <c r="BS83" s="354"/>
      <c r="BT83" s="354">
        <f>ROUND(+Base!$AG$248/$W$2,0)</f>
        <v>1462</v>
      </c>
      <c r="BU83" s="354">
        <f>ROUND(+Base!$AG$251/$W$2,0)</f>
        <v>780</v>
      </c>
      <c r="BV83" s="354">
        <f>ROUND(+Base!$AG$254/$W$2,0)</f>
        <v>0</v>
      </c>
      <c r="BW83" s="354">
        <f>ROUND(+Base!$AG$257/$W$2,0)</f>
        <v>397</v>
      </c>
      <c r="BX83" s="354">
        <f>ROUND(+Base!$AG$258/$W$2,0)</f>
        <v>0</v>
      </c>
      <c r="BY83" s="354">
        <f t="shared" si="24"/>
        <v>2639</v>
      </c>
      <c r="BZ83" s="354"/>
      <c r="CA83" s="354"/>
      <c r="CB83" s="354"/>
      <c r="CC83" s="354"/>
      <c r="CD83" s="354"/>
      <c r="CE83" s="354"/>
      <c r="CF83" s="354"/>
      <c r="CG83" s="354"/>
      <c r="CH83" s="354"/>
      <c r="CI83" s="354"/>
      <c r="CJ83" s="354"/>
      <c r="CK83" s="354"/>
      <c r="CL83" s="354"/>
      <c r="CM83" s="693"/>
      <c r="CN83" s="693"/>
      <c r="CO83" s="693"/>
    </row>
    <row r="84" spans="2:93">
      <c r="B84" s="271">
        <f t="shared" si="30"/>
        <v>29</v>
      </c>
      <c r="C84" s="541">
        <f>+Base!AH$4</f>
        <v>90</v>
      </c>
      <c r="D84" s="541">
        <f>+Base!AH$5</f>
        <v>89</v>
      </c>
      <c r="E84" s="540">
        <f>+Base!AH$7</f>
        <v>2047</v>
      </c>
      <c r="F84" s="354">
        <f>ROUND(+Base!$AH$8/$W$2,0)</f>
        <v>1462</v>
      </c>
      <c r="G84" s="354">
        <f>ROUND(+Base!$AH$11/$W$2,0)</f>
        <v>780</v>
      </c>
      <c r="H84" s="354">
        <f>ROUND(+Base!$AH$14/$W$2,0)</f>
        <v>0</v>
      </c>
      <c r="I84" s="354">
        <f>ROUND(+Base!$AH$17/$W$2,0)</f>
        <v>397</v>
      </c>
      <c r="J84" s="354">
        <f>ROUND(+Base!$AH$18/$W$2,0)</f>
        <v>0</v>
      </c>
      <c r="K84" s="354">
        <f t="shared" si="25"/>
        <v>2639</v>
      </c>
      <c r="M84" s="354">
        <f>ROUND(+Base!$AH$28/$W$2,0)</f>
        <v>60</v>
      </c>
      <c r="N84" s="354">
        <f>ROUND(+Base!$AH$31/$W$2,0)</f>
        <v>41</v>
      </c>
      <c r="O84" s="354">
        <f>ROUND(+Base!$AH$34/$W$2,0)</f>
        <v>0</v>
      </c>
      <c r="P84" s="354">
        <f>ROUND(+Base!$AH$37/$W$2,0)</f>
        <v>21</v>
      </c>
      <c r="Q84" s="354">
        <f>ROUND(+Base!$AH$38/$W$2,0)</f>
        <v>0</v>
      </c>
      <c r="R84" s="354">
        <f>ROUND(+Base!$AH$49/$W$2,0)</f>
        <v>53</v>
      </c>
      <c r="S84" s="354">
        <f>ROUND(+Base!$AH$60/$W$2,0)</f>
        <v>0</v>
      </c>
      <c r="T84" s="354">
        <f>ROUND(+Base!$AH$65/$W$2,0)</f>
        <v>9</v>
      </c>
      <c r="U84" s="354">
        <f>ROUND((Base!$AH$66+Base!$AH$67)/$W$2,0)</f>
        <v>18</v>
      </c>
      <c r="V84" s="354">
        <f>ROUND((Base!$AH$68+Base!$AH$69)/$W$2,0)</f>
        <v>0</v>
      </c>
      <c r="W84" s="354">
        <f t="shared" si="31"/>
        <v>202</v>
      </c>
      <c r="Y84" s="354">
        <f>ROUND(+Base!$AH$144/$W$2,0)</f>
        <v>146</v>
      </c>
      <c r="Z84" s="354">
        <f>ROUND(+Base!$AH$145/$W$2,0)</f>
        <v>24</v>
      </c>
      <c r="AA84" s="354">
        <f>ROUND(-Base!$AH$234/$W$2,0)</f>
        <v>0</v>
      </c>
      <c r="AB84" s="354">
        <f>ROUND(-Base!$AH$236/$W$2,0)</f>
        <v>0</v>
      </c>
      <c r="AC84" s="354">
        <f>ROUND(-Base!$AH$237/$W$2,0)</f>
        <v>0</v>
      </c>
      <c r="AD84" s="354">
        <f>ROUND(-Base!$AH$238/$W$2,0)</f>
        <v>0</v>
      </c>
      <c r="AE84" s="354">
        <f>ROUND(-Base!$AH$96/$W$2,0)</f>
        <v>0</v>
      </c>
      <c r="AF84" s="354">
        <f>ROUND(-Base!$AH$107/$W$2,0)</f>
        <v>0</v>
      </c>
      <c r="AG84" s="354">
        <f>ROUND(-Base!$AH$127/$W$2,0)</f>
        <v>0</v>
      </c>
      <c r="AH84" s="354">
        <f>-ROUND(-Base!$AH$137/$W$2,0)</f>
        <v>0</v>
      </c>
      <c r="AI84" s="354">
        <f>-ROUND(+Base!$AH$240/$W$2,0)</f>
        <v>0</v>
      </c>
      <c r="AJ84" s="354">
        <f t="shared" si="18"/>
        <v>170</v>
      </c>
      <c r="AL84" s="354">
        <f t="shared" si="19"/>
        <v>2671</v>
      </c>
      <c r="AN84" s="354">
        <f>-ROUND(+Base!$AH$94/$W$2,0)</f>
        <v>32</v>
      </c>
      <c r="AO84" s="354">
        <f>ROUND(+Base!$AH$133/$W$2,0)</f>
        <v>0</v>
      </c>
      <c r="AP84" s="354">
        <f>-ROUND(+Base!$AH$91/$W$2,0)</f>
        <v>0</v>
      </c>
      <c r="AQ84" s="354">
        <f>-ROUND(+Base!$AH$95/$W$2,0)</f>
        <v>0</v>
      </c>
      <c r="AR84" s="354">
        <f>-ROUND(+Base!$AH$96/$W$2,0)</f>
        <v>0</v>
      </c>
      <c r="AS84" s="354">
        <f>-ROUND(+Base!$AH$74/$W$2,0)</f>
        <v>0</v>
      </c>
      <c r="AT84" s="354">
        <f t="shared" si="20"/>
        <v>0</v>
      </c>
      <c r="AU84" s="354">
        <f>-ROUND(+Base!$AH$102/$W$2,0)</f>
        <v>35</v>
      </c>
      <c r="AV84" s="354">
        <f>-ROUND(+Base!$AH$99/$W$2,0)</f>
        <v>0</v>
      </c>
      <c r="AW84" s="354">
        <f>-ROUND(+Base!$AH$103/$W$2,0)</f>
        <v>0</v>
      </c>
      <c r="AX84" s="354">
        <f>-ROUND(+Base!$AH$75/$W$2,0)</f>
        <v>0</v>
      </c>
      <c r="AY84" s="354">
        <f t="shared" si="26"/>
        <v>0</v>
      </c>
      <c r="AZ84" s="354">
        <f>-ROUND(+Base!$AH$110/$W$2,0)</f>
        <v>0</v>
      </c>
      <c r="BA84" s="354">
        <f>-ROUND(+Base!$AH$113/$W$2,0)</f>
        <v>0</v>
      </c>
      <c r="BB84" s="354">
        <f>-ROUND(+Base!$AH$116/$W$2,0)</f>
        <v>0</v>
      </c>
      <c r="BC84" s="354">
        <f t="shared" si="27"/>
        <v>0</v>
      </c>
      <c r="BD84" s="354">
        <f>-ROUND(+Base!$AH$111/$W$2,0)</f>
        <v>0</v>
      </c>
      <c r="BE84" s="354">
        <f>-ROUND(+Base!$AH$114/$W$2,0)</f>
        <v>0</v>
      </c>
      <c r="BF84" s="354">
        <f>-ROUND(+Base!$AH$117/$W$2,0)</f>
        <v>0</v>
      </c>
      <c r="BG84" s="354">
        <f t="shared" si="28"/>
        <v>0</v>
      </c>
      <c r="BH84" s="354">
        <f>-ROUND(+Base!$AH$123/$W$2,0)</f>
        <v>1</v>
      </c>
      <c r="BI84" s="354">
        <f>-ROUND(+Base!$AH$126/$W$2,0)</f>
        <v>0</v>
      </c>
      <c r="BJ84" s="354">
        <f>-ROUND(+Base!$AH$76/$W$2,0)</f>
        <v>0</v>
      </c>
      <c r="BK84" s="354">
        <f>-ROUND(+Base!$AH$127/$W$2,0)</f>
        <v>0</v>
      </c>
      <c r="BL84" s="354">
        <f t="shared" si="21"/>
        <v>1</v>
      </c>
      <c r="BM84" s="354">
        <f>-ROUND(+Base!$AH$124/$W$2,0)</f>
        <v>0</v>
      </c>
      <c r="BN84" s="354">
        <f>-ROUND(+Base!$AH$134/$W$2,0)</f>
        <v>0</v>
      </c>
      <c r="BO84" s="354">
        <f>-ROUND(+Base!$AH$135/$W$2,0)</f>
        <v>0</v>
      </c>
      <c r="BP84" s="354">
        <f t="shared" si="29"/>
        <v>0</v>
      </c>
      <c r="BQ84" s="354">
        <f t="shared" si="22"/>
        <v>0</v>
      </c>
      <c r="BR84" s="354">
        <f t="shared" si="23"/>
        <v>68</v>
      </c>
      <c r="BS84" s="354"/>
      <c r="BT84" s="354">
        <f>ROUND(+Base!$AH$248/$W$2,0)</f>
        <v>1500</v>
      </c>
      <c r="BU84" s="354">
        <f>ROUND(+Base!$AH$251/$W$2,0)</f>
        <v>755</v>
      </c>
      <c r="BV84" s="354">
        <f>ROUND(+Base!$AH$254/$W$2,0)</f>
        <v>0</v>
      </c>
      <c r="BW84" s="354">
        <f>ROUND(+Base!$AH$257/$W$2,0)</f>
        <v>417</v>
      </c>
      <c r="BX84" s="354">
        <f>ROUND(+Base!$AH$258/$W$2,0)</f>
        <v>0</v>
      </c>
      <c r="BY84" s="354">
        <f t="shared" si="24"/>
        <v>2672</v>
      </c>
      <c r="BZ84" s="354"/>
      <c r="CA84" s="354"/>
      <c r="CB84" s="354"/>
      <c r="CC84" s="354"/>
      <c r="CD84" s="354"/>
      <c r="CE84" s="354"/>
      <c r="CF84" s="354"/>
      <c r="CG84" s="354"/>
      <c r="CH84" s="354"/>
      <c r="CI84" s="354"/>
      <c r="CJ84" s="354"/>
      <c r="CK84" s="354"/>
      <c r="CL84" s="354"/>
      <c r="CM84" s="693"/>
      <c r="CN84" s="693"/>
      <c r="CO84" s="693"/>
    </row>
    <row r="85" spans="2:93">
      <c r="B85" s="271">
        <f t="shared" si="30"/>
        <v>30</v>
      </c>
      <c r="C85" s="541">
        <f>+Base!AI$4</f>
        <v>91</v>
      </c>
      <c r="D85" s="541">
        <f>+Base!AI$5</f>
        <v>90</v>
      </c>
      <c r="E85" s="540">
        <f>+Base!AI$7</f>
        <v>2048</v>
      </c>
      <c r="F85" s="354">
        <f>ROUND(+Base!$AI$8/$W$2,0)</f>
        <v>1500</v>
      </c>
      <c r="G85" s="354">
        <f>ROUND(+Base!$AI$11/$W$2,0)</f>
        <v>755</v>
      </c>
      <c r="H85" s="354">
        <f>ROUND(+Base!$AI$14/$W$2,0)</f>
        <v>0</v>
      </c>
      <c r="I85" s="354">
        <f>ROUND(+Base!$AI$17/$W$2,0)</f>
        <v>417</v>
      </c>
      <c r="J85" s="354">
        <f>ROUND(+Base!$AI$18/$W$2,0)</f>
        <v>0</v>
      </c>
      <c r="K85" s="354">
        <f t="shared" si="25"/>
        <v>2672</v>
      </c>
      <c r="M85" s="354">
        <f>ROUND(+Base!$AI$28/$W$2,0)</f>
        <v>62</v>
      </c>
      <c r="N85" s="354">
        <f>ROUND(+Base!$AI$31/$W$2,0)</f>
        <v>39</v>
      </c>
      <c r="O85" s="354">
        <f>ROUND(+Base!$AI$34/$W$2,0)</f>
        <v>0</v>
      </c>
      <c r="P85" s="354">
        <f>ROUND(+Base!$AI$37/$W$2,0)</f>
        <v>22</v>
      </c>
      <c r="Q85" s="354">
        <f>ROUND(+Base!$AI$38/$W$2,0)</f>
        <v>0</v>
      </c>
      <c r="R85" s="354">
        <f>ROUND(+Base!$AI$49/$W$2,0)</f>
        <v>54</v>
      </c>
      <c r="S85" s="354">
        <f>ROUND(+Base!$AI$60/$W$2,0)</f>
        <v>0</v>
      </c>
      <c r="T85" s="354">
        <f>ROUND(+Base!$AI$65/$W$2,0)</f>
        <v>9</v>
      </c>
      <c r="U85" s="354">
        <f>ROUND((Base!$AI$66+Base!$AI$67)/$W$2,0)</f>
        <v>19</v>
      </c>
      <c r="V85" s="354">
        <f>ROUND((Base!$AI$68+Base!$AI$69)/$W$2,0)</f>
        <v>0</v>
      </c>
      <c r="W85" s="354">
        <f t="shared" si="31"/>
        <v>205</v>
      </c>
      <c r="Y85" s="354">
        <f>ROUND(+Base!$AI$144/$W$2,0)</f>
        <v>149</v>
      </c>
      <c r="Z85" s="354">
        <f>ROUND(+Base!$AI$145/$W$2,0)</f>
        <v>24</v>
      </c>
      <c r="AA85" s="354">
        <f>ROUND(-Base!$AI$234/$W$2,0)</f>
        <v>0</v>
      </c>
      <c r="AB85" s="354">
        <f>ROUND(-Base!$AI$236/$W$2,0)</f>
        <v>0</v>
      </c>
      <c r="AC85" s="354">
        <f>ROUND(-Base!$AI$237/$W$2,0)</f>
        <v>0</v>
      </c>
      <c r="AD85" s="354">
        <f>ROUND(-Base!$AI$238/$W$2,0)</f>
        <v>0</v>
      </c>
      <c r="AE85" s="354">
        <f>ROUND(-Base!$AI$96/$W$2,0)</f>
        <v>0</v>
      </c>
      <c r="AF85" s="354">
        <f>ROUND(-Base!$AI$107/$W$2,0)</f>
        <v>0</v>
      </c>
      <c r="AG85" s="354">
        <f>ROUND(-Base!$AI$127/$W$2,0)</f>
        <v>0</v>
      </c>
      <c r="AH85" s="354">
        <f>-ROUND(-Base!$AI$137/$W$2,0)</f>
        <v>0</v>
      </c>
      <c r="AI85" s="354">
        <f>-ROUND(+Base!$AI$240/$W$2,0)</f>
        <v>0</v>
      </c>
      <c r="AJ85" s="354">
        <f t="shared" si="18"/>
        <v>173</v>
      </c>
      <c r="AL85" s="354">
        <f t="shared" si="19"/>
        <v>2704</v>
      </c>
      <c r="AN85" s="354">
        <f>-ROUND(+Base!$AI$94/$W$2,0)</f>
        <v>33</v>
      </c>
      <c r="AO85" s="354">
        <f>ROUND(+Base!$AI$133/$W$2,0)</f>
        <v>0</v>
      </c>
      <c r="AP85" s="354">
        <f>-ROUND(+Base!$AI$91/$W$2,0)</f>
        <v>0</v>
      </c>
      <c r="AQ85" s="354">
        <f>-ROUND(+Base!$AI$95/$W$2,0)</f>
        <v>0</v>
      </c>
      <c r="AR85" s="354">
        <f>-ROUND(+Base!$AI$96/$W$2,0)</f>
        <v>0</v>
      </c>
      <c r="AS85" s="354">
        <f>-ROUND(+Base!$AI$74/$W$2,0)</f>
        <v>0</v>
      </c>
      <c r="AT85" s="354">
        <f t="shared" si="20"/>
        <v>0</v>
      </c>
      <c r="AU85" s="354">
        <f>-ROUND(+Base!$AI$102/$W$2,0)</f>
        <v>35</v>
      </c>
      <c r="AV85" s="354">
        <f>-ROUND(+Base!$AI$99/$W$2,0)</f>
        <v>0</v>
      </c>
      <c r="AW85" s="354">
        <f>-ROUND(+Base!$AI$103/$W$2,0)</f>
        <v>0</v>
      </c>
      <c r="AX85" s="354">
        <f>-ROUND(+Base!$AI$75/$W$2,0)</f>
        <v>0</v>
      </c>
      <c r="AY85" s="354">
        <f t="shared" si="26"/>
        <v>0</v>
      </c>
      <c r="AZ85" s="354">
        <f>-ROUND(+Base!$AI$110/$W$2,0)</f>
        <v>0</v>
      </c>
      <c r="BA85" s="354">
        <f>-ROUND(+Base!$AI$113/$W$2,0)</f>
        <v>0</v>
      </c>
      <c r="BB85" s="354">
        <f>-ROUND(+Base!$AI$116/$W$2,0)</f>
        <v>0</v>
      </c>
      <c r="BC85" s="354">
        <f t="shared" si="27"/>
        <v>0</v>
      </c>
      <c r="BD85" s="354">
        <f>-ROUND(+Base!$AI$111/$W$2,0)</f>
        <v>0</v>
      </c>
      <c r="BE85" s="354">
        <f>-ROUND(+Base!$AI$114/$W$2,0)</f>
        <v>0</v>
      </c>
      <c r="BF85" s="354">
        <f>-ROUND(+Base!$AI$117/$W$2,0)</f>
        <v>0</v>
      </c>
      <c r="BG85" s="354">
        <f t="shared" si="28"/>
        <v>0</v>
      </c>
      <c r="BH85" s="354">
        <f>-ROUND(+Base!$AI$123/$W$2,0)</f>
        <v>1</v>
      </c>
      <c r="BI85" s="354">
        <f>-ROUND(+Base!$AI$126/$W$2,0)</f>
        <v>0</v>
      </c>
      <c r="BJ85" s="354">
        <f>-ROUND(+Base!$AI$76/$W$2,0)</f>
        <v>0</v>
      </c>
      <c r="BK85" s="354">
        <f>-ROUND(+Base!$AI$127/$W$2,0)</f>
        <v>0</v>
      </c>
      <c r="BL85" s="354">
        <f t="shared" si="21"/>
        <v>1</v>
      </c>
      <c r="BM85" s="354">
        <f>-ROUND(+Base!$AI$124/$W$2,0)</f>
        <v>0</v>
      </c>
      <c r="BN85" s="354">
        <f>-ROUND(+Base!$AI$134/$W$2,0)</f>
        <v>0</v>
      </c>
      <c r="BO85" s="354">
        <f>-ROUND(+Base!$AI$135/$W$2,0)</f>
        <v>0</v>
      </c>
      <c r="BP85" s="354">
        <f t="shared" si="29"/>
        <v>0</v>
      </c>
      <c r="BQ85" s="354">
        <f t="shared" si="22"/>
        <v>0</v>
      </c>
      <c r="BR85" s="354">
        <f t="shared" si="23"/>
        <v>69</v>
      </c>
      <c r="BS85" s="354"/>
      <c r="BT85" s="354">
        <f>ROUND(+Base!$AI$248/$W$2,0)</f>
        <v>1539</v>
      </c>
      <c r="BU85" s="354">
        <f>ROUND(+Base!$AI$251/$W$2,0)</f>
        <v>726</v>
      </c>
      <c r="BV85" s="354">
        <f>ROUND(+Base!$AI$254/$W$2,0)</f>
        <v>0</v>
      </c>
      <c r="BW85" s="354">
        <f>ROUND(+Base!$AI$257/$W$2,0)</f>
        <v>438</v>
      </c>
      <c r="BX85" s="354">
        <f>ROUND(+Base!$AI$258/$W$2,0)</f>
        <v>0</v>
      </c>
      <c r="BY85" s="354">
        <f t="shared" si="24"/>
        <v>2703</v>
      </c>
      <c r="BZ85" s="354"/>
      <c r="CA85" s="354"/>
      <c r="CB85" s="354"/>
      <c r="CC85" s="354"/>
      <c r="CD85" s="354"/>
      <c r="CE85" s="354"/>
      <c r="CF85" s="354"/>
      <c r="CG85" s="354"/>
      <c r="CH85" s="354"/>
      <c r="CI85" s="354"/>
      <c r="CJ85" s="354"/>
      <c r="CK85" s="354"/>
      <c r="CL85" s="354"/>
      <c r="CM85" s="693"/>
      <c r="CN85" s="693"/>
      <c r="CO85" s="693"/>
    </row>
    <row r="86" spans="2:93">
      <c r="B86" s="271">
        <f t="shared" si="30"/>
        <v>31</v>
      </c>
      <c r="C86" s="541">
        <f>+Base!AJ$4</f>
        <v>92</v>
      </c>
      <c r="D86" s="541">
        <f>+Base!AJ$5</f>
        <v>91</v>
      </c>
      <c r="E86" s="540">
        <f>+Base!AJ$7</f>
        <v>2049</v>
      </c>
      <c r="F86" s="354">
        <f>ROUND(+Base!$AJ$8/$W$2,0)</f>
        <v>0</v>
      </c>
      <c r="G86" s="354">
        <f>ROUND(+Base!$AJ$11/$W$2,0)</f>
        <v>0</v>
      </c>
      <c r="H86" s="354">
        <f>ROUND(+Base!$AJ$14/$W$2,0)</f>
        <v>0</v>
      </c>
      <c r="I86" s="354">
        <f>ROUND(+Base!$AJ$17/$W$2,0)</f>
        <v>0</v>
      </c>
      <c r="J86" s="354">
        <f>ROUND(+Base!$AJ$18/$W$2,0)</f>
        <v>0</v>
      </c>
      <c r="K86" s="354">
        <f t="shared" si="25"/>
        <v>0</v>
      </c>
      <c r="M86" s="354">
        <f>ROUND(+Base!$AJ$28/$W$2,0)</f>
        <v>0</v>
      </c>
      <c r="N86" s="354">
        <f>ROUND(+Base!$AJ$31/$W$2,0)</f>
        <v>0</v>
      </c>
      <c r="O86" s="354">
        <f>ROUND(+Base!$AJ$34/$W$2,0)</f>
        <v>0</v>
      </c>
      <c r="P86" s="354">
        <f>ROUND(+Base!$AJ$37/$W$2,0)</f>
        <v>0</v>
      </c>
      <c r="Q86" s="354">
        <f>ROUND(+Base!$AJ$38/$W$2,0)</f>
        <v>0</v>
      </c>
      <c r="R86" s="354">
        <f>ROUND(+Base!$AJ$49/$W$2,0)</f>
        <v>0</v>
      </c>
      <c r="S86" s="354">
        <f>ROUND(+Base!$AJ$60/$W$2,0)</f>
        <v>0</v>
      </c>
      <c r="T86" s="354">
        <f>ROUND(+Base!$AJ$65/$W$2,0)</f>
        <v>0</v>
      </c>
      <c r="U86" s="354">
        <f>ROUND((Base!$AJ$66+Base!$AJ$67)/$W$2,0)</f>
        <v>0</v>
      </c>
      <c r="V86" s="354">
        <f>ROUND((Base!$AJ$68+Base!$AJ$69)/$W$2,0)</f>
        <v>0</v>
      </c>
      <c r="W86" s="354">
        <f t="shared" si="31"/>
        <v>0</v>
      </c>
      <c r="Y86" s="354">
        <f>ROUND(+Base!$AJ$144/$W$2,0)</f>
        <v>0</v>
      </c>
      <c r="Z86" s="354">
        <f>ROUND(+Base!$AJ$145/$W$2,0)</f>
        <v>0</v>
      </c>
      <c r="AA86" s="354">
        <f>ROUND(-Base!$AJ$234/$W$2,0)</f>
        <v>0</v>
      </c>
      <c r="AB86" s="354">
        <f>ROUND(-Base!$AJ$236/$W$2,0)</f>
        <v>0</v>
      </c>
      <c r="AC86" s="354">
        <f>ROUND(-Base!$AJ$237/$W$2,0)</f>
        <v>0</v>
      </c>
      <c r="AD86" s="354">
        <f>ROUND(-Base!$AJ$238/$W$2,0)</f>
        <v>0</v>
      </c>
      <c r="AE86" s="354">
        <f>ROUND(-Base!$AJ$96/$W$2,0)</f>
        <v>0</v>
      </c>
      <c r="AF86" s="354">
        <f>ROUND(-Base!$AJ$107/$W$2,0)</f>
        <v>0</v>
      </c>
      <c r="AG86" s="354">
        <f>ROUND(-Base!$AJ$127/$W$2,0)</f>
        <v>0</v>
      </c>
      <c r="AH86" s="354">
        <f>-ROUND(-Base!$AJ$137/$W$2,0)</f>
        <v>0</v>
      </c>
      <c r="AI86" s="354">
        <f>-ROUND(+Base!$AJ$240/$W$2,0)</f>
        <v>0</v>
      </c>
      <c r="AJ86" s="354">
        <f t="shared" si="18"/>
        <v>0</v>
      </c>
      <c r="AL86" s="354">
        <f t="shared" si="19"/>
        <v>0</v>
      </c>
      <c r="AN86" s="354">
        <f>-ROUND(+Base!$AJ$94/$W$2,0)</f>
        <v>0</v>
      </c>
      <c r="AO86" s="354">
        <f>ROUND(+Base!$AJ$133/$W$2,0)</f>
        <v>0</v>
      </c>
      <c r="AP86" s="354">
        <f>-ROUND(+Base!$AJ$91/$W$2,0)</f>
        <v>0</v>
      </c>
      <c r="AQ86" s="354">
        <f>-ROUND(+Base!$AJ$95/$W$2,0)</f>
        <v>0</v>
      </c>
      <c r="AR86" s="354">
        <f>-ROUND(+Base!$AJ$96/$W$2,0)</f>
        <v>0</v>
      </c>
      <c r="AS86" s="354">
        <f>-ROUND(+Base!$AJ$74/$W$2,0)</f>
        <v>0</v>
      </c>
      <c r="AT86" s="354">
        <f t="shared" si="20"/>
        <v>0</v>
      </c>
      <c r="AU86" s="354">
        <f>-ROUND(+Base!$AJ$102/$W$2,0)</f>
        <v>0</v>
      </c>
      <c r="AV86" s="354">
        <f>-ROUND(+Base!$AJ$99/$W$2,0)</f>
        <v>0</v>
      </c>
      <c r="AW86" s="354">
        <f>-ROUND(+Base!$AJ$103/$W$2,0)</f>
        <v>0</v>
      </c>
      <c r="AX86" s="354">
        <f>-ROUND(+Base!$AJ$75/$W$2,0)</f>
        <v>0</v>
      </c>
      <c r="AY86" s="354">
        <f t="shared" si="26"/>
        <v>0</v>
      </c>
      <c r="AZ86" s="354">
        <f>-ROUND(+Base!$AJ$110/$W$2,0)</f>
        <v>0</v>
      </c>
      <c r="BA86" s="354">
        <f>-ROUND(+Base!$AJ$113/$W$2,0)</f>
        <v>0</v>
      </c>
      <c r="BB86" s="354">
        <f>-ROUND(+Base!$AJ$116/$W$2,0)</f>
        <v>0</v>
      </c>
      <c r="BC86" s="354">
        <f t="shared" si="27"/>
        <v>0</v>
      </c>
      <c r="BD86" s="354">
        <f>-ROUND(+Base!$AJ$111/$W$2,0)</f>
        <v>0</v>
      </c>
      <c r="BE86" s="354">
        <f>-ROUND(+Base!$AJ$114/$W$2,0)</f>
        <v>0</v>
      </c>
      <c r="BF86" s="354">
        <f>-ROUND(+Base!$AJ$117/$W$2,0)</f>
        <v>0</v>
      </c>
      <c r="BG86" s="354">
        <f t="shared" si="28"/>
        <v>0</v>
      </c>
      <c r="BH86" s="354">
        <f>-ROUND(+Base!$AJ$123/$W$2,0)</f>
        <v>0</v>
      </c>
      <c r="BI86" s="354">
        <f>-ROUND(+Base!$AJ$126/$W$2,0)</f>
        <v>0</v>
      </c>
      <c r="BJ86" s="354">
        <f>-ROUND(+Base!$AJ$76/$W$2,0)</f>
        <v>0</v>
      </c>
      <c r="BK86" s="354">
        <f>-ROUND(+Base!$AJ$127/$W$2,0)</f>
        <v>0</v>
      </c>
      <c r="BL86" s="354">
        <f t="shared" si="21"/>
        <v>0</v>
      </c>
      <c r="BM86" s="354">
        <f>-ROUND(+Base!$AJ$124/$W$2,0)</f>
        <v>0</v>
      </c>
      <c r="BN86" s="354">
        <f>-ROUND(+Base!$AJ$134/$W$2,0)</f>
        <v>0</v>
      </c>
      <c r="BO86" s="354">
        <f>-ROUND(+Base!$AJ$135/$W$2,0)</f>
        <v>0</v>
      </c>
      <c r="BP86" s="354">
        <f t="shared" si="29"/>
        <v>0</v>
      </c>
      <c r="BQ86" s="354">
        <f t="shared" si="22"/>
        <v>0</v>
      </c>
      <c r="BR86" s="354">
        <f t="shared" si="23"/>
        <v>0</v>
      </c>
      <c r="BS86" s="354"/>
      <c r="BT86" s="354">
        <f>ROUND(+Base!$AJ$248/$W$2,0)</f>
        <v>0</v>
      </c>
      <c r="BU86" s="354">
        <f>ROUND(+Base!$AJ$251/$W$2,0)</f>
        <v>0</v>
      </c>
      <c r="BV86" s="354">
        <f>ROUND(+Base!$AJ$254/$W$2,0)</f>
        <v>0</v>
      </c>
      <c r="BW86" s="354">
        <f>ROUND(+Base!$AJ$257/$W$2,0)</f>
        <v>0</v>
      </c>
      <c r="BX86" s="354">
        <f>ROUND(+Base!$AJ$258/$W$2,0)</f>
        <v>0</v>
      </c>
      <c r="BY86" s="354">
        <f t="shared" si="24"/>
        <v>0</v>
      </c>
      <c r="BZ86" s="354"/>
      <c r="CA86" s="354"/>
      <c r="CB86" s="354"/>
      <c r="CC86" s="354"/>
      <c r="CD86" s="354"/>
      <c r="CE86" s="354"/>
      <c r="CF86" s="354"/>
      <c r="CG86" s="354"/>
      <c r="CH86" s="354"/>
      <c r="CI86" s="354"/>
      <c r="CJ86" s="354"/>
      <c r="CK86" s="354"/>
      <c r="CL86" s="354"/>
      <c r="CM86" s="693"/>
      <c r="CN86" s="693"/>
      <c r="CO86" s="693"/>
    </row>
    <row r="87" spans="2:93">
      <c r="B87" s="271">
        <f t="shared" si="30"/>
        <v>32</v>
      </c>
      <c r="C87" s="541">
        <f>+Base!AK$4</f>
        <v>93</v>
      </c>
      <c r="D87" s="541">
        <f>+Base!AK$5</f>
        <v>92</v>
      </c>
      <c r="E87" s="540">
        <f>+Base!AK$7</f>
        <v>2050</v>
      </c>
      <c r="F87" s="354">
        <f>ROUND(+Base!$AK$8/$W$2,0)</f>
        <v>0</v>
      </c>
      <c r="G87" s="354">
        <f>ROUND(+Base!$AK$11/$W$2,0)</f>
        <v>0</v>
      </c>
      <c r="H87" s="354">
        <f>ROUND(+Base!$AK$14/$W$2,0)</f>
        <v>0</v>
      </c>
      <c r="I87" s="354">
        <f>ROUND(+Base!$AK$17/$W$2,0)</f>
        <v>0</v>
      </c>
      <c r="J87" s="354">
        <f>ROUND(+Base!$AK$18/$W$2,0)</f>
        <v>0</v>
      </c>
      <c r="K87" s="354">
        <f t="shared" si="25"/>
        <v>0</v>
      </c>
      <c r="M87" s="354">
        <f>ROUND(+Base!$AK$28/$W$2,0)</f>
        <v>0</v>
      </c>
      <c r="N87" s="354">
        <f>ROUND(+Base!$AK$31/$W$2,0)</f>
        <v>0</v>
      </c>
      <c r="O87" s="354">
        <f>ROUND(+Base!$AK$34/$W$2,0)</f>
        <v>0</v>
      </c>
      <c r="P87" s="354">
        <f>ROUND(+Base!$AK$37/$W$2,0)</f>
        <v>0</v>
      </c>
      <c r="Q87" s="354">
        <f>ROUND(+Base!$AK$38/$W$2,0)</f>
        <v>0</v>
      </c>
      <c r="R87" s="354">
        <f>ROUND(+Base!$AK$49/$W$2,0)</f>
        <v>0</v>
      </c>
      <c r="S87" s="354">
        <f>ROUND(+Base!$AK$60/$W$2,0)</f>
        <v>0</v>
      </c>
      <c r="T87" s="354">
        <f>ROUND(+Base!$AK$65/$W$2,0)</f>
        <v>0</v>
      </c>
      <c r="U87" s="354">
        <f>ROUND((Base!$AK$66+Base!$AK$67)/$W$2,0)</f>
        <v>0</v>
      </c>
      <c r="V87" s="354">
        <f>ROUND((Base!$AK$68+Base!$AK$69)/$W$2,0)</f>
        <v>0</v>
      </c>
      <c r="W87" s="354">
        <f t="shared" si="31"/>
        <v>0</v>
      </c>
      <c r="Y87" s="354">
        <f>ROUND(+Base!$AK$144/$W$2,0)</f>
        <v>0</v>
      </c>
      <c r="Z87" s="354">
        <f>ROUND(+Base!$AK$145/$W$2,0)</f>
        <v>0</v>
      </c>
      <c r="AA87" s="354">
        <f>ROUND(-Base!$AK$234/$W$2,0)</f>
        <v>0</v>
      </c>
      <c r="AB87" s="354">
        <f>ROUND(-Base!$AK$236/$W$2,0)</f>
        <v>0</v>
      </c>
      <c r="AC87" s="354">
        <f>ROUND(-Base!$AK$237/$W$2,0)</f>
        <v>0</v>
      </c>
      <c r="AD87" s="354">
        <f>ROUND(-Base!$AK$238/$W$2,0)</f>
        <v>0</v>
      </c>
      <c r="AE87" s="354">
        <f>ROUND(-Base!$AK$96/$W$2,0)</f>
        <v>0</v>
      </c>
      <c r="AF87" s="354">
        <f>ROUND(-Base!$AK$107/$W$2,0)</f>
        <v>0</v>
      </c>
      <c r="AG87" s="354">
        <f>ROUND(-Base!$AK$127/$W$2,0)</f>
        <v>0</v>
      </c>
      <c r="AH87" s="354">
        <f>-ROUND(-Base!$AK$137/$W$2,0)</f>
        <v>0</v>
      </c>
      <c r="AI87" s="354">
        <f>-ROUND(+Base!$AK$240/$W$2,0)</f>
        <v>0</v>
      </c>
      <c r="AJ87" s="354">
        <f t="shared" si="18"/>
        <v>0</v>
      </c>
      <c r="AL87" s="354">
        <f t="shared" si="19"/>
        <v>0</v>
      </c>
      <c r="AN87" s="354">
        <f>-ROUND(+Base!$AK$94/$W$2,0)</f>
        <v>0</v>
      </c>
      <c r="AO87" s="354">
        <f>ROUND(+Base!$AK$133/$W$2,0)</f>
        <v>0</v>
      </c>
      <c r="AP87" s="354">
        <f>-ROUND(+Base!$AK$91/$W$2,0)</f>
        <v>0</v>
      </c>
      <c r="AQ87" s="354">
        <f>-ROUND(+Base!$AK$95/$W$2,0)</f>
        <v>0</v>
      </c>
      <c r="AR87" s="354">
        <f>-ROUND(+Base!$AK$96/$W$2,0)</f>
        <v>0</v>
      </c>
      <c r="AS87" s="354">
        <f>-ROUND(+Base!$AK$74/$W$2,0)</f>
        <v>0</v>
      </c>
      <c r="AT87" s="354">
        <f t="shared" si="20"/>
        <v>0</v>
      </c>
      <c r="AU87" s="354">
        <f>-ROUND(+Base!$AK$102/$W$2,0)</f>
        <v>0</v>
      </c>
      <c r="AV87" s="354">
        <f>-ROUND(+Base!$AK$99/$W$2,0)</f>
        <v>0</v>
      </c>
      <c r="AW87" s="354">
        <f>-ROUND(+Base!$AK$103/$W$2,0)</f>
        <v>0</v>
      </c>
      <c r="AX87" s="354">
        <f>-ROUND(+Base!$AK$75/$W$2,0)</f>
        <v>0</v>
      </c>
      <c r="AY87" s="354">
        <f t="shared" si="26"/>
        <v>0</v>
      </c>
      <c r="AZ87" s="354">
        <f>-ROUND(+Base!$AK$110/$W$2,0)</f>
        <v>0</v>
      </c>
      <c r="BA87" s="354">
        <f>-ROUND(+Base!$AK$113/$W$2,0)</f>
        <v>0</v>
      </c>
      <c r="BB87" s="354">
        <f>-ROUND(+Base!$AK$116/$W$2,0)</f>
        <v>0</v>
      </c>
      <c r="BC87" s="354">
        <f t="shared" si="27"/>
        <v>0</v>
      </c>
      <c r="BD87" s="354">
        <f>-ROUND(+Base!$AK$111/$W$2,0)</f>
        <v>0</v>
      </c>
      <c r="BE87" s="354">
        <f>-ROUND(+Base!$AK$114/$W$2,0)</f>
        <v>0</v>
      </c>
      <c r="BF87" s="354">
        <f>-ROUND(+Base!$AK$117/$W$2,0)</f>
        <v>0</v>
      </c>
      <c r="BG87" s="354">
        <f t="shared" si="28"/>
        <v>0</v>
      </c>
      <c r="BH87" s="354">
        <f>-ROUND(+Base!$AK$123/$W$2,0)</f>
        <v>0</v>
      </c>
      <c r="BI87" s="354">
        <f>-ROUND(+Base!$AK$126/$W$2,0)</f>
        <v>0</v>
      </c>
      <c r="BJ87" s="354">
        <f>-ROUND(+Base!$AK$76/$W$2,0)</f>
        <v>0</v>
      </c>
      <c r="BK87" s="354">
        <f>-ROUND(+Base!$AK$127/$W$2,0)</f>
        <v>0</v>
      </c>
      <c r="BL87" s="354">
        <f t="shared" si="21"/>
        <v>0</v>
      </c>
      <c r="BM87" s="354">
        <f>-ROUND(+Base!$AK$124/$W$2,0)</f>
        <v>0</v>
      </c>
      <c r="BN87" s="354">
        <f>-ROUND(+Base!$AK$134/$W$2,0)</f>
        <v>0</v>
      </c>
      <c r="BO87" s="354">
        <f>-ROUND(+Base!$AK$135/$W$2,0)</f>
        <v>0</v>
      </c>
      <c r="BP87" s="354">
        <f t="shared" si="29"/>
        <v>0</v>
      </c>
      <c r="BQ87" s="354">
        <f t="shared" si="22"/>
        <v>0</v>
      </c>
      <c r="BR87" s="354">
        <f t="shared" si="23"/>
        <v>0</v>
      </c>
      <c r="BS87" s="354"/>
      <c r="BT87" s="354">
        <f>ROUND(+Base!$AK$248/$W$2,0)</f>
        <v>0</v>
      </c>
      <c r="BU87" s="354">
        <f>ROUND(+Base!$AK$251/$W$2,0)</f>
        <v>0</v>
      </c>
      <c r="BV87" s="354">
        <f>ROUND(+Base!$AK$254/$W$2,0)</f>
        <v>0</v>
      </c>
      <c r="BW87" s="354">
        <f>ROUND(+Base!$AK$257/$W$2,0)</f>
        <v>0</v>
      </c>
      <c r="BX87" s="354">
        <f>ROUND(+Base!$AK$258/$W$2,0)</f>
        <v>0</v>
      </c>
      <c r="BY87" s="354">
        <f t="shared" si="24"/>
        <v>0</v>
      </c>
      <c r="BZ87" s="354"/>
      <c r="CA87" s="354"/>
      <c r="CB87" s="354"/>
      <c r="CC87" s="354"/>
      <c r="CD87" s="354"/>
      <c r="CE87" s="354"/>
      <c r="CF87" s="354"/>
      <c r="CG87" s="354"/>
      <c r="CH87" s="354"/>
      <c r="CI87" s="354"/>
      <c r="CJ87" s="354"/>
      <c r="CK87" s="354"/>
      <c r="CL87" s="354"/>
      <c r="CM87" s="693"/>
      <c r="CN87" s="693"/>
      <c r="CO87" s="693"/>
    </row>
    <row r="88" spans="2:93">
      <c r="B88" s="271">
        <f t="shared" si="30"/>
        <v>33</v>
      </c>
      <c r="C88" s="541">
        <f>+Base!AL$4</f>
        <v>94</v>
      </c>
      <c r="D88" s="541">
        <f>+Base!AL$5</f>
        <v>93</v>
      </c>
      <c r="E88" s="540">
        <f>+Base!AL$7</f>
        <v>2051</v>
      </c>
      <c r="F88" s="354">
        <f>ROUND(+Base!$AL$8/$W$2,0)</f>
        <v>0</v>
      </c>
      <c r="G88" s="354">
        <f>ROUND(+Base!$AL$11/$W$2,0)</f>
        <v>0</v>
      </c>
      <c r="H88" s="354">
        <f>ROUND(+Base!$AL$14/$W$2,0)</f>
        <v>0</v>
      </c>
      <c r="I88" s="354">
        <f>ROUND(+Base!$AL$17/$W$2,0)</f>
        <v>0</v>
      </c>
      <c r="J88" s="354">
        <f>ROUND(+Base!$AL$18/$W$2,0)</f>
        <v>0</v>
      </c>
      <c r="K88" s="354">
        <f t="shared" si="25"/>
        <v>0</v>
      </c>
      <c r="M88" s="354">
        <f>ROUND(+Base!$AL$28/$W$2,0)</f>
        <v>0</v>
      </c>
      <c r="N88" s="354">
        <f>ROUND(+Base!$AL$31/$W$2,0)</f>
        <v>0</v>
      </c>
      <c r="O88" s="354">
        <f>ROUND(+Base!$AL$34/$W$2,0)</f>
        <v>0</v>
      </c>
      <c r="P88" s="354">
        <f>ROUND(+Base!$AL$37/$W$2,0)</f>
        <v>0</v>
      </c>
      <c r="Q88" s="354">
        <f>ROUND(+Base!$AL$38/$W$2,0)</f>
        <v>0</v>
      </c>
      <c r="R88" s="354">
        <f>ROUND(+Base!$AL$49/$W$2,0)</f>
        <v>0</v>
      </c>
      <c r="S88" s="354">
        <f>ROUND(+Base!$AL$60/$W$2,0)</f>
        <v>0</v>
      </c>
      <c r="T88" s="354">
        <f>ROUND(+Base!$AL$65/$W$2,0)</f>
        <v>0</v>
      </c>
      <c r="U88" s="354">
        <f>ROUND((Base!$AL$66+Base!$AL$67)/$W$2,0)</f>
        <v>0</v>
      </c>
      <c r="V88" s="354">
        <f>ROUND((Base!$AL$68+Base!$AL$69)/$W$2,0)</f>
        <v>0</v>
      </c>
      <c r="W88" s="354">
        <f t="shared" si="31"/>
        <v>0</v>
      </c>
      <c r="Y88" s="354">
        <f>ROUND(+Base!$AL$144/$W$2,0)</f>
        <v>0</v>
      </c>
      <c r="Z88" s="354">
        <f>ROUND(+Base!$AL$145/$W$2,0)</f>
        <v>0</v>
      </c>
      <c r="AA88" s="354">
        <f>ROUND(-Base!$AL$234/$W$2,0)</f>
        <v>0</v>
      </c>
      <c r="AB88" s="354">
        <f>ROUND(-Base!$AL$236/$W$2,0)</f>
        <v>0</v>
      </c>
      <c r="AC88" s="354">
        <f>ROUND(-Base!$AL$237/$W$2,0)</f>
        <v>0</v>
      </c>
      <c r="AD88" s="354">
        <f>ROUND(-Base!$AL$238/$W$2,0)</f>
        <v>0</v>
      </c>
      <c r="AE88" s="354">
        <f>ROUND(-Base!$AL$96/$W$2,0)</f>
        <v>0</v>
      </c>
      <c r="AF88" s="354">
        <f>ROUND(-Base!$AL$107/$W$2,0)</f>
        <v>0</v>
      </c>
      <c r="AG88" s="354">
        <f>ROUND(-Base!$AL$127/$W$2,0)</f>
        <v>0</v>
      </c>
      <c r="AH88" s="354">
        <f>-ROUND(-Base!$AL$137/$W$2,0)</f>
        <v>0</v>
      </c>
      <c r="AI88" s="354">
        <f>-ROUND(+Base!$AL$240/$W$2,0)</f>
        <v>0</v>
      </c>
      <c r="AJ88" s="354">
        <f t="shared" si="18"/>
        <v>0</v>
      </c>
      <c r="AL88" s="354">
        <f t="shared" si="19"/>
        <v>0</v>
      </c>
      <c r="AN88" s="354">
        <f>-ROUND(+Base!$AL$94/$W$2,0)</f>
        <v>0</v>
      </c>
      <c r="AO88" s="354">
        <f>ROUND(+Base!$AL$133/$W$2,0)</f>
        <v>0</v>
      </c>
      <c r="AP88" s="354">
        <f>-ROUND(+Base!$AL$91/$W$2,0)</f>
        <v>0</v>
      </c>
      <c r="AQ88" s="354">
        <f>-ROUND(+Base!$AL$95/$W$2,0)</f>
        <v>0</v>
      </c>
      <c r="AR88" s="354">
        <f>-ROUND(+Base!$AL$96/$W$2,0)</f>
        <v>0</v>
      </c>
      <c r="AS88" s="354">
        <f>-ROUND(+Base!$AL$74/$W$2,0)</f>
        <v>0</v>
      </c>
      <c r="AT88" s="354">
        <f t="shared" si="20"/>
        <v>0</v>
      </c>
      <c r="AU88" s="354">
        <f>-ROUND(+Base!$AL$102/$W$2,0)</f>
        <v>0</v>
      </c>
      <c r="AV88" s="354">
        <f>-ROUND(+Base!$AL$99/$W$2,0)</f>
        <v>0</v>
      </c>
      <c r="AW88" s="354">
        <f>-ROUND(+Base!$AL$103/$W$2,0)</f>
        <v>0</v>
      </c>
      <c r="AX88" s="354">
        <f>-ROUND(+Base!$AL$75/$W$2,0)</f>
        <v>0</v>
      </c>
      <c r="AY88" s="354">
        <f t="shared" si="26"/>
        <v>0</v>
      </c>
      <c r="AZ88" s="354">
        <f>-ROUND(+Base!$AL$110/$W$2,0)</f>
        <v>0</v>
      </c>
      <c r="BA88" s="354">
        <f>-ROUND(+Base!$AL$113/$W$2,0)</f>
        <v>0</v>
      </c>
      <c r="BB88" s="354">
        <f>-ROUND(+Base!$AL$116/$W$2,0)</f>
        <v>0</v>
      </c>
      <c r="BC88" s="354">
        <f t="shared" si="27"/>
        <v>0</v>
      </c>
      <c r="BD88" s="354">
        <f>-ROUND(+Base!$AL$111/$W$2,0)</f>
        <v>0</v>
      </c>
      <c r="BE88" s="354">
        <f>-ROUND(+Base!$AL$114/$W$2,0)</f>
        <v>0</v>
      </c>
      <c r="BF88" s="354">
        <f>-ROUND(+Base!$AL$117/$W$2,0)</f>
        <v>0</v>
      </c>
      <c r="BG88" s="354">
        <f t="shared" si="28"/>
        <v>0</v>
      </c>
      <c r="BH88" s="354">
        <f>-ROUND(+Base!$AL$123/$W$2,0)</f>
        <v>0</v>
      </c>
      <c r="BI88" s="354">
        <f>-ROUND(+Base!$AL$126/$W$2,0)</f>
        <v>0</v>
      </c>
      <c r="BJ88" s="354">
        <f>-ROUND(+Base!$AL$76/$W$2,0)</f>
        <v>0</v>
      </c>
      <c r="BK88" s="354">
        <f>-ROUND(+Base!$AL$127/$W$2,0)</f>
        <v>0</v>
      </c>
      <c r="BL88" s="354">
        <f t="shared" si="21"/>
        <v>0</v>
      </c>
      <c r="BM88" s="354">
        <f>-ROUND(+Base!$AL$124/$W$2,0)</f>
        <v>0</v>
      </c>
      <c r="BN88" s="354">
        <f>-ROUND(+Base!$AL$134/$W$2,0)</f>
        <v>0</v>
      </c>
      <c r="BO88" s="354">
        <f>-ROUND(+Base!$AL$135/$W$2,0)</f>
        <v>0</v>
      </c>
      <c r="BP88" s="354">
        <f t="shared" si="29"/>
        <v>0</v>
      </c>
      <c r="BQ88" s="354">
        <f t="shared" si="22"/>
        <v>0</v>
      </c>
      <c r="BR88" s="354">
        <f t="shared" si="23"/>
        <v>0</v>
      </c>
      <c r="BS88" s="354"/>
      <c r="BT88" s="354">
        <f>ROUND(+Base!$AL$248/$W$2,0)</f>
        <v>0</v>
      </c>
      <c r="BU88" s="354">
        <f>ROUND(+Base!$AL$251/$W$2,0)</f>
        <v>0</v>
      </c>
      <c r="BV88" s="354">
        <f>ROUND(+Base!$AL$254/$W$2,0)</f>
        <v>0</v>
      </c>
      <c r="BW88" s="354">
        <f>ROUND(+Base!$AL$257/$W$2,0)</f>
        <v>0</v>
      </c>
      <c r="BX88" s="354">
        <f>ROUND(+Base!$AL$258/$W$2,0)</f>
        <v>0</v>
      </c>
      <c r="BY88" s="354">
        <f t="shared" si="24"/>
        <v>0</v>
      </c>
      <c r="BZ88" s="354"/>
      <c r="CA88" s="354"/>
      <c r="CB88" s="354"/>
      <c r="CC88" s="354"/>
      <c r="CD88" s="354"/>
      <c r="CE88" s="354"/>
      <c r="CF88" s="354"/>
      <c r="CG88" s="354"/>
      <c r="CH88" s="354"/>
      <c r="CI88" s="354"/>
      <c r="CJ88" s="354"/>
      <c r="CK88" s="354"/>
      <c r="CL88" s="354"/>
      <c r="CM88" s="693"/>
      <c r="CN88" s="693"/>
      <c r="CO88" s="693"/>
    </row>
    <row r="89" spans="2:93">
      <c r="B89" s="271">
        <f t="shared" si="30"/>
        <v>34</v>
      </c>
      <c r="C89" s="541">
        <f>+Base!AM$4</f>
        <v>95</v>
      </c>
      <c r="D89" s="541">
        <f>+Base!AM$5</f>
        <v>94</v>
      </c>
      <c r="E89" s="540">
        <f>+Base!AM$7</f>
        <v>2052</v>
      </c>
      <c r="F89" s="354">
        <f>ROUND(+Base!$AM$8/$W$2,0)</f>
        <v>0</v>
      </c>
      <c r="G89" s="354">
        <f>ROUND(+Base!$AM$11/$W$2,0)</f>
        <v>0</v>
      </c>
      <c r="H89" s="354">
        <f>ROUND(+Base!$AM$14/$W$2,0)</f>
        <v>0</v>
      </c>
      <c r="I89" s="354">
        <f>ROUND(+Base!$AM$17/$W$2,0)</f>
        <v>0</v>
      </c>
      <c r="J89" s="354">
        <f>ROUND(+Base!$AM$18/$W$2,0)</f>
        <v>0</v>
      </c>
      <c r="K89" s="354">
        <f t="shared" si="25"/>
        <v>0</v>
      </c>
      <c r="M89" s="354">
        <f>ROUND(+Base!$AM$28/$W$2,0)</f>
        <v>0</v>
      </c>
      <c r="N89" s="354">
        <f>ROUND(+Base!$AM$31/$W$2,0)</f>
        <v>0</v>
      </c>
      <c r="O89" s="354">
        <f>ROUND(+Base!$AM$34/$W$2,0)</f>
        <v>0</v>
      </c>
      <c r="P89" s="354">
        <f>ROUND(+Base!$AM$37/$W$2,0)</f>
        <v>0</v>
      </c>
      <c r="Q89" s="354">
        <f>ROUND(+Base!$AM$38/$W$2,0)</f>
        <v>0</v>
      </c>
      <c r="R89" s="354">
        <f>ROUND(+Base!$AM$49/$W$2,0)</f>
        <v>0</v>
      </c>
      <c r="S89" s="354">
        <f>ROUND(+Base!$AM$60/$W$2,0)</f>
        <v>0</v>
      </c>
      <c r="T89" s="354">
        <f>ROUND(+Base!$AM$65/$W$2,0)</f>
        <v>0</v>
      </c>
      <c r="U89" s="354">
        <f>ROUND((Base!$AM$66+Base!$AM$67)/$W$2,0)</f>
        <v>0</v>
      </c>
      <c r="V89" s="354">
        <f>ROUND((Base!$AM$68+Base!$AM$69)/$W$2,0)</f>
        <v>0</v>
      </c>
      <c r="W89" s="354">
        <f t="shared" si="31"/>
        <v>0</v>
      </c>
      <c r="Y89" s="354">
        <f>ROUND(+Base!$AM$144/$W$2,0)</f>
        <v>0</v>
      </c>
      <c r="Z89" s="354">
        <f>ROUND(+Base!$AM$145/$W$2,0)</f>
        <v>0</v>
      </c>
      <c r="AA89" s="354">
        <f>ROUND(-Base!$AM$234/$W$2,0)</f>
        <v>0</v>
      </c>
      <c r="AB89" s="354">
        <f>ROUND(-Base!$AM$236/$W$2,0)</f>
        <v>0</v>
      </c>
      <c r="AC89" s="354">
        <f>ROUND(-Base!$AM$237/$W$2,0)</f>
        <v>0</v>
      </c>
      <c r="AD89" s="354">
        <f>ROUND(-Base!$AM$238/$W$2,0)</f>
        <v>0</v>
      </c>
      <c r="AE89" s="354">
        <f>ROUND(-Base!$AM$96/$W$2,0)</f>
        <v>0</v>
      </c>
      <c r="AF89" s="354">
        <f>ROUND(-Base!$AM$107/$W$2,0)</f>
        <v>0</v>
      </c>
      <c r="AG89" s="354">
        <f>ROUND(-Base!$AM$127/$W$2,0)</f>
        <v>0</v>
      </c>
      <c r="AH89" s="354">
        <f>-ROUND(-Base!$AM$137/$W$2,0)</f>
        <v>0</v>
      </c>
      <c r="AI89" s="354">
        <f>-ROUND(+Base!$AM$240/$W$2,0)</f>
        <v>0</v>
      </c>
      <c r="AJ89" s="354">
        <f t="shared" si="18"/>
        <v>0</v>
      </c>
      <c r="AL89" s="354">
        <f t="shared" si="19"/>
        <v>0</v>
      </c>
      <c r="AN89" s="354">
        <f>-ROUND(+Base!$AM$94/$W$2,0)</f>
        <v>0</v>
      </c>
      <c r="AO89" s="354">
        <f>ROUND(+Base!$AM$133/$W$2,0)</f>
        <v>0</v>
      </c>
      <c r="AP89" s="354">
        <f>-ROUND(+Base!$AM$91/$W$2,0)</f>
        <v>0</v>
      </c>
      <c r="AQ89" s="354">
        <f>-ROUND(+Base!$AM$95/$W$2,0)</f>
        <v>0</v>
      </c>
      <c r="AR89" s="354">
        <f>-ROUND(+Base!$AM$96/$W$2,0)</f>
        <v>0</v>
      </c>
      <c r="AS89" s="354">
        <f>-ROUND(+Base!$AM$74/$W$2,0)</f>
        <v>0</v>
      </c>
      <c r="AT89" s="354">
        <f t="shared" si="20"/>
        <v>0</v>
      </c>
      <c r="AU89" s="354">
        <f>-ROUND(+Base!$AM$102/$W$2,0)</f>
        <v>0</v>
      </c>
      <c r="AV89" s="354">
        <f>-ROUND(+Base!$AM$99/$W$2,0)</f>
        <v>0</v>
      </c>
      <c r="AW89" s="354">
        <f>-ROUND(+Base!$AM$103/$W$2,0)</f>
        <v>0</v>
      </c>
      <c r="AX89" s="354">
        <f>-ROUND(+Base!$AM$75/$W$2,0)</f>
        <v>0</v>
      </c>
      <c r="AY89" s="354">
        <f t="shared" si="26"/>
        <v>0</v>
      </c>
      <c r="AZ89" s="354">
        <f>-ROUND(+Base!$AM$110/$W$2,0)</f>
        <v>0</v>
      </c>
      <c r="BA89" s="354">
        <f>-ROUND(+Base!$AM$113/$W$2,0)</f>
        <v>0</v>
      </c>
      <c r="BB89" s="354">
        <f>-ROUND(+Base!$AM$116/$W$2,0)</f>
        <v>0</v>
      </c>
      <c r="BC89" s="354">
        <f t="shared" si="27"/>
        <v>0</v>
      </c>
      <c r="BD89" s="354">
        <f>-ROUND(+Base!$AM$111/$W$2,0)</f>
        <v>0</v>
      </c>
      <c r="BE89" s="354">
        <f>-ROUND(+Base!$AM$114/$W$2,0)</f>
        <v>0</v>
      </c>
      <c r="BF89" s="354">
        <f>-ROUND(+Base!$AM$117/$W$2,0)</f>
        <v>0</v>
      </c>
      <c r="BG89" s="354">
        <f t="shared" si="28"/>
        <v>0</v>
      </c>
      <c r="BH89" s="354">
        <f>-ROUND(+Base!$AM$123/$W$2,0)</f>
        <v>0</v>
      </c>
      <c r="BI89" s="354">
        <f>-ROUND(+Base!$AM$126/$W$2,0)</f>
        <v>0</v>
      </c>
      <c r="BJ89" s="354">
        <f>-ROUND(+Base!$AM$76/$W$2,0)</f>
        <v>0</v>
      </c>
      <c r="BK89" s="354">
        <f>-ROUND(+Base!$AM$127/$W$2,0)</f>
        <v>0</v>
      </c>
      <c r="BL89" s="354">
        <f t="shared" si="21"/>
        <v>0</v>
      </c>
      <c r="BM89" s="354">
        <f>-ROUND(+Base!$AM$124/$W$2,0)</f>
        <v>0</v>
      </c>
      <c r="BN89" s="354">
        <f>-ROUND(+Base!$AM$134/$W$2,0)</f>
        <v>0</v>
      </c>
      <c r="BO89" s="354">
        <f>-ROUND(+Base!$AM$135/$W$2,0)</f>
        <v>0</v>
      </c>
      <c r="BP89" s="354">
        <f t="shared" si="29"/>
        <v>0</v>
      </c>
      <c r="BQ89" s="354">
        <f t="shared" si="22"/>
        <v>0</v>
      </c>
      <c r="BR89" s="354">
        <f t="shared" si="23"/>
        <v>0</v>
      </c>
      <c r="BS89" s="354"/>
      <c r="BT89" s="354">
        <f>ROUND(+Base!$AM$248/$W$2,0)</f>
        <v>0</v>
      </c>
      <c r="BU89" s="354">
        <f>ROUND(+Base!$AM$251/$W$2,0)</f>
        <v>0</v>
      </c>
      <c r="BV89" s="354">
        <f>ROUND(+Base!$AM$254/$W$2,0)</f>
        <v>0</v>
      </c>
      <c r="BW89" s="354">
        <f>ROUND(+Base!$AM$257/$W$2,0)</f>
        <v>0</v>
      </c>
      <c r="BX89" s="354">
        <f>ROUND(+Base!$AM$258/$W$2,0)</f>
        <v>0</v>
      </c>
      <c r="BY89" s="354">
        <f t="shared" si="24"/>
        <v>0</v>
      </c>
      <c r="BZ89" s="354"/>
      <c r="CA89" s="354"/>
      <c r="CB89" s="354"/>
      <c r="CC89" s="354"/>
      <c r="CD89" s="354"/>
      <c r="CE89" s="354"/>
      <c r="CF89" s="354"/>
      <c r="CG89" s="354"/>
      <c r="CH89" s="354"/>
      <c r="CI89" s="354"/>
      <c r="CJ89" s="354"/>
      <c r="CK89" s="354"/>
      <c r="CL89" s="354"/>
      <c r="CM89" s="693"/>
      <c r="CN89" s="693"/>
      <c r="CO89" s="693"/>
    </row>
    <row r="90" spans="2:93">
      <c r="B90" s="271">
        <f t="shared" si="30"/>
        <v>35</v>
      </c>
      <c r="C90" s="541">
        <f>+Base!AN$4</f>
        <v>96</v>
      </c>
      <c r="D90" s="541">
        <f>+Base!AN$5</f>
        <v>95</v>
      </c>
      <c r="E90" s="540">
        <f>+Base!AN$7</f>
        <v>2053</v>
      </c>
      <c r="F90" s="354">
        <f>ROUND(+Base!$AN$8/$W$2,0)</f>
        <v>0</v>
      </c>
      <c r="G90" s="354">
        <f>ROUND(+Base!$AN$11/$W$2,0)</f>
        <v>0</v>
      </c>
      <c r="H90" s="354">
        <f>ROUND(+Base!$AN$14/$W$2,0)</f>
        <v>0</v>
      </c>
      <c r="I90" s="354">
        <f>ROUND(+Base!$AN$17/$W$2,0)</f>
        <v>0</v>
      </c>
      <c r="J90" s="354">
        <f>ROUND(+Base!$AN$18/$W$2,0)</f>
        <v>0</v>
      </c>
      <c r="K90" s="354">
        <f t="shared" si="25"/>
        <v>0</v>
      </c>
      <c r="M90" s="354">
        <f>ROUND(+Base!$AN$28/$W$2,0)</f>
        <v>0</v>
      </c>
      <c r="N90" s="354">
        <f>ROUND(+Base!$AN$31/$W$2,0)</f>
        <v>0</v>
      </c>
      <c r="O90" s="354">
        <f>ROUND(+Base!$AN$34/$W$2,0)</f>
        <v>0</v>
      </c>
      <c r="P90" s="354">
        <f>ROUND(+Base!$AN$37/$W$2,0)</f>
        <v>0</v>
      </c>
      <c r="Q90" s="354">
        <f>ROUND(+Base!$AN$38/$W$2,0)</f>
        <v>0</v>
      </c>
      <c r="R90" s="354">
        <f>ROUND(+Base!$AN$49/$W$2,0)</f>
        <v>0</v>
      </c>
      <c r="S90" s="354">
        <f>ROUND(+Base!$AN$60/$W$2,0)</f>
        <v>0</v>
      </c>
      <c r="T90" s="354">
        <f>ROUND(+Base!$AN$65/$W$2,0)</f>
        <v>0</v>
      </c>
      <c r="U90" s="354">
        <f>ROUND((Base!$AN$66+Base!$AN$67)/$W$2,0)</f>
        <v>0</v>
      </c>
      <c r="V90" s="354">
        <f>ROUND((Base!$AN$68+Base!$AN$69)/$W$2,0)</f>
        <v>0</v>
      </c>
      <c r="W90" s="354">
        <f t="shared" si="31"/>
        <v>0</v>
      </c>
      <c r="Y90" s="354">
        <f>ROUND(+Base!$AN$144/$W$2,0)</f>
        <v>0</v>
      </c>
      <c r="Z90" s="354">
        <f>ROUND(+Base!$AN$145/$W$2,0)</f>
        <v>0</v>
      </c>
      <c r="AA90" s="354">
        <f>ROUND(-Base!$AN$234/$W$2,0)</f>
        <v>0</v>
      </c>
      <c r="AB90" s="354">
        <f>ROUND(-Base!$AN$236/$W$2,0)</f>
        <v>0</v>
      </c>
      <c r="AC90" s="354">
        <f>ROUND(-Base!$AN$237/$W$2,0)</f>
        <v>0</v>
      </c>
      <c r="AD90" s="354">
        <f>ROUND(-Base!$AN$238/$W$2,0)</f>
        <v>0</v>
      </c>
      <c r="AE90" s="354">
        <f>ROUND(-Base!$AN$96/$W$2,0)</f>
        <v>0</v>
      </c>
      <c r="AF90" s="354">
        <f>ROUND(-Base!$AN$107/$W$2,0)</f>
        <v>0</v>
      </c>
      <c r="AG90" s="354">
        <f>ROUND(-Base!$AN$127/$W$2,0)</f>
        <v>0</v>
      </c>
      <c r="AH90" s="354">
        <f>-ROUND(-Base!$AN$137/$W$2,0)</f>
        <v>0</v>
      </c>
      <c r="AI90" s="354">
        <f>-ROUND(+Base!$AN$240/$W$2,0)</f>
        <v>0</v>
      </c>
      <c r="AJ90" s="354">
        <f t="shared" si="18"/>
        <v>0</v>
      </c>
      <c r="AL90" s="354">
        <f t="shared" si="19"/>
        <v>0</v>
      </c>
      <c r="AN90" s="354">
        <f>-ROUND(+Base!$AN$94/$W$2,0)</f>
        <v>0</v>
      </c>
      <c r="AO90" s="354">
        <f>ROUND(+Base!$AN$133/$W$2,0)</f>
        <v>0</v>
      </c>
      <c r="AP90" s="354">
        <f>-ROUND(+Base!$AN$91/$W$2,0)</f>
        <v>0</v>
      </c>
      <c r="AQ90" s="354">
        <f>-ROUND(+Base!$AN$95/$W$2,0)</f>
        <v>0</v>
      </c>
      <c r="AR90" s="354">
        <f>-ROUND(+Base!$AN$96/$W$2,0)</f>
        <v>0</v>
      </c>
      <c r="AS90" s="354">
        <f>-ROUND(+Base!$AN$74/$W$2,0)</f>
        <v>0</v>
      </c>
      <c r="AT90" s="354">
        <f t="shared" si="20"/>
        <v>0</v>
      </c>
      <c r="AU90" s="354">
        <f>-ROUND(+Base!$AN$102/$W$2,0)</f>
        <v>0</v>
      </c>
      <c r="AV90" s="354">
        <f>-ROUND(+Base!$AN$99/$W$2,0)</f>
        <v>0</v>
      </c>
      <c r="AW90" s="354">
        <f>-ROUND(+Base!$AN$103/$W$2,0)</f>
        <v>0</v>
      </c>
      <c r="AX90" s="354">
        <f>-ROUND(+Base!$AN$75/$W$2,0)</f>
        <v>0</v>
      </c>
      <c r="AY90" s="354">
        <f t="shared" si="26"/>
        <v>0</v>
      </c>
      <c r="AZ90" s="354">
        <f>-ROUND(+Base!$AN$110/$W$2,0)</f>
        <v>0</v>
      </c>
      <c r="BA90" s="354">
        <f>-ROUND(+Base!$AN$113/$W$2,0)</f>
        <v>0</v>
      </c>
      <c r="BB90" s="354">
        <f>-ROUND(+Base!$AN$116/$W$2,0)</f>
        <v>0</v>
      </c>
      <c r="BC90" s="354">
        <f t="shared" si="27"/>
        <v>0</v>
      </c>
      <c r="BD90" s="354">
        <f>-ROUND(+Base!$AN$111/$W$2,0)</f>
        <v>0</v>
      </c>
      <c r="BE90" s="354">
        <f>-ROUND(+Base!$AN$114/$W$2,0)</f>
        <v>0</v>
      </c>
      <c r="BF90" s="354">
        <f>-ROUND(+Base!$AN$117/$W$2,0)</f>
        <v>0</v>
      </c>
      <c r="BG90" s="354">
        <f t="shared" si="28"/>
        <v>0</v>
      </c>
      <c r="BH90" s="354">
        <f>-ROUND(+Base!$AN$123/$W$2,0)</f>
        <v>0</v>
      </c>
      <c r="BI90" s="354">
        <f>-ROUND(+Base!$AN$126/$W$2,0)</f>
        <v>0</v>
      </c>
      <c r="BJ90" s="354">
        <f>-ROUND(+Base!$AN$76/$W$2,0)</f>
        <v>0</v>
      </c>
      <c r="BK90" s="354">
        <f>-ROUND(+Base!$AN$127/$W$2,0)</f>
        <v>0</v>
      </c>
      <c r="BL90" s="354">
        <f t="shared" si="21"/>
        <v>0</v>
      </c>
      <c r="BM90" s="354">
        <f>-ROUND(+Base!$AN$124/$W$2,0)</f>
        <v>0</v>
      </c>
      <c r="BN90" s="354">
        <f>-ROUND(+Base!$AN$134/$W$2,0)</f>
        <v>0</v>
      </c>
      <c r="BO90" s="354">
        <f>-ROUND(+Base!$AN$135/$W$2,0)</f>
        <v>0</v>
      </c>
      <c r="BP90" s="354">
        <f t="shared" si="29"/>
        <v>0</v>
      </c>
      <c r="BQ90" s="354">
        <f t="shared" si="22"/>
        <v>0</v>
      </c>
      <c r="BR90" s="354">
        <f t="shared" si="23"/>
        <v>0</v>
      </c>
      <c r="BS90" s="354"/>
      <c r="BT90" s="354">
        <f>ROUND(+Base!$AN$248/$W$2,0)</f>
        <v>0</v>
      </c>
      <c r="BU90" s="354">
        <f>ROUND(+Base!$AN$251/$W$2,0)</f>
        <v>0</v>
      </c>
      <c r="BV90" s="354">
        <f>ROUND(+Base!$AN$254/$W$2,0)</f>
        <v>0</v>
      </c>
      <c r="BW90" s="354">
        <f>ROUND(+Base!$AN$257/$W$2,0)</f>
        <v>0</v>
      </c>
      <c r="BX90" s="354">
        <f>ROUND(+Base!$AN$258/$W$2,0)</f>
        <v>0</v>
      </c>
      <c r="BY90" s="354">
        <f t="shared" si="24"/>
        <v>0</v>
      </c>
      <c r="BZ90" s="354"/>
      <c r="CA90" s="354"/>
      <c r="CB90" s="354"/>
      <c r="CC90" s="354"/>
      <c r="CD90" s="354"/>
      <c r="CE90" s="354"/>
      <c r="CF90" s="354"/>
      <c r="CG90" s="354"/>
      <c r="CH90" s="354"/>
      <c r="CI90" s="354"/>
      <c r="CJ90" s="354"/>
      <c r="CK90" s="354"/>
      <c r="CL90" s="354"/>
      <c r="CM90" s="693"/>
      <c r="CN90" s="693"/>
      <c r="CO90" s="693"/>
    </row>
    <row r="91" spans="2:93">
      <c r="B91" s="271">
        <f t="shared" si="30"/>
        <v>36</v>
      </c>
      <c r="C91" s="541">
        <f>+Base!AO$4</f>
        <v>97</v>
      </c>
      <c r="D91" s="541">
        <f>+Base!AO$5</f>
        <v>96</v>
      </c>
      <c r="E91" s="540">
        <f>+Base!AO$7</f>
        <v>2054</v>
      </c>
      <c r="F91" s="354">
        <f>ROUND(+Base!$AO$8/$W$2,0)</f>
        <v>0</v>
      </c>
      <c r="G91" s="354">
        <f>ROUND(+Base!$AO$11/$W$2,0)</f>
        <v>0</v>
      </c>
      <c r="H91" s="354">
        <f>ROUND(+Base!$AO$14/$W$2,0)</f>
        <v>0</v>
      </c>
      <c r="I91" s="354">
        <f>ROUND(+Base!$AO$17/$W$2,0)</f>
        <v>0</v>
      </c>
      <c r="J91" s="354">
        <f>ROUND(+Base!$AO$18/$W$2,0)</f>
        <v>0</v>
      </c>
      <c r="K91" s="354">
        <f t="shared" si="25"/>
        <v>0</v>
      </c>
      <c r="M91" s="354">
        <f>ROUND(+Base!$AO$28/$W$2,0)</f>
        <v>0</v>
      </c>
      <c r="N91" s="354">
        <f>ROUND(+Base!$AO$31/$W$2,0)</f>
        <v>0</v>
      </c>
      <c r="O91" s="354">
        <f>ROUND(+Base!$AO$34/$W$2,0)</f>
        <v>0</v>
      </c>
      <c r="P91" s="354">
        <f>ROUND(+Base!$AO$37/$W$2,0)</f>
        <v>0</v>
      </c>
      <c r="Q91" s="354">
        <f>ROUND(+Base!$AO$38/$W$2,0)</f>
        <v>0</v>
      </c>
      <c r="R91" s="354">
        <f>ROUND(+Base!$AO$49/$W$2,0)</f>
        <v>0</v>
      </c>
      <c r="S91" s="354">
        <f>ROUND(+Base!$AO$60/$W$2,0)</f>
        <v>0</v>
      </c>
      <c r="T91" s="354">
        <f>ROUND(+Base!$AO$65/$W$2,0)</f>
        <v>0</v>
      </c>
      <c r="U91" s="354">
        <f>ROUND((Base!$AO$66+Base!$AO$67)/$W$2,0)</f>
        <v>0</v>
      </c>
      <c r="V91" s="354">
        <f>ROUND((Base!$AO$68+Base!$AO$69)/$W$2,0)</f>
        <v>0</v>
      </c>
      <c r="W91" s="354">
        <f t="shared" si="31"/>
        <v>0</v>
      </c>
      <c r="Y91" s="354">
        <f>ROUND(+Base!$AO$144/$W$2,0)</f>
        <v>0</v>
      </c>
      <c r="Z91" s="354">
        <f>ROUND(+Base!$AO$145/$W$2,0)</f>
        <v>0</v>
      </c>
      <c r="AA91" s="354">
        <f>ROUND(-Base!$AO$234/$W$2,0)</f>
        <v>0</v>
      </c>
      <c r="AB91" s="354">
        <f>ROUND(-Base!$AO$236/$W$2,0)</f>
        <v>0</v>
      </c>
      <c r="AC91" s="354">
        <f>ROUND(-Base!$AO$237/$W$2,0)</f>
        <v>0</v>
      </c>
      <c r="AD91" s="354">
        <f>ROUND(-Base!$AO$238/$W$2,0)</f>
        <v>0</v>
      </c>
      <c r="AE91" s="354">
        <f>ROUND(-Base!$AO$96/$W$2,0)</f>
        <v>0</v>
      </c>
      <c r="AF91" s="354">
        <f>ROUND(-Base!$AO$107/$W$2,0)</f>
        <v>0</v>
      </c>
      <c r="AG91" s="354">
        <f>ROUND(-Base!$AO$127/$W$2,0)</f>
        <v>0</v>
      </c>
      <c r="AH91" s="354">
        <f>-ROUND(-Base!$AO$137/$W$2,0)</f>
        <v>0</v>
      </c>
      <c r="AI91" s="354">
        <f>-ROUND(+Base!$AO$240/$W$2,0)</f>
        <v>0</v>
      </c>
      <c r="AJ91" s="354">
        <f t="shared" si="18"/>
        <v>0</v>
      </c>
      <c r="AL91" s="354">
        <f t="shared" si="19"/>
        <v>0</v>
      </c>
      <c r="AN91" s="354">
        <f>-ROUND(+Base!$AO$94/$W$2,0)</f>
        <v>0</v>
      </c>
      <c r="AO91" s="354">
        <f>ROUND(+Base!$AO$133/$W$2,0)</f>
        <v>0</v>
      </c>
      <c r="AP91" s="354">
        <f>-ROUND(+Base!$AO$91/$W$2,0)</f>
        <v>0</v>
      </c>
      <c r="AQ91" s="354">
        <f>-ROUND(+Base!$AO$95/$W$2,0)</f>
        <v>0</v>
      </c>
      <c r="AR91" s="354">
        <f>-ROUND(+Base!$AO$96/$W$2,0)</f>
        <v>0</v>
      </c>
      <c r="AS91" s="354">
        <f>-ROUND(+Base!$AO$74/$W$2,0)</f>
        <v>0</v>
      </c>
      <c r="AT91" s="354">
        <f t="shared" si="20"/>
        <v>0</v>
      </c>
      <c r="AU91" s="354">
        <f>-ROUND(+Base!$AO$102/$W$2,0)</f>
        <v>0</v>
      </c>
      <c r="AV91" s="354">
        <f>-ROUND(+Base!$AO$99/$W$2,0)</f>
        <v>0</v>
      </c>
      <c r="AW91" s="354">
        <f>-ROUND(+Base!$AO$103/$W$2,0)</f>
        <v>0</v>
      </c>
      <c r="AX91" s="354">
        <f>-ROUND(+Base!$AO$75/$W$2,0)</f>
        <v>0</v>
      </c>
      <c r="AY91" s="354">
        <f t="shared" si="26"/>
        <v>0</v>
      </c>
      <c r="AZ91" s="354">
        <f>-ROUND(+Base!$AO$110/$W$2,0)</f>
        <v>0</v>
      </c>
      <c r="BA91" s="354">
        <f>-ROUND(+Base!$AO$113/$W$2,0)</f>
        <v>0</v>
      </c>
      <c r="BB91" s="354">
        <f>-ROUND(+Base!$AO$116/$W$2,0)</f>
        <v>0</v>
      </c>
      <c r="BC91" s="354">
        <f t="shared" si="27"/>
        <v>0</v>
      </c>
      <c r="BD91" s="354">
        <f>-ROUND(+Base!$AO$111/$W$2,0)</f>
        <v>0</v>
      </c>
      <c r="BE91" s="354">
        <f>-ROUND(+Base!$AO$114/$W$2,0)</f>
        <v>0</v>
      </c>
      <c r="BF91" s="354">
        <f>-ROUND(+Base!$AO$117/$W$2,0)</f>
        <v>0</v>
      </c>
      <c r="BG91" s="354">
        <f t="shared" si="28"/>
        <v>0</v>
      </c>
      <c r="BH91" s="354">
        <f>-ROUND(+Base!$AO$123/$W$2,0)</f>
        <v>0</v>
      </c>
      <c r="BI91" s="354">
        <f>-ROUND(+Base!$AO$126/$W$2,0)</f>
        <v>0</v>
      </c>
      <c r="BJ91" s="354">
        <f>-ROUND(+Base!$AO$76/$W$2,0)</f>
        <v>0</v>
      </c>
      <c r="BK91" s="354">
        <f>-ROUND(+Base!$AO$127/$W$2,0)</f>
        <v>0</v>
      </c>
      <c r="BL91" s="354">
        <f t="shared" si="21"/>
        <v>0</v>
      </c>
      <c r="BM91" s="354">
        <f>-ROUND(+Base!$AO$124/$W$2,0)</f>
        <v>0</v>
      </c>
      <c r="BN91" s="354">
        <f>-ROUND(+Base!$AO$134/$W$2,0)</f>
        <v>0</v>
      </c>
      <c r="BO91" s="354">
        <f>-ROUND(+Base!$AO$135/$W$2,0)</f>
        <v>0</v>
      </c>
      <c r="BP91" s="354">
        <f t="shared" si="29"/>
        <v>0</v>
      </c>
      <c r="BQ91" s="354">
        <f t="shared" si="22"/>
        <v>0</v>
      </c>
      <c r="BR91" s="354">
        <f t="shared" si="23"/>
        <v>0</v>
      </c>
      <c r="BS91" s="354"/>
      <c r="BT91" s="354">
        <f>ROUND(+Base!$AO$248/$W$2,0)</f>
        <v>0</v>
      </c>
      <c r="BU91" s="354">
        <f>ROUND(+Base!$AO$251/$W$2,0)</f>
        <v>0</v>
      </c>
      <c r="BV91" s="354">
        <f>ROUND(+Base!$AO$254/$W$2,0)</f>
        <v>0</v>
      </c>
      <c r="BW91" s="354">
        <f>ROUND(+Base!$AO$257/$W$2,0)</f>
        <v>0</v>
      </c>
      <c r="BX91" s="354">
        <f>ROUND(+Base!$AO$258/$W$2,0)</f>
        <v>0</v>
      </c>
      <c r="BY91" s="354">
        <f t="shared" si="24"/>
        <v>0</v>
      </c>
      <c r="BZ91" s="354"/>
      <c r="CA91" s="354"/>
      <c r="CB91" s="354"/>
      <c r="CC91" s="354"/>
      <c r="CD91" s="354"/>
      <c r="CE91" s="354"/>
      <c r="CF91" s="354"/>
      <c r="CG91" s="354"/>
      <c r="CH91" s="354"/>
      <c r="CI91" s="354"/>
      <c r="CJ91" s="354"/>
      <c r="CK91" s="354"/>
      <c r="CL91" s="354"/>
      <c r="CM91" s="693"/>
      <c r="CN91" s="693"/>
      <c r="CO91" s="693"/>
    </row>
    <row r="92" spans="2:93">
      <c r="B92" s="271">
        <f t="shared" si="30"/>
        <v>37</v>
      </c>
      <c r="C92" s="541">
        <f>+Base!AP$4</f>
        <v>98</v>
      </c>
      <c r="D92" s="541">
        <f>+Base!AP$5</f>
        <v>97</v>
      </c>
      <c r="E92" s="540">
        <f>+Base!AP$7</f>
        <v>2055</v>
      </c>
      <c r="F92" s="354">
        <f>ROUND(+Base!$AP$8/$W$2,0)</f>
        <v>0</v>
      </c>
      <c r="G92" s="354">
        <f>ROUND(+Base!$AP$11/$W$2,0)</f>
        <v>0</v>
      </c>
      <c r="H92" s="354">
        <f>ROUND(+Base!$AP$14/$W$2,0)</f>
        <v>0</v>
      </c>
      <c r="I92" s="354">
        <f>ROUND(+Base!$AP$17/$W$2,0)</f>
        <v>0</v>
      </c>
      <c r="J92" s="354">
        <f>ROUND(+Base!$AP$18/$W$2,0)</f>
        <v>0</v>
      </c>
      <c r="K92" s="354">
        <f t="shared" si="25"/>
        <v>0</v>
      </c>
      <c r="M92" s="354">
        <f>ROUND(+Base!$AP$28/$W$2,0)</f>
        <v>0</v>
      </c>
      <c r="N92" s="354">
        <f>ROUND(+Base!$AP$31/$W$2,0)</f>
        <v>0</v>
      </c>
      <c r="O92" s="354">
        <f>ROUND(+Base!$AP$34/$W$2,0)</f>
        <v>0</v>
      </c>
      <c r="P92" s="354">
        <f>ROUND(+Base!$AP$37/$W$2,0)</f>
        <v>0</v>
      </c>
      <c r="Q92" s="354">
        <f>ROUND(+Base!$AP$38/$W$2,0)</f>
        <v>0</v>
      </c>
      <c r="R92" s="354">
        <f>ROUND(+Base!$AP$49/$W$2,0)</f>
        <v>0</v>
      </c>
      <c r="S92" s="354">
        <f>ROUND(+Base!$AP$60/$W$2,0)</f>
        <v>0</v>
      </c>
      <c r="T92" s="354">
        <f>ROUND(+Base!$AP$65/$W$2,0)</f>
        <v>0</v>
      </c>
      <c r="U92" s="354">
        <f>ROUND((Base!$AP$66+Base!$AP$67)/$W$2,0)</f>
        <v>0</v>
      </c>
      <c r="V92" s="354">
        <f>ROUND((Base!$AP$68+Base!$AP$69)/$W$2,0)</f>
        <v>0</v>
      </c>
      <c r="W92" s="354">
        <f t="shared" si="31"/>
        <v>0</v>
      </c>
      <c r="Y92" s="354">
        <f>ROUND(+Base!$AP$144/$W$2,0)</f>
        <v>0</v>
      </c>
      <c r="Z92" s="354">
        <f>ROUND(+Base!$AP$145/$W$2,0)</f>
        <v>0</v>
      </c>
      <c r="AA92" s="354">
        <f>ROUND(-Base!$AP$234/$W$2,0)</f>
        <v>0</v>
      </c>
      <c r="AB92" s="354">
        <f>ROUND(-Base!$AP$236/$W$2,0)</f>
        <v>0</v>
      </c>
      <c r="AC92" s="354">
        <f>ROUND(-Base!$AP$237/$W$2,0)</f>
        <v>0</v>
      </c>
      <c r="AD92" s="354">
        <f>ROUND(-Base!$AP$238/$W$2,0)</f>
        <v>0</v>
      </c>
      <c r="AE92" s="354">
        <f>ROUND(-Base!$AP$96/$W$2,0)</f>
        <v>0</v>
      </c>
      <c r="AF92" s="354">
        <f>ROUND(-Base!$AP$107/$W$2,0)</f>
        <v>0</v>
      </c>
      <c r="AG92" s="354">
        <f>ROUND(-Base!$AP$127/$W$2,0)</f>
        <v>0</v>
      </c>
      <c r="AH92" s="354">
        <f>-ROUND(-Base!$AP$137/$W$2,0)</f>
        <v>0</v>
      </c>
      <c r="AI92" s="354">
        <f>-ROUND(+Base!$AP$240/$W$2,0)</f>
        <v>0</v>
      </c>
      <c r="AJ92" s="354">
        <f t="shared" si="18"/>
        <v>0</v>
      </c>
      <c r="AL92" s="354">
        <f t="shared" si="19"/>
        <v>0</v>
      </c>
      <c r="AN92" s="354">
        <f>-ROUND(+Base!$AP$94/$W$2,0)</f>
        <v>0</v>
      </c>
      <c r="AO92" s="354">
        <f>ROUND(+Base!$AP$133/$W$2,0)</f>
        <v>0</v>
      </c>
      <c r="AP92" s="354">
        <f>-ROUND(+Base!$AP$91/$W$2,0)</f>
        <v>0</v>
      </c>
      <c r="AQ92" s="354">
        <f>-ROUND(+Base!$AP$95/$W$2,0)</f>
        <v>0</v>
      </c>
      <c r="AR92" s="354">
        <f>-ROUND(+Base!$AP$96/$W$2,0)</f>
        <v>0</v>
      </c>
      <c r="AS92" s="354">
        <f>-ROUND(+Base!$AP$74/$W$2,0)</f>
        <v>0</v>
      </c>
      <c r="AT92" s="354">
        <f t="shared" si="20"/>
        <v>0</v>
      </c>
      <c r="AU92" s="354">
        <f>-ROUND(+Base!$AP$102/$W$2,0)</f>
        <v>0</v>
      </c>
      <c r="AV92" s="354">
        <f>-ROUND(+Base!$AP$99/$W$2,0)</f>
        <v>0</v>
      </c>
      <c r="AW92" s="354">
        <f>-ROUND(+Base!$AP$103/$W$2,0)</f>
        <v>0</v>
      </c>
      <c r="AX92" s="354">
        <f>-ROUND(+Base!$AP$75/$W$2,0)</f>
        <v>0</v>
      </c>
      <c r="AY92" s="354">
        <f t="shared" si="26"/>
        <v>0</v>
      </c>
      <c r="AZ92" s="354">
        <f>-ROUND(+Base!$AP$110/$W$2,0)</f>
        <v>0</v>
      </c>
      <c r="BA92" s="354">
        <f>-ROUND(+Base!$AP$113/$W$2,0)</f>
        <v>0</v>
      </c>
      <c r="BB92" s="354">
        <f>-ROUND(+Base!$AP$116/$W$2,0)</f>
        <v>0</v>
      </c>
      <c r="BC92" s="354">
        <f t="shared" si="27"/>
        <v>0</v>
      </c>
      <c r="BD92" s="354">
        <f>-ROUND(+Base!$AP$111/$W$2,0)</f>
        <v>0</v>
      </c>
      <c r="BE92" s="354">
        <f>-ROUND(+Base!$AP$114/$W$2,0)</f>
        <v>0</v>
      </c>
      <c r="BF92" s="354">
        <f>-ROUND(+Base!$AP$117/$W$2,0)</f>
        <v>0</v>
      </c>
      <c r="BG92" s="354">
        <f t="shared" si="28"/>
        <v>0</v>
      </c>
      <c r="BH92" s="354">
        <f>-ROUND(+Base!$AP$123/$W$2,0)</f>
        <v>0</v>
      </c>
      <c r="BI92" s="354">
        <f>-ROUND(+Base!$AP$126/$W$2,0)</f>
        <v>0</v>
      </c>
      <c r="BJ92" s="354">
        <f>-ROUND(+Base!$AP$76/$W$2,0)</f>
        <v>0</v>
      </c>
      <c r="BK92" s="354">
        <f>-ROUND(+Base!$AP$127/$W$2,0)</f>
        <v>0</v>
      </c>
      <c r="BL92" s="354">
        <f t="shared" si="21"/>
        <v>0</v>
      </c>
      <c r="BM92" s="354">
        <f>-ROUND(+Base!$AP$124/$W$2,0)</f>
        <v>0</v>
      </c>
      <c r="BN92" s="354">
        <f>-ROUND(+Base!$AP$134/$W$2,0)</f>
        <v>0</v>
      </c>
      <c r="BO92" s="354">
        <f>-ROUND(+Base!$AP$135/$W$2,0)</f>
        <v>0</v>
      </c>
      <c r="BP92" s="354">
        <f t="shared" si="29"/>
        <v>0</v>
      </c>
      <c r="BQ92" s="354">
        <f t="shared" si="22"/>
        <v>0</v>
      </c>
      <c r="BR92" s="354">
        <f t="shared" si="23"/>
        <v>0</v>
      </c>
      <c r="BS92" s="354"/>
      <c r="BT92" s="354">
        <f>ROUND(+Base!$AP$248/$W$2,0)</f>
        <v>0</v>
      </c>
      <c r="BU92" s="354">
        <f>ROUND(+Base!$AP$251/$W$2,0)</f>
        <v>0</v>
      </c>
      <c r="BV92" s="354">
        <f>ROUND(+Base!$AP$254/$W$2,0)</f>
        <v>0</v>
      </c>
      <c r="BW92" s="354">
        <f>ROUND(+Base!$AP$257/$W$2,0)</f>
        <v>0</v>
      </c>
      <c r="BX92" s="354">
        <f>ROUND(+Base!$AP$258/$W$2,0)</f>
        <v>0</v>
      </c>
      <c r="BY92" s="354">
        <f t="shared" si="24"/>
        <v>0</v>
      </c>
      <c r="BZ92" s="354"/>
      <c r="CA92" s="354"/>
      <c r="CB92" s="354"/>
      <c r="CC92" s="354"/>
      <c r="CD92" s="354"/>
      <c r="CE92" s="354"/>
      <c r="CF92" s="354"/>
      <c r="CG92" s="354"/>
      <c r="CH92" s="354"/>
      <c r="CI92" s="354"/>
      <c r="CJ92" s="354"/>
      <c r="CK92" s="354"/>
      <c r="CL92" s="354"/>
      <c r="CM92" s="693"/>
      <c r="CN92" s="693"/>
      <c r="CO92" s="693"/>
    </row>
    <row r="93" spans="2:93">
      <c r="B93" s="271">
        <f t="shared" si="30"/>
        <v>38</v>
      </c>
      <c r="C93" s="541">
        <f>+Base!AQ$4</f>
        <v>99</v>
      </c>
      <c r="D93" s="541">
        <f>+Base!AQ$5</f>
        <v>98</v>
      </c>
      <c r="E93" s="540">
        <f>+Base!AQ$7</f>
        <v>2056</v>
      </c>
      <c r="F93" s="354">
        <f>ROUND(+Base!$AQ$8/$W$2,0)</f>
        <v>0</v>
      </c>
      <c r="G93" s="354">
        <f>ROUND(+Base!$AQ$11/$W$2,0)</f>
        <v>0</v>
      </c>
      <c r="H93" s="354">
        <f>ROUND(+Base!$AQ$14/$W$2,0)</f>
        <v>0</v>
      </c>
      <c r="I93" s="354">
        <f>ROUND(+Base!$AQ$17/$W$2,0)</f>
        <v>0</v>
      </c>
      <c r="J93" s="354">
        <f>ROUND(+Base!$AQ$18/$W$2,0)</f>
        <v>0</v>
      </c>
      <c r="K93" s="354">
        <f t="shared" si="25"/>
        <v>0</v>
      </c>
      <c r="M93" s="354">
        <f>ROUND(+Base!$AQ$28/$W$2,0)</f>
        <v>0</v>
      </c>
      <c r="N93" s="354">
        <f>ROUND(+Base!$AQ$31/$W$2,0)</f>
        <v>0</v>
      </c>
      <c r="O93" s="354">
        <f>ROUND(+Base!$AQ$34/$W$2,0)</f>
        <v>0</v>
      </c>
      <c r="P93" s="354">
        <f>ROUND(+Base!$AQ$37/$W$2,0)</f>
        <v>0</v>
      </c>
      <c r="Q93" s="354">
        <f>ROUND(+Base!$AQ$38/$W$2,0)</f>
        <v>0</v>
      </c>
      <c r="R93" s="354">
        <f>ROUND(+Base!$AQ$49/$W$2,0)</f>
        <v>0</v>
      </c>
      <c r="S93" s="354">
        <f>ROUND(+Base!$AQ$60/$W$2,0)</f>
        <v>0</v>
      </c>
      <c r="T93" s="354">
        <f>ROUND(+Base!$AQ$65/$W$2,0)</f>
        <v>0</v>
      </c>
      <c r="U93" s="354">
        <f>ROUND((Base!$AQ$66+Base!$AQ$67)/$W$2,0)</f>
        <v>0</v>
      </c>
      <c r="V93" s="354">
        <f>ROUND((Base!$AQ$68+Base!$AQ$69)/$W$2,0)</f>
        <v>0</v>
      </c>
      <c r="W93" s="354">
        <f t="shared" si="31"/>
        <v>0</v>
      </c>
      <c r="Y93" s="354">
        <f>ROUND(+Base!$AQ$144/$W$2,0)</f>
        <v>0</v>
      </c>
      <c r="Z93" s="354">
        <f>ROUND(+Base!$AQ$145/$W$2,0)</f>
        <v>0</v>
      </c>
      <c r="AA93" s="354">
        <f>ROUND(-Base!$AQ$234/$W$2,0)</f>
        <v>0</v>
      </c>
      <c r="AB93" s="354">
        <f>ROUND(-Base!$AQ$236/$W$2,0)</f>
        <v>0</v>
      </c>
      <c r="AC93" s="354">
        <f>ROUND(-Base!$AQ$237/$W$2,0)</f>
        <v>0</v>
      </c>
      <c r="AD93" s="354">
        <f>ROUND(-Base!$AQ$238/$W$2,0)</f>
        <v>0</v>
      </c>
      <c r="AE93" s="354">
        <f>ROUND(-Base!$AQ$96/$W$2,0)</f>
        <v>0</v>
      </c>
      <c r="AF93" s="354">
        <f>ROUND(-Base!$AQ$107/$W$2,0)</f>
        <v>0</v>
      </c>
      <c r="AG93" s="354">
        <f>ROUND(-Base!$AQ$127/$W$2,0)</f>
        <v>0</v>
      </c>
      <c r="AH93" s="354">
        <f>-ROUND(-Base!$AQ$137/$W$2,0)</f>
        <v>0</v>
      </c>
      <c r="AI93" s="354">
        <f>-ROUND(+Base!$AQ$240/$W$2,0)</f>
        <v>0</v>
      </c>
      <c r="AJ93" s="354">
        <f t="shared" si="18"/>
        <v>0</v>
      </c>
      <c r="AL93" s="354">
        <f t="shared" si="19"/>
        <v>0</v>
      </c>
      <c r="AN93" s="354">
        <f>-ROUND(+Base!$AQ$94/$W$2,0)</f>
        <v>0</v>
      </c>
      <c r="AO93" s="354">
        <f>ROUND(+Base!$AQ$133/$W$2,0)</f>
        <v>0</v>
      </c>
      <c r="AP93" s="354">
        <f>-ROUND(+Base!$AQ$91/$W$2,0)</f>
        <v>0</v>
      </c>
      <c r="AQ93" s="354">
        <f>-ROUND(+Base!$AQ$95/$W$2,0)</f>
        <v>0</v>
      </c>
      <c r="AR93" s="354">
        <f>-ROUND(+Base!$AQ$96/$W$2,0)</f>
        <v>0</v>
      </c>
      <c r="AS93" s="354">
        <f>-ROUND(+Base!$AQ$74/$W$2,0)</f>
        <v>0</v>
      </c>
      <c r="AT93" s="354">
        <f t="shared" si="20"/>
        <v>0</v>
      </c>
      <c r="AU93" s="354">
        <f>-ROUND(+Base!$AQ$102/$W$2,0)</f>
        <v>0</v>
      </c>
      <c r="AV93" s="354">
        <f>-ROUND(+Base!$AQ$99/$W$2,0)</f>
        <v>0</v>
      </c>
      <c r="AW93" s="354">
        <f>-ROUND(+Base!$AQ$103/$W$2,0)</f>
        <v>0</v>
      </c>
      <c r="AX93" s="354">
        <f>-ROUND(+Base!$AQ$75/$W$2,0)</f>
        <v>0</v>
      </c>
      <c r="AY93" s="354">
        <f t="shared" si="26"/>
        <v>0</v>
      </c>
      <c r="AZ93" s="354">
        <f>-ROUND(+Base!$AQ$110/$W$2,0)</f>
        <v>0</v>
      </c>
      <c r="BA93" s="354">
        <f>-ROUND(+Base!$AQ$113/$W$2,0)</f>
        <v>0</v>
      </c>
      <c r="BB93" s="354">
        <f>-ROUND(+Base!$AQ$116/$W$2,0)</f>
        <v>0</v>
      </c>
      <c r="BC93" s="354">
        <f t="shared" si="27"/>
        <v>0</v>
      </c>
      <c r="BD93" s="354">
        <f>-ROUND(+Base!$AQ$111/$W$2,0)</f>
        <v>0</v>
      </c>
      <c r="BE93" s="354">
        <f>-ROUND(+Base!$AQ$114/$W$2,0)</f>
        <v>0</v>
      </c>
      <c r="BF93" s="354">
        <f>-ROUND(+Base!$AQ$117/$W$2,0)</f>
        <v>0</v>
      </c>
      <c r="BG93" s="354">
        <f t="shared" si="28"/>
        <v>0</v>
      </c>
      <c r="BH93" s="354">
        <f>-ROUND(+Base!$AQ$123/$W$2,0)</f>
        <v>0</v>
      </c>
      <c r="BI93" s="354">
        <f>-ROUND(+Base!$AQ$126/$W$2,0)</f>
        <v>0</v>
      </c>
      <c r="BJ93" s="354">
        <f>-ROUND(+Base!$AQ$76/$W$2,0)</f>
        <v>0</v>
      </c>
      <c r="BK93" s="354">
        <f>-ROUND(+Base!$AQ$127/$W$2,0)</f>
        <v>0</v>
      </c>
      <c r="BL93" s="354">
        <f t="shared" si="21"/>
        <v>0</v>
      </c>
      <c r="BM93" s="354">
        <f>-ROUND(+Base!$AQ$124/$W$2,0)</f>
        <v>0</v>
      </c>
      <c r="BN93" s="354">
        <f>-ROUND(+Base!$AQ$134/$W$2,0)</f>
        <v>0</v>
      </c>
      <c r="BO93" s="354">
        <f>-ROUND(+Base!$AQ$135/$W$2,0)</f>
        <v>0</v>
      </c>
      <c r="BP93" s="354">
        <f t="shared" si="29"/>
        <v>0</v>
      </c>
      <c r="BQ93" s="354">
        <f t="shared" si="22"/>
        <v>0</v>
      </c>
      <c r="BR93" s="354">
        <f t="shared" si="23"/>
        <v>0</v>
      </c>
      <c r="BS93" s="354"/>
      <c r="BT93" s="354">
        <f>ROUND(+Base!$AQ$248/$W$2,0)</f>
        <v>0</v>
      </c>
      <c r="BU93" s="354">
        <f>ROUND(+Base!$AQ$251/$W$2,0)</f>
        <v>0</v>
      </c>
      <c r="BV93" s="354">
        <f>ROUND(+Base!$AQ$254/$W$2,0)</f>
        <v>0</v>
      </c>
      <c r="BW93" s="354">
        <f>ROUND(+Base!$AQ$257/$W$2,0)</f>
        <v>0</v>
      </c>
      <c r="BX93" s="354">
        <f>ROUND(+Base!$AQ$258/$W$2,0)</f>
        <v>0</v>
      </c>
      <c r="BY93" s="354">
        <f t="shared" si="24"/>
        <v>0</v>
      </c>
      <c r="BZ93" s="354"/>
      <c r="CA93" s="354"/>
      <c r="CB93" s="354"/>
      <c r="CC93" s="354"/>
      <c r="CD93" s="354"/>
      <c r="CE93" s="354"/>
      <c r="CF93" s="354"/>
      <c r="CG93" s="354"/>
      <c r="CH93" s="354"/>
      <c r="CI93" s="354"/>
      <c r="CJ93" s="354"/>
      <c r="CK93" s="354"/>
      <c r="CL93" s="354"/>
      <c r="CM93" s="693"/>
      <c r="CN93" s="693"/>
      <c r="CO93" s="693"/>
    </row>
    <row r="94" spans="2:93">
      <c r="B94" s="271">
        <f t="shared" si="30"/>
        <v>39</v>
      </c>
      <c r="C94" s="541">
        <f>+Base!AR$4</f>
        <v>100</v>
      </c>
      <c r="D94" s="541">
        <f>+Base!AR$5</f>
        <v>99</v>
      </c>
      <c r="E94" s="540">
        <f>+Base!AR$7</f>
        <v>2057</v>
      </c>
      <c r="F94" s="354">
        <f>ROUND(+Base!$AR$8/$W$2,0)</f>
        <v>0</v>
      </c>
      <c r="G94" s="354">
        <f>ROUND(+Base!$AR$11/$W$2,0)</f>
        <v>0</v>
      </c>
      <c r="H94" s="354">
        <f>ROUND(+Base!$AR$14/$W$2,0)</f>
        <v>0</v>
      </c>
      <c r="I94" s="354">
        <f>ROUND(+Base!$AR$17/$W$2,0)</f>
        <v>0</v>
      </c>
      <c r="J94" s="354">
        <f>ROUND(+Base!$AR$18/$W$2,0)</f>
        <v>0</v>
      </c>
      <c r="K94" s="354">
        <f t="shared" si="25"/>
        <v>0</v>
      </c>
      <c r="M94" s="354">
        <f>ROUND(+Base!$AR$28/$W$2,0)</f>
        <v>0</v>
      </c>
      <c r="N94" s="354">
        <f>ROUND(+Base!$AR$31/$W$2,0)</f>
        <v>0</v>
      </c>
      <c r="O94" s="354">
        <f>ROUND(+Base!$AR$34/$W$2,0)</f>
        <v>0</v>
      </c>
      <c r="P94" s="354">
        <f>ROUND(+Base!$AR$37/$W$2,0)</f>
        <v>0</v>
      </c>
      <c r="Q94" s="354">
        <f>ROUND(+Base!$AR$38/$W$2,0)</f>
        <v>0</v>
      </c>
      <c r="R94" s="354">
        <f>ROUND(+Base!$AR$49/$W$2,0)</f>
        <v>0</v>
      </c>
      <c r="S94" s="354">
        <f>ROUND(+Base!$AR$60/$W$2,0)</f>
        <v>0</v>
      </c>
      <c r="T94" s="354">
        <f>ROUND(+Base!$AR$65/$W$2,0)</f>
        <v>0</v>
      </c>
      <c r="U94" s="354">
        <f>ROUND((Base!$AR$66+Base!$AR$67)/$W$2,0)</f>
        <v>0</v>
      </c>
      <c r="V94" s="354">
        <f>ROUND((Base!$AR$68+Base!$AR$69)/$W$2,0)</f>
        <v>0</v>
      </c>
      <c r="W94" s="354">
        <f t="shared" si="31"/>
        <v>0</v>
      </c>
      <c r="Y94" s="354">
        <f>ROUND(+Base!$AR$144/$W$2,0)</f>
        <v>0</v>
      </c>
      <c r="Z94" s="354">
        <f>ROUND(+Base!$AR$145/$W$2,0)</f>
        <v>0</v>
      </c>
      <c r="AA94" s="354">
        <f>ROUND(-Base!$AR$234/$W$2,0)</f>
        <v>0</v>
      </c>
      <c r="AB94" s="354">
        <f>ROUND(-Base!$AR$236/$W$2,0)</f>
        <v>0</v>
      </c>
      <c r="AC94" s="354">
        <f>ROUND(-Base!$AR$237/$W$2,0)</f>
        <v>0</v>
      </c>
      <c r="AD94" s="354">
        <f>ROUND(-Base!$AR$238/$W$2,0)</f>
        <v>0</v>
      </c>
      <c r="AE94" s="354">
        <f>ROUND(-Base!$AR$96/$W$2,0)</f>
        <v>0</v>
      </c>
      <c r="AF94" s="354">
        <f>ROUND(-Base!$AR$107/$W$2,0)</f>
        <v>0</v>
      </c>
      <c r="AG94" s="354">
        <f>ROUND(-Base!$AR$127/$W$2,0)</f>
        <v>0</v>
      </c>
      <c r="AH94" s="354">
        <f>-ROUND(-Base!$AR$137/$W$2,0)</f>
        <v>0</v>
      </c>
      <c r="AI94" s="354">
        <f>-ROUND(+Base!$AR$240/$W$2,0)</f>
        <v>0</v>
      </c>
      <c r="AJ94" s="354">
        <f t="shared" si="18"/>
        <v>0</v>
      </c>
      <c r="AL94" s="354">
        <f t="shared" si="19"/>
        <v>0</v>
      </c>
      <c r="AN94" s="354">
        <f>-ROUND(+Base!$AR$94/$W$2,0)</f>
        <v>0</v>
      </c>
      <c r="AO94" s="354">
        <f>ROUND(+Base!$AR$133/$W$2,0)</f>
        <v>0</v>
      </c>
      <c r="AP94" s="354">
        <f>-ROUND(+Base!$AR$91/$W$2,0)</f>
        <v>0</v>
      </c>
      <c r="AQ94" s="354">
        <f>-ROUND(+Base!$AR$95/$W$2,0)</f>
        <v>0</v>
      </c>
      <c r="AR94" s="354">
        <f>-ROUND(+Base!$AR$96/$W$2,0)</f>
        <v>0</v>
      </c>
      <c r="AS94" s="354">
        <f>-ROUND(+Base!$AR$74/$W$2,0)</f>
        <v>0</v>
      </c>
      <c r="AT94" s="354">
        <f t="shared" si="20"/>
        <v>0</v>
      </c>
      <c r="AU94" s="354">
        <f>-ROUND(+Base!$AR$102/$W$2,0)</f>
        <v>0</v>
      </c>
      <c r="AV94" s="354">
        <f>-ROUND(+Base!$AR$99/$W$2,0)</f>
        <v>0</v>
      </c>
      <c r="AW94" s="354">
        <f>-ROUND(+Base!$AR$103/$W$2,0)</f>
        <v>0</v>
      </c>
      <c r="AX94" s="354">
        <f>-ROUND(+Base!$AR$75/$W$2,0)</f>
        <v>0</v>
      </c>
      <c r="AY94" s="354">
        <f t="shared" si="26"/>
        <v>0</v>
      </c>
      <c r="AZ94" s="354">
        <f>-ROUND(+Base!$AR$110/$W$2,0)</f>
        <v>0</v>
      </c>
      <c r="BA94" s="354">
        <f>-ROUND(+Base!$AR$113/$W$2,0)</f>
        <v>0</v>
      </c>
      <c r="BB94" s="354">
        <f>-ROUND(+Base!$AR$116/$W$2,0)</f>
        <v>0</v>
      </c>
      <c r="BC94" s="354">
        <f t="shared" si="27"/>
        <v>0</v>
      </c>
      <c r="BD94" s="354">
        <f>-ROUND(+Base!$AR$111/$W$2,0)</f>
        <v>0</v>
      </c>
      <c r="BE94" s="354">
        <f>-ROUND(+Base!$AR$114/$W$2,0)</f>
        <v>0</v>
      </c>
      <c r="BF94" s="354">
        <f>-ROUND(+Base!$AR$117/$W$2,0)</f>
        <v>0</v>
      </c>
      <c r="BG94" s="354">
        <f t="shared" si="28"/>
        <v>0</v>
      </c>
      <c r="BH94" s="354">
        <f>-ROUND(+Base!$AR$123/$W$2,0)</f>
        <v>0</v>
      </c>
      <c r="BI94" s="354">
        <f>-ROUND(+Base!$AR$126/$W$2,0)</f>
        <v>0</v>
      </c>
      <c r="BJ94" s="354">
        <f>-ROUND(+Base!$AR$76/$W$2,0)</f>
        <v>0</v>
      </c>
      <c r="BK94" s="354">
        <f>-ROUND(+Base!$AR$127/$W$2,0)</f>
        <v>0</v>
      </c>
      <c r="BL94" s="354">
        <f t="shared" si="21"/>
        <v>0</v>
      </c>
      <c r="BM94" s="354">
        <f>-ROUND(+Base!$AR$124/$W$2,0)</f>
        <v>0</v>
      </c>
      <c r="BN94" s="354">
        <f>-ROUND(+Base!$AR$134/$W$2,0)</f>
        <v>0</v>
      </c>
      <c r="BO94" s="354">
        <f>-ROUND(+Base!$AR$135/$W$2,0)</f>
        <v>0</v>
      </c>
      <c r="BP94" s="354">
        <f t="shared" si="29"/>
        <v>0</v>
      </c>
      <c r="BQ94" s="354">
        <f t="shared" si="22"/>
        <v>0</v>
      </c>
      <c r="BR94" s="354">
        <f t="shared" si="23"/>
        <v>0</v>
      </c>
      <c r="BS94" s="354"/>
      <c r="BT94" s="354">
        <f>ROUND(+Base!$AR$248/$W$2,0)</f>
        <v>0</v>
      </c>
      <c r="BU94" s="354">
        <f>ROUND(+Base!$AR$251/$W$2,0)</f>
        <v>0</v>
      </c>
      <c r="BV94" s="354">
        <f>ROUND(+Base!$AR$254/$W$2,0)</f>
        <v>0</v>
      </c>
      <c r="BW94" s="354">
        <f>ROUND(+Base!$AR$257/$W$2,0)</f>
        <v>0</v>
      </c>
      <c r="BX94" s="354">
        <f>ROUND(+Base!$AR$258/$W$2,0)</f>
        <v>0</v>
      </c>
      <c r="BY94" s="354">
        <f t="shared" si="24"/>
        <v>0</v>
      </c>
      <c r="BZ94" s="354"/>
      <c r="CA94" s="354"/>
      <c r="CB94" s="354"/>
      <c r="CC94" s="354"/>
      <c r="CD94" s="354"/>
      <c r="CE94" s="354"/>
      <c r="CF94" s="354"/>
      <c r="CG94" s="354"/>
      <c r="CH94" s="354"/>
      <c r="CI94" s="354"/>
      <c r="CJ94" s="354"/>
      <c r="CK94" s="354"/>
      <c r="CL94" s="354"/>
      <c r="CM94" s="693"/>
      <c r="CN94" s="693"/>
      <c r="CO94" s="693"/>
    </row>
    <row r="95" spans="2:93">
      <c r="B95" s="271">
        <f t="shared" si="30"/>
        <v>40</v>
      </c>
      <c r="C95" s="541">
        <f>+Base!AS$4</f>
        <v>101</v>
      </c>
      <c r="D95" s="541">
        <f>+Base!AS$5</f>
        <v>100</v>
      </c>
      <c r="E95" s="540">
        <f>+Base!AS$7</f>
        <v>2058</v>
      </c>
      <c r="F95" s="354">
        <f>ROUND(+Base!$AS$8/$W$2,0)</f>
        <v>0</v>
      </c>
      <c r="G95" s="354">
        <f>ROUND(+Base!$AS$11/$W$2,0)</f>
        <v>0</v>
      </c>
      <c r="H95" s="354">
        <f>ROUND(+Base!$AS$14/$W$2,0)</f>
        <v>0</v>
      </c>
      <c r="I95" s="354">
        <f>ROUND(+Base!$AS$17/$W$2,0)</f>
        <v>0</v>
      </c>
      <c r="J95" s="354">
        <f>ROUND(+Base!$AS$18/$W$2,0)</f>
        <v>0</v>
      </c>
      <c r="K95" s="354">
        <f t="shared" si="25"/>
        <v>0</v>
      </c>
      <c r="M95" s="578">
        <f>ROUND(+Base!$AS$28/$W$2,0)</f>
        <v>0</v>
      </c>
      <c r="N95" s="578">
        <f>ROUND(+Base!$AS$31/$W$2,0)</f>
        <v>0</v>
      </c>
      <c r="O95" s="578">
        <f>ROUND(+Base!$AS$34/$W$2,0)</f>
        <v>0</v>
      </c>
      <c r="P95" s="578">
        <f>ROUND(+Base!$AS$37/$W$2,0)</f>
        <v>0</v>
      </c>
      <c r="Q95" s="578">
        <f>ROUND(+Base!$AS$38/$W$2,0)</f>
        <v>0</v>
      </c>
      <c r="R95" s="578">
        <f>ROUND(+Base!$AS$49/$W$2,0)</f>
        <v>0</v>
      </c>
      <c r="S95" s="578">
        <f>ROUND(+Base!$AS$60/$W$2,0)</f>
        <v>0</v>
      </c>
      <c r="T95" s="578">
        <f>ROUND(+Base!$AS$65/$W$2,0)</f>
        <v>0</v>
      </c>
      <c r="U95" s="578">
        <f>ROUND((Base!$AS$66+Base!$AS$67)/$W$2,0)</f>
        <v>0</v>
      </c>
      <c r="V95" s="578">
        <f>ROUND((Base!$AS$68+Base!$AS$69)/$W$2,0)</f>
        <v>0</v>
      </c>
      <c r="W95" s="578">
        <f t="shared" si="31"/>
        <v>0</v>
      </c>
      <c r="Y95" s="578">
        <f>ROUND(+Base!$AS$144/$W$2,0)</f>
        <v>0</v>
      </c>
      <c r="Z95" s="578">
        <f>ROUND(+Base!$AS$145/$W$2,0)</f>
        <v>0</v>
      </c>
      <c r="AA95" s="578">
        <f>ROUND(-Base!$AS$234/$W$2,0)</f>
        <v>0</v>
      </c>
      <c r="AB95" s="578">
        <f>ROUND(-Base!$AS$236/$W$2,0)</f>
        <v>0</v>
      </c>
      <c r="AC95" s="578">
        <f>ROUND(-Base!$AS$237/$W$2,0)</f>
        <v>0</v>
      </c>
      <c r="AD95" s="578">
        <f>ROUND(-Base!$AS$238/$W$2,0)</f>
        <v>0</v>
      </c>
      <c r="AE95" s="578">
        <f>ROUND(-Base!$AS$96/$W$2,0)</f>
        <v>0</v>
      </c>
      <c r="AF95" s="578">
        <f>ROUND(-Base!$AS$107/$W$2,0)</f>
        <v>0</v>
      </c>
      <c r="AG95" s="578">
        <f>ROUND(-Base!$AS$127/$W$2,0)</f>
        <v>0</v>
      </c>
      <c r="AH95" s="578">
        <f>-ROUND(-Base!$AS$137/$W$2,0)</f>
        <v>0</v>
      </c>
      <c r="AI95" s="578">
        <f>-ROUND(+Base!$AS$240/$W$2,0)</f>
        <v>0</v>
      </c>
      <c r="AJ95" s="578">
        <f t="shared" si="18"/>
        <v>0</v>
      </c>
      <c r="AL95" s="354">
        <f t="shared" si="19"/>
        <v>0</v>
      </c>
      <c r="AN95" s="578">
        <f>-ROUND(+Base!$AS$94/$W$2,0)</f>
        <v>0</v>
      </c>
      <c r="AO95" s="578">
        <f>ROUND(+Base!$AS$133/$W$2,0)</f>
        <v>0</v>
      </c>
      <c r="AP95" s="578">
        <f>-ROUND(+Base!$AS$91/$W$2,0)</f>
        <v>0</v>
      </c>
      <c r="AQ95" s="578">
        <f>-ROUND(+Base!$AS$95/$W$2,0)</f>
        <v>0</v>
      </c>
      <c r="AR95" s="578">
        <f>-ROUND(+Base!$AS$96/$W$2,0)</f>
        <v>0</v>
      </c>
      <c r="AS95" s="578">
        <f>-ROUND(+Base!$AS$74/$W$2,0)</f>
        <v>0</v>
      </c>
      <c r="AT95" s="578">
        <f t="shared" si="20"/>
        <v>0</v>
      </c>
      <c r="AU95" s="578">
        <f>-ROUND(+Base!$AS$102/$W$2,0)</f>
        <v>0</v>
      </c>
      <c r="AV95" s="578">
        <f>-ROUND(+Base!$AS$99/$W$2,0)</f>
        <v>0</v>
      </c>
      <c r="AW95" s="578">
        <f>-ROUND(+Base!$AS$103/$W$2,0)</f>
        <v>0</v>
      </c>
      <c r="AX95" s="578">
        <f>-ROUND(+Base!$AS$75/$W$2,0)</f>
        <v>0</v>
      </c>
      <c r="AY95" s="578">
        <f t="shared" si="26"/>
        <v>0</v>
      </c>
      <c r="AZ95" s="578">
        <f>-ROUND(+Base!$AS$110/$W$2,0)</f>
        <v>0</v>
      </c>
      <c r="BA95" s="578">
        <f>-ROUND(+Base!$AS$113/$W$2,0)</f>
        <v>0</v>
      </c>
      <c r="BB95" s="578">
        <f>-ROUND(+Base!$AS$116/$W$2,0)</f>
        <v>0</v>
      </c>
      <c r="BC95" s="578">
        <f t="shared" si="27"/>
        <v>0</v>
      </c>
      <c r="BD95" s="578">
        <f>-ROUND(+Base!$AS$111/$W$2,0)</f>
        <v>0</v>
      </c>
      <c r="BE95" s="578">
        <f>-ROUND(+Base!$AS$114/$W$2,0)</f>
        <v>0</v>
      </c>
      <c r="BF95" s="578">
        <f>-ROUND(+Base!$AS$117/$W$2,0)</f>
        <v>0</v>
      </c>
      <c r="BG95" s="578">
        <f t="shared" si="28"/>
        <v>0</v>
      </c>
      <c r="BH95" s="578">
        <f>-ROUND(+Base!$AS$123/$W$2,0)</f>
        <v>0</v>
      </c>
      <c r="BI95" s="578">
        <f>-ROUND(+Base!$AS$126/$W$2,0)</f>
        <v>0</v>
      </c>
      <c r="BJ95" s="578">
        <f>-ROUND(+Base!$AS$76/$W$2,0)</f>
        <v>0</v>
      </c>
      <c r="BK95" s="578">
        <f>-ROUND(+Base!$AS$127/$W$2,0)</f>
        <v>0</v>
      </c>
      <c r="BL95" s="578">
        <f t="shared" si="21"/>
        <v>0</v>
      </c>
      <c r="BM95" s="578">
        <f>-ROUND(+Base!$AS$124/$W$2,0)</f>
        <v>0</v>
      </c>
      <c r="BN95" s="578">
        <f>-ROUND(+Base!$AS$134/$W$2,0)</f>
        <v>0</v>
      </c>
      <c r="BO95" s="578">
        <f>-ROUND(+Base!$AS$135/$W$2,0)</f>
        <v>0</v>
      </c>
      <c r="BP95" s="578">
        <f t="shared" si="29"/>
        <v>0</v>
      </c>
      <c r="BQ95" s="578">
        <f t="shared" si="22"/>
        <v>0</v>
      </c>
      <c r="BR95" s="578">
        <f t="shared" si="23"/>
        <v>0</v>
      </c>
      <c r="BS95" s="585"/>
      <c r="BT95" s="354">
        <f>ROUND(+Base!$AS$248/$W$2,0)</f>
        <v>0</v>
      </c>
      <c r="BU95" s="354">
        <f>ROUND(+Base!$AS$251/$W$2,0)</f>
        <v>0</v>
      </c>
      <c r="BV95" s="354">
        <f>ROUND(+Base!$AS$254/$W$2,0)</f>
        <v>0</v>
      </c>
      <c r="BW95" s="354">
        <f>ROUND(+Base!$AS$257/$W$2,0)</f>
        <v>0</v>
      </c>
      <c r="BX95" s="354">
        <f>ROUND(+Base!$AS$258/$W$2,0)</f>
        <v>0</v>
      </c>
      <c r="BY95" s="354">
        <f>SUM(BT95:BX95)</f>
        <v>0</v>
      </c>
      <c r="BZ95" s="585"/>
      <c r="CA95" s="585"/>
      <c r="CB95" s="585"/>
      <c r="CC95" s="585"/>
      <c r="CD95" s="585"/>
      <c r="CE95" s="585"/>
      <c r="CF95" s="585"/>
      <c r="CG95" s="585"/>
      <c r="CH95" s="585"/>
      <c r="CI95" s="585"/>
      <c r="CJ95" s="585"/>
      <c r="CK95" s="585"/>
      <c r="CL95" s="585"/>
      <c r="CM95" s="693"/>
      <c r="CN95" s="693"/>
      <c r="CO95" s="693"/>
    </row>
    <row r="96" spans="2:93">
      <c r="B96" s="726" t="s">
        <v>1458</v>
      </c>
      <c r="C96" s="541"/>
      <c r="D96" s="541"/>
      <c r="F96" s="33">
        <f ca="1">ROUND(+Base!$E248/$W$2,0)</f>
        <v>1539</v>
      </c>
      <c r="G96" s="33">
        <f ca="1">ROUND(+Base!$E11/$W$2,0)</f>
        <v>726</v>
      </c>
      <c r="H96" s="33">
        <f ca="1">ROUND(+Base!$E14/$W$2,0)</f>
        <v>0</v>
      </c>
      <c r="I96" s="33">
        <f ca="1">ROUND(+Base!$E17/$W$2,0)</f>
        <v>438</v>
      </c>
      <c r="J96" s="33">
        <f ca="1">ROUND(+Base!$E18/$W$2,0)</f>
        <v>0</v>
      </c>
      <c r="K96" s="33">
        <f ca="1">SUM(F96:J96)</f>
        <v>2703</v>
      </c>
      <c r="M96" s="354">
        <f t="shared" ref="M96:T96" si="32">SUM(M56:M95)</f>
        <v>751</v>
      </c>
      <c r="N96" s="354">
        <f t="shared" si="32"/>
        <v>1391</v>
      </c>
      <c r="O96" s="354">
        <f t="shared" si="32"/>
        <v>44</v>
      </c>
      <c r="P96" s="354">
        <f t="shared" si="32"/>
        <v>386</v>
      </c>
      <c r="Q96" s="354">
        <f t="shared" si="32"/>
        <v>0</v>
      </c>
      <c r="R96" s="354">
        <f t="shared" si="32"/>
        <v>1064</v>
      </c>
      <c r="S96" s="354">
        <f t="shared" si="32"/>
        <v>453</v>
      </c>
      <c r="T96" s="354">
        <f t="shared" si="32"/>
        <v>144</v>
      </c>
      <c r="U96" s="354">
        <f>SUM(U56:U95)</f>
        <v>430</v>
      </c>
      <c r="V96" s="354">
        <f>SUM(V56:V95)</f>
        <v>121</v>
      </c>
      <c r="W96" s="354">
        <f>SUM(W56:W95)</f>
        <v>4784</v>
      </c>
      <c r="X96" s="354"/>
      <c r="Y96" s="354">
        <f>SUM(Y56:Y95)</f>
        <v>3105</v>
      </c>
      <c r="Z96" s="354">
        <f>SUM(Z56:Z95)</f>
        <v>371</v>
      </c>
      <c r="AA96" s="354">
        <f t="shared" ref="AA96:AG96" si="33">SUM(AA56:AA95)</f>
        <v>-100</v>
      </c>
      <c r="AB96" s="354">
        <f t="shared" si="33"/>
        <v>-500</v>
      </c>
      <c r="AC96" s="354">
        <f t="shared" si="33"/>
        <v>100</v>
      </c>
      <c r="AD96" s="354">
        <f t="shared" si="33"/>
        <v>100</v>
      </c>
      <c r="AE96" s="354">
        <f t="shared" si="33"/>
        <v>0</v>
      </c>
      <c r="AF96" s="354">
        <f t="shared" si="33"/>
        <v>-100</v>
      </c>
      <c r="AG96" s="354">
        <f t="shared" si="33"/>
        <v>0</v>
      </c>
      <c r="AH96" s="354">
        <f>SUM(AH56:AH95)</f>
        <v>-100</v>
      </c>
      <c r="AI96" s="354">
        <f>SUM(AI56:AI95)</f>
        <v>-400</v>
      </c>
      <c r="AJ96" s="354">
        <f>SUM(AJ56:AJ95)</f>
        <v>3076</v>
      </c>
      <c r="AN96" s="354">
        <f t="shared" ref="AN96:BR96" si="34">SUM(AN56:AN95)</f>
        <v>487</v>
      </c>
      <c r="AO96" s="354">
        <f t="shared" si="34"/>
        <v>0</v>
      </c>
      <c r="AP96" s="354">
        <f t="shared" si="34"/>
        <v>402</v>
      </c>
      <c r="AQ96" s="354">
        <f t="shared" si="34"/>
        <v>0</v>
      </c>
      <c r="AR96" s="354">
        <f t="shared" si="34"/>
        <v>0</v>
      </c>
      <c r="AS96" s="354">
        <f t="shared" si="34"/>
        <v>0</v>
      </c>
      <c r="AT96" s="354">
        <f t="shared" si="34"/>
        <v>402</v>
      </c>
      <c r="AU96" s="354">
        <f t="shared" si="34"/>
        <v>533</v>
      </c>
      <c r="AV96" s="354">
        <f t="shared" si="34"/>
        <v>0</v>
      </c>
      <c r="AW96" s="354">
        <f t="shared" si="34"/>
        <v>0</v>
      </c>
      <c r="AX96" s="354">
        <f t="shared" si="34"/>
        <v>63</v>
      </c>
      <c r="AY96" s="354">
        <f t="shared" si="34"/>
        <v>0</v>
      </c>
      <c r="AZ96" s="354">
        <f t="shared" si="34"/>
        <v>41</v>
      </c>
      <c r="BA96" s="354">
        <f t="shared" si="34"/>
        <v>12</v>
      </c>
      <c r="BB96" s="354">
        <f t="shared" si="34"/>
        <v>0</v>
      </c>
      <c r="BC96" s="354">
        <f t="shared" si="34"/>
        <v>12</v>
      </c>
      <c r="BD96" s="354">
        <f t="shared" si="34"/>
        <v>89</v>
      </c>
      <c r="BE96" s="354">
        <f t="shared" si="34"/>
        <v>3</v>
      </c>
      <c r="BF96" s="354">
        <f t="shared" si="34"/>
        <v>0</v>
      </c>
      <c r="BG96" s="354">
        <f t="shared" si="34"/>
        <v>3</v>
      </c>
      <c r="BH96" s="354">
        <f t="shared" si="34"/>
        <v>12</v>
      </c>
      <c r="BI96" s="354">
        <f t="shared" si="34"/>
        <v>0</v>
      </c>
      <c r="BJ96" s="354">
        <f t="shared" si="34"/>
        <v>4</v>
      </c>
      <c r="BK96" s="354">
        <f t="shared" si="34"/>
        <v>0</v>
      </c>
      <c r="BL96" s="354">
        <f t="shared" si="34"/>
        <v>12</v>
      </c>
      <c r="BM96" s="354">
        <f t="shared" si="34"/>
        <v>39</v>
      </c>
      <c r="BN96" s="354">
        <f t="shared" si="34"/>
        <v>0</v>
      </c>
      <c r="BO96" s="354">
        <f t="shared" si="34"/>
        <v>0</v>
      </c>
      <c r="BP96" s="354">
        <f t="shared" si="34"/>
        <v>0</v>
      </c>
      <c r="BQ96" s="354">
        <f t="shared" si="34"/>
        <v>100</v>
      </c>
      <c r="BR96" s="354">
        <f t="shared" si="34"/>
        <v>1718</v>
      </c>
      <c r="BS96" s="354"/>
      <c r="BT96" s="354"/>
      <c r="BU96" s="354"/>
      <c r="BV96" s="354"/>
      <c r="BW96" s="354"/>
      <c r="BX96" s="354"/>
      <c r="BY96" s="354"/>
      <c r="BZ96" s="354"/>
      <c r="CA96" s="354"/>
      <c r="CB96" s="354"/>
      <c r="CC96" s="354"/>
      <c r="CD96" s="354"/>
      <c r="CE96" s="354"/>
      <c r="CF96" s="354"/>
      <c r="CG96" s="354"/>
      <c r="CH96" s="354"/>
      <c r="CI96" s="354"/>
      <c r="CJ96" s="354"/>
      <c r="CK96" s="354"/>
      <c r="CL96" s="354"/>
      <c r="CM96" s="693"/>
      <c r="CN96" s="693"/>
      <c r="CO96" s="693"/>
    </row>
    <row r="97" spans="1:93">
      <c r="B97" s="726" t="s">
        <v>1264</v>
      </c>
      <c r="E97" s="97">
        <f ca="1">+K96-K97</f>
        <v>1</v>
      </c>
      <c r="K97" s="33">
        <f ca="1">ROUND(Base!E$19/$W$2,0)</f>
        <v>2702</v>
      </c>
      <c r="M97" s="354"/>
      <c r="N97" s="354"/>
      <c r="O97" s="354"/>
      <c r="P97" s="354"/>
      <c r="Q97" s="354"/>
      <c r="R97" s="354"/>
      <c r="S97" s="354"/>
      <c r="T97" s="354"/>
      <c r="U97" s="354"/>
      <c r="V97" s="354"/>
      <c r="W97" s="354"/>
      <c r="X97" s="354"/>
      <c r="Y97" s="354"/>
      <c r="Z97" s="354"/>
      <c r="AA97" s="354"/>
      <c r="AB97" s="354"/>
      <c r="AC97" s="354"/>
      <c r="AD97" s="354"/>
      <c r="AE97" s="354"/>
      <c r="AF97" s="354"/>
      <c r="AG97" s="354"/>
      <c r="AH97" s="354"/>
      <c r="AI97" s="354"/>
      <c r="AJ97" s="354"/>
      <c r="CM97" s="693"/>
      <c r="CN97" s="693"/>
      <c r="CO97" s="693"/>
    </row>
    <row r="98" spans="1:93" ht="25.2" customHeight="1">
      <c r="CM98" s="693"/>
      <c r="CN98" s="693"/>
      <c r="CO98" s="693"/>
    </row>
    <row r="99" spans="1:93" ht="17.399999999999999">
      <c r="A99" s="69"/>
      <c r="B99" s="407" t="s">
        <v>2225</v>
      </c>
      <c r="C99" s="407"/>
      <c r="D99" s="407"/>
      <c r="E99" s="69"/>
      <c r="F99" s="69"/>
      <c r="G99" s="69"/>
      <c r="H99" s="69"/>
      <c r="I99" s="69"/>
      <c r="AN99" s="524"/>
      <c r="AO99" s="1017"/>
      <c r="AP99" s="524"/>
      <c r="AQ99" s="524"/>
      <c r="AR99" s="524"/>
      <c r="AS99" s="524"/>
      <c r="AT99" s="524"/>
      <c r="AU99" s="1017"/>
      <c r="AV99" s="869"/>
      <c r="AW99" s="869"/>
      <c r="AX99" s="869"/>
      <c r="AY99" s="869"/>
      <c r="AZ99" s="1017"/>
      <c r="BA99" s="869"/>
      <c r="BB99" s="869"/>
      <c r="BC99" s="869"/>
      <c r="BD99" s="1017"/>
      <c r="BE99" s="869"/>
      <c r="BF99" s="869"/>
      <c r="BG99" s="1017"/>
      <c r="BH99" s="869"/>
      <c r="BI99" s="869"/>
      <c r="BJ99" s="869"/>
      <c r="BK99" s="869"/>
      <c r="BL99" s="524"/>
      <c r="BM99" s="1017"/>
      <c r="BN99" s="524"/>
      <c r="BO99" s="524"/>
      <c r="BP99" s="524"/>
      <c r="BQ99" s="524"/>
      <c r="BR99" s="524"/>
      <c r="BS99" s="524"/>
      <c r="BT99" s="524"/>
      <c r="BU99" s="524"/>
      <c r="BV99" s="524"/>
      <c r="BW99" s="524"/>
      <c r="BX99" s="524"/>
      <c r="BY99" s="524"/>
      <c r="BZ99" s="524"/>
      <c r="CA99" s="524"/>
      <c r="CB99" s="524"/>
      <c r="CC99" s="524"/>
      <c r="CD99" s="524"/>
      <c r="CE99" s="524"/>
      <c r="CF99" s="524"/>
      <c r="CG99" s="524"/>
      <c r="CH99" s="524"/>
      <c r="CI99" s="524"/>
      <c r="CJ99" s="524"/>
      <c r="CK99" s="524"/>
      <c r="CL99" s="524"/>
      <c r="CM99" s="693"/>
      <c r="CN99" s="693"/>
      <c r="CO99" s="693"/>
    </row>
    <row r="100" spans="1:93" ht="15.6">
      <c r="AL100" s="80" t="s">
        <v>474</v>
      </c>
      <c r="CM100" s="693"/>
      <c r="CN100" s="693"/>
      <c r="CO100" s="693"/>
    </row>
    <row r="101" spans="1:93" ht="16.2" thickBot="1">
      <c r="C101" s="571"/>
      <c r="D101" s="571"/>
      <c r="E101" s="572"/>
      <c r="F101" s="1150" t="s">
        <v>327</v>
      </c>
      <c r="G101" s="1150"/>
      <c r="H101" s="1150"/>
      <c r="I101" s="1150"/>
      <c r="J101" s="1150"/>
      <c r="K101" s="1150"/>
      <c r="L101" s="573"/>
      <c r="M101" s="1148" t="s">
        <v>448</v>
      </c>
      <c r="N101" s="1148"/>
      <c r="O101" s="1148"/>
      <c r="P101" s="1148"/>
      <c r="Q101" s="1148"/>
      <c r="R101" s="1148"/>
      <c r="S101" s="1148"/>
      <c r="T101" s="1148"/>
      <c r="U101" s="1148"/>
      <c r="V101" s="1148"/>
      <c r="W101" s="1148"/>
      <c r="X101" s="573"/>
      <c r="Y101" s="1148" t="s">
        <v>1557</v>
      </c>
      <c r="Z101" s="1149"/>
      <c r="AA101" s="1149"/>
      <c r="AB101" s="1149"/>
      <c r="AC101" s="1149"/>
      <c r="AD101" s="1149"/>
      <c r="AE101" s="1149"/>
      <c r="AF101" s="1149"/>
      <c r="AG101" s="1149"/>
      <c r="AH101" s="1149"/>
      <c r="AI101" s="1149"/>
      <c r="AJ101" s="1149"/>
      <c r="AK101" s="574"/>
      <c r="AL101" s="587" t="s">
        <v>1320</v>
      </c>
      <c r="AN101" s="411" t="s">
        <v>364</v>
      </c>
      <c r="AO101" s="1050"/>
      <c r="AP101" s="1050"/>
      <c r="AQ101" s="1050"/>
      <c r="AR101" s="1050"/>
      <c r="AS101" s="1050"/>
      <c r="AT101" s="1050"/>
      <c r="AU101" s="1050"/>
      <c r="AV101" s="1050"/>
      <c r="AW101" s="1050"/>
      <c r="AX101" s="1050"/>
      <c r="AY101" s="1050"/>
      <c r="AZ101" s="1050"/>
      <c r="BA101" s="1050"/>
      <c r="BB101" s="1050"/>
      <c r="BC101" s="1050"/>
      <c r="BD101" s="1050"/>
      <c r="BE101" s="1050"/>
      <c r="BF101" s="1050"/>
      <c r="BG101" s="1050"/>
      <c r="BH101" s="1050"/>
      <c r="BI101" s="1050"/>
      <c r="BJ101" s="1050"/>
      <c r="BK101" s="1050"/>
      <c r="BL101" s="1050"/>
      <c r="BM101" s="1050"/>
      <c r="BN101" s="1050"/>
      <c r="BO101" s="1050"/>
      <c r="BP101" s="1050"/>
      <c r="BQ101" s="1050"/>
      <c r="BR101" s="630"/>
      <c r="BS101" s="630"/>
      <c r="BT101" s="1150" t="s">
        <v>143</v>
      </c>
      <c r="BU101" s="1150"/>
      <c r="BV101" s="1150"/>
      <c r="BW101" s="1150"/>
      <c r="BX101" s="1150"/>
      <c r="BY101" s="1150"/>
      <c r="BZ101" s="630"/>
      <c r="CA101" s="630"/>
      <c r="CB101" s="630"/>
      <c r="CC101" s="630"/>
      <c r="CD101" s="630"/>
      <c r="CE101" s="630"/>
      <c r="CF101" s="630"/>
      <c r="CG101" s="630"/>
      <c r="CH101" s="630"/>
      <c r="CI101" s="630"/>
      <c r="CJ101" s="630"/>
      <c r="CK101" s="630"/>
      <c r="CL101" s="630"/>
      <c r="CM101" s="693"/>
      <c r="CN101" s="693"/>
      <c r="CO101" s="693"/>
    </row>
    <row r="102" spans="1:93">
      <c r="C102" s="1669" t="s">
        <v>2170</v>
      </c>
      <c r="D102" s="1666"/>
      <c r="E102" s="572"/>
      <c r="F102" s="291"/>
      <c r="G102" s="575"/>
      <c r="H102" s="575" t="s">
        <v>330</v>
      </c>
      <c r="I102" s="575"/>
      <c r="J102" s="575" t="s">
        <v>1134</v>
      </c>
      <c r="K102" s="575"/>
      <c r="L102" s="573"/>
      <c r="M102" s="291"/>
      <c r="N102" s="575"/>
      <c r="O102" s="575" t="s">
        <v>330</v>
      </c>
      <c r="P102" s="575"/>
      <c r="Q102" s="575" t="s">
        <v>1134</v>
      </c>
      <c r="R102" s="1822" t="s">
        <v>1306</v>
      </c>
      <c r="S102" s="1822"/>
      <c r="T102" s="575"/>
      <c r="U102" s="575"/>
      <c r="V102" s="575"/>
      <c r="W102" s="573"/>
      <c r="X102" s="573"/>
      <c r="Y102" s="575"/>
      <c r="Z102" s="575"/>
      <c r="AA102" s="1228" t="s">
        <v>330</v>
      </c>
      <c r="AB102" s="1228" t="s">
        <v>1321</v>
      </c>
      <c r="AC102" s="1228" t="s">
        <v>1321</v>
      </c>
      <c r="AD102" s="1228" t="s">
        <v>88</v>
      </c>
      <c r="AE102" s="1228" t="s">
        <v>88</v>
      </c>
      <c r="AF102" s="1228" t="s">
        <v>177</v>
      </c>
      <c r="AG102" s="1228" t="s">
        <v>88</v>
      </c>
      <c r="AH102" s="1228"/>
      <c r="AI102" s="575"/>
      <c r="AJ102" s="575"/>
      <c r="AK102" s="573"/>
      <c r="AL102" s="575" t="s">
        <v>326</v>
      </c>
      <c r="AN102" s="1101" t="s">
        <v>1555</v>
      </c>
      <c r="AO102" s="794"/>
      <c r="AP102" s="794"/>
      <c r="AQ102" s="794"/>
      <c r="AR102" s="794"/>
      <c r="AS102" s="794"/>
      <c r="AT102" s="796"/>
      <c r="AU102" s="793" t="s">
        <v>1554</v>
      </c>
      <c r="AV102" s="794"/>
      <c r="AW102" s="794"/>
      <c r="AX102" s="794"/>
      <c r="AY102" s="796"/>
      <c r="AZ102" s="793" t="s">
        <v>1553</v>
      </c>
      <c r="BA102" s="794"/>
      <c r="BB102" s="794"/>
      <c r="BC102" s="796"/>
      <c r="BD102" s="793" t="s">
        <v>1552</v>
      </c>
      <c r="BE102" s="794"/>
      <c r="BF102" s="794"/>
      <c r="BG102" s="796"/>
      <c r="BH102" s="793" t="s">
        <v>1551</v>
      </c>
      <c r="BI102" s="1804"/>
      <c r="BJ102" s="1805"/>
      <c r="BK102" s="1805" t="s">
        <v>2309</v>
      </c>
      <c r="BL102" s="1806"/>
      <c r="BM102" s="796" t="s">
        <v>1556</v>
      </c>
      <c r="BN102" s="793" t="s">
        <v>316</v>
      </c>
      <c r="BO102" s="794"/>
      <c r="BP102" s="792" t="s">
        <v>1165</v>
      </c>
      <c r="BQ102" s="627"/>
      <c r="BR102" s="627" t="s">
        <v>1129</v>
      </c>
      <c r="BS102" s="627"/>
      <c r="BT102" s="291"/>
      <c r="BU102" s="575"/>
      <c r="BV102" s="575" t="s">
        <v>330</v>
      </c>
      <c r="BW102" s="575"/>
      <c r="BX102" s="575" t="s">
        <v>1134</v>
      </c>
      <c r="BY102" s="575"/>
      <c r="BZ102" s="627"/>
      <c r="CA102" s="627"/>
      <c r="CB102" s="627"/>
      <c r="CC102" s="627"/>
      <c r="CD102" s="627"/>
      <c r="CE102" s="627"/>
      <c r="CF102" s="627"/>
      <c r="CG102" s="627"/>
      <c r="CH102" s="627"/>
      <c r="CI102" s="627"/>
      <c r="CJ102" s="627"/>
      <c r="CK102" s="627"/>
      <c r="CL102" s="627"/>
      <c r="CM102" s="693"/>
      <c r="CN102" s="693"/>
      <c r="CO102" s="693"/>
    </row>
    <row r="103" spans="1:93">
      <c r="C103" s="564" t="s">
        <v>538</v>
      </c>
      <c r="D103" s="564" t="s">
        <v>714</v>
      </c>
      <c r="E103" s="576" t="s">
        <v>204</v>
      </c>
      <c r="F103" s="791" t="s">
        <v>979</v>
      </c>
      <c r="G103" s="565" t="s">
        <v>981</v>
      </c>
      <c r="H103" s="565" t="s">
        <v>981</v>
      </c>
      <c r="I103" s="565" t="s">
        <v>1134</v>
      </c>
      <c r="J103" s="565" t="s">
        <v>1165</v>
      </c>
      <c r="K103" s="565" t="s">
        <v>635</v>
      </c>
      <c r="L103" s="573"/>
      <c r="M103" s="791" t="s">
        <v>979</v>
      </c>
      <c r="N103" s="565" t="s">
        <v>981</v>
      </c>
      <c r="O103" s="565" t="s">
        <v>981</v>
      </c>
      <c r="P103" s="565" t="s">
        <v>1134</v>
      </c>
      <c r="Q103" s="565" t="s">
        <v>1165</v>
      </c>
      <c r="R103" s="565" t="s">
        <v>538</v>
      </c>
      <c r="S103" s="565" t="s">
        <v>643</v>
      </c>
      <c r="T103" s="565" t="s">
        <v>88</v>
      </c>
      <c r="U103" s="791" t="s">
        <v>1803</v>
      </c>
      <c r="V103" s="565" t="s">
        <v>614</v>
      </c>
      <c r="W103" s="565" t="s">
        <v>635</v>
      </c>
      <c r="X103" s="573"/>
      <c r="Y103" s="565" t="s">
        <v>205</v>
      </c>
      <c r="Z103" s="565" t="s">
        <v>1505</v>
      </c>
      <c r="AA103" s="1230" t="s">
        <v>178</v>
      </c>
      <c r="AB103" s="1230" t="s">
        <v>179</v>
      </c>
      <c r="AC103" s="1230" t="s">
        <v>329</v>
      </c>
      <c r="AD103" s="1230" t="s">
        <v>178</v>
      </c>
      <c r="AE103" s="1230" t="s">
        <v>981</v>
      </c>
      <c r="AF103" s="1230" t="s">
        <v>981</v>
      </c>
      <c r="AG103" s="1230" t="s">
        <v>1134</v>
      </c>
      <c r="AH103" s="1230" t="s">
        <v>409</v>
      </c>
      <c r="AI103" s="1444" t="s">
        <v>614</v>
      </c>
      <c r="AJ103" s="565" t="s">
        <v>635</v>
      </c>
      <c r="AK103" s="577"/>
      <c r="AL103" s="565" t="s">
        <v>204</v>
      </c>
      <c r="AN103" s="790" t="s">
        <v>469</v>
      </c>
      <c r="AO103" s="790" t="s">
        <v>1165</v>
      </c>
      <c r="AP103" s="1099" t="s">
        <v>470</v>
      </c>
      <c r="AQ103" s="1099" t="s">
        <v>7</v>
      </c>
      <c r="AR103" s="1099" t="s">
        <v>88</v>
      </c>
      <c r="AS103" s="1099" t="s">
        <v>1827</v>
      </c>
      <c r="AT103" s="1099" t="s">
        <v>470</v>
      </c>
      <c r="AU103" s="1099" t="s">
        <v>469</v>
      </c>
      <c r="AV103" s="1099" t="s">
        <v>470</v>
      </c>
      <c r="AW103" s="1099" t="s">
        <v>7</v>
      </c>
      <c r="AX103" s="1099" t="s">
        <v>1827</v>
      </c>
      <c r="AY103" s="1099" t="s">
        <v>470</v>
      </c>
      <c r="AZ103" s="1099" t="s">
        <v>469</v>
      </c>
      <c r="BA103" s="1099" t="s">
        <v>470</v>
      </c>
      <c r="BB103" s="1099" t="s">
        <v>7</v>
      </c>
      <c r="BC103" s="1099" t="s">
        <v>470</v>
      </c>
      <c r="BD103" s="1099" t="s">
        <v>469</v>
      </c>
      <c r="BE103" s="1099" t="s">
        <v>470</v>
      </c>
      <c r="BF103" s="1099" t="s">
        <v>7</v>
      </c>
      <c r="BG103" s="1099" t="s">
        <v>470</v>
      </c>
      <c r="BH103" s="1227" t="s">
        <v>470</v>
      </c>
      <c r="BI103" s="1227" t="s">
        <v>7</v>
      </c>
      <c r="BJ103" s="1099" t="s">
        <v>1827</v>
      </c>
      <c r="BK103" s="1099" t="s">
        <v>88</v>
      </c>
      <c r="BL103" s="1099" t="s">
        <v>470</v>
      </c>
      <c r="BM103" s="1099" t="s">
        <v>470</v>
      </c>
      <c r="BN103" s="1099" t="s">
        <v>470</v>
      </c>
      <c r="BO103" s="1099" t="s">
        <v>7</v>
      </c>
      <c r="BP103" s="790" t="s">
        <v>470</v>
      </c>
      <c r="BQ103" s="1100" t="s">
        <v>409</v>
      </c>
      <c r="BR103" s="791" t="s">
        <v>178</v>
      </c>
      <c r="BS103" s="627"/>
      <c r="BT103" s="791" t="s">
        <v>979</v>
      </c>
      <c r="BU103" s="791" t="s">
        <v>1085</v>
      </c>
      <c r="BV103" s="791" t="s">
        <v>1085</v>
      </c>
      <c r="BW103" s="791" t="s">
        <v>1086</v>
      </c>
      <c r="BX103" s="565" t="s">
        <v>1165</v>
      </c>
      <c r="BY103" s="565" t="s">
        <v>635</v>
      </c>
      <c r="BZ103" s="627"/>
      <c r="CA103" s="627"/>
      <c r="CB103" s="627"/>
      <c r="CC103" s="627"/>
      <c r="CD103" s="627"/>
      <c r="CE103" s="627"/>
      <c r="CF103" s="627"/>
      <c r="CG103" s="627"/>
      <c r="CH103" s="627"/>
      <c r="CI103" s="627"/>
      <c r="CJ103" s="627"/>
      <c r="CK103" s="627"/>
      <c r="CL103" s="627"/>
      <c r="CM103" s="693"/>
      <c r="CN103" s="693"/>
      <c r="CO103" s="693"/>
    </row>
    <row r="104" spans="1:93">
      <c r="B104" s="271">
        <v>1</v>
      </c>
      <c r="C104" s="541">
        <f>+Base!F$4</f>
        <v>62</v>
      </c>
      <c r="D104" s="541">
        <f>+Base!F$5</f>
        <v>61</v>
      </c>
      <c r="E104" s="540">
        <f>+Base!F$7</f>
        <v>2019</v>
      </c>
      <c r="F104" s="354">
        <f t="shared" ref="F104:K113" si="35">+F8-F56</f>
        <v>0</v>
      </c>
      <c r="G104" s="354">
        <f t="shared" si="35"/>
        <v>0</v>
      </c>
      <c r="H104" s="354">
        <f t="shared" si="35"/>
        <v>0</v>
      </c>
      <c r="I104" s="354">
        <f t="shared" si="35"/>
        <v>0</v>
      </c>
      <c r="J104" s="354">
        <f t="shared" si="35"/>
        <v>0</v>
      </c>
      <c r="K104" s="354">
        <f t="shared" si="35"/>
        <v>0</v>
      </c>
      <c r="M104" s="354">
        <f t="shared" ref="M104:W104" si="36">+M8-M56</f>
        <v>0</v>
      </c>
      <c r="N104" s="354">
        <f t="shared" si="36"/>
        <v>0</v>
      </c>
      <c r="O104" s="354">
        <f t="shared" si="36"/>
        <v>0</v>
      </c>
      <c r="P104" s="354">
        <f t="shared" si="36"/>
        <v>0</v>
      </c>
      <c r="Q104" s="354">
        <f t="shared" si="36"/>
        <v>0</v>
      </c>
      <c r="R104" s="354">
        <f t="shared" si="36"/>
        <v>0</v>
      </c>
      <c r="S104" s="354">
        <f t="shared" si="36"/>
        <v>0</v>
      </c>
      <c r="T104" s="354">
        <f t="shared" si="36"/>
        <v>0</v>
      </c>
      <c r="U104" s="354">
        <f t="shared" si="36"/>
        <v>0</v>
      </c>
      <c r="V104" s="354">
        <f t="shared" ref="V104:V143" si="37">+V8-V56</f>
        <v>0</v>
      </c>
      <c r="W104" s="354">
        <f t="shared" si="36"/>
        <v>0</v>
      </c>
      <c r="Y104" s="354">
        <f t="shared" ref="Y104:AJ104" si="38">+Y8-Y56</f>
        <v>0</v>
      </c>
      <c r="Z104" s="354">
        <f t="shared" si="38"/>
        <v>0</v>
      </c>
      <c r="AA104" s="354">
        <f t="shared" si="38"/>
        <v>0</v>
      </c>
      <c r="AB104" s="354">
        <f t="shared" si="38"/>
        <v>0</v>
      </c>
      <c r="AC104" s="354">
        <f t="shared" si="38"/>
        <v>0</v>
      </c>
      <c r="AD104" s="354">
        <f t="shared" si="38"/>
        <v>0</v>
      </c>
      <c r="AE104" s="354">
        <f t="shared" si="38"/>
        <v>0</v>
      </c>
      <c r="AF104" s="354">
        <f t="shared" si="38"/>
        <v>0</v>
      </c>
      <c r="AG104" s="354">
        <f t="shared" si="38"/>
        <v>0</v>
      </c>
      <c r="AH104" s="354">
        <f t="shared" ref="AH104:AH143" si="39">+AH8-AH56</f>
        <v>0</v>
      </c>
      <c r="AI104" s="354">
        <f t="shared" si="38"/>
        <v>0</v>
      </c>
      <c r="AJ104" s="354">
        <f t="shared" si="38"/>
        <v>0</v>
      </c>
      <c r="AL104" s="354">
        <f t="shared" ref="AL104:AL143" si="40">+AL8-AL56</f>
        <v>0</v>
      </c>
      <c r="AN104" s="354">
        <f>+AN8-AN56</f>
        <v>0</v>
      </c>
      <c r="AO104" s="354">
        <f>+AO8-AO56</f>
        <v>0</v>
      </c>
      <c r="AP104" s="354">
        <f t="shared" ref="AP104:BP104" si="41">+AP8-AP56</f>
        <v>0</v>
      </c>
      <c r="AQ104" s="354">
        <f t="shared" si="41"/>
        <v>0</v>
      </c>
      <c r="AR104" s="354">
        <f t="shared" ref="AR104:AS143" si="42">+AR8-AR56</f>
        <v>0</v>
      </c>
      <c r="AS104" s="354">
        <f t="shared" si="42"/>
        <v>0</v>
      </c>
      <c r="AT104" s="354">
        <f t="shared" si="41"/>
        <v>0</v>
      </c>
      <c r="AU104" s="354">
        <f t="shared" si="41"/>
        <v>0</v>
      </c>
      <c r="AV104" s="354">
        <f t="shared" si="41"/>
        <v>0</v>
      </c>
      <c r="AW104" s="354">
        <f t="shared" si="41"/>
        <v>0</v>
      </c>
      <c r="AX104" s="354">
        <f t="shared" si="41"/>
        <v>0</v>
      </c>
      <c r="AY104" s="354">
        <f t="shared" si="41"/>
        <v>0</v>
      </c>
      <c r="AZ104" s="354">
        <f t="shared" si="41"/>
        <v>0</v>
      </c>
      <c r="BA104" s="354">
        <f t="shared" si="41"/>
        <v>0</v>
      </c>
      <c r="BB104" s="354">
        <f t="shared" si="41"/>
        <v>0</v>
      </c>
      <c r="BC104" s="354">
        <f t="shared" si="41"/>
        <v>0</v>
      </c>
      <c r="BD104" s="354">
        <f t="shared" si="41"/>
        <v>0</v>
      </c>
      <c r="BE104" s="354">
        <f t="shared" si="41"/>
        <v>0</v>
      </c>
      <c r="BF104" s="354">
        <f t="shared" si="41"/>
        <v>0</v>
      </c>
      <c r="BG104" s="354">
        <f t="shared" si="41"/>
        <v>0</v>
      </c>
      <c r="BH104" s="354">
        <f t="shared" si="41"/>
        <v>0</v>
      </c>
      <c r="BI104" s="354">
        <f t="shared" si="41"/>
        <v>0</v>
      </c>
      <c r="BJ104" s="354">
        <f t="shared" ref="BJ104" si="43">+BJ8-BJ56</f>
        <v>0</v>
      </c>
      <c r="BK104" s="354">
        <f t="shared" ref="BK104:BK143" si="44">+BK8-BK56</f>
        <v>0</v>
      </c>
      <c r="BL104" s="354">
        <f t="shared" si="41"/>
        <v>0</v>
      </c>
      <c r="BM104" s="354">
        <f t="shared" ref="BM104:BM143" si="45">+BM8-BM56</f>
        <v>0</v>
      </c>
      <c r="BN104" s="354">
        <f t="shared" si="41"/>
        <v>0</v>
      </c>
      <c r="BO104" s="354">
        <f t="shared" si="41"/>
        <v>0</v>
      </c>
      <c r="BP104" s="354">
        <f t="shared" si="41"/>
        <v>0</v>
      </c>
      <c r="BQ104" s="354">
        <f>+BQ8-BQ56</f>
        <v>0</v>
      </c>
      <c r="BR104" s="354">
        <f>+BR8-BR56</f>
        <v>-7</v>
      </c>
      <c r="BS104" s="354"/>
      <c r="BT104" s="354">
        <f t="shared" ref="BT104:BY143" si="46">+BT8-BT56</f>
        <v>0</v>
      </c>
      <c r="BU104" s="354">
        <f t="shared" si="46"/>
        <v>0</v>
      </c>
      <c r="BV104" s="354">
        <f t="shared" si="46"/>
        <v>0</v>
      </c>
      <c r="BW104" s="354">
        <f t="shared" si="46"/>
        <v>0</v>
      </c>
      <c r="BX104" s="354">
        <f t="shared" si="46"/>
        <v>0</v>
      </c>
      <c r="BY104" s="354">
        <f t="shared" si="46"/>
        <v>0</v>
      </c>
      <c r="BZ104" s="354"/>
      <c r="CA104" s="354"/>
      <c r="CB104" s="354"/>
      <c r="CC104" s="354"/>
      <c r="CD104" s="354"/>
      <c r="CE104" s="354"/>
      <c r="CF104" s="354"/>
      <c r="CG104" s="354"/>
      <c r="CH104" s="354"/>
      <c r="CI104" s="354"/>
      <c r="CJ104" s="354"/>
      <c r="CK104" s="354"/>
      <c r="CL104" s="354"/>
      <c r="CM104" s="693"/>
      <c r="CN104" s="693"/>
      <c r="CO104" s="693"/>
    </row>
    <row r="105" spans="1:93">
      <c r="B105" s="271">
        <f>+B104+1</f>
        <v>2</v>
      </c>
      <c r="C105" s="541">
        <f>+Base!G$4</f>
        <v>63</v>
      </c>
      <c r="D105" s="541">
        <f>+Base!G$5</f>
        <v>62</v>
      </c>
      <c r="E105" s="540">
        <f>+Base!G$7</f>
        <v>2020</v>
      </c>
      <c r="F105" s="354">
        <f t="shared" si="35"/>
        <v>0</v>
      </c>
      <c r="G105" s="354">
        <f t="shared" si="35"/>
        <v>0</v>
      </c>
      <c r="H105" s="354">
        <f t="shared" si="35"/>
        <v>0</v>
      </c>
      <c r="I105" s="354">
        <f t="shared" si="35"/>
        <v>0</v>
      </c>
      <c r="J105" s="354">
        <f t="shared" si="35"/>
        <v>0</v>
      </c>
      <c r="K105" s="354">
        <f t="shared" si="35"/>
        <v>0</v>
      </c>
      <c r="M105" s="354">
        <f t="shared" ref="M105:W105" si="47">+M9-M57</f>
        <v>0</v>
      </c>
      <c r="N105" s="354">
        <f t="shared" si="47"/>
        <v>0</v>
      </c>
      <c r="O105" s="354">
        <f t="shared" si="47"/>
        <v>0</v>
      </c>
      <c r="P105" s="354">
        <f t="shared" si="47"/>
        <v>0</v>
      </c>
      <c r="Q105" s="354">
        <f t="shared" si="47"/>
        <v>0</v>
      </c>
      <c r="R105" s="354">
        <f t="shared" si="47"/>
        <v>0</v>
      </c>
      <c r="S105" s="354">
        <f t="shared" si="47"/>
        <v>0</v>
      </c>
      <c r="T105" s="354">
        <f t="shared" si="47"/>
        <v>0</v>
      </c>
      <c r="U105" s="354">
        <f t="shared" si="47"/>
        <v>0</v>
      </c>
      <c r="V105" s="354">
        <f t="shared" si="37"/>
        <v>0</v>
      </c>
      <c r="W105" s="354">
        <f t="shared" si="47"/>
        <v>0</v>
      </c>
      <c r="Y105" s="354">
        <f t="shared" ref="Y105:AJ105" si="48">+Y9-Y57</f>
        <v>0</v>
      </c>
      <c r="Z105" s="354">
        <f t="shared" si="48"/>
        <v>0</v>
      </c>
      <c r="AA105" s="354">
        <f t="shared" si="48"/>
        <v>0</v>
      </c>
      <c r="AB105" s="354">
        <f t="shared" si="48"/>
        <v>0</v>
      </c>
      <c r="AC105" s="354">
        <f t="shared" si="48"/>
        <v>0</v>
      </c>
      <c r="AD105" s="354">
        <f t="shared" si="48"/>
        <v>0</v>
      </c>
      <c r="AE105" s="354">
        <f t="shared" si="48"/>
        <v>0</v>
      </c>
      <c r="AF105" s="354">
        <f t="shared" si="48"/>
        <v>0</v>
      </c>
      <c r="AG105" s="354">
        <f t="shared" si="48"/>
        <v>0</v>
      </c>
      <c r="AH105" s="354">
        <f t="shared" si="39"/>
        <v>0</v>
      </c>
      <c r="AI105" s="354">
        <f t="shared" si="48"/>
        <v>0</v>
      </c>
      <c r="AJ105" s="354">
        <f t="shared" si="48"/>
        <v>0</v>
      </c>
      <c r="AL105" s="354">
        <f t="shared" si="40"/>
        <v>0</v>
      </c>
      <c r="AN105" s="354">
        <f t="shared" ref="AN105:BR105" si="49">+AN9-AN57</f>
        <v>0</v>
      </c>
      <c r="AO105" s="354">
        <f t="shared" ref="AO105:AO143" si="50">+AO9-AO57</f>
        <v>0</v>
      </c>
      <c r="AP105" s="354">
        <f t="shared" si="49"/>
        <v>0</v>
      </c>
      <c r="AQ105" s="354">
        <f t="shared" si="49"/>
        <v>0</v>
      </c>
      <c r="AR105" s="354">
        <f t="shared" si="42"/>
        <v>0</v>
      </c>
      <c r="AS105" s="354">
        <f t="shared" si="42"/>
        <v>0</v>
      </c>
      <c r="AT105" s="354">
        <f t="shared" si="49"/>
        <v>0</v>
      </c>
      <c r="AU105" s="354">
        <f t="shared" si="49"/>
        <v>0</v>
      </c>
      <c r="AV105" s="354">
        <f t="shared" si="49"/>
        <v>0</v>
      </c>
      <c r="AW105" s="354">
        <f t="shared" si="49"/>
        <v>0</v>
      </c>
      <c r="AX105" s="354">
        <f t="shared" si="49"/>
        <v>0</v>
      </c>
      <c r="AY105" s="354">
        <f t="shared" si="49"/>
        <v>0</v>
      </c>
      <c r="AZ105" s="354">
        <f t="shared" si="49"/>
        <v>0</v>
      </c>
      <c r="BA105" s="354">
        <f t="shared" si="49"/>
        <v>0</v>
      </c>
      <c r="BB105" s="354">
        <f t="shared" si="49"/>
        <v>0</v>
      </c>
      <c r="BC105" s="354">
        <f t="shared" si="49"/>
        <v>0</v>
      </c>
      <c r="BD105" s="354">
        <f t="shared" si="49"/>
        <v>0</v>
      </c>
      <c r="BE105" s="354">
        <f t="shared" si="49"/>
        <v>0</v>
      </c>
      <c r="BF105" s="354">
        <f t="shared" si="49"/>
        <v>0</v>
      </c>
      <c r="BG105" s="354">
        <f t="shared" si="49"/>
        <v>0</v>
      </c>
      <c r="BH105" s="354">
        <f t="shared" si="49"/>
        <v>0</v>
      </c>
      <c r="BI105" s="354">
        <f t="shared" si="49"/>
        <v>0</v>
      </c>
      <c r="BJ105" s="354">
        <f t="shared" ref="BJ105" si="51">+BJ9-BJ57</f>
        <v>0</v>
      </c>
      <c r="BK105" s="354">
        <f t="shared" si="44"/>
        <v>0</v>
      </c>
      <c r="BL105" s="354">
        <f t="shared" si="49"/>
        <v>0</v>
      </c>
      <c r="BM105" s="354">
        <f t="shared" si="45"/>
        <v>0</v>
      </c>
      <c r="BN105" s="354">
        <f t="shared" si="49"/>
        <v>0</v>
      </c>
      <c r="BO105" s="354">
        <f t="shared" si="49"/>
        <v>0</v>
      </c>
      <c r="BP105" s="354">
        <f t="shared" si="49"/>
        <v>0</v>
      </c>
      <c r="BQ105" s="354">
        <f t="shared" ref="BQ105:BQ143" si="52">+BQ9-BQ57</f>
        <v>0</v>
      </c>
      <c r="BR105" s="354">
        <f t="shared" si="49"/>
        <v>-7</v>
      </c>
      <c r="BS105" s="354"/>
      <c r="BT105" s="354">
        <f t="shared" si="46"/>
        <v>0</v>
      </c>
      <c r="BU105" s="354">
        <f t="shared" si="46"/>
        <v>0</v>
      </c>
      <c r="BV105" s="354">
        <f t="shared" si="46"/>
        <v>0</v>
      </c>
      <c r="BW105" s="354">
        <f t="shared" si="46"/>
        <v>0</v>
      </c>
      <c r="BX105" s="354">
        <f t="shared" si="46"/>
        <v>0</v>
      </c>
      <c r="BY105" s="354">
        <f t="shared" si="46"/>
        <v>0</v>
      </c>
      <c r="BZ105" s="354"/>
      <c r="CA105" s="354"/>
      <c r="CB105" s="354"/>
      <c r="CC105" s="354"/>
      <c r="CD105" s="354"/>
      <c r="CE105" s="354"/>
      <c r="CF105" s="354"/>
      <c r="CG105" s="354"/>
      <c r="CH105" s="354"/>
      <c r="CI105" s="354"/>
      <c r="CJ105" s="354"/>
      <c r="CK105" s="354"/>
      <c r="CL105" s="354"/>
      <c r="CM105" s="693"/>
      <c r="CN105" s="693"/>
      <c r="CO105" s="693"/>
    </row>
    <row r="106" spans="1:93">
      <c r="B106" s="271">
        <f t="shared" ref="B106:B143" si="53">+B105+1</f>
        <v>3</v>
      </c>
      <c r="C106" s="541">
        <f>+Base!H$4</f>
        <v>64</v>
      </c>
      <c r="D106" s="541">
        <f>+Base!H$5</f>
        <v>63</v>
      </c>
      <c r="E106" s="540">
        <f>+Base!H$7</f>
        <v>2021</v>
      </c>
      <c r="F106" s="354">
        <f t="shared" si="35"/>
        <v>0</v>
      </c>
      <c r="G106" s="354">
        <f t="shared" si="35"/>
        <v>0</v>
      </c>
      <c r="H106" s="354">
        <f t="shared" si="35"/>
        <v>0</v>
      </c>
      <c r="I106" s="354">
        <f t="shared" si="35"/>
        <v>0</v>
      </c>
      <c r="J106" s="354">
        <f t="shared" si="35"/>
        <v>0</v>
      </c>
      <c r="K106" s="354">
        <f t="shared" si="35"/>
        <v>0</v>
      </c>
      <c r="M106" s="354">
        <f t="shared" ref="M106:W106" si="54">+M10-M58</f>
        <v>0</v>
      </c>
      <c r="N106" s="354">
        <f t="shared" si="54"/>
        <v>0</v>
      </c>
      <c r="O106" s="354">
        <f t="shared" si="54"/>
        <v>0</v>
      </c>
      <c r="P106" s="354">
        <f t="shared" si="54"/>
        <v>0</v>
      </c>
      <c r="Q106" s="354">
        <f t="shared" si="54"/>
        <v>0</v>
      </c>
      <c r="R106" s="354">
        <f t="shared" si="54"/>
        <v>0</v>
      </c>
      <c r="S106" s="354">
        <f t="shared" si="54"/>
        <v>0</v>
      </c>
      <c r="T106" s="354">
        <f t="shared" si="54"/>
        <v>0</v>
      </c>
      <c r="U106" s="354">
        <f t="shared" si="54"/>
        <v>0</v>
      </c>
      <c r="V106" s="354">
        <f t="shared" si="37"/>
        <v>0</v>
      </c>
      <c r="W106" s="354">
        <f t="shared" si="54"/>
        <v>0</v>
      </c>
      <c r="Y106" s="354">
        <f t="shared" ref="Y106:AJ106" si="55">+Y10-Y58</f>
        <v>0</v>
      </c>
      <c r="Z106" s="354">
        <f t="shared" si="55"/>
        <v>0</v>
      </c>
      <c r="AA106" s="354">
        <f t="shared" si="55"/>
        <v>0</v>
      </c>
      <c r="AB106" s="354">
        <f t="shared" si="55"/>
        <v>0</v>
      </c>
      <c r="AC106" s="354">
        <f t="shared" si="55"/>
        <v>0</v>
      </c>
      <c r="AD106" s="354">
        <f t="shared" si="55"/>
        <v>0</v>
      </c>
      <c r="AE106" s="354">
        <f t="shared" si="55"/>
        <v>0</v>
      </c>
      <c r="AF106" s="354">
        <f t="shared" si="55"/>
        <v>0</v>
      </c>
      <c r="AG106" s="354">
        <f t="shared" si="55"/>
        <v>0</v>
      </c>
      <c r="AH106" s="354">
        <f t="shared" si="39"/>
        <v>0</v>
      </c>
      <c r="AI106" s="354">
        <f t="shared" si="55"/>
        <v>0</v>
      </c>
      <c r="AJ106" s="354">
        <f t="shared" si="55"/>
        <v>0</v>
      </c>
      <c r="AL106" s="354">
        <f t="shared" si="40"/>
        <v>0</v>
      </c>
      <c r="AN106" s="354">
        <f t="shared" ref="AN106:BR106" si="56">+AN10-AN58</f>
        <v>0</v>
      </c>
      <c r="AO106" s="354">
        <f t="shared" si="50"/>
        <v>0</v>
      </c>
      <c r="AP106" s="354">
        <f t="shared" si="56"/>
        <v>0</v>
      </c>
      <c r="AQ106" s="354">
        <f t="shared" si="56"/>
        <v>0</v>
      </c>
      <c r="AR106" s="354">
        <f t="shared" si="42"/>
        <v>0</v>
      </c>
      <c r="AS106" s="354">
        <f t="shared" si="42"/>
        <v>0</v>
      </c>
      <c r="AT106" s="354">
        <f t="shared" si="56"/>
        <v>0</v>
      </c>
      <c r="AU106" s="354">
        <f t="shared" si="56"/>
        <v>0</v>
      </c>
      <c r="AV106" s="354">
        <f t="shared" si="56"/>
        <v>0</v>
      </c>
      <c r="AW106" s="354">
        <f t="shared" si="56"/>
        <v>0</v>
      </c>
      <c r="AX106" s="354">
        <f t="shared" si="56"/>
        <v>0</v>
      </c>
      <c r="AY106" s="354">
        <f t="shared" si="56"/>
        <v>0</v>
      </c>
      <c r="AZ106" s="354">
        <f t="shared" si="56"/>
        <v>0</v>
      </c>
      <c r="BA106" s="354">
        <f t="shared" si="56"/>
        <v>0</v>
      </c>
      <c r="BB106" s="354">
        <f t="shared" si="56"/>
        <v>0</v>
      </c>
      <c r="BC106" s="354">
        <f t="shared" si="56"/>
        <v>0</v>
      </c>
      <c r="BD106" s="354">
        <f t="shared" si="56"/>
        <v>0</v>
      </c>
      <c r="BE106" s="354">
        <f t="shared" si="56"/>
        <v>0</v>
      </c>
      <c r="BF106" s="354">
        <f t="shared" si="56"/>
        <v>0</v>
      </c>
      <c r="BG106" s="354">
        <f t="shared" si="56"/>
        <v>0</v>
      </c>
      <c r="BH106" s="354">
        <f t="shared" si="56"/>
        <v>0</v>
      </c>
      <c r="BI106" s="354">
        <f t="shared" si="56"/>
        <v>0</v>
      </c>
      <c r="BJ106" s="354">
        <f t="shared" ref="BJ106" si="57">+BJ10-BJ58</f>
        <v>0</v>
      </c>
      <c r="BK106" s="354">
        <f t="shared" si="44"/>
        <v>0</v>
      </c>
      <c r="BL106" s="354">
        <f t="shared" si="56"/>
        <v>0</v>
      </c>
      <c r="BM106" s="354">
        <f t="shared" si="45"/>
        <v>0</v>
      </c>
      <c r="BN106" s="354">
        <f t="shared" si="56"/>
        <v>0</v>
      </c>
      <c r="BO106" s="354">
        <f t="shared" si="56"/>
        <v>0</v>
      </c>
      <c r="BP106" s="354">
        <f t="shared" si="56"/>
        <v>0</v>
      </c>
      <c r="BQ106" s="354">
        <f t="shared" si="52"/>
        <v>0</v>
      </c>
      <c r="BR106" s="354">
        <f t="shared" si="56"/>
        <v>-7</v>
      </c>
      <c r="BS106" s="354"/>
      <c r="BT106" s="354">
        <f t="shared" si="46"/>
        <v>0</v>
      </c>
      <c r="BU106" s="354">
        <f t="shared" si="46"/>
        <v>0</v>
      </c>
      <c r="BV106" s="354">
        <f t="shared" si="46"/>
        <v>0</v>
      </c>
      <c r="BW106" s="354">
        <f t="shared" si="46"/>
        <v>0</v>
      </c>
      <c r="BX106" s="354">
        <f t="shared" si="46"/>
        <v>0</v>
      </c>
      <c r="BY106" s="354">
        <f t="shared" si="46"/>
        <v>0</v>
      </c>
      <c r="BZ106" s="354"/>
      <c r="CA106" s="354"/>
      <c r="CB106" s="354"/>
      <c r="CC106" s="354"/>
      <c r="CD106" s="354"/>
      <c r="CE106" s="354"/>
      <c r="CF106" s="354"/>
      <c r="CG106" s="354"/>
      <c r="CH106" s="354"/>
      <c r="CI106" s="354"/>
      <c r="CJ106" s="354"/>
      <c r="CK106" s="354"/>
      <c r="CL106" s="354"/>
      <c r="CM106" s="693"/>
      <c r="CN106" s="693"/>
      <c r="CO106" s="693"/>
    </row>
    <row r="107" spans="1:93">
      <c r="B107" s="271">
        <f t="shared" si="53"/>
        <v>4</v>
      </c>
      <c r="C107" s="541">
        <f>+Base!I$4</f>
        <v>65</v>
      </c>
      <c r="D107" s="541">
        <f>+Base!I$5</f>
        <v>64</v>
      </c>
      <c r="E107" s="540">
        <f>+Base!I$7</f>
        <v>2022</v>
      </c>
      <c r="F107" s="354">
        <f t="shared" si="35"/>
        <v>0</v>
      </c>
      <c r="G107" s="354">
        <f t="shared" si="35"/>
        <v>0</v>
      </c>
      <c r="H107" s="354">
        <f t="shared" si="35"/>
        <v>0</v>
      </c>
      <c r="I107" s="354">
        <f t="shared" si="35"/>
        <v>0</v>
      </c>
      <c r="J107" s="354">
        <f t="shared" si="35"/>
        <v>0</v>
      </c>
      <c r="K107" s="354">
        <f t="shared" si="35"/>
        <v>0</v>
      </c>
      <c r="M107" s="354">
        <f t="shared" ref="M107:W107" si="58">+M11-M59</f>
        <v>0</v>
      </c>
      <c r="N107" s="354">
        <f t="shared" si="58"/>
        <v>0</v>
      </c>
      <c r="O107" s="354">
        <f t="shared" si="58"/>
        <v>0</v>
      </c>
      <c r="P107" s="354">
        <f t="shared" si="58"/>
        <v>0</v>
      </c>
      <c r="Q107" s="354">
        <f t="shared" si="58"/>
        <v>0</v>
      </c>
      <c r="R107" s="354">
        <f t="shared" si="58"/>
        <v>0</v>
      </c>
      <c r="S107" s="354">
        <f t="shared" si="58"/>
        <v>0</v>
      </c>
      <c r="T107" s="354">
        <f t="shared" si="58"/>
        <v>0</v>
      </c>
      <c r="U107" s="354">
        <f t="shared" si="58"/>
        <v>0</v>
      </c>
      <c r="V107" s="354">
        <f t="shared" si="37"/>
        <v>0</v>
      </c>
      <c r="W107" s="354">
        <f t="shared" si="58"/>
        <v>0</v>
      </c>
      <c r="Y107" s="354">
        <f t="shared" ref="Y107:AJ107" si="59">+Y11-Y59</f>
        <v>0</v>
      </c>
      <c r="Z107" s="354">
        <f t="shared" si="59"/>
        <v>0</v>
      </c>
      <c r="AA107" s="354">
        <f t="shared" si="59"/>
        <v>0</v>
      </c>
      <c r="AB107" s="354">
        <f t="shared" si="59"/>
        <v>0</v>
      </c>
      <c r="AC107" s="354">
        <f t="shared" si="59"/>
        <v>0</v>
      </c>
      <c r="AD107" s="354">
        <f t="shared" si="59"/>
        <v>0</v>
      </c>
      <c r="AE107" s="354">
        <f t="shared" si="59"/>
        <v>0</v>
      </c>
      <c r="AF107" s="354">
        <f t="shared" si="59"/>
        <v>0</v>
      </c>
      <c r="AG107" s="354">
        <f t="shared" si="59"/>
        <v>0</v>
      </c>
      <c r="AH107" s="354">
        <f t="shared" si="39"/>
        <v>0</v>
      </c>
      <c r="AI107" s="354">
        <f t="shared" si="59"/>
        <v>0</v>
      </c>
      <c r="AJ107" s="354">
        <f t="shared" si="59"/>
        <v>0</v>
      </c>
      <c r="AL107" s="354">
        <f t="shared" si="40"/>
        <v>0</v>
      </c>
      <c r="AN107" s="354">
        <f t="shared" ref="AN107:BR107" si="60">+AN11-AN59</f>
        <v>0</v>
      </c>
      <c r="AO107" s="354">
        <f t="shared" si="50"/>
        <v>0</v>
      </c>
      <c r="AP107" s="354">
        <f t="shared" si="60"/>
        <v>0</v>
      </c>
      <c r="AQ107" s="354">
        <f t="shared" si="60"/>
        <v>0</v>
      </c>
      <c r="AR107" s="354">
        <f t="shared" si="42"/>
        <v>0</v>
      </c>
      <c r="AS107" s="354">
        <f t="shared" si="42"/>
        <v>0</v>
      </c>
      <c r="AT107" s="354">
        <f t="shared" si="60"/>
        <v>0</v>
      </c>
      <c r="AU107" s="354">
        <f t="shared" si="60"/>
        <v>0</v>
      </c>
      <c r="AV107" s="354">
        <f t="shared" si="60"/>
        <v>0</v>
      </c>
      <c r="AW107" s="354">
        <f t="shared" si="60"/>
        <v>0</v>
      </c>
      <c r="AX107" s="354">
        <f t="shared" si="60"/>
        <v>0</v>
      </c>
      <c r="AY107" s="354">
        <f t="shared" si="60"/>
        <v>0</v>
      </c>
      <c r="AZ107" s="354">
        <f t="shared" si="60"/>
        <v>0</v>
      </c>
      <c r="BA107" s="354">
        <f t="shared" si="60"/>
        <v>0</v>
      </c>
      <c r="BB107" s="354">
        <f t="shared" si="60"/>
        <v>0</v>
      </c>
      <c r="BC107" s="354">
        <f t="shared" si="60"/>
        <v>0</v>
      </c>
      <c r="BD107" s="354">
        <f t="shared" si="60"/>
        <v>0</v>
      </c>
      <c r="BE107" s="354">
        <f t="shared" si="60"/>
        <v>0</v>
      </c>
      <c r="BF107" s="354">
        <f t="shared" si="60"/>
        <v>0</v>
      </c>
      <c r="BG107" s="354">
        <f t="shared" si="60"/>
        <v>0</v>
      </c>
      <c r="BH107" s="354">
        <f t="shared" si="60"/>
        <v>0</v>
      </c>
      <c r="BI107" s="354">
        <f t="shared" si="60"/>
        <v>0</v>
      </c>
      <c r="BJ107" s="354">
        <f t="shared" ref="BJ107" si="61">+BJ11-BJ59</f>
        <v>0</v>
      </c>
      <c r="BK107" s="354">
        <f t="shared" si="44"/>
        <v>0</v>
      </c>
      <c r="BL107" s="354">
        <f t="shared" si="60"/>
        <v>0</v>
      </c>
      <c r="BM107" s="354">
        <f t="shared" si="45"/>
        <v>0</v>
      </c>
      <c r="BN107" s="354">
        <f t="shared" si="60"/>
        <v>0</v>
      </c>
      <c r="BO107" s="354">
        <f t="shared" si="60"/>
        <v>0</v>
      </c>
      <c r="BP107" s="354">
        <f t="shared" si="60"/>
        <v>0</v>
      </c>
      <c r="BQ107" s="354">
        <f t="shared" si="52"/>
        <v>0</v>
      </c>
      <c r="BR107" s="354">
        <f t="shared" si="60"/>
        <v>-7</v>
      </c>
      <c r="BS107" s="354"/>
      <c r="BT107" s="354">
        <f t="shared" si="46"/>
        <v>0</v>
      </c>
      <c r="BU107" s="354">
        <f t="shared" si="46"/>
        <v>0</v>
      </c>
      <c r="BV107" s="354">
        <f t="shared" si="46"/>
        <v>0</v>
      </c>
      <c r="BW107" s="354">
        <f t="shared" si="46"/>
        <v>0</v>
      </c>
      <c r="BX107" s="354">
        <f t="shared" si="46"/>
        <v>0</v>
      </c>
      <c r="BY107" s="354">
        <f t="shared" si="46"/>
        <v>0</v>
      </c>
      <c r="BZ107" s="354"/>
      <c r="CA107" s="354"/>
      <c r="CB107" s="354"/>
      <c r="CC107" s="354"/>
      <c r="CD107" s="354"/>
      <c r="CE107" s="354"/>
      <c r="CF107" s="354"/>
      <c r="CG107" s="354"/>
      <c r="CH107" s="354"/>
      <c r="CI107" s="354"/>
      <c r="CJ107" s="354"/>
      <c r="CK107" s="354"/>
      <c r="CL107" s="354"/>
      <c r="CM107" s="693"/>
      <c r="CN107" s="693"/>
      <c r="CO107" s="693"/>
    </row>
    <row r="108" spans="1:93">
      <c r="B108" s="271">
        <f t="shared" si="53"/>
        <v>5</v>
      </c>
      <c r="C108" s="541">
        <f>+Base!J$4</f>
        <v>66</v>
      </c>
      <c r="D108" s="541">
        <f>+Base!J$5</f>
        <v>65</v>
      </c>
      <c r="E108" s="540">
        <f>+Base!J$7</f>
        <v>2023</v>
      </c>
      <c r="F108" s="354">
        <f t="shared" si="35"/>
        <v>0</v>
      </c>
      <c r="G108" s="354">
        <f t="shared" si="35"/>
        <v>0</v>
      </c>
      <c r="H108" s="354">
        <f t="shared" si="35"/>
        <v>0</v>
      </c>
      <c r="I108" s="354">
        <f t="shared" si="35"/>
        <v>0</v>
      </c>
      <c r="J108" s="354">
        <f t="shared" si="35"/>
        <v>0</v>
      </c>
      <c r="K108" s="354">
        <f t="shared" si="35"/>
        <v>0</v>
      </c>
      <c r="M108" s="354">
        <f t="shared" ref="M108:W108" si="62">+M12-M60</f>
        <v>0</v>
      </c>
      <c r="N108" s="354">
        <f t="shared" si="62"/>
        <v>0</v>
      </c>
      <c r="O108" s="354">
        <f t="shared" si="62"/>
        <v>0</v>
      </c>
      <c r="P108" s="354">
        <f t="shared" si="62"/>
        <v>0</v>
      </c>
      <c r="Q108" s="354">
        <f t="shared" si="62"/>
        <v>0</v>
      </c>
      <c r="R108" s="354">
        <f t="shared" si="62"/>
        <v>0</v>
      </c>
      <c r="S108" s="354">
        <f t="shared" si="62"/>
        <v>0</v>
      </c>
      <c r="T108" s="354">
        <f t="shared" si="62"/>
        <v>0</v>
      </c>
      <c r="U108" s="354">
        <f t="shared" si="62"/>
        <v>0</v>
      </c>
      <c r="V108" s="354">
        <f t="shared" si="37"/>
        <v>0</v>
      </c>
      <c r="W108" s="354">
        <f t="shared" si="62"/>
        <v>0</v>
      </c>
      <c r="Y108" s="354">
        <f t="shared" ref="Y108:AJ108" si="63">+Y12-Y60</f>
        <v>0</v>
      </c>
      <c r="Z108" s="354">
        <f t="shared" si="63"/>
        <v>0</v>
      </c>
      <c r="AA108" s="354">
        <f t="shared" si="63"/>
        <v>0</v>
      </c>
      <c r="AB108" s="354">
        <f t="shared" si="63"/>
        <v>0</v>
      </c>
      <c r="AC108" s="354">
        <f t="shared" si="63"/>
        <v>0</v>
      </c>
      <c r="AD108" s="354">
        <f t="shared" si="63"/>
        <v>0</v>
      </c>
      <c r="AE108" s="354">
        <f t="shared" si="63"/>
        <v>0</v>
      </c>
      <c r="AF108" s="354">
        <f t="shared" si="63"/>
        <v>0</v>
      </c>
      <c r="AG108" s="354">
        <f t="shared" si="63"/>
        <v>0</v>
      </c>
      <c r="AH108" s="354">
        <f t="shared" si="39"/>
        <v>0</v>
      </c>
      <c r="AI108" s="354">
        <f t="shared" si="63"/>
        <v>0</v>
      </c>
      <c r="AJ108" s="354">
        <f t="shared" si="63"/>
        <v>0</v>
      </c>
      <c r="AL108" s="354">
        <f t="shared" si="40"/>
        <v>0</v>
      </c>
      <c r="AN108" s="354">
        <f t="shared" ref="AN108:BR108" si="64">+AN12-AN60</f>
        <v>0</v>
      </c>
      <c r="AO108" s="354">
        <f t="shared" si="50"/>
        <v>0</v>
      </c>
      <c r="AP108" s="354">
        <f t="shared" si="64"/>
        <v>0</v>
      </c>
      <c r="AQ108" s="354">
        <f t="shared" si="64"/>
        <v>0</v>
      </c>
      <c r="AR108" s="354">
        <f t="shared" si="42"/>
        <v>0</v>
      </c>
      <c r="AS108" s="354">
        <f t="shared" si="42"/>
        <v>0</v>
      </c>
      <c r="AT108" s="354">
        <f t="shared" si="64"/>
        <v>0</v>
      </c>
      <c r="AU108" s="354">
        <f t="shared" si="64"/>
        <v>0</v>
      </c>
      <c r="AV108" s="354">
        <f t="shared" si="64"/>
        <v>0</v>
      </c>
      <c r="AW108" s="354">
        <f t="shared" si="64"/>
        <v>0</v>
      </c>
      <c r="AX108" s="354">
        <f t="shared" si="64"/>
        <v>0</v>
      </c>
      <c r="AY108" s="354">
        <f t="shared" si="64"/>
        <v>0</v>
      </c>
      <c r="AZ108" s="354">
        <f t="shared" si="64"/>
        <v>0</v>
      </c>
      <c r="BA108" s="354">
        <f t="shared" si="64"/>
        <v>0</v>
      </c>
      <c r="BB108" s="354">
        <f t="shared" si="64"/>
        <v>0</v>
      </c>
      <c r="BC108" s="354">
        <f t="shared" si="64"/>
        <v>0</v>
      </c>
      <c r="BD108" s="354">
        <f t="shared" si="64"/>
        <v>0</v>
      </c>
      <c r="BE108" s="354">
        <f t="shared" si="64"/>
        <v>0</v>
      </c>
      <c r="BF108" s="354">
        <f t="shared" si="64"/>
        <v>0</v>
      </c>
      <c r="BG108" s="354">
        <f t="shared" si="64"/>
        <v>0</v>
      </c>
      <c r="BH108" s="354">
        <f t="shared" si="64"/>
        <v>0</v>
      </c>
      <c r="BI108" s="354">
        <f t="shared" si="64"/>
        <v>0</v>
      </c>
      <c r="BJ108" s="354">
        <f t="shared" ref="BJ108" si="65">+BJ12-BJ60</f>
        <v>0</v>
      </c>
      <c r="BK108" s="354">
        <f t="shared" si="44"/>
        <v>0</v>
      </c>
      <c r="BL108" s="354">
        <f t="shared" si="64"/>
        <v>0</v>
      </c>
      <c r="BM108" s="354">
        <f t="shared" si="45"/>
        <v>0</v>
      </c>
      <c r="BN108" s="354">
        <f t="shared" si="64"/>
        <v>0</v>
      </c>
      <c r="BO108" s="354">
        <f t="shared" si="64"/>
        <v>0</v>
      </c>
      <c r="BP108" s="354">
        <f t="shared" si="64"/>
        <v>0</v>
      </c>
      <c r="BQ108" s="354">
        <f t="shared" si="52"/>
        <v>0</v>
      </c>
      <c r="BR108" s="354">
        <f t="shared" si="64"/>
        <v>-7</v>
      </c>
      <c r="BS108" s="354"/>
      <c r="BT108" s="354">
        <f t="shared" si="46"/>
        <v>0</v>
      </c>
      <c r="BU108" s="354">
        <f t="shared" si="46"/>
        <v>0</v>
      </c>
      <c r="BV108" s="354">
        <f t="shared" si="46"/>
        <v>0</v>
      </c>
      <c r="BW108" s="354">
        <f t="shared" si="46"/>
        <v>0</v>
      </c>
      <c r="BX108" s="354">
        <f t="shared" si="46"/>
        <v>0</v>
      </c>
      <c r="BY108" s="354">
        <f t="shared" si="46"/>
        <v>0</v>
      </c>
      <c r="BZ108" s="354"/>
      <c r="CA108" s="354"/>
      <c r="CB108" s="354"/>
      <c r="CC108" s="354"/>
      <c r="CD108" s="354"/>
      <c r="CE108" s="354"/>
      <c r="CF108" s="354"/>
      <c r="CG108" s="354"/>
      <c r="CH108" s="354"/>
      <c r="CI108" s="354"/>
      <c r="CJ108" s="354"/>
      <c r="CK108" s="354"/>
      <c r="CL108" s="354"/>
      <c r="CM108" s="693"/>
      <c r="CN108" s="693"/>
      <c r="CO108" s="693"/>
    </row>
    <row r="109" spans="1:93">
      <c r="B109" s="271">
        <f t="shared" si="53"/>
        <v>6</v>
      </c>
      <c r="C109" s="541">
        <f>+Base!K$4</f>
        <v>67</v>
      </c>
      <c r="D109" s="541">
        <f>+Base!K$5</f>
        <v>66</v>
      </c>
      <c r="E109" s="540">
        <f>+Base!K$7</f>
        <v>2024</v>
      </c>
      <c r="F109" s="354">
        <f t="shared" si="35"/>
        <v>0</v>
      </c>
      <c r="G109" s="354">
        <f t="shared" si="35"/>
        <v>0</v>
      </c>
      <c r="H109" s="354">
        <f t="shared" si="35"/>
        <v>0</v>
      </c>
      <c r="I109" s="354">
        <f t="shared" si="35"/>
        <v>0</v>
      </c>
      <c r="J109" s="354">
        <f t="shared" si="35"/>
        <v>0</v>
      </c>
      <c r="K109" s="354">
        <f t="shared" si="35"/>
        <v>0</v>
      </c>
      <c r="M109" s="354">
        <f t="shared" ref="M109:W109" si="66">+M13-M61</f>
        <v>0</v>
      </c>
      <c r="N109" s="354">
        <f t="shared" si="66"/>
        <v>0</v>
      </c>
      <c r="O109" s="354">
        <f t="shared" si="66"/>
        <v>0</v>
      </c>
      <c r="P109" s="354">
        <f t="shared" si="66"/>
        <v>0</v>
      </c>
      <c r="Q109" s="354">
        <f t="shared" si="66"/>
        <v>0</v>
      </c>
      <c r="R109" s="354">
        <f t="shared" si="66"/>
        <v>0</v>
      </c>
      <c r="S109" s="354">
        <f t="shared" si="66"/>
        <v>0</v>
      </c>
      <c r="T109" s="354">
        <f t="shared" si="66"/>
        <v>0</v>
      </c>
      <c r="U109" s="354">
        <f t="shared" si="66"/>
        <v>0</v>
      </c>
      <c r="V109" s="354">
        <f t="shared" si="37"/>
        <v>0</v>
      </c>
      <c r="W109" s="354">
        <f t="shared" si="66"/>
        <v>0</v>
      </c>
      <c r="Y109" s="354">
        <f t="shared" ref="Y109:AJ109" si="67">+Y13-Y61</f>
        <v>0</v>
      </c>
      <c r="Z109" s="354">
        <f t="shared" si="67"/>
        <v>0</v>
      </c>
      <c r="AA109" s="354">
        <f t="shared" si="67"/>
        <v>0</v>
      </c>
      <c r="AB109" s="354">
        <f t="shared" si="67"/>
        <v>0</v>
      </c>
      <c r="AC109" s="354">
        <f t="shared" si="67"/>
        <v>0</v>
      </c>
      <c r="AD109" s="354">
        <f t="shared" si="67"/>
        <v>0</v>
      </c>
      <c r="AE109" s="354">
        <f t="shared" si="67"/>
        <v>0</v>
      </c>
      <c r="AF109" s="354">
        <f t="shared" si="67"/>
        <v>0</v>
      </c>
      <c r="AG109" s="354">
        <f t="shared" si="67"/>
        <v>0</v>
      </c>
      <c r="AH109" s="354">
        <f t="shared" si="39"/>
        <v>0</v>
      </c>
      <c r="AI109" s="354">
        <f t="shared" si="67"/>
        <v>0</v>
      </c>
      <c r="AJ109" s="354">
        <f t="shared" si="67"/>
        <v>0</v>
      </c>
      <c r="AL109" s="354">
        <f t="shared" si="40"/>
        <v>0</v>
      </c>
      <c r="AN109" s="354">
        <f t="shared" ref="AN109:BR109" si="68">+AN13-AN61</f>
        <v>0</v>
      </c>
      <c r="AO109" s="354">
        <f t="shared" si="50"/>
        <v>0</v>
      </c>
      <c r="AP109" s="354">
        <f t="shared" si="68"/>
        <v>0</v>
      </c>
      <c r="AQ109" s="354">
        <f t="shared" si="68"/>
        <v>0</v>
      </c>
      <c r="AR109" s="354">
        <f t="shared" si="42"/>
        <v>0</v>
      </c>
      <c r="AS109" s="354">
        <f t="shared" si="42"/>
        <v>0</v>
      </c>
      <c r="AT109" s="354">
        <f t="shared" si="68"/>
        <v>0</v>
      </c>
      <c r="AU109" s="354">
        <f t="shared" si="68"/>
        <v>0</v>
      </c>
      <c r="AV109" s="354">
        <f t="shared" si="68"/>
        <v>0</v>
      </c>
      <c r="AW109" s="354">
        <f t="shared" si="68"/>
        <v>0</v>
      </c>
      <c r="AX109" s="354">
        <f t="shared" si="68"/>
        <v>0</v>
      </c>
      <c r="AY109" s="354">
        <f t="shared" si="68"/>
        <v>0</v>
      </c>
      <c r="AZ109" s="354">
        <f t="shared" si="68"/>
        <v>0</v>
      </c>
      <c r="BA109" s="354">
        <f t="shared" si="68"/>
        <v>0</v>
      </c>
      <c r="BB109" s="354">
        <f t="shared" si="68"/>
        <v>0</v>
      </c>
      <c r="BC109" s="354">
        <f t="shared" si="68"/>
        <v>0</v>
      </c>
      <c r="BD109" s="354">
        <f t="shared" si="68"/>
        <v>0</v>
      </c>
      <c r="BE109" s="354">
        <f t="shared" si="68"/>
        <v>0</v>
      </c>
      <c r="BF109" s="354">
        <f t="shared" si="68"/>
        <v>0</v>
      </c>
      <c r="BG109" s="354">
        <f t="shared" si="68"/>
        <v>0</v>
      </c>
      <c r="BH109" s="354">
        <f t="shared" si="68"/>
        <v>0</v>
      </c>
      <c r="BI109" s="354">
        <f t="shared" si="68"/>
        <v>0</v>
      </c>
      <c r="BJ109" s="354">
        <f t="shared" ref="BJ109" si="69">+BJ13-BJ61</f>
        <v>0</v>
      </c>
      <c r="BK109" s="354">
        <f t="shared" si="44"/>
        <v>0</v>
      </c>
      <c r="BL109" s="354">
        <f t="shared" si="68"/>
        <v>0</v>
      </c>
      <c r="BM109" s="354">
        <f t="shared" si="45"/>
        <v>0</v>
      </c>
      <c r="BN109" s="354">
        <f t="shared" si="68"/>
        <v>0</v>
      </c>
      <c r="BO109" s="354">
        <f t="shared" si="68"/>
        <v>0</v>
      </c>
      <c r="BP109" s="354">
        <f t="shared" si="68"/>
        <v>0</v>
      </c>
      <c r="BQ109" s="354">
        <f t="shared" si="52"/>
        <v>0</v>
      </c>
      <c r="BR109" s="354">
        <f t="shared" si="68"/>
        <v>-7</v>
      </c>
      <c r="BS109" s="354"/>
      <c r="BT109" s="354">
        <f t="shared" si="46"/>
        <v>0</v>
      </c>
      <c r="BU109" s="354">
        <f t="shared" si="46"/>
        <v>0</v>
      </c>
      <c r="BV109" s="354">
        <f t="shared" si="46"/>
        <v>0</v>
      </c>
      <c r="BW109" s="354">
        <f t="shared" si="46"/>
        <v>0</v>
      </c>
      <c r="BX109" s="354">
        <f t="shared" si="46"/>
        <v>0</v>
      </c>
      <c r="BY109" s="354">
        <f t="shared" si="46"/>
        <v>0</v>
      </c>
      <c r="BZ109" s="354"/>
      <c r="CA109" s="354"/>
      <c r="CB109" s="354"/>
      <c r="CC109" s="354"/>
      <c r="CD109" s="354"/>
      <c r="CE109" s="354"/>
      <c r="CF109" s="354"/>
      <c r="CG109" s="354"/>
      <c r="CH109" s="354"/>
      <c r="CI109" s="354"/>
      <c r="CJ109" s="354"/>
      <c r="CK109" s="354"/>
      <c r="CL109" s="354"/>
      <c r="CM109" s="693"/>
      <c r="CN109" s="693"/>
      <c r="CO109" s="693"/>
    </row>
    <row r="110" spans="1:93">
      <c r="B110" s="271">
        <f t="shared" si="53"/>
        <v>7</v>
      </c>
      <c r="C110" s="541">
        <f>+Base!L$4</f>
        <v>68</v>
      </c>
      <c r="D110" s="541">
        <f>+Base!L$5</f>
        <v>67</v>
      </c>
      <c r="E110" s="540">
        <f>+Base!L$7</f>
        <v>2025</v>
      </c>
      <c r="F110" s="354">
        <f t="shared" si="35"/>
        <v>0</v>
      </c>
      <c r="G110" s="354">
        <f t="shared" si="35"/>
        <v>0</v>
      </c>
      <c r="H110" s="354">
        <f t="shared" si="35"/>
        <v>0</v>
      </c>
      <c r="I110" s="354">
        <f t="shared" si="35"/>
        <v>0</v>
      </c>
      <c r="J110" s="354">
        <f t="shared" si="35"/>
        <v>0</v>
      </c>
      <c r="K110" s="354">
        <f t="shared" si="35"/>
        <v>0</v>
      </c>
      <c r="M110" s="354">
        <f t="shared" ref="M110:W110" si="70">+M14-M62</f>
        <v>0</v>
      </c>
      <c r="N110" s="354">
        <f t="shared" si="70"/>
        <v>0</v>
      </c>
      <c r="O110" s="354">
        <f t="shared" si="70"/>
        <v>0</v>
      </c>
      <c r="P110" s="354">
        <f t="shared" si="70"/>
        <v>0</v>
      </c>
      <c r="Q110" s="354">
        <f t="shared" si="70"/>
        <v>0</v>
      </c>
      <c r="R110" s="354">
        <f t="shared" si="70"/>
        <v>0</v>
      </c>
      <c r="S110" s="354">
        <f t="shared" si="70"/>
        <v>0</v>
      </c>
      <c r="T110" s="354">
        <f t="shared" si="70"/>
        <v>0</v>
      </c>
      <c r="U110" s="354">
        <f t="shared" si="70"/>
        <v>0</v>
      </c>
      <c r="V110" s="354">
        <f t="shared" si="37"/>
        <v>0</v>
      </c>
      <c r="W110" s="354">
        <f t="shared" si="70"/>
        <v>0</v>
      </c>
      <c r="Y110" s="354">
        <f t="shared" ref="Y110:AJ110" si="71">+Y14-Y62</f>
        <v>0</v>
      </c>
      <c r="Z110" s="354">
        <f t="shared" si="71"/>
        <v>0</v>
      </c>
      <c r="AA110" s="354">
        <f t="shared" si="71"/>
        <v>0</v>
      </c>
      <c r="AB110" s="354">
        <f t="shared" si="71"/>
        <v>0</v>
      </c>
      <c r="AC110" s="354">
        <f t="shared" si="71"/>
        <v>0</v>
      </c>
      <c r="AD110" s="354">
        <f t="shared" si="71"/>
        <v>0</v>
      </c>
      <c r="AE110" s="354">
        <f t="shared" si="71"/>
        <v>0</v>
      </c>
      <c r="AF110" s="354">
        <f t="shared" si="71"/>
        <v>0</v>
      </c>
      <c r="AG110" s="354">
        <f t="shared" si="71"/>
        <v>0</v>
      </c>
      <c r="AH110" s="354">
        <f t="shared" si="39"/>
        <v>0</v>
      </c>
      <c r="AI110" s="354">
        <f t="shared" si="71"/>
        <v>0</v>
      </c>
      <c r="AJ110" s="354">
        <f t="shared" si="71"/>
        <v>0</v>
      </c>
      <c r="AL110" s="354">
        <f t="shared" si="40"/>
        <v>0</v>
      </c>
      <c r="AN110" s="354">
        <f t="shared" ref="AN110:BR110" si="72">+AN14-AN62</f>
        <v>0</v>
      </c>
      <c r="AO110" s="354">
        <f t="shared" si="50"/>
        <v>0</v>
      </c>
      <c r="AP110" s="354">
        <f t="shared" si="72"/>
        <v>0</v>
      </c>
      <c r="AQ110" s="354">
        <f t="shared" si="72"/>
        <v>0</v>
      </c>
      <c r="AR110" s="354">
        <f t="shared" si="42"/>
        <v>0</v>
      </c>
      <c r="AS110" s="354">
        <f t="shared" si="42"/>
        <v>0</v>
      </c>
      <c r="AT110" s="354">
        <f t="shared" si="72"/>
        <v>0</v>
      </c>
      <c r="AU110" s="354">
        <f t="shared" si="72"/>
        <v>0</v>
      </c>
      <c r="AV110" s="354">
        <f t="shared" si="72"/>
        <v>0</v>
      </c>
      <c r="AW110" s="354">
        <f t="shared" si="72"/>
        <v>0</v>
      </c>
      <c r="AX110" s="354">
        <f t="shared" si="72"/>
        <v>0</v>
      </c>
      <c r="AY110" s="354">
        <f t="shared" si="72"/>
        <v>0</v>
      </c>
      <c r="AZ110" s="354">
        <f t="shared" si="72"/>
        <v>0</v>
      </c>
      <c r="BA110" s="354">
        <f t="shared" si="72"/>
        <v>0</v>
      </c>
      <c r="BB110" s="354">
        <f t="shared" si="72"/>
        <v>0</v>
      </c>
      <c r="BC110" s="354">
        <f t="shared" si="72"/>
        <v>0</v>
      </c>
      <c r="BD110" s="354">
        <f t="shared" si="72"/>
        <v>0</v>
      </c>
      <c r="BE110" s="354">
        <f t="shared" si="72"/>
        <v>0</v>
      </c>
      <c r="BF110" s="354">
        <f t="shared" si="72"/>
        <v>0</v>
      </c>
      <c r="BG110" s="354">
        <f t="shared" si="72"/>
        <v>0</v>
      </c>
      <c r="BH110" s="354">
        <f t="shared" si="72"/>
        <v>0</v>
      </c>
      <c r="BI110" s="354">
        <f t="shared" si="72"/>
        <v>0</v>
      </c>
      <c r="BJ110" s="354">
        <f t="shared" ref="BJ110" si="73">+BJ14-BJ62</f>
        <v>0</v>
      </c>
      <c r="BK110" s="354">
        <f t="shared" si="44"/>
        <v>0</v>
      </c>
      <c r="BL110" s="354">
        <f t="shared" si="72"/>
        <v>0</v>
      </c>
      <c r="BM110" s="354">
        <f t="shared" si="45"/>
        <v>0</v>
      </c>
      <c r="BN110" s="354">
        <f t="shared" si="72"/>
        <v>0</v>
      </c>
      <c r="BO110" s="354">
        <f t="shared" si="72"/>
        <v>0</v>
      </c>
      <c r="BP110" s="354">
        <f t="shared" si="72"/>
        <v>0</v>
      </c>
      <c r="BQ110" s="354">
        <f t="shared" si="52"/>
        <v>0</v>
      </c>
      <c r="BR110" s="354">
        <f t="shared" si="72"/>
        <v>-7</v>
      </c>
      <c r="BS110" s="354"/>
      <c r="BT110" s="354">
        <f t="shared" si="46"/>
        <v>0</v>
      </c>
      <c r="BU110" s="354">
        <f t="shared" si="46"/>
        <v>0</v>
      </c>
      <c r="BV110" s="354">
        <f t="shared" si="46"/>
        <v>0</v>
      </c>
      <c r="BW110" s="354">
        <f t="shared" si="46"/>
        <v>0</v>
      </c>
      <c r="BX110" s="354">
        <f t="shared" si="46"/>
        <v>0</v>
      </c>
      <c r="BY110" s="354">
        <f t="shared" si="46"/>
        <v>0</v>
      </c>
      <c r="BZ110" s="354"/>
      <c r="CA110" s="354"/>
      <c r="CB110" s="354"/>
      <c r="CC110" s="354"/>
      <c r="CD110" s="354"/>
      <c r="CE110" s="354"/>
      <c r="CF110" s="354"/>
      <c r="CG110" s="354"/>
      <c r="CH110" s="354"/>
      <c r="CI110" s="354"/>
      <c r="CJ110" s="354"/>
      <c r="CK110" s="354"/>
      <c r="CL110" s="354"/>
      <c r="CM110" s="693"/>
      <c r="CN110" s="693"/>
      <c r="CO110" s="693"/>
    </row>
    <row r="111" spans="1:93">
      <c r="B111" s="271">
        <f t="shared" si="53"/>
        <v>8</v>
      </c>
      <c r="C111" s="541">
        <f>+Base!M$4</f>
        <v>69</v>
      </c>
      <c r="D111" s="541">
        <f>+Base!M$5</f>
        <v>68</v>
      </c>
      <c r="E111" s="540">
        <f>+Base!M$7</f>
        <v>2026</v>
      </c>
      <c r="F111" s="354">
        <f t="shared" si="35"/>
        <v>0</v>
      </c>
      <c r="G111" s="354">
        <f t="shared" si="35"/>
        <v>0</v>
      </c>
      <c r="H111" s="354">
        <f t="shared" si="35"/>
        <v>0</v>
      </c>
      <c r="I111" s="354">
        <f t="shared" si="35"/>
        <v>0</v>
      </c>
      <c r="J111" s="354">
        <f t="shared" si="35"/>
        <v>0</v>
      </c>
      <c r="K111" s="354">
        <f t="shared" si="35"/>
        <v>0</v>
      </c>
      <c r="M111" s="354">
        <f t="shared" ref="M111:W111" si="74">+M15-M63</f>
        <v>0</v>
      </c>
      <c r="N111" s="354">
        <f t="shared" si="74"/>
        <v>0</v>
      </c>
      <c r="O111" s="354">
        <f t="shared" si="74"/>
        <v>0</v>
      </c>
      <c r="P111" s="354">
        <f t="shared" si="74"/>
        <v>0</v>
      </c>
      <c r="Q111" s="354">
        <f t="shared" si="74"/>
        <v>0</v>
      </c>
      <c r="R111" s="354">
        <f t="shared" si="74"/>
        <v>0</v>
      </c>
      <c r="S111" s="354">
        <f t="shared" si="74"/>
        <v>0</v>
      </c>
      <c r="T111" s="354">
        <f t="shared" si="74"/>
        <v>0</v>
      </c>
      <c r="U111" s="354">
        <f t="shared" si="74"/>
        <v>0</v>
      </c>
      <c r="V111" s="354">
        <f t="shared" si="37"/>
        <v>0</v>
      </c>
      <c r="W111" s="354">
        <f t="shared" si="74"/>
        <v>0</v>
      </c>
      <c r="Y111" s="354">
        <f t="shared" ref="Y111:AJ111" si="75">+Y15-Y63</f>
        <v>0</v>
      </c>
      <c r="Z111" s="354">
        <f t="shared" si="75"/>
        <v>0</v>
      </c>
      <c r="AA111" s="354">
        <f t="shared" si="75"/>
        <v>0</v>
      </c>
      <c r="AB111" s="354">
        <f t="shared" si="75"/>
        <v>0</v>
      </c>
      <c r="AC111" s="354">
        <f t="shared" si="75"/>
        <v>0</v>
      </c>
      <c r="AD111" s="354">
        <f t="shared" si="75"/>
        <v>0</v>
      </c>
      <c r="AE111" s="354">
        <f t="shared" si="75"/>
        <v>0</v>
      </c>
      <c r="AF111" s="354">
        <f t="shared" si="75"/>
        <v>0</v>
      </c>
      <c r="AG111" s="354">
        <f t="shared" si="75"/>
        <v>0</v>
      </c>
      <c r="AH111" s="354">
        <f t="shared" si="39"/>
        <v>0</v>
      </c>
      <c r="AI111" s="354">
        <f t="shared" si="75"/>
        <v>0</v>
      </c>
      <c r="AJ111" s="354">
        <f t="shared" si="75"/>
        <v>0</v>
      </c>
      <c r="AL111" s="354">
        <f t="shared" si="40"/>
        <v>0</v>
      </c>
      <c r="AN111" s="354">
        <f t="shared" ref="AN111:BR111" si="76">+AN15-AN63</f>
        <v>0</v>
      </c>
      <c r="AO111" s="354">
        <f t="shared" si="50"/>
        <v>0</v>
      </c>
      <c r="AP111" s="354">
        <f t="shared" si="76"/>
        <v>0</v>
      </c>
      <c r="AQ111" s="354">
        <f t="shared" si="76"/>
        <v>0</v>
      </c>
      <c r="AR111" s="354">
        <f t="shared" si="42"/>
        <v>0</v>
      </c>
      <c r="AS111" s="354">
        <f t="shared" si="42"/>
        <v>0</v>
      </c>
      <c r="AT111" s="354">
        <f t="shared" si="76"/>
        <v>0</v>
      </c>
      <c r="AU111" s="354">
        <f t="shared" si="76"/>
        <v>0</v>
      </c>
      <c r="AV111" s="354">
        <f t="shared" si="76"/>
        <v>0</v>
      </c>
      <c r="AW111" s="354">
        <f t="shared" si="76"/>
        <v>0</v>
      </c>
      <c r="AX111" s="354">
        <f t="shared" si="76"/>
        <v>0</v>
      </c>
      <c r="AY111" s="354">
        <f t="shared" si="76"/>
        <v>0</v>
      </c>
      <c r="AZ111" s="354">
        <f t="shared" si="76"/>
        <v>0</v>
      </c>
      <c r="BA111" s="354">
        <f t="shared" si="76"/>
        <v>0</v>
      </c>
      <c r="BB111" s="354">
        <f t="shared" si="76"/>
        <v>0</v>
      </c>
      <c r="BC111" s="354">
        <f t="shared" si="76"/>
        <v>0</v>
      </c>
      <c r="BD111" s="354">
        <f t="shared" si="76"/>
        <v>0</v>
      </c>
      <c r="BE111" s="354">
        <f t="shared" si="76"/>
        <v>0</v>
      </c>
      <c r="BF111" s="354">
        <f t="shared" si="76"/>
        <v>0</v>
      </c>
      <c r="BG111" s="354">
        <f t="shared" si="76"/>
        <v>0</v>
      </c>
      <c r="BH111" s="354">
        <f t="shared" si="76"/>
        <v>0</v>
      </c>
      <c r="BI111" s="354">
        <f t="shared" si="76"/>
        <v>0</v>
      </c>
      <c r="BJ111" s="354">
        <f t="shared" ref="BJ111" si="77">+BJ15-BJ63</f>
        <v>0</v>
      </c>
      <c r="BK111" s="354">
        <f t="shared" si="44"/>
        <v>0</v>
      </c>
      <c r="BL111" s="354">
        <f t="shared" si="76"/>
        <v>0</v>
      </c>
      <c r="BM111" s="354">
        <f t="shared" si="45"/>
        <v>0</v>
      </c>
      <c r="BN111" s="354">
        <f t="shared" si="76"/>
        <v>0</v>
      </c>
      <c r="BO111" s="354">
        <f t="shared" si="76"/>
        <v>0</v>
      </c>
      <c r="BP111" s="354">
        <f t="shared" si="76"/>
        <v>0</v>
      </c>
      <c r="BQ111" s="354">
        <f t="shared" si="52"/>
        <v>0</v>
      </c>
      <c r="BR111" s="354">
        <f t="shared" si="76"/>
        <v>-7</v>
      </c>
      <c r="BS111" s="354"/>
      <c r="BT111" s="354">
        <f t="shared" si="46"/>
        <v>0</v>
      </c>
      <c r="BU111" s="354">
        <f t="shared" si="46"/>
        <v>0</v>
      </c>
      <c r="BV111" s="354">
        <f t="shared" si="46"/>
        <v>0</v>
      </c>
      <c r="BW111" s="354">
        <f t="shared" si="46"/>
        <v>0</v>
      </c>
      <c r="BX111" s="354">
        <f t="shared" si="46"/>
        <v>0</v>
      </c>
      <c r="BY111" s="354">
        <f t="shared" si="46"/>
        <v>0</v>
      </c>
      <c r="BZ111" s="354"/>
      <c r="CA111" s="354"/>
      <c r="CB111" s="354"/>
      <c r="CC111" s="354"/>
      <c r="CD111" s="354"/>
      <c r="CE111" s="354"/>
      <c r="CF111" s="354"/>
      <c r="CG111" s="354"/>
      <c r="CH111" s="354"/>
      <c r="CI111" s="354"/>
      <c r="CJ111" s="354"/>
      <c r="CK111" s="354"/>
      <c r="CL111" s="354"/>
      <c r="CM111" s="693"/>
      <c r="CN111" s="693"/>
      <c r="CO111" s="693"/>
    </row>
    <row r="112" spans="1:93">
      <c r="B112" s="271">
        <f t="shared" si="53"/>
        <v>9</v>
      </c>
      <c r="C112" s="541">
        <f>+Base!N$4</f>
        <v>70</v>
      </c>
      <c r="D112" s="541">
        <f>+Base!N$5</f>
        <v>69</v>
      </c>
      <c r="E112" s="540">
        <f>+Base!N$7</f>
        <v>2027</v>
      </c>
      <c r="F112" s="354">
        <f t="shared" si="35"/>
        <v>0</v>
      </c>
      <c r="G112" s="354">
        <f t="shared" si="35"/>
        <v>0</v>
      </c>
      <c r="H112" s="354">
        <f t="shared" si="35"/>
        <v>0</v>
      </c>
      <c r="I112" s="354">
        <f t="shared" si="35"/>
        <v>0</v>
      </c>
      <c r="J112" s="354">
        <f t="shared" si="35"/>
        <v>0</v>
      </c>
      <c r="K112" s="354">
        <f t="shared" si="35"/>
        <v>0</v>
      </c>
      <c r="M112" s="354">
        <f t="shared" ref="M112:W112" si="78">+M16-M64</f>
        <v>0</v>
      </c>
      <c r="N112" s="354">
        <f t="shared" si="78"/>
        <v>0</v>
      </c>
      <c r="O112" s="354">
        <f t="shared" si="78"/>
        <v>0</v>
      </c>
      <c r="P112" s="354">
        <f t="shared" si="78"/>
        <v>0</v>
      </c>
      <c r="Q112" s="354">
        <f t="shared" si="78"/>
        <v>0</v>
      </c>
      <c r="R112" s="354">
        <f t="shared" si="78"/>
        <v>0</v>
      </c>
      <c r="S112" s="354">
        <f t="shared" si="78"/>
        <v>0</v>
      </c>
      <c r="T112" s="354">
        <f t="shared" si="78"/>
        <v>0</v>
      </c>
      <c r="U112" s="354">
        <f t="shared" si="78"/>
        <v>0</v>
      </c>
      <c r="V112" s="354">
        <f t="shared" si="37"/>
        <v>0</v>
      </c>
      <c r="W112" s="354">
        <f t="shared" si="78"/>
        <v>0</v>
      </c>
      <c r="Y112" s="354">
        <f t="shared" ref="Y112:AJ112" si="79">+Y16-Y64</f>
        <v>0</v>
      </c>
      <c r="Z112" s="354">
        <f t="shared" si="79"/>
        <v>0</v>
      </c>
      <c r="AA112" s="354">
        <f t="shared" si="79"/>
        <v>0</v>
      </c>
      <c r="AB112" s="354">
        <f t="shared" si="79"/>
        <v>0</v>
      </c>
      <c r="AC112" s="354">
        <f t="shared" si="79"/>
        <v>0</v>
      </c>
      <c r="AD112" s="354">
        <f t="shared" si="79"/>
        <v>0</v>
      </c>
      <c r="AE112" s="354">
        <f t="shared" si="79"/>
        <v>0</v>
      </c>
      <c r="AF112" s="354">
        <f t="shared" si="79"/>
        <v>0</v>
      </c>
      <c r="AG112" s="354">
        <f t="shared" si="79"/>
        <v>0</v>
      </c>
      <c r="AH112" s="354">
        <f t="shared" si="39"/>
        <v>0</v>
      </c>
      <c r="AI112" s="354">
        <f t="shared" si="79"/>
        <v>0</v>
      </c>
      <c r="AJ112" s="354">
        <f t="shared" si="79"/>
        <v>0</v>
      </c>
      <c r="AL112" s="354">
        <f t="shared" si="40"/>
        <v>0</v>
      </c>
      <c r="AN112" s="354">
        <f t="shared" ref="AN112:BR112" si="80">+AN16-AN64</f>
        <v>0</v>
      </c>
      <c r="AO112" s="354">
        <f t="shared" si="50"/>
        <v>0</v>
      </c>
      <c r="AP112" s="354">
        <f t="shared" si="80"/>
        <v>0</v>
      </c>
      <c r="AQ112" s="354">
        <f t="shared" si="80"/>
        <v>0</v>
      </c>
      <c r="AR112" s="354">
        <f t="shared" si="42"/>
        <v>0</v>
      </c>
      <c r="AS112" s="354">
        <f t="shared" si="42"/>
        <v>0</v>
      </c>
      <c r="AT112" s="354">
        <f t="shared" si="80"/>
        <v>0</v>
      </c>
      <c r="AU112" s="354">
        <f t="shared" si="80"/>
        <v>0</v>
      </c>
      <c r="AV112" s="354">
        <f t="shared" si="80"/>
        <v>0</v>
      </c>
      <c r="AW112" s="354">
        <f t="shared" si="80"/>
        <v>0</v>
      </c>
      <c r="AX112" s="354">
        <f t="shared" si="80"/>
        <v>0</v>
      </c>
      <c r="AY112" s="354">
        <f t="shared" si="80"/>
        <v>0</v>
      </c>
      <c r="AZ112" s="354">
        <f t="shared" si="80"/>
        <v>0</v>
      </c>
      <c r="BA112" s="354">
        <f t="shared" si="80"/>
        <v>0</v>
      </c>
      <c r="BB112" s="354">
        <f t="shared" si="80"/>
        <v>0</v>
      </c>
      <c r="BC112" s="354">
        <f t="shared" si="80"/>
        <v>0</v>
      </c>
      <c r="BD112" s="354">
        <f t="shared" si="80"/>
        <v>0</v>
      </c>
      <c r="BE112" s="354">
        <f t="shared" si="80"/>
        <v>0</v>
      </c>
      <c r="BF112" s="354">
        <f t="shared" si="80"/>
        <v>0</v>
      </c>
      <c r="BG112" s="354">
        <f t="shared" si="80"/>
        <v>0</v>
      </c>
      <c r="BH112" s="354">
        <f t="shared" si="80"/>
        <v>0</v>
      </c>
      <c r="BI112" s="354">
        <f t="shared" si="80"/>
        <v>0</v>
      </c>
      <c r="BJ112" s="354">
        <f t="shared" ref="BJ112" si="81">+BJ16-BJ64</f>
        <v>0</v>
      </c>
      <c r="BK112" s="354">
        <f t="shared" si="44"/>
        <v>0</v>
      </c>
      <c r="BL112" s="354">
        <f t="shared" si="80"/>
        <v>0</v>
      </c>
      <c r="BM112" s="354">
        <f t="shared" si="45"/>
        <v>0</v>
      </c>
      <c r="BN112" s="354">
        <f t="shared" si="80"/>
        <v>0</v>
      </c>
      <c r="BO112" s="354">
        <f t="shared" si="80"/>
        <v>0</v>
      </c>
      <c r="BP112" s="354">
        <f t="shared" si="80"/>
        <v>0</v>
      </c>
      <c r="BQ112" s="354">
        <f t="shared" si="52"/>
        <v>0</v>
      </c>
      <c r="BR112" s="354">
        <f t="shared" si="80"/>
        <v>-7</v>
      </c>
      <c r="BS112" s="354"/>
      <c r="BT112" s="354">
        <f t="shared" si="46"/>
        <v>0</v>
      </c>
      <c r="BU112" s="354">
        <f t="shared" si="46"/>
        <v>0</v>
      </c>
      <c r="BV112" s="354">
        <f t="shared" si="46"/>
        <v>0</v>
      </c>
      <c r="BW112" s="354">
        <f t="shared" si="46"/>
        <v>0</v>
      </c>
      <c r="BX112" s="354">
        <f t="shared" si="46"/>
        <v>0</v>
      </c>
      <c r="BY112" s="354">
        <f t="shared" si="46"/>
        <v>0</v>
      </c>
      <c r="BZ112" s="354"/>
      <c r="CA112" s="354"/>
      <c r="CB112" s="354"/>
      <c r="CC112" s="354"/>
      <c r="CD112" s="354"/>
      <c r="CE112" s="354"/>
      <c r="CF112" s="354"/>
      <c r="CG112" s="354"/>
      <c r="CH112" s="354"/>
      <c r="CI112" s="354"/>
      <c r="CJ112" s="354"/>
      <c r="CK112" s="354"/>
      <c r="CL112" s="354"/>
      <c r="CM112" s="693"/>
      <c r="CN112" s="693"/>
      <c r="CO112" s="693"/>
    </row>
    <row r="113" spans="2:93">
      <c r="B113" s="271">
        <f t="shared" si="53"/>
        <v>10</v>
      </c>
      <c r="C113" s="541">
        <f>+Base!O$4</f>
        <v>71</v>
      </c>
      <c r="D113" s="541">
        <f>+Base!O$5</f>
        <v>70</v>
      </c>
      <c r="E113" s="540">
        <f>+Base!O$7</f>
        <v>2028</v>
      </c>
      <c r="F113" s="354">
        <f t="shared" si="35"/>
        <v>0</v>
      </c>
      <c r="G113" s="354">
        <f t="shared" si="35"/>
        <v>0</v>
      </c>
      <c r="H113" s="354">
        <f t="shared" si="35"/>
        <v>0</v>
      </c>
      <c r="I113" s="354">
        <f t="shared" si="35"/>
        <v>0</v>
      </c>
      <c r="J113" s="354">
        <f t="shared" si="35"/>
        <v>0</v>
      </c>
      <c r="K113" s="354">
        <f t="shared" si="35"/>
        <v>0</v>
      </c>
      <c r="M113" s="354">
        <f t="shared" ref="M113:W113" si="82">+M17-M65</f>
        <v>0</v>
      </c>
      <c r="N113" s="354">
        <f t="shared" si="82"/>
        <v>0</v>
      </c>
      <c r="O113" s="354">
        <f t="shared" si="82"/>
        <v>0</v>
      </c>
      <c r="P113" s="354">
        <f t="shared" si="82"/>
        <v>0</v>
      </c>
      <c r="Q113" s="354">
        <f t="shared" si="82"/>
        <v>0</v>
      </c>
      <c r="R113" s="354">
        <f t="shared" si="82"/>
        <v>0</v>
      </c>
      <c r="S113" s="354">
        <f t="shared" si="82"/>
        <v>0</v>
      </c>
      <c r="T113" s="354">
        <f t="shared" si="82"/>
        <v>0</v>
      </c>
      <c r="U113" s="354">
        <f t="shared" si="82"/>
        <v>0</v>
      </c>
      <c r="V113" s="354">
        <f t="shared" si="37"/>
        <v>0</v>
      </c>
      <c r="W113" s="354">
        <f t="shared" si="82"/>
        <v>0</v>
      </c>
      <c r="Y113" s="354">
        <f t="shared" ref="Y113:AJ113" si="83">+Y17-Y65</f>
        <v>0</v>
      </c>
      <c r="Z113" s="354">
        <f t="shared" si="83"/>
        <v>0</v>
      </c>
      <c r="AA113" s="354">
        <f t="shared" si="83"/>
        <v>0</v>
      </c>
      <c r="AB113" s="354">
        <f t="shared" si="83"/>
        <v>0</v>
      </c>
      <c r="AC113" s="354">
        <f t="shared" si="83"/>
        <v>0</v>
      </c>
      <c r="AD113" s="354">
        <f t="shared" si="83"/>
        <v>0</v>
      </c>
      <c r="AE113" s="354">
        <f t="shared" si="83"/>
        <v>0</v>
      </c>
      <c r="AF113" s="354">
        <f t="shared" si="83"/>
        <v>0</v>
      </c>
      <c r="AG113" s="354">
        <f t="shared" si="83"/>
        <v>0</v>
      </c>
      <c r="AH113" s="354">
        <f t="shared" si="39"/>
        <v>0</v>
      </c>
      <c r="AI113" s="354">
        <f t="shared" si="83"/>
        <v>0</v>
      </c>
      <c r="AJ113" s="354">
        <f t="shared" si="83"/>
        <v>0</v>
      </c>
      <c r="AL113" s="354">
        <f t="shared" si="40"/>
        <v>0</v>
      </c>
      <c r="AN113" s="354">
        <f t="shared" ref="AN113:BR113" si="84">+AN17-AN65</f>
        <v>0</v>
      </c>
      <c r="AO113" s="354">
        <f t="shared" si="50"/>
        <v>0</v>
      </c>
      <c r="AP113" s="354">
        <f t="shared" si="84"/>
        <v>0</v>
      </c>
      <c r="AQ113" s="354">
        <f t="shared" si="84"/>
        <v>0</v>
      </c>
      <c r="AR113" s="354">
        <f t="shared" si="42"/>
        <v>0</v>
      </c>
      <c r="AS113" s="354">
        <f t="shared" si="42"/>
        <v>0</v>
      </c>
      <c r="AT113" s="354">
        <f t="shared" si="84"/>
        <v>0</v>
      </c>
      <c r="AU113" s="354">
        <f t="shared" si="84"/>
        <v>0</v>
      </c>
      <c r="AV113" s="354">
        <f t="shared" si="84"/>
        <v>0</v>
      </c>
      <c r="AW113" s="354">
        <f t="shared" si="84"/>
        <v>0</v>
      </c>
      <c r="AX113" s="354">
        <f t="shared" si="84"/>
        <v>0</v>
      </c>
      <c r="AY113" s="354">
        <f t="shared" si="84"/>
        <v>0</v>
      </c>
      <c r="AZ113" s="354">
        <f t="shared" si="84"/>
        <v>0</v>
      </c>
      <c r="BA113" s="354">
        <f t="shared" si="84"/>
        <v>0</v>
      </c>
      <c r="BB113" s="354">
        <f t="shared" si="84"/>
        <v>0</v>
      </c>
      <c r="BC113" s="354">
        <f t="shared" si="84"/>
        <v>0</v>
      </c>
      <c r="BD113" s="354">
        <f t="shared" si="84"/>
        <v>0</v>
      </c>
      <c r="BE113" s="354">
        <f t="shared" si="84"/>
        <v>0</v>
      </c>
      <c r="BF113" s="354">
        <f t="shared" si="84"/>
        <v>0</v>
      </c>
      <c r="BG113" s="354">
        <f t="shared" si="84"/>
        <v>0</v>
      </c>
      <c r="BH113" s="354">
        <f t="shared" si="84"/>
        <v>0</v>
      </c>
      <c r="BI113" s="354">
        <f t="shared" si="84"/>
        <v>0</v>
      </c>
      <c r="BJ113" s="354">
        <f t="shared" ref="BJ113" si="85">+BJ17-BJ65</f>
        <v>0</v>
      </c>
      <c r="BK113" s="354">
        <f t="shared" si="44"/>
        <v>0</v>
      </c>
      <c r="BL113" s="354">
        <f t="shared" si="84"/>
        <v>0</v>
      </c>
      <c r="BM113" s="354">
        <f t="shared" si="45"/>
        <v>0</v>
      </c>
      <c r="BN113" s="354">
        <f t="shared" si="84"/>
        <v>0</v>
      </c>
      <c r="BO113" s="354">
        <f t="shared" si="84"/>
        <v>0</v>
      </c>
      <c r="BP113" s="354">
        <f t="shared" si="84"/>
        <v>0</v>
      </c>
      <c r="BQ113" s="354">
        <f t="shared" si="52"/>
        <v>0</v>
      </c>
      <c r="BR113" s="354">
        <f t="shared" si="84"/>
        <v>0</v>
      </c>
      <c r="BS113" s="354"/>
      <c r="BT113" s="354">
        <f t="shared" si="46"/>
        <v>0</v>
      </c>
      <c r="BU113" s="354">
        <f t="shared" si="46"/>
        <v>0</v>
      </c>
      <c r="BV113" s="354">
        <f t="shared" si="46"/>
        <v>0</v>
      </c>
      <c r="BW113" s="354">
        <f t="shared" si="46"/>
        <v>0</v>
      </c>
      <c r="BX113" s="354">
        <f t="shared" si="46"/>
        <v>0</v>
      </c>
      <c r="BY113" s="354">
        <f t="shared" si="46"/>
        <v>0</v>
      </c>
      <c r="BZ113" s="354"/>
      <c r="CA113" s="354"/>
      <c r="CB113" s="354"/>
      <c r="CC113" s="354"/>
      <c r="CD113" s="354"/>
      <c r="CE113" s="354"/>
      <c r="CF113" s="354"/>
      <c r="CG113" s="354"/>
      <c r="CH113" s="354"/>
      <c r="CI113" s="354"/>
      <c r="CJ113" s="354"/>
      <c r="CK113" s="354"/>
      <c r="CL113" s="354"/>
      <c r="CM113" s="693"/>
      <c r="CN113" s="693"/>
      <c r="CO113" s="693"/>
    </row>
    <row r="114" spans="2:93">
      <c r="B114" s="271">
        <f t="shared" si="53"/>
        <v>11</v>
      </c>
      <c r="C114" s="541">
        <f>+Base!P$4</f>
        <v>72</v>
      </c>
      <c r="D114" s="541">
        <f>+Base!P$5</f>
        <v>71</v>
      </c>
      <c r="E114" s="540">
        <f>+Base!P$7</f>
        <v>2029</v>
      </c>
      <c r="F114" s="354">
        <f t="shared" ref="F114:K123" si="86">+F18-F66</f>
        <v>0</v>
      </c>
      <c r="G114" s="354">
        <f t="shared" si="86"/>
        <v>0</v>
      </c>
      <c r="H114" s="354">
        <f t="shared" si="86"/>
        <v>0</v>
      </c>
      <c r="I114" s="354">
        <f t="shared" si="86"/>
        <v>0</v>
      </c>
      <c r="J114" s="354">
        <f t="shared" si="86"/>
        <v>0</v>
      </c>
      <c r="K114" s="354">
        <f t="shared" si="86"/>
        <v>0</v>
      </c>
      <c r="M114" s="354">
        <f t="shared" ref="M114:W114" si="87">+M18-M66</f>
        <v>0</v>
      </c>
      <c r="N114" s="354">
        <f t="shared" si="87"/>
        <v>0</v>
      </c>
      <c r="O114" s="354">
        <f t="shared" si="87"/>
        <v>0</v>
      </c>
      <c r="P114" s="354">
        <f t="shared" si="87"/>
        <v>0</v>
      </c>
      <c r="Q114" s="354">
        <f t="shared" si="87"/>
        <v>0</v>
      </c>
      <c r="R114" s="354">
        <f t="shared" si="87"/>
        <v>0</v>
      </c>
      <c r="S114" s="354">
        <f t="shared" si="87"/>
        <v>0</v>
      </c>
      <c r="T114" s="354">
        <f t="shared" si="87"/>
        <v>0</v>
      </c>
      <c r="U114" s="354">
        <f t="shared" si="87"/>
        <v>0</v>
      </c>
      <c r="V114" s="354">
        <f t="shared" si="37"/>
        <v>0</v>
      </c>
      <c r="W114" s="354">
        <f t="shared" si="87"/>
        <v>0</v>
      </c>
      <c r="Y114" s="354">
        <f t="shared" ref="Y114:AJ114" si="88">+Y18-Y66</f>
        <v>0</v>
      </c>
      <c r="Z114" s="354">
        <f t="shared" si="88"/>
        <v>0</v>
      </c>
      <c r="AA114" s="354">
        <f t="shared" si="88"/>
        <v>0</v>
      </c>
      <c r="AB114" s="354">
        <f t="shared" si="88"/>
        <v>0</v>
      </c>
      <c r="AC114" s="354">
        <f t="shared" si="88"/>
        <v>0</v>
      </c>
      <c r="AD114" s="354">
        <f t="shared" si="88"/>
        <v>0</v>
      </c>
      <c r="AE114" s="354">
        <f t="shared" si="88"/>
        <v>0</v>
      </c>
      <c r="AF114" s="354">
        <f t="shared" si="88"/>
        <v>0</v>
      </c>
      <c r="AG114" s="354">
        <f t="shared" si="88"/>
        <v>0</v>
      </c>
      <c r="AH114" s="354">
        <f t="shared" si="39"/>
        <v>0</v>
      </c>
      <c r="AI114" s="354">
        <f t="shared" si="88"/>
        <v>0</v>
      </c>
      <c r="AJ114" s="354">
        <f t="shared" si="88"/>
        <v>0</v>
      </c>
      <c r="AL114" s="354">
        <f t="shared" si="40"/>
        <v>0</v>
      </c>
      <c r="AN114" s="354">
        <f t="shared" ref="AN114:BR114" si="89">+AN18-AN66</f>
        <v>0</v>
      </c>
      <c r="AO114" s="354">
        <f t="shared" si="50"/>
        <v>0</v>
      </c>
      <c r="AP114" s="354">
        <f t="shared" si="89"/>
        <v>0</v>
      </c>
      <c r="AQ114" s="354">
        <f t="shared" si="89"/>
        <v>0</v>
      </c>
      <c r="AR114" s="354">
        <f t="shared" si="42"/>
        <v>0</v>
      </c>
      <c r="AS114" s="354">
        <f t="shared" si="42"/>
        <v>0</v>
      </c>
      <c r="AT114" s="354">
        <f t="shared" si="89"/>
        <v>0</v>
      </c>
      <c r="AU114" s="354">
        <f t="shared" si="89"/>
        <v>0</v>
      </c>
      <c r="AV114" s="354">
        <f t="shared" si="89"/>
        <v>0</v>
      </c>
      <c r="AW114" s="354">
        <f t="shared" si="89"/>
        <v>0</v>
      </c>
      <c r="AX114" s="354">
        <f t="shared" si="89"/>
        <v>0</v>
      </c>
      <c r="AY114" s="354">
        <f t="shared" si="89"/>
        <v>0</v>
      </c>
      <c r="AZ114" s="354">
        <f t="shared" si="89"/>
        <v>0</v>
      </c>
      <c r="BA114" s="354">
        <f t="shared" si="89"/>
        <v>0</v>
      </c>
      <c r="BB114" s="354">
        <f t="shared" si="89"/>
        <v>0</v>
      </c>
      <c r="BC114" s="354">
        <f t="shared" si="89"/>
        <v>0</v>
      </c>
      <c r="BD114" s="354">
        <f t="shared" si="89"/>
        <v>0</v>
      </c>
      <c r="BE114" s="354">
        <f t="shared" si="89"/>
        <v>0</v>
      </c>
      <c r="BF114" s="354">
        <f t="shared" si="89"/>
        <v>0</v>
      </c>
      <c r="BG114" s="354">
        <f t="shared" si="89"/>
        <v>0</v>
      </c>
      <c r="BH114" s="354">
        <f t="shared" si="89"/>
        <v>0</v>
      </c>
      <c r="BI114" s="354">
        <f t="shared" si="89"/>
        <v>0</v>
      </c>
      <c r="BJ114" s="354">
        <f t="shared" ref="BJ114" si="90">+BJ18-BJ66</f>
        <v>0</v>
      </c>
      <c r="BK114" s="354">
        <f t="shared" si="44"/>
        <v>0</v>
      </c>
      <c r="BL114" s="354">
        <f t="shared" si="89"/>
        <v>0</v>
      </c>
      <c r="BM114" s="354">
        <f t="shared" si="45"/>
        <v>0</v>
      </c>
      <c r="BN114" s="354">
        <f t="shared" si="89"/>
        <v>0</v>
      </c>
      <c r="BO114" s="354">
        <f t="shared" si="89"/>
        <v>0</v>
      </c>
      <c r="BP114" s="354">
        <f t="shared" si="89"/>
        <v>0</v>
      </c>
      <c r="BQ114" s="354">
        <f t="shared" si="52"/>
        <v>0</v>
      </c>
      <c r="BR114" s="354">
        <f t="shared" si="89"/>
        <v>0</v>
      </c>
      <c r="BS114" s="354"/>
      <c r="BT114" s="354">
        <f t="shared" si="46"/>
        <v>0</v>
      </c>
      <c r="BU114" s="354">
        <f t="shared" si="46"/>
        <v>0</v>
      </c>
      <c r="BV114" s="354">
        <f t="shared" si="46"/>
        <v>0</v>
      </c>
      <c r="BW114" s="354">
        <f t="shared" si="46"/>
        <v>0</v>
      </c>
      <c r="BX114" s="354">
        <f t="shared" si="46"/>
        <v>0</v>
      </c>
      <c r="BY114" s="354">
        <f t="shared" si="46"/>
        <v>0</v>
      </c>
      <c r="BZ114" s="354"/>
      <c r="CA114" s="354"/>
      <c r="CB114" s="354"/>
      <c r="CC114" s="354"/>
      <c r="CD114" s="354"/>
      <c r="CE114" s="354"/>
      <c r="CF114" s="354"/>
      <c r="CG114" s="354"/>
      <c r="CH114" s="354"/>
      <c r="CI114" s="354"/>
      <c r="CJ114" s="354"/>
      <c r="CK114" s="354"/>
      <c r="CL114" s="354"/>
      <c r="CM114" s="693"/>
      <c r="CN114" s="693"/>
      <c r="CO114" s="693"/>
    </row>
    <row r="115" spans="2:93">
      <c r="B115" s="271">
        <f t="shared" si="53"/>
        <v>12</v>
      </c>
      <c r="C115" s="541">
        <f>+Base!Q$4</f>
        <v>73</v>
      </c>
      <c r="D115" s="541">
        <f>+Base!Q$5</f>
        <v>72</v>
      </c>
      <c r="E115" s="540">
        <f>+Base!Q$7</f>
        <v>2030</v>
      </c>
      <c r="F115" s="354">
        <f t="shared" si="86"/>
        <v>0</v>
      </c>
      <c r="G115" s="354">
        <f t="shared" si="86"/>
        <v>0</v>
      </c>
      <c r="H115" s="354">
        <f t="shared" si="86"/>
        <v>0</v>
      </c>
      <c r="I115" s="354">
        <f t="shared" si="86"/>
        <v>0</v>
      </c>
      <c r="J115" s="354">
        <f t="shared" si="86"/>
        <v>0</v>
      </c>
      <c r="K115" s="354">
        <f t="shared" si="86"/>
        <v>0</v>
      </c>
      <c r="M115" s="354">
        <f t="shared" ref="M115:W115" si="91">+M19-M67</f>
        <v>0</v>
      </c>
      <c r="N115" s="354">
        <f t="shared" si="91"/>
        <v>0</v>
      </c>
      <c r="O115" s="354">
        <f t="shared" si="91"/>
        <v>0</v>
      </c>
      <c r="P115" s="354">
        <f t="shared" si="91"/>
        <v>0</v>
      </c>
      <c r="Q115" s="354">
        <f t="shared" si="91"/>
        <v>0</v>
      </c>
      <c r="R115" s="354">
        <f t="shared" si="91"/>
        <v>0</v>
      </c>
      <c r="S115" s="354">
        <f t="shared" si="91"/>
        <v>0</v>
      </c>
      <c r="T115" s="354">
        <f t="shared" si="91"/>
        <v>0</v>
      </c>
      <c r="U115" s="354">
        <f t="shared" si="91"/>
        <v>0</v>
      </c>
      <c r="V115" s="354">
        <f t="shared" si="37"/>
        <v>0</v>
      </c>
      <c r="W115" s="354">
        <f t="shared" si="91"/>
        <v>0</v>
      </c>
      <c r="Y115" s="354">
        <f t="shared" ref="Y115:AJ115" si="92">+Y19-Y67</f>
        <v>0</v>
      </c>
      <c r="Z115" s="354">
        <f t="shared" si="92"/>
        <v>0</v>
      </c>
      <c r="AA115" s="354">
        <f t="shared" si="92"/>
        <v>0</v>
      </c>
      <c r="AB115" s="354">
        <f t="shared" si="92"/>
        <v>0</v>
      </c>
      <c r="AC115" s="354">
        <f t="shared" si="92"/>
        <v>0</v>
      </c>
      <c r="AD115" s="354">
        <f t="shared" si="92"/>
        <v>0</v>
      </c>
      <c r="AE115" s="354">
        <f t="shared" si="92"/>
        <v>0</v>
      </c>
      <c r="AF115" s="354">
        <f t="shared" si="92"/>
        <v>0</v>
      </c>
      <c r="AG115" s="354">
        <f t="shared" si="92"/>
        <v>0</v>
      </c>
      <c r="AH115" s="354">
        <f t="shared" si="39"/>
        <v>0</v>
      </c>
      <c r="AI115" s="354">
        <f t="shared" si="92"/>
        <v>0</v>
      </c>
      <c r="AJ115" s="354">
        <f t="shared" si="92"/>
        <v>0</v>
      </c>
      <c r="AL115" s="354">
        <f t="shared" si="40"/>
        <v>0</v>
      </c>
      <c r="AN115" s="354">
        <f t="shared" ref="AN115:BR115" si="93">+AN19-AN67</f>
        <v>0</v>
      </c>
      <c r="AO115" s="354">
        <f t="shared" si="50"/>
        <v>0</v>
      </c>
      <c r="AP115" s="354">
        <f t="shared" si="93"/>
        <v>0</v>
      </c>
      <c r="AQ115" s="354">
        <f t="shared" si="93"/>
        <v>0</v>
      </c>
      <c r="AR115" s="354">
        <f t="shared" si="42"/>
        <v>0</v>
      </c>
      <c r="AS115" s="354">
        <f t="shared" si="42"/>
        <v>0</v>
      </c>
      <c r="AT115" s="354">
        <f t="shared" si="93"/>
        <v>0</v>
      </c>
      <c r="AU115" s="354">
        <f t="shared" si="93"/>
        <v>0</v>
      </c>
      <c r="AV115" s="354">
        <f t="shared" si="93"/>
        <v>0</v>
      </c>
      <c r="AW115" s="354">
        <f t="shared" si="93"/>
        <v>0</v>
      </c>
      <c r="AX115" s="354">
        <f t="shared" si="93"/>
        <v>0</v>
      </c>
      <c r="AY115" s="354">
        <f t="shared" si="93"/>
        <v>0</v>
      </c>
      <c r="AZ115" s="354">
        <f t="shared" si="93"/>
        <v>0</v>
      </c>
      <c r="BA115" s="354">
        <f t="shared" si="93"/>
        <v>0</v>
      </c>
      <c r="BB115" s="354">
        <f t="shared" si="93"/>
        <v>0</v>
      </c>
      <c r="BC115" s="354">
        <f t="shared" si="93"/>
        <v>0</v>
      </c>
      <c r="BD115" s="354">
        <f t="shared" si="93"/>
        <v>0</v>
      </c>
      <c r="BE115" s="354">
        <f t="shared" si="93"/>
        <v>0</v>
      </c>
      <c r="BF115" s="354">
        <f t="shared" si="93"/>
        <v>0</v>
      </c>
      <c r="BG115" s="354">
        <f t="shared" si="93"/>
        <v>0</v>
      </c>
      <c r="BH115" s="354">
        <f t="shared" si="93"/>
        <v>0</v>
      </c>
      <c r="BI115" s="354">
        <f t="shared" si="93"/>
        <v>0</v>
      </c>
      <c r="BJ115" s="354">
        <f t="shared" ref="BJ115" si="94">+BJ19-BJ67</f>
        <v>0</v>
      </c>
      <c r="BK115" s="354">
        <f t="shared" si="44"/>
        <v>0</v>
      </c>
      <c r="BL115" s="354">
        <f t="shared" si="93"/>
        <v>0</v>
      </c>
      <c r="BM115" s="354">
        <f t="shared" si="45"/>
        <v>0</v>
      </c>
      <c r="BN115" s="354">
        <f t="shared" si="93"/>
        <v>0</v>
      </c>
      <c r="BO115" s="354">
        <f t="shared" si="93"/>
        <v>0</v>
      </c>
      <c r="BP115" s="354">
        <f t="shared" si="93"/>
        <v>0</v>
      </c>
      <c r="BQ115" s="354">
        <f t="shared" si="52"/>
        <v>0</v>
      </c>
      <c r="BR115" s="354">
        <f t="shared" si="93"/>
        <v>0</v>
      </c>
      <c r="BS115" s="354"/>
      <c r="BT115" s="354">
        <f t="shared" si="46"/>
        <v>0</v>
      </c>
      <c r="BU115" s="354">
        <f t="shared" si="46"/>
        <v>0</v>
      </c>
      <c r="BV115" s="354">
        <f t="shared" si="46"/>
        <v>0</v>
      </c>
      <c r="BW115" s="354">
        <f t="shared" si="46"/>
        <v>0</v>
      </c>
      <c r="BX115" s="354">
        <f t="shared" si="46"/>
        <v>0</v>
      </c>
      <c r="BY115" s="354">
        <f t="shared" si="46"/>
        <v>0</v>
      </c>
      <c r="BZ115" s="354"/>
      <c r="CA115" s="354"/>
      <c r="CB115" s="354"/>
      <c r="CC115" s="354"/>
      <c r="CD115" s="354"/>
      <c r="CE115" s="354"/>
      <c r="CF115" s="354"/>
      <c r="CG115" s="354"/>
      <c r="CH115" s="354"/>
      <c r="CI115" s="354"/>
      <c r="CJ115" s="354"/>
      <c r="CK115" s="354"/>
      <c r="CL115" s="354"/>
      <c r="CM115" s="693"/>
      <c r="CN115" s="693"/>
      <c r="CO115" s="693"/>
    </row>
    <row r="116" spans="2:93">
      <c r="B116" s="271">
        <f t="shared" si="53"/>
        <v>13</v>
      </c>
      <c r="C116" s="541">
        <f>+Base!R$4</f>
        <v>74</v>
      </c>
      <c r="D116" s="541">
        <f>+Base!R$5</f>
        <v>73</v>
      </c>
      <c r="E116" s="540">
        <f>+Base!R$7</f>
        <v>2031</v>
      </c>
      <c r="F116" s="354">
        <f t="shared" si="86"/>
        <v>0</v>
      </c>
      <c r="G116" s="354">
        <f t="shared" si="86"/>
        <v>0</v>
      </c>
      <c r="H116" s="354">
        <f t="shared" si="86"/>
        <v>0</v>
      </c>
      <c r="I116" s="354">
        <f t="shared" si="86"/>
        <v>0</v>
      </c>
      <c r="J116" s="354">
        <f t="shared" si="86"/>
        <v>0</v>
      </c>
      <c r="K116" s="354">
        <f t="shared" si="86"/>
        <v>0</v>
      </c>
      <c r="M116" s="354">
        <f t="shared" ref="M116:W116" si="95">+M20-M68</f>
        <v>0</v>
      </c>
      <c r="N116" s="354">
        <f t="shared" si="95"/>
        <v>0</v>
      </c>
      <c r="O116" s="354">
        <f t="shared" si="95"/>
        <v>0</v>
      </c>
      <c r="P116" s="354">
        <f t="shared" si="95"/>
        <v>0</v>
      </c>
      <c r="Q116" s="354">
        <f t="shared" si="95"/>
        <v>0</v>
      </c>
      <c r="R116" s="354">
        <f t="shared" si="95"/>
        <v>0</v>
      </c>
      <c r="S116" s="354">
        <f t="shared" si="95"/>
        <v>0</v>
      </c>
      <c r="T116" s="354">
        <f t="shared" si="95"/>
        <v>0</v>
      </c>
      <c r="U116" s="354">
        <f t="shared" si="95"/>
        <v>0</v>
      </c>
      <c r="V116" s="354">
        <f t="shared" si="37"/>
        <v>0</v>
      </c>
      <c r="W116" s="354">
        <f t="shared" si="95"/>
        <v>0</v>
      </c>
      <c r="Y116" s="354">
        <f t="shared" ref="Y116:AJ116" si="96">+Y20-Y68</f>
        <v>0</v>
      </c>
      <c r="Z116" s="354">
        <f t="shared" si="96"/>
        <v>0</v>
      </c>
      <c r="AA116" s="354">
        <f t="shared" si="96"/>
        <v>0</v>
      </c>
      <c r="AB116" s="354">
        <f t="shared" si="96"/>
        <v>0</v>
      </c>
      <c r="AC116" s="354">
        <f t="shared" si="96"/>
        <v>0</v>
      </c>
      <c r="AD116" s="354">
        <f t="shared" si="96"/>
        <v>0</v>
      </c>
      <c r="AE116" s="354">
        <f t="shared" si="96"/>
        <v>0</v>
      </c>
      <c r="AF116" s="354">
        <f t="shared" si="96"/>
        <v>0</v>
      </c>
      <c r="AG116" s="354">
        <f t="shared" si="96"/>
        <v>0</v>
      </c>
      <c r="AH116" s="354">
        <f t="shared" si="39"/>
        <v>0</v>
      </c>
      <c r="AI116" s="354">
        <f t="shared" si="96"/>
        <v>0</v>
      </c>
      <c r="AJ116" s="354">
        <f t="shared" si="96"/>
        <v>0</v>
      </c>
      <c r="AL116" s="354">
        <f t="shared" si="40"/>
        <v>0</v>
      </c>
      <c r="AN116" s="354">
        <f t="shared" ref="AN116:BR116" si="97">+AN20-AN68</f>
        <v>0</v>
      </c>
      <c r="AO116" s="354">
        <f t="shared" si="50"/>
        <v>0</v>
      </c>
      <c r="AP116" s="354">
        <f t="shared" si="97"/>
        <v>0</v>
      </c>
      <c r="AQ116" s="354">
        <f t="shared" si="97"/>
        <v>0</v>
      </c>
      <c r="AR116" s="354">
        <f t="shared" si="42"/>
        <v>0</v>
      </c>
      <c r="AS116" s="354">
        <f t="shared" si="42"/>
        <v>0</v>
      </c>
      <c r="AT116" s="354">
        <f t="shared" si="97"/>
        <v>0</v>
      </c>
      <c r="AU116" s="354">
        <f t="shared" si="97"/>
        <v>0</v>
      </c>
      <c r="AV116" s="354">
        <f t="shared" si="97"/>
        <v>0</v>
      </c>
      <c r="AW116" s="354">
        <f t="shared" si="97"/>
        <v>0</v>
      </c>
      <c r="AX116" s="354">
        <f t="shared" si="97"/>
        <v>0</v>
      </c>
      <c r="AY116" s="354">
        <f t="shared" si="97"/>
        <v>0</v>
      </c>
      <c r="AZ116" s="354">
        <f t="shared" si="97"/>
        <v>0</v>
      </c>
      <c r="BA116" s="354">
        <f t="shared" si="97"/>
        <v>0</v>
      </c>
      <c r="BB116" s="354">
        <f t="shared" si="97"/>
        <v>0</v>
      </c>
      <c r="BC116" s="354">
        <f t="shared" si="97"/>
        <v>0</v>
      </c>
      <c r="BD116" s="354">
        <f t="shared" si="97"/>
        <v>0</v>
      </c>
      <c r="BE116" s="354">
        <f t="shared" si="97"/>
        <v>0</v>
      </c>
      <c r="BF116" s="354">
        <f t="shared" si="97"/>
        <v>0</v>
      </c>
      <c r="BG116" s="354">
        <f t="shared" si="97"/>
        <v>0</v>
      </c>
      <c r="BH116" s="354">
        <f t="shared" si="97"/>
        <v>0</v>
      </c>
      <c r="BI116" s="354">
        <f t="shared" si="97"/>
        <v>0</v>
      </c>
      <c r="BJ116" s="354">
        <f t="shared" ref="BJ116" si="98">+BJ20-BJ68</f>
        <v>0</v>
      </c>
      <c r="BK116" s="354">
        <f t="shared" si="44"/>
        <v>0</v>
      </c>
      <c r="BL116" s="354">
        <f t="shared" si="97"/>
        <v>0</v>
      </c>
      <c r="BM116" s="354">
        <f t="shared" si="45"/>
        <v>0</v>
      </c>
      <c r="BN116" s="354">
        <f t="shared" si="97"/>
        <v>0</v>
      </c>
      <c r="BO116" s="354">
        <f t="shared" si="97"/>
        <v>0</v>
      </c>
      <c r="BP116" s="354">
        <f t="shared" si="97"/>
        <v>0</v>
      </c>
      <c r="BQ116" s="354">
        <f t="shared" si="52"/>
        <v>0</v>
      </c>
      <c r="BR116" s="354">
        <f t="shared" si="97"/>
        <v>0</v>
      </c>
      <c r="BS116" s="354"/>
      <c r="BT116" s="354">
        <f t="shared" si="46"/>
        <v>0</v>
      </c>
      <c r="BU116" s="354">
        <f t="shared" si="46"/>
        <v>0</v>
      </c>
      <c r="BV116" s="354">
        <f t="shared" si="46"/>
        <v>0</v>
      </c>
      <c r="BW116" s="354">
        <f t="shared" si="46"/>
        <v>0</v>
      </c>
      <c r="BX116" s="354">
        <f t="shared" si="46"/>
        <v>0</v>
      </c>
      <c r="BY116" s="354">
        <f t="shared" si="46"/>
        <v>0</v>
      </c>
      <c r="BZ116" s="354"/>
      <c r="CA116" s="354"/>
      <c r="CB116" s="354"/>
      <c r="CC116" s="354"/>
      <c r="CD116" s="354"/>
      <c r="CE116" s="354"/>
      <c r="CF116" s="354"/>
      <c r="CG116" s="354"/>
      <c r="CH116" s="354"/>
      <c r="CI116" s="354"/>
      <c r="CJ116" s="354"/>
      <c r="CK116" s="354"/>
      <c r="CL116" s="354"/>
      <c r="CM116" s="693"/>
      <c r="CN116" s="693"/>
      <c r="CO116" s="693"/>
    </row>
    <row r="117" spans="2:93">
      <c r="B117" s="271">
        <f t="shared" si="53"/>
        <v>14</v>
      </c>
      <c r="C117" s="541">
        <f>+Base!S$4</f>
        <v>75</v>
      </c>
      <c r="D117" s="541">
        <f>+Base!S$5</f>
        <v>74</v>
      </c>
      <c r="E117" s="540">
        <f>+Base!S$7</f>
        <v>2032</v>
      </c>
      <c r="F117" s="354">
        <f t="shared" si="86"/>
        <v>0</v>
      </c>
      <c r="G117" s="354">
        <f t="shared" si="86"/>
        <v>0</v>
      </c>
      <c r="H117" s="354">
        <f t="shared" si="86"/>
        <v>0</v>
      </c>
      <c r="I117" s="354">
        <f t="shared" si="86"/>
        <v>0</v>
      </c>
      <c r="J117" s="354">
        <f t="shared" si="86"/>
        <v>0</v>
      </c>
      <c r="K117" s="354">
        <f t="shared" si="86"/>
        <v>0</v>
      </c>
      <c r="M117" s="354">
        <f t="shared" ref="M117:W117" si="99">+M21-M69</f>
        <v>0</v>
      </c>
      <c r="N117" s="354">
        <f t="shared" si="99"/>
        <v>0</v>
      </c>
      <c r="O117" s="354">
        <f t="shared" si="99"/>
        <v>0</v>
      </c>
      <c r="P117" s="354">
        <f t="shared" si="99"/>
        <v>0</v>
      </c>
      <c r="Q117" s="354">
        <f t="shared" si="99"/>
        <v>0</v>
      </c>
      <c r="R117" s="354">
        <f t="shared" si="99"/>
        <v>0</v>
      </c>
      <c r="S117" s="354">
        <f t="shared" si="99"/>
        <v>0</v>
      </c>
      <c r="T117" s="354">
        <f t="shared" si="99"/>
        <v>0</v>
      </c>
      <c r="U117" s="354">
        <f t="shared" si="99"/>
        <v>0</v>
      </c>
      <c r="V117" s="354">
        <f t="shared" si="37"/>
        <v>0</v>
      </c>
      <c r="W117" s="354">
        <f t="shared" si="99"/>
        <v>0</v>
      </c>
      <c r="Y117" s="354">
        <f t="shared" ref="Y117:AJ117" si="100">+Y21-Y69</f>
        <v>0</v>
      </c>
      <c r="Z117" s="354">
        <f t="shared" si="100"/>
        <v>0</v>
      </c>
      <c r="AA117" s="354">
        <f t="shared" si="100"/>
        <v>0</v>
      </c>
      <c r="AB117" s="354">
        <f t="shared" si="100"/>
        <v>0</v>
      </c>
      <c r="AC117" s="354">
        <f t="shared" si="100"/>
        <v>0</v>
      </c>
      <c r="AD117" s="354">
        <f t="shared" si="100"/>
        <v>0</v>
      </c>
      <c r="AE117" s="354">
        <f t="shared" si="100"/>
        <v>0</v>
      </c>
      <c r="AF117" s="354">
        <f t="shared" si="100"/>
        <v>0</v>
      </c>
      <c r="AG117" s="354">
        <f t="shared" si="100"/>
        <v>0</v>
      </c>
      <c r="AH117" s="354">
        <f t="shared" si="39"/>
        <v>0</v>
      </c>
      <c r="AI117" s="354">
        <f t="shared" si="100"/>
        <v>0</v>
      </c>
      <c r="AJ117" s="354">
        <f t="shared" si="100"/>
        <v>0</v>
      </c>
      <c r="AL117" s="354">
        <f t="shared" si="40"/>
        <v>0</v>
      </c>
      <c r="AN117" s="354">
        <f t="shared" ref="AN117:BR117" si="101">+AN21-AN69</f>
        <v>0</v>
      </c>
      <c r="AO117" s="354">
        <f t="shared" si="50"/>
        <v>0</v>
      </c>
      <c r="AP117" s="354">
        <f t="shared" si="101"/>
        <v>0</v>
      </c>
      <c r="AQ117" s="354">
        <f t="shared" si="101"/>
        <v>0</v>
      </c>
      <c r="AR117" s="354">
        <f t="shared" si="42"/>
        <v>0</v>
      </c>
      <c r="AS117" s="354">
        <f t="shared" si="42"/>
        <v>0</v>
      </c>
      <c r="AT117" s="354">
        <f t="shared" si="101"/>
        <v>0</v>
      </c>
      <c r="AU117" s="354">
        <f t="shared" si="101"/>
        <v>0</v>
      </c>
      <c r="AV117" s="354">
        <f t="shared" si="101"/>
        <v>0</v>
      </c>
      <c r="AW117" s="354">
        <f t="shared" si="101"/>
        <v>0</v>
      </c>
      <c r="AX117" s="354">
        <f t="shared" si="101"/>
        <v>0</v>
      </c>
      <c r="AY117" s="354">
        <f t="shared" si="101"/>
        <v>0</v>
      </c>
      <c r="AZ117" s="354">
        <f t="shared" si="101"/>
        <v>0</v>
      </c>
      <c r="BA117" s="354">
        <f t="shared" si="101"/>
        <v>0</v>
      </c>
      <c r="BB117" s="354">
        <f t="shared" si="101"/>
        <v>0</v>
      </c>
      <c r="BC117" s="354">
        <f t="shared" si="101"/>
        <v>0</v>
      </c>
      <c r="BD117" s="354">
        <f t="shared" si="101"/>
        <v>0</v>
      </c>
      <c r="BE117" s="354">
        <f t="shared" si="101"/>
        <v>0</v>
      </c>
      <c r="BF117" s="354">
        <f t="shared" si="101"/>
        <v>0</v>
      </c>
      <c r="BG117" s="354">
        <f t="shared" si="101"/>
        <v>0</v>
      </c>
      <c r="BH117" s="354">
        <f t="shared" si="101"/>
        <v>0</v>
      </c>
      <c r="BI117" s="354">
        <f t="shared" si="101"/>
        <v>0</v>
      </c>
      <c r="BJ117" s="354">
        <f t="shared" ref="BJ117" si="102">+BJ21-BJ69</f>
        <v>0</v>
      </c>
      <c r="BK117" s="354">
        <f t="shared" si="44"/>
        <v>0</v>
      </c>
      <c r="BL117" s="354">
        <f t="shared" si="101"/>
        <v>0</v>
      </c>
      <c r="BM117" s="354">
        <f t="shared" si="45"/>
        <v>0</v>
      </c>
      <c r="BN117" s="354">
        <f t="shared" si="101"/>
        <v>0</v>
      </c>
      <c r="BO117" s="354">
        <f t="shared" si="101"/>
        <v>0</v>
      </c>
      <c r="BP117" s="354">
        <f t="shared" si="101"/>
        <v>0</v>
      </c>
      <c r="BQ117" s="354">
        <f t="shared" si="52"/>
        <v>0</v>
      </c>
      <c r="BR117" s="354">
        <f t="shared" si="101"/>
        <v>0</v>
      </c>
      <c r="BS117" s="354"/>
      <c r="BT117" s="354">
        <f t="shared" si="46"/>
        <v>0</v>
      </c>
      <c r="BU117" s="354">
        <f t="shared" si="46"/>
        <v>0</v>
      </c>
      <c r="BV117" s="354">
        <f t="shared" si="46"/>
        <v>0</v>
      </c>
      <c r="BW117" s="354">
        <f t="shared" si="46"/>
        <v>0</v>
      </c>
      <c r="BX117" s="354">
        <f t="shared" si="46"/>
        <v>0</v>
      </c>
      <c r="BY117" s="354">
        <f t="shared" si="46"/>
        <v>0</v>
      </c>
      <c r="BZ117" s="354"/>
      <c r="CA117" s="354"/>
      <c r="CB117" s="354"/>
      <c r="CC117" s="354"/>
      <c r="CD117" s="354"/>
      <c r="CE117" s="354"/>
      <c r="CF117" s="354"/>
      <c r="CG117" s="354"/>
      <c r="CH117" s="354"/>
      <c r="CI117" s="354"/>
      <c r="CJ117" s="354"/>
      <c r="CK117" s="354"/>
      <c r="CL117" s="354"/>
      <c r="CM117" s="693"/>
      <c r="CN117" s="693"/>
      <c r="CO117" s="693"/>
    </row>
    <row r="118" spans="2:93">
      <c r="B118" s="271">
        <f t="shared" si="53"/>
        <v>15</v>
      </c>
      <c r="C118" s="541">
        <f>+Base!T$4</f>
        <v>76</v>
      </c>
      <c r="D118" s="541">
        <f>+Base!T$5</f>
        <v>75</v>
      </c>
      <c r="E118" s="540">
        <f>+Base!T$7</f>
        <v>2033</v>
      </c>
      <c r="F118" s="354">
        <f t="shared" si="86"/>
        <v>0</v>
      </c>
      <c r="G118" s="354">
        <f t="shared" si="86"/>
        <v>0</v>
      </c>
      <c r="H118" s="354">
        <f t="shared" si="86"/>
        <v>0</v>
      </c>
      <c r="I118" s="354">
        <f t="shared" si="86"/>
        <v>0</v>
      </c>
      <c r="J118" s="354">
        <f t="shared" si="86"/>
        <v>0</v>
      </c>
      <c r="K118" s="354">
        <f t="shared" si="86"/>
        <v>0</v>
      </c>
      <c r="M118" s="354">
        <f t="shared" ref="M118:W118" si="103">+M22-M70</f>
        <v>0</v>
      </c>
      <c r="N118" s="354">
        <f t="shared" si="103"/>
        <v>0</v>
      </c>
      <c r="O118" s="354">
        <f t="shared" si="103"/>
        <v>0</v>
      </c>
      <c r="P118" s="354">
        <f t="shared" si="103"/>
        <v>0</v>
      </c>
      <c r="Q118" s="354">
        <f t="shared" si="103"/>
        <v>0</v>
      </c>
      <c r="R118" s="354">
        <f t="shared" si="103"/>
        <v>0</v>
      </c>
      <c r="S118" s="354">
        <f t="shared" si="103"/>
        <v>0</v>
      </c>
      <c r="T118" s="354">
        <f t="shared" si="103"/>
        <v>0</v>
      </c>
      <c r="U118" s="354">
        <f t="shared" si="103"/>
        <v>0</v>
      </c>
      <c r="V118" s="354">
        <f t="shared" si="37"/>
        <v>0</v>
      </c>
      <c r="W118" s="354">
        <f t="shared" si="103"/>
        <v>0</v>
      </c>
      <c r="Y118" s="354">
        <f t="shared" ref="Y118:AJ118" si="104">+Y22-Y70</f>
        <v>0</v>
      </c>
      <c r="Z118" s="354">
        <f t="shared" si="104"/>
        <v>0</v>
      </c>
      <c r="AA118" s="354">
        <f t="shared" si="104"/>
        <v>0</v>
      </c>
      <c r="AB118" s="354">
        <f t="shared" si="104"/>
        <v>0</v>
      </c>
      <c r="AC118" s="354">
        <f t="shared" si="104"/>
        <v>0</v>
      </c>
      <c r="AD118" s="354">
        <f t="shared" si="104"/>
        <v>0</v>
      </c>
      <c r="AE118" s="354">
        <f t="shared" si="104"/>
        <v>0</v>
      </c>
      <c r="AF118" s="354">
        <f t="shared" si="104"/>
        <v>0</v>
      </c>
      <c r="AG118" s="354">
        <f t="shared" si="104"/>
        <v>0</v>
      </c>
      <c r="AH118" s="354">
        <f t="shared" si="39"/>
        <v>0</v>
      </c>
      <c r="AI118" s="354">
        <f t="shared" si="104"/>
        <v>0</v>
      </c>
      <c r="AJ118" s="354">
        <f t="shared" si="104"/>
        <v>0</v>
      </c>
      <c r="AL118" s="354">
        <f t="shared" si="40"/>
        <v>0</v>
      </c>
      <c r="AN118" s="354">
        <f t="shared" ref="AN118:BR118" si="105">+AN22-AN70</f>
        <v>0</v>
      </c>
      <c r="AO118" s="354">
        <f t="shared" si="50"/>
        <v>0</v>
      </c>
      <c r="AP118" s="354">
        <f t="shared" si="105"/>
        <v>0</v>
      </c>
      <c r="AQ118" s="354">
        <f t="shared" si="105"/>
        <v>0</v>
      </c>
      <c r="AR118" s="354">
        <f t="shared" si="42"/>
        <v>0</v>
      </c>
      <c r="AS118" s="354">
        <f t="shared" si="42"/>
        <v>0</v>
      </c>
      <c r="AT118" s="354">
        <f t="shared" si="105"/>
        <v>0</v>
      </c>
      <c r="AU118" s="354">
        <f t="shared" si="105"/>
        <v>0</v>
      </c>
      <c r="AV118" s="354">
        <f t="shared" si="105"/>
        <v>0</v>
      </c>
      <c r="AW118" s="354">
        <f t="shared" si="105"/>
        <v>0</v>
      </c>
      <c r="AX118" s="354">
        <f t="shared" si="105"/>
        <v>0</v>
      </c>
      <c r="AY118" s="354">
        <f t="shared" si="105"/>
        <v>0</v>
      </c>
      <c r="AZ118" s="354">
        <f t="shared" si="105"/>
        <v>0</v>
      </c>
      <c r="BA118" s="354">
        <f t="shared" si="105"/>
        <v>0</v>
      </c>
      <c r="BB118" s="354">
        <f t="shared" si="105"/>
        <v>0</v>
      </c>
      <c r="BC118" s="354">
        <f t="shared" si="105"/>
        <v>0</v>
      </c>
      <c r="BD118" s="354">
        <f t="shared" si="105"/>
        <v>0</v>
      </c>
      <c r="BE118" s="354">
        <f t="shared" si="105"/>
        <v>0</v>
      </c>
      <c r="BF118" s="354">
        <f t="shared" si="105"/>
        <v>0</v>
      </c>
      <c r="BG118" s="354">
        <f t="shared" si="105"/>
        <v>0</v>
      </c>
      <c r="BH118" s="354">
        <f t="shared" si="105"/>
        <v>0</v>
      </c>
      <c r="BI118" s="354">
        <f t="shared" si="105"/>
        <v>0</v>
      </c>
      <c r="BJ118" s="354">
        <f t="shared" ref="BJ118" si="106">+BJ22-BJ70</f>
        <v>0</v>
      </c>
      <c r="BK118" s="354">
        <f t="shared" si="44"/>
        <v>0</v>
      </c>
      <c r="BL118" s="354">
        <f t="shared" si="105"/>
        <v>0</v>
      </c>
      <c r="BM118" s="354">
        <f t="shared" si="45"/>
        <v>0</v>
      </c>
      <c r="BN118" s="354">
        <f t="shared" si="105"/>
        <v>0</v>
      </c>
      <c r="BO118" s="354">
        <f t="shared" si="105"/>
        <v>0</v>
      </c>
      <c r="BP118" s="354">
        <f t="shared" si="105"/>
        <v>0</v>
      </c>
      <c r="BQ118" s="354">
        <f t="shared" si="52"/>
        <v>0</v>
      </c>
      <c r="BR118" s="354">
        <f t="shared" si="105"/>
        <v>0</v>
      </c>
      <c r="BS118" s="354"/>
      <c r="BT118" s="354">
        <f t="shared" si="46"/>
        <v>0</v>
      </c>
      <c r="BU118" s="354">
        <f t="shared" si="46"/>
        <v>0</v>
      </c>
      <c r="BV118" s="354">
        <f t="shared" si="46"/>
        <v>0</v>
      </c>
      <c r="BW118" s="354">
        <f t="shared" si="46"/>
        <v>0</v>
      </c>
      <c r="BX118" s="354">
        <f t="shared" si="46"/>
        <v>0</v>
      </c>
      <c r="BY118" s="354">
        <f t="shared" si="46"/>
        <v>0</v>
      </c>
      <c r="BZ118" s="354"/>
      <c r="CA118" s="354"/>
      <c r="CB118" s="354"/>
      <c r="CC118" s="354"/>
      <c r="CD118" s="354"/>
      <c r="CE118" s="354"/>
      <c r="CF118" s="354"/>
      <c r="CG118" s="354"/>
      <c r="CH118" s="354"/>
      <c r="CI118" s="354"/>
      <c r="CJ118" s="354"/>
      <c r="CK118" s="354"/>
      <c r="CL118" s="354"/>
      <c r="CM118" s="693"/>
      <c r="CN118" s="693"/>
      <c r="CO118" s="693"/>
    </row>
    <row r="119" spans="2:93">
      <c r="B119" s="271">
        <f t="shared" si="53"/>
        <v>16</v>
      </c>
      <c r="C119" s="541">
        <f>+Base!U$4</f>
        <v>77</v>
      </c>
      <c r="D119" s="541">
        <f>+Base!U$5</f>
        <v>76</v>
      </c>
      <c r="E119" s="540">
        <f>+Base!U$7</f>
        <v>2034</v>
      </c>
      <c r="F119" s="354">
        <f t="shared" si="86"/>
        <v>0</v>
      </c>
      <c r="G119" s="354">
        <f t="shared" si="86"/>
        <v>0</v>
      </c>
      <c r="H119" s="354">
        <f t="shared" si="86"/>
        <v>0</v>
      </c>
      <c r="I119" s="354">
        <f t="shared" si="86"/>
        <v>0</v>
      </c>
      <c r="J119" s="354">
        <f t="shared" si="86"/>
        <v>0</v>
      </c>
      <c r="K119" s="354">
        <f t="shared" si="86"/>
        <v>0</v>
      </c>
      <c r="M119" s="354">
        <f t="shared" ref="M119:W119" si="107">+M23-M71</f>
        <v>0</v>
      </c>
      <c r="N119" s="354">
        <f t="shared" si="107"/>
        <v>0</v>
      </c>
      <c r="O119" s="354">
        <f t="shared" si="107"/>
        <v>0</v>
      </c>
      <c r="P119" s="354">
        <f t="shared" si="107"/>
        <v>0</v>
      </c>
      <c r="Q119" s="354">
        <f t="shared" si="107"/>
        <v>0</v>
      </c>
      <c r="R119" s="354">
        <f t="shared" si="107"/>
        <v>0</v>
      </c>
      <c r="S119" s="354">
        <f t="shared" si="107"/>
        <v>0</v>
      </c>
      <c r="T119" s="354">
        <f t="shared" si="107"/>
        <v>0</v>
      </c>
      <c r="U119" s="354">
        <f t="shared" si="107"/>
        <v>0</v>
      </c>
      <c r="V119" s="354">
        <f t="shared" si="37"/>
        <v>0</v>
      </c>
      <c r="W119" s="354">
        <f t="shared" si="107"/>
        <v>0</v>
      </c>
      <c r="Y119" s="354">
        <f t="shared" ref="Y119:AJ119" si="108">+Y23-Y71</f>
        <v>0</v>
      </c>
      <c r="Z119" s="354">
        <f t="shared" si="108"/>
        <v>0</v>
      </c>
      <c r="AA119" s="354">
        <f t="shared" si="108"/>
        <v>0</v>
      </c>
      <c r="AB119" s="354">
        <f t="shared" si="108"/>
        <v>0</v>
      </c>
      <c r="AC119" s="354">
        <f t="shared" si="108"/>
        <v>0</v>
      </c>
      <c r="AD119" s="354">
        <f t="shared" si="108"/>
        <v>0</v>
      </c>
      <c r="AE119" s="354">
        <f t="shared" si="108"/>
        <v>0</v>
      </c>
      <c r="AF119" s="354">
        <f t="shared" si="108"/>
        <v>0</v>
      </c>
      <c r="AG119" s="354">
        <f t="shared" si="108"/>
        <v>0</v>
      </c>
      <c r="AH119" s="354">
        <f t="shared" si="39"/>
        <v>0</v>
      </c>
      <c r="AI119" s="354">
        <f t="shared" si="108"/>
        <v>0</v>
      </c>
      <c r="AJ119" s="354">
        <f t="shared" si="108"/>
        <v>0</v>
      </c>
      <c r="AL119" s="354">
        <f t="shared" si="40"/>
        <v>0</v>
      </c>
      <c r="AN119" s="354">
        <f t="shared" ref="AN119:BR119" si="109">+AN23-AN71</f>
        <v>0</v>
      </c>
      <c r="AO119" s="354">
        <f t="shared" si="50"/>
        <v>0</v>
      </c>
      <c r="AP119" s="354">
        <f t="shared" si="109"/>
        <v>0</v>
      </c>
      <c r="AQ119" s="354">
        <f t="shared" si="109"/>
        <v>0</v>
      </c>
      <c r="AR119" s="354">
        <f t="shared" si="42"/>
        <v>0</v>
      </c>
      <c r="AS119" s="354">
        <f t="shared" si="42"/>
        <v>0</v>
      </c>
      <c r="AT119" s="354">
        <f t="shared" si="109"/>
        <v>0</v>
      </c>
      <c r="AU119" s="354">
        <f t="shared" si="109"/>
        <v>0</v>
      </c>
      <c r="AV119" s="354">
        <f t="shared" si="109"/>
        <v>0</v>
      </c>
      <c r="AW119" s="354">
        <f t="shared" si="109"/>
        <v>0</v>
      </c>
      <c r="AX119" s="354">
        <f t="shared" si="109"/>
        <v>0</v>
      </c>
      <c r="AY119" s="354">
        <f t="shared" si="109"/>
        <v>0</v>
      </c>
      <c r="AZ119" s="354">
        <f t="shared" si="109"/>
        <v>0</v>
      </c>
      <c r="BA119" s="354">
        <f t="shared" si="109"/>
        <v>0</v>
      </c>
      <c r="BB119" s="354">
        <f t="shared" si="109"/>
        <v>0</v>
      </c>
      <c r="BC119" s="354">
        <f t="shared" si="109"/>
        <v>0</v>
      </c>
      <c r="BD119" s="354">
        <f t="shared" si="109"/>
        <v>0</v>
      </c>
      <c r="BE119" s="354">
        <f t="shared" si="109"/>
        <v>0</v>
      </c>
      <c r="BF119" s="354">
        <f t="shared" si="109"/>
        <v>0</v>
      </c>
      <c r="BG119" s="354">
        <f t="shared" si="109"/>
        <v>0</v>
      </c>
      <c r="BH119" s="354">
        <f t="shared" si="109"/>
        <v>0</v>
      </c>
      <c r="BI119" s="354">
        <f t="shared" si="109"/>
        <v>0</v>
      </c>
      <c r="BJ119" s="354">
        <f t="shared" ref="BJ119" si="110">+BJ23-BJ71</f>
        <v>0</v>
      </c>
      <c r="BK119" s="354">
        <f t="shared" si="44"/>
        <v>0</v>
      </c>
      <c r="BL119" s="354">
        <f t="shared" si="109"/>
        <v>0</v>
      </c>
      <c r="BM119" s="354">
        <f t="shared" si="45"/>
        <v>0</v>
      </c>
      <c r="BN119" s="354">
        <f t="shared" si="109"/>
        <v>0</v>
      </c>
      <c r="BO119" s="354">
        <f t="shared" si="109"/>
        <v>0</v>
      </c>
      <c r="BP119" s="354">
        <f t="shared" si="109"/>
        <v>0</v>
      </c>
      <c r="BQ119" s="354">
        <f t="shared" si="52"/>
        <v>0</v>
      </c>
      <c r="BR119" s="354">
        <f t="shared" si="109"/>
        <v>0</v>
      </c>
      <c r="BS119" s="354"/>
      <c r="BT119" s="354">
        <f t="shared" si="46"/>
        <v>0</v>
      </c>
      <c r="BU119" s="354">
        <f t="shared" si="46"/>
        <v>0</v>
      </c>
      <c r="BV119" s="354">
        <f t="shared" si="46"/>
        <v>0</v>
      </c>
      <c r="BW119" s="354">
        <f t="shared" si="46"/>
        <v>0</v>
      </c>
      <c r="BX119" s="354">
        <f t="shared" si="46"/>
        <v>0</v>
      </c>
      <c r="BY119" s="354">
        <f t="shared" si="46"/>
        <v>0</v>
      </c>
      <c r="BZ119" s="354"/>
      <c r="CA119" s="354"/>
      <c r="CB119" s="354"/>
      <c r="CC119" s="354"/>
      <c r="CD119" s="354"/>
      <c r="CE119" s="354"/>
      <c r="CF119" s="354"/>
      <c r="CG119" s="354"/>
      <c r="CH119" s="354"/>
      <c r="CI119" s="354"/>
      <c r="CJ119" s="354"/>
      <c r="CK119" s="354"/>
      <c r="CL119" s="354"/>
      <c r="CM119" s="693"/>
      <c r="CN119" s="693"/>
      <c r="CO119" s="693"/>
    </row>
    <row r="120" spans="2:93">
      <c r="B120" s="271">
        <f t="shared" si="53"/>
        <v>17</v>
      </c>
      <c r="C120" s="541">
        <f>+Base!V$4</f>
        <v>78</v>
      </c>
      <c r="D120" s="541">
        <f>+Base!V$5</f>
        <v>77</v>
      </c>
      <c r="E120" s="540">
        <f>+Base!V$7</f>
        <v>2035</v>
      </c>
      <c r="F120" s="354">
        <f t="shared" si="86"/>
        <v>0</v>
      </c>
      <c r="G120" s="354">
        <f t="shared" si="86"/>
        <v>0</v>
      </c>
      <c r="H120" s="354">
        <f t="shared" si="86"/>
        <v>0</v>
      </c>
      <c r="I120" s="354">
        <f t="shared" si="86"/>
        <v>0</v>
      </c>
      <c r="J120" s="354">
        <f t="shared" si="86"/>
        <v>0</v>
      </c>
      <c r="K120" s="354">
        <f t="shared" si="86"/>
        <v>0</v>
      </c>
      <c r="M120" s="354">
        <f t="shared" ref="M120:W120" si="111">+M24-M72</f>
        <v>0</v>
      </c>
      <c r="N120" s="354">
        <f t="shared" si="111"/>
        <v>0</v>
      </c>
      <c r="O120" s="354">
        <f t="shared" si="111"/>
        <v>0</v>
      </c>
      <c r="P120" s="354">
        <f t="shared" si="111"/>
        <v>0</v>
      </c>
      <c r="Q120" s="354">
        <f t="shared" si="111"/>
        <v>0</v>
      </c>
      <c r="R120" s="354">
        <f t="shared" si="111"/>
        <v>0</v>
      </c>
      <c r="S120" s="354">
        <f t="shared" si="111"/>
        <v>0</v>
      </c>
      <c r="T120" s="354">
        <f t="shared" si="111"/>
        <v>0</v>
      </c>
      <c r="U120" s="354">
        <f t="shared" si="111"/>
        <v>0</v>
      </c>
      <c r="V120" s="354">
        <f t="shared" si="37"/>
        <v>0</v>
      </c>
      <c r="W120" s="354">
        <f t="shared" si="111"/>
        <v>0</v>
      </c>
      <c r="Y120" s="354">
        <f t="shared" ref="Y120:AJ120" si="112">+Y24-Y72</f>
        <v>0</v>
      </c>
      <c r="Z120" s="354">
        <f t="shared" si="112"/>
        <v>0</v>
      </c>
      <c r="AA120" s="354">
        <f t="shared" si="112"/>
        <v>0</v>
      </c>
      <c r="AB120" s="354">
        <f t="shared" si="112"/>
        <v>0</v>
      </c>
      <c r="AC120" s="354">
        <f t="shared" si="112"/>
        <v>0</v>
      </c>
      <c r="AD120" s="354">
        <f t="shared" si="112"/>
        <v>0</v>
      </c>
      <c r="AE120" s="354">
        <f t="shared" si="112"/>
        <v>0</v>
      </c>
      <c r="AF120" s="354">
        <f t="shared" si="112"/>
        <v>0</v>
      </c>
      <c r="AG120" s="354">
        <f t="shared" si="112"/>
        <v>0</v>
      </c>
      <c r="AH120" s="354">
        <f t="shared" si="39"/>
        <v>0</v>
      </c>
      <c r="AI120" s="354">
        <f t="shared" si="112"/>
        <v>0</v>
      </c>
      <c r="AJ120" s="354">
        <f t="shared" si="112"/>
        <v>0</v>
      </c>
      <c r="AL120" s="354">
        <f t="shared" si="40"/>
        <v>0</v>
      </c>
      <c r="AN120" s="354">
        <f t="shared" ref="AN120:BR120" si="113">+AN24-AN72</f>
        <v>0</v>
      </c>
      <c r="AO120" s="354">
        <f t="shared" si="50"/>
        <v>0</v>
      </c>
      <c r="AP120" s="354">
        <f t="shared" si="113"/>
        <v>0</v>
      </c>
      <c r="AQ120" s="354">
        <f t="shared" si="113"/>
        <v>0</v>
      </c>
      <c r="AR120" s="354">
        <f t="shared" si="42"/>
        <v>0</v>
      </c>
      <c r="AS120" s="354">
        <f t="shared" si="42"/>
        <v>0</v>
      </c>
      <c r="AT120" s="354">
        <f t="shared" si="113"/>
        <v>0</v>
      </c>
      <c r="AU120" s="354">
        <f t="shared" si="113"/>
        <v>0</v>
      </c>
      <c r="AV120" s="354">
        <f t="shared" si="113"/>
        <v>0</v>
      </c>
      <c r="AW120" s="354">
        <f t="shared" si="113"/>
        <v>0</v>
      </c>
      <c r="AX120" s="354">
        <f t="shared" si="113"/>
        <v>0</v>
      </c>
      <c r="AY120" s="354">
        <f t="shared" si="113"/>
        <v>0</v>
      </c>
      <c r="AZ120" s="354">
        <f t="shared" si="113"/>
        <v>0</v>
      </c>
      <c r="BA120" s="354">
        <f t="shared" si="113"/>
        <v>0</v>
      </c>
      <c r="BB120" s="354">
        <f t="shared" si="113"/>
        <v>0</v>
      </c>
      <c r="BC120" s="354">
        <f t="shared" si="113"/>
        <v>0</v>
      </c>
      <c r="BD120" s="354">
        <f t="shared" si="113"/>
        <v>0</v>
      </c>
      <c r="BE120" s="354">
        <f t="shared" si="113"/>
        <v>0</v>
      </c>
      <c r="BF120" s="354">
        <f t="shared" si="113"/>
        <v>0</v>
      </c>
      <c r="BG120" s="354">
        <f t="shared" si="113"/>
        <v>0</v>
      </c>
      <c r="BH120" s="354">
        <f t="shared" si="113"/>
        <v>0</v>
      </c>
      <c r="BI120" s="354">
        <f t="shared" si="113"/>
        <v>0</v>
      </c>
      <c r="BJ120" s="354">
        <f t="shared" ref="BJ120" si="114">+BJ24-BJ72</f>
        <v>0</v>
      </c>
      <c r="BK120" s="354">
        <f t="shared" si="44"/>
        <v>0</v>
      </c>
      <c r="BL120" s="354">
        <f t="shared" si="113"/>
        <v>0</v>
      </c>
      <c r="BM120" s="354">
        <f t="shared" si="45"/>
        <v>0</v>
      </c>
      <c r="BN120" s="354">
        <f t="shared" si="113"/>
        <v>0</v>
      </c>
      <c r="BO120" s="354">
        <f t="shared" si="113"/>
        <v>0</v>
      </c>
      <c r="BP120" s="354">
        <f t="shared" si="113"/>
        <v>0</v>
      </c>
      <c r="BQ120" s="354">
        <f t="shared" si="52"/>
        <v>0</v>
      </c>
      <c r="BR120" s="354">
        <f t="shared" si="113"/>
        <v>0</v>
      </c>
      <c r="BS120" s="354"/>
      <c r="BT120" s="354">
        <f t="shared" si="46"/>
        <v>0</v>
      </c>
      <c r="BU120" s="354">
        <f t="shared" si="46"/>
        <v>0</v>
      </c>
      <c r="BV120" s="354">
        <f t="shared" si="46"/>
        <v>0</v>
      </c>
      <c r="BW120" s="354">
        <f t="shared" si="46"/>
        <v>0</v>
      </c>
      <c r="BX120" s="354">
        <f t="shared" si="46"/>
        <v>0</v>
      </c>
      <c r="BY120" s="354">
        <f t="shared" si="46"/>
        <v>0</v>
      </c>
      <c r="BZ120" s="354"/>
      <c r="CA120" s="354"/>
      <c r="CB120" s="354"/>
      <c r="CC120" s="354"/>
      <c r="CD120" s="354"/>
      <c r="CE120" s="354"/>
      <c r="CF120" s="354"/>
      <c r="CG120" s="354"/>
      <c r="CH120" s="354"/>
      <c r="CI120" s="354"/>
      <c r="CJ120" s="354"/>
      <c r="CK120" s="354"/>
      <c r="CL120" s="354"/>
      <c r="CM120" s="693"/>
      <c r="CN120" s="693"/>
      <c r="CO120" s="693"/>
    </row>
    <row r="121" spans="2:93">
      <c r="B121" s="271">
        <f t="shared" si="53"/>
        <v>18</v>
      </c>
      <c r="C121" s="541">
        <f>+Base!W$4</f>
        <v>79</v>
      </c>
      <c r="D121" s="541">
        <f>+Base!W$5</f>
        <v>78</v>
      </c>
      <c r="E121" s="540">
        <f>+Base!W$7</f>
        <v>2036</v>
      </c>
      <c r="F121" s="354">
        <f t="shared" si="86"/>
        <v>0</v>
      </c>
      <c r="G121" s="354">
        <f t="shared" si="86"/>
        <v>0</v>
      </c>
      <c r="H121" s="354">
        <f t="shared" si="86"/>
        <v>0</v>
      </c>
      <c r="I121" s="354">
        <f t="shared" si="86"/>
        <v>0</v>
      </c>
      <c r="J121" s="354">
        <f t="shared" si="86"/>
        <v>0</v>
      </c>
      <c r="K121" s="354">
        <f t="shared" si="86"/>
        <v>0</v>
      </c>
      <c r="M121" s="354">
        <f t="shared" ref="M121:W121" si="115">+M25-M73</f>
        <v>0</v>
      </c>
      <c r="N121" s="354">
        <f t="shared" si="115"/>
        <v>0</v>
      </c>
      <c r="O121" s="354">
        <f t="shared" si="115"/>
        <v>0</v>
      </c>
      <c r="P121" s="354">
        <f t="shared" si="115"/>
        <v>0</v>
      </c>
      <c r="Q121" s="354">
        <f t="shared" si="115"/>
        <v>0</v>
      </c>
      <c r="R121" s="354">
        <f t="shared" si="115"/>
        <v>0</v>
      </c>
      <c r="S121" s="354">
        <f t="shared" si="115"/>
        <v>0</v>
      </c>
      <c r="T121" s="354">
        <f t="shared" si="115"/>
        <v>0</v>
      </c>
      <c r="U121" s="354">
        <f t="shared" si="115"/>
        <v>0</v>
      </c>
      <c r="V121" s="354">
        <f t="shared" si="37"/>
        <v>0</v>
      </c>
      <c r="W121" s="354">
        <f t="shared" si="115"/>
        <v>0</v>
      </c>
      <c r="Y121" s="354">
        <f t="shared" ref="Y121:AJ121" si="116">+Y25-Y73</f>
        <v>0</v>
      </c>
      <c r="Z121" s="354">
        <f t="shared" si="116"/>
        <v>0</v>
      </c>
      <c r="AA121" s="354">
        <f t="shared" si="116"/>
        <v>0</v>
      </c>
      <c r="AB121" s="354">
        <f t="shared" si="116"/>
        <v>0</v>
      </c>
      <c r="AC121" s="354">
        <f t="shared" si="116"/>
        <v>0</v>
      </c>
      <c r="AD121" s="354">
        <f t="shared" si="116"/>
        <v>0</v>
      </c>
      <c r="AE121" s="354">
        <f t="shared" si="116"/>
        <v>0</v>
      </c>
      <c r="AF121" s="354">
        <f t="shared" si="116"/>
        <v>0</v>
      </c>
      <c r="AG121" s="354">
        <f t="shared" si="116"/>
        <v>0</v>
      </c>
      <c r="AH121" s="354">
        <f t="shared" si="39"/>
        <v>0</v>
      </c>
      <c r="AI121" s="354">
        <f t="shared" si="116"/>
        <v>0</v>
      </c>
      <c r="AJ121" s="354">
        <f t="shared" si="116"/>
        <v>0</v>
      </c>
      <c r="AL121" s="354">
        <f t="shared" si="40"/>
        <v>0</v>
      </c>
      <c r="AN121" s="354">
        <f t="shared" ref="AN121:BR121" si="117">+AN25-AN73</f>
        <v>0</v>
      </c>
      <c r="AO121" s="354">
        <f t="shared" si="50"/>
        <v>0</v>
      </c>
      <c r="AP121" s="354">
        <f t="shared" si="117"/>
        <v>0</v>
      </c>
      <c r="AQ121" s="354">
        <f t="shared" si="117"/>
        <v>0</v>
      </c>
      <c r="AR121" s="354">
        <f t="shared" si="42"/>
        <v>0</v>
      </c>
      <c r="AS121" s="354">
        <f t="shared" si="42"/>
        <v>0</v>
      </c>
      <c r="AT121" s="354">
        <f t="shared" si="117"/>
        <v>0</v>
      </c>
      <c r="AU121" s="354">
        <f t="shared" si="117"/>
        <v>0</v>
      </c>
      <c r="AV121" s="354">
        <f t="shared" si="117"/>
        <v>0</v>
      </c>
      <c r="AW121" s="354">
        <f t="shared" si="117"/>
        <v>0</v>
      </c>
      <c r="AX121" s="354">
        <f t="shared" si="117"/>
        <v>0</v>
      </c>
      <c r="AY121" s="354">
        <f t="shared" si="117"/>
        <v>0</v>
      </c>
      <c r="AZ121" s="354">
        <f t="shared" si="117"/>
        <v>0</v>
      </c>
      <c r="BA121" s="354">
        <f t="shared" si="117"/>
        <v>0</v>
      </c>
      <c r="BB121" s="354">
        <f t="shared" si="117"/>
        <v>0</v>
      </c>
      <c r="BC121" s="354">
        <f t="shared" si="117"/>
        <v>0</v>
      </c>
      <c r="BD121" s="354">
        <f t="shared" si="117"/>
        <v>0</v>
      </c>
      <c r="BE121" s="354">
        <f t="shared" si="117"/>
        <v>0</v>
      </c>
      <c r="BF121" s="354">
        <f t="shared" si="117"/>
        <v>0</v>
      </c>
      <c r="BG121" s="354">
        <f t="shared" si="117"/>
        <v>0</v>
      </c>
      <c r="BH121" s="354">
        <f t="shared" si="117"/>
        <v>0</v>
      </c>
      <c r="BI121" s="354">
        <f t="shared" si="117"/>
        <v>0</v>
      </c>
      <c r="BJ121" s="354">
        <f t="shared" ref="BJ121" si="118">+BJ25-BJ73</f>
        <v>0</v>
      </c>
      <c r="BK121" s="354">
        <f t="shared" si="44"/>
        <v>0</v>
      </c>
      <c r="BL121" s="354">
        <f t="shared" si="117"/>
        <v>0</v>
      </c>
      <c r="BM121" s="354">
        <f t="shared" si="45"/>
        <v>0</v>
      </c>
      <c r="BN121" s="354">
        <f t="shared" si="117"/>
        <v>0</v>
      </c>
      <c r="BO121" s="354">
        <f t="shared" si="117"/>
        <v>0</v>
      </c>
      <c r="BP121" s="354">
        <f t="shared" si="117"/>
        <v>0</v>
      </c>
      <c r="BQ121" s="354">
        <f t="shared" si="52"/>
        <v>0</v>
      </c>
      <c r="BR121" s="354">
        <f t="shared" si="117"/>
        <v>0</v>
      </c>
      <c r="BS121" s="354"/>
      <c r="BT121" s="354">
        <f t="shared" si="46"/>
        <v>0</v>
      </c>
      <c r="BU121" s="354">
        <f t="shared" si="46"/>
        <v>0</v>
      </c>
      <c r="BV121" s="354">
        <f t="shared" si="46"/>
        <v>0</v>
      </c>
      <c r="BW121" s="354">
        <f t="shared" si="46"/>
        <v>0</v>
      </c>
      <c r="BX121" s="354">
        <f t="shared" si="46"/>
        <v>0</v>
      </c>
      <c r="BY121" s="354">
        <f t="shared" si="46"/>
        <v>0</v>
      </c>
      <c r="BZ121" s="354"/>
      <c r="CA121" s="354"/>
      <c r="CB121" s="354"/>
      <c r="CC121" s="354"/>
      <c r="CD121" s="354"/>
      <c r="CE121" s="354"/>
      <c r="CF121" s="354"/>
      <c r="CG121" s="354"/>
      <c r="CH121" s="354"/>
      <c r="CI121" s="354"/>
      <c r="CJ121" s="354"/>
      <c r="CK121" s="354"/>
      <c r="CL121" s="354"/>
      <c r="CM121" s="693"/>
      <c r="CN121" s="693"/>
      <c r="CO121" s="693"/>
    </row>
    <row r="122" spans="2:93">
      <c r="B122" s="271">
        <f t="shared" si="53"/>
        <v>19</v>
      </c>
      <c r="C122" s="541">
        <f>+Base!X$4</f>
        <v>80</v>
      </c>
      <c r="D122" s="541">
        <f>+Base!X$5</f>
        <v>79</v>
      </c>
      <c r="E122" s="540">
        <f>+Base!X$7</f>
        <v>2037</v>
      </c>
      <c r="F122" s="354">
        <f t="shared" si="86"/>
        <v>0</v>
      </c>
      <c r="G122" s="354">
        <f t="shared" si="86"/>
        <v>0</v>
      </c>
      <c r="H122" s="354">
        <f t="shared" si="86"/>
        <v>0</v>
      </c>
      <c r="I122" s="354">
        <f t="shared" si="86"/>
        <v>0</v>
      </c>
      <c r="J122" s="354">
        <f t="shared" si="86"/>
        <v>0</v>
      </c>
      <c r="K122" s="354">
        <f t="shared" si="86"/>
        <v>0</v>
      </c>
      <c r="M122" s="354">
        <f t="shared" ref="M122:W122" si="119">+M26-M74</f>
        <v>0</v>
      </c>
      <c r="N122" s="354">
        <f t="shared" si="119"/>
        <v>0</v>
      </c>
      <c r="O122" s="354">
        <f t="shared" si="119"/>
        <v>0</v>
      </c>
      <c r="P122" s="354">
        <f t="shared" si="119"/>
        <v>0</v>
      </c>
      <c r="Q122" s="354">
        <f t="shared" si="119"/>
        <v>0</v>
      </c>
      <c r="R122" s="354">
        <f t="shared" si="119"/>
        <v>0</v>
      </c>
      <c r="S122" s="354">
        <f t="shared" si="119"/>
        <v>0</v>
      </c>
      <c r="T122" s="354">
        <f t="shared" si="119"/>
        <v>0</v>
      </c>
      <c r="U122" s="354">
        <f t="shared" si="119"/>
        <v>0</v>
      </c>
      <c r="V122" s="354">
        <f t="shared" si="37"/>
        <v>0</v>
      </c>
      <c r="W122" s="354">
        <f t="shared" si="119"/>
        <v>0</v>
      </c>
      <c r="Y122" s="354">
        <f t="shared" ref="Y122:AJ122" si="120">+Y26-Y74</f>
        <v>0</v>
      </c>
      <c r="Z122" s="354">
        <f t="shared" si="120"/>
        <v>0</v>
      </c>
      <c r="AA122" s="354">
        <f t="shared" si="120"/>
        <v>0</v>
      </c>
      <c r="AB122" s="354">
        <f t="shared" si="120"/>
        <v>0</v>
      </c>
      <c r="AC122" s="354">
        <f t="shared" si="120"/>
        <v>0</v>
      </c>
      <c r="AD122" s="354">
        <f t="shared" si="120"/>
        <v>0</v>
      </c>
      <c r="AE122" s="354">
        <f t="shared" si="120"/>
        <v>0</v>
      </c>
      <c r="AF122" s="354">
        <f t="shared" si="120"/>
        <v>0</v>
      </c>
      <c r="AG122" s="354">
        <f t="shared" si="120"/>
        <v>0</v>
      </c>
      <c r="AH122" s="354">
        <f t="shared" si="39"/>
        <v>0</v>
      </c>
      <c r="AI122" s="354">
        <f t="shared" si="120"/>
        <v>0</v>
      </c>
      <c r="AJ122" s="354">
        <f t="shared" si="120"/>
        <v>0</v>
      </c>
      <c r="AL122" s="354">
        <f t="shared" si="40"/>
        <v>0</v>
      </c>
      <c r="AN122" s="354">
        <f t="shared" ref="AN122:BR122" si="121">+AN26-AN74</f>
        <v>0</v>
      </c>
      <c r="AO122" s="354">
        <f t="shared" si="50"/>
        <v>0</v>
      </c>
      <c r="AP122" s="354">
        <f t="shared" si="121"/>
        <v>0</v>
      </c>
      <c r="AQ122" s="354">
        <f t="shared" si="121"/>
        <v>0</v>
      </c>
      <c r="AR122" s="354">
        <f t="shared" si="42"/>
        <v>0</v>
      </c>
      <c r="AS122" s="354">
        <f t="shared" si="42"/>
        <v>0</v>
      </c>
      <c r="AT122" s="354">
        <f t="shared" si="121"/>
        <v>0</v>
      </c>
      <c r="AU122" s="354">
        <f t="shared" si="121"/>
        <v>0</v>
      </c>
      <c r="AV122" s="354">
        <f t="shared" si="121"/>
        <v>0</v>
      </c>
      <c r="AW122" s="354">
        <f t="shared" si="121"/>
        <v>0</v>
      </c>
      <c r="AX122" s="354">
        <f t="shared" si="121"/>
        <v>0</v>
      </c>
      <c r="AY122" s="354">
        <f t="shared" si="121"/>
        <v>0</v>
      </c>
      <c r="AZ122" s="354">
        <f t="shared" si="121"/>
        <v>0</v>
      </c>
      <c r="BA122" s="354">
        <f t="shared" si="121"/>
        <v>0</v>
      </c>
      <c r="BB122" s="354">
        <f t="shared" si="121"/>
        <v>0</v>
      </c>
      <c r="BC122" s="354">
        <f t="shared" si="121"/>
        <v>0</v>
      </c>
      <c r="BD122" s="354">
        <f t="shared" si="121"/>
        <v>0</v>
      </c>
      <c r="BE122" s="354">
        <f t="shared" si="121"/>
        <v>0</v>
      </c>
      <c r="BF122" s="354">
        <f t="shared" si="121"/>
        <v>0</v>
      </c>
      <c r="BG122" s="354">
        <f t="shared" si="121"/>
        <v>0</v>
      </c>
      <c r="BH122" s="354">
        <f t="shared" si="121"/>
        <v>0</v>
      </c>
      <c r="BI122" s="354">
        <f t="shared" si="121"/>
        <v>0</v>
      </c>
      <c r="BJ122" s="354">
        <f t="shared" ref="BJ122" si="122">+BJ26-BJ74</f>
        <v>0</v>
      </c>
      <c r="BK122" s="354">
        <f t="shared" si="44"/>
        <v>0</v>
      </c>
      <c r="BL122" s="354">
        <f t="shared" si="121"/>
        <v>0</v>
      </c>
      <c r="BM122" s="354">
        <f t="shared" si="45"/>
        <v>0</v>
      </c>
      <c r="BN122" s="354">
        <f t="shared" si="121"/>
        <v>0</v>
      </c>
      <c r="BO122" s="354">
        <f t="shared" si="121"/>
        <v>0</v>
      </c>
      <c r="BP122" s="354">
        <f t="shared" si="121"/>
        <v>0</v>
      </c>
      <c r="BQ122" s="354">
        <f t="shared" si="52"/>
        <v>0</v>
      </c>
      <c r="BR122" s="354">
        <f t="shared" si="121"/>
        <v>0</v>
      </c>
      <c r="BS122" s="354"/>
      <c r="BT122" s="354">
        <f t="shared" si="46"/>
        <v>0</v>
      </c>
      <c r="BU122" s="354">
        <f t="shared" si="46"/>
        <v>0</v>
      </c>
      <c r="BV122" s="354">
        <f t="shared" si="46"/>
        <v>0</v>
      </c>
      <c r="BW122" s="354">
        <f t="shared" si="46"/>
        <v>0</v>
      </c>
      <c r="BX122" s="354">
        <f t="shared" si="46"/>
        <v>0</v>
      </c>
      <c r="BY122" s="354">
        <f t="shared" si="46"/>
        <v>0</v>
      </c>
      <c r="BZ122" s="354"/>
      <c r="CA122" s="354"/>
      <c r="CB122" s="354"/>
      <c r="CC122" s="354"/>
      <c r="CD122" s="354"/>
      <c r="CE122" s="354"/>
      <c r="CF122" s="354"/>
      <c r="CG122" s="354"/>
      <c r="CH122" s="354"/>
      <c r="CI122" s="354"/>
      <c r="CJ122" s="354"/>
      <c r="CK122" s="354"/>
      <c r="CL122" s="354"/>
      <c r="CM122" s="693"/>
      <c r="CN122" s="693"/>
      <c r="CO122" s="693"/>
    </row>
    <row r="123" spans="2:93">
      <c r="B123" s="271">
        <f t="shared" si="53"/>
        <v>20</v>
      </c>
      <c r="C123" s="541">
        <f>+Base!Y$4</f>
        <v>81</v>
      </c>
      <c r="D123" s="541">
        <f>+Base!Y$5</f>
        <v>80</v>
      </c>
      <c r="E123" s="540">
        <f>+Base!Y$7</f>
        <v>2038</v>
      </c>
      <c r="F123" s="354">
        <f t="shared" si="86"/>
        <v>0</v>
      </c>
      <c r="G123" s="354">
        <f t="shared" si="86"/>
        <v>0</v>
      </c>
      <c r="H123" s="354">
        <f t="shared" si="86"/>
        <v>0</v>
      </c>
      <c r="I123" s="354">
        <f t="shared" si="86"/>
        <v>0</v>
      </c>
      <c r="J123" s="354">
        <f t="shared" si="86"/>
        <v>0</v>
      </c>
      <c r="K123" s="354">
        <f t="shared" si="86"/>
        <v>0</v>
      </c>
      <c r="M123" s="354">
        <f t="shared" ref="M123:W123" si="123">+M27-M75</f>
        <v>0</v>
      </c>
      <c r="N123" s="354">
        <f t="shared" si="123"/>
        <v>0</v>
      </c>
      <c r="O123" s="354">
        <f t="shared" si="123"/>
        <v>0</v>
      </c>
      <c r="P123" s="354">
        <f t="shared" si="123"/>
        <v>0</v>
      </c>
      <c r="Q123" s="354">
        <f t="shared" si="123"/>
        <v>0</v>
      </c>
      <c r="R123" s="354">
        <f t="shared" si="123"/>
        <v>0</v>
      </c>
      <c r="S123" s="354">
        <f t="shared" si="123"/>
        <v>0</v>
      </c>
      <c r="T123" s="354">
        <f t="shared" si="123"/>
        <v>0</v>
      </c>
      <c r="U123" s="354">
        <f t="shared" si="123"/>
        <v>0</v>
      </c>
      <c r="V123" s="354">
        <f t="shared" si="37"/>
        <v>0</v>
      </c>
      <c r="W123" s="354">
        <f t="shared" si="123"/>
        <v>0</v>
      </c>
      <c r="Y123" s="354">
        <f t="shared" ref="Y123:AJ123" si="124">+Y27-Y75</f>
        <v>0</v>
      </c>
      <c r="Z123" s="354">
        <f t="shared" si="124"/>
        <v>0</v>
      </c>
      <c r="AA123" s="354">
        <f t="shared" si="124"/>
        <v>0</v>
      </c>
      <c r="AB123" s="354">
        <f t="shared" si="124"/>
        <v>0</v>
      </c>
      <c r="AC123" s="354">
        <f t="shared" si="124"/>
        <v>0</v>
      </c>
      <c r="AD123" s="354">
        <f t="shared" si="124"/>
        <v>0</v>
      </c>
      <c r="AE123" s="354">
        <f t="shared" si="124"/>
        <v>0</v>
      </c>
      <c r="AF123" s="354">
        <f t="shared" si="124"/>
        <v>0</v>
      </c>
      <c r="AG123" s="354">
        <f t="shared" si="124"/>
        <v>0</v>
      </c>
      <c r="AH123" s="354">
        <f t="shared" si="39"/>
        <v>0</v>
      </c>
      <c r="AI123" s="354">
        <f t="shared" si="124"/>
        <v>0</v>
      </c>
      <c r="AJ123" s="354">
        <f t="shared" si="124"/>
        <v>0</v>
      </c>
      <c r="AL123" s="354">
        <f t="shared" si="40"/>
        <v>0</v>
      </c>
      <c r="AN123" s="354">
        <f t="shared" ref="AN123:BR123" si="125">+AN27-AN75</f>
        <v>0</v>
      </c>
      <c r="AO123" s="354">
        <f t="shared" si="50"/>
        <v>0</v>
      </c>
      <c r="AP123" s="354">
        <f t="shared" si="125"/>
        <v>0</v>
      </c>
      <c r="AQ123" s="354">
        <f t="shared" si="125"/>
        <v>0</v>
      </c>
      <c r="AR123" s="354">
        <f t="shared" si="42"/>
        <v>0</v>
      </c>
      <c r="AS123" s="354">
        <f t="shared" si="42"/>
        <v>0</v>
      </c>
      <c r="AT123" s="354">
        <f t="shared" si="125"/>
        <v>0</v>
      </c>
      <c r="AU123" s="354">
        <f t="shared" si="125"/>
        <v>0</v>
      </c>
      <c r="AV123" s="354">
        <f t="shared" si="125"/>
        <v>0</v>
      </c>
      <c r="AW123" s="354">
        <f t="shared" si="125"/>
        <v>0</v>
      </c>
      <c r="AX123" s="354">
        <f t="shared" si="125"/>
        <v>0</v>
      </c>
      <c r="AY123" s="354">
        <f t="shared" si="125"/>
        <v>0</v>
      </c>
      <c r="AZ123" s="354">
        <f t="shared" si="125"/>
        <v>0</v>
      </c>
      <c r="BA123" s="354">
        <f t="shared" si="125"/>
        <v>0</v>
      </c>
      <c r="BB123" s="354">
        <f t="shared" si="125"/>
        <v>0</v>
      </c>
      <c r="BC123" s="354">
        <f t="shared" si="125"/>
        <v>0</v>
      </c>
      <c r="BD123" s="354">
        <f t="shared" si="125"/>
        <v>0</v>
      </c>
      <c r="BE123" s="354">
        <f t="shared" si="125"/>
        <v>0</v>
      </c>
      <c r="BF123" s="354">
        <f t="shared" si="125"/>
        <v>0</v>
      </c>
      <c r="BG123" s="354">
        <f t="shared" si="125"/>
        <v>0</v>
      </c>
      <c r="BH123" s="354">
        <f t="shared" si="125"/>
        <v>0</v>
      </c>
      <c r="BI123" s="354">
        <f t="shared" si="125"/>
        <v>0</v>
      </c>
      <c r="BJ123" s="354">
        <f t="shared" ref="BJ123" si="126">+BJ27-BJ75</f>
        <v>0</v>
      </c>
      <c r="BK123" s="354">
        <f t="shared" si="44"/>
        <v>0</v>
      </c>
      <c r="BL123" s="354">
        <f t="shared" si="125"/>
        <v>0</v>
      </c>
      <c r="BM123" s="354">
        <f t="shared" si="45"/>
        <v>0</v>
      </c>
      <c r="BN123" s="354">
        <f t="shared" si="125"/>
        <v>0</v>
      </c>
      <c r="BO123" s="354">
        <f t="shared" si="125"/>
        <v>0</v>
      </c>
      <c r="BP123" s="354">
        <f t="shared" si="125"/>
        <v>0</v>
      </c>
      <c r="BQ123" s="354">
        <f t="shared" si="52"/>
        <v>0</v>
      </c>
      <c r="BR123" s="354">
        <f t="shared" si="125"/>
        <v>0</v>
      </c>
      <c r="BS123" s="354"/>
      <c r="BT123" s="354">
        <f t="shared" si="46"/>
        <v>0</v>
      </c>
      <c r="BU123" s="354">
        <f t="shared" si="46"/>
        <v>0</v>
      </c>
      <c r="BV123" s="354">
        <f t="shared" si="46"/>
        <v>0</v>
      </c>
      <c r="BW123" s="354">
        <f t="shared" si="46"/>
        <v>0</v>
      </c>
      <c r="BX123" s="354">
        <f t="shared" si="46"/>
        <v>0</v>
      </c>
      <c r="BY123" s="354">
        <f t="shared" si="46"/>
        <v>0</v>
      </c>
      <c r="BZ123" s="354"/>
      <c r="CA123" s="354"/>
      <c r="CB123" s="354"/>
      <c r="CC123" s="354"/>
      <c r="CD123" s="354"/>
      <c r="CE123" s="354"/>
      <c r="CF123" s="354"/>
      <c r="CG123" s="354"/>
      <c r="CH123" s="354"/>
      <c r="CI123" s="354"/>
      <c r="CJ123" s="354"/>
      <c r="CK123" s="354"/>
      <c r="CL123" s="354"/>
      <c r="CM123" s="693"/>
      <c r="CN123" s="693"/>
      <c r="CO123" s="693"/>
    </row>
    <row r="124" spans="2:93">
      <c r="B124" s="271">
        <f t="shared" si="53"/>
        <v>21</v>
      </c>
      <c r="C124" s="541">
        <f>+Base!Z$4</f>
        <v>82</v>
      </c>
      <c r="D124" s="541">
        <f>+Base!Z$5</f>
        <v>81</v>
      </c>
      <c r="E124" s="540">
        <f>+Base!Z$7</f>
        <v>2039</v>
      </c>
      <c r="F124" s="354">
        <f t="shared" ref="F124:K133" si="127">+F28-F76</f>
        <v>0</v>
      </c>
      <c r="G124" s="354">
        <f t="shared" si="127"/>
        <v>0</v>
      </c>
      <c r="H124" s="354">
        <f t="shared" si="127"/>
        <v>0</v>
      </c>
      <c r="I124" s="354">
        <f t="shared" si="127"/>
        <v>0</v>
      </c>
      <c r="J124" s="354">
        <f t="shared" si="127"/>
        <v>0</v>
      </c>
      <c r="K124" s="354">
        <f t="shared" si="127"/>
        <v>0</v>
      </c>
      <c r="M124" s="354">
        <f t="shared" ref="M124:W124" si="128">+M28-M76</f>
        <v>0</v>
      </c>
      <c r="N124" s="354">
        <f t="shared" si="128"/>
        <v>0</v>
      </c>
      <c r="O124" s="354">
        <f t="shared" si="128"/>
        <v>0</v>
      </c>
      <c r="P124" s="354">
        <f t="shared" si="128"/>
        <v>0</v>
      </c>
      <c r="Q124" s="354">
        <f t="shared" si="128"/>
        <v>0</v>
      </c>
      <c r="R124" s="354">
        <f t="shared" si="128"/>
        <v>0</v>
      </c>
      <c r="S124" s="354">
        <f t="shared" si="128"/>
        <v>0</v>
      </c>
      <c r="T124" s="354">
        <f t="shared" si="128"/>
        <v>0</v>
      </c>
      <c r="U124" s="354">
        <f t="shared" si="128"/>
        <v>0</v>
      </c>
      <c r="V124" s="354">
        <f t="shared" si="37"/>
        <v>0</v>
      </c>
      <c r="W124" s="354">
        <f t="shared" si="128"/>
        <v>0</v>
      </c>
      <c r="Y124" s="354">
        <f t="shared" ref="Y124:AJ141" si="129">+Y28-Y76</f>
        <v>0</v>
      </c>
      <c r="Z124" s="354">
        <f t="shared" si="129"/>
        <v>0</v>
      </c>
      <c r="AA124" s="354">
        <f t="shared" si="129"/>
        <v>0</v>
      </c>
      <c r="AB124" s="354">
        <f t="shared" si="129"/>
        <v>0</v>
      </c>
      <c r="AC124" s="354">
        <f t="shared" si="129"/>
        <v>0</v>
      </c>
      <c r="AD124" s="354">
        <f t="shared" si="129"/>
        <v>0</v>
      </c>
      <c r="AE124" s="354">
        <f t="shared" si="129"/>
        <v>0</v>
      </c>
      <c r="AF124" s="354">
        <f t="shared" si="129"/>
        <v>0</v>
      </c>
      <c r="AG124" s="354">
        <f t="shared" si="129"/>
        <v>0</v>
      </c>
      <c r="AH124" s="354">
        <f t="shared" si="39"/>
        <v>0</v>
      </c>
      <c r="AI124" s="354">
        <f t="shared" si="129"/>
        <v>0</v>
      </c>
      <c r="AJ124" s="354">
        <f t="shared" si="129"/>
        <v>0</v>
      </c>
      <c r="AL124" s="354">
        <f t="shared" si="40"/>
        <v>0</v>
      </c>
      <c r="AN124" s="354">
        <f t="shared" ref="AN124:BR124" si="130">+AN28-AN76</f>
        <v>0</v>
      </c>
      <c r="AO124" s="354">
        <f t="shared" si="50"/>
        <v>0</v>
      </c>
      <c r="AP124" s="354">
        <f t="shared" si="130"/>
        <v>0</v>
      </c>
      <c r="AQ124" s="354">
        <f t="shared" si="130"/>
        <v>0</v>
      </c>
      <c r="AR124" s="354">
        <f t="shared" si="42"/>
        <v>0</v>
      </c>
      <c r="AS124" s="354">
        <f t="shared" si="42"/>
        <v>0</v>
      </c>
      <c r="AT124" s="354">
        <f t="shared" si="130"/>
        <v>0</v>
      </c>
      <c r="AU124" s="354">
        <f t="shared" si="130"/>
        <v>0</v>
      </c>
      <c r="AV124" s="354">
        <f t="shared" si="130"/>
        <v>0</v>
      </c>
      <c r="AW124" s="354">
        <f t="shared" si="130"/>
        <v>0</v>
      </c>
      <c r="AX124" s="354">
        <f t="shared" si="130"/>
        <v>0</v>
      </c>
      <c r="AY124" s="354">
        <f t="shared" si="130"/>
        <v>0</v>
      </c>
      <c r="AZ124" s="354">
        <f t="shared" si="130"/>
        <v>0</v>
      </c>
      <c r="BA124" s="354">
        <f t="shared" si="130"/>
        <v>0</v>
      </c>
      <c r="BB124" s="354">
        <f t="shared" si="130"/>
        <v>0</v>
      </c>
      <c r="BC124" s="354">
        <f t="shared" si="130"/>
        <v>0</v>
      </c>
      <c r="BD124" s="354">
        <f t="shared" si="130"/>
        <v>0</v>
      </c>
      <c r="BE124" s="354">
        <f t="shared" si="130"/>
        <v>0</v>
      </c>
      <c r="BF124" s="354">
        <f t="shared" si="130"/>
        <v>0</v>
      </c>
      <c r="BG124" s="354">
        <f t="shared" si="130"/>
        <v>0</v>
      </c>
      <c r="BH124" s="354">
        <f t="shared" si="130"/>
        <v>0</v>
      </c>
      <c r="BI124" s="354">
        <f t="shared" si="130"/>
        <v>0</v>
      </c>
      <c r="BJ124" s="354">
        <f t="shared" ref="BJ124" si="131">+BJ28-BJ76</f>
        <v>0</v>
      </c>
      <c r="BK124" s="354">
        <f t="shared" si="44"/>
        <v>0</v>
      </c>
      <c r="BL124" s="354">
        <f t="shared" si="130"/>
        <v>0</v>
      </c>
      <c r="BM124" s="354">
        <f t="shared" si="45"/>
        <v>0</v>
      </c>
      <c r="BN124" s="354">
        <f t="shared" si="130"/>
        <v>0</v>
      </c>
      <c r="BO124" s="354">
        <f t="shared" si="130"/>
        <v>0</v>
      </c>
      <c r="BP124" s="354">
        <f t="shared" si="130"/>
        <v>0</v>
      </c>
      <c r="BQ124" s="354">
        <f t="shared" si="52"/>
        <v>0</v>
      </c>
      <c r="BR124" s="354">
        <f t="shared" si="130"/>
        <v>0</v>
      </c>
      <c r="BS124" s="354"/>
      <c r="BT124" s="354">
        <f t="shared" si="46"/>
        <v>0</v>
      </c>
      <c r="BU124" s="354">
        <f t="shared" si="46"/>
        <v>0</v>
      </c>
      <c r="BV124" s="354">
        <f t="shared" si="46"/>
        <v>0</v>
      </c>
      <c r="BW124" s="354">
        <f t="shared" si="46"/>
        <v>0</v>
      </c>
      <c r="BX124" s="354">
        <f t="shared" si="46"/>
        <v>0</v>
      </c>
      <c r="BY124" s="354">
        <f t="shared" si="46"/>
        <v>0</v>
      </c>
      <c r="BZ124" s="354"/>
      <c r="CA124" s="354"/>
      <c r="CB124" s="354"/>
      <c r="CC124" s="354"/>
      <c r="CD124" s="354"/>
      <c r="CE124" s="354"/>
      <c r="CF124" s="354"/>
      <c r="CG124" s="354"/>
      <c r="CH124" s="354"/>
      <c r="CI124" s="354"/>
      <c r="CJ124" s="354"/>
      <c r="CK124" s="354"/>
      <c r="CL124" s="354"/>
      <c r="CM124" s="693"/>
      <c r="CN124" s="693"/>
      <c r="CO124" s="693"/>
    </row>
    <row r="125" spans="2:93">
      <c r="B125" s="271">
        <f t="shared" si="53"/>
        <v>22</v>
      </c>
      <c r="C125" s="541">
        <f>+Base!AA$4</f>
        <v>83</v>
      </c>
      <c r="D125" s="541">
        <f>+Base!AA$5</f>
        <v>82</v>
      </c>
      <c r="E125" s="540">
        <f>+Base!AA$7</f>
        <v>2040</v>
      </c>
      <c r="F125" s="354">
        <f t="shared" si="127"/>
        <v>0</v>
      </c>
      <c r="G125" s="354">
        <f t="shared" si="127"/>
        <v>0</v>
      </c>
      <c r="H125" s="354">
        <f t="shared" si="127"/>
        <v>0</v>
      </c>
      <c r="I125" s="354">
        <f t="shared" si="127"/>
        <v>0</v>
      </c>
      <c r="J125" s="354">
        <f t="shared" si="127"/>
        <v>0</v>
      </c>
      <c r="K125" s="354">
        <f t="shared" si="127"/>
        <v>0</v>
      </c>
      <c r="M125" s="354">
        <f t="shared" ref="M125:W125" si="132">+M29-M77</f>
        <v>0</v>
      </c>
      <c r="N125" s="354">
        <f t="shared" si="132"/>
        <v>0</v>
      </c>
      <c r="O125" s="354">
        <f t="shared" si="132"/>
        <v>0</v>
      </c>
      <c r="P125" s="354">
        <f t="shared" si="132"/>
        <v>0</v>
      </c>
      <c r="Q125" s="354">
        <f t="shared" si="132"/>
        <v>0</v>
      </c>
      <c r="R125" s="354">
        <f t="shared" si="132"/>
        <v>0</v>
      </c>
      <c r="S125" s="354">
        <f t="shared" si="132"/>
        <v>0</v>
      </c>
      <c r="T125" s="354">
        <f t="shared" si="132"/>
        <v>0</v>
      </c>
      <c r="U125" s="354">
        <f t="shared" si="132"/>
        <v>0</v>
      </c>
      <c r="V125" s="354">
        <f t="shared" si="37"/>
        <v>0</v>
      </c>
      <c r="W125" s="354">
        <f t="shared" si="132"/>
        <v>0</v>
      </c>
      <c r="Y125" s="354">
        <f t="shared" si="129"/>
        <v>0</v>
      </c>
      <c r="Z125" s="354">
        <f t="shared" si="129"/>
        <v>0</v>
      </c>
      <c r="AA125" s="354">
        <f t="shared" si="129"/>
        <v>0</v>
      </c>
      <c r="AB125" s="354">
        <f t="shared" si="129"/>
        <v>0</v>
      </c>
      <c r="AC125" s="354">
        <f t="shared" si="129"/>
        <v>0</v>
      </c>
      <c r="AD125" s="354">
        <f t="shared" si="129"/>
        <v>0</v>
      </c>
      <c r="AE125" s="354">
        <f t="shared" si="129"/>
        <v>0</v>
      </c>
      <c r="AF125" s="354">
        <f t="shared" si="129"/>
        <v>0</v>
      </c>
      <c r="AG125" s="354">
        <f t="shared" si="129"/>
        <v>0</v>
      </c>
      <c r="AH125" s="354">
        <f t="shared" si="39"/>
        <v>0</v>
      </c>
      <c r="AI125" s="354">
        <f t="shared" si="129"/>
        <v>0</v>
      </c>
      <c r="AJ125" s="354">
        <f t="shared" si="129"/>
        <v>0</v>
      </c>
      <c r="AL125" s="354">
        <f t="shared" si="40"/>
        <v>0</v>
      </c>
      <c r="AN125" s="354">
        <f t="shared" ref="AN125:BR125" si="133">+AN29-AN77</f>
        <v>0</v>
      </c>
      <c r="AO125" s="354">
        <f t="shared" si="50"/>
        <v>0</v>
      </c>
      <c r="AP125" s="354">
        <f t="shared" si="133"/>
        <v>0</v>
      </c>
      <c r="AQ125" s="354">
        <f t="shared" si="133"/>
        <v>0</v>
      </c>
      <c r="AR125" s="354">
        <f t="shared" si="42"/>
        <v>0</v>
      </c>
      <c r="AS125" s="354">
        <f t="shared" si="42"/>
        <v>0</v>
      </c>
      <c r="AT125" s="354">
        <f t="shared" si="133"/>
        <v>0</v>
      </c>
      <c r="AU125" s="354">
        <f t="shared" si="133"/>
        <v>0</v>
      </c>
      <c r="AV125" s="354">
        <f t="shared" si="133"/>
        <v>0</v>
      </c>
      <c r="AW125" s="354">
        <f t="shared" si="133"/>
        <v>0</v>
      </c>
      <c r="AX125" s="354">
        <f t="shared" si="133"/>
        <v>0</v>
      </c>
      <c r="AY125" s="354">
        <f t="shared" si="133"/>
        <v>0</v>
      </c>
      <c r="AZ125" s="354">
        <f t="shared" si="133"/>
        <v>0</v>
      </c>
      <c r="BA125" s="354">
        <f t="shared" si="133"/>
        <v>0</v>
      </c>
      <c r="BB125" s="354">
        <f t="shared" si="133"/>
        <v>0</v>
      </c>
      <c r="BC125" s="354">
        <f t="shared" si="133"/>
        <v>0</v>
      </c>
      <c r="BD125" s="354">
        <f t="shared" si="133"/>
        <v>0</v>
      </c>
      <c r="BE125" s="354">
        <f t="shared" si="133"/>
        <v>0</v>
      </c>
      <c r="BF125" s="354">
        <f t="shared" si="133"/>
        <v>0</v>
      </c>
      <c r="BG125" s="354">
        <f t="shared" si="133"/>
        <v>0</v>
      </c>
      <c r="BH125" s="354">
        <f t="shared" si="133"/>
        <v>0</v>
      </c>
      <c r="BI125" s="354">
        <f t="shared" si="133"/>
        <v>0</v>
      </c>
      <c r="BJ125" s="354">
        <f t="shared" ref="BJ125" si="134">+BJ29-BJ77</f>
        <v>0</v>
      </c>
      <c r="BK125" s="354">
        <f t="shared" si="44"/>
        <v>0</v>
      </c>
      <c r="BL125" s="354">
        <f t="shared" si="133"/>
        <v>0</v>
      </c>
      <c r="BM125" s="354">
        <f t="shared" si="45"/>
        <v>0</v>
      </c>
      <c r="BN125" s="354">
        <f t="shared" si="133"/>
        <v>0</v>
      </c>
      <c r="BO125" s="354">
        <f t="shared" si="133"/>
        <v>0</v>
      </c>
      <c r="BP125" s="354">
        <f t="shared" si="133"/>
        <v>0</v>
      </c>
      <c r="BQ125" s="354">
        <f t="shared" si="52"/>
        <v>0</v>
      </c>
      <c r="BR125" s="354">
        <f t="shared" si="133"/>
        <v>0</v>
      </c>
      <c r="BS125" s="354"/>
      <c r="BT125" s="354">
        <f t="shared" si="46"/>
        <v>0</v>
      </c>
      <c r="BU125" s="354">
        <f t="shared" si="46"/>
        <v>0</v>
      </c>
      <c r="BV125" s="354">
        <f t="shared" si="46"/>
        <v>0</v>
      </c>
      <c r="BW125" s="354">
        <f t="shared" si="46"/>
        <v>0</v>
      </c>
      <c r="BX125" s="354">
        <f t="shared" si="46"/>
        <v>0</v>
      </c>
      <c r="BY125" s="354">
        <f t="shared" si="46"/>
        <v>0</v>
      </c>
      <c r="BZ125" s="354"/>
      <c r="CA125" s="354"/>
      <c r="CB125" s="354"/>
      <c r="CC125" s="354"/>
      <c r="CD125" s="354"/>
      <c r="CE125" s="354"/>
      <c r="CF125" s="354"/>
      <c r="CG125" s="354"/>
      <c r="CH125" s="354"/>
      <c r="CI125" s="354"/>
      <c r="CJ125" s="354"/>
      <c r="CK125" s="354"/>
      <c r="CL125" s="354"/>
      <c r="CM125" s="693"/>
      <c r="CN125" s="693"/>
      <c r="CO125" s="693"/>
    </row>
    <row r="126" spans="2:93">
      <c r="B126" s="271">
        <f t="shared" si="53"/>
        <v>23</v>
      </c>
      <c r="C126" s="541">
        <f>+Base!AB$4</f>
        <v>84</v>
      </c>
      <c r="D126" s="541">
        <f>+Base!AB$5</f>
        <v>83</v>
      </c>
      <c r="E126" s="540">
        <f>+Base!AB$7</f>
        <v>2041</v>
      </c>
      <c r="F126" s="354">
        <f t="shared" si="127"/>
        <v>0</v>
      </c>
      <c r="G126" s="354">
        <f t="shared" si="127"/>
        <v>0</v>
      </c>
      <c r="H126" s="354">
        <f t="shared" si="127"/>
        <v>0</v>
      </c>
      <c r="I126" s="354">
        <f t="shared" si="127"/>
        <v>0</v>
      </c>
      <c r="J126" s="354">
        <f t="shared" si="127"/>
        <v>0</v>
      </c>
      <c r="K126" s="354">
        <f t="shared" si="127"/>
        <v>0</v>
      </c>
      <c r="M126" s="354">
        <f t="shared" ref="M126:W126" si="135">+M30-M78</f>
        <v>0</v>
      </c>
      <c r="N126" s="354">
        <f t="shared" si="135"/>
        <v>0</v>
      </c>
      <c r="O126" s="354">
        <f t="shared" si="135"/>
        <v>0</v>
      </c>
      <c r="P126" s="354">
        <f t="shared" si="135"/>
        <v>0</v>
      </c>
      <c r="Q126" s="354">
        <f t="shared" si="135"/>
        <v>0</v>
      </c>
      <c r="R126" s="354">
        <f t="shared" si="135"/>
        <v>0</v>
      </c>
      <c r="S126" s="354">
        <f t="shared" si="135"/>
        <v>0</v>
      </c>
      <c r="T126" s="354">
        <f t="shared" si="135"/>
        <v>0</v>
      </c>
      <c r="U126" s="354">
        <f t="shared" si="135"/>
        <v>0</v>
      </c>
      <c r="V126" s="354">
        <f t="shared" si="37"/>
        <v>0</v>
      </c>
      <c r="W126" s="354">
        <f t="shared" si="135"/>
        <v>0</v>
      </c>
      <c r="Y126" s="354">
        <f t="shared" si="129"/>
        <v>0</v>
      </c>
      <c r="Z126" s="354">
        <f t="shared" si="129"/>
        <v>0</v>
      </c>
      <c r="AA126" s="354">
        <f t="shared" si="129"/>
        <v>0</v>
      </c>
      <c r="AB126" s="354">
        <f t="shared" si="129"/>
        <v>0</v>
      </c>
      <c r="AC126" s="354">
        <f t="shared" si="129"/>
        <v>0</v>
      </c>
      <c r="AD126" s="354">
        <f t="shared" si="129"/>
        <v>0</v>
      </c>
      <c r="AE126" s="354">
        <f t="shared" si="129"/>
        <v>0</v>
      </c>
      <c r="AF126" s="354">
        <f t="shared" si="129"/>
        <v>0</v>
      </c>
      <c r="AG126" s="354">
        <f t="shared" si="129"/>
        <v>0</v>
      </c>
      <c r="AH126" s="354">
        <f t="shared" si="39"/>
        <v>0</v>
      </c>
      <c r="AI126" s="354">
        <f t="shared" si="129"/>
        <v>0</v>
      </c>
      <c r="AJ126" s="354">
        <f t="shared" si="129"/>
        <v>0</v>
      </c>
      <c r="AL126" s="354">
        <f t="shared" si="40"/>
        <v>0</v>
      </c>
      <c r="AN126" s="354">
        <f t="shared" ref="AN126:BR126" si="136">+AN30-AN78</f>
        <v>0</v>
      </c>
      <c r="AO126" s="354">
        <f t="shared" si="50"/>
        <v>0</v>
      </c>
      <c r="AP126" s="354">
        <f t="shared" si="136"/>
        <v>0</v>
      </c>
      <c r="AQ126" s="354">
        <f t="shared" si="136"/>
        <v>0</v>
      </c>
      <c r="AR126" s="354">
        <f t="shared" si="42"/>
        <v>0</v>
      </c>
      <c r="AS126" s="354">
        <f t="shared" si="42"/>
        <v>0</v>
      </c>
      <c r="AT126" s="354">
        <f t="shared" si="136"/>
        <v>0</v>
      </c>
      <c r="AU126" s="354">
        <f t="shared" si="136"/>
        <v>0</v>
      </c>
      <c r="AV126" s="354">
        <f t="shared" si="136"/>
        <v>0</v>
      </c>
      <c r="AW126" s="354">
        <f t="shared" si="136"/>
        <v>0</v>
      </c>
      <c r="AX126" s="354">
        <f t="shared" si="136"/>
        <v>0</v>
      </c>
      <c r="AY126" s="354">
        <f t="shared" si="136"/>
        <v>0</v>
      </c>
      <c r="AZ126" s="354">
        <f t="shared" si="136"/>
        <v>0</v>
      </c>
      <c r="BA126" s="354">
        <f t="shared" si="136"/>
        <v>0</v>
      </c>
      <c r="BB126" s="354">
        <f t="shared" si="136"/>
        <v>0</v>
      </c>
      <c r="BC126" s="354">
        <f t="shared" si="136"/>
        <v>0</v>
      </c>
      <c r="BD126" s="354">
        <f t="shared" si="136"/>
        <v>0</v>
      </c>
      <c r="BE126" s="354">
        <f t="shared" si="136"/>
        <v>0</v>
      </c>
      <c r="BF126" s="354">
        <f t="shared" si="136"/>
        <v>0</v>
      </c>
      <c r="BG126" s="354">
        <f t="shared" si="136"/>
        <v>0</v>
      </c>
      <c r="BH126" s="354">
        <f t="shared" si="136"/>
        <v>0</v>
      </c>
      <c r="BI126" s="354">
        <f t="shared" si="136"/>
        <v>0</v>
      </c>
      <c r="BJ126" s="354">
        <f t="shared" ref="BJ126" si="137">+BJ30-BJ78</f>
        <v>0</v>
      </c>
      <c r="BK126" s="354">
        <f t="shared" si="44"/>
        <v>0</v>
      </c>
      <c r="BL126" s="354">
        <f t="shared" si="136"/>
        <v>0</v>
      </c>
      <c r="BM126" s="354">
        <f t="shared" si="45"/>
        <v>0</v>
      </c>
      <c r="BN126" s="354">
        <f t="shared" si="136"/>
        <v>0</v>
      </c>
      <c r="BO126" s="354">
        <f t="shared" si="136"/>
        <v>0</v>
      </c>
      <c r="BP126" s="354">
        <f t="shared" si="136"/>
        <v>0</v>
      </c>
      <c r="BQ126" s="354">
        <f t="shared" si="52"/>
        <v>0</v>
      </c>
      <c r="BR126" s="354">
        <f t="shared" si="136"/>
        <v>0</v>
      </c>
      <c r="BS126" s="354"/>
      <c r="BT126" s="354">
        <f t="shared" si="46"/>
        <v>0</v>
      </c>
      <c r="BU126" s="354">
        <f t="shared" si="46"/>
        <v>0</v>
      </c>
      <c r="BV126" s="354">
        <f t="shared" si="46"/>
        <v>0</v>
      </c>
      <c r="BW126" s="354">
        <f t="shared" si="46"/>
        <v>0</v>
      </c>
      <c r="BX126" s="354">
        <f t="shared" si="46"/>
        <v>0</v>
      </c>
      <c r="BY126" s="354">
        <f t="shared" si="46"/>
        <v>0</v>
      </c>
      <c r="BZ126" s="354"/>
      <c r="CA126" s="354"/>
      <c r="CB126" s="354"/>
      <c r="CC126" s="354"/>
      <c r="CD126" s="354"/>
      <c r="CE126" s="354"/>
      <c r="CF126" s="354"/>
      <c r="CG126" s="354"/>
      <c r="CH126" s="354"/>
      <c r="CI126" s="354"/>
      <c r="CJ126" s="354"/>
      <c r="CK126" s="354"/>
      <c r="CL126" s="354"/>
      <c r="CM126" s="693"/>
      <c r="CN126" s="693"/>
      <c r="CO126" s="693"/>
    </row>
    <row r="127" spans="2:93">
      <c r="B127" s="271">
        <f t="shared" si="53"/>
        <v>24</v>
      </c>
      <c r="C127" s="541">
        <f>+Base!AC$4</f>
        <v>85</v>
      </c>
      <c r="D127" s="541">
        <f>+Base!AC$5</f>
        <v>84</v>
      </c>
      <c r="E127" s="540">
        <f>+Base!AC$7</f>
        <v>2042</v>
      </c>
      <c r="F127" s="354">
        <f t="shared" si="127"/>
        <v>0</v>
      </c>
      <c r="G127" s="354">
        <f t="shared" si="127"/>
        <v>0</v>
      </c>
      <c r="H127" s="354">
        <f t="shared" si="127"/>
        <v>0</v>
      </c>
      <c r="I127" s="354">
        <f t="shared" si="127"/>
        <v>0</v>
      </c>
      <c r="J127" s="354">
        <f t="shared" si="127"/>
        <v>0</v>
      </c>
      <c r="K127" s="354">
        <f t="shared" si="127"/>
        <v>0</v>
      </c>
      <c r="M127" s="354">
        <f t="shared" ref="M127:W127" si="138">+M31-M79</f>
        <v>0</v>
      </c>
      <c r="N127" s="354">
        <f t="shared" si="138"/>
        <v>0</v>
      </c>
      <c r="O127" s="354">
        <f t="shared" si="138"/>
        <v>0</v>
      </c>
      <c r="P127" s="354">
        <f t="shared" si="138"/>
        <v>0</v>
      </c>
      <c r="Q127" s="354">
        <f t="shared" si="138"/>
        <v>0</v>
      </c>
      <c r="R127" s="354">
        <f t="shared" si="138"/>
        <v>0</v>
      </c>
      <c r="S127" s="354">
        <f t="shared" si="138"/>
        <v>0</v>
      </c>
      <c r="T127" s="354">
        <f t="shared" si="138"/>
        <v>0</v>
      </c>
      <c r="U127" s="354">
        <f t="shared" si="138"/>
        <v>0</v>
      </c>
      <c r="V127" s="354">
        <f t="shared" si="37"/>
        <v>0</v>
      </c>
      <c r="W127" s="354">
        <f t="shared" si="138"/>
        <v>0</v>
      </c>
      <c r="Y127" s="354">
        <f t="shared" si="129"/>
        <v>0</v>
      </c>
      <c r="Z127" s="354">
        <f t="shared" si="129"/>
        <v>0</v>
      </c>
      <c r="AA127" s="354">
        <f t="shared" si="129"/>
        <v>0</v>
      </c>
      <c r="AB127" s="354">
        <f t="shared" si="129"/>
        <v>0</v>
      </c>
      <c r="AC127" s="354">
        <f t="shared" si="129"/>
        <v>0</v>
      </c>
      <c r="AD127" s="354">
        <f t="shared" si="129"/>
        <v>0</v>
      </c>
      <c r="AE127" s="354">
        <f t="shared" si="129"/>
        <v>0</v>
      </c>
      <c r="AF127" s="354">
        <f t="shared" si="129"/>
        <v>0</v>
      </c>
      <c r="AG127" s="354">
        <f t="shared" si="129"/>
        <v>0</v>
      </c>
      <c r="AH127" s="354">
        <f t="shared" si="39"/>
        <v>0</v>
      </c>
      <c r="AI127" s="354">
        <f t="shared" si="129"/>
        <v>0</v>
      </c>
      <c r="AJ127" s="354">
        <f t="shared" si="129"/>
        <v>0</v>
      </c>
      <c r="AL127" s="354">
        <f t="shared" si="40"/>
        <v>0</v>
      </c>
      <c r="AN127" s="354">
        <f t="shared" ref="AN127:BR127" si="139">+AN31-AN79</f>
        <v>0</v>
      </c>
      <c r="AO127" s="354">
        <f t="shared" si="50"/>
        <v>0</v>
      </c>
      <c r="AP127" s="354">
        <f t="shared" si="139"/>
        <v>0</v>
      </c>
      <c r="AQ127" s="354">
        <f t="shared" si="139"/>
        <v>0</v>
      </c>
      <c r="AR127" s="354">
        <f t="shared" si="42"/>
        <v>0</v>
      </c>
      <c r="AS127" s="354">
        <f t="shared" si="42"/>
        <v>0</v>
      </c>
      <c r="AT127" s="354">
        <f t="shared" si="139"/>
        <v>0</v>
      </c>
      <c r="AU127" s="354">
        <f t="shared" si="139"/>
        <v>0</v>
      </c>
      <c r="AV127" s="354">
        <f t="shared" si="139"/>
        <v>0</v>
      </c>
      <c r="AW127" s="354">
        <f t="shared" si="139"/>
        <v>0</v>
      </c>
      <c r="AX127" s="354">
        <f t="shared" si="139"/>
        <v>0</v>
      </c>
      <c r="AY127" s="354">
        <f t="shared" si="139"/>
        <v>0</v>
      </c>
      <c r="AZ127" s="354">
        <f t="shared" si="139"/>
        <v>0</v>
      </c>
      <c r="BA127" s="354">
        <f t="shared" si="139"/>
        <v>0</v>
      </c>
      <c r="BB127" s="354">
        <f t="shared" si="139"/>
        <v>0</v>
      </c>
      <c r="BC127" s="354">
        <f t="shared" si="139"/>
        <v>0</v>
      </c>
      <c r="BD127" s="354">
        <f t="shared" si="139"/>
        <v>0</v>
      </c>
      <c r="BE127" s="354">
        <f t="shared" si="139"/>
        <v>0</v>
      </c>
      <c r="BF127" s="354">
        <f t="shared" si="139"/>
        <v>0</v>
      </c>
      <c r="BG127" s="354">
        <f t="shared" si="139"/>
        <v>0</v>
      </c>
      <c r="BH127" s="354">
        <f t="shared" si="139"/>
        <v>0</v>
      </c>
      <c r="BI127" s="354">
        <f t="shared" si="139"/>
        <v>0</v>
      </c>
      <c r="BJ127" s="354">
        <f t="shared" ref="BJ127" si="140">+BJ31-BJ79</f>
        <v>0</v>
      </c>
      <c r="BK127" s="354">
        <f t="shared" si="44"/>
        <v>0</v>
      </c>
      <c r="BL127" s="354">
        <f t="shared" si="139"/>
        <v>0</v>
      </c>
      <c r="BM127" s="354">
        <f t="shared" si="45"/>
        <v>0</v>
      </c>
      <c r="BN127" s="354">
        <f t="shared" si="139"/>
        <v>0</v>
      </c>
      <c r="BO127" s="354">
        <f t="shared" si="139"/>
        <v>0</v>
      </c>
      <c r="BP127" s="354">
        <f t="shared" si="139"/>
        <v>0</v>
      </c>
      <c r="BQ127" s="354">
        <f t="shared" si="52"/>
        <v>0</v>
      </c>
      <c r="BR127" s="354">
        <f t="shared" si="139"/>
        <v>0</v>
      </c>
      <c r="BS127" s="354"/>
      <c r="BT127" s="354">
        <f t="shared" si="46"/>
        <v>0</v>
      </c>
      <c r="BU127" s="354">
        <f t="shared" si="46"/>
        <v>0</v>
      </c>
      <c r="BV127" s="354">
        <f t="shared" si="46"/>
        <v>0</v>
      </c>
      <c r="BW127" s="354">
        <f t="shared" si="46"/>
        <v>0</v>
      </c>
      <c r="BX127" s="354">
        <f t="shared" si="46"/>
        <v>0</v>
      </c>
      <c r="BY127" s="354">
        <f t="shared" si="46"/>
        <v>0</v>
      </c>
      <c r="BZ127" s="354"/>
      <c r="CA127" s="354"/>
      <c r="CB127" s="354"/>
      <c r="CC127" s="354"/>
      <c r="CD127" s="354"/>
      <c r="CE127" s="354"/>
      <c r="CF127" s="354"/>
      <c r="CG127" s="354"/>
      <c r="CH127" s="354"/>
      <c r="CI127" s="354"/>
      <c r="CJ127" s="354"/>
      <c r="CK127" s="354"/>
      <c r="CL127" s="354"/>
      <c r="CM127" s="693"/>
      <c r="CN127" s="693"/>
      <c r="CO127" s="693"/>
    </row>
    <row r="128" spans="2:93">
      <c r="B128" s="271">
        <f t="shared" si="53"/>
        <v>25</v>
      </c>
      <c r="C128" s="541">
        <f>+Base!AD$4</f>
        <v>86</v>
      </c>
      <c r="D128" s="541">
        <f>+Base!AD$5</f>
        <v>85</v>
      </c>
      <c r="E128" s="540">
        <f>+Base!AD$7</f>
        <v>2043</v>
      </c>
      <c r="F128" s="354">
        <f t="shared" si="127"/>
        <v>0</v>
      </c>
      <c r="G128" s="354">
        <f t="shared" si="127"/>
        <v>0</v>
      </c>
      <c r="H128" s="354">
        <f t="shared" si="127"/>
        <v>0</v>
      </c>
      <c r="I128" s="354">
        <f t="shared" si="127"/>
        <v>0</v>
      </c>
      <c r="J128" s="354">
        <f t="shared" si="127"/>
        <v>0</v>
      </c>
      <c r="K128" s="354">
        <f t="shared" si="127"/>
        <v>0</v>
      </c>
      <c r="M128" s="354">
        <f t="shared" ref="M128:W128" si="141">+M32-M80</f>
        <v>0</v>
      </c>
      <c r="N128" s="354">
        <f t="shared" si="141"/>
        <v>0</v>
      </c>
      <c r="O128" s="354">
        <f t="shared" si="141"/>
        <v>0</v>
      </c>
      <c r="P128" s="354">
        <f t="shared" si="141"/>
        <v>0</v>
      </c>
      <c r="Q128" s="354">
        <f t="shared" si="141"/>
        <v>0</v>
      </c>
      <c r="R128" s="354">
        <f t="shared" si="141"/>
        <v>0</v>
      </c>
      <c r="S128" s="354">
        <f t="shared" si="141"/>
        <v>0</v>
      </c>
      <c r="T128" s="354">
        <f t="shared" si="141"/>
        <v>0</v>
      </c>
      <c r="U128" s="354">
        <f t="shared" si="141"/>
        <v>0</v>
      </c>
      <c r="V128" s="354">
        <f t="shared" si="37"/>
        <v>0</v>
      </c>
      <c r="W128" s="354">
        <f t="shared" si="141"/>
        <v>0</v>
      </c>
      <c r="Y128" s="354">
        <f t="shared" si="129"/>
        <v>0</v>
      </c>
      <c r="Z128" s="354">
        <f t="shared" si="129"/>
        <v>0</v>
      </c>
      <c r="AA128" s="354">
        <f t="shared" si="129"/>
        <v>0</v>
      </c>
      <c r="AB128" s="354">
        <f t="shared" si="129"/>
        <v>0</v>
      </c>
      <c r="AC128" s="354">
        <f t="shared" si="129"/>
        <v>0</v>
      </c>
      <c r="AD128" s="354">
        <f t="shared" si="129"/>
        <v>0</v>
      </c>
      <c r="AE128" s="354">
        <f t="shared" si="129"/>
        <v>0</v>
      </c>
      <c r="AF128" s="354">
        <f t="shared" si="129"/>
        <v>0</v>
      </c>
      <c r="AG128" s="354">
        <f t="shared" si="129"/>
        <v>0</v>
      </c>
      <c r="AH128" s="354">
        <f t="shared" si="39"/>
        <v>0</v>
      </c>
      <c r="AI128" s="354">
        <f t="shared" si="129"/>
        <v>0</v>
      </c>
      <c r="AJ128" s="354">
        <f t="shared" si="129"/>
        <v>0</v>
      </c>
      <c r="AL128" s="354">
        <f t="shared" si="40"/>
        <v>0</v>
      </c>
      <c r="AN128" s="354">
        <f t="shared" ref="AN128:BR128" si="142">+AN32-AN80</f>
        <v>0</v>
      </c>
      <c r="AO128" s="354">
        <f t="shared" si="50"/>
        <v>0</v>
      </c>
      <c r="AP128" s="354">
        <f t="shared" si="142"/>
        <v>0</v>
      </c>
      <c r="AQ128" s="354">
        <f t="shared" si="142"/>
        <v>0</v>
      </c>
      <c r="AR128" s="354">
        <f t="shared" si="42"/>
        <v>0</v>
      </c>
      <c r="AS128" s="354">
        <f t="shared" si="42"/>
        <v>0</v>
      </c>
      <c r="AT128" s="354">
        <f t="shared" si="142"/>
        <v>0</v>
      </c>
      <c r="AU128" s="354">
        <f t="shared" si="142"/>
        <v>0</v>
      </c>
      <c r="AV128" s="354">
        <f t="shared" si="142"/>
        <v>0</v>
      </c>
      <c r="AW128" s="354">
        <f t="shared" si="142"/>
        <v>0</v>
      </c>
      <c r="AX128" s="354">
        <f t="shared" si="142"/>
        <v>0</v>
      </c>
      <c r="AY128" s="354">
        <f t="shared" si="142"/>
        <v>0</v>
      </c>
      <c r="AZ128" s="354">
        <f t="shared" si="142"/>
        <v>0</v>
      </c>
      <c r="BA128" s="354">
        <f t="shared" si="142"/>
        <v>0</v>
      </c>
      <c r="BB128" s="354">
        <f t="shared" si="142"/>
        <v>0</v>
      </c>
      <c r="BC128" s="354">
        <f t="shared" si="142"/>
        <v>0</v>
      </c>
      <c r="BD128" s="354">
        <f t="shared" si="142"/>
        <v>0</v>
      </c>
      <c r="BE128" s="354">
        <f t="shared" si="142"/>
        <v>0</v>
      </c>
      <c r="BF128" s="354">
        <f t="shared" si="142"/>
        <v>0</v>
      </c>
      <c r="BG128" s="354">
        <f t="shared" si="142"/>
        <v>0</v>
      </c>
      <c r="BH128" s="354">
        <f t="shared" si="142"/>
        <v>0</v>
      </c>
      <c r="BI128" s="354">
        <f t="shared" si="142"/>
        <v>0</v>
      </c>
      <c r="BJ128" s="354">
        <f t="shared" ref="BJ128" si="143">+BJ32-BJ80</f>
        <v>0</v>
      </c>
      <c r="BK128" s="354">
        <f t="shared" si="44"/>
        <v>0</v>
      </c>
      <c r="BL128" s="354">
        <f t="shared" si="142"/>
        <v>0</v>
      </c>
      <c r="BM128" s="354">
        <f t="shared" si="45"/>
        <v>0</v>
      </c>
      <c r="BN128" s="354">
        <f t="shared" si="142"/>
        <v>0</v>
      </c>
      <c r="BO128" s="354">
        <f t="shared" si="142"/>
        <v>0</v>
      </c>
      <c r="BP128" s="354">
        <f t="shared" si="142"/>
        <v>0</v>
      </c>
      <c r="BQ128" s="354">
        <f t="shared" si="52"/>
        <v>0</v>
      </c>
      <c r="BR128" s="354">
        <f t="shared" si="142"/>
        <v>0</v>
      </c>
      <c r="BS128" s="354"/>
      <c r="BT128" s="354">
        <f t="shared" si="46"/>
        <v>0</v>
      </c>
      <c r="BU128" s="354">
        <f t="shared" si="46"/>
        <v>0</v>
      </c>
      <c r="BV128" s="354">
        <f t="shared" si="46"/>
        <v>0</v>
      </c>
      <c r="BW128" s="354">
        <f t="shared" si="46"/>
        <v>0</v>
      </c>
      <c r="BX128" s="354">
        <f t="shared" si="46"/>
        <v>0</v>
      </c>
      <c r="BY128" s="354">
        <f t="shared" si="46"/>
        <v>0</v>
      </c>
      <c r="BZ128" s="354"/>
      <c r="CA128" s="354"/>
      <c r="CB128" s="354"/>
      <c r="CC128" s="354"/>
      <c r="CD128" s="354"/>
      <c r="CE128" s="354"/>
      <c r="CF128" s="354"/>
      <c r="CG128" s="354"/>
      <c r="CH128" s="354"/>
      <c r="CI128" s="354"/>
      <c r="CJ128" s="354"/>
      <c r="CK128" s="354"/>
      <c r="CL128" s="354"/>
      <c r="CM128" s="693"/>
      <c r="CN128" s="693"/>
      <c r="CO128" s="693"/>
    </row>
    <row r="129" spans="2:93">
      <c r="B129" s="271">
        <f t="shared" si="53"/>
        <v>26</v>
      </c>
      <c r="C129" s="541">
        <f>+Base!AE$4</f>
        <v>87</v>
      </c>
      <c r="D129" s="541">
        <f>+Base!AE$5</f>
        <v>86</v>
      </c>
      <c r="E129" s="540">
        <f>+Base!AE$7</f>
        <v>2044</v>
      </c>
      <c r="F129" s="354">
        <f t="shared" si="127"/>
        <v>0</v>
      </c>
      <c r="G129" s="354">
        <f t="shared" si="127"/>
        <v>0</v>
      </c>
      <c r="H129" s="354">
        <f t="shared" si="127"/>
        <v>0</v>
      </c>
      <c r="I129" s="354">
        <f t="shared" si="127"/>
        <v>0</v>
      </c>
      <c r="J129" s="354">
        <f t="shared" si="127"/>
        <v>0</v>
      </c>
      <c r="K129" s="354">
        <f t="shared" si="127"/>
        <v>0</v>
      </c>
      <c r="M129" s="354">
        <f t="shared" ref="M129:W129" si="144">+M33-M81</f>
        <v>0</v>
      </c>
      <c r="N129" s="354">
        <f t="shared" si="144"/>
        <v>0</v>
      </c>
      <c r="O129" s="354">
        <f t="shared" si="144"/>
        <v>0</v>
      </c>
      <c r="P129" s="354">
        <f t="shared" si="144"/>
        <v>0</v>
      </c>
      <c r="Q129" s="354">
        <f t="shared" si="144"/>
        <v>0</v>
      </c>
      <c r="R129" s="354">
        <f t="shared" si="144"/>
        <v>0</v>
      </c>
      <c r="S129" s="354">
        <f t="shared" si="144"/>
        <v>0</v>
      </c>
      <c r="T129" s="354">
        <f t="shared" si="144"/>
        <v>0</v>
      </c>
      <c r="U129" s="354">
        <f t="shared" si="144"/>
        <v>0</v>
      </c>
      <c r="V129" s="354">
        <f t="shared" si="37"/>
        <v>0</v>
      </c>
      <c r="W129" s="354">
        <f t="shared" si="144"/>
        <v>0</v>
      </c>
      <c r="Y129" s="354">
        <f t="shared" si="129"/>
        <v>0</v>
      </c>
      <c r="Z129" s="354">
        <f t="shared" si="129"/>
        <v>0</v>
      </c>
      <c r="AA129" s="354">
        <f t="shared" si="129"/>
        <v>0</v>
      </c>
      <c r="AB129" s="354">
        <f t="shared" si="129"/>
        <v>0</v>
      </c>
      <c r="AC129" s="354">
        <f t="shared" si="129"/>
        <v>0</v>
      </c>
      <c r="AD129" s="354">
        <f t="shared" si="129"/>
        <v>0</v>
      </c>
      <c r="AE129" s="354">
        <f t="shared" si="129"/>
        <v>0</v>
      </c>
      <c r="AF129" s="354">
        <f t="shared" si="129"/>
        <v>0</v>
      </c>
      <c r="AG129" s="354">
        <f t="shared" si="129"/>
        <v>0</v>
      </c>
      <c r="AH129" s="354">
        <f t="shared" si="39"/>
        <v>0</v>
      </c>
      <c r="AI129" s="354">
        <f t="shared" si="129"/>
        <v>0</v>
      </c>
      <c r="AJ129" s="354">
        <f t="shared" si="129"/>
        <v>0</v>
      </c>
      <c r="AL129" s="354">
        <f t="shared" si="40"/>
        <v>0</v>
      </c>
      <c r="AN129" s="354">
        <f t="shared" ref="AN129:BR129" si="145">+AN33-AN81</f>
        <v>0</v>
      </c>
      <c r="AO129" s="354">
        <f t="shared" si="50"/>
        <v>0</v>
      </c>
      <c r="AP129" s="354">
        <f t="shared" si="145"/>
        <v>0</v>
      </c>
      <c r="AQ129" s="354">
        <f t="shared" si="145"/>
        <v>0</v>
      </c>
      <c r="AR129" s="354">
        <f t="shared" si="42"/>
        <v>0</v>
      </c>
      <c r="AS129" s="354">
        <f t="shared" si="42"/>
        <v>0</v>
      </c>
      <c r="AT129" s="354">
        <f t="shared" si="145"/>
        <v>0</v>
      </c>
      <c r="AU129" s="354">
        <f t="shared" si="145"/>
        <v>0</v>
      </c>
      <c r="AV129" s="354">
        <f t="shared" si="145"/>
        <v>0</v>
      </c>
      <c r="AW129" s="354">
        <f t="shared" si="145"/>
        <v>0</v>
      </c>
      <c r="AX129" s="354">
        <f t="shared" si="145"/>
        <v>0</v>
      </c>
      <c r="AY129" s="354">
        <f t="shared" si="145"/>
        <v>0</v>
      </c>
      <c r="AZ129" s="354">
        <f t="shared" si="145"/>
        <v>0</v>
      </c>
      <c r="BA129" s="354">
        <f t="shared" si="145"/>
        <v>0</v>
      </c>
      <c r="BB129" s="354">
        <f t="shared" si="145"/>
        <v>0</v>
      </c>
      <c r="BC129" s="354">
        <f t="shared" si="145"/>
        <v>0</v>
      </c>
      <c r="BD129" s="354">
        <f t="shared" si="145"/>
        <v>0</v>
      </c>
      <c r="BE129" s="354">
        <f t="shared" si="145"/>
        <v>0</v>
      </c>
      <c r="BF129" s="354">
        <f t="shared" si="145"/>
        <v>0</v>
      </c>
      <c r="BG129" s="354">
        <f t="shared" si="145"/>
        <v>0</v>
      </c>
      <c r="BH129" s="354">
        <f t="shared" si="145"/>
        <v>0</v>
      </c>
      <c r="BI129" s="354">
        <f t="shared" si="145"/>
        <v>0</v>
      </c>
      <c r="BJ129" s="354">
        <f t="shared" ref="BJ129" si="146">+BJ33-BJ81</f>
        <v>0</v>
      </c>
      <c r="BK129" s="354">
        <f t="shared" si="44"/>
        <v>0</v>
      </c>
      <c r="BL129" s="354">
        <f t="shared" si="145"/>
        <v>0</v>
      </c>
      <c r="BM129" s="354">
        <f t="shared" si="45"/>
        <v>0</v>
      </c>
      <c r="BN129" s="354">
        <f t="shared" si="145"/>
        <v>0</v>
      </c>
      <c r="BO129" s="354">
        <f t="shared" si="145"/>
        <v>0</v>
      </c>
      <c r="BP129" s="354">
        <f t="shared" si="145"/>
        <v>0</v>
      </c>
      <c r="BQ129" s="354">
        <f t="shared" si="52"/>
        <v>0</v>
      </c>
      <c r="BR129" s="354">
        <f t="shared" si="145"/>
        <v>0</v>
      </c>
      <c r="BS129" s="354"/>
      <c r="BT129" s="354">
        <f t="shared" si="46"/>
        <v>0</v>
      </c>
      <c r="BU129" s="354">
        <f t="shared" si="46"/>
        <v>0</v>
      </c>
      <c r="BV129" s="354">
        <f t="shared" si="46"/>
        <v>0</v>
      </c>
      <c r="BW129" s="354">
        <f t="shared" si="46"/>
        <v>0</v>
      </c>
      <c r="BX129" s="354">
        <f t="shared" si="46"/>
        <v>0</v>
      </c>
      <c r="BY129" s="354">
        <f t="shared" si="46"/>
        <v>0</v>
      </c>
      <c r="BZ129" s="354"/>
      <c r="CA129" s="354"/>
      <c r="CB129" s="354"/>
      <c r="CC129" s="354"/>
      <c r="CD129" s="354"/>
      <c r="CE129" s="354"/>
      <c r="CF129" s="354"/>
      <c r="CG129" s="354"/>
      <c r="CH129" s="354"/>
      <c r="CI129" s="354"/>
      <c r="CJ129" s="354"/>
      <c r="CK129" s="354"/>
      <c r="CL129" s="354"/>
      <c r="CM129" s="693"/>
      <c r="CN129" s="693"/>
      <c r="CO129" s="693"/>
    </row>
    <row r="130" spans="2:93">
      <c r="B130" s="271">
        <f t="shared" si="53"/>
        <v>27</v>
      </c>
      <c r="C130" s="541">
        <f>+Base!AF$4</f>
        <v>88</v>
      </c>
      <c r="D130" s="541">
        <f>+Base!AF$5</f>
        <v>87</v>
      </c>
      <c r="E130" s="540">
        <f>+Base!AF$7</f>
        <v>2045</v>
      </c>
      <c r="F130" s="354">
        <f t="shared" si="127"/>
        <v>0</v>
      </c>
      <c r="G130" s="354">
        <f t="shared" si="127"/>
        <v>0</v>
      </c>
      <c r="H130" s="354">
        <f t="shared" si="127"/>
        <v>0</v>
      </c>
      <c r="I130" s="354">
        <f t="shared" si="127"/>
        <v>0</v>
      </c>
      <c r="J130" s="354">
        <f t="shared" si="127"/>
        <v>0</v>
      </c>
      <c r="K130" s="354">
        <f t="shared" si="127"/>
        <v>0</v>
      </c>
      <c r="M130" s="354">
        <f t="shared" ref="M130:W130" si="147">+M34-M82</f>
        <v>0</v>
      </c>
      <c r="N130" s="354">
        <f t="shared" si="147"/>
        <v>0</v>
      </c>
      <c r="O130" s="354">
        <f t="shared" si="147"/>
        <v>0</v>
      </c>
      <c r="P130" s="354">
        <f t="shared" si="147"/>
        <v>0</v>
      </c>
      <c r="Q130" s="354">
        <f t="shared" si="147"/>
        <v>0</v>
      </c>
      <c r="R130" s="354">
        <f t="shared" si="147"/>
        <v>0</v>
      </c>
      <c r="S130" s="354">
        <f t="shared" si="147"/>
        <v>0</v>
      </c>
      <c r="T130" s="354">
        <f t="shared" si="147"/>
        <v>0</v>
      </c>
      <c r="U130" s="354">
        <f t="shared" si="147"/>
        <v>0</v>
      </c>
      <c r="V130" s="354">
        <f t="shared" si="37"/>
        <v>0</v>
      </c>
      <c r="W130" s="354">
        <f t="shared" si="147"/>
        <v>0</v>
      </c>
      <c r="Y130" s="354">
        <f t="shared" si="129"/>
        <v>0</v>
      </c>
      <c r="Z130" s="354">
        <f t="shared" si="129"/>
        <v>0</v>
      </c>
      <c r="AA130" s="354">
        <f t="shared" si="129"/>
        <v>0</v>
      </c>
      <c r="AB130" s="354">
        <f t="shared" si="129"/>
        <v>0</v>
      </c>
      <c r="AC130" s="354">
        <f t="shared" si="129"/>
        <v>0</v>
      </c>
      <c r="AD130" s="354">
        <f t="shared" si="129"/>
        <v>0</v>
      </c>
      <c r="AE130" s="354">
        <f t="shared" si="129"/>
        <v>0</v>
      </c>
      <c r="AF130" s="354">
        <f t="shared" si="129"/>
        <v>0</v>
      </c>
      <c r="AG130" s="354">
        <f t="shared" si="129"/>
        <v>0</v>
      </c>
      <c r="AH130" s="354">
        <f t="shared" si="39"/>
        <v>0</v>
      </c>
      <c r="AI130" s="354">
        <f t="shared" si="129"/>
        <v>0</v>
      </c>
      <c r="AJ130" s="354">
        <f t="shared" si="129"/>
        <v>0</v>
      </c>
      <c r="AL130" s="354">
        <f t="shared" si="40"/>
        <v>0</v>
      </c>
      <c r="AN130" s="354">
        <f t="shared" ref="AN130:BR130" si="148">+AN34-AN82</f>
        <v>0</v>
      </c>
      <c r="AO130" s="354">
        <f t="shared" si="50"/>
        <v>0</v>
      </c>
      <c r="AP130" s="354">
        <f t="shared" si="148"/>
        <v>0</v>
      </c>
      <c r="AQ130" s="354">
        <f t="shared" si="148"/>
        <v>0</v>
      </c>
      <c r="AR130" s="354">
        <f t="shared" si="42"/>
        <v>0</v>
      </c>
      <c r="AS130" s="354">
        <f t="shared" si="42"/>
        <v>0</v>
      </c>
      <c r="AT130" s="354">
        <f t="shared" si="148"/>
        <v>0</v>
      </c>
      <c r="AU130" s="354">
        <f t="shared" si="148"/>
        <v>0</v>
      </c>
      <c r="AV130" s="354">
        <f t="shared" si="148"/>
        <v>0</v>
      </c>
      <c r="AW130" s="354">
        <f t="shared" si="148"/>
        <v>0</v>
      </c>
      <c r="AX130" s="354">
        <f t="shared" si="148"/>
        <v>0</v>
      </c>
      <c r="AY130" s="354">
        <f t="shared" si="148"/>
        <v>0</v>
      </c>
      <c r="AZ130" s="354">
        <f t="shared" si="148"/>
        <v>0</v>
      </c>
      <c r="BA130" s="354">
        <f t="shared" si="148"/>
        <v>0</v>
      </c>
      <c r="BB130" s="354">
        <f t="shared" si="148"/>
        <v>0</v>
      </c>
      <c r="BC130" s="354">
        <f t="shared" si="148"/>
        <v>0</v>
      </c>
      <c r="BD130" s="354">
        <f t="shared" si="148"/>
        <v>0</v>
      </c>
      <c r="BE130" s="354">
        <f t="shared" si="148"/>
        <v>0</v>
      </c>
      <c r="BF130" s="354">
        <f t="shared" si="148"/>
        <v>0</v>
      </c>
      <c r="BG130" s="354">
        <f t="shared" si="148"/>
        <v>0</v>
      </c>
      <c r="BH130" s="354">
        <f t="shared" si="148"/>
        <v>0</v>
      </c>
      <c r="BI130" s="354">
        <f t="shared" si="148"/>
        <v>0</v>
      </c>
      <c r="BJ130" s="354">
        <f t="shared" ref="BJ130" si="149">+BJ34-BJ82</f>
        <v>0</v>
      </c>
      <c r="BK130" s="354">
        <f t="shared" si="44"/>
        <v>0</v>
      </c>
      <c r="BL130" s="354">
        <f t="shared" si="148"/>
        <v>0</v>
      </c>
      <c r="BM130" s="354">
        <f t="shared" si="45"/>
        <v>0</v>
      </c>
      <c r="BN130" s="354">
        <f t="shared" si="148"/>
        <v>0</v>
      </c>
      <c r="BO130" s="354">
        <f t="shared" si="148"/>
        <v>0</v>
      </c>
      <c r="BP130" s="354">
        <f t="shared" si="148"/>
        <v>0</v>
      </c>
      <c r="BQ130" s="354">
        <f t="shared" si="52"/>
        <v>0</v>
      </c>
      <c r="BR130" s="354">
        <f t="shared" si="148"/>
        <v>0</v>
      </c>
      <c r="BS130" s="354"/>
      <c r="BT130" s="354">
        <f t="shared" si="46"/>
        <v>0</v>
      </c>
      <c r="BU130" s="354">
        <f t="shared" si="46"/>
        <v>0</v>
      </c>
      <c r="BV130" s="354">
        <f t="shared" si="46"/>
        <v>0</v>
      </c>
      <c r="BW130" s="354">
        <f t="shared" si="46"/>
        <v>0</v>
      </c>
      <c r="BX130" s="354">
        <f t="shared" si="46"/>
        <v>0</v>
      </c>
      <c r="BY130" s="354">
        <f t="shared" si="46"/>
        <v>0</v>
      </c>
      <c r="BZ130" s="354"/>
      <c r="CA130" s="354"/>
      <c r="CB130" s="354"/>
      <c r="CC130" s="354"/>
      <c r="CD130" s="354"/>
      <c r="CE130" s="354"/>
      <c r="CF130" s="354"/>
      <c r="CG130" s="354"/>
      <c r="CH130" s="354"/>
      <c r="CI130" s="354"/>
      <c r="CJ130" s="354"/>
      <c r="CK130" s="354"/>
      <c r="CL130" s="354"/>
      <c r="CM130" s="693"/>
      <c r="CN130" s="693"/>
      <c r="CO130" s="693"/>
    </row>
    <row r="131" spans="2:93">
      <c r="B131" s="271">
        <f t="shared" si="53"/>
        <v>28</v>
      </c>
      <c r="C131" s="541">
        <f>+Base!AG$4</f>
        <v>89</v>
      </c>
      <c r="D131" s="541">
        <f>+Base!AG$5</f>
        <v>88</v>
      </c>
      <c r="E131" s="540">
        <f>+Base!AG$7</f>
        <v>2046</v>
      </c>
      <c r="F131" s="354">
        <f t="shared" si="127"/>
        <v>0</v>
      </c>
      <c r="G131" s="354">
        <f t="shared" si="127"/>
        <v>0</v>
      </c>
      <c r="H131" s="354">
        <f t="shared" si="127"/>
        <v>0</v>
      </c>
      <c r="I131" s="354">
        <f t="shared" si="127"/>
        <v>0</v>
      </c>
      <c r="J131" s="354">
        <f t="shared" si="127"/>
        <v>0</v>
      </c>
      <c r="K131" s="354">
        <f t="shared" si="127"/>
        <v>0</v>
      </c>
      <c r="M131" s="354">
        <f t="shared" ref="M131:W131" si="150">+M35-M83</f>
        <v>0</v>
      </c>
      <c r="N131" s="354">
        <f t="shared" si="150"/>
        <v>0</v>
      </c>
      <c r="O131" s="354">
        <f t="shared" si="150"/>
        <v>0</v>
      </c>
      <c r="P131" s="354">
        <f t="shared" si="150"/>
        <v>0</v>
      </c>
      <c r="Q131" s="354">
        <f t="shared" si="150"/>
        <v>0</v>
      </c>
      <c r="R131" s="354">
        <f t="shared" si="150"/>
        <v>0</v>
      </c>
      <c r="S131" s="354">
        <f t="shared" si="150"/>
        <v>0</v>
      </c>
      <c r="T131" s="354">
        <f t="shared" si="150"/>
        <v>0</v>
      </c>
      <c r="U131" s="354">
        <f t="shared" si="150"/>
        <v>0</v>
      </c>
      <c r="V131" s="354">
        <f t="shared" si="37"/>
        <v>0</v>
      </c>
      <c r="W131" s="354">
        <f t="shared" si="150"/>
        <v>0</v>
      </c>
      <c r="Y131" s="354">
        <f t="shared" si="129"/>
        <v>0</v>
      </c>
      <c r="Z131" s="354">
        <f t="shared" si="129"/>
        <v>0</v>
      </c>
      <c r="AA131" s="354">
        <f t="shared" si="129"/>
        <v>0</v>
      </c>
      <c r="AB131" s="354">
        <f t="shared" si="129"/>
        <v>0</v>
      </c>
      <c r="AC131" s="354">
        <f t="shared" si="129"/>
        <v>0</v>
      </c>
      <c r="AD131" s="354">
        <f t="shared" si="129"/>
        <v>0</v>
      </c>
      <c r="AE131" s="354">
        <f t="shared" si="129"/>
        <v>0</v>
      </c>
      <c r="AF131" s="354">
        <f t="shared" si="129"/>
        <v>0</v>
      </c>
      <c r="AG131" s="354">
        <f t="shared" si="129"/>
        <v>0</v>
      </c>
      <c r="AH131" s="354">
        <f t="shared" si="39"/>
        <v>0</v>
      </c>
      <c r="AI131" s="354">
        <f t="shared" si="129"/>
        <v>0</v>
      </c>
      <c r="AJ131" s="354">
        <f t="shared" si="129"/>
        <v>0</v>
      </c>
      <c r="AL131" s="354">
        <f t="shared" si="40"/>
        <v>0</v>
      </c>
      <c r="AN131" s="354">
        <f t="shared" ref="AN131:BR131" si="151">+AN35-AN83</f>
        <v>0</v>
      </c>
      <c r="AO131" s="354">
        <f t="shared" si="50"/>
        <v>0</v>
      </c>
      <c r="AP131" s="354">
        <f t="shared" si="151"/>
        <v>0</v>
      </c>
      <c r="AQ131" s="354">
        <f t="shared" si="151"/>
        <v>0</v>
      </c>
      <c r="AR131" s="354">
        <f t="shared" si="42"/>
        <v>0</v>
      </c>
      <c r="AS131" s="354">
        <f t="shared" si="42"/>
        <v>0</v>
      </c>
      <c r="AT131" s="354">
        <f t="shared" si="151"/>
        <v>0</v>
      </c>
      <c r="AU131" s="354">
        <f t="shared" si="151"/>
        <v>0</v>
      </c>
      <c r="AV131" s="354">
        <f t="shared" si="151"/>
        <v>0</v>
      </c>
      <c r="AW131" s="354">
        <f t="shared" si="151"/>
        <v>0</v>
      </c>
      <c r="AX131" s="354">
        <f t="shared" si="151"/>
        <v>0</v>
      </c>
      <c r="AY131" s="354">
        <f t="shared" si="151"/>
        <v>0</v>
      </c>
      <c r="AZ131" s="354">
        <f t="shared" si="151"/>
        <v>0</v>
      </c>
      <c r="BA131" s="354">
        <f t="shared" si="151"/>
        <v>0</v>
      </c>
      <c r="BB131" s="354">
        <f t="shared" si="151"/>
        <v>0</v>
      </c>
      <c r="BC131" s="354">
        <f t="shared" si="151"/>
        <v>0</v>
      </c>
      <c r="BD131" s="354">
        <f t="shared" si="151"/>
        <v>0</v>
      </c>
      <c r="BE131" s="354">
        <f t="shared" si="151"/>
        <v>0</v>
      </c>
      <c r="BF131" s="354">
        <f t="shared" si="151"/>
        <v>0</v>
      </c>
      <c r="BG131" s="354">
        <f t="shared" si="151"/>
        <v>0</v>
      </c>
      <c r="BH131" s="354">
        <f t="shared" si="151"/>
        <v>0</v>
      </c>
      <c r="BI131" s="354">
        <f t="shared" si="151"/>
        <v>0</v>
      </c>
      <c r="BJ131" s="354">
        <f t="shared" ref="BJ131" si="152">+BJ35-BJ83</f>
        <v>0</v>
      </c>
      <c r="BK131" s="354">
        <f t="shared" si="44"/>
        <v>0</v>
      </c>
      <c r="BL131" s="354">
        <f t="shared" si="151"/>
        <v>0</v>
      </c>
      <c r="BM131" s="354">
        <f t="shared" si="45"/>
        <v>0</v>
      </c>
      <c r="BN131" s="354">
        <f t="shared" si="151"/>
        <v>0</v>
      </c>
      <c r="BO131" s="354">
        <f t="shared" si="151"/>
        <v>0</v>
      </c>
      <c r="BP131" s="354">
        <f t="shared" si="151"/>
        <v>0</v>
      </c>
      <c r="BQ131" s="354">
        <f t="shared" si="52"/>
        <v>0</v>
      </c>
      <c r="BR131" s="354">
        <f t="shared" si="151"/>
        <v>0</v>
      </c>
      <c r="BS131" s="354"/>
      <c r="BT131" s="354">
        <f t="shared" si="46"/>
        <v>0</v>
      </c>
      <c r="BU131" s="354">
        <f t="shared" si="46"/>
        <v>0</v>
      </c>
      <c r="BV131" s="354">
        <f t="shared" si="46"/>
        <v>0</v>
      </c>
      <c r="BW131" s="354">
        <f t="shared" si="46"/>
        <v>0</v>
      </c>
      <c r="BX131" s="354">
        <f t="shared" si="46"/>
        <v>0</v>
      </c>
      <c r="BY131" s="354">
        <f t="shared" si="46"/>
        <v>0</v>
      </c>
      <c r="BZ131" s="354"/>
      <c r="CA131" s="354"/>
      <c r="CB131" s="354"/>
      <c r="CC131" s="354"/>
      <c r="CD131" s="354"/>
      <c r="CE131" s="354"/>
      <c r="CF131" s="354"/>
      <c r="CG131" s="354"/>
      <c r="CH131" s="354"/>
      <c r="CI131" s="354"/>
      <c r="CJ131" s="354"/>
      <c r="CK131" s="354"/>
      <c r="CL131" s="354"/>
      <c r="CM131" s="693"/>
      <c r="CN131" s="693"/>
      <c r="CO131" s="693"/>
    </row>
    <row r="132" spans="2:93">
      <c r="B132" s="271">
        <f t="shared" si="53"/>
        <v>29</v>
      </c>
      <c r="C132" s="541">
        <f>+Base!AH$4</f>
        <v>90</v>
      </c>
      <c r="D132" s="541">
        <f>+Base!AH$5</f>
        <v>89</v>
      </c>
      <c r="E132" s="540">
        <f>+Base!AH$7</f>
        <v>2047</v>
      </c>
      <c r="F132" s="354">
        <f t="shared" si="127"/>
        <v>0</v>
      </c>
      <c r="G132" s="354">
        <f t="shared" si="127"/>
        <v>0</v>
      </c>
      <c r="H132" s="354">
        <f t="shared" si="127"/>
        <v>0</v>
      </c>
      <c r="I132" s="354">
        <f t="shared" si="127"/>
        <v>0</v>
      </c>
      <c r="J132" s="354">
        <f t="shared" si="127"/>
        <v>0</v>
      </c>
      <c r="K132" s="354">
        <f t="shared" si="127"/>
        <v>0</v>
      </c>
      <c r="M132" s="354">
        <f t="shared" ref="M132:W132" si="153">+M36-M84</f>
        <v>0</v>
      </c>
      <c r="N132" s="354">
        <f t="shared" si="153"/>
        <v>0</v>
      </c>
      <c r="O132" s="354">
        <f t="shared" si="153"/>
        <v>0</v>
      </c>
      <c r="P132" s="354">
        <f t="shared" si="153"/>
        <v>0</v>
      </c>
      <c r="Q132" s="354">
        <f t="shared" si="153"/>
        <v>0</v>
      </c>
      <c r="R132" s="354">
        <f t="shared" si="153"/>
        <v>0</v>
      </c>
      <c r="S132" s="354">
        <f t="shared" si="153"/>
        <v>0</v>
      </c>
      <c r="T132" s="354">
        <f t="shared" si="153"/>
        <v>0</v>
      </c>
      <c r="U132" s="354">
        <f t="shared" si="153"/>
        <v>0</v>
      </c>
      <c r="V132" s="354">
        <f t="shared" si="37"/>
        <v>0</v>
      </c>
      <c r="W132" s="354">
        <f t="shared" si="153"/>
        <v>0</v>
      </c>
      <c r="Y132" s="354">
        <f t="shared" si="129"/>
        <v>0</v>
      </c>
      <c r="Z132" s="354">
        <f t="shared" si="129"/>
        <v>0</v>
      </c>
      <c r="AA132" s="354">
        <f t="shared" si="129"/>
        <v>0</v>
      </c>
      <c r="AB132" s="354">
        <f t="shared" si="129"/>
        <v>0</v>
      </c>
      <c r="AC132" s="354">
        <f t="shared" si="129"/>
        <v>0</v>
      </c>
      <c r="AD132" s="354">
        <f t="shared" si="129"/>
        <v>0</v>
      </c>
      <c r="AE132" s="354">
        <f t="shared" si="129"/>
        <v>0</v>
      </c>
      <c r="AF132" s="354">
        <f t="shared" si="129"/>
        <v>0</v>
      </c>
      <c r="AG132" s="354">
        <f t="shared" si="129"/>
        <v>0</v>
      </c>
      <c r="AH132" s="354">
        <f t="shared" si="39"/>
        <v>0</v>
      </c>
      <c r="AI132" s="354">
        <f t="shared" si="129"/>
        <v>0</v>
      </c>
      <c r="AJ132" s="354">
        <f t="shared" si="129"/>
        <v>0</v>
      </c>
      <c r="AL132" s="354">
        <f t="shared" si="40"/>
        <v>0</v>
      </c>
      <c r="AN132" s="354">
        <f t="shared" ref="AN132:BR132" si="154">+AN36-AN84</f>
        <v>0</v>
      </c>
      <c r="AO132" s="354">
        <f t="shared" si="50"/>
        <v>0</v>
      </c>
      <c r="AP132" s="354">
        <f t="shared" si="154"/>
        <v>0</v>
      </c>
      <c r="AQ132" s="354">
        <f t="shared" si="154"/>
        <v>0</v>
      </c>
      <c r="AR132" s="354">
        <f t="shared" si="42"/>
        <v>0</v>
      </c>
      <c r="AS132" s="354">
        <f t="shared" si="42"/>
        <v>0</v>
      </c>
      <c r="AT132" s="354">
        <f t="shared" si="154"/>
        <v>0</v>
      </c>
      <c r="AU132" s="354">
        <f t="shared" si="154"/>
        <v>0</v>
      </c>
      <c r="AV132" s="354">
        <f t="shared" si="154"/>
        <v>0</v>
      </c>
      <c r="AW132" s="354">
        <f t="shared" si="154"/>
        <v>0</v>
      </c>
      <c r="AX132" s="354">
        <f t="shared" si="154"/>
        <v>0</v>
      </c>
      <c r="AY132" s="354">
        <f t="shared" si="154"/>
        <v>0</v>
      </c>
      <c r="AZ132" s="354">
        <f t="shared" si="154"/>
        <v>0</v>
      </c>
      <c r="BA132" s="354">
        <f t="shared" si="154"/>
        <v>0</v>
      </c>
      <c r="BB132" s="354">
        <f t="shared" si="154"/>
        <v>0</v>
      </c>
      <c r="BC132" s="354">
        <f t="shared" si="154"/>
        <v>0</v>
      </c>
      <c r="BD132" s="354">
        <f t="shared" si="154"/>
        <v>0</v>
      </c>
      <c r="BE132" s="354">
        <f t="shared" si="154"/>
        <v>0</v>
      </c>
      <c r="BF132" s="354">
        <f t="shared" si="154"/>
        <v>0</v>
      </c>
      <c r="BG132" s="354">
        <f t="shared" si="154"/>
        <v>0</v>
      </c>
      <c r="BH132" s="354">
        <f t="shared" si="154"/>
        <v>0</v>
      </c>
      <c r="BI132" s="354">
        <f t="shared" si="154"/>
        <v>0</v>
      </c>
      <c r="BJ132" s="354">
        <f t="shared" ref="BJ132" si="155">+BJ36-BJ84</f>
        <v>0</v>
      </c>
      <c r="BK132" s="354">
        <f t="shared" si="44"/>
        <v>0</v>
      </c>
      <c r="BL132" s="354">
        <f t="shared" si="154"/>
        <v>0</v>
      </c>
      <c r="BM132" s="354">
        <f t="shared" si="45"/>
        <v>0</v>
      </c>
      <c r="BN132" s="354">
        <f t="shared" si="154"/>
        <v>0</v>
      </c>
      <c r="BO132" s="354">
        <f t="shared" si="154"/>
        <v>0</v>
      </c>
      <c r="BP132" s="354">
        <f t="shared" si="154"/>
        <v>0</v>
      </c>
      <c r="BQ132" s="354">
        <f t="shared" si="52"/>
        <v>0</v>
      </c>
      <c r="BR132" s="354">
        <f t="shared" si="154"/>
        <v>0</v>
      </c>
      <c r="BS132" s="354"/>
      <c r="BT132" s="354">
        <f t="shared" si="46"/>
        <v>0</v>
      </c>
      <c r="BU132" s="354">
        <f t="shared" si="46"/>
        <v>0</v>
      </c>
      <c r="BV132" s="354">
        <f t="shared" si="46"/>
        <v>0</v>
      </c>
      <c r="BW132" s="354">
        <f t="shared" si="46"/>
        <v>0</v>
      </c>
      <c r="BX132" s="354">
        <f t="shared" si="46"/>
        <v>0</v>
      </c>
      <c r="BY132" s="354">
        <f t="shared" si="46"/>
        <v>0</v>
      </c>
      <c r="BZ132" s="354"/>
      <c r="CA132" s="354"/>
      <c r="CB132" s="354"/>
      <c r="CC132" s="354"/>
      <c r="CD132" s="354"/>
      <c r="CE132" s="354"/>
      <c r="CF132" s="354"/>
      <c r="CG132" s="354"/>
      <c r="CH132" s="354"/>
      <c r="CI132" s="354"/>
      <c r="CJ132" s="354"/>
      <c r="CK132" s="354"/>
      <c r="CL132" s="354"/>
      <c r="CM132" s="693"/>
      <c r="CN132" s="693"/>
      <c r="CO132" s="693"/>
    </row>
    <row r="133" spans="2:93">
      <c r="B133" s="271">
        <f t="shared" si="53"/>
        <v>30</v>
      </c>
      <c r="C133" s="541">
        <f>+Base!AI$4</f>
        <v>91</v>
      </c>
      <c r="D133" s="541">
        <f>+Base!AI$5</f>
        <v>90</v>
      </c>
      <c r="E133" s="540">
        <f>+Base!AI$7</f>
        <v>2048</v>
      </c>
      <c r="F133" s="354">
        <f t="shared" si="127"/>
        <v>0</v>
      </c>
      <c r="G133" s="354">
        <f t="shared" si="127"/>
        <v>0</v>
      </c>
      <c r="H133" s="354">
        <f t="shared" si="127"/>
        <v>0</v>
      </c>
      <c r="I133" s="354">
        <f t="shared" si="127"/>
        <v>0</v>
      </c>
      <c r="J133" s="354">
        <f t="shared" si="127"/>
        <v>0</v>
      </c>
      <c r="K133" s="354">
        <f t="shared" si="127"/>
        <v>0</v>
      </c>
      <c r="M133" s="354">
        <f t="shared" ref="M133:W133" si="156">+M37-M85</f>
        <v>0</v>
      </c>
      <c r="N133" s="354">
        <f t="shared" si="156"/>
        <v>0</v>
      </c>
      <c r="O133" s="354">
        <f t="shared" si="156"/>
        <v>0</v>
      </c>
      <c r="P133" s="354">
        <f t="shared" si="156"/>
        <v>0</v>
      </c>
      <c r="Q133" s="354">
        <f t="shared" si="156"/>
        <v>0</v>
      </c>
      <c r="R133" s="354">
        <f t="shared" si="156"/>
        <v>0</v>
      </c>
      <c r="S133" s="354">
        <f t="shared" si="156"/>
        <v>0</v>
      </c>
      <c r="T133" s="354">
        <f t="shared" si="156"/>
        <v>0</v>
      </c>
      <c r="U133" s="354">
        <f t="shared" si="156"/>
        <v>0</v>
      </c>
      <c r="V133" s="354">
        <f t="shared" si="37"/>
        <v>0</v>
      </c>
      <c r="W133" s="354">
        <f t="shared" si="156"/>
        <v>0</v>
      </c>
      <c r="Y133" s="354">
        <f t="shared" si="129"/>
        <v>0</v>
      </c>
      <c r="Z133" s="354">
        <f t="shared" si="129"/>
        <v>0</v>
      </c>
      <c r="AA133" s="354">
        <f t="shared" si="129"/>
        <v>0</v>
      </c>
      <c r="AB133" s="354">
        <f t="shared" si="129"/>
        <v>0</v>
      </c>
      <c r="AC133" s="354">
        <f t="shared" si="129"/>
        <v>0</v>
      </c>
      <c r="AD133" s="354">
        <f t="shared" si="129"/>
        <v>0</v>
      </c>
      <c r="AE133" s="354">
        <f t="shared" si="129"/>
        <v>0</v>
      </c>
      <c r="AF133" s="354">
        <f t="shared" si="129"/>
        <v>0</v>
      </c>
      <c r="AG133" s="354">
        <f t="shared" si="129"/>
        <v>0</v>
      </c>
      <c r="AH133" s="354">
        <f t="shared" si="39"/>
        <v>0</v>
      </c>
      <c r="AI133" s="354">
        <f t="shared" si="129"/>
        <v>0</v>
      </c>
      <c r="AJ133" s="354">
        <f t="shared" si="129"/>
        <v>0</v>
      </c>
      <c r="AL133" s="354">
        <f t="shared" si="40"/>
        <v>0</v>
      </c>
      <c r="AN133" s="354">
        <f t="shared" ref="AN133:BR133" si="157">+AN37-AN85</f>
        <v>0</v>
      </c>
      <c r="AO133" s="354">
        <f t="shared" si="50"/>
        <v>0</v>
      </c>
      <c r="AP133" s="354">
        <f t="shared" si="157"/>
        <v>0</v>
      </c>
      <c r="AQ133" s="354">
        <f t="shared" si="157"/>
        <v>0</v>
      </c>
      <c r="AR133" s="354">
        <f t="shared" si="42"/>
        <v>0</v>
      </c>
      <c r="AS133" s="354">
        <f t="shared" si="42"/>
        <v>0</v>
      </c>
      <c r="AT133" s="354">
        <f t="shared" si="157"/>
        <v>0</v>
      </c>
      <c r="AU133" s="354">
        <f t="shared" si="157"/>
        <v>0</v>
      </c>
      <c r="AV133" s="354">
        <f t="shared" si="157"/>
        <v>0</v>
      </c>
      <c r="AW133" s="354">
        <f t="shared" si="157"/>
        <v>0</v>
      </c>
      <c r="AX133" s="354">
        <f t="shared" si="157"/>
        <v>0</v>
      </c>
      <c r="AY133" s="354">
        <f t="shared" si="157"/>
        <v>0</v>
      </c>
      <c r="AZ133" s="354">
        <f t="shared" si="157"/>
        <v>0</v>
      </c>
      <c r="BA133" s="354">
        <f t="shared" si="157"/>
        <v>0</v>
      </c>
      <c r="BB133" s="354">
        <f t="shared" si="157"/>
        <v>0</v>
      </c>
      <c r="BC133" s="354">
        <f t="shared" si="157"/>
        <v>0</v>
      </c>
      <c r="BD133" s="354">
        <f t="shared" si="157"/>
        <v>0</v>
      </c>
      <c r="BE133" s="354">
        <f t="shared" si="157"/>
        <v>0</v>
      </c>
      <c r="BF133" s="354">
        <f t="shared" si="157"/>
        <v>0</v>
      </c>
      <c r="BG133" s="354">
        <f t="shared" si="157"/>
        <v>0</v>
      </c>
      <c r="BH133" s="354">
        <f t="shared" si="157"/>
        <v>0</v>
      </c>
      <c r="BI133" s="354">
        <f t="shared" si="157"/>
        <v>0</v>
      </c>
      <c r="BJ133" s="354">
        <f t="shared" ref="BJ133" si="158">+BJ37-BJ85</f>
        <v>0</v>
      </c>
      <c r="BK133" s="354">
        <f t="shared" si="44"/>
        <v>0</v>
      </c>
      <c r="BL133" s="354">
        <f t="shared" si="157"/>
        <v>0</v>
      </c>
      <c r="BM133" s="354">
        <f t="shared" si="45"/>
        <v>0</v>
      </c>
      <c r="BN133" s="354">
        <f t="shared" si="157"/>
        <v>0</v>
      </c>
      <c r="BO133" s="354">
        <f t="shared" si="157"/>
        <v>0</v>
      </c>
      <c r="BP133" s="354">
        <f t="shared" si="157"/>
        <v>0</v>
      </c>
      <c r="BQ133" s="354">
        <f t="shared" si="52"/>
        <v>0</v>
      </c>
      <c r="BR133" s="354">
        <f t="shared" si="157"/>
        <v>0</v>
      </c>
      <c r="BS133" s="354"/>
      <c r="BT133" s="354">
        <f t="shared" si="46"/>
        <v>0</v>
      </c>
      <c r="BU133" s="354">
        <f t="shared" si="46"/>
        <v>0</v>
      </c>
      <c r="BV133" s="354">
        <f t="shared" si="46"/>
        <v>0</v>
      </c>
      <c r="BW133" s="354">
        <f t="shared" si="46"/>
        <v>0</v>
      </c>
      <c r="BX133" s="354">
        <f t="shared" si="46"/>
        <v>0</v>
      </c>
      <c r="BY133" s="354">
        <f t="shared" si="46"/>
        <v>0</v>
      </c>
      <c r="BZ133" s="354"/>
      <c r="CA133" s="354"/>
      <c r="CB133" s="354"/>
      <c r="CC133" s="354"/>
      <c r="CD133" s="354"/>
      <c r="CE133" s="354"/>
      <c r="CF133" s="354"/>
      <c r="CG133" s="354"/>
      <c r="CH133" s="354"/>
      <c r="CI133" s="354"/>
      <c r="CJ133" s="354"/>
      <c r="CK133" s="354"/>
      <c r="CL133" s="354"/>
      <c r="CM133" s="693"/>
      <c r="CN133" s="693"/>
      <c r="CO133" s="693"/>
    </row>
    <row r="134" spans="2:93">
      <c r="B134" s="271">
        <f t="shared" si="53"/>
        <v>31</v>
      </c>
      <c r="C134" s="541">
        <f>+Base!AJ$4</f>
        <v>92</v>
      </c>
      <c r="D134" s="541">
        <f>+Base!AJ$5</f>
        <v>91</v>
      </c>
      <c r="E134" s="540">
        <f>+Base!AJ$7</f>
        <v>2049</v>
      </c>
      <c r="F134" s="354">
        <f t="shared" ref="F134:K141" si="159">+F38-F86</f>
        <v>0</v>
      </c>
      <c r="G134" s="354">
        <f t="shared" si="159"/>
        <v>0</v>
      </c>
      <c r="H134" s="354">
        <f t="shared" si="159"/>
        <v>0</v>
      </c>
      <c r="I134" s="354">
        <f t="shared" si="159"/>
        <v>0</v>
      </c>
      <c r="J134" s="354">
        <f t="shared" si="159"/>
        <v>0</v>
      </c>
      <c r="K134" s="354">
        <f t="shared" si="159"/>
        <v>0</v>
      </c>
      <c r="M134" s="354">
        <f t="shared" ref="M134:W134" si="160">+M38-M86</f>
        <v>0</v>
      </c>
      <c r="N134" s="354">
        <f t="shared" si="160"/>
        <v>0</v>
      </c>
      <c r="O134" s="354">
        <f t="shared" si="160"/>
        <v>0</v>
      </c>
      <c r="P134" s="354">
        <f t="shared" si="160"/>
        <v>0</v>
      </c>
      <c r="Q134" s="354">
        <f t="shared" si="160"/>
        <v>0</v>
      </c>
      <c r="R134" s="354">
        <f t="shared" si="160"/>
        <v>0</v>
      </c>
      <c r="S134" s="354">
        <f t="shared" si="160"/>
        <v>0</v>
      </c>
      <c r="T134" s="354">
        <f t="shared" si="160"/>
        <v>0</v>
      </c>
      <c r="U134" s="354">
        <f t="shared" si="160"/>
        <v>0</v>
      </c>
      <c r="V134" s="354">
        <f t="shared" si="37"/>
        <v>0</v>
      </c>
      <c r="W134" s="354">
        <f t="shared" si="160"/>
        <v>0</v>
      </c>
      <c r="Y134" s="354">
        <f t="shared" si="129"/>
        <v>0</v>
      </c>
      <c r="Z134" s="354">
        <f t="shared" si="129"/>
        <v>0</v>
      </c>
      <c r="AA134" s="354">
        <f t="shared" si="129"/>
        <v>0</v>
      </c>
      <c r="AB134" s="354">
        <f t="shared" si="129"/>
        <v>0</v>
      </c>
      <c r="AC134" s="354">
        <f t="shared" si="129"/>
        <v>0</v>
      </c>
      <c r="AD134" s="354">
        <f t="shared" si="129"/>
        <v>0</v>
      </c>
      <c r="AE134" s="354">
        <f t="shared" si="129"/>
        <v>0</v>
      </c>
      <c r="AF134" s="354">
        <f t="shared" si="129"/>
        <v>0</v>
      </c>
      <c r="AG134" s="354">
        <f t="shared" si="129"/>
        <v>0</v>
      </c>
      <c r="AH134" s="354">
        <f t="shared" si="39"/>
        <v>0</v>
      </c>
      <c r="AI134" s="354">
        <f t="shared" si="129"/>
        <v>0</v>
      </c>
      <c r="AJ134" s="354">
        <f t="shared" si="129"/>
        <v>0</v>
      </c>
      <c r="AL134" s="354">
        <f t="shared" si="40"/>
        <v>0</v>
      </c>
      <c r="AN134" s="354">
        <f t="shared" ref="AN134:BR134" si="161">+AN38-AN86</f>
        <v>0</v>
      </c>
      <c r="AO134" s="354">
        <f t="shared" si="50"/>
        <v>0</v>
      </c>
      <c r="AP134" s="354">
        <f t="shared" si="161"/>
        <v>0</v>
      </c>
      <c r="AQ134" s="354">
        <f t="shared" si="161"/>
        <v>0</v>
      </c>
      <c r="AR134" s="354">
        <f t="shared" si="42"/>
        <v>0</v>
      </c>
      <c r="AS134" s="354">
        <f t="shared" si="42"/>
        <v>0</v>
      </c>
      <c r="AT134" s="354">
        <f t="shared" si="161"/>
        <v>0</v>
      </c>
      <c r="AU134" s="354">
        <f t="shared" si="161"/>
        <v>0</v>
      </c>
      <c r="AV134" s="354">
        <f t="shared" si="161"/>
        <v>0</v>
      </c>
      <c r="AW134" s="354">
        <f t="shared" si="161"/>
        <v>0</v>
      </c>
      <c r="AX134" s="354">
        <f t="shared" si="161"/>
        <v>0</v>
      </c>
      <c r="AY134" s="354">
        <f t="shared" si="161"/>
        <v>0</v>
      </c>
      <c r="AZ134" s="354">
        <f t="shared" si="161"/>
        <v>0</v>
      </c>
      <c r="BA134" s="354">
        <f t="shared" si="161"/>
        <v>0</v>
      </c>
      <c r="BB134" s="354">
        <f t="shared" si="161"/>
        <v>0</v>
      </c>
      <c r="BC134" s="354">
        <f t="shared" si="161"/>
        <v>0</v>
      </c>
      <c r="BD134" s="354">
        <f t="shared" si="161"/>
        <v>0</v>
      </c>
      <c r="BE134" s="354">
        <f t="shared" si="161"/>
        <v>0</v>
      </c>
      <c r="BF134" s="354">
        <f t="shared" si="161"/>
        <v>0</v>
      </c>
      <c r="BG134" s="354">
        <f t="shared" si="161"/>
        <v>0</v>
      </c>
      <c r="BH134" s="354">
        <f t="shared" si="161"/>
        <v>0</v>
      </c>
      <c r="BI134" s="354">
        <f t="shared" si="161"/>
        <v>0</v>
      </c>
      <c r="BJ134" s="354">
        <f t="shared" ref="BJ134" si="162">+BJ38-BJ86</f>
        <v>0</v>
      </c>
      <c r="BK134" s="354">
        <f t="shared" si="44"/>
        <v>0</v>
      </c>
      <c r="BL134" s="354">
        <f t="shared" si="161"/>
        <v>0</v>
      </c>
      <c r="BM134" s="354">
        <f t="shared" si="45"/>
        <v>0</v>
      </c>
      <c r="BN134" s="354">
        <f t="shared" si="161"/>
        <v>0</v>
      </c>
      <c r="BO134" s="354">
        <f t="shared" si="161"/>
        <v>0</v>
      </c>
      <c r="BP134" s="354">
        <f t="shared" si="161"/>
        <v>0</v>
      </c>
      <c r="BQ134" s="354">
        <f t="shared" si="52"/>
        <v>0</v>
      </c>
      <c r="BR134" s="354">
        <f t="shared" si="161"/>
        <v>0</v>
      </c>
      <c r="BS134" s="354"/>
      <c r="BT134" s="354">
        <f t="shared" si="46"/>
        <v>0</v>
      </c>
      <c r="BU134" s="354">
        <f t="shared" si="46"/>
        <v>0</v>
      </c>
      <c r="BV134" s="354">
        <f t="shared" si="46"/>
        <v>0</v>
      </c>
      <c r="BW134" s="354">
        <f t="shared" si="46"/>
        <v>0</v>
      </c>
      <c r="BX134" s="354">
        <f t="shared" si="46"/>
        <v>0</v>
      </c>
      <c r="BY134" s="354">
        <f t="shared" si="46"/>
        <v>0</v>
      </c>
      <c r="BZ134" s="354"/>
      <c r="CA134" s="354"/>
      <c r="CB134" s="354"/>
      <c r="CC134" s="354"/>
      <c r="CD134" s="354"/>
      <c r="CE134" s="354"/>
      <c r="CF134" s="354"/>
      <c r="CG134" s="354"/>
      <c r="CH134" s="354"/>
      <c r="CI134" s="354"/>
      <c r="CJ134" s="354"/>
      <c r="CK134" s="354"/>
      <c r="CL134" s="354"/>
      <c r="CM134" s="693"/>
      <c r="CN134" s="693"/>
      <c r="CO134" s="693"/>
    </row>
    <row r="135" spans="2:93">
      <c r="B135" s="271">
        <f t="shared" si="53"/>
        <v>32</v>
      </c>
      <c r="C135" s="541">
        <f>+Base!AK$4</f>
        <v>93</v>
      </c>
      <c r="D135" s="541">
        <f>+Base!AK$5</f>
        <v>92</v>
      </c>
      <c r="E135" s="540">
        <f>+Base!AK$7</f>
        <v>2050</v>
      </c>
      <c r="F135" s="354">
        <f t="shared" si="159"/>
        <v>0</v>
      </c>
      <c r="G135" s="354">
        <f t="shared" si="159"/>
        <v>0</v>
      </c>
      <c r="H135" s="354">
        <f t="shared" si="159"/>
        <v>0</v>
      </c>
      <c r="I135" s="354">
        <f t="shared" si="159"/>
        <v>0</v>
      </c>
      <c r="J135" s="354">
        <f t="shared" si="159"/>
        <v>0</v>
      </c>
      <c r="K135" s="354">
        <f t="shared" si="159"/>
        <v>0</v>
      </c>
      <c r="M135" s="354">
        <f t="shared" ref="M135:W135" si="163">+M39-M87</f>
        <v>0</v>
      </c>
      <c r="N135" s="354">
        <f t="shared" si="163"/>
        <v>0</v>
      </c>
      <c r="O135" s="354">
        <f t="shared" si="163"/>
        <v>0</v>
      </c>
      <c r="P135" s="354">
        <f t="shared" si="163"/>
        <v>0</v>
      </c>
      <c r="Q135" s="354">
        <f t="shared" si="163"/>
        <v>0</v>
      </c>
      <c r="R135" s="354">
        <f t="shared" si="163"/>
        <v>0</v>
      </c>
      <c r="S135" s="354">
        <f t="shared" si="163"/>
        <v>0</v>
      </c>
      <c r="T135" s="354">
        <f t="shared" si="163"/>
        <v>0</v>
      </c>
      <c r="U135" s="354">
        <f t="shared" si="163"/>
        <v>0</v>
      </c>
      <c r="V135" s="354">
        <f t="shared" si="37"/>
        <v>0</v>
      </c>
      <c r="W135" s="354">
        <f t="shared" si="163"/>
        <v>0</v>
      </c>
      <c r="Y135" s="354">
        <f t="shared" si="129"/>
        <v>0</v>
      </c>
      <c r="Z135" s="354">
        <f t="shared" si="129"/>
        <v>0</v>
      </c>
      <c r="AA135" s="354">
        <f t="shared" si="129"/>
        <v>0</v>
      </c>
      <c r="AB135" s="354">
        <f t="shared" si="129"/>
        <v>0</v>
      </c>
      <c r="AC135" s="354">
        <f t="shared" si="129"/>
        <v>0</v>
      </c>
      <c r="AD135" s="354">
        <f t="shared" si="129"/>
        <v>0</v>
      </c>
      <c r="AE135" s="354">
        <f t="shared" si="129"/>
        <v>0</v>
      </c>
      <c r="AF135" s="354">
        <f t="shared" si="129"/>
        <v>0</v>
      </c>
      <c r="AG135" s="354">
        <f t="shared" si="129"/>
        <v>0</v>
      </c>
      <c r="AH135" s="354">
        <f t="shared" si="39"/>
        <v>0</v>
      </c>
      <c r="AI135" s="354">
        <f t="shared" si="129"/>
        <v>0</v>
      </c>
      <c r="AJ135" s="354">
        <f t="shared" si="129"/>
        <v>0</v>
      </c>
      <c r="AL135" s="354">
        <f t="shared" si="40"/>
        <v>0</v>
      </c>
      <c r="AN135" s="354">
        <f t="shared" ref="AN135:BR135" si="164">+AN39-AN87</f>
        <v>0</v>
      </c>
      <c r="AO135" s="354">
        <f t="shared" si="50"/>
        <v>0</v>
      </c>
      <c r="AP135" s="354">
        <f t="shared" si="164"/>
        <v>0</v>
      </c>
      <c r="AQ135" s="354">
        <f t="shared" si="164"/>
        <v>0</v>
      </c>
      <c r="AR135" s="354">
        <f t="shared" si="42"/>
        <v>0</v>
      </c>
      <c r="AS135" s="354">
        <f t="shared" si="42"/>
        <v>0</v>
      </c>
      <c r="AT135" s="354">
        <f t="shared" si="164"/>
        <v>0</v>
      </c>
      <c r="AU135" s="354">
        <f t="shared" si="164"/>
        <v>0</v>
      </c>
      <c r="AV135" s="354">
        <f t="shared" si="164"/>
        <v>0</v>
      </c>
      <c r="AW135" s="354">
        <f t="shared" si="164"/>
        <v>0</v>
      </c>
      <c r="AX135" s="354">
        <f t="shared" si="164"/>
        <v>0</v>
      </c>
      <c r="AY135" s="354">
        <f t="shared" si="164"/>
        <v>0</v>
      </c>
      <c r="AZ135" s="354">
        <f t="shared" si="164"/>
        <v>0</v>
      </c>
      <c r="BA135" s="354">
        <f t="shared" si="164"/>
        <v>0</v>
      </c>
      <c r="BB135" s="354">
        <f t="shared" si="164"/>
        <v>0</v>
      </c>
      <c r="BC135" s="354">
        <f t="shared" si="164"/>
        <v>0</v>
      </c>
      <c r="BD135" s="354">
        <f t="shared" si="164"/>
        <v>0</v>
      </c>
      <c r="BE135" s="354">
        <f t="shared" si="164"/>
        <v>0</v>
      </c>
      <c r="BF135" s="354">
        <f t="shared" si="164"/>
        <v>0</v>
      </c>
      <c r="BG135" s="354">
        <f t="shared" si="164"/>
        <v>0</v>
      </c>
      <c r="BH135" s="354">
        <f t="shared" si="164"/>
        <v>0</v>
      </c>
      <c r="BI135" s="354">
        <f t="shared" si="164"/>
        <v>0</v>
      </c>
      <c r="BJ135" s="354">
        <f t="shared" ref="BJ135" si="165">+BJ39-BJ87</f>
        <v>0</v>
      </c>
      <c r="BK135" s="354">
        <f t="shared" si="44"/>
        <v>0</v>
      </c>
      <c r="BL135" s="354">
        <f t="shared" si="164"/>
        <v>0</v>
      </c>
      <c r="BM135" s="354">
        <f t="shared" si="45"/>
        <v>0</v>
      </c>
      <c r="BN135" s="354">
        <f t="shared" si="164"/>
        <v>0</v>
      </c>
      <c r="BO135" s="354">
        <f t="shared" si="164"/>
        <v>0</v>
      </c>
      <c r="BP135" s="354">
        <f t="shared" si="164"/>
        <v>0</v>
      </c>
      <c r="BQ135" s="354">
        <f t="shared" si="52"/>
        <v>0</v>
      </c>
      <c r="BR135" s="354">
        <f t="shared" si="164"/>
        <v>0</v>
      </c>
      <c r="BS135" s="354"/>
      <c r="BT135" s="354">
        <f t="shared" si="46"/>
        <v>0</v>
      </c>
      <c r="BU135" s="354">
        <f t="shared" si="46"/>
        <v>0</v>
      </c>
      <c r="BV135" s="354">
        <f t="shared" si="46"/>
        <v>0</v>
      </c>
      <c r="BW135" s="354">
        <f t="shared" si="46"/>
        <v>0</v>
      </c>
      <c r="BX135" s="354">
        <f t="shared" si="46"/>
        <v>0</v>
      </c>
      <c r="BY135" s="354">
        <f t="shared" si="46"/>
        <v>0</v>
      </c>
      <c r="BZ135" s="354"/>
      <c r="CA135" s="354"/>
      <c r="CB135" s="354"/>
      <c r="CC135" s="354"/>
      <c r="CD135" s="354"/>
      <c r="CE135" s="354"/>
      <c r="CF135" s="354"/>
      <c r="CG135" s="354"/>
      <c r="CH135" s="354"/>
      <c r="CI135" s="354"/>
      <c r="CJ135" s="354"/>
      <c r="CK135" s="354"/>
      <c r="CL135" s="354"/>
      <c r="CM135" s="693"/>
      <c r="CN135" s="693"/>
      <c r="CO135" s="693"/>
    </row>
    <row r="136" spans="2:93">
      <c r="B136" s="271">
        <f t="shared" si="53"/>
        <v>33</v>
      </c>
      <c r="C136" s="541">
        <f>+Base!AL$4</f>
        <v>94</v>
      </c>
      <c r="D136" s="541">
        <f>+Base!AL$5</f>
        <v>93</v>
      </c>
      <c r="E136" s="540">
        <f>+Base!AL$7</f>
        <v>2051</v>
      </c>
      <c r="F136" s="354">
        <f t="shared" si="159"/>
        <v>0</v>
      </c>
      <c r="G136" s="354">
        <f t="shared" si="159"/>
        <v>0</v>
      </c>
      <c r="H136" s="354">
        <f t="shared" si="159"/>
        <v>0</v>
      </c>
      <c r="I136" s="354">
        <f t="shared" si="159"/>
        <v>0</v>
      </c>
      <c r="J136" s="354">
        <f t="shared" si="159"/>
        <v>0</v>
      </c>
      <c r="K136" s="354">
        <f t="shared" si="159"/>
        <v>0</v>
      </c>
      <c r="M136" s="354">
        <f t="shared" ref="M136:W136" si="166">+M40-M88</f>
        <v>0</v>
      </c>
      <c r="N136" s="354">
        <f t="shared" si="166"/>
        <v>0</v>
      </c>
      <c r="O136" s="354">
        <f t="shared" si="166"/>
        <v>0</v>
      </c>
      <c r="P136" s="354">
        <f t="shared" si="166"/>
        <v>0</v>
      </c>
      <c r="Q136" s="354">
        <f t="shared" si="166"/>
        <v>0</v>
      </c>
      <c r="R136" s="354">
        <f t="shared" si="166"/>
        <v>0</v>
      </c>
      <c r="S136" s="354">
        <f t="shared" si="166"/>
        <v>0</v>
      </c>
      <c r="T136" s="354">
        <f t="shared" si="166"/>
        <v>0</v>
      </c>
      <c r="U136" s="354">
        <f t="shared" si="166"/>
        <v>0</v>
      </c>
      <c r="V136" s="354">
        <f t="shared" si="37"/>
        <v>0</v>
      </c>
      <c r="W136" s="354">
        <f t="shared" si="166"/>
        <v>0</v>
      </c>
      <c r="Y136" s="354">
        <f t="shared" si="129"/>
        <v>0</v>
      </c>
      <c r="Z136" s="354">
        <f t="shared" si="129"/>
        <v>0</v>
      </c>
      <c r="AA136" s="354">
        <f t="shared" si="129"/>
        <v>0</v>
      </c>
      <c r="AB136" s="354">
        <f t="shared" si="129"/>
        <v>0</v>
      </c>
      <c r="AC136" s="354">
        <f t="shared" si="129"/>
        <v>0</v>
      </c>
      <c r="AD136" s="354">
        <f t="shared" si="129"/>
        <v>0</v>
      </c>
      <c r="AE136" s="354">
        <f t="shared" si="129"/>
        <v>0</v>
      </c>
      <c r="AF136" s="354">
        <f t="shared" si="129"/>
        <v>0</v>
      </c>
      <c r="AG136" s="354">
        <f t="shared" si="129"/>
        <v>0</v>
      </c>
      <c r="AH136" s="354">
        <f t="shared" si="39"/>
        <v>0</v>
      </c>
      <c r="AI136" s="354">
        <f t="shared" si="129"/>
        <v>0</v>
      </c>
      <c r="AJ136" s="354">
        <f t="shared" si="129"/>
        <v>0</v>
      </c>
      <c r="AL136" s="354">
        <f t="shared" si="40"/>
        <v>0</v>
      </c>
      <c r="AN136" s="354">
        <f t="shared" ref="AN136:BR136" si="167">+AN40-AN88</f>
        <v>0</v>
      </c>
      <c r="AO136" s="354">
        <f t="shared" si="50"/>
        <v>0</v>
      </c>
      <c r="AP136" s="354">
        <f t="shared" si="167"/>
        <v>0</v>
      </c>
      <c r="AQ136" s="354">
        <f t="shared" si="167"/>
        <v>0</v>
      </c>
      <c r="AR136" s="354">
        <f t="shared" si="42"/>
        <v>0</v>
      </c>
      <c r="AS136" s="354">
        <f t="shared" si="42"/>
        <v>0</v>
      </c>
      <c r="AT136" s="354">
        <f t="shared" si="167"/>
        <v>0</v>
      </c>
      <c r="AU136" s="354">
        <f t="shared" si="167"/>
        <v>0</v>
      </c>
      <c r="AV136" s="354">
        <f t="shared" si="167"/>
        <v>0</v>
      </c>
      <c r="AW136" s="354">
        <f t="shared" si="167"/>
        <v>0</v>
      </c>
      <c r="AX136" s="354">
        <f t="shared" si="167"/>
        <v>0</v>
      </c>
      <c r="AY136" s="354">
        <f t="shared" si="167"/>
        <v>0</v>
      </c>
      <c r="AZ136" s="354">
        <f t="shared" si="167"/>
        <v>0</v>
      </c>
      <c r="BA136" s="354">
        <f t="shared" si="167"/>
        <v>0</v>
      </c>
      <c r="BB136" s="354">
        <f t="shared" si="167"/>
        <v>0</v>
      </c>
      <c r="BC136" s="354">
        <f t="shared" si="167"/>
        <v>0</v>
      </c>
      <c r="BD136" s="354">
        <f t="shared" si="167"/>
        <v>0</v>
      </c>
      <c r="BE136" s="354">
        <f t="shared" si="167"/>
        <v>0</v>
      </c>
      <c r="BF136" s="354">
        <f t="shared" si="167"/>
        <v>0</v>
      </c>
      <c r="BG136" s="354">
        <f t="shared" si="167"/>
        <v>0</v>
      </c>
      <c r="BH136" s="354">
        <f t="shared" si="167"/>
        <v>0</v>
      </c>
      <c r="BI136" s="354">
        <f t="shared" si="167"/>
        <v>0</v>
      </c>
      <c r="BJ136" s="354">
        <f t="shared" ref="BJ136" si="168">+BJ40-BJ88</f>
        <v>0</v>
      </c>
      <c r="BK136" s="354">
        <f t="shared" si="44"/>
        <v>0</v>
      </c>
      <c r="BL136" s="354">
        <f t="shared" si="167"/>
        <v>0</v>
      </c>
      <c r="BM136" s="354">
        <f t="shared" si="45"/>
        <v>0</v>
      </c>
      <c r="BN136" s="354">
        <f t="shared" si="167"/>
        <v>0</v>
      </c>
      <c r="BO136" s="354">
        <f t="shared" si="167"/>
        <v>0</v>
      </c>
      <c r="BP136" s="354">
        <f t="shared" si="167"/>
        <v>0</v>
      </c>
      <c r="BQ136" s="354">
        <f t="shared" si="52"/>
        <v>0</v>
      </c>
      <c r="BR136" s="354">
        <f t="shared" si="167"/>
        <v>0</v>
      </c>
      <c r="BS136" s="354"/>
      <c r="BT136" s="354">
        <f t="shared" si="46"/>
        <v>0</v>
      </c>
      <c r="BU136" s="354">
        <f t="shared" si="46"/>
        <v>0</v>
      </c>
      <c r="BV136" s="354">
        <f t="shared" si="46"/>
        <v>0</v>
      </c>
      <c r="BW136" s="354">
        <f t="shared" si="46"/>
        <v>0</v>
      </c>
      <c r="BX136" s="354">
        <f t="shared" si="46"/>
        <v>0</v>
      </c>
      <c r="BY136" s="354">
        <f t="shared" si="46"/>
        <v>0</v>
      </c>
      <c r="BZ136" s="354"/>
      <c r="CA136" s="354"/>
      <c r="CB136" s="354"/>
      <c r="CC136" s="354"/>
      <c r="CD136" s="354"/>
      <c r="CE136" s="354"/>
      <c r="CF136" s="354"/>
      <c r="CG136" s="354"/>
      <c r="CH136" s="354"/>
      <c r="CI136" s="354"/>
      <c r="CJ136" s="354"/>
      <c r="CK136" s="354"/>
      <c r="CL136" s="354"/>
      <c r="CM136" s="693"/>
      <c r="CN136" s="693"/>
      <c r="CO136" s="693"/>
    </row>
    <row r="137" spans="2:93">
      <c r="B137" s="271">
        <f t="shared" si="53"/>
        <v>34</v>
      </c>
      <c r="C137" s="541">
        <f>+Base!AM$4</f>
        <v>95</v>
      </c>
      <c r="D137" s="541">
        <f>+Base!AM$5</f>
        <v>94</v>
      </c>
      <c r="E137" s="540">
        <f>+Base!AM$7</f>
        <v>2052</v>
      </c>
      <c r="F137" s="354">
        <f t="shared" si="159"/>
        <v>0</v>
      </c>
      <c r="G137" s="354">
        <f t="shared" si="159"/>
        <v>0</v>
      </c>
      <c r="H137" s="354">
        <f t="shared" si="159"/>
        <v>0</v>
      </c>
      <c r="I137" s="354">
        <f t="shared" si="159"/>
        <v>0</v>
      </c>
      <c r="J137" s="354">
        <f t="shared" si="159"/>
        <v>0</v>
      </c>
      <c r="K137" s="354">
        <f t="shared" si="159"/>
        <v>0</v>
      </c>
      <c r="M137" s="354">
        <f t="shared" ref="M137:W137" si="169">+M41-M89</f>
        <v>0</v>
      </c>
      <c r="N137" s="354">
        <f t="shared" si="169"/>
        <v>0</v>
      </c>
      <c r="O137" s="354">
        <f t="shared" si="169"/>
        <v>0</v>
      </c>
      <c r="P137" s="354">
        <f t="shared" si="169"/>
        <v>0</v>
      </c>
      <c r="Q137" s="354">
        <f t="shared" si="169"/>
        <v>0</v>
      </c>
      <c r="R137" s="354">
        <f t="shared" si="169"/>
        <v>0</v>
      </c>
      <c r="S137" s="354">
        <f t="shared" si="169"/>
        <v>0</v>
      </c>
      <c r="T137" s="354">
        <f t="shared" si="169"/>
        <v>0</v>
      </c>
      <c r="U137" s="354">
        <f t="shared" si="169"/>
        <v>0</v>
      </c>
      <c r="V137" s="354">
        <f t="shared" si="37"/>
        <v>0</v>
      </c>
      <c r="W137" s="354">
        <f t="shared" si="169"/>
        <v>0</v>
      </c>
      <c r="Y137" s="354">
        <f t="shared" si="129"/>
        <v>0</v>
      </c>
      <c r="Z137" s="354">
        <f t="shared" si="129"/>
        <v>0</v>
      </c>
      <c r="AA137" s="354">
        <f t="shared" si="129"/>
        <v>0</v>
      </c>
      <c r="AB137" s="354">
        <f t="shared" si="129"/>
        <v>0</v>
      </c>
      <c r="AC137" s="354">
        <f t="shared" si="129"/>
        <v>0</v>
      </c>
      <c r="AD137" s="354">
        <f t="shared" si="129"/>
        <v>0</v>
      </c>
      <c r="AE137" s="354">
        <f t="shared" si="129"/>
        <v>0</v>
      </c>
      <c r="AF137" s="354">
        <f t="shared" si="129"/>
        <v>0</v>
      </c>
      <c r="AG137" s="354">
        <f t="shared" si="129"/>
        <v>0</v>
      </c>
      <c r="AH137" s="354">
        <f t="shared" si="39"/>
        <v>0</v>
      </c>
      <c r="AI137" s="354">
        <f t="shared" si="129"/>
        <v>0</v>
      </c>
      <c r="AJ137" s="354">
        <f t="shared" si="129"/>
        <v>0</v>
      </c>
      <c r="AL137" s="354">
        <f t="shared" si="40"/>
        <v>0</v>
      </c>
      <c r="AN137" s="354">
        <f t="shared" ref="AN137:BR137" si="170">+AN41-AN89</f>
        <v>0</v>
      </c>
      <c r="AO137" s="354">
        <f t="shared" si="50"/>
        <v>0</v>
      </c>
      <c r="AP137" s="354">
        <f t="shared" si="170"/>
        <v>0</v>
      </c>
      <c r="AQ137" s="354">
        <f t="shared" si="170"/>
        <v>0</v>
      </c>
      <c r="AR137" s="354">
        <f t="shared" si="42"/>
        <v>0</v>
      </c>
      <c r="AS137" s="354">
        <f t="shared" si="42"/>
        <v>0</v>
      </c>
      <c r="AT137" s="354">
        <f t="shared" si="170"/>
        <v>0</v>
      </c>
      <c r="AU137" s="354">
        <f t="shared" si="170"/>
        <v>0</v>
      </c>
      <c r="AV137" s="354">
        <f t="shared" si="170"/>
        <v>0</v>
      </c>
      <c r="AW137" s="354">
        <f t="shared" si="170"/>
        <v>0</v>
      </c>
      <c r="AX137" s="354">
        <f t="shared" si="170"/>
        <v>0</v>
      </c>
      <c r="AY137" s="354">
        <f t="shared" si="170"/>
        <v>0</v>
      </c>
      <c r="AZ137" s="354">
        <f t="shared" si="170"/>
        <v>0</v>
      </c>
      <c r="BA137" s="354">
        <f t="shared" si="170"/>
        <v>0</v>
      </c>
      <c r="BB137" s="354">
        <f t="shared" si="170"/>
        <v>0</v>
      </c>
      <c r="BC137" s="354">
        <f t="shared" si="170"/>
        <v>0</v>
      </c>
      <c r="BD137" s="354">
        <f t="shared" si="170"/>
        <v>0</v>
      </c>
      <c r="BE137" s="354">
        <f t="shared" si="170"/>
        <v>0</v>
      </c>
      <c r="BF137" s="354">
        <f t="shared" si="170"/>
        <v>0</v>
      </c>
      <c r="BG137" s="354">
        <f t="shared" si="170"/>
        <v>0</v>
      </c>
      <c r="BH137" s="354">
        <f t="shared" si="170"/>
        <v>0</v>
      </c>
      <c r="BI137" s="354">
        <f t="shared" si="170"/>
        <v>0</v>
      </c>
      <c r="BJ137" s="354">
        <f t="shared" ref="BJ137" si="171">+BJ41-BJ89</f>
        <v>0</v>
      </c>
      <c r="BK137" s="354">
        <f t="shared" si="44"/>
        <v>0</v>
      </c>
      <c r="BL137" s="354">
        <f t="shared" si="170"/>
        <v>0</v>
      </c>
      <c r="BM137" s="354">
        <f t="shared" si="45"/>
        <v>0</v>
      </c>
      <c r="BN137" s="354">
        <f t="shared" si="170"/>
        <v>0</v>
      </c>
      <c r="BO137" s="354">
        <f t="shared" si="170"/>
        <v>0</v>
      </c>
      <c r="BP137" s="354">
        <f t="shared" si="170"/>
        <v>0</v>
      </c>
      <c r="BQ137" s="354">
        <f t="shared" si="52"/>
        <v>0</v>
      </c>
      <c r="BR137" s="354">
        <f t="shared" si="170"/>
        <v>0</v>
      </c>
      <c r="BS137" s="354"/>
      <c r="BT137" s="354">
        <f t="shared" si="46"/>
        <v>0</v>
      </c>
      <c r="BU137" s="354">
        <f t="shared" si="46"/>
        <v>0</v>
      </c>
      <c r="BV137" s="354">
        <f t="shared" si="46"/>
        <v>0</v>
      </c>
      <c r="BW137" s="354">
        <f t="shared" si="46"/>
        <v>0</v>
      </c>
      <c r="BX137" s="354">
        <f t="shared" si="46"/>
        <v>0</v>
      </c>
      <c r="BY137" s="354">
        <f t="shared" si="46"/>
        <v>0</v>
      </c>
      <c r="BZ137" s="354"/>
      <c r="CA137" s="354"/>
      <c r="CB137" s="354"/>
      <c r="CC137" s="354"/>
      <c r="CD137" s="354"/>
      <c r="CE137" s="354"/>
      <c r="CF137" s="354"/>
      <c r="CG137" s="354"/>
      <c r="CH137" s="354"/>
      <c r="CI137" s="354"/>
      <c r="CJ137" s="354"/>
      <c r="CK137" s="354"/>
      <c r="CL137" s="354"/>
      <c r="CM137" s="693"/>
      <c r="CN137" s="693"/>
      <c r="CO137" s="693"/>
    </row>
    <row r="138" spans="2:93">
      <c r="B138" s="271">
        <f t="shared" si="53"/>
        <v>35</v>
      </c>
      <c r="C138" s="541">
        <f>+Base!AN$4</f>
        <v>96</v>
      </c>
      <c r="D138" s="541">
        <f>+Base!AN$5</f>
        <v>95</v>
      </c>
      <c r="E138" s="540">
        <f>+Base!AN$7</f>
        <v>2053</v>
      </c>
      <c r="F138" s="354">
        <f t="shared" si="159"/>
        <v>0</v>
      </c>
      <c r="G138" s="354">
        <f t="shared" si="159"/>
        <v>0</v>
      </c>
      <c r="H138" s="354">
        <f t="shared" si="159"/>
        <v>0</v>
      </c>
      <c r="I138" s="354">
        <f t="shared" si="159"/>
        <v>0</v>
      </c>
      <c r="J138" s="354">
        <f t="shared" si="159"/>
        <v>0</v>
      </c>
      <c r="K138" s="354">
        <f t="shared" si="159"/>
        <v>0</v>
      </c>
      <c r="M138" s="354">
        <f t="shared" ref="M138:W138" si="172">+M42-M90</f>
        <v>0</v>
      </c>
      <c r="N138" s="354">
        <f t="shared" si="172"/>
        <v>0</v>
      </c>
      <c r="O138" s="354">
        <f t="shared" si="172"/>
        <v>0</v>
      </c>
      <c r="P138" s="354">
        <f t="shared" si="172"/>
        <v>0</v>
      </c>
      <c r="Q138" s="354">
        <f t="shared" si="172"/>
        <v>0</v>
      </c>
      <c r="R138" s="354">
        <f t="shared" si="172"/>
        <v>0</v>
      </c>
      <c r="S138" s="354">
        <f t="shared" si="172"/>
        <v>0</v>
      </c>
      <c r="T138" s="354">
        <f t="shared" si="172"/>
        <v>0</v>
      </c>
      <c r="U138" s="354">
        <f t="shared" si="172"/>
        <v>0</v>
      </c>
      <c r="V138" s="354">
        <f t="shared" si="37"/>
        <v>0</v>
      </c>
      <c r="W138" s="354">
        <f t="shared" si="172"/>
        <v>0</v>
      </c>
      <c r="Y138" s="354">
        <f t="shared" si="129"/>
        <v>0</v>
      </c>
      <c r="Z138" s="354">
        <f t="shared" si="129"/>
        <v>0</v>
      </c>
      <c r="AA138" s="354">
        <f t="shared" si="129"/>
        <v>0</v>
      </c>
      <c r="AB138" s="354">
        <f t="shared" si="129"/>
        <v>0</v>
      </c>
      <c r="AC138" s="354">
        <f t="shared" si="129"/>
        <v>0</v>
      </c>
      <c r="AD138" s="354">
        <f t="shared" si="129"/>
        <v>0</v>
      </c>
      <c r="AE138" s="354">
        <f t="shared" si="129"/>
        <v>0</v>
      </c>
      <c r="AF138" s="354">
        <f t="shared" si="129"/>
        <v>0</v>
      </c>
      <c r="AG138" s="354">
        <f t="shared" si="129"/>
        <v>0</v>
      </c>
      <c r="AH138" s="354">
        <f t="shared" si="39"/>
        <v>0</v>
      </c>
      <c r="AI138" s="354">
        <f t="shared" si="129"/>
        <v>0</v>
      </c>
      <c r="AJ138" s="354">
        <f t="shared" si="129"/>
        <v>0</v>
      </c>
      <c r="AL138" s="354">
        <f t="shared" si="40"/>
        <v>0</v>
      </c>
      <c r="AN138" s="354">
        <f t="shared" ref="AN138:BR138" si="173">+AN42-AN90</f>
        <v>0</v>
      </c>
      <c r="AO138" s="354">
        <f t="shared" si="50"/>
        <v>0</v>
      </c>
      <c r="AP138" s="354">
        <f t="shared" si="173"/>
        <v>0</v>
      </c>
      <c r="AQ138" s="354">
        <f t="shared" si="173"/>
        <v>0</v>
      </c>
      <c r="AR138" s="354">
        <f t="shared" si="42"/>
        <v>0</v>
      </c>
      <c r="AS138" s="354">
        <f t="shared" si="42"/>
        <v>0</v>
      </c>
      <c r="AT138" s="354">
        <f t="shared" si="173"/>
        <v>0</v>
      </c>
      <c r="AU138" s="354">
        <f t="shared" si="173"/>
        <v>0</v>
      </c>
      <c r="AV138" s="354">
        <f t="shared" si="173"/>
        <v>0</v>
      </c>
      <c r="AW138" s="354">
        <f t="shared" si="173"/>
        <v>0</v>
      </c>
      <c r="AX138" s="354">
        <f t="shared" si="173"/>
        <v>0</v>
      </c>
      <c r="AY138" s="354">
        <f t="shared" si="173"/>
        <v>0</v>
      </c>
      <c r="AZ138" s="354">
        <f t="shared" si="173"/>
        <v>0</v>
      </c>
      <c r="BA138" s="354">
        <f t="shared" si="173"/>
        <v>0</v>
      </c>
      <c r="BB138" s="354">
        <f t="shared" si="173"/>
        <v>0</v>
      </c>
      <c r="BC138" s="354">
        <f t="shared" si="173"/>
        <v>0</v>
      </c>
      <c r="BD138" s="354">
        <f t="shared" si="173"/>
        <v>0</v>
      </c>
      <c r="BE138" s="354">
        <f t="shared" si="173"/>
        <v>0</v>
      </c>
      <c r="BF138" s="354">
        <f t="shared" si="173"/>
        <v>0</v>
      </c>
      <c r="BG138" s="354">
        <f t="shared" si="173"/>
        <v>0</v>
      </c>
      <c r="BH138" s="354">
        <f t="shared" si="173"/>
        <v>0</v>
      </c>
      <c r="BI138" s="354">
        <f t="shared" si="173"/>
        <v>0</v>
      </c>
      <c r="BJ138" s="354">
        <f t="shared" ref="BJ138" si="174">+BJ42-BJ90</f>
        <v>0</v>
      </c>
      <c r="BK138" s="354">
        <f t="shared" si="44"/>
        <v>0</v>
      </c>
      <c r="BL138" s="354">
        <f t="shared" si="173"/>
        <v>0</v>
      </c>
      <c r="BM138" s="354">
        <f t="shared" si="45"/>
        <v>0</v>
      </c>
      <c r="BN138" s="354">
        <f t="shared" si="173"/>
        <v>0</v>
      </c>
      <c r="BO138" s="354">
        <f t="shared" si="173"/>
        <v>0</v>
      </c>
      <c r="BP138" s="354">
        <f t="shared" si="173"/>
        <v>0</v>
      </c>
      <c r="BQ138" s="354">
        <f t="shared" si="52"/>
        <v>0</v>
      </c>
      <c r="BR138" s="354">
        <f t="shared" si="173"/>
        <v>0</v>
      </c>
      <c r="BS138" s="354"/>
      <c r="BT138" s="354">
        <f t="shared" si="46"/>
        <v>0</v>
      </c>
      <c r="BU138" s="354">
        <f t="shared" si="46"/>
        <v>0</v>
      </c>
      <c r="BV138" s="354">
        <f t="shared" si="46"/>
        <v>0</v>
      </c>
      <c r="BW138" s="354">
        <f t="shared" si="46"/>
        <v>0</v>
      </c>
      <c r="BX138" s="354">
        <f t="shared" si="46"/>
        <v>0</v>
      </c>
      <c r="BY138" s="354">
        <f t="shared" si="46"/>
        <v>0</v>
      </c>
      <c r="BZ138" s="354"/>
      <c r="CA138" s="354"/>
      <c r="CB138" s="354"/>
      <c r="CC138" s="354"/>
      <c r="CD138" s="354"/>
      <c r="CE138" s="354"/>
      <c r="CF138" s="354"/>
      <c r="CG138" s="354"/>
      <c r="CH138" s="354"/>
      <c r="CI138" s="354"/>
      <c r="CJ138" s="354"/>
      <c r="CK138" s="354"/>
      <c r="CL138" s="354"/>
      <c r="CM138" s="693"/>
      <c r="CN138" s="693"/>
      <c r="CO138" s="693"/>
    </row>
    <row r="139" spans="2:93">
      <c r="B139" s="271">
        <f t="shared" si="53"/>
        <v>36</v>
      </c>
      <c r="C139" s="541">
        <f>+Base!AO$4</f>
        <v>97</v>
      </c>
      <c r="D139" s="541">
        <f>+Base!AO$5</f>
        <v>96</v>
      </c>
      <c r="E139" s="540">
        <f>+Base!AO$7</f>
        <v>2054</v>
      </c>
      <c r="F139" s="354">
        <f t="shared" si="159"/>
        <v>0</v>
      </c>
      <c r="G139" s="354">
        <f t="shared" si="159"/>
        <v>0</v>
      </c>
      <c r="H139" s="354">
        <f t="shared" si="159"/>
        <v>0</v>
      </c>
      <c r="I139" s="354">
        <f t="shared" si="159"/>
        <v>0</v>
      </c>
      <c r="J139" s="354">
        <f t="shared" si="159"/>
        <v>0</v>
      </c>
      <c r="K139" s="354">
        <f t="shared" si="159"/>
        <v>0</v>
      </c>
      <c r="M139" s="354">
        <f t="shared" ref="M139:W139" si="175">+M43-M91</f>
        <v>0</v>
      </c>
      <c r="N139" s="354">
        <f t="shared" si="175"/>
        <v>0</v>
      </c>
      <c r="O139" s="354">
        <f t="shared" si="175"/>
        <v>0</v>
      </c>
      <c r="P139" s="354">
        <f t="shared" si="175"/>
        <v>0</v>
      </c>
      <c r="Q139" s="354">
        <f t="shared" si="175"/>
        <v>0</v>
      </c>
      <c r="R139" s="354">
        <f t="shared" si="175"/>
        <v>0</v>
      </c>
      <c r="S139" s="354">
        <f t="shared" si="175"/>
        <v>0</v>
      </c>
      <c r="T139" s="354">
        <f t="shared" si="175"/>
        <v>0</v>
      </c>
      <c r="U139" s="354">
        <f t="shared" si="175"/>
        <v>0</v>
      </c>
      <c r="V139" s="354">
        <f t="shared" si="37"/>
        <v>0</v>
      </c>
      <c r="W139" s="354">
        <f t="shared" si="175"/>
        <v>0</v>
      </c>
      <c r="Y139" s="354">
        <f t="shared" si="129"/>
        <v>0</v>
      </c>
      <c r="Z139" s="354">
        <f t="shared" si="129"/>
        <v>0</v>
      </c>
      <c r="AA139" s="354">
        <f t="shared" si="129"/>
        <v>0</v>
      </c>
      <c r="AB139" s="354">
        <f t="shared" si="129"/>
        <v>0</v>
      </c>
      <c r="AC139" s="354">
        <f t="shared" si="129"/>
        <v>0</v>
      </c>
      <c r="AD139" s="354">
        <f t="shared" si="129"/>
        <v>0</v>
      </c>
      <c r="AE139" s="354">
        <f t="shared" si="129"/>
        <v>0</v>
      </c>
      <c r="AF139" s="354">
        <f t="shared" si="129"/>
        <v>0</v>
      </c>
      <c r="AG139" s="354">
        <f t="shared" si="129"/>
        <v>0</v>
      </c>
      <c r="AH139" s="354">
        <f t="shared" si="39"/>
        <v>0</v>
      </c>
      <c r="AI139" s="354">
        <f t="shared" si="129"/>
        <v>0</v>
      </c>
      <c r="AJ139" s="354">
        <f t="shared" si="129"/>
        <v>0</v>
      </c>
      <c r="AL139" s="354">
        <f t="shared" si="40"/>
        <v>0</v>
      </c>
      <c r="AN139" s="354">
        <f t="shared" ref="AN139:BR139" si="176">+AN43-AN91</f>
        <v>0</v>
      </c>
      <c r="AO139" s="354">
        <f t="shared" si="50"/>
        <v>0</v>
      </c>
      <c r="AP139" s="354">
        <f t="shared" si="176"/>
        <v>0</v>
      </c>
      <c r="AQ139" s="354">
        <f t="shared" si="176"/>
        <v>0</v>
      </c>
      <c r="AR139" s="354">
        <f t="shared" si="42"/>
        <v>0</v>
      </c>
      <c r="AS139" s="354">
        <f t="shared" si="42"/>
        <v>0</v>
      </c>
      <c r="AT139" s="354">
        <f t="shared" si="176"/>
        <v>0</v>
      </c>
      <c r="AU139" s="354">
        <f t="shared" si="176"/>
        <v>0</v>
      </c>
      <c r="AV139" s="354">
        <f t="shared" si="176"/>
        <v>0</v>
      </c>
      <c r="AW139" s="354">
        <f t="shared" si="176"/>
        <v>0</v>
      </c>
      <c r="AX139" s="354">
        <f t="shared" si="176"/>
        <v>0</v>
      </c>
      <c r="AY139" s="354">
        <f t="shared" si="176"/>
        <v>0</v>
      </c>
      <c r="AZ139" s="354">
        <f t="shared" si="176"/>
        <v>0</v>
      </c>
      <c r="BA139" s="354">
        <f t="shared" si="176"/>
        <v>0</v>
      </c>
      <c r="BB139" s="354">
        <f t="shared" si="176"/>
        <v>0</v>
      </c>
      <c r="BC139" s="354">
        <f t="shared" si="176"/>
        <v>0</v>
      </c>
      <c r="BD139" s="354">
        <f t="shared" si="176"/>
        <v>0</v>
      </c>
      <c r="BE139" s="354">
        <f t="shared" si="176"/>
        <v>0</v>
      </c>
      <c r="BF139" s="354">
        <f t="shared" si="176"/>
        <v>0</v>
      </c>
      <c r="BG139" s="354">
        <f t="shared" si="176"/>
        <v>0</v>
      </c>
      <c r="BH139" s="354">
        <f t="shared" si="176"/>
        <v>0</v>
      </c>
      <c r="BI139" s="354">
        <f t="shared" si="176"/>
        <v>0</v>
      </c>
      <c r="BJ139" s="354">
        <f t="shared" ref="BJ139" si="177">+BJ43-BJ91</f>
        <v>0</v>
      </c>
      <c r="BK139" s="354">
        <f t="shared" si="44"/>
        <v>0</v>
      </c>
      <c r="BL139" s="354">
        <f t="shared" si="176"/>
        <v>0</v>
      </c>
      <c r="BM139" s="354">
        <f t="shared" si="45"/>
        <v>0</v>
      </c>
      <c r="BN139" s="354">
        <f t="shared" si="176"/>
        <v>0</v>
      </c>
      <c r="BO139" s="354">
        <f t="shared" si="176"/>
        <v>0</v>
      </c>
      <c r="BP139" s="354">
        <f t="shared" si="176"/>
        <v>0</v>
      </c>
      <c r="BQ139" s="354">
        <f t="shared" si="52"/>
        <v>0</v>
      </c>
      <c r="BR139" s="354">
        <f t="shared" si="176"/>
        <v>0</v>
      </c>
      <c r="BS139" s="354"/>
      <c r="BT139" s="354">
        <f t="shared" si="46"/>
        <v>0</v>
      </c>
      <c r="BU139" s="354">
        <f t="shared" si="46"/>
        <v>0</v>
      </c>
      <c r="BV139" s="354">
        <f t="shared" si="46"/>
        <v>0</v>
      </c>
      <c r="BW139" s="354">
        <f t="shared" si="46"/>
        <v>0</v>
      </c>
      <c r="BX139" s="354">
        <f t="shared" si="46"/>
        <v>0</v>
      </c>
      <c r="BY139" s="354">
        <f t="shared" si="46"/>
        <v>0</v>
      </c>
      <c r="BZ139" s="354"/>
      <c r="CA139" s="354"/>
      <c r="CB139" s="354"/>
      <c r="CC139" s="354"/>
      <c r="CD139" s="354"/>
      <c r="CE139" s="354"/>
      <c r="CF139" s="354"/>
      <c r="CG139" s="354"/>
      <c r="CH139" s="354"/>
      <c r="CI139" s="354"/>
      <c r="CJ139" s="354"/>
      <c r="CK139" s="354"/>
      <c r="CL139" s="354"/>
      <c r="CM139" s="693"/>
      <c r="CN139" s="693"/>
      <c r="CO139" s="693"/>
    </row>
    <row r="140" spans="2:93">
      <c r="B140" s="271">
        <f t="shared" si="53"/>
        <v>37</v>
      </c>
      <c r="C140" s="541">
        <f>+Base!AP$4</f>
        <v>98</v>
      </c>
      <c r="D140" s="541">
        <f>+Base!AP$5</f>
        <v>97</v>
      </c>
      <c r="E140" s="540">
        <f>+Base!AP$7</f>
        <v>2055</v>
      </c>
      <c r="F140" s="354">
        <f t="shared" si="159"/>
        <v>0</v>
      </c>
      <c r="G140" s="354">
        <f t="shared" si="159"/>
        <v>0</v>
      </c>
      <c r="H140" s="354">
        <f t="shared" si="159"/>
        <v>0</v>
      </c>
      <c r="I140" s="354">
        <f t="shared" si="159"/>
        <v>0</v>
      </c>
      <c r="J140" s="354">
        <f t="shared" si="159"/>
        <v>0</v>
      </c>
      <c r="K140" s="354">
        <f t="shared" si="159"/>
        <v>0</v>
      </c>
      <c r="M140" s="354">
        <f t="shared" ref="M140:W140" si="178">+M44-M92</f>
        <v>0</v>
      </c>
      <c r="N140" s="354">
        <f t="shared" si="178"/>
        <v>0</v>
      </c>
      <c r="O140" s="354">
        <f t="shared" si="178"/>
        <v>0</v>
      </c>
      <c r="P140" s="354">
        <f t="shared" si="178"/>
        <v>0</v>
      </c>
      <c r="Q140" s="354">
        <f t="shared" si="178"/>
        <v>0</v>
      </c>
      <c r="R140" s="354">
        <f t="shared" si="178"/>
        <v>0</v>
      </c>
      <c r="S140" s="354">
        <f t="shared" si="178"/>
        <v>0</v>
      </c>
      <c r="T140" s="354">
        <f t="shared" si="178"/>
        <v>0</v>
      </c>
      <c r="U140" s="354">
        <f t="shared" si="178"/>
        <v>0</v>
      </c>
      <c r="V140" s="354">
        <f t="shared" si="37"/>
        <v>0</v>
      </c>
      <c r="W140" s="354">
        <f t="shared" si="178"/>
        <v>0</v>
      </c>
      <c r="Y140" s="354">
        <f t="shared" si="129"/>
        <v>0</v>
      </c>
      <c r="Z140" s="354">
        <f t="shared" si="129"/>
        <v>0</v>
      </c>
      <c r="AA140" s="354">
        <f t="shared" si="129"/>
        <v>0</v>
      </c>
      <c r="AB140" s="354">
        <f t="shared" si="129"/>
        <v>0</v>
      </c>
      <c r="AC140" s="354">
        <f t="shared" si="129"/>
        <v>0</v>
      </c>
      <c r="AD140" s="354">
        <f t="shared" si="129"/>
        <v>0</v>
      </c>
      <c r="AE140" s="354">
        <f t="shared" si="129"/>
        <v>0</v>
      </c>
      <c r="AF140" s="354">
        <f t="shared" si="129"/>
        <v>0</v>
      </c>
      <c r="AG140" s="354">
        <f t="shared" si="129"/>
        <v>0</v>
      </c>
      <c r="AH140" s="354">
        <f t="shared" si="39"/>
        <v>0</v>
      </c>
      <c r="AI140" s="354">
        <f t="shared" si="129"/>
        <v>0</v>
      </c>
      <c r="AJ140" s="354">
        <f t="shared" si="129"/>
        <v>0</v>
      </c>
      <c r="AL140" s="354">
        <f t="shared" si="40"/>
        <v>0</v>
      </c>
      <c r="AN140" s="354">
        <f t="shared" ref="AN140:BR140" si="179">+AN44-AN92</f>
        <v>0</v>
      </c>
      <c r="AO140" s="354">
        <f t="shared" si="50"/>
        <v>0</v>
      </c>
      <c r="AP140" s="354">
        <f t="shared" si="179"/>
        <v>0</v>
      </c>
      <c r="AQ140" s="354">
        <f t="shared" si="179"/>
        <v>0</v>
      </c>
      <c r="AR140" s="354">
        <f t="shared" si="42"/>
        <v>0</v>
      </c>
      <c r="AS140" s="354">
        <f t="shared" si="42"/>
        <v>0</v>
      </c>
      <c r="AT140" s="354">
        <f t="shared" si="179"/>
        <v>0</v>
      </c>
      <c r="AU140" s="354">
        <f t="shared" si="179"/>
        <v>0</v>
      </c>
      <c r="AV140" s="354">
        <f t="shared" si="179"/>
        <v>0</v>
      </c>
      <c r="AW140" s="354">
        <f t="shared" si="179"/>
        <v>0</v>
      </c>
      <c r="AX140" s="354">
        <f t="shared" si="179"/>
        <v>0</v>
      </c>
      <c r="AY140" s="354">
        <f t="shared" si="179"/>
        <v>0</v>
      </c>
      <c r="AZ140" s="354">
        <f t="shared" si="179"/>
        <v>0</v>
      </c>
      <c r="BA140" s="354">
        <f t="shared" si="179"/>
        <v>0</v>
      </c>
      <c r="BB140" s="354">
        <f t="shared" si="179"/>
        <v>0</v>
      </c>
      <c r="BC140" s="354">
        <f t="shared" si="179"/>
        <v>0</v>
      </c>
      <c r="BD140" s="354">
        <f t="shared" si="179"/>
        <v>0</v>
      </c>
      <c r="BE140" s="354">
        <f t="shared" si="179"/>
        <v>0</v>
      </c>
      <c r="BF140" s="354">
        <f t="shared" si="179"/>
        <v>0</v>
      </c>
      <c r="BG140" s="354">
        <f t="shared" si="179"/>
        <v>0</v>
      </c>
      <c r="BH140" s="354">
        <f t="shared" si="179"/>
        <v>0</v>
      </c>
      <c r="BI140" s="354">
        <f t="shared" si="179"/>
        <v>0</v>
      </c>
      <c r="BJ140" s="354">
        <f t="shared" ref="BJ140" si="180">+BJ44-BJ92</f>
        <v>0</v>
      </c>
      <c r="BK140" s="354">
        <f t="shared" si="44"/>
        <v>0</v>
      </c>
      <c r="BL140" s="354">
        <f t="shared" si="179"/>
        <v>0</v>
      </c>
      <c r="BM140" s="354">
        <f t="shared" si="45"/>
        <v>0</v>
      </c>
      <c r="BN140" s="354">
        <f t="shared" si="179"/>
        <v>0</v>
      </c>
      <c r="BO140" s="354">
        <f t="shared" si="179"/>
        <v>0</v>
      </c>
      <c r="BP140" s="354">
        <f t="shared" si="179"/>
        <v>0</v>
      </c>
      <c r="BQ140" s="354">
        <f t="shared" si="52"/>
        <v>0</v>
      </c>
      <c r="BR140" s="354">
        <f t="shared" si="179"/>
        <v>0</v>
      </c>
      <c r="BS140" s="354"/>
      <c r="BT140" s="354">
        <f t="shared" si="46"/>
        <v>0</v>
      </c>
      <c r="BU140" s="354">
        <f t="shared" si="46"/>
        <v>0</v>
      </c>
      <c r="BV140" s="354">
        <f t="shared" si="46"/>
        <v>0</v>
      </c>
      <c r="BW140" s="354">
        <f t="shared" si="46"/>
        <v>0</v>
      </c>
      <c r="BX140" s="354">
        <f t="shared" si="46"/>
        <v>0</v>
      </c>
      <c r="BY140" s="354">
        <f t="shared" si="46"/>
        <v>0</v>
      </c>
      <c r="BZ140" s="354"/>
      <c r="CA140" s="354"/>
      <c r="CB140" s="354"/>
      <c r="CC140" s="354"/>
      <c r="CD140" s="354"/>
      <c r="CE140" s="354"/>
      <c r="CF140" s="354"/>
      <c r="CG140" s="354"/>
      <c r="CH140" s="354"/>
      <c r="CI140" s="354"/>
      <c r="CJ140" s="354"/>
      <c r="CK140" s="354"/>
      <c r="CL140" s="354"/>
      <c r="CM140" s="693"/>
      <c r="CN140" s="693"/>
      <c r="CO140" s="693"/>
    </row>
    <row r="141" spans="2:93">
      <c r="B141" s="271">
        <f t="shared" si="53"/>
        <v>38</v>
      </c>
      <c r="C141" s="541">
        <f>+Base!AQ$4</f>
        <v>99</v>
      </c>
      <c r="D141" s="541">
        <f>+Base!AQ$5</f>
        <v>98</v>
      </c>
      <c r="E141" s="540">
        <f>+Base!AQ$7</f>
        <v>2056</v>
      </c>
      <c r="F141" s="354">
        <f t="shared" si="159"/>
        <v>0</v>
      </c>
      <c r="G141" s="354">
        <f t="shared" si="159"/>
        <v>0</v>
      </c>
      <c r="H141" s="354">
        <f t="shared" si="159"/>
        <v>0</v>
      </c>
      <c r="I141" s="354">
        <f t="shared" si="159"/>
        <v>0</v>
      </c>
      <c r="J141" s="354">
        <f t="shared" si="159"/>
        <v>0</v>
      </c>
      <c r="K141" s="354">
        <f t="shared" si="159"/>
        <v>0</v>
      </c>
      <c r="M141" s="354">
        <f t="shared" ref="M141:W141" si="181">+M45-M93</f>
        <v>0</v>
      </c>
      <c r="N141" s="354">
        <f t="shared" si="181"/>
        <v>0</v>
      </c>
      <c r="O141" s="354">
        <f t="shared" si="181"/>
        <v>0</v>
      </c>
      <c r="P141" s="354">
        <f t="shared" si="181"/>
        <v>0</v>
      </c>
      <c r="Q141" s="354">
        <f t="shared" si="181"/>
        <v>0</v>
      </c>
      <c r="R141" s="354">
        <f t="shared" si="181"/>
        <v>0</v>
      </c>
      <c r="S141" s="354">
        <f t="shared" si="181"/>
        <v>0</v>
      </c>
      <c r="T141" s="354">
        <f t="shared" si="181"/>
        <v>0</v>
      </c>
      <c r="U141" s="354">
        <f t="shared" si="181"/>
        <v>0</v>
      </c>
      <c r="V141" s="354">
        <f t="shared" si="37"/>
        <v>0</v>
      </c>
      <c r="W141" s="354">
        <f t="shared" si="181"/>
        <v>0</v>
      </c>
      <c r="Y141" s="354">
        <f t="shared" si="129"/>
        <v>0</v>
      </c>
      <c r="Z141" s="354">
        <f t="shared" si="129"/>
        <v>0</v>
      </c>
      <c r="AA141" s="354">
        <f t="shared" si="129"/>
        <v>0</v>
      </c>
      <c r="AB141" s="354">
        <f t="shared" si="129"/>
        <v>0</v>
      </c>
      <c r="AC141" s="354">
        <f t="shared" si="129"/>
        <v>0</v>
      </c>
      <c r="AD141" s="354">
        <f t="shared" si="129"/>
        <v>0</v>
      </c>
      <c r="AE141" s="354">
        <f t="shared" si="129"/>
        <v>0</v>
      </c>
      <c r="AF141" s="354">
        <f t="shared" si="129"/>
        <v>0</v>
      </c>
      <c r="AG141" s="354">
        <f t="shared" si="129"/>
        <v>0</v>
      </c>
      <c r="AH141" s="354">
        <f t="shared" si="39"/>
        <v>0</v>
      </c>
      <c r="AI141" s="354">
        <f t="shared" si="129"/>
        <v>0</v>
      </c>
      <c r="AJ141" s="354">
        <f t="shared" si="129"/>
        <v>0</v>
      </c>
      <c r="AL141" s="354">
        <f t="shared" si="40"/>
        <v>0</v>
      </c>
      <c r="AN141" s="354">
        <f t="shared" ref="AN141:BR141" si="182">+AN45-AN93</f>
        <v>0</v>
      </c>
      <c r="AO141" s="354">
        <f t="shared" si="50"/>
        <v>0</v>
      </c>
      <c r="AP141" s="354">
        <f t="shared" si="182"/>
        <v>0</v>
      </c>
      <c r="AQ141" s="354">
        <f t="shared" si="182"/>
        <v>0</v>
      </c>
      <c r="AR141" s="354">
        <f t="shared" si="42"/>
        <v>0</v>
      </c>
      <c r="AS141" s="354">
        <f t="shared" si="42"/>
        <v>0</v>
      </c>
      <c r="AT141" s="354">
        <f t="shared" si="182"/>
        <v>0</v>
      </c>
      <c r="AU141" s="354">
        <f t="shared" si="182"/>
        <v>0</v>
      </c>
      <c r="AV141" s="354">
        <f t="shared" si="182"/>
        <v>0</v>
      </c>
      <c r="AW141" s="354">
        <f t="shared" si="182"/>
        <v>0</v>
      </c>
      <c r="AX141" s="354">
        <f t="shared" si="182"/>
        <v>0</v>
      </c>
      <c r="AY141" s="354">
        <f t="shared" si="182"/>
        <v>0</v>
      </c>
      <c r="AZ141" s="354">
        <f t="shared" si="182"/>
        <v>0</v>
      </c>
      <c r="BA141" s="354">
        <f t="shared" si="182"/>
        <v>0</v>
      </c>
      <c r="BB141" s="354">
        <f t="shared" si="182"/>
        <v>0</v>
      </c>
      <c r="BC141" s="354">
        <f t="shared" si="182"/>
        <v>0</v>
      </c>
      <c r="BD141" s="354">
        <f t="shared" si="182"/>
        <v>0</v>
      </c>
      <c r="BE141" s="354">
        <f t="shared" si="182"/>
        <v>0</v>
      </c>
      <c r="BF141" s="354">
        <f t="shared" si="182"/>
        <v>0</v>
      </c>
      <c r="BG141" s="354">
        <f t="shared" si="182"/>
        <v>0</v>
      </c>
      <c r="BH141" s="354">
        <f t="shared" si="182"/>
        <v>0</v>
      </c>
      <c r="BI141" s="354">
        <f t="shared" si="182"/>
        <v>0</v>
      </c>
      <c r="BJ141" s="354">
        <f t="shared" ref="BJ141" si="183">+BJ45-BJ93</f>
        <v>0</v>
      </c>
      <c r="BK141" s="354">
        <f t="shared" si="44"/>
        <v>0</v>
      </c>
      <c r="BL141" s="354">
        <f t="shared" si="182"/>
        <v>0</v>
      </c>
      <c r="BM141" s="354">
        <f t="shared" si="45"/>
        <v>0</v>
      </c>
      <c r="BN141" s="354">
        <f t="shared" si="182"/>
        <v>0</v>
      </c>
      <c r="BO141" s="354">
        <f t="shared" si="182"/>
        <v>0</v>
      </c>
      <c r="BP141" s="354">
        <f t="shared" si="182"/>
        <v>0</v>
      </c>
      <c r="BQ141" s="354">
        <f t="shared" si="52"/>
        <v>0</v>
      </c>
      <c r="BR141" s="354">
        <f t="shared" si="182"/>
        <v>0</v>
      </c>
      <c r="BS141" s="354"/>
      <c r="BT141" s="354">
        <f t="shared" si="46"/>
        <v>0</v>
      </c>
      <c r="BU141" s="354">
        <f t="shared" si="46"/>
        <v>0</v>
      </c>
      <c r="BV141" s="354">
        <f t="shared" si="46"/>
        <v>0</v>
      </c>
      <c r="BW141" s="354">
        <f t="shared" si="46"/>
        <v>0</v>
      </c>
      <c r="BX141" s="354">
        <f t="shared" si="46"/>
        <v>0</v>
      </c>
      <c r="BY141" s="354">
        <f t="shared" si="46"/>
        <v>0</v>
      </c>
      <c r="BZ141" s="354"/>
      <c r="CA141" s="354"/>
      <c r="CB141" s="354"/>
      <c r="CC141" s="354"/>
      <c r="CD141" s="354"/>
      <c r="CE141" s="354"/>
      <c r="CF141" s="354"/>
      <c r="CG141" s="354"/>
      <c r="CH141" s="354"/>
      <c r="CI141" s="354"/>
      <c r="CJ141" s="354"/>
      <c r="CK141" s="354"/>
      <c r="CL141" s="354"/>
      <c r="CM141" s="693"/>
      <c r="CN141" s="693"/>
      <c r="CO141" s="693"/>
    </row>
    <row r="142" spans="2:93">
      <c r="B142" s="271">
        <f t="shared" si="53"/>
        <v>39</v>
      </c>
      <c r="C142" s="541">
        <f>+Base!AR$4</f>
        <v>100</v>
      </c>
      <c r="D142" s="541">
        <f>+Base!AR$5</f>
        <v>99</v>
      </c>
      <c r="E142" s="540">
        <f>+Base!AR$7</f>
        <v>2057</v>
      </c>
      <c r="F142" s="354">
        <f t="shared" ref="F142:K142" si="184">+F46-F94</f>
        <v>0</v>
      </c>
      <c r="G142" s="354">
        <f t="shared" si="184"/>
        <v>0</v>
      </c>
      <c r="H142" s="354">
        <f t="shared" si="184"/>
        <v>0</v>
      </c>
      <c r="I142" s="354">
        <f t="shared" si="184"/>
        <v>0</v>
      </c>
      <c r="J142" s="354">
        <f t="shared" si="184"/>
        <v>0</v>
      </c>
      <c r="K142" s="354">
        <f t="shared" si="184"/>
        <v>0</v>
      </c>
      <c r="M142" s="354">
        <f t="shared" ref="M142:W142" si="185">+M46-M94</f>
        <v>0</v>
      </c>
      <c r="N142" s="354">
        <f t="shared" si="185"/>
        <v>0</v>
      </c>
      <c r="O142" s="354">
        <f t="shared" si="185"/>
        <v>0</v>
      </c>
      <c r="P142" s="354">
        <f t="shared" si="185"/>
        <v>0</v>
      </c>
      <c r="Q142" s="354">
        <f t="shared" si="185"/>
        <v>0</v>
      </c>
      <c r="R142" s="354">
        <f t="shared" si="185"/>
        <v>0</v>
      </c>
      <c r="S142" s="354">
        <f t="shared" si="185"/>
        <v>0</v>
      </c>
      <c r="T142" s="354">
        <f t="shared" si="185"/>
        <v>0</v>
      </c>
      <c r="U142" s="354">
        <f t="shared" si="185"/>
        <v>0</v>
      </c>
      <c r="V142" s="354">
        <f t="shared" si="37"/>
        <v>0</v>
      </c>
      <c r="W142" s="354">
        <f t="shared" si="185"/>
        <v>0</v>
      </c>
      <c r="Y142" s="354">
        <f t="shared" ref="Y142:AJ143" si="186">+Y46-Y94</f>
        <v>0</v>
      </c>
      <c r="Z142" s="354">
        <f t="shared" si="186"/>
        <v>0</v>
      </c>
      <c r="AA142" s="354">
        <f t="shared" si="186"/>
        <v>0</v>
      </c>
      <c r="AB142" s="354">
        <f t="shared" si="186"/>
        <v>0</v>
      </c>
      <c r="AC142" s="354">
        <f t="shared" si="186"/>
        <v>0</v>
      </c>
      <c r="AD142" s="354">
        <f t="shared" si="186"/>
        <v>0</v>
      </c>
      <c r="AE142" s="354">
        <f t="shared" si="186"/>
        <v>0</v>
      </c>
      <c r="AF142" s="354">
        <f t="shared" si="186"/>
        <v>0</v>
      </c>
      <c r="AG142" s="354">
        <f t="shared" si="186"/>
        <v>0</v>
      </c>
      <c r="AH142" s="354">
        <f t="shared" si="39"/>
        <v>0</v>
      </c>
      <c r="AI142" s="354">
        <f t="shared" si="186"/>
        <v>0</v>
      </c>
      <c r="AJ142" s="354">
        <f t="shared" si="186"/>
        <v>0</v>
      </c>
      <c r="AL142" s="354">
        <f t="shared" si="40"/>
        <v>0</v>
      </c>
      <c r="AN142" s="354">
        <f t="shared" ref="AN142:BR142" si="187">+AN46-AN94</f>
        <v>0</v>
      </c>
      <c r="AO142" s="354">
        <f t="shared" si="50"/>
        <v>0</v>
      </c>
      <c r="AP142" s="354">
        <f t="shared" si="187"/>
        <v>0</v>
      </c>
      <c r="AQ142" s="354">
        <f t="shared" si="187"/>
        <v>0</v>
      </c>
      <c r="AR142" s="354">
        <f t="shared" si="42"/>
        <v>0</v>
      </c>
      <c r="AS142" s="354">
        <f t="shared" si="42"/>
        <v>0</v>
      </c>
      <c r="AT142" s="354">
        <f t="shared" si="187"/>
        <v>0</v>
      </c>
      <c r="AU142" s="354">
        <f t="shared" si="187"/>
        <v>0</v>
      </c>
      <c r="AV142" s="354">
        <f t="shared" si="187"/>
        <v>0</v>
      </c>
      <c r="AW142" s="354">
        <f t="shared" si="187"/>
        <v>0</v>
      </c>
      <c r="AX142" s="354">
        <f t="shared" si="187"/>
        <v>0</v>
      </c>
      <c r="AY142" s="354">
        <f t="shared" si="187"/>
        <v>0</v>
      </c>
      <c r="AZ142" s="354">
        <f t="shared" si="187"/>
        <v>0</v>
      </c>
      <c r="BA142" s="354">
        <f t="shared" si="187"/>
        <v>0</v>
      </c>
      <c r="BB142" s="354">
        <f t="shared" si="187"/>
        <v>0</v>
      </c>
      <c r="BC142" s="354">
        <f t="shared" si="187"/>
        <v>0</v>
      </c>
      <c r="BD142" s="354">
        <f t="shared" si="187"/>
        <v>0</v>
      </c>
      <c r="BE142" s="354">
        <f t="shared" si="187"/>
        <v>0</v>
      </c>
      <c r="BF142" s="354">
        <f t="shared" si="187"/>
        <v>0</v>
      </c>
      <c r="BG142" s="354">
        <f t="shared" si="187"/>
        <v>0</v>
      </c>
      <c r="BH142" s="354">
        <f t="shared" si="187"/>
        <v>0</v>
      </c>
      <c r="BI142" s="354">
        <f t="shared" si="187"/>
        <v>0</v>
      </c>
      <c r="BJ142" s="354">
        <f t="shared" ref="BJ142" si="188">+BJ46-BJ94</f>
        <v>0</v>
      </c>
      <c r="BK142" s="354">
        <f t="shared" si="44"/>
        <v>0</v>
      </c>
      <c r="BL142" s="354">
        <f t="shared" si="187"/>
        <v>0</v>
      </c>
      <c r="BM142" s="354">
        <f t="shared" si="45"/>
        <v>0</v>
      </c>
      <c r="BN142" s="354">
        <f t="shared" si="187"/>
        <v>0</v>
      </c>
      <c r="BO142" s="354">
        <f t="shared" si="187"/>
        <v>0</v>
      </c>
      <c r="BP142" s="354">
        <f t="shared" si="187"/>
        <v>0</v>
      </c>
      <c r="BQ142" s="354">
        <f t="shared" si="52"/>
        <v>0</v>
      </c>
      <c r="BR142" s="354">
        <f t="shared" si="187"/>
        <v>0</v>
      </c>
      <c r="BS142" s="354"/>
      <c r="BT142" s="354">
        <f t="shared" si="46"/>
        <v>0</v>
      </c>
      <c r="BU142" s="354">
        <f t="shared" si="46"/>
        <v>0</v>
      </c>
      <c r="BV142" s="354">
        <f t="shared" si="46"/>
        <v>0</v>
      </c>
      <c r="BW142" s="354">
        <f t="shared" si="46"/>
        <v>0</v>
      </c>
      <c r="BX142" s="354">
        <f t="shared" si="46"/>
        <v>0</v>
      </c>
      <c r="BY142" s="354">
        <f t="shared" si="46"/>
        <v>0</v>
      </c>
      <c r="BZ142" s="354"/>
      <c r="CA142" s="354"/>
      <c r="CB142" s="354"/>
      <c r="CC142" s="354"/>
      <c r="CD142" s="354"/>
      <c r="CE142" s="354"/>
      <c r="CF142" s="354"/>
      <c r="CG142" s="354"/>
      <c r="CH142" s="354"/>
      <c r="CI142" s="354"/>
      <c r="CJ142" s="354"/>
      <c r="CK142" s="354"/>
      <c r="CL142" s="354"/>
      <c r="CM142" s="693"/>
      <c r="CN142" s="693"/>
      <c r="CO142" s="693"/>
    </row>
    <row r="143" spans="2:93">
      <c r="B143" s="271">
        <f t="shared" si="53"/>
        <v>40</v>
      </c>
      <c r="C143" s="541">
        <f>+Base!AS$4</f>
        <v>101</v>
      </c>
      <c r="D143" s="541">
        <f>+Base!AS$5</f>
        <v>100</v>
      </c>
      <c r="E143" s="540">
        <f>+Base!AS$7</f>
        <v>2058</v>
      </c>
      <c r="F143" s="354">
        <f t="shared" ref="F143:K143" si="189">+F47-F95</f>
        <v>0</v>
      </c>
      <c r="G143" s="354">
        <f t="shared" si="189"/>
        <v>0</v>
      </c>
      <c r="H143" s="354">
        <f t="shared" si="189"/>
        <v>0</v>
      </c>
      <c r="I143" s="354">
        <f t="shared" si="189"/>
        <v>0</v>
      </c>
      <c r="J143" s="354">
        <f t="shared" si="189"/>
        <v>0</v>
      </c>
      <c r="K143" s="354">
        <f t="shared" si="189"/>
        <v>0</v>
      </c>
      <c r="M143" s="578">
        <f t="shared" ref="M143:W143" si="190">+M47-M95</f>
        <v>0</v>
      </c>
      <c r="N143" s="578">
        <f t="shared" si="190"/>
        <v>0</v>
      </c>
      <c r="O143" s="578">
        <f t="shared" si="190"/>
        <v>0</v>
      </c>
      <c r="P143" s="578">
        <f t="shared" si="190"/>
        <v>0</v>
      </c>
      <c r="Q143" s="578">
        <f t="shared" si="190"/>
        <v>0</v>
      </c>
      <c r="R143" s="578">
        <f t="shared" si="190"/>
        <v>0</v>
      </c>
      <c r="S143" s="578">
        <f t="shared" si="190"/>
        <v>0</v>
      </c>
      <c r="T143" s="578">
        <f t="shared" si="190"/>
        <v>0</v>
      </c>
      <c r="U143" s="578">
        <f t="shared" si="190"/>
        <v>0</v>
      </c>
      <c r="V143" s="578">
        <f t="shared" si="37"/>
        <v>0</v>
      </c>
      <c r="W143" s="578">
        <f t="shared" si="190"/>
        <v>0</v>
      </c>
      <c r="Y143" s="578">
        <f t="shared" si="186"/>
        <v>0</v>
      </c>
      <c r="Z143" s="578">
        <f t="shared" si="186"/>
        <v>0</v>
      </c>
      <c r="AA143" s="578">
        <f t="shared" si="186"/>
        <v>0</v>
      </c>
      <c r="AB143" s="578">
        <f t="shared" si="186"/>
        <v>0</v>
      </c>
      <c r="AC143" s="578">
        <f t="shared" si="186"/>
        <v>0</v>
      </c>
      <c r="AD143" s="578">
        <f t="shared" si="186"/>
        <v>0</v>
      </c>
      <c r="AE143" s="578">
        <f t="shared" si="186"/>
        <v>0</v>
      </c>
      <c r="AF143" s="578">
        <f t="shared" si="186"/>
        <v>0</v>
      </c>
      <c r="AG143" s="578">
        <f t="shared" si="186"/>
        <v>0</v>
      </c>
      <c r="AH143" s="578">
        <f t="shared" si="39"/>
        <v>0</v>
      </c>
      <c r="AI143" s="578">
        <f t="shared" si="186"/>
        <v>0</v>
      </c>
      <c r="AJ143" s="578">
        <f t="shared" si="186"/>
        <v>0</v>
      </c>
      <c r="AL143" s="354">
        <f t="shared" si="40"/>
        <v>0</v>
      </c>
      <c r="AN143" s="578">
        <f t="shared" ref="AN143:BR143" si="191">+AN47-AN95</f>
        <v>0</v>
      </c>
      <c r="AO143" s="578">
        <f t="shared" si="50"/>
        <v>0</v>
      </c>
      <c r="AP143" s="578">
        <f t="shared" si="191"/>
        <v>0</v>
      </c>
      <c r="AQ143" s="578">
        <f t="shared" si="191"/>
        <v>0</v>
      </c>
      <c r="AR143" s="578">
        <f t="shared" si="42"/>
        <v>0</v>
      </c>
      <c r="AS143" s="578">
        <f t="shared" si="42"/>
        <v>0</v>
      </c>
      <c r="AT143" s="578">
        <f t="shared" si="191"/>
        <v>0</v>
      </c>
      <c r="AU143" s="578">
        <f t="shared" si="191"/>
        <v>0</v>
      </c>
      <c r="AV143" s="578">
        <f t="shared" si="191"/>
        <v>0</v>
      </c>
      <c r="AW143" s="578">
        <f t="shared" si="191"/>
        <v>0</v>
      </c>
      <c r="AX143" s="578">
        <f t="shared" si="191"/>
        <v>0</v>
      </c>
      <c r="AY143" s="578">
        <f t="shared" si="191"/>
        <v>0</v>
      </c>
      <c r="AZ143" s="578">
        <f t="shared" si="191"/>
        <v>0</v>
      </c>
      <c r="BA143" s="578">
        <f t="shared" si="191"/>
        <v>0</v>
      </c>
      <c r="BB143" s="578">
        <f t="shared" si="191"/>
        <v>0</v>
      </c>
      <c r="BC143" s="578">
        <f t="shared" si="191"/>
        <v>0</v>
      </c>
      <c r="BD143" s="578">
        <f t="shared" si="191"/>
        <v>0</v>
      </c>
      <c r="BE143" s="578">
        <f t="shared" si="191"/>
        <v>0</v>
      </c>
      <c r="BF143" s="578">
        <f t="shared" si="191"/>
        <v>0</v>
      </c>
      <c r="BG143" s="578">
        <f t="shared" si="191"/>
        <v>0</v>
      </c>
      <c r="BH143" s="578">
        <f t="shared" si="191"/>
        <v>0</v>
      </c>
      <c r="BI143" s="578">
        <f t="shared" si="191"/>
        <v>0</v>
      </c>
      <c r="BJ143" s="578">
        <f t="shared" ref="BJ143" si="192">+BJ47-BJ95</f>
        <v>0</v>
      </c>
      <c r="BK143" s="578">
        <f t="shared" si="44"/>
        <v>0</v>
      </c>
      <c r="BL143" s="578">
        <f t="shared" si="191"/>
        <v>0</v>
      </c>
      <c r="BM143" s="578">
        <f t="shared" si="45"/>
        <v>0</v>
      </c>
      <c r="BN143" s="578">
        <f t="shared" si="191"/>
        <v>0</v>
      </c>
      <c r="BO143" s="578">
        <f t="shared" si="191"/>
        <v>0</v>
      </c>
      <c r="BP143" s="578">
        <f t="shared" si="191"/>
        <v>0</v>
      </c>
      <c r="BQ143" s="578">
        <f t="shared" si="52"/>
        <v>0</v>
      </c>
      <c r="BR143" s="578">
        <f t="shared" si="191"/>
        <v>0</v>
      </c>
      <c r="BS143" s="585"/>
      <c r="BT143" s="354">
        <f t="shared" si="46"/>
        <v>0</v>
      </c>
      <c r="BU143" s="354">
        <f t="shared" si="46"/>
        <v>0</v>
      </c>
      <c r="BV143" s="354">
        <f t="shared" si="46"/>
        <v>0</v>
      </c>
      <c r="BW143" s="354">
        <f t="shared" si="46"/>
        <v>0</v>
      </c>
      <c r="BX143" s="354">
        <f t="shared" si="46"/>
        <v>0</v>
      </c>
      <c r="BY143" s="354">
        <f t="shared" si="46"/>
        <v>0</v>
      </c>
      <c r="BZ143" s="585"/>
      <c r="CA143" s="585"/>
      <c r="CB143" s="585"/>
      <c r="CC143" s="585"/>
      <c r="CD143" s="585"/>
      <c r="CE143" s="585"/>
      <c r="CF143" s="585"/>
      <c r="CG143" s="585"/>
      <c r="CH143" s="585"/>
      <c r="CI143" s="585"/>
      <c r="CJ143" s="585"/>
      <c r="CK143" s="585"/>
      <c r="CL143" s="585"/>
      <c r="CM143" s="693"/>
      <c r="CN143" s="693"/>
      <c r="CO143" s="693"/>
    </row>
    <row r="144" spans="2:93">
      <c r="B144" s="726" t="s">
        <v>1458</v>
      </c>
      <c r="F144" s="33">
        <f t="shared" ref="F144:K144" ca="1" si="193">+F48-F96</f>
        <v>0</v>
      </c>
      <c r="G144" s="33">
        <f t="shared" ca="1" si="193"/>
        <v>0</v>
      </c>
      <c r="H144" s="33">
        <f t="shared" ca="1" si="193"/>
        <v>0</v>
      </c>
      <c r="I144" s="33">
        <f t="shared" ca="1" si="193"/>
        <v>0</v>
      </c>
      <c r="J144" s="33">
        <f t="shared" ca="1" si="193"/>
        <v>0</v>
      </c>
      <c r="K144" s="33">
        <f t="shared" ca="1" si="193"/>
        <v>0</v>
      </c>
      <c r="M144" s="354">
        <f t="shared" ref="M144:W144" si="194">SUM(M104:M143)</f>
        <v>0</v>
      </c>
      <c r="N144" s="354">
        <f t="shared" si="194"/>
        <v>0</v>
      </c>
      <c r="O144" s="354">
        <f t="shared" si="194"/>
        <v>0</v>
      </c>
      <c r="P144" s="354">
        <f t="shared" si="194"/>
        <v>0</v>
      </c>
      <c r="Q144" s="354">
        <f t="shared" si="194"/>
        <v>0</v>
      </c>
      <c r="R144" s="354">
        <f t="shared" si="194"/>
        <v>0</v>
      </c>
      <c r="S144" s="354">
        <f t="shared" si="194"/>
        <v>0</v>
      </c>
      <c r="T144" s="354">
        <f t="shared" si="194"/>
        <v>0</v>
      </c>
      <c r="U144" s="354">
        <f t="shared" si="194"/>
        <v>0</v>
      </c>
      <c r="V144" s="354">
        <f t="shared" si="194"/>
        <v>0</v>
      </c>
      <c r="W144" s="354">
        <f t="shared" si="194"/>
        <v>0</v>
      </c>
      <c r="Y144" s="585">
        <f>SUM(Y104:Y143)</f>
        <v>0</v>
      </c>
      <c r="Z144" s="585">
        <f>SUM(Z104:Z143)</f>
        <v>0</v>
      </c>
      <c r="AA144" s="585">
        <f t="shared" ref="AA144:AG144" si="195">SUM(AA104:AA143)</f>
        <v>0</v>
      </c>
      <c r="AB144" s="585">
        <f t="shared" si="195"/>
        <v>0</v>
      </c>
      <c r="AC144" s="585">
        <f t="shared" si="195"/>
        <v>0</v>
      </c>
      <c r="AD144" s="585">
        <f t="shared" si="195"/>
        <v>0</v>
      </c>
      <c r="AE144" s="585">
        <f t="shared" si="195"/>
        <v>0</v>
      </c>
      <c r="AF144" s="585">
        <f t="shared" si="195"/>
        <v>0</v>
      </c>
      <c r="AG144" s="585">
        <f t="shared" si="195"/>
        <v>0</v>
      </c>
      <c r="AH144" s="585">
        <f>SUM(AH104:AH143)</f>
        <v>0</v>
      </c>
      <c r="AI144" s="585">
        <f>SUM(AI104:AI143)</f>
        <v>0</v>
      </c>
      <c r="AJ144" s="585">
        <f>SUM(AJ104:AJ143)</f>
        <v>0</v>
      </c>
      <c r="AK144" s="585"/>
      <c r="AN144" s="354">
        <f t="shared" ref="AN144:BR144" si="196">SUM(AN104:AN143)</f>
        <v>0</v>
      </c>
      <c r="AO144" s="354">
        <f t="shared" si="196"/>
        <v>0</v>
      </c>
      <c r="AP144" s="354">
        <f t="shared" si="196"/>
        <v>0</v>
      </c>
      <c r="AQ144" s="354">
        <f t="shared" si="196"/>
        <v>0</v>
      </c>
      <c r="AR144" s="354">
        <f t="shared" si="196"/>
        <v>0</v>
      </c>
      <c r="AS144" s="354">
        <f>SUM(AS104:AS143)</f>
        <v>0</v>
      </c>
      <c r="AT144" s="354">
        <f t="shared" si="196"/>
        <v>0</v>
      </c>
      <c r="AU144" s="354">
        <f t="shared" si="196"/>
        <v>0</v>
      </c>
      <c r="AV144" s="354">
        <f t="shared" si="196"/>
        <v>0</v>
      </c>
      <c r="AW144" s="354">
        <f t="shared" si="196"/>
        <v>0</v>
      </c>
      <c r="AX144" s="354">
        <f>SUM(AX104:AX143)</f>
        <v>0</v>
      </c>
      <c r="AY144" s="354">
        <f t="shared" si="196"/>
        <v>0</v>
      </c>
      <c r="AZ144" s="354">
        <f t="shared" si="196"/>
        <v>0</v>
      </c>
      <c r="BA144" s="354">
        <f t="shared" si="196"/>
        <v>0</v>
      </c>
      <c r="BB144" s="354">
        <f t="shared" si="196"/>
        <v>0</v>
      </c>
      <c r="BC144" s="354">
        <f t="shared" si="196"/>
        <v>0</v>
      </c>
      <c r="BD144" s="354">
        <f t="shared" si="196"/>
        <v>0</v>
      </c>
      <c r="BE144" s="354">
        <f t="shared" si="196"/>
        <v>0</v>
      </c>
      <c r="BF144" s="354">
        <f t="shared" si="196"/>
        <v>0</v>
      </c>
      <c r="BG144" s="354">
        <f t="shared" si="196"/>
        <v>0</v>
      </c>
      <c r="BH144" s="354">
        <f t="shared" si="196"/>
        <v>0</v>
      </c>
      <c r="BI144" s="354">
        <f t="shared" si="196"/>
        <v>0</v>
      </c>
      <c r="BJ144" s="354">
        <f t="shared" ref="BJ144" si="197">SUM(BJ104:BJ143)</f>
        <v>0</v>
      </c>
      <c r="BK144" s="354">
        <f t="shared" si="196"/>
        <v>0</v>
      </c>
      <c r="BL144" s="354">
        <f t="shared" si="196"/>
        <v>0</v>
      </c>
      <c r="BM144" s="354">
        <f t="shared" si="196"/>
        <v>0</v>
      </c>
      <c r="BN144" s="354">
        <f t="shared" si="196"/>
        <v>0</v>
      </c>
      <c r="BO144" s="354">
        <f t="shared" si="196"/>
        <v>0</v>
      </c>
      <c r="BP144" s="354">
        <f t="shared" si="196"/>
        <v>0</v>
      </c>
      <c r="BQ144" s="354">
        <f t="shared" si="196"/>
        <v>0</v>
      </c>
      <c r="BR144" s="354">
        <f t="shared" si="196"/>
        <v>-63</v>
      </c>
      <c r="BS144" s="354"/>
      <c r="BT144" s="354"/>
      <c r="BU144" s="354"/>
      <c r="BV144" s="354"/>
      <c r="BW144" s="354"/>
      <c r="BX144" s="354"/>
      <c r="BY144" s="354"/>
      <c r="BZ144" s="354"/>
      <c r="CA144" s="354"/>
      <c r="CB144" s="354"/>
      <c r="CC144" s="354"/>
      <c r="CD144" s="354"/>
      <c r="CE144" s="354"/>
      <c r="CF144" s="354"/>
      <c r="CG144" s="354"/>
      <c r="CH144" s="354"/>
      <c r="CI144" s="354"/>
      <c r="CJ144" s="354"/>
      <c r="CK144" s="354"/>
      <c r="CL144" s="354"/>
      <c r="CM144" s="693"/>
      <c r="CN144" s="693"/>
      <c r="CO144" s="693"/>
    </row>
    <row r="145" spans="1:93">
      <c r="CM145" s="693"/>
      <c r="CN145" s="693"/>
      <c r="CO145" s="693"/>
    </row>
    <row r="146" spans="1:93">
      <c r="CM146" s="1117"/>
      <c r="CN146" s="1098"/>
      <c r="CO146" s="1098"/>
    </row>
    <row r="147" spans="1:93">
      <c r="CM147" s="1118"/>
      <c r="CN147" s="1018"/>
      <c r="CO147" s="1018"/>
    </row>
    <row r="148" spans="1:93" ht="15.6">
      <c r="B148" s="99"/>
    </row>
    <row r="149" spans="1:93"/>
    <row r="150" spans="1:93"/>
    <row r="151" spans="1:93">
      <c r="A151" s="69"/>
      <c r="B151" s="595" t="s">
        <v>435</v>
      </c>
      <c r="C151" s="69"/>
      <c r="D151" s="69"/>
      <c r="E151" s="69"/>
      <c r="F151" s="69"/>
      <c r="G151" s="69"/>
      <c r="H151" s="69"/>
      <c r="I151" s="69"/>
      <c r="J151" s="69"/>
      <c r="K151" s="69"/>
      <c r="L151" s="69"/>
      <c r="M151" s="69"/>
      <c r="N151" s="69"/>
      <c r="O151" s="69"/>
      <c r="P151" s="69"/>
      <c r="Q151" s="69"/>
      <c r="R151" s="69"/>
      <c r="S151" s="69"/>
      <c r="T151" s="69"/>
      <c r="U151" s="69"/>
      <c r="V151" s="69"/>
      <c r="W151" s="69"/>
      <c r="X151" s="69"/>
      <c r="Y151" s="69"/>
      <c r="Z151" s="69"/>
      <c r="AA151" s="69"/>
      <c r="AB151" s="69"/>
      <c r="AC151" s="69"/>
      <c r="AD151" s="69"/>
      <c r="AE151" s="69"/>
      <c r="AF151" s="69"/>
      <c r="AG151" s="69"/>
      <c r="AH151" s="69"/>
      <c r="AI151" s="69"/>
      <c r="AJ151" s="69"/>
      <c r="AK151" s="69"/>
      <c r="AL151" s="69"/>
      <c r="AM151" s="69"/>
      <c r="AN151" s="69"/>
      <c r="AO151" s="69"/>
      <c r="AP151" s="69"/>
      <c r="AQ151" s="69"/>
      <c r="AR151" s="69"/>
      <c r="AS151" s="69"/>
      <c r="AT151" s="69"/>
      <c r="AU151" s="69"/>
      <c r="AV151" s="69"/>
      <c r="AW151" s="69"/>
      <c r="AX151" s="69"/>
      <c r="AY151" s="69"/>
      <c r="AZ151" s="69"/>
      <c r="BA151" s="69"/>
      <c r="BB151" s="69"/>
      <c r="BC151" s="69"/>
      <c r="BD151" s="69"/>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69"/>
    </row>
    <row r="152" spans="1:93"/>
    <row r="153" spans="1:93"/>
    <row r="154" spans="1:93"/>
    <row r="155" spans="1:93"/>
    <row r="156" spans="1:93"/>
    <row r="157" spans="1:93"/>
    <row r="158" spans="1:93"/>
    <row r="159" spans="1:93"/>
    <row r="160" spans="1:93"/>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sheetData>
  <sheetProtection sheet="1" objects="1" scenarios="1" formatCells="0" formatColumns="0" formatRows="0"/>
  <mergeCells count="3">
    <mergeCell ref="R6:S6"/>
    <mergeCell ref="R102:S102"/>
    <mergeCell ref="R54:S54"/>
  </mergeCells>
  <phoneticPr fontId="13" type="noConversion"/>
  <conditionalFormatting sqref="AN104:AR143 Y56:AI95 AN8:AR47 F8:J47 F56:J95 F104:I143 M8:V47 M56:V95 M104:V143 Y104:AI143 Y8:AI47 AN56:AR95 BT8:BX47 BT56:BX95 BT104:BY143 AT8:AW47 AT56:AW95 AY56:BI95 AT104:AW143 AY104:BI143 AY8:BI47 BK104:BQ143 BK8:BQ47 BK56:BQ95">
    <cfRule type="cellIs" dxfId="12" priority="39" stopIfTrue="1" operator="equal">
      <formula>0</formula>
    </cfRule>
  </conditionalFormatting>
  <conditionalFormatting sqref="AS8:AS47">
    <cfRule type="cellIs" dxfId="11" priority="38" stopIfTrue="1" operator="equal">
      <formula>0</formula>
    </cfRule>
  </conditionalFormatting>
  <conditionalFormatting sqref="AX8:AX47">
    <cfRule type="cellIs" dxfId="10" priority="37" stopIfTrue="1" operator="equal">
      <formula>0</formula>
    </cfRule>
  </conditionalFormatting>
  <conditionalFormatting sqref="AS56:AS95">
    <cfRule type="cellIs" dxfId="9" priority="36" stopIfTrue="1" operator="equal">
      <formula>0</formula>
    </cfRule>
  </conditionalFormatting>
  <conditionalFormatting sqref="AX56:AX95">
    <cfRule type="cellIs" dxfId="8" priority="35" stopIfTrue="1" operator="equal">
      <formula>0</formula>
    </cfRule>
  </conditionalFormatting>
  <conditionalFormatting sqref="AS104:AS143">
    <cfRule type="cellIs" dxfId="7" priority="34" stopIfTrue="1" operator="equal">
      <formula>0</formula>
    </cfRule>
  </conditionalFormatting>
  <conditionalFormatting sqref="AX104:AX143">
    <cfRule type="cellIs" dxfId="6" priority="33" stopIfTrue="1" operator="equal">
      <formula>0</formula>
    </cfRule>
  </conditionalFormatting>
  <conditionalFormatting sqref="CF8:CN47">
    <cfRule type="cellIs" dxfId="5" priority="31" stopIfTrue="1" operator="equal">
      <formula>0</formula>
    </cfRule>
  </conditionalFormatting>
  <conditionalFormatting sqref="BJ8">
    <cfRule type="cellIs" dxfId="4" priority="5" stopIfTrue="1" operator="equal">
      <formula>0</formula>
    </cfRule>
  </conditionalFormatting>
  <conditionalFormatting sqref="BJ104:BJ143">
    <cfRule type="cellIs" dxfId="3" priority="4" stopIfTrue="1" operator="equal">
      <formula>0</formula>
    </cfRule>
  </conditionalFormatting>
  <conditionalFormatting sqref="BJ9:BJ47">
    <cfRule type="cellIs" dxfId="2" priority="3" stopIfTrue="1" operator="equal">
      <formula>0</formula>
    </cfRule>
  </conditionalFormatting>
  <conditionalFormatting sqref="BJ56">
    <cfRule type="cellIs" dxfId="1" priority="2" stopIfTrue="1" operator="equal">
      <formula>0</formula>
    </cfRule>
  </conditionalFormatting>
  <conditionalFormatting sqref="BJ57:BJ95">
    <cfRule type="cellIs" dxfId="0" priority="1" stopIfTrue="1" operator="equal">
      <formula>0</formula>
    </cfRule>
  </conditionalFormatting>
  <pageMargins left="0.7" right="0.7" top="0.75" bottom="0.75" header="0.3" footer="0.3"/>
  <pageSetup scale="28" fitToHeight="0" orientation="landscape" r:id="rId1"/>
  <headerFooter alignWithMargins="0"/>
  <rowBreaks count="3" manualBreakCount="3">
    <brk id="49" max="16383" man="1"/>
    <brk id="97" max="16383" man="1"/>
    <brk id="146" max="16383" man="1"/>
  </rowBreaks>
  <colBreaks count="3" manualBreakCount="3">
    <brk id="12" max="1048575" man="1"/>
    <brk id="38" max="1048575" man="1"/>
    <brk id="39" max="1048575" man="1"/>
  </col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13"/>
    <pageSetUpPr fitToPage="1"/>
  </sheetPr>
  <dimension ref="A1:CM2083"/>
  <sheetViews>
    <sheetView showGridLines="0" showRowColHeaders="0" zoomScale="75" zoomScaleNormal="75" workbookViewId="0">
      <pane ySplit="3" topLeftCell="A4" activePane="bottomLeft" state="frozen"/>
      <selection pane="bottomLeft"/>
    </sheetView>
  </sheetViews>
  <sheetFormatPr defaultColWidth="0" defaultRowHeight="15" zeroHeight="1"/>
  <cols>
    <col min="1" max="1" width="3.6328125" customWidth="1"/>
    <col min="2" max="2" width="28.81640625" customWidth="1"/>
    <col min="3" max="3" width="6.81640625" customWidth="1"/>
    <col min="4" max="45" width="11.6328125" customWidth="1"/>
    <col min="46" max="46" width="10.6328125" style="3" customWidth="1"/>
  </cols>
  <sheetData>
    <row r="1" spans="1:46" ht="18" customHeight="1">
      <c r="A1" s="711"/>
      <c r="B1" s="711" t="s">
        <v>1756</v>
      </c>
      <c r="C1" s="1145"/>
      <c r="D1" s="1145"/>
      <c r="E1" s="1401" t="s">
        <v>557</v>
      </c>
      <c r="F1" s="50">
        <f>+Base!F$4</f>
        <v>62</v>
      </c>
      <c r="G1" s="50">
        <f>+Base!G$4</f>
        <v>63</v>
      </c>
      <c r="H1" s="50">
        <f>+Base!H4</f>
        <v>64</v>
      </c>
      <c r="I1" s="50">
        <f>+Base!I4</f>
        <v>65</v>
      </c>
      <c r="J1" s="50">
        <f>+Base!J4</f>
        <v>66</v>
      </c>
      <c r="K1" s="50">
        <f>+Base!K4</f>
        <v>67</v>
      </c>
      <c r="L1" s="50">
        <f>+Base!L4</f>
        <v>68</v>
      </c>
      <c r="M1" s="50">
        <f>+Base!M4</f>
        <v>69</v>
      </c>
      <c r="N1" s="50">
        <f>+Base!N4</f>
        <v>70</v>
      </c>
      <c r="O1" s="50">
        <f>+Base!O4</f>
        <v>71</v>
      </c>
      <c r="P1" s="50">
        <f>+Base!P4</f>
        <v>72</v>
      </c>
      <c r="Q1" s="50">
        <f>+Base!Q4</f>
        <v>73</v>
      </c>
      <c r="R1" s="50">
        <f>+Base!R4</f>
        <v>74</v>
      </c>
      <c r="S1" s="50">
        <f>+Base!S4</f>
        <v>75</v>
      </c>
      <c r="T1" s="50">
        <f>+Base!T4</f>
        <v>76</v>
      </c>
      <c r="U1" s="50">
        <f>+Base!U4</f>
        <v>77</v>
      </c>
      <c r="V1" s="50">
        <f>+Base!V4</f>
        <v>78</v>
      </c>
      <c r="W1" s="50">
        <f>+Base!W4</f>
        <v>79</v>
      </c>
      <c r="X1" s="50">
        <f>+Base!X4</f>
        <v>80</v>
      </c>
      <c r="Y1" s="50">
        <f>+Base!Y4</f>
        <v>81</v>
      </c>
      <c r="Z1" s="50">
        <f>+Base!Z4</f>
        <v>82</v>
      </c>
      <c r="AA1" s="50">
        <f>+Base!AA4</f>
        <v>83</v>
      </c>
      <c r="AB1" s="50">
        <f>+Base!AB4</f>
        <v>84</v>
      </c>
      <c r="AC1" s="50">
        <f>+Base!AC4</f>
        <v>85</v>
      </c>
      <c r="AD1" s="50">
        <f>+Base!AD4</f>
        <v>86</v>
      </c>
      <c r="AE1" s="50">
        <f>+Base!AE4</f>
        <v>87</v>
      </c>
      <c r="AF1" s="50">
        <f>+Base!AF4</f>
        <v>88</v>
      </c>
      <c r="AG1" s="50">
        <f>+Base!AG4</f>
        <v>89</v>
      </c>
      <c r="AH1" s="50">
        <f>+Base!AH4</f>
        <v>90</v>
      </c>
      <c r="AI1" s="50">
        <f>+Base!AI4</f>
        <v>91</v>
      </c>
      <c r="AJ1" s="50">
        <f>+Base!AJ4</f>
        <v>92</v>
      </c>
      <c r="AK1" s="50">
        <f>+Base!AK4</f>
        <v>93</v>
      </c>
      <c r="AL1" s="50">
        <f>+Base!AL4</f>
        <v>94</v>
      </c>
      <c r="AM1" s="50">
        <f>+Base!AM4</f>
        <v>95</v>
      </c>
      <c r="AN1" s="50">
        <f>+Base!AN4</f>
        <v>96</v>
      </c>
      <c r="AO1" s="50">
        <f>+Base!AO4</f>
        <v>97</v>
      </c>
      <c r="AP1" s="50">
        <f>+Base!AP4</f>
        <v>98</v>
      </c>
      <c r="AQ1" s="50">
        <f>+Base!AQ4</f>
        <v>99</v>
      </c>
      <c r="AR1" s="50">
        <f>+Base!AR4</f>
        <v>100</v>
      </c>
      <c r="AS1" s="50">
        <f>+Base!AS4</f>
        <v>101</v>
      </c>
    </row>
    <row r="2" spans="1:46" ht="15.6">
      <c r="E2" s="1402" t="str">
        <f>Final_Year  &amp; " @ " &amp;  Your_Age_End &amp; " or"</f>
        <v>2048 @ 91 or</v>
      </c>
      <c r="F2" s="50">
        <f>+Base!F$5</f>
        <v>61</v>
      </c>
      <c r="G2" s="50">
        <f>+Base!G$5</f>
        <v>62</v>
      </c>
      <c r="H2" s="50">
        <f>+Base!H5</f>
        <v>63</v>
      </c>
      <c r="I2" s="50">
        <f>+Base!I5</f>
        <v>64</v>
      </c>
      <c r="J2" s="50">
        <f>+Base!J5</f>
        <v>65</v>
      </c>
      <c r="K2" s="50">
        <f>+Base!K5</f>
        <v>66</v>
      </c>
      <c r="L2" s="50">
        <f>+Base!L5</f>
        <v>67</v>
      </c>
      <c r="M2" s="50">
        <f>+Base!M5</f>
        <v>68</v>
      </c>
      <c r="N2" s="50">
        <f>+Base!N5</f>
        <v>69</v>
      </c>
      <c r="O2" s="50">
        <f>+Base!O5</f>
        <v>70</v>
      </c>
      <c r="P2" s="50">
        <f>+Base!P5</f>
        <v>71</v>
      </c>
      <c r="Q2" s="50">
        <f>+Base!Q5</f>
        <v>72</v>
      </c>
      <c r="R2" s="50">
        <f>+Base!R5</f>
        <v>73</v>
      </c>
      <c r="S2" s="50">
        <f>+Base!S5</f>
        <v>74</v>
      </c>
      <c r="T2" s="50">
        <f>+Base!T5</f>
        <v>75</v>
      </c>
      <c r="U2" s="50">
        <f>+Base!U5</f>
        <v>76</v>
      </c>
      <c r="V2" s="50">
        <f>+Base!V5</f>
        <v>77</v>
      </c>
      <c r="W2" s="50">
        <f>+Base!W5</f>
        <v>78</v>
      </c>
      <c r="X2" s="50">
        <f>+Base!X5</f>
        <v>79</v>
      </c>
      <c r="Y2" s="50">
        <f>+Base!Y5</f>
        <v>80</v>
      </c>
      <c r="Z2" s="50">
        <f>+Base!Z5</f>
        <v>81</v>
      </c>
      <c r="AA2" s="50">
        <f>+Base!AA5</f>
        <v>82</v>
      </c>
      <c r="AB2" s="50">
        <f>+Base!AB5</f>
        <v>83</v>
      </c>
      <c r="AC2" s="50">
        <f>+Base!AC5</f>
        <v>84</v>
      </c>
      <c r="AD2" s="50">
        <f>+Base!AD5</f>
        <v>85</v>
      </c>
      <c r="AE2" s="50">
        <f>+Base!AE5</f>
        <v>86</v>
      </c>
      <c r="AF2" s="50">
        <f>+Base!AF5</f>
        <v>87</v>
      </c>
      <c r="AG2" s="50">
        <f>+Base!AG5</f>
        <v>88</v>
      </c>
      <c r="AH2" s="50">
        <f>+Base!AH5</f>
        <v>89</v>
      </c>
      <c r="AI2" s="50">
        <f>+Base!AI5</f>
        <v>90</v>
      </c>
      <c r="AJ2" s="50">
        <f>+Base!AJ5</f>
        <v>91</v>
      </c>
      <c r="AK2" s="50">
        <f>+Base!AK5</f>
        <v>92</v>
      </c>
      <c r="AL2" s="50">
        <f>+Base!AL5</f>
        <v>93</v>
      </c>
      <c r="AM2" s="50">
        <f>+Base!AM5</f>
        <v>94</v>
      </c>
      <c r="AN2" s="50">
        <f>+Base!AN5</f>
        <v>95</v>
      </c>
      <c r="AO2" s="50">
        <f>+Base!AO5</f>
        <v>96</v>
      </c>
      <c r="AP2" s="50">
        <f>+Base!AP5</f>
        <v>97</v>
      </c>
      <c r="AQ2" s="50">
        <f>+Base!AQ5</f>
        <v>98</v>
      </c>
      <c r="AR2" s="50">
        <f>+Base!AR5</f>
        <v>99</v>
      </c>
      <c r="AS2" s="50">
        <f>+Base!AS5</f>
        <v>100</v>
      </c>
    </row>
    <row r="3" spans="1:46" ht="15.75" customHeight="1">
      <c r="B3" s="1082" t="s">
        <v>37</v>
      </c>
      <c r="C3" s="1083"/>
      <c r="E3" s="71" t="s">
        <v>836</v>
      </c>
      <c r="F3" s="75">
        <f>+Base!F$7</f>
        <v>2019</v>
      </c>
      <c r="G3" s="75">
        <f>+Base!G$7</f>
        <v>2020</v>
      </c>
      <c r="H3" s="75">
        <f>+Base!H$7</f>
        <v>2021</v>
      </c>
      <c r="I3" s="75">
        <f>+Base!I$7</f>
        <v>2022</v>
      </c>
      <c r="J3" s="75">
        <f>+Base!J$7</f>
        <v>2023</v>
      </c>
      <c r="K3" s="75">
        <f>+Base!K$7</f>
        <v>2024</v>
      </c>
      <c r="L3" s="75">
        <f>+Base!L$7</f>
        <v>2025</v>
      </c>
      <c r="M3" s="75">
        <f>+Base!M$7</f>
        <v>2026</v>
      </c>
      <c r="N3" s="75">
        <f>+Base!N$7</f>
        <v>2027</v>
      </c>
      <c r="O3" s="75">
        <f>+Base!O$7</f>
        <v>2028</v>
      </c>
      <c r="P3" s="75">
        <f>+Base!P$7</f>
        <v>2029</v>
      </c>
      <c r="Q3" s="75">
        <f>+Base!Q$7</f>
        <v>2030</v>
      </c>
      <c r="R3" s="75">
        <f>+Base!R$7</f>
        <v>2031</v>
      </c>
      <c r="S3" s="75">
        <f>+Base!S$7</f>
        <v>2032</v>
      </c>
      <c r="T3" s="75">
        <f>+Base!T$7</f>
        <v>2033</v>
      </c>
      <c r="U3" s="75">
        <f>+Base!U$7</f>
        <v>2034</v>
      </c>
      <c r="V3" s="75">
        <f>+Base!V$7</f>
        <v>2035</v>
      </c>
      <c r="W3" s="75">
        <f>+Base!W$7</f>
        <v>2036</v>
      </c>
      <c r="X3" s="75">
        <f>+Base!X$7</f>
        <v>2037</v>
      </c>
      <c r="Y3" s="75">
        <f>+Base!Y$7</f>
        <v>2038</v>
      </c>
      <c r="Z3" s="75">
        <f>+Base!Z$7</f>
        <v>2039</v>
      </c>
      <c r="AA3" s="75">
        <f>+Base!AA$7</f>
        <v>2040</v>
      </c>
      <c r="AB3" s="75">
        <f>+Base!AB$7</f>
        <v>2041</v>
      </c>
      <c r="AC3" s="75">
        <f>+Base!AC$7</f>
        <v>2042</v>
      </c>
      <c r="AD3" s="75">
        <f>+Base!AD$7</f>
        <v>2043</v>
      </c>
      <c r="AE3" s="75">
        <f>+Base!AE$7</f>
        <v>2044</v>
      </c>
      <c r="AF3" s="75">
        <f>+Base!AF$7</f>
        <v>2045</v>
      </c>
      <c r="AG3" s="75">
        <f>+Base!AG$7</f>
        <v>2046</v>
      </c>
      <c r="AH3" s="75">
        <f>+Base!AH$7</f>
        <v>2047</v>
      </c>
      <c r="AI3" s="75">
        <f>+Base!AI$7</f>
        <v>2048</v>
      </c>
      <c r="AJ3" s="75">
        <f>+Base!AJ$7</f>
        <v>2049</v>
      </c>
      <c r="AK3" s="75">
        <f>+Base!AK$7</f>
        <v>2050</v>
      </c>
      <c r="AL3" s="75">
        <f>+Base!AL$7</f>
        <v>2051</v>
      </c>
      <c r="AM3" s="75">
        <f>+Base!AM$7</f>
        <v>2052</v>
      </c>
      <c r="AN3" s="75">
        <f>+Base!AN$7</f>
        <v>2053</v>
      </c>
      <c r="AO3" s="75">
        <f>+Base!AO$7</f>
        <v>2054</v>
      </c>
      <c r="AP3" s="75">
        <f>+Base!AP$7</f>
        <v>2055</v>
      </c>
      <c r="AQ3" s="75">
        <f>+Base!AQ$7</f>
        <v>2056</v>
      </c>
      <c r="AR3" s="75">
        <f>+Base!AR$7</f>
        <v>2057</v>
      </c>
      <c r="AS3" s="75">
        <f>+Base!AS$7</f>
        <v>2058</v>
      </c>
      <c r="AT3" s="703"/>
    </row>
    <row r="4" spans="1:46" ht="16.2" thickBot="1">
      <c r="B4" s="356"/>
      <c r="C4" s="692"/>
      <c r="D4" s="428"/>
      <c r="E4" s="71"/>
      <c r="F4" s="75"/>
      <c r="G4" s="75"/>
      <c r="H4" s="75"/>
      <c r="I4" s="75"/>
      <c r="J4" s="75"/>
      <c r="K4" s="75"/>
      <c r="L4" s="75"/>
      <c r="M4" s="75"/>
      <c r="N4" s="75"/>
      <c r="O4" s="75"/>
      <c r="P4" s="75"/>
      <c r="Q4" s="75"/>
      <c r="R4" s="75"/>
      <c r="S4" s="75"/>
      <c r="T4" s="75"/>
      <c r="U4" s="75"/>
      <c r="V4" s="75"/>
      <c r="W4" s="75"/>
      <c r="X4" s="75"/>
      <c r="Y4" s="75"/>
      <c r="Z4" s="75"/>
      <c r="AA4" s="75"/>
      <c r="AB4" s="75"/>
      <c r="AC4" s="75"/>
      <c r="AD4" s="75"/>
      <c r="AE4" s="75"/>
      <c r="AF4" s="75"/>
      <c r="AG4" s="75"/>
      <c r="AH4" s="75"/>
      <c r="AI4" s="75"/>
      <c r="AJ4" s="75"/>
      <c r="AK4" s="75"/>
      <c r="AL4" s="75"/>
      <c r="AM4" s="75"/>
      <c r="AN4" s="75"/>
      <c r="AO4" s="75"/>
      <c r="AP4" s="75"/>
      <c r="AQ4" s="75"/>
      <c r="AR4" s="75"/>
      <c r="AS4" s="75"/>
      <c r="AT4" s="327"/>
    </row>
    <row r="5" spans="1:46" ht="18" thickBot="1">
      <c r="B5" s="661" t="s">
        <v>515</v>
      </c>
      <c r="C5" s="692"/>
      <c r="D5" s="428"/>
      <c r="E5" s="71"/>
      <c r="F5" s="75"/>
      <c r="G5" s="75"/>
      <c r="H5" s="75"/>
      <c r="I5" s="1172" t="s">
        <v>580</v>
      </c>
      <c r="L5" s="695" t="str">
        <f>+Setup!$B$6</f>
        <v>Example Data: $70k expenses bef tax. SS at 70 &amp; 66. 23% SS reduction in 2035.  $200k inherited. Sell house at 84. Wife widowed at 85. Roth conversions will leave $1.2M to heirs tax free.</v>
      </c>
      <c r="M5" s="696"/>
      <c r="N5" s="696"/>
      <c r="O5" s="696"/>
      <c r="P5" s="696"/>
      <c r="Q5" s="696"/>
      <c r="R5" s="696"/>
      <c r="S5" s="696"/>
      <c r="T5" s="696"/>
      <c r="U5" s="697"/>
      <c r="V5" s="697"/>
      <c r="W5" s="697"/>
      <c r="X5" s="695"/>
      <c r="Y5" s="697"/>
      <c r="Z5" s="75"/>
      <c r="AA5" s="75"/>
      <c r="AB5" s="75"/>
      <c r="AC5" s="75"/>
      <c r="AD5" s="75"/>
      <c r="AE5" s="75"/>
      <c r="AF5" s="75"/>
      <c r="AG5" s="75"/>
      <c r="AH5" s="75"/>
      <c r="AI5" s="75"/>
      <c r="AJ5" s="75"/>
      <c r="AK5" s="75"/>
      <c r="AL5" s="75"/>
      <c r="AM5" s="75"/>
      <c r="AN5" s="75"/>
      <c r="AO5" s="75"/>
      <c r="AP5" s="75"/>
      <c r="AQ5" s="75"/>
      <c r="AR5" s="75"/>
      <c r="AS5" s="75"/>
      <c r="AT5" s="327"/>
    </row>
    <row r="6" spans="1:46" ht="16.2" customHeight="1">
      <c r="B6" s="356"/>
      <c r="C6" s="692"/>
      <c r="D6" s="428"/>
      <c r="E6" s="71"/>
      <c r="F6" s="75"/>
      <c r="G6" s="75"/>
      <c r="H6" s="75"/>
      <c r="I6" s="75"/>
      <c r="J6" s="75"/>
      <c r="K6" s="75"/>
      <c r="L6" s="75"/>
      <c r="M6" s="75"/>
      <c r="N6" s="75"/>
      <c r="O6" s="75"/>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327"/>
    </row>
    <row r="7" spans="1:46" s="3" customFormat="1" ht="16.2" customHeight="1">
      <c r="B7" s="198"/>
      <c r="C7" s="198"/>
      <c r="D7" s="198"/>
      <c r="E7" s="198"/>
      <c r="F7" s="198"/>
      <c r="O7" s="309"/>
      <c r="P7" s="309"/>
      <c r="Q7" s="309"/>
      <c r="R7" s="309"/>
      <c r="S7" s="310"/>
      <c r="T7" s="310"/>
      <c r="U7" s="310"/>
      <c r="V7" s="309"/>
      <c r="W7" s="309"/>
      <c r="X7" s="309"/>
      <c r="Y7" s="309"/>
      <c r="Z7" s="309"/>
      <c r="AA7" s="309"/>
      <c r="AB7" s="309"/>
      <c r="AC7" s="309"/>
      <c r="AD7" s="309"/>
      <c r="AE7" s="309"/>
      <c r="AF7" s="309"/>
      <c r="AG7" s="309"/>
      <c r="AH7" s="309"/>
      <c r="AI7" s="309"/>
      <c r="AJ7" s="309"/>
      <c r="AK7" s="309"/>
      <c r="AL7" s="309"/>
      <c r="AM7" s="309"/>
      <c r="AN7" s="309"/>
      <c r="AO7" s="309"/>
      <c r="AP7" s="309"/>
      <c r="AQ7" s="309"/>
      <c r="AR7" s="309"/>
      <c r="AS7" s="309"/>
    </row>
    <row r="8" spans="1:46" s="3" customFormat="1" ht="18" customHeight="1">
      <c r="A8" s="1163"/>
      <c r="B8" s="1163" t="s">
        <v>1019</v>
      </c>
      <c r="C8" s="1163"/>
      <c r="D8" s="1163"/>
      <c r="E8" s="1164"/>
      <c r="F8" s="410"/>
      <c r="H8" s="332"/>
      <c r="I8" s="332"/>
      <c r="J8" s="332"/>
      <c r="K8" s="332"/>
      <c r="L8" s="332"/>
      <c r="M8" s="332"/>
      <c r="N8" s="332"/>
      <c r="O8" s="309"/>
      <c r="P8" s="309"/>
      <c r="Q8" s="309"/>
      <c r="R8" s="309"/>
      <c r="S8" s="310"/>
      <c r="T8" s="310"/>
      <c r="U8" s="310"/>
      <c r="V8" s="309"/>
      <c r="W8" s="309"/>
      <c r="X8" s="309"/>
      <c r="Y8" s="309"/>
      <c r="Z8" s="309"/>
      <c r="AA8" s="309"/>
      <c r="AB8" s="309"/>
      <c r="AC8" s="309"/>
      <c r="AD8" s="309"/>
      <c r="AE8" s="309"/>
      <c r="AF8" s="309"/>
      <c r="AG8" s="309"/>
      <c r="AH8" s="309"/>
      <c r="AI8" s="309"/>
      <c r="AJ8" s="309"/>
      <c r="AK8" s="309"/>
      <c r="AL8" s="309"/>
      <c r="AM8" s="309"/>
      <c r="AN8" s="309"/>
      <c r="AO8" s="309"/>
      <c r="AP8" s="309"/>
      <c r="AQ8" s="309"/>
      <c r="AR8" s="309"/>
      <c r="AS8" s="309"/>
    </row>
    <row r="9" spans="1:46" s="3" customFormat="1" ht="15" customHeight="1">
      <c r="B9" s="544"/>
      <c r="C9" s="544"/>
      <c r="D9" s="544"/>
      <c r="E9" s="198"/>
      <c r="F9" s="356"/>
      <c r="H9" s="1158"/>
      <c r="I9" s="317"/>
      <c r="J9" s="317"/>
      <c r="K9" s="317"/>
      <c r="L9" s="317"/>
      <c r="M9" s="317"/>
      <c r="N9" s="317"/>
      <c r="O9" s="309"/>
      <c r="P9" s="309"/>
      <c r="Q9" s="309"/>
      <c r="R9" s="309"/>
      <c r="S9" s="310"/>
      <c r="T9" s="310"/>
      <c r="U9" s="310"/>
      <c r="V9" s="309"/>
      <c r="W9" s="309"/>
      <c r="X9" s="309"/>
      <c r="Y9" s="309"/>
      <c r="Z9" s="309"/>
      <c r="AA9" s="309"/>
      <c r="AB9" s="309"/>
      <c r="AC9" s="309"/>
      <c r="AD9" s="309"/>
      <c r="AE9" s="309"/>
      <c r="AF9" s="309"/>
      <c r="AG9" s="309"/>
      <c r="AH9" s="309"/>
      <c r="AI9" s="309"/>
      <c r="AJ9" s="309"/>
      <c r="AK9" s="309"/>
      <c r="AL9" s="309"/>
      <c r="AM9" s="309"/>
      <c r="AN9" s="309"/>
      <c r="AO9" s="309"/>
      <c r="AP9" s="309"/>
      <c r="AQ9" s="309"/>
      <c r="AR9" s="309"/>
      <c r="AS9" s="309"/>
    </row>
    <row r="10" spans="1:46" ht="17.399999999999999" customHeight="1">
      <c r="B10" s="28" t="s">
        <v>230</v>
      </c>
      <c r="C10" s="342"/>
      <c r="D10" s="31"/>
      <c r="E10" s="138"/>
      <c r="F10" s="868">
        <f>+Details!F$19</f>
        <v>1000000</v>
      </c>
      <c r="G10" s="868">
        <f>+Details!G$19</f>
        <v>1003900</v>
      </c>
      <c r="H10" s="868">
        <f>+Details!H$19</f>
        <v>1020200</v>
      </c>
      <c r="I10" s="868">
        <f>+Details!I$19</f>
        <v>1023600</v>
      </c>
      <c r="J10" s="868">
        <f>+Details!J$19</f>
        <v>1026400</v>
      </c>
      <c r="K10" s="868">
        <f>+Details!K$19</f>
        <v>1028500</v>
      </c>
      <c r="L10" s="868">
        <f>+Details!L$19</f>
        <v>1050200</v>
      </c>
      <c r="M10" s="868">
        <f>+Details!M$19</f>
        <v>1072700</v>
      </c>
      <c r="N10" s="868">
        <f>+Details!N$19</f>
        <v>1094600</v>
      </c>
      <c r="O10" s="868">
        <f>+Details!O$19</f>
        <v>1169500</v>
      </c>
      <c r="P10" s="868">
        <f>+Details!P$19</f>
        <v>1219000</v>
      </c>
      <c r="Q10" s="868">
        <f>+Details!Q$19</f>
        <v>1189100</v>
      </c>
      <c r="R10" s="868">
        <f>+Details!R$19</f>
        <v>1340600</v>
      </c>
      <c r="S10" s="868">
        <f>+Details!S$19</f>
        <v>1377500</v>
      </c>
      <c r="T10" s="868">
        <f>+Details!T$19</f>
        <v>1436400</v>
      </c>
      <c r="U10" s="868">
        <f>+Details!U$19</f>
        <v>1417200</v>
      </c>
      <c r="V10" s="868">
        <f>+Details!V$19</f>
        <v>1599600</v>
      </c>
      <c r="W10" s="868">
        <f>+Details!W$19</f>
        <v>1671600</v>
      </c>
      <c r="X10" s="868">
        <f>+Details!X$19</f>
        <v>1746500</v>
      </c>
      <c r="Y10" s="868">
        <f>+Details!Y$19</f>
        <v>1786500</v>
      </c>
      <c r="Z10" s="868">
        <f>+Details!Z$19</f>
        <v>1827200</v>
      </c>
      <c r="AA10" s="868">
        <f>+Details!AA$19</f>
        <v>1868600</v>
      </c>
      <c r="AB10" s="868">
        <f>+Details!AB$19</f>
        <v>1910200</v>
      </c>
      <c r="AC10" s="868">
        <f>+Details!AC$19</f>
        <v>2356100</v>
      </c>
      <c r="AD10" s="868">
        <f>+Details!AD$19</f>
        <v>2414800</v>
      </c>
      <c r="AE10" s="868">
        <f>+Details!AE$19</f>
        <v>2544900</v>
      </c>
      <c r="AF10" s="868">
        <f>+Details!AF$19</f>
        <v>2576100</v>
      </c>
      <c r="AG10" s="868">
        <f>+Details!AG$19</f>
        <v>2606300</v>
      </c>
      <c r="AH10" s="868">
        <f>+Details!AH$19</f>
        <v>2638500</v>
      </c>
      <c r="AI10" s="868">
        <f>+Details!AI$19</f>
        <v>2670800</v>
      </c>
      <c r="AJ10" s="868">
        <f>+Details!AJ$19</f>
        <v>0</v>
      </c>
      <c r="AK10" s="868">
        <f>+Details!AK$19</f>
        <v>0</v>
      </c>
      <c r="AL10" s="868">
        <f>+Details!AL$19</f>
        <v>0</v>
      </c>
      <c r="AM10" s="868">
        <f>+Details!AM$19</f>
        <v>0</v>
      </c>
      <c r="AN10" s="868">
        <f>+Details!AN$19</f>
        <v>0</v>
      </c>
      <c r="AO10" s="868">
        <f>+Details!AO$19</f>
        <v>0</v>
      </c>
      <c r="AP10" s="868">
        <f>+Details!AP$19</f>
        <v>0</v>
      </c>
      <c r="AQ10" s="868">
        <f>+Details!AQ$19</f>
        <v>0</v>
      </c>
      <c r="AR10" s="868">
        <f>+Details!AR$19</f>
        <v>0</v>
      </c>
      <c r="AS10" s="868">
        <f>+Details!AS$19</f>
        <v>0</v>
      </c>
    </row>
    <row r="11" spans="1:46" ht="16.2" customHeight="1">
      <c r="B11" s="175" t="s">
        <v>844</v>
      </c>
      <c r="C11" s="342"/>
      <c r="D11" s="29"/>
      <c r="E11" s="868">
        <f t="shared" ref="E11:E18" si="0">SUM(F11:AS11)</f>
        <v>2564500</v>
      </c>
      <c r="F11" s="868">
        <f>+Details!F$28+Details!F$31+Details!F$34+Details!F$37+Details!F$38</f>
        <v>58900</v>
      </c>
      <c r="G11" s="868">
        <f>+Details!G$28+Details!G$31+Details!G$34+Details!G$37+Details!G$38</f>
        <v>59500</v>
      </c>
      <c r="H11" s="868">
        <f>+Details!H$28+Details!H$31+Details!H$34+Details!H$37+Details!H$38</f>
        <v>60000</v>
      </c>
      <c r="I11" s="868">
        <f>+Details!I$28+Details!I$31+Details!I$34+Details!I$37+Details!I$38</f>
        <v>60300</v>
      </c>
      <c r="J11" s="868">
        <f>+Details!J$28+Details!J$31+Details!J$34+Details!J$37+Details!J$38</f>
        <v>60500</v>
      </c>
      <c r="K11" s="868">
        <f>+Details!K$28+Details!K$31+Details!K$34+Details!K$37+Details!K$38</f>
        <v>61100</v>
      </c>
      <c r="L11" s="868">
        <f>+Details!L$28+Details!L$31+Details!L$34+Details!L$37+Details!L$38</f>
        <v>62200</v>
      </c>
      <c r="M11" s="868">
        <f>+Details!M$28+Details!M$31+Details!M$34+Details!M$37+Details!M$38</f>
        <v>63400</v>
      </c>
      <c r="N11" s="868">
        <f>+Details!N$28+Details!N$31+Details!N$34+Details!N$37+Details!N$38</f>
        <v>65900</v>
      </c>
      <c r="O11" s="868">
        <f>+Details!O$28+Details!O$31+Details!O$34+Details!O$37+Details!O$38</f>
        <v>69100</v>
      </c>
      <c r="P11" s="868">
        <f>+Details!P$28+Details!P$31+Details!P$34+Details!P$37+Details!P$38</f>
        <v>69800</v>
      </c>
      <c r="Q11" s="868">
        <f>+Details!Q$28+Details!Q$31+Details!Q$34+Details!Q$37+Details!Q$38</f>
        <v>71500</v>
      </c>
      <c r="R11" s="868">
        <f>+Details!R$28+Details!R$31+Details!R$34+Details!R$37+Details!R$38</f>
        <v>78300</v>
      </c>
      <c r="S11" s="868">
        <f>+Details!S$28+Details!S$31+Details!S$34+Details!S$37+Details!S$38</f>
        <v>80800</v>
      </c>
      <c r="T11" s="868">
        <f>+Details!T$28+Details!T$31+Details!T$34+Details!T$37+Details!T$38</f>
        <v>82000</v>
      </c>
      <c r="U11" s="868">
        <f>+Details!U$28+Details!U$31+Details!U$34+Details!U$37+Details!U$38</f>
        <v>85400</v>
      </c>
      <c r="V11" s="868">
        <f>+Details!V$28+Details!V$31+Details!V$34+Details!V$37+Details!V$38</f>
        <v>93400</v>
      </c>
      <c r="W11" s="868">
        <f>+Details!W$28+Details!W$31+Details!W$34+Details!W$37+Details!W$38</f>
        <v>97000</v>
      </c>
      <c r="X11" s="868">
        <f>+Details!X$28+Details!X$31+Details!X$34+Details!X$37+Details!X$38</f>
        <v>86300</v>
      </c>
      <c r="Y11" s="868">
        <f>+Details!Y$28+Details!Y$31+Details!Y$34+Details!Y$37+Details!Y$38</f>
        <v>87900</v>
      </c>
      <c r="Z11" s="868">
        <f>+Details!Z$28+Details!Z$31+Details!Z$34+Details!Z$37+Details!Z$38</f>
        <v>89800</v>
      </c>
      <c r="AA11" s="868">
        <f>+Details!AA$28+Details!AA$31+Details!AA$34+Details!AA$37+Details!AA$38</f>
        <v>91400</v>
      </c>
      <c r="AB11" s="868">
        <f>+Details!AB$28+Details!AB$31+Details!AB$34+Details!AB$37+Details!AB$38</f>
        <v>101200</v>
      </c>
      <c r="AC11" s="868">
        <f>+Details!AC$28+Details!AC$31+Details!AC$34+Details!AC$37+Details!AC$38</f>
        <v>111400</v>
      </c>
      <c r="AD11" s="868">
        <f>+Details!AD$28+Details!AD$31+Details!AD$34+Details!AD$37+Details!AD$38</f>
        <v>115100</v>
      </c>
      <c r="AE11" s="868">
        <f>+Details!AE$28+Details!AE$31+Details!AE$34+Details!AE$37+Details!AE$38</f>
        <v>118400</v>
      </c>
      <c r="AF11" s="868">
        <f>+Details!AF$28+Details!AF$31+Details!AF$34+Details!AF$37+Details!AF$38</f>
        <v>119100</v>
      </c>
      <c r="AG11" s="868">
        <f>+Details!AG$28+Details!AG$31+Details!AG$34+Details!AG$37+Details!AG$38</f>
        <v>120300</v>
      </c>
      <c r="AH11" s="868">
        <f>+Details!AH$28+Details!AH$31+Details!AH$34+Details!AH$37+Details!AH$38</f>
        <v>121700</v>
      </c>
      <c r="AI11" s="868">
        <f>+Details!AI$28+Details!AI$31+Details!AI$34+Details!AI$37+Details!AI$38</f>
        <v>122800</v>
      </c>
      <c r="AJ11" s="868">
        <f>+Details!AJ$28+Details!AJ$31+Details!AJ$34+Details!AJ$37+Details!AJ$38</f>
        <v>0</v>
      </c>
      <c r="AK11" s="868">
        <f>+Details!AK$28+Details!AK$31+Details!AK$34+Details!AK$37+Details!AK$38</f>
        <v>0</v>
      </c>
      <c r="AL11" s="868">
        <f>+Details!AL$28+Details!AL$31+Details!AL$34+Details!AL$37+Details!AL$38</f>
        <v>0</v>
      </c>
      <c r="AM11" s="868">
        <f>+Details!AM$28+Details!AM$31+Details!AM$34+Details!AM$37+Details!AM$38</f>
        <v>0</v>
      </c>
      <c r="AN11" s="868">
        <f>+Details!AN$28+Details!AN$31+Details!AN$34+Details!AN$37+Details!AN$38</f>
        <v>0</v>
      </c>
      <c r="AO11" s="868">
        <f>+Details!AO$28+Details!AO$31+Details!AO$34+Details!AO$37+Details!AO$38</f>
        <v>0</v>
      </c>
      <c r="AP11" s="868">
        <f>+Details!AP$28+Details!AP$31+Details!AP$34+Details!AP$37+Details!AP$38</f>
        <v>0</v>
      </c>
      <c r="AQ11" s="868">
        <f>+Details!AQ$28+Details!AQ$31+Details!AQ$34+Details!AQ$37+Details!AQ$38</f>
        <v>0</v>
      </c>
      <c r="AR11" s="868">
        <f>+Details!AR$28+Details!AR$31+Details!AR$34+Details!AR$37+Details!AR$38</f>
        <v>0</v>
      </c>
      <c r="AS11" s="868">
        <f>+Details!AS$28+Details!AS$31+Details!AS$34+Details!AS$37+Details!AS$38</f>
        <v>0</v>
      </c>
    </row>
    <row r="12" spans="1:46" ht="16.2" customHeight="1">
      <c r="B12" s="175" t="s">
        <v>1080</v>
      </c>
      <c r="C12" s="342"/>
      <c r="D12" s="191"/>
      <c r="E12" s="29">
        <f t="shared" si="0"/>
        <v>693600</v>
      </c>
      <c r="F12" s="868">
        <f>+Details!F$63+Details!F$64+Details!F$62+Details!F$70</f>
        <v>20000</v>
      </c>
      <c r="G12" s="868">
        <f>+Details!G$63+Details!G$64+Details!G$62+Details!G$70</f>
        <v>35600</v>
      </c>
      <c r="H12" s="868">
        <f>+Details!H$63+Details!H$64+Details!H$62+Details!H$70</f>
        <v>21200</v>
      </c>
      <c r="I12" s="868">
        <f>+Details!I$63+Details!I$64+Details!I$62+Details!I$70</f>
        <v>21900</v>
      </c>
      <c r="J12" s="868">
        <f>+Details!J$63+Details!J$64+Details!J$62+Details!J$70</f>
        <v>22600</v>
      </c>
      <c r="K12" s="868">
        <f>+Details!K$63+Details!K$64+Details!K$62+Details!K$70</f>
        <v>23400</v>
      </c>
      <c r="L12" s="868">
        <f>+Details!L$63+Details!L$64+Details!L$62+Details!L$70</f>
        <v>24200</v>
      </c>
      <c r="M12" s="868">
        <f>+Details!M$63+Details!M$64+Details!M$62+Details!M$70</f>
        <v>25000</v>
      </c>
      <c r="N12" s="868">
        <f>+Details!N$63+Details!N$64+Details!N$62+Details!N$70</f>
        <v>25800</v>
      </c>
      <c r="O12" s="868">
        <f>+Details!O$63+Details!O$64+Details!O$62+Details!O$70</f>
        <v>12500</v>
      </c>
      <c r="P12" s="868">
        <f>+Details!P$63+Details!P$64+Details!P$62+Details!P$70</f>
        <v>12800</v>
      </c>
      <c r="Q12" s="868">
        <f>+Details!Q$63+Details!Q$64+Details!Q$62+Details!Q$70</f>
        <v>13100</v>
      </c>
      <c r="R12" s="868">
        <f>+Details!R$63+Details!R$64+Details!R$62+Details!R$70</f>
        <v>13400</v>
      </c>
      <c r="S12" s="868">
        <f>+Details!S$63+Details!S$64+Details!S$62+Details!S$70</f>
        <v>13700</v>
      </c>
      <c r="T12" s="868">
        <f>+Details!T$63+Details!T$64+Details!T$62+Details!T$70</f>
        <v>23100</v>
      </c>
      <c r="U12" s="868">
        <f>+Details!U$63+Details!U$64+Details!U$62+Details!U$70</f>
        <v>23500</v>
      </c>
      <c r="V12" s="868">
        <f>+Details!V$63+Details!V$64+Details!V$62+Details!V$70</f>
        <v>23900</v>
      </c>
      <c r="W12" s="868">
        <f>+Details!W$63+Details!W$64+Details!W$62+Details!W$70</f>
        <v>24300</v>
      </c>
      <c r="X12" s="868">
        <f>+Details!X$63+Details!X$64+Details!X$62+Details!X$70</f>
        <v>24700</v>
      </c>
      <c r="Y12" s="868">
        <f>+Details!Y$63+Details!Y$64+Details!Y$62+Details!Y$70</f>
        <v>25100</v>
      </c>
      <c r="Z12" s="868">
        <f>+Details!Z$63+Details!Z$64+Details!Z$62+Details!Z$70</f>
        <v>25500</v>
      </c>
      <c r="AA12" s="868">
        <f>+Details!AA$63+Details!AA$64+Details!AA$62+Details!AA$70</f>
        <v>25900</v>
      </c>
      <c r="AB12" s="868">
        <f>+Details!AB$63+Details!AB$64+Details!AB$62+Details!AB$70</f>
        <v>26300</v>
      </c>
      <c r="AC12" s="868">
        <f>+Details!AC$63+Details!AC$64+Details!AC$62+Details!AC$70</f>
        <v>26800</v>
      </c>
      <c r="AD12" s="868">
        <f>+Details!AD$63+Details!AD$64+Details!AD$62+Details!AD$70</f>
        <v>25300</v>
      </c>
      <c r="AE12" s="868">
        <f>+Details!AE$63+Details!AE$64+Details!AE$62+Details!AE$70</f>
        <v>25800</v>
      </c>
      <c r="AF12" s="868">
        <f>+Details!AF$63+Details!AF$64+Details!AF$62+Details!AF$70</f>
        <v>26300</v>
      </c>
      <c r="AG12" s="868">
        <f>+Details!AG$63+Details!AG$64+Details!AG$62+Details!AG$70</f>
        <v>26800</v>
      </c>
      <c r="AH12" s="868">
        <f>+Details!AH$63+Details!AH$64+Details!AH$62+Details!AH$70</f>
        <v>27300</v>
      </c>
      <c r="AI12" s="868">
        <f>+Details!AI$63+Details!AI$64+Details!AI$62+Details!AI$70</f>
        <v>27800</v>
      </c>
      <c r="AJ12" s="868">
        <f>+Details!AJ$63+Details!AJ$64+Details!AJ$62+Details!AJ$70</f>
        <v>0</v>
      </c>
      <c r="AK12" s="868">
        <f>+Details!AK$63+Details!AK$64+Details!AK$62+Details!AK$70</f>
        <v>0</v>
      </c>
      <c r="AL12" s="868">
        <f>+Details!AL$63+Details!AL$64+Details!AL$62+Details!AL$70</f>
        <v>0</v>
      </c>
      <c r="AM12" s="868">
        <f>+Details!AM$63+Details!AM$64+Details!AM$62+Details!AM$70</f>
        <v>0</v>
      </c>
      <c r="AN12" s="868">
        <f>+Details!AN$63+Details!AN$64+Details!AN$62+Details!AN$70</f>
        <v>0</v>
      </c>
      <c r="AO12" s="868">
        <f>+Details!AO$63+Details!AO$64+Details!AO$62+Details!AO$70</f>
        <v>0</v>
      </c>
      <c r="AP12" s="868">
        <f>+Details!AP$63+Details!AP$64+Details!AP$62+Details!AP$70</f>
        <v>0</v>
      </c>
      <c r="AQ12" s="868">
        <f>+Details!AQ$63+Details!AQ$64+Details!AQ$62+Details!AQ$70</f>
        <v>0</v>
      </c>
      <c r="AR12" s="868">
        <f>+Details!AR$63+Details!AR$64+Details!AR$62+Details!AR$70</f>
        <v>0</v>
      </c>
      <c r="AS12" s="868">
        <f>+Details!AS$63+Details!AS$64+Details!AS$62+Details!AS$70</f>
        <v>0</v>
      </c>
    </row>
    <row r="13" spans="1:46" ht="16.2" customHeight="1">
      <c r="B13" s="72" t="s">
        <v>221</v>
      </c>
      <c r="C13" s="342"/>
      <c r="D13" s="29"/>
      <c r="E13" s="29">
        <f t="shared" si="0"/>
        <v>1516900</v>
      </c>
      <c r="F13" s="868">
        <f>+Details!F$61</f>
        <v>0</v>
      </c>
      <c r="G13" s="868">
        <f>+Details!G$61</f>
        <v>0</v>
      </c>
      <c r="H13" s="868">
        <f>+Details!H$61</f>
        <v>0</v>
      </c>
      <c r="I13" s="868">
        <f>+Details!I$61</f>
        <v>0</v>
      </c>
      <c r="J13" s="868">
        <f>+Details!J$61</f>
        <v>0</v>
      </c>
      <c r="K13" s="868">
        <f>+Details!K$61</f>
        <v>22100</v>
      </c>
      <c r="L13" s="868">
        <f>+Details!L$61</f>
        <v>22500</v>
      </c>
      <c r="M13" s="868">
        <f>+Details!M$61</f>
        <v>23000</v>
      </c>
      <c r="N13" s="868">
        <f>+Details!N$61</f>
        <v>69900</v>
      </c>
      <c r="O13" s="868">
        <f>+Details!O$61</f>
        <v>71300</v>
      </c>
      <c r="P13" s="868">
        <f>+Details!P$61</f>
        <v>72700</v>
      </c>
      <c r="Q13" s="868">
        <f>+Details!Q$61</f>
        <v>74200</v>
      </c>
      <c r="R13" s="868">
        <f>+Details!R$61</f>
        <v>75700</v>
      </c>
      <c r="S13" s="868">
        <f>+Details!S$61</f>
        <v>77200</v>
      </c>
      <c r="T13" s="868">
        <f>+Details!T$61</f>
        <v>78700</v>
      </c>
      <c r="U13" s="868">
        <f>+Details!U$61</f>
        <v>80200</v>
      </c>
      <c r="V13" s="868">
        <f>+Details!V$61</f>
        <v>63000</v>
      </c>
      <c r="W13" s="868">
        <f>+Details!W$61</f>
        <v>64200</v>
      </c>
      <c r="X13" s="868">
        <f>+Details!X$61</f>
        <v>65500</v>
      </c>
      <c r="Y13" s="868">
        <f>+Details!Y$61</f>
        <v>66800</v>
      </c>
      <c r="Z13" s="868">
        <f>+Details!Z$61</f>
        <v>68100</v>
      </c>
      <c r="AA13" s="868">
        <f>+Details!AA$61</f>
        <v>69500</v>
      </c>
      <c r="AB13" s="868">
        <f>+Details!AB$61</f>
        <v>70900</v>
      </c>
      <c r="AC13" s="868">
        <f>+Details!AC$61</f>
        <v>72300</v>
      </c>
      <c r="AD13" s="868">
        <f>+Details!AD$61</f>
        <v>49000</v>
      </c>
      <c r="AE13" s="868">
        <f>+Details!AE$61</f>
        <v>50000</v>
      </c>
      <c r="AF13" s="868">
        <f>+Details!AF$61</f>
        <v>51000</v>
      </c>
      <c r="AG13" s="868">
        <f>+Details!AG$61</f>
        <v>52000</v>
      </c>
      <c r="AH13" s="868">
        <f>+Details!AH$61</f>
        <v>53000</v>
      </c>
      <c r="AI13" s="868">
        <f>+Details!AI$61</f>
        <v>54100</v>
      </c>
      <c r="AJ13" s="868">
        <f>+Details!AJ$61</f>
        <v>0</v>
      </c>
      <c r="AK13" s="868">
        <f>+Details!AK$61</f>
        <v>0</v>
      </c>
      <c r="AL13" s="868">
        <f>+Details!AL$61</f>
        <v>0</v>
      </c>
      <c r="AM13" s="868">
        <f>+Details!AM$61</f>
        <v>0</v>
      </c>
      <c r="AN13" s="868">
        <f>+Details!AN$61</f>
        <v>0</v>
      </c>
      <c r="AO13" s="868">
        <f>+Details!AO$61</f>
        <v>0</v>
      </c>
      <c r="AP13" s="868">
        <f>+Details!AP$61</f>
        <v>0</v>
      </c>
      <c r="AQ13" s="868">
        <f>+Details!AQ$61</f>
        <v>0</v>
      </c>
      <c r="AR13" s="868">
        <f>+Details!AR$61</f>
        <v>0</v>
      </c>
      <c r="AS13" s="868">
        <f>+Details!AS$61</f>
        <v>0</v>
      </c>
    </row>
    <row r="14" spans="1:46" ht="16.2" customHeight="1">
      <c r="B14" s="175" t="s">
        <v>222</v>
      </c>
      <c r="C14" s="342"/>
      <c r="D14" s="29"/>
      <c r="E14" s="29">
        <f t="shared" si="0"/>
        <v>700000</v>
      </c>
      <c r="F14" s="868">
        <f>+Details!F$78+Details!F$79+Details!F$80+Details!F$81+Details!F$105+Details!F$106</f>
        <v>0</v>
      </c>
      <c r="G14" s="868">
        <f>+Details!G$78+Details!G$79+Details!G$80+Details!G$81+Details!G$105+Details!G$106</f>
        <v>0</v>
      </c>
      <c r="H14" s="868">
        <f>+Details!H$78+Details!H$79+Details!H$80+Details!H$81+Details!H$105+Details!H$106</f>
        <v>0</v>
      </c>
      <c r="I14" s="868">
        <f>+Details!I$78+Details!I$79+Details!I$80+Details!I$81+Details!I$105+Details!I$106</f>
        <v>0</v>
      </c>
      <c r="J14" s="868">
        <f>+Details!J$78+Details!J$79+Details!J$80+Details!J$81+Details!J$105+Details!J$106</f>
        <v>0</v>
      </c>
      <c r="K14" s="868">
        <f>+Details!K$78+Details!K$79+Details!K$80+Details!K$81+Details!K$105+Details!K$106</f>
        <v>0</v>
      </c>
      <c r="L14" s="868">
        <f>+Details!L$78+Details!L$79+Details!L$80+Details!L$81+Details!L$105+Details!L$106</f>
        <v>0</v>
      </c>
      <c r="M14" s="868">
        <f>+Details!M$78+Details!M$79+Details!M$80+Details!M$81+Details!M$105+Details!M$106</f>
        <v>0</v>
      </c>
      <c r="N14" s="868">
        <f>+Details!N$78+Details!N$79+Details!N$80+Details!N$81+Details!N$105+Details!N$106</f>
        <v>0</v>
      </c>
      <c r="O14" s="868">
        <f>+Details!O$78+Details!O$79+Details!O$80+Details!O$81+Details!O$105+Details!O$106</f>
        <v>0</v>
      </c>
      <c r="P14" s="868">
        <f>+Details!P$78+Details!P$79+Details!P$80+Details!P$81+Details!P$105+Details!P$106</f>
        <v>0</v>
      </c>
      <c r="Q14" s="868">
        <f>+Details!Q$78+Details!Q$79+Details!Q$80+Details!Q$81+Details!Q$105+Details!Q$106</f>
        <v>100000</v>
      </c>
      <c r="R14" s="868">
        <f>+Details!R$78+Details!R$79+Details!R$80+Details!R$81+Details!R$105+Details!R$106</f>
        <v>0</v>
      </c>
      <c r="S14" s="868">
        <f>+Details!S$78+Details!S$79+Details!S$80+Details!S$81+Details!S$105+Details!S$106</f>
        <v>0</v>
      </c>
      <c r="T14" s="868">
        <f>+Details!T$78+Details!T$79+Details!T$80+Details!T$81+Details!T$105+Details!T$106</f>
        <v>0</v>
      </c>
      <c r="U14" s="868">
        <f>+Details!U$78+Details!U$79+Details!U$80+Details!U$81+Details!U$105+Details!U$106</f>
        <v>100000</v>
      </c>
      <c r="V14" s="868">
        <f>+Details!V$78+Details!V$79+Details!V$80+Details!V$81+Details!V$105+Details!V$106</f>
        <v>0</v>
      </c>
      <c r="W14" s="868">
        <f>+Details!W$78+Details!W$79+Details!W$80+Details!W$81+Details!W$105+Details!W$106</f>
        <v>0</v>
      </c>
      <c r="X14" s="868">
        <f>+Details!X$78+Details!X$79+Details!X$80+Details!X$81+Details!X$105+Details!X$106</f>
        <v>0</v>
      </c>
      <c r="Y14" s="868">
        <f>+Details!Y$78+Details!Y$79+Details!Y$80+Details!Y$81+Details!Y$105+Details!Y$106</f>
        <v>0</v>
      </c>
      <c r="Z14" s="868">
        <f>+Details!Z$78+Details!Z$79+Details!Z$80+Details!Z$81+Details!Z$105+Details!Z$106</f>
        <v>0</v>
      </c>
      <c r="AA14" s="868">
        <f>+Details!AA$78+Details!AA$79+Details!AA$80+Details!AA$81+Details!AA$105+Details!AA$106</f>
        <v>0</v>
      </c>
      <c r="AB14" s="868">
        <f>+Details!AB$78+Details!AB$79+Details!AB$80+Details!AB$81+Details!AB$105+Details!AB$106</f>
        <v>400000</v>
      </c>
      <c r="AC14" s="868">
        <f>+Details!AC$78+Details!AC$79+Details!AC$80+Details!AC$81+Details!AC$105+Details!AC$106</f>
        <v>0</v>
      </c>
      <c r="AD14" s="868">
        <f>+Details!AD$78+Details!AD$79+Details!AD$80+Details!AD$81+Details!AD$105+Details!AD$106</f>
        <v>100000</v>
      </c>
      <c r="AE14" s="868">
        <f>+Details!AE$78+Details!AE$79+Details!AE$80+Details!AE$81+Details!AE$105+Details!AE$106</f>
        <v>0</v>
      </c>
      <c r="AF14" s="868">
        <f>+Details!AF$78+Details!AF$79+Details!AF$80+Details!AF$81+Details!AF$105+Details!AF$106</f>
        <v>0</v>
      </c>
      <c r="AG14" s="868">
        <f>+Details!AG$78+Details!AG$79+Details!AG$80+Details!AG$81+Details!AG$105+Details!AG$106</f>
        <v>0</v>
      </c>
      <c r="AH14" s="868">
        <f>+Details!AH$78+Details!AH$79+Details!AH$80+Details!AH$81+Details!AH$105+Details!AH$106</f>
        <v>0</v>
      </c>
      <c r="AI14" s="868">
        <f>+Details!AI$78+Details!AI$79+Details!AI$80+Details!AI$81+Details!AI$105+Details!AI$106</f>
        <v>0</v>
      </c>
      <c r="AJ14" s="868">
        <f>+Details!AJ$78+Details!AJ$79+Details!AJ$80+Details!AJ$81+Details!AJ$105+Details!AJ$106</f>
        <v>0</v>
      </c>
      <c r="AK14" s="868">
        <f>+Details!AK$78+Details!AK$79+Details!AK$80+Details!AK$81+Details!AK$105+Details!AK$106</f>
        <v>0</v>
      </c>
      <c r="AL14" s="868">
        <f>+Details!AL$78+Details!AL$79+Details!AL$80+Details!AL$81+Details!AL$105+Details!AL$106</f>
        <v>0</v>
      </c>
      <c r="AM14" s="868">
        <f>+Details!AM$78+Details!AM$79+Details!AM$80+Details!AM$81+Details!AM$105+Details!AM$106</f>
        <v>0</v>
      </c>
      <c r="AN14" s="868">
        <f>+Details!AN$78+Details!AN$79+Details!AN$80+Details!AN$81+Details!AN$105+Details!AN$106</f>
        <v>0</v>
      </c>
      <c r="AO14" s="868">
        <f>+Details!AO$78+Details!AO$79+Details!AO$80+Details!AO$81+Details!AO$105+Details!AO$106</f>
        <v>0</v>
      </c>
      <c r="AP14" s="868">
        <f>+Details!AP$78+Details!AP$79+Details!AP$80+Details!AP$81+Details!AP$105+Details!AP$106</f>
        <v>0</v>
      </c>
      <c r="AQ14" s="868">
        <f>+Details!AQ$78+Details!AQ$79+Details!AQ$80+Details!AQ$81+Details!AQ$105+Details!AQ$106</f>
        <v>0</v>
      </c>
      <c r="AR14" s="868">
        <f>+Details!AR$78+Details!AR$79+Details!AR$80+Details!AR$81+Details!AR$105+Details!AR$106</f>
        <v>0</v>
      </c>
      <c r="AS14" s="868">
        <f>+Details!AS$78+Details!AS$79+Details!AS$80+Details!AS$81+Details!AS$105+Details!AS$106</f>
        <v>0</v>
      </c>
    </row>
    <row r="15" spans="1:46" ht="16.2" customHeight="1">
      <c r="B15" s="72" t="s">
        <v>1206</v>
      </c>
      <c r="C15" s="342"/>
      <c r="D15" s="29"/>
      <c r="E15" s="29">
        <f t="shared" si="0"/>
        <v>-300000</v>
      </c>
      <c r="F15" s="868">
        <f>Details!F$82+Details!F$83+Details!F$84+Details!F$137</f>
        <v>0</v>
      </c>
      <c r="G15" s="868">
        <f>Details!G$82+Details!G$83+Details!G$84+Details!G$137</f>
        <v>0</v>
      </c>
      <c r="H15" s="868">
        <f>Details!H$82+Details!H$83+Details!H$84+Details!H$137</f>
        <v>0</v>
      </c>
      <c r="I15" s="868">
        <f>Details!I$82+Details!I$83+Details!I$84+Details!I$137</f>
        <v>0</v>
      </c>
      <c r="J15" s="868">
        <f>Details!J$82+Details!J$83+Details!J$84+Details!J$137</f>
        <v>0</v>
      </c>
      <c r="K15" s="868">
        <f>Details!K$82+Details!K$83+Details!K$84+Details!K$137</f>
        <v>0</v>
      </c>
      <c r="L15" s="868">
        <f>Details!L$82+Details!L$83+Details!L$84+Details!L$137</f>
        <v>0</v>
      </c>
      <c r="M15" s="868">
        <f>Details!M$82+Details!M$83+Details!M$84+Details!M$137</f>
        <v>0</v>
      </c>
      <c r="N15" s="868">
        <f>Details!N$82+Details!N$83+Details!N$84+Details!N$137</f>
        <v>0</v>
      </c>
      <c r="O15" s="868">
        <f>Details!O$82+Details!O$83+Details!O$84+Details!O$137</f>
        <v>-15000</v>
      </c>
      <c r="P15" s="868">
        <f>Details!P$82+Details!P$83+Details!P$84+Details!P$137</f>
        <v>-95000</v>
      </c>
      <c r="Q15" s="868">
        <f>Details!Q$82+Details!Q$83+Details!Q$84+Details!Q$137</f>
        <v>-15000</v>
      </c>
      <c r="R15" s="868">
        <f>Details!R$82+Details!R$83+Details!R$84+Details!R$137</f>
        <v>-35000</v>
      </c>
      <c r="S15" s="868">
        <f>Details!S$82+Details!S$83+Details!S$84+Details!S$137</f>
        <v>-15000</v>
      </c>
      <c r="T15" s="868">
        <f>Details!T$82+Details!T$83+Details!T$84+Details!T$137</f>
        <v>-100000</v>
      </c>
      <c r="U15" s="868">
        <f>Details!U$82+Details!U$83+Details!U$84+Details!U$137</f>
        <v>0</v>
      </c>
      <c r="V15" s="868">
        <f>Details!V$82+Details!V$83+Details!V$84+Details!V$137</f>
        <v>0</v>
      </c>
      <c r="W15" s="868">
        <f>Details!W$82+Details!W$83+Details!W$84+Details!W$137</f>
        <v>0</v>
      </c>
      <c r="X15" s="868">
        <f>Details!X$82+Details!X$83+Details!X$84+Details!X$137</f>
        <v>-5000</v>
      </c>
      <c r="Y15" s="868">
        <f>Details!Y$82+Details!Y$83+Details!Y$84+Details!Y$137</f>
        <v>-5000</v>
      </c>
      <c r="Z15" s="868">
        <f>Details!Z$82+Details!Z$83+Details!Z$84+Details!Z$137</f>
        <v>-5000</v>
      </c>
      <c r="AA15" s="868">
        <f>Details!AA$82+Details!AA$83+Details!AA$84+Details!AA$137</f>
        <v>-5000</v>
      </c>
      <c r="AB15" s="868">
        <f>Details!AB$82+Details!AB$83+Details!AB$84+Details!AB$137</f>
        <v>-5000</v>
      </c>
      <c r="AC15" s="868">
        <f>Details!AC$82+Details!AC$83+Details!AC$84+Details!AC$137</f>
        <v>0</v>
      </c>
      <c r="AD15" s="868">
        <f>Details!AD$82+Details!AD$83+Details!AD$84+Details!AD$137</f>
        <v>0</v>
      </c>
      <c r="AE15" s="868">
        <f>Details!AE$82+Details!AE$83+Details!AE$84+Details!AE$137</f>
        <v>0</v>
      </c>
      <c r="AF15" s="868">
        <f>Details!AF$82+Details!AF$83+Details!AF$84+Details!AF$137</f>
        <v>0</v>
      </c>
      <c r="AG15" s="868">
        <f>Details!AG$82+Details!AG$83+Details!AG$84+Details!AG$137</f>
        <v>0</v>
      </c>
      <c r="AH15" s="868">
        <f>Details!AH$82+Details!AH$83+Details!AH$84+Details!AH$137</f>
        <v>0</v>
      </c>
      <c r="AI15" s="868">
        <f>Details!AI$82+Details!AI$83+Details!AI$84+Details!AI$137</f>
        <v>0</v>
      </c>
      <c r="AJ15" s="868">
        <f>Details!AJ$82+Details!AJ$83+Details!AJ$84+Details!AJ$137</f>
        <v>0</v>
      </c>
      <c r="AK15" s="868">
        <f>Details!AK$82+Details!AK$83+Details!AK$84+Details!AK$137</f>
        <v>0</v>
      </c>
      <c r="AL15" s="868">
        <f>Details!AL$82+Details!AL$83+Details!AL$84+Details!AL$137</f>
        <v>0</v>
      </c>
      <c r="AM15" s="868">
        <f>Details!AM$82+Details!AM$83+Details!AM$84+Details!AM$137</f>
        <v>0</v>
      </c>
      <c r="AN15" s="868">
        <f>Details!AN$82+Details!AN$83+Details!AN$84+Details!AN$137</f>
        <v>0</v>
      </c>
      <c r="AO15" s="868">
        <f>Details!AO$82+Details!AO$83+Details!AO$84+Details!AO$137</f>
        <v>0</v>
      </c>
      <c r="AP15" s="868">
        <f>Details!AP$82+Details!AP$83+Details!AP$84+Details!AP$137</f>
        <v>0</v>
      </c>
      <c r="AQ15" s="868">
        <f>Details!AQ$82+Details!AQ$83+Details!AQ$84+Details!AQ$137</f>
        <v>0</v>
      </c>
      <c r="AR15" s="868">
        <f>Details!AR$82+Details!AR$83+Details!AR$84+Details!AR$137</f>
        <v>0</v>
      </c>
      <c r="AS15" s="868">
        <f>Details!AS$82+Details!AS$83+Details!AS$84+Details!AS$137</f>
        <v>0</v>
      </c>
    </row>
    <row r="16" spans="1:46" ht="16.2" customHeight="1">
      <c r="B16" s="72" t="s">
        <v>1319</v>
      </c>
      <c r="C16" s="342"/>
      <c r="D16" s="29"/>
      <c r="E16" s="29">
        <f>SUM(F16:AS16)</f>
        <v>-3104300</v>
      </c>
      <c r="F16" s="868">
        <f>-Details!F$144</f>
        <v>-70000</v>
      </c>
      <c r="G16" s="868">
        <f>-Details!G$144</f>
        <v>-71400</v>
      </c>
      <c r="H16" s="868">
        <f>-Details!H$144</f>
        <v>-72800</v>
      </c>
      <c r="I16" s="868">
        <f>-Details!I$144</f>
        <v>-74300</v>
      </c>
      <c r="J16" s="868">
        <f>-Details!J$144</f>
        <v>-75800</v>
      </c>
      <c r="K16" s="868">
        <f>-Details!K$144</f>
        <v>-77300</v>
      </c>
      <c r="L16" s="868">
        <f>-Details!L$144</f>
        <v>-78800</v>
      </c>
      <c r="M16" s="868">
        <f>-Details!M$144</f>
        <v>-80400</v>
      </c>
      <c r="N16" s="868">
        <f>-Details!N$144</f>
        <v>-82000</v>
      </c>
      <c r="O16" s="868">
        <f>-Details!O$144</f>
        <v>-83600</v>
      </c>
      <c r="P16" s="868">
        <f>-Details!P$144</f>
        <v>-85300</v>
      </c>
      <c r="Q16" s="868">
        <f>-Details!Q$144</f>
        <v>-87000</v>
      </c>
      <c r="R16" s="868">
        <f>-Details!R$144</f>
        <v>-88700</v>
      </c>
      <c r="S16" s="868">
        <f>-Details!S$144</f>
        <v>-90500</v>
      </c>
      <c r="T16" s="868">
        <f>-Details!T$144</f>
        <v>-92300</v>
      </c>
      <c r="U16" s="868">
        <f>-Details!U$144</f>
        <v>-94100</v>
      </c>
      <c r="V16" s="868">
        <f>-Details!V$144</f>
        <v>-96000</v>
      </c>
      <c r="W16" s="868">
        <f>-Details!W$144</f>
        <v>-97900</v>
      </c>
      <c r="X16" s="868">
        <f>-Details!X$144</f>
        <v>-119800</v>
      </c>
      <c r="Y16" s="868">
        <f>-Details!Y$144</f>
        <v>-122200</v>
      </c>
      <c r="Z16" s="868">
        <f>-Details!Z$144</f>
        <v>-124600</v>
      </c>
      <c r="AA16" s="868">
        <f>-Details!AA$144</f>
        <v>-127100</v>
      </c>
      <c r="AB16" s="868">
        <f>-Details!AB$144</f>
        <v>-129600</v>
      </c>
      <c r="AC16" s="868">
        <f>-Details!AC$144</f>
        <v>-132200</v>
      </c>
      <c r="AD16" s="868">
        <f>-Details!AD$144</f>
        <v>-134800</v>
      </c>
      <c r="AE16" s="868">
        <f>-Details!AE$144</f>
        <v>-137500</v>
      </c>
      <c r="AF16" s="868">
        <f>-Details!AF$144</f>
        <v>-140300</v>
      </c>
      <c r="AG16" s="868">
        <f>-Details!AG$144</f>
        <v>-143100</v>
      </c>
      <c r="AH16" s="868">
        <f>-Details!AH$144</f>
        <v>-146000</v>
      </c>
      <c r="AI16" s="868">
        <f>-Details!AI$144</f>
        <v>-148900</v>
      </c>
      <c r="AJ16" s="868">
        <f>-Details!AJ$144</f>
        <v>0</v>
      </c>
      <c r="AK16" s="868">
        <f>-Details!AK$144</f>
        <v>0</v>
      </c>
      <c r="AL16" s="868">
        <f>-Details!AL$144</f>
        <v>0</v>
      </c>
      <c r="AM16" s="868">
        <f>-Details!AM$144</f>
        <v>0</v>
      </c>
      <c r="AN16" s="868">
        <f>-Details!AN$144</f>
        <v>0</v>
      </c>
      <c r="AO16" s="868">
        <f>-Details!AO$144</f>
        <v>0</v>
      </c>
      <c r="AP16" s="868">
        <f>-Details!AP$144</f>
        <v>0</v>
      </c>
      <c r="AQ16" s="868">
        <f>-Details!AQ$144</f>
        <v>0</v>
      </c>
      <c r="AR16" s="868">
        <f>-Details!AR$144</f>
        <v>0</v>
      </c>
      <c r="AS16" s="868">
        <f>-Details!AS$144</f>
        <v>0</v>
      </c>
    </row>
    <row r="17" spans="1:46" ht="16.2" customHeight="1">
      <c r="B17" s="72" t="s">
        <v>468</v>
      </c>
      <c r="C17" s="342"/>
      <c r="D17" s="102"/>
      <c r="E17" s="34">
        <f t="shared" si="0"/>
        <v>-368300</v>
      </c>
      <c r="F17" s="1115">
        <f>-Details!F$145</f>
        <v>-5000</v>
      </c>
      <c r="G17" s="1115">
        <f>-Details!G$145</f>
        <v>-7400</v>
      </c>
      <c r="H17" s="1115">
        <f>-Details!H$145</f>
        <v>-5000</v>
      </c>
      <c r="I17" s="1115">
        <f>-Details!I$145</f>
        <v>-5100</v>
      </c>
      <c r="J17" s="1115">
        <f>-Details!J$145</f>
        <v>-5200</v>
      </c>
      <c r="K17" s="1115">
        <f>-Details!K$145</f>
        <v>-7600</v>
      </c>
      <c r="L17" s="1115">
        <f>-Details!L$145</f>
        <v>-7600</v>
      </c>
      <c r="M17" s="1115">
        <f>-Details!M$145</f>
        <v>-9100</v>
      </c>
      <c r="N17" s="1115">
        <f>-Details!N$145</f>
        <v>-4700</v>
      </c>
      <c r="O17" s="1115">
        <f>-Details!O$145</f>
        <v>-4800</v>
      </c>
      <c r="P17" s="1115">
        <f>-Details!P$145</f>
        <v>-4900</v>
      </c>
      <c r="Q17" s="1115">
        <f>-Details!Q$145</f>
        <v>-5300</v>
      </c>
      <c r="R17" s="1115">
        <f>-Details!R$145</f>
        <v>-6800</v>
      </c>
      <c r="S17" s="1115">
        <f>-Details!S$145</f>
        <v>-7300</v>
      </c>
      <c r="T17" s="1115">
        <f>-Details!T$145</f>
        <v>-10700</v>
      </c>
      <c r="U17" s="1115">
        <f>-Details!U$145</f>
        <v>-12600</v>
      </c>
      <c r="V17" s="1115">
        <f>-Details!V$145</f>
        <v>-12300</v>
      </c>
      <c r="W17" s="1115">
        <f>-Details!W$145</f>
        <v>-12700</v>
      </c>
      <c r="X17" s="1115">
        <f>-Details!X$145</f>
        <v>-11700</v>
      </c>
      <c r="Y17" s="1115">
        <f>-Details!Y$145</f>
        <v>-11900</v>
      </c>
      <c r="Z17" s="1115">
        <f>-Details!Z$145</f>
        <v>-12400</v>
      </c>
      <c r="AA17" s="1115">
        <f>-Details!AA$145</f>
        <v>-13100</v>
      </c>
      <c r="AB17" s="1115">
        <f>-Details!AB$145</f>
        <v>-17900</v>
      </c>
      <c r="AC17" s="1115">
        <f>-Details!AC$145</f>
        <v>-19600</v>
      </c>
      <c r="AD17" s="1115">
        <f>-Details!AD$145</f>
        <v>-24500</v>
      </c>
      <c r="AE17" s="1115">
        <f>-Details!AE$145</f>
        <v>-25500</v>
      </c>
      <c r="AF17" s="1115">
        <f>-Details!AF$145</f>
        <v>-25900</v>
      </c>
      <c r="AG17" s="1115">
        <f>-Details!AG$145</f>
        <v>-23800</v>
      </c>
      <c r="AH17" s="1115">
        <f>-Details!AH$145</f>
        <v>-23700</v>
      </c>
      <c r="AI17" s="1115">
        <f>-Details!AI$145</f>
        <v>-24200</v>
      </c>
      <c r="AJ17" s="1115">
        <f>-Details!AJ$145</f>
        <v>0</v>
      </c>
      <c r="AK17" s="1115">
        <f>-Details!AK$145</f>
        <v>0</v>
      </c>
      <c r="AL17" s="1115">
        <f>-Details!AL$145</f>
        <v>0</v>
      </c>
      <c r="AM17" s="1115">
        <f>-Details!AM$145</f>
        <v>0</v>
      </c>
      <c r="AN17" s="1115">
        <f>-Details!AN$145</f>
        <v>0</v>
      </c>
      <c r="AO17" s="1115">
        <f>-Details!AO$145</f>
        <v>0</v>
      </c>
      <c r="AP17" s="1115">
        <f>-Details!AP$145</f>
        <v>0</v>
      </c>
      <c r="AQ17" s="1115">
        <f>-Details!AQ$145</f>
        <v>0</v>
      </c>
      <c r="AR17" s="1115">
        <f>-Details!AR$145</f>
        <v>0</v>
      </c>
      <c r="AS17" s="1115">
        <f>-Details!AS$145</f>
        <v>0</v>
      </c>
    </row>
    <row r="18" spans="1:46" ht="16.2" customHeight="1">
      <c r="B18" s="138" t="s">
        <v>512</v>
      </c>
      <c r="C18" s="342"/>
      <c r="D18" s="1260" t="str">
        <f ca="1">IF(E19&lt;&gt;Details!$E$19,"Error: " &amp; (E19-Details!$E$19),".")</f>
        <v>.</v>
      </c>
      <c r="E18" s="29">
        <f t="shared" si="0"/>
        <v>1702400</v>
      </c>
      <c r="F18" s="868">
        <f t="shared" ref="F18:AS18" si="1">SUM(F11:F17)</f>
        <v>3900</v>
      </c>
      <c r="G18" s="868">
        <f t="shared" si="1"/>
        <v>16300</v>
      </c>
      <c r="H18" s="868">
        <f t="shared" si="1"/>
        <v>3400</v>
      </c>
      <c r="I18" s="868">
        <f t="shared" si="1"/>
        <v>2800</v>
      </c>
      <c r="J18" s="868">
        <f t="shared" si="1"/>
        <v>2100</v>
      </c>
      <c r="K18" s="868">
        <f t="shared" si="1"/>
        <v>21700</v>
      </c>
      <c r="L18" s="868">
        <f t="shared" si="1"/>
        <v>22500</v>
      </c>
      <c r="M18" s="868">
        <f t="shared" si="1"/>
        <v>21900</v>
      </c>
      <c r="N18" s="868">
        <f t="shared" si="1"/>
        <v>74900</v>
      </c>
      <c r="O18" s="868">
        <f t="shared" si="1"/>
        <v>49500</v>
      </c>
      <c r="P18" s="868">
        <f t="shared" si="1"/>
        <v>-29900</v>
      </c>
      <c r="Q18" s="868">
        <f t="shared" si="1"/>
        <v>151500</v>
      </c>
      <c r="R18" s="868">
        <f t="shared" si="1"/>
        <v>36900</v>
      </c>
      <c r="S18" s="868">
        <f t="shared" si="1"/>
        <v>58900</v>
      </c>
      <c r="T18" s="868">
        <f t="shared" si="1"/>
        <v>-19200</v>
      </c>
      <c r="U18" s="868">
        <f t="shared" si="1"/>
        <v>182400</v>
      </c>
      <c r="V18" s="868">
        <f t="shared" si="1"/>
        <v>72000</v>
      </c>
      <c r="W18" s="868">
        <f t="shared" si="1"/>
        <v>74900</v>
      </c>
      <c r="X18" s="868">
        <f t="shared" si="1"/>
        <v>40000</v>
      </c>
      <c r="Y18" s="868">
        <f t="shared" si="1"/>
        <v>40700</v>
      </c>
      <c r="Z18" s="868">
        <f t="shared" si="1"/>
        <v>41400</v>
      </c>
      <c r="AA18" s="868">
        <f t="shared" si="1"/>
        <v>41600</v>
      </c>
      <c r="AB18" s="868">
        <f t="shared" si="1"/>
        <v>445900</v>
      </c>
      <c r="AC18" s="868">
        <f t="shared" si="1"/>
        <v>58700</v>
      </c>
      <c r="AD18" s="868">
        <f t="shared" si="1"/>
        <v>130100</v>
      </c>
      <c r="AE18" s="868">
        <f t="shared" si="1"/>
        <v>31200</v>
      </c>
      <c r="AF18" s="868">
        <f t="shared" si="1"/>
        <v>30200</v>
      </c>
      <c r="AG18" s="868">
        <f t="shared" si="1"/>
        <v>32200</v>
      </c>
      <c r="AH18" s="868">
        <f t="shared" si="1"/>
        <v>32300</v>
      </c>
      <c r="AI18" s="868">
        <f t="shared" si="1"/>
        <v>31600</v>
      </c>
      <c r="AJ18" s="868">
        <f t="shared" si="1"/>
        <v>0</v>
      </c>
      <c r="AK18" s="868">
        <f t="shared" si="1"/>
        <v>0</v>
      </c>
      <c r="AL18" s="868">
        <f t="shared" si="1"/>
        <v>0</v>
      </c>
      <c r="AM18" s="868">
        <f t="shared" si="1"/>
        <v>0</v>
      </c>
      <c r="AN18" s="868">
        <f t="shared" si="1"/>
        <v>0</v>
      </c>
      <c r="AO18" s="868">
        <f t="shared" si="1"/>
        <v>0</v>
      </c>
      <c r="AP18" s="868">
        <f t="shared" si="1"/>
        <v>0</v>
      </c>
      <c r="AQ18" s="868">
        <f t="shared" si="1"/>
        <v>0</v>
      </c>
      <c r="AR18" s="868">
        <f t="shared" si="1"/>
        <v>0</v>
      </c>
      <c r="AS18" s="868">
        <f t="shared" si="1"/>
        <v>0</v>
      </c>
    </row>
    <row r="19" spans="1:46" ht="17.399999999999999" customHeight="1">
      <c r="B19" s="28" t="s">
        <v>638</v>
      </c>
      <c r="C19" s="342"/>
      <c r="D19" s="1020" t="s">
        <v>1528</v>
      </c>
      <c r="E19" s="33">
        <f ca="1">INDIRECT(ADDRESS(ROW(),Total_Years+5))</f>
        <v>2702400</v>
      </c>
      <c r="F19" s="868">
        <f t="shared" ref="F19:AS19" si="2">+F10+F18</f>
        <v>1003900</v>
      </c>
      <c r="G19" s="868">
        <f t="shared" si="2"/>
        <v>1020200</v>
      </c>
      <c r="H19" s="868">
        <f t="shared" si="2"/>
        <v>1023600</v>
      </c>
      <c r="I19" s="868">
        <f t="shared" si="2"/>
        <v>1026400</v>
      </c>
      <c r="J19" s="868">
        <f t="shared" si="2"/>
        <v>1028500</v>
      </c>
      <c r="K19" s="868">
        <f t="shared" si="2"/>
        <v>1050200</v>
      </c>
      <c r="L19" s="868">
        <f t="shared" si="2"/>
        <v>1072700</v>
      </c>
      <c r="M19" s="868">
        <f t="shared" si="2"/>
        <v>1094600</v>
      </c>
      <c r="N19" s="868">
        <f t="shared" si="2"/>
        <v>1169500</v>
      </c>
      <c r="O19" s="868">
        <f t="shared" si="2"/>
        <v>1219000</v>
      </c>
      <c r="P19" s="868">
        <f t="shared" si="2"/>
        <v>1189100</v>
      </c>
      <c r="Q19" s="868">
        <f t="shared" si="2"/>
        <v>1340600</v>
      </c>
      <c r="R19" s="868">
        <f t="shared" si="2"/>
        <v>1377500</v>
      </c>
      <c r="S19" s="868">
        <f t="shared" si="2"/>
        <v>1436400</v>
      </c>
      <c r="T19" s="868">
        <f t="shared" si="2"/>
        <v>1417200</v>
      </c>
      <c r="U19" s="868">
        <f t="shared" si="2"/>
        <v>1599600</v>
      </c>
      <c r="V19" s="868">
        <f t="shared" si="2"/>
        <v>1671600</v>
      </c>
      <c r="W19" s="868">
        <f t="shared" si="2"/>
        <v>1746500</v>
      </c>
      <c r="X19" s="868">
        <f t="shared" si="2"/>
        <v>1786500</v>
      </c>
      <c r="Y19" s="868">
        <f t="shared" si="2"/>
        <v>1827200</v>
      </c>
      <c r="Z19" s="868">
        <f t="shared" si="2"/>
        <v>1868600</v>
      </c>
      <c r="AA19" s="868">
        <f t="shared" si="2"/>
        <v>1910200</v>
      </c>
      <c r="AB19" s="868">
        <f t="shared" si="2"/>
        <v>2356100</v>
      </c>
      <c r="AC19" s="868">
        <f t="shared" si="2"/>
        <v>2414800</v>
      </c>
      <c r="AD19" s="868">
        <f t="shared" si="2"/>
        <v>2544900</v>
      </c>
      <c r="AE19" s="868">
        <f t="shared" si="2"/>
        <v>2576100</v>
      </c>
      <c r="AF19" s="868">
        <f t="shared" si="2"/>
        <v>2606300</v>
      </c>
      <c r="AG19" s="868">
        <f t="shared" si="2"/>
        <v>2638500</v>
      </c>
      <c r="AH19" s="868">
        <f t="shared" si="2"/>
        <v>2670800</v>
      </c>
      <c r="AI19" s="868">
        <f t="shared" si="2"/>
        <v>2702400</v>
      </c>
      <c r="AJ19" s="868">
        <f t="shared" si="2"/>
        <v>0</v>
      </c>
      <c r="AK19" s="868">
        <f t="shared" si="2"/>
        <v>0</v>
      </c>
      <c r="AL19" s="868">
        <f t="shared" si="2"/>
        <v>0</v>
      </c>
      <c r="AM19" s="868">
        <f t="shared" si="2"/>
        <v>0</v>
      </c>
      <c r="AN19" s="868">
        <f t="shared" si="2"/>
        <v>0</v>
      </c>
      <c r="AO19" s="868">
        <f t="shared" si="2"/>
        <v>0</v>
      </c>
      <c r="AP19" s="868">
        <f t="shared" si="2"/>
        <v>0</v>
      </c>
      <c r="AQ19" s="868">
        <f t="shared" si="2"/>
        <v>0</v>
      </c>
      <c r="AR19" s="868">
        <f t="shared" si="2"/>
        <v>0</v>
      </c>
      <c r="AS19" s="868">
        <f t="shared" si="2"/>
        <v>0</v>
      </c>
    </row>
    <row r="20" spans="1:46" s="21" customFormat="1" ht="17.399999999999999" customHeight="1">
      <c r="B20" s="72" t="s">
        <v>652</v>
      </c>
      <c r="C20" s="1249"/>
      <c r="D20" s="1249"/>
      <c r="E20" s="1271">
        <f>SUM(F20:AS20)/Total_Years</f>
        <v>2.1007136599528919E-2</v>
      </c>
      <c r="F20" s="1271">
        <f>IF(F19&gt;0,IF(-(((Details!F$28*(1-Taxable_Tax_Rate))+F12+F13+F16+F17)/+F10)&gt;0,-((Details!F$28*(1-Taxable_Tax_Rate))+F12+F13+F16+F17)/+F10,0),0)</f>
        <v>5.1159999999999997E-2</v>
      </c>
      <c r="G20" s="1271">
        <f>IF(G19&gt;0,IF(-(((Details!G$28*(1-Taxable_Tax_Rate))+G12+G13+G16+G17)/+G10)&gt;0,-((Details!G$28*(1-Taxable_Tax_Rate))+G12+G13+G16+G17)/+G10,0),0)</f>
        <v>3.9326626157983866E-2</v>
      </c>
      <c r="H20" s="1271">
        <f>IF(H19&gt;0,IF(-(((Details!H$28*(1-Taxable_Tax_Rate))+H12+H13+H16+H17)/+H10)&gt;0,-((Details!H$28*(1-Taxable_Tax_Rate))+H12+H13+H16+H17)/+H10,0),0)</f>
        <v>5.1989805920407764E-2</v>
      </c>
      <c r="I20" s="1271">
        <f>IF(I19&gt;0,IF(-(((Details!I$28*(1-Taxable_Tax_Rate))+I12+I13+I16+I17)/+I10)&gt;0,-((Details!I$28*(1-Taxable_Tax_Rate))+I12+I13+I16+I17)/+I10,0),0)</f>
        <v>5.2930832356389214E-2</v>
      </c>
      <c r="J20" s="1271">
        <f>IF(J19&gt;0,IF(-(((Details!J$28*(1-Taxable_Tax_Rate))+J12+J13+J16+J17)/+J10)&gt;0,-((Details!J$28*(1-Taxable_Tax_Rate))+J12+J13+J16+J17)/+J10,0),0)</f>
        <v>5.3897116134060792E-2</v>
      </c>
      <c r="K20" s="1271">
        <f>IF(K19&gt;0,IF(-(((Details!K$28*(1-Taxable_Tax_Rate))+K12+K13+K16+K17)/+K10)&gt;0,-((Details!K$28*(1-Taxable_Tax_Rate))+K12+K13+K16+K17)/+K10,0),0)</f>
        <v>3.5352455031599415E-2</v>
      </c>
      <c r="L20" s="1271">
        <f>IF(L19&gt;0,IF(-(((Details!L$28*(1-Taxable_Tax_Rate))+L12+L13+L16+L17)/+L10)&gt;0,-((Details!L$28*(1-Taxable_Tax_Rate))+L12+L13+L16+L17)/+L10,0),0)</f>
        <v>3.4717196724433443E-2</v>
      </c>
      <c r="M20" s="1271">
        <f>IF(M19&gt;0,IF(-(((Details!M$28*(1-Taxable_Tax_Rate))+M12+M13+M16+M17)/+M10)&gt;0,-((Details!M$28*(1-Taxable_Tax_Rate))+M12+M13+M16+M17)/+M10,0),0)</f>
        <v>3.5480563065162674E-2</v>
      </c>
      <c r="N20" s="1271">
        <f>IF(N19&gt;0,IF(-(((Details!N$28*(1-Taxable_Tax_Rate))+N12+N13+N16+N17)/+N10)&gt;0,-((Details!N$28*(1-Taxable_Tax_Rate))+N12+N13+N16+N17)/+N10,0),0)</f>
        <v>0</v>
      </c>
      <c r="O20" s="1271">
        <f>IF(O19&gt;0,IF(-(((Details!O$28*(1-Taxable_Tax_Rate))+O12+O13+O16+O17)/+O10)&gt;0,-((Details!O$28*(1-Taxable_Tax_Rate))+O12+O13+O16+O17)/+O10,0),0)</f>
        <v>2.0521590423257802E-4</v>
      </c>
      <c r="P20" s="1271">
        <f>IF(P19&gt;0,IF(-(((Details!P$28*(1-Taxable_Tax_Rate))+P12+P13+P16+P17)/+P10)&gt;0,-((Details!P$28*(1-Taxable_Tax_Rate))+P12+P13+P16+P17)/+P10,0),0)</f>
        <v>3.4454470877768662E-4</v>
      </c>
      <c r="Q20" s="1271">
        <f>IF(Q19&gt;0,IF(-(((Details!Q$28*(1-Taxable_Tax_Rate))+Q12+Q13+Q16+Q17)/+Q10)&gt;0,-((Details!Q$28*(1-Taxable_Tax_Rate))+Q12+Q13+Q16+Q17)/+Q10,0),0)</f>
        <v>3.3638886552855103E-4</v>
      </c>
      <c r="R20" s="1271">
        <f>IF(R19&gt;0,IF(-(((Details!R$28*(1-Taxable_Tax_Rate))+R12+R13+R16+R17)/+R10)&gt;0,-((Details!R$28*(1-Taxable_Tax_Rate))+R12+R13+R16+R17)/+R10,0),0)</f>
        <v>5.967477248992988E-4</v>
      </c>
      <c r="S20" s="1271">
        <f>IF(S19&gt;0,IF(-(((Details!S$28*(1-Taxable_Tax_Rate))+S12+S13+S16+S17)/+S10)&gt;0,-((Details!S$28*(1-Taxable_Tax_Rate))+S12+S13+S16+S17)/+S10,0),0)</f>
        <v>4.2105263157894739E-4</v>
      </c>
      <c r="T20" s="1271">
        <f>IF(T19&gt;0,IF(-(((Details!T$28*(1-Taxable_Tax_Rate))+T12+T13+T16+T17)/+T10)&gt;0,-((Details!T$28*(1-Taxable_Tax_Rate))+T12+T13+T16+T17)/+T10,0),0)</f>
        <v>0</v>
      </c>
      <c r="U20" s="1271">
        <f>IF(U19&gt;0,IF(-(((Details!U$28*(1-Taxable_Tax_Rate))+U12+U13+U16+U17)/+U10)&gt;0,-((Details!U$28*(1-Taxable_Tax_Rate))+U12+U13+U16+U17)/+U10,0),0)</f>
        <v>0</v>
      </c>
      <c r="V20" s="1271">
        <f>IF(V19&gt;0,IF(-(((Details!V$28*(1-Taxable_Tax_Rate))+V12+V13+V16+V17)/+V10)&gt;0,-((Details!V$28*(1-Taxable_Tax_Rate))+V12+V13+V16+V17)/+V10,0),0)</f>
        <v>7.7769442360590144E-3</v>
      </c>
      <c r="W20" s="1271">
        <f>IF(W19&gt;0,IF(-(((Details!W$28*(1-Taxable_Tax_Rate))+W12+W13+W16+W17)/+W10)&gt;0,-((Details!W$28*(1-Taxable_Tax_Rate))+W12+W13+W16+W17)/+W10,0),0)</f>
        <v>7.190715482172769E-3</v>
      </c>
      <c r="X20" s="1271">
        <f>IF(X19&gt;0,IF(-(((Details!X$28*(1-Taxable_Tax_Rate))+X12+X13+X16+X17)/+X10)&gt;0,-((Details!X$28*(1-Taxable_Tax_Rate))+X12+X13+X16+X17)/+X10,0),0)</f>
        <v>1.8448325221872317E-2</v>
      </c>
      <c r="Y20" s="1271">
        <f>IF(Y19&gt;0,IF(-(((Details!Y$28*(1-Taxable_Tax_Rate))+Y12+Y13+Y16+Y17)/+Y10)&gt;0,-((Details!Y$28*(1-Taxable_Tax_Rate))+Y12+Y13+Y16+Y17)/+Y10,0),0)</f>
        <v>1.8247970892807164E-2</v>
      </c>
      <c r="Z20" s="1271">
        <f>IF(Z19&gt;0,IF(-(((Details!Z$28*(1-Taxable_Tax_Rate))+Z12+Z13+Z16+Z17)/+Z10)&gt;0,-((Details!Z$28*(1-Taxable_Tax_Rate))+Z12+Z13+Z16+Z17)/+Z10,0),0)</f>
        <v>1.8169877408056041E-2</v>
      </c>
      <c r="AA20" s="1271">
        <f>IF(AA19&gt;0,IF(-(((Details!AA$28*(1-Taxable_Tax_Rate))+AA12+AA13+AA16+AA17)/+AA10)&gt;0,-((Details!AA$28*(1-Taxable_Tax_Rate))+AA12+AA13+AA16+AA17)/+AA10,0),0)</f>
        <v>1.8174034036176817E-2</v>
      </c>
      <c r="AB20" s="1271">
        <f>IF(AB19&gt;0,IF(-(((Details!AB$28*(1-Taxable_Tax_Rate))+AB12+AB13+AB16+AB17)/+AB10)&gt;0,-((Details!AB$28*(1-Taxable_Tax_Rate))+AB12+AB13+AB16+AB17)/+AB10,0),0)</f>
        <v>1.8584441419746623E-2</v>
      </c>
      <c r="AC20" s="1271">
        <f>IF(AC19&gt;0,IF(-(((Details!AC$28*(1-Taxable_Tax_Rate))+AC12+AC13+AC16+AC17)/+AC10)&gt;0,-((Details!AC$28*(1-Taxable_Tax_Rate))+AC12+AC13+AC16+AC17)/+AC10,0),0)</f>
        <v>1.4337252238869318E-2</v>
      </c>
      <c r="AD20" s="1271">
        <f>IF(AD19&gt;0,IF(-(((Details!AD$28*(1-Taxable_Tax_Rate))+AD12+AD13+AD16+AD17)/+AD10)&gt;0,-((Details!AD$28*(1-Taxable_Tax_Rate))+AD12+AD13+AD16+AD17)/+AD10,0),0)</f>
        <v>2.6668875269173432E-2</v>
      </c>
      <c r="AE20" s="1271">
        <f>IF(AE19&gt;0,IF(-(((Details!AE$28*(1-Taxable_Tax_Rate))+AE12+AE13+AE16+AE17)/+AE10)&gt;0,-((Details!AE$28*(1-Taxable_Tax_Rate))+AE12+AE13+AE16+AE17)/+AE10,0),0)</f>
        <v>2.5604149475421431E-2</v>
      </c>
      <c r="AF20" s="1271">
        <f>IF(AF19&gt;0,IF(-(((Details!AF$28*(1-Taxable_Tax_Rate))+AF12+AF13+AF16+AF17)/+AF10)&gt;0,-((Details!AF$28*(1-Taxable_Tax_Rate))+AF12+AF13+AF16+AF17)/+AF10,0),0)</f>
        <v>2.5689996506346804E-2</v>
      </c>
      <c r="AG20" s="1271">
        <f>IF(AG19&gt;0,IF(-(((Details!AG$28*(1-Taxable_Tax_Rate))+AG12+AG13+AG16+AG17)/+AG10)&gt;0,-((Details!AG$28*(1-Taxable_Tax_Rate))+AG12+AG13+AG16+AG17)/+AG10,0),0)</f>
        <v>2.4839811226643135E-2</v>
      </c>
      <c r="AH20" s="1271">
        <f>IF(AH19&gt;0,IF(-(((Details!AH$28*(1-Taxable_Tax_Rate))+AH12+AH13+AH16+AH17)/+AH10)&gt;0,-((Details!AH$28*(1-Taxable_Tax_Rate))+AH12+AH13+AH16+AH17)/+AH10,0),0)</f>
        <v>2.4786810687890848E-2</v>
      </c>
      <c r="AI20" s="1271">
        <f>IF(AI19&gt;0,IF(-(((Details!AI$28*(1-Taxable_Tax_Rate))+AI12+AI13+AI16+AI17)/+AI10)&gt;0,-((Details!AI$28*(1-Taxable_Tax_Rate))+AI12+AI13+AI16+AI17)/+AI10,0),0)</f>
        <v>2.4936348659577653E-2</v>
      </c>
      <c r="AJ20" s="1271">
        <f>IF(AJ19&gt;0,IF(-(((Details!AJ$28*(1-Taxable_Tax_Rate))+AJ12+AJ13+AJ16+AJ17)/+AJ10)&gt;0,-((Details!AJ$28*(1-Taxable_Tax_Rate))+AJ12+AJ13+AJ16+AJ17)/+AJ10,0),0)</f>
        <v>0</v>
      </c>
      <c r="AK20" s="1271">
        <f>IF(AK19&gt;0,IF(-(((Details!AK$28*(1-Taxable_Tax_Rate))+AK12+AK13+AK16+AK17)/+AK10)&gt;0,-((Details!AK$28*(1-Taxable_Tax_Rate))+AK12+AK13+AK16+AK17)/+AK10,0),0)</f>
        <v>0</v>
      </c>
      <c r="AL20" s="1271">
        <f>IF(AL19&gt;0,IF(-(((Details!AL$28*(1-Taxable_Tax_Rate))+AL12+AL13+AL16+AL17)/+AL10)&gt;0,-((Details!AL$28*(1-Taxable_Tax_Rate))+AL12+AL13+AL16+AL17)/+AL10,0),0)</f>
        <v>0</v>
      </c>
      <c r="AM20" s="1271">
        <f>IF(AM19&gt;0,IF(-(((Details!AM$28*(1-Taxable_Tax_Rate))+AM12+AM13+AM16+AM17)/+AM10)&gt;0,-((Details!AM$28*(1-Taxable_Tax_Rate))+AM12+AM13+AM16+AM17)/+AM10,0),0)</f>
        <v>0</v>
      </c>
      <c r="AN20" s="1271">
        <f>IF(AN19&gt;0,IF(-(((Details!AN$28*(1-Taxable_Tax_Rate))+AN12+AN13+AN16+AN17)/+AN10)&gt;0,-((Details!AN$28*(1-Taxable_Tax_Rate))+AN12+AN13+AN16+AN17)/+AN10,0),0)</f>
        <v>0</v>
      </c>
      <c r="AO20" s="1271">
        <f>IF(AO19&gt;0,IF(-(((Details!AO$28*(1-Taxable_Tax_Rate))+AO12+AO13+AO16+AO17)/+AO10)&gt;0,-((Details!AO$28*(1-Taxable_Tax_Rate))+AO12+AO13+AO16+AO17)/+AO10,0),0)</f>
        <v>0</v>
      </c>
      <c r="AP20" s="1271">
        <f>IF(AP19&gt;0,IF(-(((Details!AP$28*(1-Taxable_Tax_Rate))+AP12+AP13+AP16+AP17)/+AP10)&gt;0,-((Details!AP$28*(1-Taxable_Tax_Rate))+AP12+AP13+AP16+AP17)/+AP10,0),0)</f>
        <v>0</v>
      </c>
      <c r="AQ20" s="1271">
        <f>IF(AQ19&gt;0,IF(-(((Details!AQ$28*(1-Taxable_Tax_Rate))+AQ12+AQ13+AQ16+AQ17)/+AQ10)&gt;0,-((Details!AQ$28*(1-Taxable_Tax_Rate))+AQ12+AQ13+AQ16+AQ17)/+AQ10,0),0)</f>
        <v>0</v>
      </c>
      <c r="AR20" s="1271">
        <f>IF(AR19&gt;0,IF(-(((Details!AR$28*(1-Taxable_Tax_Rate))+AR12+AR13+AR16+AR17)/+AR10)&gt;0,-((Details!AR$28*(1-Taxable_Tax_Rate))+AR12+AR13+AR16+AR17)/+AR10,0),0)</f>
        <v>0</v>
      </c>
      <c r="AS20" s="1271">
        <f>IF(AS19&gt;0,IF(-(((Details!AS$28*(1-Taxable_Tax_Rate))+AS12+AS13+AS16+AS17)/+AS10)&gt;0,-((Details!AS$28*(1-Taxable_Tax_Rate))+AS12+AS13+AS16+AS17)/+AS10,0),0)</f>
        <v>0</v>
      </c>
      <c r="AT20" s="722"/>
    </row>
    <row r="21" spans="1:46" s="663" customFormat="1" ht="17.399999999999999" customHeight="1">
      <c r="B21" s="381"/>
      <c r="C21" s="1159"/>
      <c r="D21" s="1159"/>
      <c r="E21" s="1160"/>
      <c r="F21" s="1334"/>
      <c r="G21" s="1161"/>
      <c r="H21" s="1161"/>
      <c r="I21" s="1161"/>
      <c r="J21" s="1161"/>
      <c r="K21" s="1161"/>
      <c r="L21" s="1161"/>
      <c r="M21" s="1161"/>
      <c r="N21" s="1161"/>
      <c r="O21" s="1161"/>
      <c r="P21" s="1161"/>
      <c r="Q21" s="1161"/>
      <c r="R21" s="1161"/>
      <c r="S21" s="1161"/>
      <c r="T21" s="1161"/>
      <c r="U21" s="1161"/>
      <c r="V21" s="1161"/>
      <c r="W21" s="1161"/>
      <c r="X21" s="1161"/>
      <c r="Y21" s="1161"/>
      <c r="Z21" s="1161"/>
      <c r="AA21" s="1161"/>
      <c r="AB21" s="1161"/>
      <c r="AC21" s="1161"/>
      <c r="AD21" s="1161"/>
      <c r="AE21" s="1161"/>
      <c r="AF21" s="1161"/>
      <c r="AG21" s="1161"/>
      <c r="AH21" s="1161"/>
      <c r="AI21" s="1161"/>
      <c r="AJ21" s="1161"/>
      <c r="AK21" s="1161"/>
      <c r="AL21" s="1161"/>
      <c r="AM21" s="1161"/>
      <c r="AN21" s="1161"/>
      <c r="AO21" s="1161"/>
      <c r="AP21" s="1161"/>
      <c r="AQ21" s="1161"/>
      <c r="AR21" s="1161"/>
      <c r="AS21" s="1161"/>
      <c r="AT21" s="1162"/>
    </row>
    <row r="22" spans="1:46" s="663" customFormat="1" ht="175.2" customHeight="1">
      <c r="B22" s="381"/>
      <c r="C22" s="1159"/>
      <c r="D22" s="1159"/>
      <c r="E22" s="1160"/>
      <c r="F22" s="1161"/>
      <c r="G22" s="1161"/>
      <c r="H22" s="1161"/>
      <c r="I22" s="1161"/>
      <c r="J22" s="1161"/>
      <c r="K22" s="1161"/>
      <c r="L22" s="1161"/>
      <c r="M22" s="1161"/>
      <c r="N22" s="1161"/>
      <c r="O22" s="1161"/>
      <c r="P22" s="1161"/>
      <c r="Q22" s="1161"/>
      <c r="R22" s="1161"/>
      <c r="S22" s="1161"/>
      <c r="T22" s="1161"/>
      <c r="U22" s="1161"/>
      <c r="V22" s="1161"/>
      <c r="W22" s="1161"/>
      <c r="X22" s="1161"/>
      <c r="Y22" s="1161"/>
      <c r="Z22" s="1161"/>
      <c r="AA22" s="1671"/>
      <c r="AB22" s="1161"/>
      <c r="AC22" s="1161"/>
      <c r="AD22" s="1161"/>
      <c r="AE22" s="1161"/>
      <c r="AF22" s="1161"/>
      <c r="AG22" s="1161"/>
      <c r="AH22" s="1161"/>
      <c r="AI22" s="1161"/>
      <c r="AJ22" s="1161"/>
      <c r="AK22" s="1161"/>
      <c r="AL22" s="1161"/>
      <c r="AM22" s="1161"/>
      <c r="AN22" s="1161"/>
      <c r="AO22" s="1161"/>
      <c r="AP22" s="1161"/>
      <c r="AQ22" s="1161"/>
      <c r="AR22" s="1161"/>
      <c r="AS22" s="1161"/>
      <c r="AT22" s="1162"/>
    </row>
    <row r="23" spans="1:46" s="663" customFormat="1" ht="17.399999999999999" customHeight="1">
      <c r="B23" s="381"/>
      <c r="C23" s="1159"/>
      <c r="D23" s="1159"/>
      <c r="E23" s="1160"/>
      <c r="F23" s="1161"/>
      <c r="G23" s="1161"/>
      <c r="H23" s="1161"/>
      <c r="I23" s="1161"/>
      <c r="J23" s="1161"/>
      <c r="K23" s="1161"/>
      <c r="L23" s="1161"/>
      <c r="M23" s="1161"/>
      <c r="N23" s="1161"/>
      <c r="O23" s="1161"/>
      <c r="P23" s="1161"/>
      <c r="Q23" s="1161"/>
      <c r="R23" s="1161"/>
      <c r="S23" s="1161"/>
      <c r="T23" s="1161"/>
      <c r="U23" s="1161"/>
      <c r="V23" s="1161"/>
      <c r="W23" s="1161"/>
      <c r="X23" s="1161"/>
      <c r="Y23" s="1161"/>
      <c r="Z23" s="1161"/>
      <c r="AA23" s="1161"/>
      <c r="AB23" s="1161"/>
      <c r="AC23" s="1161"/>
      <c r="AD23" s="1161"/>
      <c r="AE23" s="1161"/>
      <c r="AF23" s="1161"/>
      <c r="AG23" s="1161"/>
      <c r="AH23" s="1161"/>
      <c r="AI23" s="1161"/>
      <c r="AJ23" s="1161"/>
      <c r="AK23" s="1161"/>
      <c r="AL23" s="1161"/>
      <c r="AM23" s="1161"/>
      <c r="AN23" s="1161"/>
      <c r="AO23" s="1161"/>
      <c r="AP23" s="1161"/>
      <c r="AQ23" s="1161"/>
      <c r="AR23" s="1161"/>
      <c r="AS23" s="1161"/>
      <c r="AT23" s="1162"/>
    </row>
    <row r="24" spans="1:46" ht="18" customHeight="1">
      <c r="B24" s="22"/>
      <c r="C24" s="10"/>
      <c r="D24" s="277"/>
      <c r="E24" s="277"/>
      <c r="F24" s="31"/>
      <c r="G24" s="31"/>
      <c r="H24" s="31"/>
      <c r="I24" s="31"/>
      <c r="J24" s="31"/>
      <c r="K24" s="31"/>
      <c r="L24" s="31"/>
      <c r="M24" s="31"/>
      <c r="N24" s="31"/>
      <c r="O24" s="31"/>
      <c r="P24" s="31"/>
      <c r="Q24" s="31"/>
      <c r="R24" s="31"/>
      <c r="S24" s="31"/>
      <c r="T24" s="31"/>
      <c r="U24" s="31"/>
      <c r="V24" s="31"/>
      <c r="W24" s="31"/>
      <c r="X24" s="31"/>
      <c r="Y24" s="31"/>
      <c r="Z24" s="31"/>
      <c r="AA24" s="31"/>
      <c r="AB24" s="31"/>
      <c r="AC24" s="31"/>
      <c r="AD24" s="31"/>
      <c r="AE24" s="31"/>
      <c r="AF24" s="31"/>
      <c r="AG24" s="31"/>
      <c r="AH24" s="31"/>
      <c r="AI24" s="31"/>
      <c r="AJ24" s="31"/>
      <c r="AK24" s="31"/>
      <c r="AL24" s="31"/>
      <c r="AM24" s="31"/>
      <c r="AN24" s="31"/>
      <c r="AO24" s="31"/>
      <c r="AP24" s="31"/>
      <c r="AQ24" s="31"/>
      <c r="AR24" s="31"/>
      <c r="AS24" s="31"/>
    </row>
    <row r="25" spans="1:46" ht="18" customHeight="1">
      <c r="A25" s="1168"/>
      <c r="B25" s="1163" t="s">
        <v>576</v>
      </c>
      <c r="C25" s="1168"/>
      <c r="D25" s="1168"/>
      <c r="E25" s="1169"/>
      <c r="F25" s="1172" t="s">
        <v>645</v>
      </c>
      <c r="H25" s="332"/>
      <c r="I25" s="332"/>
      <c r="J25" s="332"/>
      <c r="K25" s="332"/>
      <c r="L25" s="332"/>
      <c r="M25" s="332"/>
      <c r="N25" s="332"/>
      <c r="O25" s="215"/>
      <c r="P25" s="212"/>
      <c r="Q25" s="212"/>
      <c r="R25" s="212"/>
      <c r="S25" s="212"/>
      <c r="T25" s="212"/>
      <c r="U25" s="212"/>
      <c r="V25" s="212"/>
      <c r="W25" s="212"/>
      <c r="X25" s="212"/>
      <c r="Y25" s="212"/>
      <c r="Z25" s="212"/>
      <c r="AA25" s="212"/>
      <c r="AB25" s="212"/>
      <c r="AC25" s="212"/>
      <c r="AD25" s="212"/>
      <c r="AE25" s="212"/>
      <c r="AF25" s="212"/>
      <c r="AG25" s="212"/>
      <c r="AH25" s="212"/>
      <c r="AI25" s="212"/>
      <c r="AJ25" s="212"/>
      <c r="AK25" s="212"/>
      <c r="AL25" s="212"/>
      <c r="AM25" s="212"/>
      <c r="AN25" s="212"/>
      <c r="AO25" s="212"/>
      <c r="AP25" s="212"/>
      <c r="AQ25" s="212"/>
      <c r="AR25" s="212"/>
      <c r="AS25" s="212"/>
    </row>
    <row r="26" spans="1:46" ht="15" customHeight="1">
      <c r="A26" s="3"/>
      <c r="B26" s="544"/>
      <c r="C26" s="544"/>
      <c r="D26" s="3"/>
      <c r="E26" s="13"/>
      <c r="F26" s="13"/>
      <c r="H26" s="1158"/>
      <c r="I26" s="317"/>
      <c r="J26" s="317"/>
      <c r="K26" s="317"/>
      <c r="L26" s="317"/>
      <c r="M26" s="317"/>
      <c r="N26" s="317"/>
      <c r="O26" s="215"/>
      <c r="P26" s="212"/>
      <c r="Q26" s="212"/>
      <c r="R26" s="212"/>
      <c r="S26" s="212"/>
      <c r="T26" s="212"/>
      <c r="U26" s="212"/>
      <c r="V26" s="212"/>
      <c r="W26" s="212"/>
      <c r="X26" s="212"/>
      <c r="Y26" s="212"/>
      <c r="Z26" s="212"/>
      <c r="AA26" s="212"/>
      <c r="AB26" s="212"/>
      <c r="AC26" s="212"/>
      <c r="AD26" s="212"/>
      <c r="AE26" s="212"/>
      <c r="AF26" s="212"/>
      <c r="AG26" s="212"/>
      <c r="AH26" s="212"/>
      <c r="AI26" s="212"/>
      <c r="AJ26" s="212"/>
      <c r="AK26" s="212"/>
      <c r="AL26" s="212"/>
      <c r="AM26" s="212"/>
      <c r="AN26" s="212"/>
      <c r="AO26" s="212"/>
      <c r="AP26" s="212"/>
      <c r="AQ26" s="212"/>
      <c r="AR26" s="212"/>
      <c r="AS26" s="212"/>
    </row>
    <row r="27" spans="1:46" ht="15" customHeight="1">
      <c r="A27" s="3"/>
      <c r="B27" s="544"/>
      <c r="C27" s="544"/>
      <c r="D27" s="3"/>
      <c r="E27" s="13"/>
      <c r="F27" s="13"/>
      <c r="G27" s="13" t="s">
        <v>886</v>
      </c>
      <c r="H27" s="13"/>
      <c r="I27" s="13" t="s">
        <v>1134</v>
      </c>
      <c r="K27" s="92"/>
      <c r="L27" s="92"/>
      <c r="M27" s="86"/>
      <c r="N27" s="223"/>
      <c r="O27" s="212"/>
      <c r="P27" s="212"/>
      <c r="Q27" s="212"/>
      <c r="R27" s="212"/>
      <c r="S27" s="212"/>
      <c r="T27" s="212"/>
      <c r="U27" s="212"/>
      <c r="V27" s="212"/>
      <c r="W27" s="212"/>
      <c r="X27" s="212"/>
      <c r="Y27" s="212"/>
      <c r="Z27" s="212"/>
      <c r="AA27" s="212"/>
      <c r="AB27" s="212"/>
      <c r="AC27" s="212"/>
      <c r="AD27" s="212"/>
      <c r="AE27" s="212"/>
      <c r="AF27" s="212"/>
      <c r="AG27" s="212"/>
      <c r="AH27" s="212"/>
      <c r="AI27" s="212"/>
      <c r="AJ27" s="212"/>
      <c r="AK27" s="212"/>
      <c r="AL27" s="212"/>
      <c r="AM27" s="212"/>
      <c r="AN27" s="212"/>
      <c r="AO27" s="212"/>
      <c r="AP27" s="212"/>
      <c r="AQ27" s="212"/>
      <c r="AR27" s="212"/>
      <c r="AS27" s="212"/>
    </row>
    <row r="28" spans="1:46" ht="15" customHeight="1">
      <c r="B28" s="70"/>
      <c r="C28" s="140"/>
      <c r="D28" s="6" t="s">
        <v>635</v>
      </c>
      <c r="E28" s="6" t="s">
        <v>979</v>
      </c>
      <c r="F28" s="6" t="s">
        <v>1085</v>
      </c>
      <c r="G28" s="64" t="s">
        <v>1085</v>
      </c>
      <c r="H28" s="6" t="s">
        <v>1086</v>
      </c>
      <c r="I28" s="6" t="s">
        <v>885</v>
      </c>
      <c r="K28" s="92"/>
      <c r="L28" s="92"/>
      <c r="M28" s="86"/>
      <c r="N28" s="223"/>
      <c r="O28" s="212"/>
      <c r="P28" s="212"/>
      <c r="Q28" s="212"/>
      <c r="R28" s="212"/>
      <c r="S28" s="212"/>
      <c r="T28" s="212"/>
      <c r="U28" s="212"/>
      <c r="V28" s="212"/>
      <c r="W28" s="212"/>
      <c r="X28" s="212"/>
      <c r="Y28" s="212"/>
      <c r="Z28" s="212"/>
      <c r="AA28" s="212"/>
      <c r="AB28" s="212"/>
      <c r="AC28" s="212"/>
      <c r="AD28" s="212"/>
      <c r="AE28" s="212"/>
      <c r="AF28" s="212"/>
      <c r="AG28" s="212"/>
      <c r="AH28" s="212"/>
      <c r="AI28" s="212"/>
      <c r="AJ28" s="212"/>
      <c r="AK28" s="212"/>
      <c r="AL28" s="212"/>
      <c r="AM28" s="212"/>
      <c r="AN28" s="212"/>
      <c r="AO28" s="212"/>
      <c r="AP28" s="212"/>
      <c r="AQ28" s="212"/>
      <c r="AR28" s="212"/>
      <c r="AS28" s="212"/>
    </row>
    <row r="29" spans="1:46" ht="15" customHeight="1">
      <c r="B29" s="112" t="s">
        <v>884</v>
      </c>
      <c r="C29" s="1279"/>
      <c r="D29" s="321">
        <f>SUM(E29:I29)</f>
        <v>1000000</v>
      </c>
      <c r="E29" s="321">
        <f>+Details!$F$8</f>
        <v>200000</v>
      </c>
      <c r="F29" s="1124">
        <f>+Details!$F$11</f>
        <v>700000</v>
      </c>
      <c r="G29" s="1124">
        <f>+Details!$F$14</f>
        <v>0</v>
      </c>
      <c r="H29" s="1124">
        <f>+Details!$F$17</f>
        <v>100000</v>
      </c>
      <c r="I29" s="1124">
        <f>+Details!$F$18</f>
        <v>0</v>
      </c>
      <c r="J29" s="321"/>
      <c r="K29" s="321"/>
      <c r="L29" s="92"/>
      <c r="M29" s="86"/>
      <c r="N29" s="223"/>
      <c r="O29" s="212"/>
      <c r="P29" s="212"/>
      <c r="Q29" s="212"/>
      <c r="R29" s="212"/>
      <c r="S29" s="212"/>
      <c r="T29" s="212"/>
      <c r="U29" s="212"/>
      <c r="V29" s="212"/>
      <c r="W29" s="212"/>
      <c r="X29" s="212"/>
      <c r="Y29" s="212"/>
      <c r="Z29" s="212"/>
      <c r="AA29" s="212"/>
      <c r="AB29" s="212"/>
      <c r="AC29" s="212"/>
      <c r="AD29" s="212"/>
      <c r="AE29" s="212"/>
      <c r="AF29" s="212"/>
      <c r="AG29" s="212"/>
      <c r="AH29" s="212"/>
      <c r="AI29" s="212"/>
      <c r="AJ29" s="212"/>
      <c r="AK29" s="212"/>
      <c r="AL29" s="212"/>
      <c r="AM29" s="212"/>
      <c r="AN29" s="212"/>
      <c r="AO29" s="212"/>
      <c r="AP29" s="212"/>
      <c r="AQ29" s="212"/>
      <c r="AR29" s="212"/>
      <c r="AS29" s="212"/>
    </row>
    <row r="30" spans="1:46" ht="15" hidden="1" customHeight="1">
      <c r="B30" s="112"/>
      <c r="C30" s="1279" t="s">
        <v>706</v>
      </c>
      <c r="D30" s="321"/>
      <c r="E30" s="321"/>
      <c r="F30" s="1124"/>
      <c r="G30" s="1124"/>
      <c r="H30" s="1124"/>
      <c r="I30" s="1124"/>
      <c r="J30" s="321"/>
      <c r="K30" s="321"/>
      <c r="L30" s="92"/>
      <c r="M30" s="86"/>
      <c r="N30" s="223"/>
      <c r="O30" s="212"/>
      <c r="P30" s="212"/>
      <c r="Q30" s="212"/>
      <c r="R30" s="212"/>
      <c r="S30" s="212"/>
      <c r="T30" s="212"/>
      <c r="U30" s="212"/>
      <c r="V30" s="212"/>
      <c r="W30" s="212"/>
      <c r="X30" s="212"/>
      <c r="Y30" s="212"/>
      <c r="Z30" s="212"/>
      <c r="AA30" s="212"/>
      <c r="AB30" s="212"/>
      <c r="AC30" s="212"/>
      <c r="AD30" s="212"/>
      <c r="AE30" s="212"/>
      <c r="AF30" s="212"/>
      <c r="AG30" s="212"/>
      <c r="AH30" s="212"/>
      <c r="AI30" s="212"/>
      <c r="AJ30" s="212"/>
      <c r="AK30" s="212"/>
      <c r="AL30" s="212"/>
      <c r="AM30" s="212"/>
      <c r="AN30" s="212"/>
      <c r="AO30" s="212"/>
      <c r="AP30" s="212"/>
      <c r="AQ30" s="212"/>
      <c r="AR30" s="212"/>
      <c r="AS30" s="212"/>
    </row>
    <row r="31" spans="1:46" ht="15" hidden="1" customHeight="1">
      <c r="B31" s="366" t="s">
        <v>243</v>
      </c>
      <c r="C31" s="1279" t="s">
        <v>706</v>
      </c>
      <c r="D31" s="321"/>
      <c r="E31" s="321">
        <f>Details!$E$85</f>
        <v>400000</v>
      </c>
      <c r="F31" s="1124"/>
      <c r="G31" s="1124"/>
      <c r="H31" s="1124"/>
      <c r="I31" s="1124"/>
      <c r="J31" s="321"/>
      <c r="K31" s="321"/>
      <c r="L31" s="92"/>
      <c r="M31" s="86"/>
      <c r="N31" s="223"/>
      <c r="O31" s="212"/>
      <c r="P31" s="212"/>
      <c r="Q31" s="212"/>
      <c r="R31" s="212"/>
      <c r="S31" s="212"/>
      <c r="T31" s="212"/>
      <c r="U31" s="212"/>
      <c r="V31" s="212"/>
      <c r="W31" s="212"/>
      <c r="X31" s="212"/>
      <c r="Y31" s="212"/>
      <c r="Z31" s="212"/>
      <c r="AA31" s="212"/>
      <c r="AB31" s="212"/>
      <c r="AC31" s="212"/>
      <c r="AD31" s="212"/>
      <c r="AE31" s="212"/>
      <c r="AF31" s="212"/>
      <c r="AG31" s="212"/>
      <c r="AH31" s="212"/>
      <c r="AI31" s="212"/>
      <c r="AJ31" s="212"/>
      <c r="AK31" s="212"/>
      <c r="AL31" s="212"/>
      <c r="AM31" s="212"/>
      <c r="AN31" s="212"/>
      <c r="AO31" s="212"/>
      <c r="AP31" s="212"/>
      <c r="AQ31" s="212"/>
      <c r="AR31" s="212"/>
      <c r="AS31" s="212"/>
    </row>
    <row r="32" spans="1:46" ht="15" hidden="1" customHeight="1">
      <c r="B32" s="1803" t="s">
        <v>2307</v>
      </c>
      <c r="C32" s="1279" t="s">
        <v>706</v>
      </c>
      <c r="D32" s="321"/>
      <c r="E32" s="321"/>
      <c r="F32" s="1124">
        <f>+Details!E$87+Details!E$98</f>
        <v>58500</v>
      </c>
      <c r="G32" s="1124"/>
      <c r="H32" s="1124"/>
      <c r="I32" s="1124"/>
      <c r="J32" s="321"/>
      <c r="K32" s="321"/>
      <c r="L32" s="92"/>
      <c r="M32" s="86"/>
      <c r="N32" s="223"/>
      <c r="O32" s="212"/>
      <c r="P32" s="212"/>
      <c r="Q32" s="212"/>
      <c r="R32" s="212"/>
      <c r="S32" s="212"/>
      <c r="T32" s="212"/>
      <c r="U32" s="212"/>
      <c r="V32" s="212"/>
      <c r="W32" s="212"/>
      <c r="X32" s="212"/>
      <c r="Y32" s="212"/>
      <c r="Z32" s="212"/>
      <c r="AA32" s="212"/>
      <c r="AB32" s="212"/>
      <c r="AC32" s="212"/>
      <c r="AD32" s="212"/>
      <c r="AE32" s="212"/>
      <c r="AF32" s="212"/>
      <c r="AG32" s="212"/>
      <c r="AH32" s="212"/>
      <c r="AI32" s="212"/>
      <c r="AJ32" s="212"/>
      <c r="AK32" s="212"/>
      <c r="AL32" s="212"/>
      <c r="AM32" s="212"/>
      <c r="AN32" s="212"/>
      <c r="AO32" s="212"/>
      <c r="AP32" s="212"/>
      <c r="AQ32" s="212"/>
      <c r="AR32" s="212"/>
      <c r="AS32" s="212"/>
    </row>
    <row r="33" spans="2:45" ht="15" hidden="1" customHeight="1">
      <c r="B33" s="367" t="s">
        <v>352</v>
      </c>
      <c r="C33" s="1279" t="s">
        <v>706</v>
      </c>
      <c r="D33" s="321"/>
      <c r="E33" s="321">
        <f>-Details!$E$91-Details!$E$99</f>
        <v>402600</v>
      </c>
      <c r="F33" s="1124"/>
      <c r="G33" s="1124"/>
      <c r="H33" s="1124"/>
      <c r="I33" s="1124"/>
      <c r="J33" s="1670"/>
      <c r="K33" s="321"/>
      <c r="L33" s="92"/>
      <c r="M33" s="86"/>
      <c r="N33" s="223"/>
      <c r="O33" s="212"/>
      <c r="P33" s="212"/>
      <c r="Q33" s="212"/>
      <c r="R33" s="212"/>
      <c r="S33" s="212"/>
      <c r="T33" s="212"/>
      <c r="U33" s="212"/>
      <c r="V33" s="212"/>
      <c r="W33" s="212"/>
      <c r="X33" s="212"/>
      <c r="Y33" s="212"/>
      <c r="Z33" s="212"/>
      <c r="AA33" s="212"/>
      <c r="AB33" s="212"/>
      <c r="AC33" s="212"/>
      <c r="AD33" s="212"/>
      <c r="AE33" s="212"/>
      <c r="AF33" s="212"/>
      <c r="AG33" s="212"/>
      <c r="AH33" s="212"/>
      <c r="AI33" s="212"/>
      <c r="AJ33" s="212"/>
      <c r="AK33" s="212"/>
      <c r="AL33" s="212"/>
      <c r="AM33" s="212"/>
      <c r="AN33" s="212"/>
      <c r="AO33" s="212"/>
      <c r="AP33" s="212"/>
      <c r="AQ33" s="212"/>
      <c r="AR33" s="212"/>
      <c r="AS33" s="212"/>
    </row>
    <row r="34" spans="2:45" ht="15" hidden="1" customHeight="1">
      <c r="B34" s="367" t="s">
        <v>1182</v>
      </c>
      <c r="C34" s="1279" t="s">
        <v>706</v>
      </c>
      <c r="D34" s="321"/>
      <c r="E34" s="321">
        <f>-Details!$E$94-Details!$E$102</f>
        <v>1017800</v>
      </c>
      <c r="F34" s="1124"/>
      <c r="G34" s="1124"/>
      <c r="H34" s="1124"/>
      <c r="I34" s="1124"/>
      <c r="J34" s="1668"/>
      <c r="K34" s="321"/>
      <c r="L34" s="92"/>
      <c r="M34" s="86"/>
      <c r="N34" s="223"/>
      <c r="O34" s="212"/>
      <c r="P34" s="212"/>
      <c r="Q34" s="212"/>
      <c r="R34" s="212"/>
      <c r="S34" s="212"/>
      <c r="T34" s="212"/>
      <c r="U34" s="212"/>
      <c r="V34" s="212"/>
      <c r="W34" s="212"/>
      <c r="X34" s="212"/>
      <c r="Y34" s="212"/>
      <c r="Z34" s="212"/>
      <c r="AA34" s="212"/>
      <c r="AB34" s="212"/>
      <c r="AC34" s="212"/>
      <c r="AD34" s="212"/>
      <c r="AE34" s="212"/>
      <c r="AF34" s="212"/>
      <c r="AG34" s="212"/>
      <c r="AH34" s="212"/>
      <c r="AI34" s="212"/>
      <c r="AJ34" s="212"/>
      <c r="AK34" s="212"/>
      <c r="AL34" s="212"/>
      <c r="AM34" s="212"/>
      <c r="AN34" s="212"/>
      <c r="AO34" s="212"/>
      <c r="AP34" s="212"/>
      <c r="AQ34" s="212"/>
      <c r="AR34" s="212"/>
      <c r="AS34" s="212"/>
    </row>
    <row r="35" spans="2:45" ht="15" hidden="1" customHeight="1">
      <c r="B35" s="367" t="s">
        <v>353</v>
      </c>
      <c r="C35" s="1279" t="s">
        <v>706</v>
      </c>
      <c r="D35" s="321"/>
      <c r="E35" s="321">
        <f>-Details!$E$95-Details!$E$103</f>
        <v>0</v>
      </c>
      <c r="F35" s="1124"/>
      <c r="G35" s="1124"/>
      <c r="H35" s="1124"/>
      <c r="I35" s="1124"/>
      <c r="J35" s="1668"/>
      <c r="K35" s="321"/>
      <c r="L35" s="92"/>
      <c r="M35" s="86"/>
      <c r="N35" s="223"/>
      <c r="O35" s="212"/>
      <c r="P35" s="212"/>
      <c r="Q35" s="212"/>
      <c r="R35" s="212"/>
      <c r="S35" s="212"/>
      <c r="T35" s="212"/>
      <c r="U35" s="212"/>
      <c r="V35" s="212"/>
      <c r="W35" s="212"/>
      <c r="X35" s="212"/>
      <c r="Y35" s="212"/>
      <c r="Z35" s="212"/>
      <c r="AA35" s="212"/>
      <c r="AB35" s="212"/>
      <c r="AC35" s="212"/>
      <c r="AD35" s="212"/>
      <c r="AE35" s="212"/>
      <c r="AF35" s="212"/>
      <c r="AG35" s="212"/>
      <c r="AH35" s="212"/>
      <c r="AI35" s="212"/>
      <c r="AJ35" s="212"/>
      <c r="AK35" s="212"/>
      <c r="AL35" s="212"/>
      <c r="AM35" s="212"/>
      <c r="AN35" s="212"/>
      <c r="AO35" s="212"/>
      <c r="AP35" s="212"/>
      <c r="AQ35" s="212"/>
      <c r="AR35" s="212"/>
      <c r="AS35" s="212"/>
    </row>
    <row r="36" spans="2:45" ht="15" hidden="1" customHeight="1">
      <c r="B36" s="369" t="s">
        <v>170</v>
      </c>
      <c r="C36" s="1279" t="s">
        <v>706</v>
      </c>
      <c r="D36" s="321"/>
      <c r="E36" s="321"/>
      <c r="F36" s="1124"/>
      <c r="G36" s="1124">
        <f>+Details!$E$107</f>
        <v>100000</v>
      </c>
      <c r="H36" s="1124"/>
      <c r="I36" s="1124"/>
      <c r="J36" s="1668"/>
      <c r="K36" s="321"/>
      <c r="L36" s="92"/>
      <c r="M36" s="86"/>
      <c r="N36" s="223"/>
      <c r="O36" s="212"/>
      <c r="P36" s="212"/>
      <c r="Q36" s="212"/>
      <c r="R36" s="212"/>
      <c r="S36" s="212"/>
      <c r="T36" s="212"/>
      <c r="U36" s="212"/>
      <c r="V36" s="212"/>
      <c r="W36" s="212"/>
      <c r="X36" s="212"/>
      <c r="Y36" s="212"/>
      <c r="Z36" s="212"/>
      <c r="AA36" s="212"/>
      <c r="AB36" s="212"/>
      <c r="AC36" s="212"/>
      <c r="AD36" s="212"/>
      <c r="AE36" s="212"/>
      <c r="AF36" s="212"/>
      <c r="AG36" s="212"/>
      <c r="AH36" s="212"/>
      <c r="AI36" s="212"/>
      <c r="AJ36" s="212"/>
      <c r="AK36" s="212"/>
      <c r="AL36" s="212"/>
      <c r="AM36" s="212"/>
      <c r="AN36" s="212"/>
      <c r="AO36" s="212"/>
      <c r="AP36" s="212"/>
      <c r="AQ36" s="212"/>
      <c r="AR36" s="212"/>
      <c r="AS36" s="212"/>
    </row>
    <row r="37" spans="2:45" ht="15" hidden="1" customHeight="1">
      <c r="B37" s="369" t="s">
        <v>1181</v>
      </c>
      <c r="C37" s="1279" t="s">
        <v>706</v>
      </c>
      <c r="D37" s="321"/>
      <c r="E37" s="321">
        <f>-Details!$E$112</f>
        <v>128700</v>
      </c>
      <c r="F37" s="1124"/>
      <c r="G37" s="1124"/>
      <c r="H37" s="1124"/>
      <c r="I37" s="1124"/>
      <c r="J37" s="1668"/>
      <c r="K37" s="1170"/>
      <c r="L37" s="92"/>
      <c r="M37" s="86"/>
      <c r="N37" s="223"/>
      <c r="O37" s="212"/>
      <c r="P37" s="212"/>
      <c r="Q37" s="212"/>
      <c r="R37" s="212"/>
      <c r="S37" s="212"/>
      <c r="T37" s="212"/>
      <c r="U37" s="212"/>
      <c r="V37" s="212"/>
      <c r="W37" s="212"/>
      <c r="X37" s="212"/>
      <c r="Y37" s="212"/>
      <c r="Z37" s="212"/>
      <c r="AA37" s="212"/>
      <c r="AB37" s="212"/>
      <c r="AC37" s="212"/>
      <c r="AD37" s="212"/>
      <c r="AE37" s="212"/>
      <c r="AF37" s="212"/>
      <c r="AG37" s="212"/>
      <c r="AH37" s="212"/>
      <c r="AI37" s="212"/>
      <c r="AJ37" s="212"/>
      <c r="AK37" s="212"/>
      <c r="AL37" s="212"/>
      <c r="AM37" s="212"/>
      <c r="AN37" s="212"/>
      <c r="AO37" s="212"/>
      <c r="AP37" s="212"/>
      <c r="AQ37" s="212"/>
      <c r="AR37" s="212"/>
      <c r="AS37" s="212"/>
    </row>
    <row r="38" spans="2:45" ht="15" hidden="1" customHeight="1">
      <c r="B38" s="369" t="s">
        <v>259</v>
      </c>
      <c r="C38" s="1279" t="s">
        <v>706</v>
      </c>
      <c r="D38" s="321"/>
      <c r="E38" s="321">
        <f>-Details!$E$115</f>
        <v>15300</v>
      </c>
      <c r="F38" s="1124"/>
      <c r="G38" s="1124"/>
      <c r="H38" s="1124"/>
      <c r="I38" s="1124"/>
      <c r="J38" s="1668"/>
      <c r="K38" s="321"/>
      <c r="L38" s="92"/>
      <c r="M38" s="86"/>
      <c r="N38" s="223"/>
      <c r="O38" s="212"/>
      <c r="P38" s="212"/>
      <c r="Q38" s="212"/>
      <c r="R38" s="212"/>
      <c r="S38" s="212"/>
      <c r="T38" s="212"/>
      <c r="U38" s="212"/>
      <c r="V38" s="212"/>
      <c r="W38" s="212"/>
      <c r="X38" s="212"/>
      <c r="Y38" s="212"/>
      <c r="Z38" s="212"/>
      <c r="AA38" s="212"/>
      <c r="AB38" s="212"/>
      <c r="AC38" s="212"/>
      <c r="AD38" s="212"/>
      <c r="AE38" s="212"/>
      <c r="AF38" s="212"/>
      <c r="AG38" s="212"/>
      <c r="AH38" s="212"/>
      <c r="AI38" s="212"/>
      <c r="AJ38" s="212"/>
      <c r="AK38" s="212"/>
      <c r="AL38" s="212"/>
      <c r="AM38" s="212"/>
      <c r="AN38" s="212"/>
      <c r="AO38" s="212"/>
      <c r="AP38" s="212"/>
      <c r="AQ38" s="212"/>
      <c r="AR38" s="212"/>
      <c r="AS38" s="212"/>
    </row>
    <row r="39" spans="2:45" ht="15" hidden="1" customHeight="1">
      <c r="B39" s="369" t="s">
        <v>359</v>
      </c>
      <c r="C39" s="1279" t="s">
        <v>706</v>
      </c>
      <c r="D39" s="321"/>
      <c r="E39" s="321">
        <f>-Details!$E$118</f>
        <v>0</v>
      </c>
      <c r="F39" s="1124"/>
      <c r="G39" s="1124"/>
      <c r="H39" s="1124"/>
      <c r="I39" s="1124"/>
      <c r="J39" s="1668"/>
      <c r="K39" s="321"/>
      <c r="L39" s="92"/>
      <c r="M39" s="86"/>
      <c r="N39" s="223"/>
      <c r="O39" s="212"/>
      <c r="P39" s="212"/>
      <c r="Q39" s="212"/>
      <c r="R39" s="212"/>
      <c r="S39" s="212"/>
      <c r="T39" s="212"/>
      <c r="U39" s="212"/>
      <c r="V39" s="212"/>
      <c r="W39" s="212"/>
      <c r="X39" s="212"/>
      <c r="Y39" s="212"/>
      <c r="Z39" s="212"/>
      <c r="AA39" s="212"/>
      <c r="AB39" s="212"/>
      <c r="AC39" s="212"/>
      <c r="AD39" s="212"/>
      <c r="AE39" s="212"/>
      <c r="AF39" s="212"/>
      <c r="AG39" s="212"/>
      <c r="AH39" s="212"/>
      <c r="AI39" s="212"/>
      <c r="AJ39" s="212"/>
      <c r="AK39" s="212"/>
      <c r="AL39" s="212"/>
      <c r="AM39" s="212"/>
      <c r="AN39" s="212"/>
      <c r="AO39" s="212"/>
      <c r="AP39" s="212"/>
      <c r="AQ39" s="212"/>
      <c r="AR39" s="212"/>
      <c r="AS39" s="212"/>
    </row>
    <row r="40" spans="2:45" ht="15" hidden="1" customHeight="1">
      <c r="B40" s="370" t="s">
        <v>2304</v>
      </c>
      <c r="C40" s="1279" t="s">
        <v>706</v>
      </c>
      <c r="D40" s="321"/>
      <c r="E40" s="321"/>
      <c r="F40" s="1124"/>
      <c r="G40" s="1124"/>
      <c r="H40" s="1124">
        <f>+Details!E$120</f>
        <v>4600</v>
      </c>
      <c r="I40" s="1124"/>
      <c r="J40" s="1668"/>
      <c r="K40" s="321"/>
      <c r="L40" s="92"/>
      <c r="M40" s="86"/>
      <c r="N40" s="223"/>
      <c r="O40" s="212"/>
      <c r="P40" s="212"/>
      <c r="Q40" s="212"/>
      <c r="R40" s="212"/>
      <c r="S40" s="212"/>
      <c r="T40" s="212"/>
      <c r="U40" s="212"/>
      <c r="V40" s="212"/>
      <c r="W40" s="212"/>
      <c r="X40" s="212"/>
      <c r="Y40" s="212"/>
      <c r="Z40" s="212"/>
      <c r="AA40" s="212"/>
      <c r="AB40" s="212"/>
      <c r="AC40" s="212"/>
      <c r="AD40" s="212"/>
      <c r="AE40" s="212"/>
      <c r="AF40" s="212"/>
      <c r="AG40" s="212"/>
      <c r="AH40" s="212"/>
      <c r="AI40" s="212"/>
      <c r="AJ40" s="212"/>
      <c r="AK40" s="212"/>
      <c r="AL40" s="212"/>
      <c r="AM40" s="212"/>
      <c r="AN40" s="212"/>
      <c r="AO40" s="212"/>
      <c r="AP40" s="212"/>
      <c r="AQ40" s="212"/>
      <c r="AR40" s="212"/>
      <c r="AS40" s="212"/>
    </row>
    <row r="41" spans="2:45" ht="15" hidden="1" customHeight="1">
      <c r="B41" s="370" t="s">
        <v>1075</v>
      </c>
      <c r="C41" s="1279" t="s">
        <v>706</v>
      </c>
      <c r="D41" s="321"/>
      <c r="E41" s="321">
        <f>-Details!$E$125</f>
        <v>50800</v>
      </c>
      <c r="F41" s="1124"/>
      <c r="G41" s="1124"/>
      <c r="H41" s="1124"/>
      <c r="I41" s="1124"/>
      <c r="J41" s="1668"/>
      <c r="K41" s="321"/>
      <c r="L41" s="92"/>
      <c r="M41" s="86"/>
      <c r="N41" s="223"/>
      <c r="O41" s="212"/>
      <c r="P41" s="212"/>
      <c r="Q41" s="212"/>
      <c r="R41" s="212"/>
      <c r="S41" s="212"/>
      <c r="T41" s="212"/>
      <c r="U41" s="212"/>
      <c r="V41" s="212"/>
      <c r="W41" s="212"/>
      <c r="X41" s="212"/>
      <c r="Y41" s="212"/>
      <c r="Z41" s="212"/>
      <c r="AA41" s="212"/>
      <c r="AB41" s="212"/>
      <c r="AC41" s="212"/>
      <c r="AD41" s="212"/>
      <c r="AE41" s="212"/>
      <c r="AF41" s="212"/>
      <c r="AG41" s="212"/>
      <c r="AH41" s="212"/>
      <c r="AI41" s="212"/>
      <c r="AJ41" s="212"/>
      <c r="AK41" s="212"/>
      <c r="AL41" s="212"/>
      <c r="AM41" s="212"/>
      <c r="AN41" s="212"/>
      <c r="AO41" s="212"/>
      <c r="AP41" s="212"/>
      <c r="AQ41" s="212"/>
      <c r="AR41" s="212"/>
      <c r="AS41" s="212"/>
    </row>
    <row r="42" spans="2:45" ht="15" hidden="1" customHeight="1">
      <c r="B42" s="370" t="s">
        <v>2305</v>
      </c>
      <c r="C42" s="1279" t="s">
        <v>706</v>
      </c>
      <c r="D42" s="321"/>
      <c r="E42" s="321">
        <f>-Details!$E$126</f>
        <v>0</v>
      </c>
      <c r="F42" s="1124"/>
      <c r="G42" s="1124"/>
      <c r="H42" s="1124"/>
      <c r="I42" s="1124"/>
      <c r="J42" s="321"/>
      <c r="K42" s="321"/>
      <c r="L42" s="92"/>
      <c r="M42" s="86"/>
      <c r="N42" s="223"/>
      <c r="O42" s="212"/>
      <c r="P42" s="212"/>
      <c r="Q42" s="212"/>
      <c r="R42" s="212"/>
      <c r="S42" s="212"/>
      <c r="T42" s="212"/>
      <c r="U42" s="212"/>
      <c r="V42" s="212"/>
      <c r="W42" s="212"/>
      <c r="X42" s="212"/>
      <c r="Y42" s="212"/>
      <c r="Z42" s="212"/>
      <c r="AA42" s="212"/>
      <c r="AB42" s="212"/>
      <c r="AC42" s="212"/>
      <c r="AD42" s="212"/>
      <c r="AE42" s="212"/>
      <c r="AF42" s="212"/>
      <c r="AG42" s="212"/>
      <c r="AH42" s="212"/>
      <c r="AI42" s="212"/>
      <c r="AJ42" s="212"/>
      <c r="AK42" s="212"/>
      <c r="AL42" s="212"/>
      <c r="AM42" s="212"/>
      <c r="AN42" s="212"/>
      <c r="AO42" s="212"/>
      <c r="AP42" s="212"/>
      <c r="AQ42" s="212"/>
      <c r="AR42" s="212"/>
      <c r="AS42" s="212"/>
    </row>
    <row r="43" spans="2:45" ht="15" hidden="1" customHeight="1">
      <c r="B43" s="370" t="s">
        <v>2306</v>
      </c>
      <c r="C43" s="1279" t="s">
        <v>706</v>
      </c>
      <c r="D43" s="321"/>
      <c r="E43" s="321"/>
      <c r="F43" s="1124"/>
      <c r="G43" s="1124"/>
      <c r="H43" s="1124"/>
      <c r="I43" s="1124"/>
      <c r="J43" s="321"/>
      <c r="K43" s="1668"/>
      <c r="L43" s="1499"/>
      <c r="M43" s="86"/>
      <c r="N43" s="223"/>
      <c r="O43" s="212"/>
      <c r="P43" s="212"/>
      <c r="Q43" s="212"/>
      <c r="R43" s="212"/>
      <c r="S43" s="212"/>
      <c r="T43" s="212"/>
      <c r="U43" s="212"/>
      <c r="V43" s="212"/>
      <c r="W43" s="212"/>
      <c r="X43" s="212"/>
      <c r="Y43" s="212"/>
      <c r="Z43" s="212"/>
      <c r="AA43" s="212"/>
      <c r="AB43" s="212"/>
      <c r="AC43" s="212"/>
      <c r="AD43" s="212"/>
      <c r="AE43" s="212"/>
      <c r="AF43" s="212"/>
      <c r="AG43" s="212"/>
      <c r="AH43" s="212"/>
      <c r="AI43" s="212"/>
      <c r="AJ43" s="212"/>
      <c r="AK43" s="212"/>
      <c r="AL43" s="212"/>
      <c r="AM43" s="212"/>
      <c r="AN43" s="212"/>
      <c r="AO43" s="212"/>
      <c r="AP43" s="212"/>
      <c r="AQ43" s="212"/>
      <c r="AR43" s="212"/>
      <c r="AS43" s="212"/>
    </row>
    <row r="44" spans="2:45" ht="15" hidden="1" customHeight="1">
      <c r="B44" s="374" t="s">
        <v>1074</v>
      </c>
      <c r="C44" s="1279" t="s">
        <v>706</v>
      </c>
      <c r="D44" s="321"/>
      <c r="E44" s="321"/>
      <c r="F44" s="1124"/>
      <c r="G44" s="1124"/>
      <c r="H44" s="1124"/>
      <c r="I44" s="1124">
        <f>Details!$E$133</f>
        <v>0</v>
      </c>
      <c r="J44" s="321"/>
      <c r="K44" s="1668"/>
      <c r="L44" s="92"/>
      <c r="M44" s="86"/>
      <c r="N44" s="223"/>
      <c r="O44" s="212"/>
      <c r="P44" s="212"/>
      <c r="Q44" s="212"/>
      <c r="R44" s="212"/>
      <c r="S44" s="212"/>
      <c r="T44" s="212"/>
      <c r="U44" s="212"/>
      <c r="V44" s="212"/>
      <c r="W44" s="212"/>
      <c r="X44" s="212"/>
      <c r="Y44" s="212"/>
      <c r="Z44" s="212"/>
      <c r="AA44" s="212"/>
      <c r="AB44" s="212"/>
      <c r="AC44" s="212"/>
      <c r="AD44" s="212"/>
      <c r="AE44" s="212"/>
      <c r="AF44" s="212"/>
      <c r="AG44" s="212"/>
      <c r="AH44" s="212"/>
      <c r="AI44" s="212"/>
      <c r="AJ44" s="212"/>
      <c r="AK44" s="212"/>
      <c r="AL44" s="212"/>
      <c r="AM44" s="212"/>
      <c r="AN44" s="212"/>
      <c r="AO44" s="212"/>
      <c r="AP44" s="212"/>
      <c r="AQ44" s="212"/>
      <c r="AR44" s="212"/>
      <c r="AS44" s="212"/>
    </row>
    <row r="45" spans="2:45" ht="15" hidden="1" customHeight="1">
      <c r="B45" s="375" t="s">
        <v>1075</v>
      </c>
      <c r="C45" s="1279" t="s">
        <v>706</v>
      </c>
      <c r="D45" s="321"/>
      <c r="E45" s="321">
        <f>-Details!$E$134</f>
        <v>0</v>
      </c>
      <c r="F45" s="1124"/>
      <c r="G45" s="1124"/>
      <c r="H45" s="1124"/>
      <c r="I45" s="1124"/>
      <c r="J45" s="321"/>
      <c r="K45" s="321"/>
      <c r="L45" s="92"/>
      <c r="M45" s="86"/>
      <c r="N45" s="223"/>
      <c r="O45" s="212"/>
      <c r="P45" s="212"/>
      <c r="Q45" s="212"/>
      <c r="R45" s="212"/>
      <c r="S45" s="212"/>
      <c r="T45" s="212"/>
      <c r="U45" s="212"/>
      <c r="V45" s="212"/>
      <c r="W45" s="212"/>
      <c r="X45" s="212"/>
      <c r="Y45" s="212"/>
      <c r="Z45" s="212"/>
      <c r="AA45" s="212"/>
      <c r="AB45" s="212"/>
      <c r="AC45" s="212"/>
      <c r="AD45" s="212"/>
      <c r="AE45" s="212"/>
      <c r="AF45" s="212"/>
      <c r="AG45" s="212"/>
      <c r="AH45" s="212"/>
      <c r="AI45" s="212"/>
      <c r="AJ45" s="212"/>
      <c r="AK45" s="212"/>
      <c r="AL45" s="212"/>
      <c r="AM45" s="212"/>
      <c r="AN45" s="212"/>
      <c r="AO45" s="212"/>
      <c r="AP45" s="212"/>
      <c r="AQ45" s="212"/>
      <c r="AR45" s="212"/>
      <c r="AS45" s="212"/>
    </row>
    <row r="46" spans="2:45" ht="15" hidden="1" customHeight="1">
      <c r="B46" s="372" t="s">
        <v>1076</v>
      </c>
      <c r="C46" s="1279" t="s">
        <v>706</v>
      </c>
      <c r="D46" s="322"/>
      <c r="E46" s="322">
        <f>-Details!$E$135</f>
        <v>0</v>
      </c>
      <c r="F46" s="1125"/>
      <c r="G46" s="1125"/>
      <c r="H46" s="1125"/>
      <c r="I46" s="1125"/>
      <c r="J46" s="321"/>
      <c r="K46" s="321"/>
      <c r="L46" s="92"/>
      <c r="M46" s="86"/>
      <c r="N46" s="223"/>
      <c r="O46" s="212"/>
      <c r="P46" s="212"/>
      <c r="Q46" s="212"/>
      <c r="R46" s="212"/>
      <c r="S46" s="212"/>
      <c r="T46" s="212"/>
      <c r="U46" s="212"/>
      <c r="V46" s="212"/>
      <c r="W46" s="212"/>
      <c r="X46" s="212"/>
      <c r="Y46" s="212"/>
      <c r="Z46" s="212"/>
      <c r="AA46" s="212"/>
      <c r="AB46" s="212"/>
      <c r="AC46" s="212"/>
      <c r="AD46" s="212"/>
      <c r="AE46" s="212"/>
      <c r="AF46" s="212"/>
      <c r="AG46" s="212"/>
      <c r="AH46" s="212"/>
      <c r="AI46" s="212"/>
      <c r="AJ46" s="212"/>
      <c r="AK46" s="212"/>
      <c r="AL46" s="212"/>
      <c r="AM46" s="212"/>
      <c r="AN46" s="212"/>
      <c r="AO46" s="212"/>
      <c r="AP46" s="212"/>
      <c r="AQ46" s="212"/>
      <c r="AR46" s="212"/>
      <c r="AS46" s="212"/>
    </row>
    <row r="47" spans="2:45" ht="15" customHeight="1">
      <c r="B47" s="112" t="s">
        <v>460</v>
      </c>
      <c r="C47" s="140"/>
      <c r="D47" s="321">
        <f>SUM(E47:I47)</f>
        <v>2178300</v>
      </c>
      <c r="E47" s="321">
        <f>SUM(E31:E46)</f>
        <v>2015200</v>
      </c>
      <c r="F47" s="1124">
        <f>SUM(F31:F46)</f>
        <v>58500</v>
      </c>
      <c r="G47" s="1124">
        <f>SUM(G31:G46)</f>
        <v>100000</v>
      </c>
      <c r="H47" s="1124">
        <f>SUM(H31:H46)</f>
        <v>4600</v>
      </c>
      <c r="I47" s="1124">
        <f>SUM(I31:I46)</f>
        <v>0</v>
      </c>
      <c r="J47" s="321"/>
      <c r="K47" s="321"/>
      <c r="L47" s="92"/>
      <c r="M47" s="86"/>
      <c r="N47" s="223"/>
      <c r="O47" s="212"/>
      <c r="P47" s="212"/>
      <c r="Q47" s="212"/>
      <c r="R47" s="212"/>
      <c r="S47" s="212"/>
      <c r="T47" s="212"/>
      <c r="U47" s="212"/>
      <c r="V47" s="212"/>
      <c r="W47" s="212"/>
      <c r="X47" s="212"/>
      <c r="Y47" s="212"/>
      <c r="Z47" s="212"/>
      <c r="AA47" s="212"/>
      <c r="AB47" s="212"/>
      <c r="AC47" s="212"/>
      <c r="AD47" s="212"/>
      <c r="AE47" s="212"/>
      <c r="AF47" s="212"/>
      <c r="AG47" s="212"/>
      <c r="AH47" s="212"/>
      <c r="AI47" s="212"/>
      <c r="AJ47" s="212"/>
      <c r="AK47" s="212"/>
      <c r="AL47" s="212"/>
      <c r="AM47" s="212"/>
      <c r="AN47" s="212"/>
      <c r="AO47" s="212"/>
      <c r="AP47" s="212"/>
      <c r="AQ47" s="212"/>
      <c r="AR47" s="212"/>
      <c r="AS47" s="212"/>
    </row>
    <row r="48" spans="2:45" ht="19.95" hidden="1" customHeight="1">
      <c r="B48" s="371" t="s">
        <v>944</v>
      </c>
      <c r="C48" s="1279" t="s">
        <v>706</v>
      </c>
      <c r="D48" s="321"/>
      <c r="E48" s="321">
        <f>+Details!$E$28</f>
        <v>748900</v>
      </c>
      <c r="F48" s="1124"/>
      <c r="G48" s="1124"/>
      <c r="H48" s="1124"/>
      <c r="I48" s="1124"/>
      <c r="J48" s="321"/>
      <c r="K48" s="321"/>
      <c r="L48" s="92"/>
      <c r="M48" s="86"/>
      <c r="N48" s="223"/>
      <c r="O48" s="212"/>
      <c r="P48" s="212"/>
      <c r="Q48" s="212"/>
      <c r="R48" s="212"/>
      <c r="S48" s="212"/>
      <c r="T48" s="212"/>
      <c r="U48" s="212"/>
      <c r="V48" s="212"/>
      <c r="W48" s="212"/>
      <c r="X48" s="212"/>
      <c r="Y48" s="212"/>
      <c r="Z48" s="212"/>
      <c r="AA48" s="212"/>
      <c r="AB48" s="212"/>
      <c r="AC48" s="212"/>
      <c r="AD48" s="212"/>
      <c r="AE48" s="212"/>
      <c r="AF48" s="212"/>
      <c r="AG48" s="212"/>
      <c r="AH48" s="212"/>
      <c r="AI48" s="212"/>
      <c r="AJ48" s="212"/>
      <c r="AK48" s="212"/>
      <c r="AL48" s="212"/>
      <c r="AM48" s="212"/>
      <c r="AN48" s="212"/>
      <c r="AO48" s="212"/>
      <c r="AP48" s="212"/>
      <c r="AQ48" s="212"/>
      <c r="AR48" s="212"/>
      <c r="AS48" s="212"/>
    </row>
    <row r="49" spans="2:45" ht="15" hidden="1" customHeight="1">
      <c r="B49" s="371" t="s">
        <v>195</v>
      </c>
      <c r="C49" s="1279" t="s">
        <v>706</v>
      </c>
      <c r="D49" s="321"/>
      <c r="E49" s="321">
        <f>+Details!$E$61</f>
        <v>1516900</v>
      </c>
      <c r="F49" s="1124"/>
      <c r="G49" s="1124"/>
      <c r="H49" s="1124"/>
      <c r="I49" s="1124"/>
      <c r="J49" s="321"/>
      <c r="K49" s="321"/>
      <c r="L49" s="92"/>
      <c r="M49" s="86"/>
      <c r="N49" s="223"/>
      <c r="O49" s="212"/>
      <c r="P49" s="212"/>
      <c r="Q49" s="212"/>
      <c r="R49" s="212"/>
      <c r="S49" s="212"/>
      <c r="T49" s="212"/>
      <c r="U49" s="212"/>
      <c r="V49" s="212"/>
      <c r="W49" s="212"/>
      <c r="X49" s="212"/>
      <c r="Y49" s="212"/>
      <c r="Z49" s="212"/>
      <c r="AA49" s="212"/>
      <c r="AB49" s="212"/>
      <c r="AC49" s="212"/>
      <c r="AD49" s="212"/>
      <c r="AE49" s="212"/>
      <c r="AF49" s="212"/>
      <c r="AG49" s="212"/>
      <c r="AH49" s="212"/>
      <c r="AI49" s="212"/>
      <c r="AJ49" s="212"/>
      <c r="AK49" s="212"/>
      <c r="AL49" s="212"/>
      <c r="AM49" s="212"/>
      <c r="AN49" s="212"/>
      <c r="AO49" s="212"/>
      <c r="AP49" s="212"/>
      <c r="AQ49" s="212"/>
      <c r="AR49" s="212"/>
      <c r="AS49" s="212"/>
    </row>
    <row r="50" spans="2:45" ht="15" hidden="1" customHeight="1">
      <c r="B50" s="457" t="s">
        <v>943</v>
      </c>
      <c r="C50" s="1279" t="s">
        <v>706</v>
      </c>
      <c r="D50" s="321"/>
      <c r="E50" s="321">
        <f>+Details!$E$70</f>
        <v>549600</v>
      </c>
      <c r="F50" s="1124"/>
      <c r="G50" s="1124"/>
      <c r="H50" s="1124"/>
      <c r="I50" s="1124"/>
      <c r="J50" s="321"/>
      <c r="K50" s="321"/>
      <c r="L50" s="92"/>
      <c r="M50" s="86"/>
      <c r="N50" s="223"/>
      <c r="O50" s="212"/>
      <c r="P50" s="212"/>
      <c r="Q50" s="212"/>
      <c r="R50" s="212"/>
      <c r="S50" s="212"/>
      <c r="T50" s="212"/>
      <c r="U50" s="212"/>
      <c r="V50" s="212"/>
      <c r="W50" s="212"/>
      <c r="X50" s="212"/>
      <c r="Y50" s="212"/>
      <c r="Z50" s="212"/>
      <c r="AA50" s="212"/>
      <c r="AB50" s="212"/>
      <c r="AC50" s="212"/>
      <c r="AD50" s="212"/>
      <c r="AE50" s="212"/>
      <c r="AF50" s="212"/>
      <c r="AG50" s="212"/>
      <c r="AH50" s="212"/>
      <c r="AI50" s="212"/>
      <c r="AJ50" s="212"/>
      <c r="AK50" s="212"/>
      <c r="AL50" s="212"/>
      <c r="AM50" s="212"/>
      <c r="AN50" s="212"/>
      <c r="AO50" s="212"/>
      <c r="AP50" s="212"/>
      <c r="AQ50" s="212"/>
      <c r="AR50" s="212"/>
      <c r="AS50" s="212"/>
    </row>
    <row r="51" spans="2:45" ht="15" hidden="1" customHeight="1">
      <c r="B51" s="510" t="s">
        <v>945</v>
      </c>
      <c r="C51" s="1279" t="s">
        <v>706</v>
      </c>
      <c r="D51" s="321"/>
      <c r="E51" s="321">
        <f>+Details!$E$62</f>
        <v>144000</v>
      </c>
      <c r="F51" s="1124"/>
      <c r="G51" s="1124"/>
      <c r="H51" s="1124"/>
      <c r="I51" s="1124"/>
      <c r="J51" s="321"/>
      <c r="K51" s="321"/>
      <c r="L51" s="92"/>
      <c r="M51" s="86"/>
      <c r="N51" s="223"/>
      <c r="O51" s="212"/>
      <c r="P51" s="212"/>
      <c r="Q51" s="212"/>
      <c r="R51" s="212"/>
      <c r="S51" s="212"/>
      <c r="T51" s="212"/>
      <c r="U51" s="212"/>
      <c r="V51" s="212"/>
      <c r="W51" s="212"/>
      <c r="X51" s="212"/>
      <c r="Y51" s="212"/>
      <c r="Z51" s="212"/>
      <c r="AA51" s="212"/>
      <c r="AB51" s="212"/>
      <c r="AC51" s="212"/>
      <c r="AD51" s="212"/>
      <c r="AE51" s="212"/>
      <c r="AF51" s="212"/>
      <c r="AG51" s="212"/>
      <c r="AH51" s="212"/>
      <c r="AI51" s="212"/>
      <c r="AJ51" s="212"/>
      <c r="AK51" s="212"/>
      <c r="AL51" s="212"/>
      <c r="AM51" s="212"/>
      <c r="AN51" s="212"/>
      <c r="AO51" s="212"/>
      <c r="AP51" s="212"/>
      <c r="AQ51" s="212"/>
      <c r="AR51" s="212"/>
      <c r="AS51" s="212"/>
    </row>
    <row r="52" spans="2:45" ht="15" hidden="1" customHeight="1">
      <c r="B52" s="367" t="s">
        <v>1535</v>
      </c>
      <c r="C52" s="1279" t="s">
        <v>706</v>
      </c>
      <c r="D52" s="321"/>
      <c r="E52" s="321"/>
      <c r="F52" s="1124">
        <f>+Details!$E$29</f>
        <v>727700</v>
      </c>
      <c r="G52" s="1124"/>
      <c r="H52" s="1124"/>
      <c r="I52" s="1124"/>
      <c r="J52" s="321"/>
      <c r="K52" s="321"/>
      <c r="L52" s="92"/>
      <c r="M52" s="86"/>
      <c r="N52" s="223"/>
      <c r="O52" s="212"/>
      <c r="P52" s="212"/>
      <c r="Q52" s="212"/>
      <c r="R52" s="212"/>
      <c r="S52" s="212"/>
      <c r="T52" s="212"/>
      <c r="U52" s="212"/>
      <c r="V52" s="212"/>
      <c r="W52" s="212"/>
      <c r="X52" s="212"/>
      <c r="Y52" s="212"/>
      <c r="Z52" s="212"/>
      <c r="AA52" s="212"/>
      <c r="AB52" s="212"/>
      <c r="AC52" s="212"/>
      <c r="AD52" s="212"/>
      <c r="AE52" s="212"/>
      <c r="AF52" s="212"/>
      <c r="AG52" s="212"/>
      <c r="AH52" s="212"/>
      <c r="AI52" s="212"/>
      <c r="AJ52" s="212"/>
      <c r="AK52" s="212"/>
      <c r="AL52" s="212"/>
      <c r="AM52" s="212"/>
      <c r="AN52" s="212"/>
      <c r="AO52" s="212"/>
      <c r="AP52" s="212"/>
      <c r="AQ52" s="212"/>
      <c r="AR52" s="212"/>
      <c r="AS52" s="212"/>
    </row>
    <row r="53" spans="2:45" ht="15" hidden="1" customHeight="1">
      <c r="B53" s="367" t="s">
        <v>945</v>
      </c>
      <c r="C53" s="1279" t="s">
        <v>706</v>
      </c>
      <c r="F53" s="1124">
        <f>+Details!$E$63</f>
        <v>0</v>
      </c>
      <c r="G53" s="1124"/>
      <c r="H53" s="1124"/>
      <c r="I53" s="1124"/>
      <c r="J53" s="321"/>
      <c r="K53" s="321"/>
      <c r="L53" s="92"/>
      <c r="M53" s="86"/>
      <c r="N53" s="223"/>
      <c r="O53" s="212"/>
      <c r="P53" s="212"/>
      <c r="Q53" s="212"/>
      <c r="R53" s="212"/>
      <c r="S53" s="212"/>
      <c r="T53" s="212"/>
      <c r="U53" s="212"/>
      <c r="V53" s="212"/>
      <c r="W53" s="212"/>
      <c r="X53" s="212"/>
      <c r="Y53" s="212"/>
      <c r="Z53" s="212"/>
      <c r="AA53" s="212"/>
      <c r="AB53" s="212"/>
      <c r="AC53" s="212"/>
      <c r="AD53" s="212"/>
      <c r="AE53" s="212"/>
      <c r="AF53" s="212"/>
      <c r="AG53" s="212"/>
      <c r="AH53" s="212"/>
      <c r="AI53" s="212"/>
      <c r="AJ53" s="212"/>
      <c r="AK53" s="212"/>
      <c r="AL53" s="212"/>
      <c r="AM53" s="212"/>
      <c r="AN53" s="212"/>
      <c r="AO53" s="212"/>
      <c r="AP53" s="212"/>
      <c r="AQ53" s="212"/>
      <c r="AR53" s="212"/>
      <c r="AS53" s="212"/>
    </row>
    <row r="54" spans="2:45" ht="15" hidden="1" customHeight="1">
      <c r="B54" s="367" t="s">
        <v>1536</v>
      </c>
      <c r="C54" s="1279" t="s">
        <v>706</v>
      </c>
      <c r="F54" s="1124">
        <f>+Details!$E$30</f>
        <v>660000</v>
      </c>
      <c r="G54" s="1124"/>
      <c r="H54" s="1124"/>
      <c r="I54" s="1124"/>
      <c r="J54" s="321"/>
      <c r="K54" s="321"/>
      <c r="L54" s="92"/>
      <c r="M54" s="86"/>
      <c r="N54" s="223"/>
      <c r="O54" s="212"/>
      <c r="P54" s="212"/>
      <c r="Q54" s="212"/>
      <c r="R54" s="212"/>
      <c r="S54" s="212"/>
      <c r="T54" s="212"/>
      <c r="U54" s="212"/>
      <c r="V54" s="212"/>
      <c r="W54" s="212"/>
      <c r="X54" s="212"/>
      <c r="Y54" s="212"/>
      <c r="Z54" s="212"/>
      <c r="AA54" s="212"/>
      <c r="AB54" s="212"/>
      <c r="AC54" s="212"/>
      <c r="AD54" s="212"/>
      <c r="AE54" s="212"/>
      <c r="AF54" s="212"/>
      <c r="AG54" s="212"/>
      <c r="AH54" s="212"/>
      <c r="AI54" s="212"/>
      <c r="AJ54" s="212"/>
      <c r="AK54" s="212"/>
      <c r="AL54" s="212"/>
      <c r="AM54" s="212"/>
      <c r="AN54" s="212"/>
      <c r="AO54" s="212"/>
      <c r="AP54" s="212"/>
      <c r="AQ54" s="212"/>
      <c r="AR54" s="212"/>
      <c r="AS54" s="212"/>
    </row>
    <row r="55" spans="2:45" ht="15" hidden="1" customHeight="1">
      <c r="B55" s="369" t="s">
        <v>1118</v>
      </c>
      <c r="C55" s="1279" t="s">
        <v>706</v>
      </c>
      <c r="D55" s="321"/>
      <c r="E55" s="321"/>
      <c r="F55" s="1124"/>
      <c r="G55" s="1124">
        <f>+Details!$E$32</f>
        <v>12100</v>
      </c>
      <c r="H55" s="1124"/>
      <c r="I55" s="1124"/>
      <c r="J55" s="321"/>
      <c r="K55" s="321"/>
      <c r="L55" s="92"/>
      <c r="M55" s="86"/>
      <c r="N55" s="223"/>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row>
    <row r="56" spans="2:45" ht="15" hidden="1" customHeight="1">
      <c r="B56" s="369" t="s">
        <v>1119</v>
      </c>
      <c r="C56" s="1279" t="s">
        <v>706</v>
      </c>
      <c r="F56" s="1124"/>
      <c r="G56" s="1124">
        <f>+Details!$E$33</f>
        <v>31900</v>
      </c>
      <c r="H56" s="1124"/>
      <c r="I56" s="1124"/>
      <c r="J56" s="321"/>
      <c r="K56" s="321"/>
      <c r="L56" s="92"/>
      <c r="M56" s="86"/>
      <c r="N56" s="223"/>
      <c r="O56" s="212"/>
      <c r="P56" s="212"/>
      <c r="Q56" s="212"/>
      <c r="R56" s="212"/>
      <c r="S56" s="212"/>
      <c r="T56" s="212"/>
      <c r="U56" s="212"/>
      <c r="V56" s="212"/>
      <c r="W56" s="212"/>
      <c r="X56" s="212"/>
      <c r="Y56" s="212"/>
      <c r="Z56" s="212"/>
      <c r="AA56" s="212"/>
      <c r="AB56" s="212"/>
      <c r="AC56" s="212"/>
      <c r="AD56" s="212"/>
      <c r="AE56" s="212"/>
      <c r="AF56" s="212"/>
      <c r="AG56" s="212"/>
      <c r="AH56" s="212"/>
      <c r="AI56" s="212"/>
      <c r="AJ56" s="212"/>
      <c r="AK56" s="212"/>
      <c r="AL56" s="212"/>
      <c r="AM56" s="212"/>
      <c r="AN56" s="212"/>
      <c r="AO56" s="212"/>
      <c r="AP56" s="212"/>
      <c r="AQ56" s="212"/>
      <c r="AR56" s="212"/>
      <c r="AS56" s="212"/>
    </row>
    <row r="57" spans="2:45" ht="15" hidden="1" customHeight="1">
      <c r="B57" s="451" t="s">
        <v>760</v>
      </c>
      <c r="C57" s="1279" t="s">
        <v>706</v>
      </c>
      <c r="D57" s="321"/>
      <c r="E57" s="321"/>
      <c r="F57" s="1124"/>
      <c r="G57" s="1124"/>
      <c r="H57" s="1124">
        <f>+Details!$E$35</f>
        <v>349000</v>
      </c>
      <c r="I57" s="1124"/>
      <c r="J57" s="321"/>
      <c r="K57" s="321"/>
      <c r="L57" s="92"/>
      <c r="M57" s="86"/>
      <c r="N57" s="223"/>
      <c r="O57" s="212"/>
      <c r="P57" s="212"/>
      <c r="Q57" s="212"/>
      <c r="R57" s="212"/>
      <c r="S57" s="212"/>
      <c r="T57" s="212"/>
      <c r="U57" s="212"/>
      <c r="V57" s="212"/>
      <c r="W57" s="212"/>
      <c r="X57" s="212"/>
      <c r="Y57" s="212"/>
      <c r="Z57" s="212"/>
      <c r="AA57" s="212"/>
      <c r="AB57" s="212"/>
      <c r="AC57" s="212"/>
      <c r="AD57" s="212"/>
      <c r="AE57" s="212"/>
      <c r="AF57" s="212"/>
      <c r="AG57" s="212"/>
      <c r="AH57" s="212"/>
      <c r="AI57" s="212"/>
      <c r="AJ57" s="212"/>
      <c r="AK57" s="212"/>
      <c r="AL57" s="212"/>
      <c r="AM57" s="212"/>
      <c r="AN57" s="212"/>
      <c r="AO57" s="212"/>
      <c r="AP57" s="212"/>
      <c r="AQ57" s="212"/>
      <c r="AR57" s="212"/>
      <c r="AS57" s="212"/>
    </row>
    <row r="58" spans="2:45" ht="15" hidden="1" customHeight="1">
      <c r="B58" s="451" t="s">
        <v>761</v>
      </c>
      <c r="C58" s="1279" t="s">
        <v>706</v>
      </c>
      <c r="D58" s="321"/>
      <c r="E58" s="321"/>
      <c r="F58" s="1124"/>
      <c r="G58" s="1124"/>
      <c r="H58" s="1124">
        <f>+Details!$E$36</f>
        <v>34900</v>
      </c>
      <c r="I58" s="1124"/>
      <c r="J58" s="321"/>
      <c r="K58" s="321"/>
      <c r="L58" s="92"/>
      <c r="M58" s="86"/>
      <c r="N58" s="223"/>
      <c r="O58" s="212"/>
      <c r="P58" s="212"/>
      <c r="Q58" s="212"/>
      <c r="R58" s="212"/>
      <c r="S58" s="212"/>
      <c r="T58" s="212"/>
      <c r="U58" s="212"/>
      <c r="V58" s="212"/>
      <c r="W58" s="212"/>
      <c r="X58" s="212"/>
      <c r="Y58" s="212"/>
      <c r="Z58" s="212"/>
      <c r="AA58" s="212"/>
      <c r="AB58" s="212"/>
      <c r="AC58" s="212"/>
      <c r="AD58" s="212"/>
      <c r="AE58" s="212"/>
      <c r="AF58" s="212"/>
      <c r="AG58" s="212"/>
      <c r="AH58" s="212"/>
      <c r="AI58" s="212"/>
      <c r="AJ58" s="212"/>
      <c r="AK58" s="212"/>
      <c r="AL58" s="212"/>
      <c r="AM58" s="212"/>
      <c r="AN58" s="212"/>
      <c r="AO58" s="212"/>
      <c r="AP58" s="212"/>
      <c r="AQ58" s="212"/>
      <c r="AR58" s="212"/>
      <c r="AS58" s="212"/>
    </row>
    <row r="59" spans="2:45" ht="15" hidden="1" customHeight="1">
      <c r="B59" s="451" t="s">
        <v>945</v>
      </c>
      <c r="C59" s="1279" t="s">
        <v>706</v>
      </c>
      <c r="D59" s="321"/>
      <c r="E59" s="321"/>
      <c r="F59" s="1124"/>
      <c r="G59" s="1124"/>
      <c r="H59" s="1124">
        <f>+Details!$E$64</f>
        <v>0</v>
      </c>
      <c r="I59" s="1124"/>
      <c r="J59" s="321"/>
      <c r="K59" s="321"/>
      <c r="L59" s="92"/>
      <c r="M59" s="86"/>
      <c r="N59" s="223"/>
      <c r="O59" s="212"/>
      <c r="P59" s="212"/>
      <c r="Q59" s="212"/>
      <c r="R59" s="212"/>
      <c r="S59" s="212"/>
      <c r="T59" s="212"/>
      <c r="U59" s="212"/>
      <c r="V59" s="212"/>
      <c r="W59" s="212"/>
      <c r="X59" s="212"/>
      <c r="Y59" s="212"/>
      <c r="Z59" s="212"/>
      <c r="AA59" s="212"/>
      <c r="AB59" s="212"/>
      <c r="AC59" s="212"/>
      <c r="AD59" s="212"/>
      <c r="AE59" s="212"/>
      <c r="AF59" s="212"/>
      <c r="AG59" s="212"/>
      <c r="AH59" s="212"/>
      <c r="AI59" s="212"/>
      <c r="AJ59" s="212"/>
      <c r="AK59" s="212"/>
      <c r="AL59" s="212"/>
      <c r="AM59" s="212"/>
      <c r="AN59" s="212"/>
      <c r="AO59" s="212"/>
      <c r="AP59" s="212"/>
      <c r="AQ59" s="212"/>
      <c r="AR59" s="212"/>
      <c r="AS59" s="212"/>
    </row>
    <row r="60" spans="2:45" ht="15" hidden="1" customHeight="1">
      <c r="B60" s="374" t="s">
        <v>1074</v>
      </c>
      <c r="C60" s="1279" t="s">
        <v>706</v>
      </c>
      <c r="D60" s="322"/>
      <c r="E60" s="322"/>
      <c r="F60" s="1125"/>
      <c r="G60" s="1125"/>
      <c r="H60" s="1125"/>
      <c r="I60" s="1125">
        <f>+Details!E38</f>
        <v>0</v>
      </c>
      <c r="J60" s="321"/>
      <c r="K60" s="321"/>
      <c r="L60" s="92"/>
      <c r="M60" s="86"/>
      <c r="N60" s="223"/>
      <c r="O60" s="212"/>
      <c r="P60" s="212"/>
      <c r="Q60" s="212"/>
      <c r="R60" s="212"/>
      <c r="S60" s="212"/>
      <c r="T60" s="212"/>
      <c r="U60" s="212"/>
      <c r="V60" s="212"/>
      <c r="W60" s="212"/>
      <c r="X60" s="212"/>
      <c r="Y60" s="212"/>
      <c r="Z60" s="212"/>
      <c r="AA60" s="212"/>
      <c r="AB60" s="212"/>
      <c r="AC60" s="212"/>
      <c r="AD60" s="212"/>
      <c r="AE60" s="212"/>
      <c r="AF60" s="212"/>
      <c r="AG60" s="212"/>
      <c r="AH60" s="212"/>
      <c r="AI60" s="212"/>
      <c r="AJ60" s="212"/>
      <c r="AK60" s="212"/>
      <c r="AL60" s="212"/>
      <c r="AM60" s="212"/>
      <c r="AN60" s="212"/>
      <c r="AO60" s="212"/>
      <c r="AP60" s="212"/>
      <c r="AQ60" s="212"/>
      <c r="AR60" s="212"/>
      <c r="AS60" s="212"/>
    </row>
    <row r="61" spans="2:45" ht="15" customHeight="1">
      <c r="B61" s="112" t="s">
        <v>461</v>
      </c>
      <c r="C61" s="140"/>
      <c r="D61" s="321">
        <f>SUM(E61:I61)</f>
        <v>4775000</v>
      </c>
      <c r="E61" s="321">
        <f>SUM(E48:E60)</f>
        <v>2959400</v>
      </c>
      <c r="F61" s="1124">
        <f>SUM(F48:F60)</f>
        <v>1387700</v>
      </c>
      <c r="G61" s="1124">
        <f>SUM(G48:G60)</f>
        <v>44000</v>
      </c>
      <c r="H61" s="1124">
        <f>SUM(H48:H60)</f>
        <v>383900</v>
      </c>
      <c r="I61" s="1124">
        <f>SUM(I48:I60)</f>
        <v>0</v>
      </c>
      <c r="J61" s="321"/>
      <c r="K61" s="321"/>
      <c r="L61" s="92"/>
      <c r="M61" s="86"/>
      <c r="N61" s="223"/>
      <c r="O61" s="212"/>
      <c r="P61" s="212"/>
      <c r="Q61" s="212"/>
      <c r="R61" s="212"/>
      <c r="S61" s="212"/>
      <c r="T61" s="212"/>
      <c r="U61" s="212"/>
      <c r="V61" s="212"/>
      <c r="W61" s="212"/>
      <c r="X61" s="212"/>
      <c r="Y61" s="212"/>
      <c r="Z61" s="212"/>
      <c r="AA61" s="212"/>
      <c r="AB61" s="212"/>
      <c r="AC61" s="212"/>
      <c r="AD61" s="212"/>
      <c r="AE61" s="212"/>
      <c r="AF61" s="212"/>
      <c r="AG61" s="212"/>
      <c r="AH61" s="212"/>
      <c r="AI61" s="212"/>
      <c r="AJ61" s="212"/>
      <c r="AK61" s="212"/>
      <c r="AL61" s="212"/>
      <c r="AM61" s="212"/>
      <c r="AN61" s="212"/>
      <c r="AO61" s="212"/>
      <c r="AP61" s="212"/>
      <c r="AQ61" s="212"/>
      <c r="AR61" s="212"/>
      <c r="AS61" s="212"/>
    </row>
    <row r="62" spans="2:45" s="3" customFormat="1" ht="19.95" hidden="1" customHeight="1">
      <c r="B62" s="373" t="s">
        <v>481</v>
      </c>
      <c r="C62" s="1279" t="s">
        <v>706</v>
      </c>
      <c r="D62" s="321"/>
      <c r="E62" s="321">
        <f>-Details!$E$146</f>
        <v>-3472600</v>
      </c>
      <c r="F62" s="1124"/>
      <c r="G62" s="1124"/>
      <c r="H62" s="1124"/>
      <c r="I62" s="1124"/>
      <c r="J62" s="321"/>
      <c r="K62" s="321"/>
      <c r="L62" s="166"/>
      <c r="M62" s="327"/>
      <c r="N62" s="995"/>
      <c r="O62" s="309"/>
      <c r="P62" s="309"/>
      <c r="Q62" s="309"/>
      <c r="R62" s="309"/>
      <c r="S62" s="309"/>
      <c r="T62" s="309"/>
      <c r="U62" s="309"/>
      <c r="V62" s="309"/>
      <c r="W62" s="309"/>
      <c r="X62" s="309"/>
      <c r="Y62" s="309"/>
      <c r="Z62" s="309"/>
      <c r="AA62" s="309"/>
      <c r="AB62" s="309"/>
      <c r="AC62" s="309"/>
      <c r="AD62" s="309"/>
      <c r="AE62" s="309"/>
      <c r="AF62" s="309"/>
      <c r="AG62" s="309"/>
      <c r="AH62" s="309"/>
      <c r="AI62" s="309"/>
      <c r="AJ62" s="309"/>
      <c r="AK62" s="309"/>
      <c r="AL62" s="309"/>
      <c r="AM62" s="309"/>
      <c r="AN62" s="309"/>
      <c r="AO62" s="309"/>
      <c r="AP62" s="309"/>
      <c r="AQ62" s="309"/>
      <c r="AR62" s="309"/>
      <c r="AS62" s="309"/>
    </row>
    <row r="63" spans="2:45" s="3" customFormat="1" ht="15" hidden="1" customHeight="1">
      <c r="B63" s="367" t="s">
        <v>1831</v>
      </c>
      <c r="C63" s="1279" t="s">
        <v>706</v>
      </c>
      <c r="D63" s="321"/>
      <c r="E63" s="321">
        <f>+Details!E$74+Details!E$75</f>
        <v>-58500</v>
      </c>
      <c r="F63" s="1124"/>
      <c r="G63" s="1124"/>
      <c r="H63" s="1124"/>
      <c r="I63" s="1124"/>
      <c r="J63" s="321"/>
      <c r="K63" s="321"/>
      <c r="L63" s="166"/>
      <c r="M63" s="327"/>
      <c r="N63" s="995"/>
      <c r="O63" s="309"/>
      <c r="P63" s="309"/>
      <c r="Q63" s="309"/>
      <c r="R63" s="309"/>
      <c r="S63" s="309"/>
      <c r="T63" s="309"/>
      <c r="U63" s="309"/>
      <c r="V63" s="309"/>
      <c r="W63" s="309"/>
      <c r="X63" s="309"/>
      <c r="Y63" s="309"/>
      <c r="Z63" s="309"/>
      <c r="AA63" s="309"/>
      <c r="AB63" s="309"/>
      <c r="AC63" s="309"/>
      <c r="AD63" s="309"/>
      <c r="AE63" s="309"/>
      <c r="AF63" s="309"/>
      <c r="AG63" s="309"/>
      <c r="AH63" s="309"/>
      <c r="AI63" s="309"/>
      <c r="AJ63" s="309"/>
      <c r="AK63" s="309"/>
      <c r="AL63" s="309"/>
      <c r="AM63" s="309"/>
      <c r="AN63" s="309"/>
      <c r="AO63" s="309"/>
      <c r="AP63" s="309"/>
      <c r="AQ63" s="309"/>
      <c r="AR63" s="309"/>
      <c r="AS63" s="309"/>
    </row>
    <row r="64" spans="2:45" s="3" customFormat="1" ht="15" hidden="1" customHeight="1">
      <c r="B64" s="367" t="s">
        <v>352</v>
      </c>
      <c r="C64" s="1279" t="s">
        <v>706</v>
      </c>
      <c r="D64" s="321"/>
      <c r="E64" s="321"/>
      <c r="F64" s="1124">
        <f>+Details!$E$91+Details!$E$99</f>
        <v>-402600</v>
      </c>
      <c r="G64" s="1124"/>
      <c r="H64" s="1124"/>
      <c r="I64" s="1124"/>
      <c r="J64" s="321"/>
      <c r="K64" s="321"/>
      <c r="L64" s="166"/>
      <c r="M64" s="327"/>
      <c r="N64" s="995"/>
      <c r="O64" s="309"/>
      <c r="P64" s="309"/>
      <c r="Q64" s="309"/>
      <c r="R64" s="309"/>
      <c r="S64" s="309"/>
      <c r="T64" s="309"/>
      <c r="U64" s="309"/>
      <c r="V64" s="309"/>
      <c r="W64" s="309"/>
      <c r="X64" s="309"/>
      <c r="Y64" s="309"/>
      <c r="Z64" s="309"/>
      <c r="AA64" s="309"/>
      <c r="AB64" s="309"/>
      <c r="AC64" s="309"/>
      <c r="AD64" s="309"/>
      <c r="AE64" s="309"/>
      <c r="AF64" s="309"/>
      <c r="AG64" s="309"/>
      <c r="AH64" s="309"/>
      <c r="AI64" s="309"/>
      <c r="AJ64" s="309"/>
      <c r="AK64" s="309"/>
      <c r="AL64" s="309"/>
      <c r="AM64" s="309"/>
      <c r="AN64" s="309"/>
      <c r="AO64" s="309"/>
      <c r="AP64" s="309"/>
      <c r="AQ64" s="309"/>
      <c r="AR64" s="309"/>
      <c r="AS64" s="309"/>
    </row>
    <row r="65" spans="1:45" s="3" customFormat="1" ht="15" hidden="1" customHeight="1">
      <c r="B65" s="367" t="s">
        <v>360</v>
      </c>
      <c r="C65" s="1279" t="s">
        <v>706</v>
      </c>
      <c r="D65" s="321"/>
      <c r="E65" s="321"/>
      <c r="F65" s="1124">
        <f>+Details!$E$96</f>
        <v>0</v>
      </c>
      <c r="G65" s="1124"/>
      <c r="H65" s="1124"/>
      <c r="I65" s="1124"/>
      <c r="J65" s="321"/>
      <c r="K65" s="321"/>
      <c r="L65" s="166"/>
      <c r="M65" s="327"/>
      <c r="N65" s="995"/>
      <c r="O65" s="309"/>
      <c r="P65" s="309"/>
      <c r="Q65" s="309"/>
      <c r="R65" s="309"/>
      <c r="S65" s="309"/>
      <c r="T65" s="309"/>
      <c r="U65" s="309"/>
      <c r="V65" s="309"/>
      <c r="W65" s="309"/>
      <c r="X65" s="309"/>
      <c r="Y65" s="309"/>
      <c r="Z65" s="309"/>
      <c r="AA65" s="309"/>
      <c r="AB65" s="309"/>
      <c r="AC65" s="309"/>
      <c r="AD65" s="309"/>
      <c r="AE65" s="309"/>
      <c r="AF65" s="309"/>
      <c r="AG65" s="309"/>
      <c r="AH65" s="309"/>
      <c r="AI65" s="309"/>
      <c r="AJ65" s="309"/>
      <c r="AK65" s="309"/>
      <c r="AL65" s="309"/>
      <c r="AM65" s="309"/>
      <c r="AN65" s="309"/>
      <c r="AO65" s="309"/>
      <c r="AP65" s="309"/>
      <c r="AQ65" s="309"/>
      <c r="AR65" s="309"/>
      <c r="AS65" s="309"/>
    </row>
    <row r="66" spans="1:45" s="3" customFormat="1" ht="15" hidden="1" customHeight="1">
      <c r="B66" s="367" t="s">
        <v>1182</v>
      </c>
      <c r="C66" s="1279" t="s">
        <v>706</v>
      </c>
      <c r="D66" s="321"/>
      <c r="E66" s="321"/>
      <c r="F66" s="1124">
        <f>+Details!$E$94+Details!$E$102</f>
        <v>-1017800</v>
      </c>
      <c r="G66" s="1124"/>
      <c r="H66" s="1124"/>
      <c r="I66" s="1124"/>
      <c r="J66" s="321"/>
      <c r="K66" s="321"/>
      <c r="L66" s="166"/>
      <c r="M66" s="327"/>
      <c r="N66" s="995"/>
      <c r="O66" s="309"/>
      <c r="P66" s="309"/>
      <c r="Q66" s="309"/>
      <c r="R66" s="309"/>
      <c r="S66" s="309"/>
      <c r="T66" s="309"/>
      <c r="U66" s="309"/>
      <c r="V66" s="309"/>
      <c r="W66" s="309"/>
      <c r="X66" s="309"/>
      <c r="Y66" s="309"/>
      <c r="Z66" s="309"/>
      <c r="AA66" s="309"/>
      <c r="AB66" s="309"/>
      <c r="AC66" s="309"/>
      <c r="AD66" s="309"/>
      <c r="AE66" s="309"/>
      <c r="AF66" s="309"/>
      <c r="AG66" s="309"/>
      <c r="AH66" s="309"/>
      <c r="AI66" s="309"/>
      <c r="AJ66" s="309"/>
      <c r="AK66" s="309"/>
      <c r="AL66" s="309"/>
      <c r="AM66" s="309"/>
      <c r="AN66" s="309"/>
      <c r="AO66" s="309"/>
      <c r="AP66" s="309"/>
      <c r="AQ66" s="309"/>
      <c r="AR66" s="309"/>
      <c r="AS66" s="309"/>
    </row>
    <row r="67" spans="1:45" s="3" customFormat="1" ht="15" hidden="1" customHeight="1">
      <c r="B67" s="368" t="s">
        <v>353</v>
      </c>
      <c r="C67" s="1279" t="s">
        <v>706</v>
      </c>
      <c r="D67" s="321"/>
      <c r="E67" s="321"/>
      <c r="F67" s="1124">
        <f>+Details!$E$95+Details!$E$103</f>
        <v>0</v>
      </c>
      <c r="G67" s="1124"/>
      <c r="H67" s="1124"/>
      <c r="I67" s="1124"/>
      <c r="J67" s="321"/>
      <c r="K67" s="321"/>
      <c r="L67" s="166"/>
      <c r="M67" s="327"/>
      <c r="N67" s="995"/>
      <c r="O67" s="309"/>
      <c r="P67" s="309"/>
      <c r="Q67" s="309"/>
      <c r="R67" s="309"/>
      <c r="S67" s="309"/>
      <c r="T67" s="309"/>
      <c r="U67" s="309"/>
      <c r="V67" s="309"/>
      <c r="W67" s="309"/>
      <c r="X67" s="309"/>
      <c r="Y67" s="309"/>
      <c r="Z67" s="309"/>
      <c r="AA67" s="309"/>
      <c r="AB67" s="309"/>
      <c r="AC67" s="309"/>
      <c r="AD67" s="309"/>
      <c r="AE67" s="309"/>
      <c r="AF67" s="309"/>
      <c r="AG67" s="309"/>
      <c r="AH67" s="309"/>
      <c r="AI67" s="309"/>
      <c r="AJ67" s="309"/>
      <c r="AK67" s="309"/>
      <c r="AL67" s="309"/>
      <c r="AM67" s="309"/>
      <c r="AN67" s="309"/>
      <c r="AO67" s="309"/>
      <c r="AP67" s="309"/>
      <c r="AQ67" s="309"/>
      <c r="AR67" s="309"/>
      <c r="AS67" s="309"/>
    </row>
    <row r="68" spans="1:45" s="3" customFormat="1" ht="15" hidden="1" customHeight="1">
      <c r="B68" s="369" t="s">
        <v>1181</v>
      </c>
      <c r="C68" s="1279" t="s">
        <v>706</v>
      </c>
      <c r="D68" s="321"/>
      <c r="E68" s="321"/>
      <c r="F68" s="1124"/>
      <c r="G68" s="1124">
        <f>+Details!$E$112</f>
        <v>-128700</v>
      </c>
      <c r="H68" s="1124"/>
      <c r="I68" s="1124"/>
      <c r="J68" s="321"/>
      <c r="K68" s="321"/>
      <c r="L68" s="166"/>
      <c r="M68" s="327"/>
      <c r="N68" s="995"/>
      <c r="O68" s="309"/>
      <c r="P68" s="309"/>
      <c r="Q68" s="309"/>
      <c r="R68" s="309"/>
      <c r="S68" s="309"/>
      <c r="T68" s="309"/>
      <c r="U68" s="309"/>
      <c r="V68" s="309"/>
      <c r="W68" s="309"/>
      <c r="X68" s="309"/>
      <c r="Y68" s="309"/>
      <c r="Z68" s="309"/>
      <c r="AA68" s="309"/>
      <c r="AB68" s="309"/>
      <c r="AC68" s="309"/>
      <c r="AD68" s="309"/>
      <c r="AE68" s="309"/>
      <c r="AF68" s="309"/>
      <c r="AG68" s="309"/>
      <c r="AH68" s="309"/>
      <c r="AI68" s="309"/>
      <c r="AJ68" s="309"/>
      <c r="AK68" s="309"/>
      <c r="AL68" s="309"/>
      <c r="AM68" s="309"/>
      <c r="AN68" s="309"/>
      <c r="AO68" s="309"/>
      <c r="AP68" s="309"/>
      <c r="AQ68" s="309"/>
      <c r="AR68" s="309"/>
      <c r="AS68" s="309"/>
    </row>
    <row r="69" spans="1:45" ht="15" hidden="1" customHeight="1">
      <c r="A69" s="3"/>
      <c r="B69" s="369" t="s">
        <v>259</v>
      </c>
      <c r="C69" s="1279" t="s">
        <v>706</v>
      </c>
      <c r="D69" s="321"/>
      <c r="E69" s="321"/>
      <c r="F69" s="1124"/>
      <c r="G69" s="1124">
        <f>Details!$E$115</f>
        <v>-15300</v>
      </c>
      <c r="H69" s="1124"/>
      <c r="I69" s="1124"/>
      <c r="J69" s="321"/>
      <c r="K69" s="321"/>
      <c r="L69" s="166"/>
      <c r="M69" s="327"/>
      <c r="N69" s="995"/>
      <c r="O69" s="309"/>
      <c r="P69" s="309"/>
      <c r="Q69" s="309"/>
      <c r="R69" s="309"/>
      <c r="S69" s="309"/>
      <c r="T69" s="309"/>
      <c r="U69" s="309"/>
      <c r="V69" s="309"/>
      <c r="W69" s="309"/>
      <c r="X69" s="309"/>
      <c r="Y69" s="309"/>
      <c r="Z69" s="309"/>
      <c r="AA69" s="309"/>
      <c r="AB69" s="309"/>
      <c r="AC69" s="309"/>
      <c r="AD69" s="309"/>
      <c r="AE69" s="309"/>
      <c r="AF69" s="309"/>
      <c r="AG69" s="309"/>
      <c r="AH69" s="309"/>
      <c r="AI69" s="309"/>
      <c r="AJ69" s="309"/>
      <c r="AK69" s="309"/>
      <c r="AL69" s="309"/>
      <c r="AM69" s="309"/>
      <c r="AN69" s="309"/>
      <c r="AO69" s="309"/>
      <c r="AP69" s="309"/>
      <c r="AQ69" s="309"/>
      <c r="AR69" s="309"/>
      <c r="AS69" s="309"/>
    </row>
    <row r="70" spans="1:45" ht="15" hidden="1" customHeight="1">
      <c r="A70" s="3"/>
      <c r="B70" s="369" t="s">
        <v>359</v>
      </c>
      <c r="C70" s="1279" t="s">
        <v>706</v>
      </c>
      <c r="D70" s="321"/>
      <c r="E70" s="321"/>
      <c r="F70" s="1124"/>
      <c r="G70" s="1124">
        <f>+Details!$E$118</f>
        <v>0</v>
      </c>
      <c r="H70" s="1124"/>
      <c r="I70" s="1124"/>
      <c r="J70" s="321"/>
      <c r="K70" s="321"/>
      <c r="L70" s="166"/>
      <c r="M70" s="327"/>
      <c r="N70" s="995"/>
      <c r="O70" s="309"/>
      <c r="P70" s="309"/>
      <c r="Q70" s="309"/>
      <c r="R70" s="309"/>
      <c r="S70" s="309"/>
      <c r="T70" s="309"/>
      <c r="U70" s="309"/>
      <c r="V70" s="309"/>
      <c r="W70" s="309"/>
      <c r="X70" s="309"/>
      <c r="Y70" s="309"/>
      <c r="Z70" s="309"/>
      <c r="AA70" s="309"/>
      <c r="AB70" s="309"/>
      <c r="AC70" s="309"/>
      <c r="AD70" s="309"/>
      <c r="AE70" s="309"/>
      <c r="AF70" s="309"/>
      <c r="AG70" s="309"/>
      <c r="AH70" s="309"/>
      <c r="AI70" s="309"/>
      <c r="AJ70" s="309"/>
      <c r="AK70" s="309"/>
      <c r="AL70" s="309"/>
      <c r="AM70" s="309"/>
      <c r="AN70" s="309"/>
      <c r="AO70" s="309"/>
      <c r="AP70" s="309"/>
      <c r="AQ70" s="309"/>
      <c r="AR70" s="309"/>
      <c r="AS70" s="309"/>
    </row>
    <row r="71" spans="1:45" ht="15" hidden="1" customHeight="1">
      <c r="A71" s="3"/>
      <c r="B71" s="370" t="s">
        <v>2304</v>
      </c>
      <c r="C71" s="1279" t="s">
        <v>706</v>
      </c>
      <c r="D71" s="321"/>
      <c r="E71" s="321">
        <f>-Details!E$120</f>
        <v>-4600</v>
      </c>
      <c r="F71" s="1124"/>
      <c r="G71" s="1124"/>
      <c r="H71" s="1124"/>
      <c r="I71" s="1124"/>
      <c r="J71" s="321"/>
      <c r="K71" s="321"/>
      <c r="L71" s="166"/>
      <c r="M71" s="327"/>
      <c r="N71" s="995"/>
      <c r="O71" s="309"/>
      <c r="P71" s="309"/>
      <c r="Q71" s="309"/>
      <c r="R71" s="309"/>
      <c r="S71" s="309"/>
      <c r="T71" s="309"/>
      <c r="U71" s="309"/>
      <c r="V71" s="309"/>
      <c r="W71" s="309"/>
      <c r="X71" s="309"/>
      <c r="Y71" s="309"/>
      <c r="Z71" s="309"/>
      <c r="AA71" s="309"/>
      <c r="AB71" s="309"/>
      <c r="AC71" s="309"/>
      <c r="AD71" s="309"/>
      <c r="AE71" s="309"/>
      <c r="AF71" s="309"/>
      <c r="AG71" s="309"/>
      <c r="AH71" s="309"/>
      <c r="AI71" s="309"/>
      <c r="AJ71" s="309"/>
      <c r="AK71" s="309"/>
      <c r="AL71" s="309"/>
      <c r="AM71" s="309"/>
      <c r="AN71" s="309"/>
      <c r="AO71" s="309"/>
      <c r="AP71" s="309"/>
      <c r="AQ71" s="309"/>
      <c r="AR71" s="309"/>
      <c r="AS71" s="309"/>
    </row>
    <row r="72" spans="1:45" ht="15" hidden="1" customHeight="1">
      <c r="A72" s="3"/>
      <c r="B72" s="370" t="s">
        <v>1075</v>
      </c>
      <c r="C72" s="1279" t="s">
        <v>706</v>
      </c>
      <c r="D72" s="321"/>
      <c r="E72" s="321"/>
      <c r="F72" s="1124"/>
      <c r="G72" s="1124"/>
      <c r="H72" s="1124">
        <f>+Details!$E$125</f>
        <v>-50800</v>
      </c>
      <c r="I72" s="1124"/>
      <c r="J72" s="321"/>
      <c r="K72" s="321"/>
      <c r="L72" s="166"/>
      <c r="M72" s="327"/>
      <c r="N72" s="995"/>
      <c r="O72" s="309"/>
      <c r="P72" s="309"/>
      <c r="Q72" s="309"/>
      <c r="R72" s="309"/>
      <c r="S72" s="309"/>
      <c r="T72" s="309"/>
      <c r="U72" s="309"/>
      <c r="V72" s="309"/>
      <c r="W72" s="309"/>
      <c r="X72" s="309"/>
      <c r="Y72" s="309"/>
      <c r="Z72" s="309"/>
      <c r="AA72" s="309"/>
      <c r="AB72" s="309"/>
      <c r="AC72" s="309"/>
      <c r="AD72" s="309"/>
      <c r="AE72" s="309"/>
      <c r="AF72" s="309"/>
      <c r="AG72" s="309"/>
      <c r="AH72" s="309"/>
      <c r="AI72" s="309"/>
      <c r="AJ72" s="309"/>
      <c r="AK72" s="309"/>
      <c r="AL72" s="309"/>
      <c r="AM72" s="309"/>
      <c r="AN72" s="309"/>
      <c r="AO72" s="309"/>
      <c r="AP72" s="309"/>
      <c r="AQ72" s="309"/>
      <c r="AR72" s="309"/>
      <c r="AS72" s="309"/>
    </row>
    <row r="73" spans="1:45" ht="15" hidden="1" customHeight="1">
      <c r="A73" s="3"/>
      <c r="B73" s="370" t="s">
        <v>2305</v>
      </c>
      <c r="C73" s="1279" t="s">
        <v>706</v>
      </c>
      <c r="D73" s="321"/>
      <c r="E73" s="321"/>
      <c r="F73" s="1124"/>
      <c r="G73" s="1124"/>
      <c r="H73" s="1124">
        <f>+Details!$E$126</f>
        <v>0</v>
      </c>
      <c r="I73" s="1124"/>
      <c r="J73" s="321"/>
      <c r="K73" s="321"/>
      <c r="L73" s="166"/>
      <c r="M73" s="327"/>
      <c r="N73" s="995"/>
      <c r="O73" s="309"/>
      <c r="P73" s="309"/>
      <c r="Q73" s="309"/>
      <c r="R73" s="309"/>
      <c r="S73" s="309"/>
      <c r="T73" s="309"/>
      <c r="U73" s="309"/>
      <c r="V73" s="309"/>
      <c r="W73" s="309"/>
      <c r="X73" s="309"/>
      <c r="Y73" s="309"/>
      <c r="Z73" s="309"/>
      <c r="AA73" s="309"/>
      <c r="AB73" s="309"/>
      <c r="AC73" s="309"/>
      <c r="AD73" s="309"/>
      <c r="AE73" s="309"/>
      <c r="AF73" s="309"/>
      <c r="AG73" s="309"/>
      <c r="AH73" s="309"/>
      <c r="AI73" s="309"/>
      <c r="AJ73" s="309"/>
      <c r="AK73" s="309"/>
      <c r="AL73" s="309"/>
      <c r="AM73" s="309"/>
      <c r="AN73" s="309"/>
      <c r="AO73" s="309"/>
      <c r="AP73" s="309"/>
      <c r="AQ73" s="309"/>
      <c r="AR73" s="309"/>
      <c r="AS73" s="309"/>
    </row>
    <row r="74" spans="1:45" ht="15" hidden="1" customHeight="1">
      <c r="A74" s="3"/>
      <c r="B74" s="370" t="s">
        <v>2306</v>
      </c>
      <c r="C74" s="1279" t="s">
        <v>706</v>
      </c>
      <c r="D74" s="321"/>
      <c r="E74" s="321"/>
      <c r="F74" s="1124"/>
      <c r="G74" s="1124"/>
      <c r="H74" s="1124">
        <f>+Details!$E$127</f>
        <v>0</v>
      </c>
      <c r="I74" s="1124"/>
      <c r="J74" s="321"/>
      <c r="K74" s="321"/>
      <c r="L74" s="166"/>
      <c r="M74" s="327"/>
      <c r="N74" s="995"/>
      <c r="O74" s="309"/>
      <c r="P74" s="309"/>
      <c r="Q74" s="309"/>
      <c r="R74" s="309"/>
      <c r="S74" s="309"/>
      <c r="T74" s="309"/>
      <c r="U74" s="309"/>
      <c r="V74" s="309"/>
      <c r="W74" s="309"/>
      <c r="X74" s="309"/>
      <c r="Y74" s="309"/>
      <c r="Z74" s="309"/>
      <c r="AA74" s="309"/>
      <c r="AB74" s="309"/>
      <c r="AC74" s="309"/>
      <c r="AD74" s="309"/>
      <c r="AE74" s="309"/>
      <c r="AF74" s="309"/>
      <c r="AG74" s="309"/>
      <c r="AH74" s="309"/>
      <c r="AI74" s="309"/>
      <c r="AJ74" s="309"/>
      <c r="AK74" s="309"/>
      <c r="AL74" s="309"/>
      <c r="AM74" s="309"/>
      <c r="AN74" s="309"/>
      <c r="AO74" s="309"/>
      <c r="AP74" s="309"/>
      <c r="AQ74" s="309"/>
      <c r="AR74" s="309"/>
      <c r="AS74" s="309"/>
    </row>
    <row r="75" spans="1:45" ht="15" hidden="1" customHeight="1">
      <c r="A75" s="3"/>
      <c r="B75" s="374" t="s">
        <v>1074</v>
      </c>
      <c r="C75" s="1279" t="s">
        <v>706</v>
      </c>
      <c r="D75" s="321"/>
      <c r="E75" s="321"/>
      <c r="F75" s="1124">
        <f>-Details!E133</f>
        <v>0</v>
      </c>
      <c r="G75" s="1124"/>
      <c r="H75" s="1124"/>
      <c r="I75" s="1124"/>
      <c r="J75" s="321"/>
      <c r="K75" s="321"/>
      <c r="L75" s="166"/>
      <c r="M75" s="327"/>
      <c r="N75" s="995"/>
      <c r="O75" s="309"/>
      <c r="P75" s="309"/>
      <c r="Q75" s="309"/>
      <c r="R75" s="309"/>
      <c r="S75" s="309"/>
      <c r="T75" s="309"/>
      <c r="U75" s="309"/>
      <c r="V75" s="309"/>
      <c r="W75" s="309"/>
      <c r="X75" s="309"/>
      <c r="Y75" s="309"/>
      <c r="Z75" s="309"/>
      <c r="AA75" s="309"/>
      <c r="AB75" s="309"/>
      <c r="AC75" s="309"/>
      <c r="AD75" s="309"/>
      <c r="AE75" s="309"/>
      <c r="AF75" s="309"/>
      <c r="AG75" s="309"/>
      <c r="AH75" s="309"/>
      <c r="AI75" s="309"/>
      <c r="AJ75" s="309"/>
      <c r="AK75" s="309"/>
      <c r="AL75" s="309"/>
      <c r="AM75" s="309"/>
      <c r="AN75" s="309"/>
      <c r="AO75" s="309"/>
      <c r="AP75" s="309"/>
      <c r="AQ75" s="309"/>
      <c r="AR75" s="309"/>
      <c r="AS75" s="309"/>
    </row>
    <row r="76" spans="1:45" ht="15" hidden="1" customHeight="1">
      <c r="A76" s="3"/>
      <c r="B76" s="375" t="s">
        <v>1075</v>
      </c>
      <c r="C76" s="1279" t="s">
        <v>706</v>
      </c>
      <c r="D76" s="321"/>
      <c r="E76" s="321"/>
      <c r="F76" s="1124"/>
      <c r="G76" s="1124"/>
      <c r="H76" s="1124"/>
      <c r="I76" s="1124">
        <f>+Details!E134</f>
        <v>0</v>
      </c>
      <c r="J76" s="321"/>
      <c r="K76" s="321"/>
      <c r="L76" s="166"/>
      <c r="M76" s="327"/>
      <c r="N76" s="995"/>
      <c r="O76" s="309"/>
      <c r="P76" s="309"/>
      <c r="Q76" s="309"/>
      <c r="R76" s="309"/>
      <c r="S76" s="309"/>
      <c r="T76" s="309"/>
      <c r="U76" s="309"/>
      <c r="V76" s="309"/>
      <c r="W76" s="309"/>
      <c r="X76" s="309"/>
      <c r="Y76" s="309"/>
      <c r="Z76" s="309"/>
      <c r="AA76" s="309"/>
      <c r="AB76" s="309"/>
      <c r="AC76" s="309"/>
      <c r="AD76" s="309"/>
      <c r="AE76" s="309"/>
      <c r="AF76" s="309"/>
      <c r="AG76" s="309"/>
      <c r="AH76" s="309"/>
      <c r="AI76" s="309"/>
      <c r="AJ76" s="309"/>
      <c r="AK76" s="309"/>
      <c r="AL76" s="309"/>
      <c r="AM76" s="309"/>
      <c r="AN76" s="309"/>
      <c r="AO76" s="309"/>
      <c r="AP76" s="309"/>
      <c r="AQ76" s="309"/>
      <c r="AR76" s="309"/>
      <c r="AS76" s="309"/>
    </row>
    <row r="77" spans="1:45" ht="15" hidden="1" customHeight="1">
      <c r="A77" s="3"/>
      <c r="B77" s="372" t="s">
        <v>1076</v>
      </c>
      <c r="C77" s="1279" t="s">
        <v>706</v>
      </c>
      <c r="D77" s="321"/>
      <c r="E77" s="321"/>
      <c r="F77" s="1124"/>
      <c r="G77" s="1124"/>
      <c r="H77" s="1124"/>
      <c r="I77" s="1124">
        <f>+Details!E135</f>
        <v>0</v>
      </c>
      <c r="J77" s="321"/>
      <c r="K77" s="321"/>
      <c r="L77" s="166"/>
      <c r="M77" s="327"/>
      <c r="N77" s="995"/>
      <c r="O77" s="309"/>
      <c r="P77" s="309"/>
      <c r="Q77" s="309"/>
      <c r="R77" s="309"/>
      <c r="S77" s="309"/>
      <c r="T77" s="309"/>
      <c r="U77" s="309"/>
      <c r="V77" s="309"/>
      <c r="W77" s="309"/>
      <c r="X77" s="309"/>
      <c r="Y77" s="309"/>
      <c r="Z77" s="309"/>
      <c r="AA77" s="309"/>
      <c r="AB77" s="309"/>
      <c r="AC77" s="309"/>
      <c r="AD77" s="309"/>
      <c r="AE77" s="309"/>
      <c r="AF77" s="309"/>
      <c r="AG77" s="309"/>
      <c r="AH77" s="309"/>
      <c r="AI77" s="309"/>
      <c r="AJ77" s="309"/>
      <c r="AK77" s="309"/>
      <c r="AL77" s="309"/>
      <c r="AM77" s="309"/>
      <c r="AN77" s="309"/>
      <c r="AO77" s="309"/>
      <c r="AP77" s="309"/>
      <c r="AQ77" s="309"/>
      <c r="AR77" s="309"/>
      <c r="AS77" s="309"/>
    </row>
    <row r="78" spans="1:45" ht="15" hidden="1" customHeight="1">
      <c r="A78" s="3"/>
      <c r="B78" s="722" t="s">
        <v>1205</v>
      </c>
      <c r="C78" s="1279" t="s">
        <v>706</v>
      </c>
      <c r="D78" s="321"/>
      <c r="E78" s="321">
        <f>Details!E137</f>
        <v>-100000</v>
      </c>
      <c r="F78" s="1124"/>
      <c r="G78" s="1124"/>
      <c r="H78" s="1124"/>
      <c r="I78" s="1124"/>
      <c r="J78" s="321"/>
      <c r="K78" s="321"/>
      <c r="L78" s="166"/>
      <c r="M78" s="327"/>
      <c r="N78" s="995"/>
      <c r="O78" s="309"/>
      <c r="P78" s="309"/>
      <c r="Q78" s="309"/>
      <c r="R78" s="309"/>
      <c r="S78" s="309"/>
      <c r="T78" s="309"/>
      <c r="U78" s="309"/>
      <c r="V78" s="309"/>
      <c r="W78" s="309"/>
      <c r="X78" s="309"/>
      <c r="Y78" s="309"/>
      <c r="Z78" s="309"/>
      <c r="AA78" s="309"/>
      <c r="AB78" s="309"/>
      <c r="AC78" s="309"/>
      <c r="AD78" s="309"/>
      <c r="AE78" s="309"/>
      <c r="AF78" s="309"/>
      <c r="AG78" s="309"/>
      <c r="AH78" s="309"/>
      <c r="AI78" s="309"/>
      <c r="AJ78" s="309"/>
      <c r="AK78" s="309"/>
      <c r="AL78" s="309"/>
      <c r="AM78" s="309"/>
      <c r="AN78" s="309"/>
      <c r="AO78" s="309"/>
      <c r="AP78" s="309"/>
      <c r="AQ78" s="309"/>
      <c r="AR78" s="309"/>
      <c r="AS78" s="309"/>
    </row>
    <row r="79" spans="1:45" ht="15" customHeight="1">
      <c r="B79" s="112" t="s">
        <v>462</v>
      </c>
      <c r="C79" s="140"/>
      <c r="D79" s="322">
        <f>SUM(E79:I79)</f>
        <v>-5250900</v>
      </c>
      <c r="E79" s="322">
        <f>SUM(E62:E78)</f>
        <v>-3635700</v>
      </c>
      <c r="F79" s="1125">
        <f>SUM(F62:F78)</f>
        <v>-1420400</v>
      </c>
      <c r="G79" s="1125">
        <f>SUM(G62:G78)</f>
        <v>-144000</v>
      </c>
      <c r="H79" s="1125">
        <f>SUM(H62:H78)</f>
        <v>-50800</v>
      </c>
      <c r="I79" s="1125">
        <f>SUM(I62:I78)</f>
        <v>0</v>
      </c>
      <c r="J79" s="321"/>
      <c r="K79" s="321"/>
      <c r="L79" s="92"/>
      <c r="M79" s="86"/>
      <c r="N79" s="223"/>
      <c r="O79" s="212"/>
      <c r="P79" s="212"/>
      <c r="Q79" s="212"/>
      <c r="R79" s="212"/>
      <c r="S79" s="212"/>
      <c r="T79" s="212"/>
      <c r="U79" s="212"/>
      <c r="V79" s="212"/>
      <c r="W79" s="212"/>
      <c r="X79" s="212"/>
      <c r="Y79" s="212"/>
      <c r="Z79" s="212"/>
      <c r="AA79" s="212"/>
      <c r="AB79" s="212"/>
      <c r="AC79" s="212"/>
      <c r="AD79" s="212"/>
      <c r="AE79" s="212"/>
      <c r="AF79" s="212"/>
      <c r="AG79" s="212"/>
      <c r="AH79" s="212"/>
      <c r="AI79" s="212"/>
      <c r="AJ79" s="212"/>
      <c r="AK79" s="212"/>
      <c r="AL79" s="212"/>
      <c r="AM79" s="212"/>
      <c r="AN79" s="212"/>
      <c r="AO79" s="212"/>
      <c r="AP79" s="212"/>
      <c r="AQ79" s="212"/>
      <c r="AR79" s="212"/>
      <c r="AS79" s="212"/>
    </row>
    <row r="80" spans="1:45" ht="15" customHeight="1">
      <c r="B80" s="112" t="s">
        <v>1415</v>
      </c>
      <c r="C80" s="140"/>
      <c r="D80" s="321">
        <f t="shared" ref="D80:I80" si="3">+D29+D47+D61+D79</f>
        <v>2702400</v>
      </c>
      <c r="E80" s="321">
        <f t="shared" si="3"/>
        <v>1538900</v>
      </c>
      <c r="F80" s="1124">
        <f t="shared" si="3"/>
        <v>725800</v>
      </c>
      <c r="G80" s="1124">
        <f t="shared" si="3"/>
        <v>0</v>
      </c>
      <c r="H80" s="1124">
        <f t="shared" si="3"/>
        <v>437700</v>
      </c>
      <c r="I80" s="1124">
        <f t="shared" si="3"/>
        <v>0</v>
      </c>
      <c r="J80" s="321"/>
      <c r="K80" s="321"/>
      <c r="L80" s="92"/>
      <c r="M80" s="86"/>
      <c r="N80" s="223"/>
      <c r="O80" s="212"/>
      <c r="P80" s="212"/>
      <c r="Q80" s="212"/>
      <c r="R80" s="212"/>
      <c r="S80" s="212"/>
      <c r="T80" s="212"/>
      <c r="U80" s="212"/>
      <c r="V80" s="212"/>
      <c r="W80" s="212"/>
      <c r="X80" s="212"/>
      <c r="Y80" s="212"/>
      <c r="Z80" s="212"/>
      <c r="AA80" s="212"/>
      <c r="AB80" s="212"/>
      <c r="AC80" s="212"/>
      <c r="AD80" s="212"/>
      <c r="AE80" s="212"/>
      <c r="AF80" s="212"/>
      <c r="AG80" s="212"/>
      <c r="AH80" s="212"/>
      <c r="AI80" s="212"/>
      <c r="AJ80" s="212"/>
      <c r="AK80" s="212"/>
      <c r="AL80" s="212"/>
      <c r="AM80" s="212"/>
      <c r="AN80" s="212"/>
      <c r="AO80" s="212"/>
      <c r="AP80" s="212"/>
      <c r="AQ80" s="212"/>
      <c r="AR80" s="212"/>
      <c r="AS80" s="212"/>
    </row>
    <row r="81" spans="1:53" ht="15" customHeight="1">
      <c r="B81" s="112"/>
      <c r="C81" s="448" t="str">
        <f ca="1">IF($D80&lt;&gt;Details!$E$19,"Error",".")</f>
        <v>.</v>
      </c>
      <c r="D81" s="448" t="str">
        <f ca="1">IF(D80&lt;&gt;Details!$E$19,D80-Details!$E$19,".")</f>
        <v>.</v>
      </c>
      <c r="E81" s="448" t="str">
        <f ca="1">IF(E80&lt;&gt;Details!$E$8,E80-Details!$E$8,".")</f>
        <v>.</v>
      </c>
      <c r="F81" s="1124"/>
      <c r="G81" s="1124"/>
      <c r="H81" s="1124"/>
      <c r="I81" s="1124"/>
      <c r="J81" s="321"/>
      <c r="K81" s="321"/>
      <c r="L81" s="92"/>
      <c r="M81" s="86"/>
      <c r="N81" s="223"/>
      <c r="O81" s="212"/>
      <c r="P81" s="212"/>
      <c r="Q81" s="212"/>
      <c r="R81" s="212"/>
      <c r="S81" s="212"/>
      <c r="T81" s="212"/>
      <c r="U81" s="212"/>
      <c r="V81" s="212"/>
      <c r="W81" s="212"/>
      <c r="X81" s="212"/>
      <c r="Y81" s="212"/>
      <c r="Z81" s="212"/>
      <c r="AA81" s="212"/>
      <c r="AB81" s="212"/>
      <c r="AC81" s="212"/>
      <c r="AD81" s="212"/>
      <c r="AE81" s="212"/>
      <c r="AF81" s="212"/>
      <c r="AG81" s="212"/>
      <c r="AH81" s="212"/>
      <c r="AI81" s="212"/>
      <c r="AJ81" s="212"/>
      <c r="AK81" s="212"/>
      <c r="AL81" s="212"/>
      <c r="AM81" s="212"/>
      <c r="AN81" s="212"/>
      <c r="AO81" s="212"/>
      <c r="AP81" s="212"/>
      <c r="AQ81" s="212"/>
      <c r="AR81" s="212"/>
      <c r="AS81" s="212"/>
    </row>
    <row r="82" spans="1:53" ht="15" customHeight="1">
      <c r="A82" s="1339" t="s">
        <v>314</v>
      </c>
      <c r="B82" s="112"/>
      <c r="C82" s="448"/>
      <c r="D82" s="448"/>
      <c r="E82" s="448"/>
      <c r="F82" s="1124"/>
      <c r="G82" s="1124"/>
      <c r="H82" s="1124"/>
      <c r="I82" s="1124"/>
      <c r="J82" s="321"/>
      <c r="K82" s="321"/>
      <c r="L82" s="92"/>
      <c r="M82" s="86"/>
      <c r="N82" s="223"/>
      <c r="O82" s="212"/>
      <c r="P82" s="212"/>
      <c r="Q82" s="212"/>
      <c r="R82" s="212"/>
      <c r="S82" s="212"/>
      <c r="T82" s="212"/>
      <c r="U82" s="212"/>
      <c r="V82" s="212"/>
      <c r="W82" s="212"/>
      <c r="X82" s="212"/>
      <c r="Y82" s="212"/>
      <c r="Z82" s="212"/>
      <c r="AA82" s="212"/>
      <c r="AB82" s="212"/>
      <c r="AC82" s="212"/>
      <c r="AD82" s="212"/>
      <c r="AE82" s="212"/>
      <c r="AF82" s="212"/>
      <c r="AG82" s="212"/>
      <c r="AH82" s="212"/>
      <c r="AI82" s="212"/>
      <c r="AJ82" s="212"/>
      <c r="AK82" s="212"/>
      <c r="AL82" s="212"/>
      <c r="AM82" s="212"/>
      <c r="AN82" s="212"/>
      <c r="AO82" s="212"/>
      <c r="AP82" s="212"/>
      <c r="AQ82" s="212"/>
      <c r="AR82" s="212"/>
      <c r="AS82" s="212"/>
    </row>
    <row r="83" spans="1:53" ht="18" customHeight="1">
      <c r="A83" s="1165"/>
      <c r="B83" s="1165" t="s">
        <v>36</v>
      </c>
      <c r="C83" s="1165"/>
      <c r="D83" s="1165"/>
      <c r="E83" s="1166"/>
      <c r="F83" s="31"/>
      <c r="G83" s="31"/>
      <c r="H83" s="31"/>
      <c r="I83" s="31"/>
      <c r="J83" s="31"/>
      <c r="K83" s="31"/>
      <c r="L83" s="31"/>
      <c r="M83" s="31"/>
      <c r="N83" s="31"/>
      <c r="O83" s="31"/>
      <c r="P83" s="31"/>
      <c r="Q83" s="31"/>
      <c r="R83" s="31"/>
      <c r="S83" s="31"/>
      <c r="T83" s="31"/>
      <c r="U83" s="31"/>
      <c r="V83" s="31"/>
      <c r="W83" s="31"/>
      <c r="X83" s="31"/>
      <c r="Y83" s="31"/>
      <c r="Z83" s="31"/>
      <c r="AA83" s="31"/>
      <c r="AB83" s="31"/>
      <c r="AC83" s="31"/>
      <c r="AD83" s="31"/>
      <c r="AE83" s="31"/>
      <c r="AF83" s="31"/>
      <c r="AG83" s="31"/>
      <c r="AH83" s="31"/>
      <c r="AI83" s="31"/>
      <c r="AJ83" s="31"/>
      <c r="AK83" s="31"/>
      <c r="AL83" s="31"/>
      <c r="AM83" s="31"/>
      <c r="AN83" s="31"/>
      <c r="AO83" s="31"/>
      <c r="AP83" s="31"/>
      <c r="AQ83" s="31"/>
      <c r="AR83" s="31"/>
      <c r="AS83" s="31"/>
    </row>
    <row r="84" spans="1:53" ht="15" customHeight="1">
      <c r="D84" s="26" t="s">
        <v>1661</v>
      </c>
      <c r="F84" s="31"/>
      <c r="G84" s="31"/>
      <c r="H84" s="31"/>
      <c r="I84" s="31"/>
      <c r="J84" s="31"/>
      <c r="K84" s="31"/>
      <c r="L84" s="31"/>
      <c r="M84" s="31"/>
      <c r="N84" s="31"/>
      <c r="O84" s="31"/>
      <c r="P84" s="31"/>
      <c r="Q84" s="31"/>
      <c r="R84" s="31"/>
      <c r="S84" s="31"/>
      <c r="T84" s="31"/>
      <c r="U84" s="31"/>
      <c r="V84" s="31"/>
      <c r="W84" s="31"/>
      <c r="X84" s="31"/>
      <c r="Y84" s="31"/>
      <c r="Z84" s="31"/>
      <c r="AA84" s="31"/>
      <c r="AB84" s="31"/>
      <c r="AC84" s="31"/>
      <c r="AD84" s="31"/>
      <c r="AE84" s="31"/>
      <c r="AF84" s="31"/>
      <c r="AG84" s="31"/>
      <c r="AH84" s="31"/>
      <c r="AI84" s="31"/>
      <c r="AJ84" s="31"/>
      <c r="AK84" s="31"/>
      <c r="AL84" s="31"/>
      <c r="AM84" s="31"/>
      <c r="AN84" s="31"/>
      <c r="AO84" s="31"/>
      <c r="AP84" s="31"/>
      <c r="AQ84" s="31"/>
      <c r="AR84" s="31"/>
      <c r="AS84" s="31"/>
    </row>
    <row r="85" spans="1:53" ht="16.2" customHeight="1">
      <c r="B85" s="91" t="s">
        <v>1040</v>
      </c>
      <c r="C85" s="559"/>
      <c r="D85" s="102"/>
      <c r="E85" s="102">
        <f>SUM(F85:AS85)</f>
        <v>3354900</v>
      </c>
      <c r="F85" s="868">
        <f>+Details!F184</f>
        <v>62700</v>
      </c>
      <c r="G85" s="868">
        <f>+Details!G184</f>
        <v>79400</v>
      </c>
      <c r="H85" s="868">
        <f>+Details!H184</f>
        <v>66100</v>
      </c>
      <c r="I85" s="868">
        <f>+Details!I184</f>
        <v>67900</v>
      </c>
      <c r="J85" s="868">
        <f>+Details!J184</f>
        <v>69800</v>
      </c>
      <c r="K85" s="868">
        <f>+Details!K184</f>
        <v>90700</v>
      </c>
      <c r="L85" s="868">
        <f>+Details!L184</f>
        <v>93400</v>
      </c>
      <c r="M85" s="868">
        <f>+Details!M184</f>
        <v>96200</v>
      </c>
      <c r="N85" s="868">
        <f>+Details!N184</f>
        <v>71800</v>
      </c>
      <c r="O85" s="868">
        <f>+Details!O184</f>
        <v>73900</v>
      </c>
      <c r="P85" s="868">
        <f>+Details!P184</f>
        <v>75900</v>
      </c>
      <c r="Q85" s="868">
        <f>+Details!Q184</f>
        <v>79000</v>
      </c>
      <c r="R85" s="868">
        <f>+Details!R184</f>
        <v>91200</v>
      </c>
      <c r="S85" s="868">
        <f>+Details!S184</f>
        <v>95900</v>
      </c>
      <c r="T85" s="868">
        <f>+Details!T184</f>
        <v>122400</v>
      </c>
      <c r="U85" s="868">
        <f>+Details!U184</f>
        <v>136800</v>
      </c>
      <c r="V85" s="868">
        <f>+Details!V184</f>
        <v>132100</v>
      </c>
      <c r="W85" s="868">
        <f>+Details!W184</f>
        <v>136700</v>
      </c>
      <c r="X85" s="868">
        <f>+Details!X184</f>
        <v>129000</v>
      </c>
      <c r="Y85" s="868">
        <f>+Details!Y184</f>
        <v>131800</v>
      </c>
      <c r="Z85" s="868">
        <f>+Details!Z184</f>
        <v>136200</v>
      </c>
      <c r="AA85" s="868">
        <f>+Details!AA184</f>
        <v>141000</v>
      </c>
      <c r="AB85" s="868">
        <f>+Details!AB184</f>
        <v>147800</v>
      </c>
      <c r="AC85" s="868">
        <f>+Details!AC184</f>
        <v>158700</v>
      </c>
      <c r="AD85" s="868">
        <f>+Details!AD184</f>
        <v>141000</v>
      </c>
      <c r="AE85" s="868">
        <f>+Details!AE184</f>
        <v>145700</v>
      </c>
      <c r="AF85" s="868">
        <f>+Details!AF184</f>
        <v>148500</v>
      </c>
      <c r="AG85" s="868">
        <f>+Details!AG184</f>
        <v>142500</v>
      </c>
      <c r="AH85" s="868">
        <f>+Details!AH184</f>
        <v>143900</v>
      </c>
      <c r="AI85" s="868">
        <f>+Details!AI184</f>
        <v>146900</v>
      </c>
      <c r="AJ85" s="868">
        <f>+Details!AJ184</f>
        <v>0</v>
      </c>
      <c r="AK85" s="868">
        <f>+Details!AK184</f>
        <v>0</v>
      </c>
      <c r="AL85" s="868">
        <f>+Details!AL184</f>
        <v>0</v>
      </c>
      <c r="AM85" s="868">
        <f>+Details!AM184</f>
        <v>0</v>
      </c>
      <c r="AN85" s="868">
        <f>+Details!AN184</f>
        <v>0</v>
      </c>
      <c r="AO85" s="868">
        <f>+Details!AO184</f>
        <v>0</v>
      </c>
      <c r="AP85" s="868">
        <f>+Details!AP184</f>
        <v>0</v>
      </c>
      <c r="AQ85" s="868">
        <f>+Details!AQ184</f>
        <v>0</v>
      </c>
      <c r="AR85" s="868">
        <f>+Details!AR184</f>
        <v>0</v>
      </c>
      <c r="AS85" s="868">
        <f>+Details!AS184</f>
        <v>0</v>
      </c>
    </row>
    <row r="86" spans="1:53" ht="16.2" customHeight="1">
      <c r="A86" s="3"/>
      <c r="B86" s="91" t="s">
        <v>150</v>
      </c>
      <c r="C86" s="559"/>
      <c r="D86" s="102"/>
      <c r="E86" s="102">
        <f>SUM(F86:AS86)</f>
        <v>3689300</v>
      </c>
      <c r="F86" s="868">
        <f>+Details!F270</f>
        <v>65600</v>
      </c>
      <c r="G86" s="868">
        <f>+Details!G270</f>
        <v>82200</v>
      </c>
      <c r="H86" s="868">
        <f>+Details!H270</f>
        <v>68800</v>
      </c>
      <c r="I86" s="868">
        <f>+Details!I270</f>
        <v>70400</v>
      </c>
      <c r="J86" s="868">
        <f>+Details!J270</f>
        <v>72100</v>
      </c>
      <c r="K86" s="868">
        <f>+Details!K270</f>
        <v>93000</v>
      </c>
      <c r="L86" s="868">
        <f>+Details!L270</f>
        <v>95800</v>
      </c>
      <c r="M86" s="868">
        <f>+Details!M270</f>
        <v>98800</v>
      </c>
      <c r="N86" s="868">
        <f>+Details!N270</f>
        <v>74600</v>
      </c>
      <c r="O86" s="868">
        <f>+Details!O270</f>
        <v>77200</v>
      </c>
      <c r="P86" s="868">
        <f>+Details!P270</f>
        <v>79100</v>
      </c>
      <c r="Q86" s="868">
        <f>+Details!Q270</f>
        <v>82500</v>
      </c>
      <c r="R86" s="868">
        <f>+Details!R270</f>
        <v>95400</v>
      </c>
      <c r="S86" s="868">
        <f>+Details!S270</f>
        <v>100600</v>
      </c>
      <c r="T86" s="868">
        <f>+Details!T270</f>
        <v>127200</v>
      </c>
      <c r="U86" s="868">
        <f>+Details!U270</f>
        <v>142200</v>
      </c>
      <c r="V86" s="868">
        <f>+Details!V270</f>
        <v>138800</v>
      </c>
      <c r="W86" s="868">
        <f>+Details!W270</f>
        <v>144300</v>
      </c>
      <c r="X86" s="868">
        <f>+Details!X270</f>
        <v>140500</v>
      </c>
      <c r="Y86" s="868">
        <f>+Details!Y270</f>
        <v>144000</v>
      </c>
      <c r="Z86" s="868">
        <f>+Details!Z270</f>
        <v>149200</v>
      </c>
      <c r="AA86" s="868">
        <f>+Details!AA270</f>
        <v>154800</v>
      </c>
      <c r="AB86" s="868">
        <f>+Details!AB270</f>
        <v>165500</v>
      </c>
      <c r="AC86" s="868">
        <f>+Details!AC270</f>
        <v>182800</v>
      </c>
      <c r="AD86" s="868">
        <f>+Details!AD270</f>
        <v>167000</v>
      </c>
      <c r="AE86" s="868">
        <f>+Details!AE270</f>
        <v>173900</v>
      </c>
      <c r="AF86" s="868">
        <f>+Details!AF270</f>
        <v>177600</v>
      </c>
      <c r="AG86" s="868">
        <f>+Details!AG270</f>
        <v>172400</v>
      </c>
      <c r="AH86" s="868">
        <f>+Details!AH270</f>
        <v>174600</v>
      </c>
      <c r="AI86" s="868">
        <f>+Details!AI270</f>
        <v>178400</v>
      </c>
      <c r="AJ86" s="868">
        <f>+Details!AJ270</f>
        <v>0</v>
      </c>
      <c r="AK86" s="868">
        <f>+Details!AK270</f>
        <v>0</v>
      </c>
      <c r="AL86" s="868">
        <f>+Details!AL270</f>
        <v>0</v>
      </c>
      <c r="AM86" s="868">
        <f>+Details!AM270</f>
        <v>0</v>
      </c>
      <c r="AN86" s="868">
        <f>+Details!AN270</f>
        <v>0</v>
      </c>
      <c r="AO86" s="868">
        <f>+Details!AO270</f>
        <v>0</v>
      </c>
      <c r="AP86" s="868">
        <f>+Details!AP270</f>
        <v>0</v>
      </c>
      <c r="AQ86" s="868">
        <f>+Details!AQ270</f>
        <v>0</v>
      </c>
      <c r="AR86" s="868">
        <f>+Details!AR270</f>
        <v>0</v>
      </c>
      <c r="AS86" s="868">
        <f>+Details!AS270</f>
        <v>0</v>
      </c>
    </row>
    <row r="87" spans="1:53" s="1" customFormat="1" ht="19.95" customHeight="1">
      <c r="A87" s="89"/>
      <c r="B87" s="586" t="s">
        <v>1481</v>
      </c>
      <c r="C87" s="559"/>
      <c r="D87" s="102">
        <f>ROUND(NPV(Discount_Rate,Results!F87:AS87)/Round_To,0)*Round_To</f>
        <v>162100</v>
      </c>
      <c r="E87" s="102">
        <f>SUM(F87:AS87)</f>
        <v>279600</v>
      </c>
      <c r="F87" s="868">
        <f>+Details!F202</f>
        <v>3900</v>
      </c>
      <c r="G87" s="868">
        <f>+Details!G202</f>
        <v>5800</v>
      </c>
      <c r="H87" s="868">
        <f>+Details!H202</f>
        <v>4000</v>
      </c>
      <c r="I87" s="868">
        <f>+Details!I202</f>
        <v>4100</v>
      </c>
      <c r="J87" s="868">
        <f>+Details!J202</f>
        <v>4100</v>
      </c>
      <c r="K87" s="868">
        <f>+Details!K202</f>
        <v>6500</v>
      </c>
      <c r="L87" s="868">
        <f>+Details!L202</f>
        <v>6500</v>
      </c>
      <c r="M87" s="868">
        <f>+Details!M202</f>
        <v>7100</v>
      </c>
      <c r="N87" s="868">
        <f>+Details!N202</f>
        <v>4100</v>
      </c>
      <c r="O87" s="868">
        <f>+Details!O202</f>
        <v>4200</v>
      </c>
      <c r="P87" s="868">
        <f>+Details!P202</f>
        <v>4300</v>
      </c>
      <c r="Q87" s="868">
        <f>+Details!Q202</f>
        <v>4600</v>
      </c>
      <c r="R87" s="868">
        <f>+Details!R202</f>
        <v>5900</v>
      </c>
      <c r="S87" s="868">
        <f>+Details!S202</f>
        <v>6300</v>
      </c>
      <c r="T87" s="868">
        <f>+Details!T202</f>
        <v>9300</v>
      </c>
      <c r="U87" s="868">
        <f>+Details!U202</f>
        <v>10900</v>
      </c>
      <c r="V87" s="868">
        <f>+Details!V202</f>
        <v>10200</v>
      </c>
      <c r="W87" s="868">
        <f>+Details!W202</f>
        <v>10500</v>
      </c>
      <c r="X87" s="868">
        <f>+Details!X202</f>
        <v>9700</v>
      </c>
      <c r="Y87" s="868">
        <f>+Details!Y202</f>
        <v>9900</v>
      </c>
      <c r="Z87" s="868">
        <f>+Details!Z202</f>
        <v>10300</v>
      </c>
      <c r="AA87" s="868">
        <f>+Details!AA202</f>
        <v>10800</v>
      </c>
      <c r="AB87" s="868">
        <f>+Details!AB202</f>
        <v>11200</v>
      </c>
      <c r="AC87" s="868">
        <f>+Details!AC202</f>
        <v>12200</v>
      </c>
      <c r="AD87" s="868">
        <f>+Details!AD202</f>
        <v>17200</v>
      </c>
      <c r="AE87" s="868">
        <f>+Details!AE202</f>
        <v>17900</v>
      </c>
      <c r="AF87" s="868">
        <f>+Details!AF202</f>
        <v>18200</v>
      </c>
      <c r="AG87" s="868">
        <f>+Details!AG202</f>
        <v>16600</v>
      </c>
      <c r="AH87" s="868">
        <f>+Details!AH202</f>
        <v>16500</v>
      </c>
      <c r="AI87" s="868">
        <f>+Details!AI202</f>
        <v>16800</v>
      </c>
      <c r="AJ87" s="868">
        <f>+Details!AJ202</f>
        <v>0</v>
      </c>
      <c r="AK87" s="868">
        <f>+Details!AK202</f>
        <v>0</v>
      </c>
      <c r="AL87" s="868">
        <f>+Details!AL202</f>
        <v>0</v>
      </c>
      <c r="AM87" s="868">
        <f>+Details!AM202</f>
        <v>0</v>
      </c>
      <c r="AN87" s="868">
        <f>+Details!AN202</f>
        <v>0</v>
      </c>
      <c r="AO87" s="868">
        <f>+Details!AO202</f>
        <v>0</v>
      </c>
      <c r="AP87" s="868">
        <f>+Details!AP202</f>
        <v>0</v>
      </c>
      <c r="AQ87" s="868">
        <f>+Details!AQ202</f>
        <v>0</v>
      </c>
      <c r="AR87" s="868">
        <f>+Details!AR202</f>
        <v>0</v>
      </c>
      <c r="AS87" s="868">
        <f>+Details!AS202</f>
        <v>0</v>
      </c>
      <c r="AT87" s="89"/>
    </row>
    <row r="88" spans="1:53" s="1" customFormat="1" ht="16.2" customHeight="1">
      <c r="A88" s="192"/>
      <c r="B88" s="586" t="s">
        <v>2314</v>
      </c>
      <c r="C88" s="559"/>
      <c r="D88" s="102"/>
      <c r="E88" s="562"/>
      <c r="F88" s="1329" t="str">
        <f>IF(F3&gt;Final_Year,"-     ",TEXT(+Details!F203,"0.0%") &amp; "-" &amp; TEXT(Details!F204,"0.0%"))</f>
        <v>10.9%-12.0%</v>
      </c>
      <c r="G88" s="1329" t="str">
        <f>IF(G3&gt;Final_Year,"-     ",TEXT(+Details!G203,"0.0%") &amp; "-" &amp; TEXT(Details!G204,"0.0%"))</f>
        <v>11.4%-12.0%</v>
      </c>
      <c r="H88" s="1329" t="str">
        <f>IF(H3&gt;Final_Year,"-     ",TEXT(+Details!H203,"0.0%") &amp; "-" &amp; TEXT(Details!H204,"0.0%"))</f>
        <v>10.9%-12.0%</v>
      </c>
      <c r="I88" s="1329" t="str">
        <f>IF(I3&gt;Final_Year,"-     ",TEXT(+Details!I203,"0.0%") &amp; "-" &amp; TEXT(Details!I204,"0.0%"))</f>
        <v>11.0%-12.0%</v>
      </c>
      <c r="J88" s="1329" t="str">
        <f>IF(J3&gt;Final_Year,"-     ",TEXT(+Details!J203,"0.0%") &amp; "-" &amp; TEXT(Details!J204,"0.0%"))</f>
        <v>10.8%-12.0%</v>
      </c>
      <c r="K88" s="1329" t="str">
        <f>IF(K3&gt;Final_Year,"-     ",TEXT(+Details!K203,"0.0%") &amp; "-" &amp; TEXT(Details!K204,"0.0%"))</f>
        <v>11.4%-12.0%</v>
      </c>
      <c r="L88" s="1329" t="str">
        <f>IF(L3&gt;Final_Year,"-     ",TEXT(+Details!L203,"0.0%") &amp; "-" &amp; TEXT(Details!L204,"0.0%"))</f>
        <v>11.2%-12.0%</v>
      </c>
      <c r="M88" s="1329" t="str">
        <f>IF(M3&gt;Final_Year,"-     ",TEXT(+Details!M203,"0.0%") &amp; "-" &amp; TEXT(Details!M204,"0.0%"))</f>
        <v>11.3%-12.0%</v>
      </c>
      <c r="N88" s="1329" t="str">
        <f>IF(N3&gt;Final_Year,"-     ",TEXT(+Details!N203,"0.0%") &amp; "-" &amp; TEXT(Details!N204,"0.0%"))</f>
        <v>10.9%-12.0%</v>
      </c>
      <c r="O88" s="1329" t="str">
        <f>IF(O3&gt;Final_Year,"-     ",TEXT(+Details!O203,"0.0%") &amp; "-" &amp; TEXT(Details!O204,"0.0%"))</f>
        <v>10.8%-12.0%</v>
      </c>
      <c r="P88" s="1329" t="str">
        <f>IF(P3&gt;Final_Year,"-     ",TEXT(+Details!P203,"0.0%") &amp; "-" &amp; TEXT(Details!P204,"0.0%"))</f>
        <v>10.7%-12.0%</v>
      </c>
      <c r="Q88" s="1329" t="str">
        <f>IF(Q3&gt;Final_Year,"-     ",TEXT(+Details!Q203,"0.0%") &amp; "-" &amp; TEXT(Details!Q204,"0.0%"))</f>
        <v>10.9%-12.0%</v>
      </c>
      <c r="R88" s="1329" t="str">
        <f>IF(R3&gt;Final_Year,"-     ",TEXT(+Details!R203,"0.0%") &amp; "-" &amp; TEXT(Details!R204,"0.0%"))</f>
        <v>11.1%-12.0%</v>
      </c>
      <c r="S88" s="1329" t="str">
        <f>IF(S3&gt;Final_Year,"-     ",TEXT(+Details!S203,"0.0%") &amp; "-" &amp; TEXT(Details!S204,"0.0%"))</f>
        <v>11.1%-12.0%</v>
      </c>
      <c r="T88" s="1329" t="str">
        <f>IF(T3&gt;Final_Year,"-     ",TEXT(+Details!T203,"0.0%") &amp; "-" &amp; TEXT(Details!T204,"0.0%"))</f>
        <v>11.3%-12.0%</v>
      </c>
      <c r="U88" s="1329" t="str">
        <f>IF(U3&gt;Final_Year,"-     ",TEXT(+Details!U203,"0.0%") &amp; "-" &amp; TEXT(Details!U204,"0.0%"))</f>
        <v>11.4%-12.0%</v>
      </c>
      <c r="V88" s="1329" t="str">
        <f>IF(V3&gt;Final_Year,"-     ",TEXT(+Details!V203,"0.0%") &amp; "-" &amp; TEXT(Details!V204,"0.0%"))</f>
        <v>11.4%-12.0%</v>
      </c>
      <c r="W88" s="1329" t="str">
        <f>IF(W3&gt;Final_Year,"-     ",TEXT(+Details!W203,"0.0%") &amp; "-" &amp; TEXT(Details!W204,"0.0%"))</f>
        <v>11.4%-12.0%</v>
      </c>
      <c r="X88" s="1329" t="str">
        <f>IF(X3&gt;Final_Year,"-     ",TEXT(+Details!X203,"0.0%") &amp; "-" &amp; TEXT(Details!X204,"0.0%"))</f>
        <v>11.3%-12.0%</v>
      </c>
      <c r="Y88" s="1329" t="str">
        <f>IF(Y3&gt;Final_Year,"-     ",TEXT(+Details!Y203,"0.0%") &amp; "-" &amp; TEXT(Details!Y204,"0.0%"))</f>
        <v>11.3%-12.0%</v>
      </c>
      <c r="Z88" s="1329" t="str">
        <f>IF(Z3&gt;Final_Year,"-     ",TEXT(+Details!Z203,"0.0%") &amp; "-" &amp; TEXT(Details!Z204,"0.0%"))</f>
        <v>11.4%-12.0%</v>
      </c>
      <c r="AA88" s="1329" t="str">
        <f>IF(AA3&gt;Final_Year,"-     ",TEXT(+Details!AA203,"0.0%") &amp; "-" &amp; TEXT(Details!AA204,"0.0%"))</f>
        <v>11.4%-12.0%</v>
      </c>
      <c r="AB88" s="1329" t="str">
        <f>IF(AB3&gt;Final_Year,"-     ",TEXT(+Details!AB203,"0.0%") &amp; "-" &amp; TEXT(Details!AB204,"0.0%"))</f>
        <v>11.4%-12.0%</v>
      </c>
      <c r="AC88" s="1329" t="str">
        <f>IF(AC3&gt;Final_Year,"-     ",TEXT(+Details!AC203,"0.0%") &amp; "-" &amp; TEXT(Details!AC204,"0.0%"))</f>
        <v>11.4%-12.0%</v>
      </c>
      <c r="AD88" s="1329" t="str">
        <f>IF(AD3&gt;Final_Year,"-     ",TEXT(+Details!AD203,"0.0%") &amp; "-" &amp; TEXT(Details!AD204,"0.0%"))</f>
        <v>15.7%-22.0%</v>
      </c>
      <c r="AE88" s="1329" t="str">
        <f>IF(AE3&gt;Final_Year,"-     ",TEXT(+Details!AE203,"0.0%") &amp; "-" &amp; TEXT(Details!AE204,"0.0%"))</f>
        <v>15.7%-22.0%</v>
      </c>
      <c r="AF88" s="1329" t="str">
        <f>IF(AF3&gt;Final_Year,"-     ",TEXT(+Details!AF203,"0.0%") &amp; "-" &amp; TEXT(Details!AF204,"0.0%"))</f>
        <v>15.7%-22.0%</v>
      </c>
      <c r="AG88" s="1329" t="str">
        <f>IF(AG3&gt;Final_Year,"-     ",TEXT(+Details!AG203,"0.0%") &amp; "-" &amp; TEXT(Details!AG204,"0.0%"))</f>
        <v>15.2%-22.0%</v>
      </c>
      <c r="AH88" s="1329" t="str">
        <f>IF(AH3&gt;Final_Year,"-     ",TEXT(+Details!AH203,"0.0%") &amp; "-" &amp; TEXT(Details!AH204,"0.0%"))</f>
        <v>15.1%-22.0%</v>
      </c>
      <c r="AI88" s="1329" t="str">
        <f>IF(AI3&gt;Final_Year,"-     ",TEXT(+Details!AI203,"0.0%") &amp; "-" &amp; TEXT(Details!AI204,"0.0%"))</f>
        <v>15.0%-22.0%</v>
      </c>
      <c r="AJ88" s="1329" t="str">
        <f>IF(AJ3&gt;Final_Year,"-     ",TEXT(+Details!AJ203,"0.0%") &amp; "-" &amp; TEXT(Details!AJ204,"0.0%"))</f>
        <v xml:space="preserve">-     </v>
      </c>
      <c r="AK88" s="1329" t="str">
        <f>IF(AK3&gt;Final_Year,"-     ",TEXT(+Details!AK203,"0.0%") &amp; "-" &amp; TEXT(Details!AK204,"0.0%"))</f>
        <v xml:space="preserve">-     </v>
      </c>
      <c r="AL88" s="1329" t="str">
        <f>IF(AL3&gt;Final_Year,"-     ",TEXT(+Details!AL203,"0.0%") &amp; "-" &amp; TEXT(Details!AL204,"0.0%"))</f>
        <v xml:space="preserve">-     </v>
      </c>
      <c r="AM88" s="1329" t="str">
        <f>IF(AM3&gt;Final_Year,"-     ",TEXT(+Details!AM203,"0.0%") &amp; "-" &amp; TEXT(Details!AM204,"0.0%"))</f>
        <v xml:space="preserve">-     </v>
      </c>
      <c r="AN88" s="1329" t="str">
        <f>IF(AN3&gt;Final_Year,"-     ",TEXT(+Details!AN203,"0.0%") &amp; "-" &amp; TEXT(Details!AN204,"0.0%"))</f>
        <v xml:space="preserve">-     </v>
      </c>
      <c r="AO88" s="1329" t="str">
        <f>IF(AO3&gt;Final_Year,"-     ",TEXT(+Details!AO203,"0.0%") &amp; "-" &amp; TEXT(Details!AO204,"0.0%"))</f>
        <v xml:space="preserve">-     </v>
      </c>
      <c r="AP88" s="1329" t="str">
        <f>IF(AP3&gt;Final_Year,"-     ",TEXT(+Details!AP203,"0.0%") &amp; "-" &amp; TEXT(Details!AP204,"0.0%"))</f>
        <v xml:space="preserve">-     </v>
      </c>
      <c r="AQ88" s="1329" t="str">
        <f>IF(AQ3&gt;Final_Year,"-     ",TEXT(+Details!AQ203,"0.0%") &amp; "-" &amp; TEXT(Details!AQ204,"0.0%"))</f>
        <v xml:space="preserve">-     </v>
      </c>
      <c r="AR88" s="1329" t="str">
        <f>IF(AR3&gt;Final_Year,"-     ",TEXT(+Details!AR203,"0.0%") &amp; "-" &amp; TEXT(Details!AR204,"0.0%"))</f>
        <v xml:space="preserve">-     </v>
      </c>
      <c r="AS88" s="1329" t="str">
        <f>IF(AS3&gt;Final_Year,"-     ",TEXT(+Details!AS203,"0.0%") &amp; "-" &amp; TEXT(Details!AS204,"0.0%"))</f>
        <v xml:space="preserve">-     </v>
      </c>
      <c r="AT88" s="192"/>
    </row>
    <row r="89" spans="1:53" ht="19.95" customHeight="1">
      <c r="A89" s="3"/>
      <c r="B89" s="586" t="s">
        <v>1317</v>
      </c>
      <c r="C89" s="559"/>
      <c r="D89" s="102"/>
      <c r="E89" s="102">
        <f>SUM(F89:AS89)</f>
        <v>88700</v>
      </c>
      <c r="F89" s="29">
        <f>+Details!F227</f>
        <v>1100</v>
      </c>
      <c r="G89" s="868">
        <f>+Details!G227</f>
        <v>1600</v>
      </c>
      <c r="H89" s="868">
        <f>+Details!H227</f>
        <v>1000</v>
      </c>
      <c r="I89" s="868">
        <f>+Details!I227</f>
        <v>1000</v>
      </c>
      <c r="J89" s="868">
        <f>+Details!J227</f>
        <v>1100</v>
      </c>
      <c r="K89" s="868">
        <f>+Details!K227</f>
        <v>1100</v>
      </c>
      <c r="L89" s="868">
        <f>+Details!L227</f>
        <v>1100</v>
      </c>
      <c r="M89" s="868">
        <f>+Details!M227</f>
        <v>2000</v>
      </c>
      <c r="N89" s="868">
        <f>+Details!N227</f>
        <v>600</v>
      </c>
      <c r="O89" s="868">
        <f>+Details!O227</f>
        <v>600</v>
      </c>
      <c r="P89" s="868">
        <f>+Details!P227</f>
        <v>600</v>
      </c>
      <c r="Q89" s="868">
        <f>+Details!Q227</f>
        <v>700</v>
      </c>
      <c r="R89" s="868">
        <f>+Details!R227</f>
        <v>900</v>
      </c>
      <c r="S89" s="868">
        <f>+Details!S227</f>
        <v>1000</v>
      </c>
      <c r="T89" s="868">
        <f>+Details!T227</f>
        <v>1400</v>
      </c>
      <c r="U89" s="868">
        <f>+Details!U227</f>
        <v>1700</v>
      </c>
      <c r="V89" s="868">
        <f>+Details!V227</f>
        <v>2100</v>
      </c>
      <c r="W89" s="868">
        <f>+Details!W227</f>
        <v>2200</v>
      </c>
      <c r="X89" s="868">
        <f>+Details!X227</f>
        <v>2000</v>
      </c>
      <c r="Y89" s="868">
        <f>+Details!Y227</f>
        <v>2000</v>
      </c>
      <c r="Z89" s="868">
        <f>+Details!Z227</f>
        <v>2100</v>
      </c>
      <c r="AA89" s="868">
        <f>+Details!AA227</f>
        <v>2300</v>
      </c>
      <c r="AB89" s="868">
        <f>+Details!AB227</f>
        <v>6700</v>
      </c>
      <c r="AC89" s="868">
        <f>+Details!AC227</f>
        <v>7400</v>
      </c>
      <c r="AD89" s="868">
        <f>+Details!AD227</f>
        <v>7300</v>
      </c>
      <c r="AE89" s="868">
        <f>+Details!AE227</f>
        <v>7600</v>
      </c>
      <c r="AF89" s="868">
        <f>+Details!AF227</f>
        <v>7700</v>
      </c>
      <c r="AG89" s="868">
        <f>+Details!AG227</f>
        <v>7200</v>
      </c>
      <c r="AH89" s="868">
        <f>+Details!AH227</f>
        <v>7200</v>
      </c>
      <c r="AI89" s="868">
        <f>+Details!AI227</f>
        <v>7400</v>
      </c>
      <c r="AJ89" s="868">
        <f>+Details!AJ227</f>
        <v>0</v>
      </c>
      <c r="AK89" s="868">
        <f>+Details!AK227</f>
        <v>0</v>
      </c>
      <c r="AL89" s="868">
        <f>+Details!AL227</f>
        <v>0</v>
      </c>
      <c r="AM89" s="868">
        <f>+Details!AM227</f>
        <v>0</v>
      </c>
      <c r="AN89" s="868">
        <f>+Details!AN227</f>
        <v>0</v>
      </c>
      <c r="AO89" s="868">
        <f>+Details!AO227</f>
        <v>0</v>
      </c>
      <c r="AP89" s="868">
        <f>+Details!AP227</f>
        <v>0</v>
      </c>
      <c r="AQ89" s="868">
        <f>+Details!AQ227</f>
        <v>0</v>
      </c>
      <c r="AR89" s="868">
        <f>+Details!AR227</f>
        <v>0</v>
      </c>
      <c r="AS89" s="868">
        <f>+Details!AS227</f>
        <v>0</v>
      </c>
    </row>
    <row r="90" spans="1:53" s="1" customFormat="1" ht="19.95" customHeight="1">
      <c r="A90" s="89"/>
      <c r="B90" s="175" t="s">
        <v>804</v>
      </c>
      <c r="C90" s="559"/>
      <c r="D90" s="102">
        <f>ROUND(NPV(Discount_Rate,Results!F90:AS90)/Round_To,0)*Round_To</f>
        <v>2710200</v>
      </c>
      <c r="E90" s="102">
        <f>SUM(F90:AS90)</f>
        <v>4406700</v>
      </c>
      <c r="F90" s="868">
        <f>+Details!F229</f>
        <v>73900</v>
      </c>
      <c r="G90" s="868">
        <f>+Details!G229</f>
        <v>87700</v>
      </c>
      <c r="H90" s="868">
        <f>+Details!H229</f>
        <v>76200</v>
      </c>
      <c r="I90" s="868">
        <f>+Details!I229</f>
        <v>77100</v>
      </c>
      <c r="J90" s="868">
        <f>+Details!J229</f>
        <v>77900</v>
      </c>
      <c r="K90" s="868">
        <f>+Details!K229</f>
        <v>99000</v>
      </c>
      <c r="L90" s="868">
        <f>+Details!L229</f>
        <v>101300</v>
      </c>
      <c r="M90" s="868">
        <f>+Details!M229</f>
        <v>102300</v>
      </c>
      <c r="N90" s="868">
        <f>+Details!N229</f>
        <v>156900</v>
      </c>
      <c r="O90" s="868">
        <f>+Details!O229</f>
        <v>148100</v>
      </c>
      <c r="P90" s="868">
        <f>+Details!P229</f>
        <v>150400</v>
      </c>
      <c r="Q90" s="868">
        <f>+Details!Q229</f>
        <v>153500</v>
      </c>
      <c r="R90" s="868">
        <f>+Details!R229</f>
        <v>160600</v>
      </c>
      <c r="S90" s="868">
        <f>+Details!S229</f>
        <v>164400</v>
      </c>
      <c r="T90" s="868">
        <f>+Details!T229</f>
        <v>173100</v>
      </c>
      <c r="U90" s="868">
        <f>+Details!U229</f>
        <v>176500</v>
      </c>
      <c r="V90" s="868">
        <f>+Details!V229</f>
        <v>168000</v>
      </c>
      <c r="W90" s="868">
        <f>+Details!W229</f>
        <v>172800</v>
      </c>
      <c r="X90" s="868">
        <f>+Details!X229</f>
        <v>164800</v>
      </c>
      <c r="Y90" s="868">
        <f>+Details!Y229</f>
        <v>167900</v>
      </c>
      <c r="Z90" s="868">
        <f>+Details!Z229</f>
        <v>171000</v>
      </c>
      <c r="AA90" s="868">
        <f>+Details!AA229</f>
        <v>173700</v>
      </c>
      <c r="AB90" s="868">
        <f>+Details!AB229</f>
        <v>180500</v>
      </c>
      <c r="AC90" s="868">
        <f>+Details!AC229</f>
        <v>190900</v>
      </c>
      <c r="AD90" s="868">
        <f>+Details!AD229</f>
        <v>164900</v>
      </c>
      <c r="AE90" s="868">
        <f>+Details!AE229</f>
        <v>168700</v>
      </c>
      <c r="AF90" s="868">
        <f>+Details!AF229</f>
        <v>170500</v>
      </c>
      <c r="AG90" s="868">
        <f>+Details!AG229</f>
        <v>175300</v>
      </c>
      <c r="AH90" s="868">
        <f>+Details!AH229</f>
        <v>178300</v>
      </c>
      <c r="AI90" s="868">
        <f>+Details!AI229</f>
        <v>180500</v>
      </c>
      <c r="AJ90" s="868">
        <f>+Details!AJ229</f>
        <v>0</v>
      </c>
      <c r="AK90" s="868">
        <f>+Details!AK229</f>
        <v>0</v>
      </c>
      <c r="AL90" s="868">
        <f>+Details!AL229</f>
        <v>0</v>
      </c>
      <c r="AM90" s="868">
        <f>+Details!AM229</f>
        <v>0</v>
      </c>
      <c r="AN90" s="868">
        <f>+Details!AN229</f>
        <v>0</v>
      </c>
      <c r="AO90" s="868">
        <f>+Details!AO229</f>
        <v>0</v>
      </c>
      <c r="AP90" s="868">
        <f>+Details!AP229</f>
        <v>0</v>
      </c>
      <c r="AQ90" s="868">
        <f>+Details!AQ229</f>
        <v>0</v>
      </c>
      <c r="AR90" s="868">
        <f>+Details!AR229</f>
        <v>0</v>
      </c>
      <c r="AS90" s="868">
        <f>+Details!AS229</f>
        <v>0</v>
      </c>
      <c r="AT90" s="89"/>
    </row>
    <row r="91" spans="1:53" s="1" customFormat="1" ht="19.95" customHeight="1">
      <c r="A91" s="89"/>
      <c r="B91" s="91"/>
      <c r="C91" s="559"/>
      <c r="D91" s="102"/>
      <c r="E91" s="102"/>
      <c r="F91" s="102"/>
      <c r="G91" s="868"/>
      <c r="H91" s="868"/>
      <c r="I91" s="868"/>
      <c r="J91" s="868"/>
      <c r="K91" s="868"/>
      <c r="L91" s="868"/>
      <c r="M91" s="868"/>
      <c r="N91" s="868"/>
      <c r="O91" s="868"/>
      <c r="P91" s="868"/>
      <c r="Q91" s="868"/>
      <c r="R91" s="868"/>
      <c r="S91" s="868"/>
      <c r="T91" s="868"/>
      <c r="U91" s="868"/>
      <c r="V91" s="868"/>
      <c r="W91" s="868"/>
      <c r="X91" s="868"/>
      <c r="Y91" s="868"/>
      <c r="Z91" s="868"/>
      <c r="AA91" s="868"/>
      <c r="AB91" s="868"/>
      <c r="AC91" s="868"/>
      <c r="AD91" s="868"/>
      <c r="AE91" s="868"/>
      <c r="AF91" s="868"/>
      <c r="AG91" s="868"/>
      <c r="AH91" s="868"/>
      <c r="AI91" s="868"/>
      <c r="AJ91" s="868"/>
      <c r="AK91" s="868"/>
      <c r="AL91" s="868"/>
      <c r="AM91" s="868"/>
      <c r="AN91" s="868"/>
      <c r="AO91" s="868"/>
      <c r="AP91" s="868"/>
      <c r="AQ91" s="868"/>
      <c r="AR91" s="868"/>
      <c r="AS91" s="868"/>
      <c r="AT91" s="89"/>
    </row>
    <row r="92" spans="1:53" s="1" customFormat="1" ht="21" customHeight="1">
      <c r="A92" s="1339"/>
      <c r="B92" s="70"/>
      <c r="C92" s="559"/>
      <c r="D92" s="102"/>
      <c r="E92" s="102"/>
      <c r="F92" s="102"/>
      <c r="G92" s="868"/>
      <c r="H92" s="868"/>
      <c r="I92" s="868"/>
      <c r="J92" s="868"/>
      <c r="K92" s="868"/>
      <c r="L92" s="868"/>
      <c r="M92" s="868"/>
      <c r="N92" s="868"/>
      <c r="O92" s="868"/>
      <c r="P92" s="868"/>
      <c r="Q92" s="868"/>
      <c r="R92" s="868"/>
      <c r="S92" s="868"/>
      <c r="T92" s="868"/>
      <c r="U92" s="868"/>
      <c r="V92" s="868"/>
      <c r="W92" s="868"/>
      <c r="X92" s="868"/>
      <c r="Y92" s="868"/>
      <c r="Z92" s="868"/>
      <c r="AA92" s="868"/>
      <c r="AB92" s="868"/>
      <c r="AC92" s="868"/>
      <c r="AD92" s="868"/>
      <c r="AE92" s="868"/>
      <c r="AF92" s="868"/>
      <c r="AG92" s="868"/>
      <c r="AH92" s="868"/>
      <c r="AI92" s="868"/>
      <c r="AJ92" s="868"/>
      <c r="AK92" s="868"/>
      <c r="AL92" s="868"/>
      <c r="AM92" s="868"/>
      <c r="AN92" s="868"/>
      <c r="AO92" s="868"/>
      <c r="AP92" s="868"/>
      <c r="AQ92" s="868"/>
      <c r="AR92" s="868"/>
      <c r="AS92" s="868"/>
      <c r="AT92" s="89"/>
    </row>
    <row r="93" spans="1:53" s="1" customFormat="1" ht="175.2" customHeight="1">
      <c r="A93" s="89"/>
      <c r="B93" s="70"/>
      <c r="C93" s="559"/>
      <c r="D93" s="102"/>
      <c r="E93" s="102"/>
      <c r="F93" s="102"/>
      <c r="G93" s="868"/>
      <c r="H93" s="868"/>
      <c r="I93" s="868"/>
      <c r="J93" s="868"/>
      <c r="K93" s="868"/>
      <c r="L93" s="868"/>
      <c r="M93" s="868"/>
      <c r="N93" s="868"/>
      <c r="O93" s="868"/>
      <c r="P93" s="868"/>
      <c r="Q93" s="868"/>
      <c r="R93" s="868"/>
      <c r="S93" s="868"/>
      <c r="T93" s="868"/>
      <c r="U93" s="868"/>
      <c r="V93" s="868"/>
      <c r="W93" s="868"/>
      <c r="X93" s="868"/>
      <c r="Y93" s="868"/>
      <c r="Z93" s="868"/>
      <c r="AA93" s="868"/>
      <c r="AB93" s="868"/>
      <c r="AC93" s="868"/>
      <c r="AD93" s="868"/>
      <c r="AE93" s="868"/>
      <c r="AF93" s="868"/>
      <c r="AG93" s="868"/>
      <c r="AH93" s="868"/>
      <c r="AI93" s="868"/>
      <c r="AJ93" s="868"/>
      <c r="AK93" s="868"/>
      <c r="AL93" s="868"/>
      <c r="AM93" s="868"/>
      <c r="AN93" s="868"/>
      <c r="AO93" s="868"/>
      <c r="AP93" s="868"/>
      <c r="AQ93" s="868"/>
      <c r="AR93" s="868"/>
      <c r="AS93" s="868"/>
      <c r="AT93" s="89"/>
    </row>
    <row r="94" spans="1:53" s="1" customFormat="1" ht="15.6">
      <c r="A94" s="89"/>
      <c r="B94" s="70"/>
      <c r="C94" s="559"/>
      <c r="D94" s="102"/>
      <c r="E94" s="102"/>
      <c r="F94" s="102"/>
      <c r="G94" s="868"/>
      <c r="H94" s="868"/>
      <c r="I94" s="868"/>
      <c r="J94" s="868"/>
      <c r="K94" s="868"/>
      <c r="L94" s="868"/>
      <c r="M94" s="868"/>
      <c r="N94" s="868"/>
      <c r="O94" s="868"/>
      <c r="P94" s="868"/>
      <c r="Q94" s="868"/>
      <c r="R94" s="868"/>
      <c r="S94" s="868"/>
      <c r="T94" s="868"/>
      <c r="U94" s="868"/>
      <c r="V94" s="868"/>
      <c r="W94" s="868"/>
      <c r="X94" s="868"/>
      <c r="Y94" s="868"/>
      <c r="Z94" s="868"/>
      <c r="AA94" s="868"/>
      <c r="AB94" s="868"/>
      <c r="AC94" s="868"/>
      <c r="AD94" s="868"/>
      <c r="AE94" s="868"/>
      <c r="AF94" s="868"/>
      <c r="AG94" s="868"/>
      <c r="AH94" s="868"/>
      <c r="AI94" s="868"/>
      <c r="AJ94" s="868"/>
      <c r="AK94" s="868"/>
      <c r="AL94" s="868"/>
      <c r="AM94" s="868"/>
      <c r="AN94" s="868"/>
      <c r="AO94" s="868"/>
      <c r="AP94" s="868"/>
      <c r="AQ94" s="868"/>
      <c r="AR94" s="868"/>
      <c r="AS94" s="868"/>
      <c r="AT94" s="89"/>
    </row>
    <row r="95" spans="1:53" s="1" customFormat="1" ht="15.6">
      <c r="A95" s="89"/>
      <c r="B95" s="70"/>
      <c r="C95" s="559"/>
      <c r="D95" s="102"/>
      <c r="E95" s="102"/>
      <c r="F95" s="102"/>
      <c r="G95" s="868"/>
      <c r="H95" s="868"/>
      <c r="I95" s="868"/>
      <c r="J95" s="868"/>
      <c r="K95" s="868"/>
      <c r="L95" s="868"/>
      <c r="M95" s="868"/>
      <c r="N95" s="868"/>
      <c r="O95" s="868"/>
      <c r="P95" s="868"/>
      <c r="Q95" s="868"/>
      <c r="R95" s="868"/>
      <c r="S95" s="868"/>
      <c r="T95" s="868"/>
      <c r="U95" s="868"/>
      <c r="V95" s="868"/>
      <c r="W95" s="868"/>
      <c r="X95" s="868"/>
      <c r="Y95" s="868"/>
      <c r="Z95" s="868"/>
      <c r="AA95" s="868"/>
      <c r="AB95" s="868"/>
      <c r="AC95" s="868"/>
      <c r="AD95" s="868"/>
      <c r="AE95" s="868"/>
      <c r="AF95" s="868"/>
      <c r="AG95" s="868"/>
      <c r="AH95" s="868"/>
      <c r="AI95" s="868"/>
      <c r="AJ95" s="868"/>
      <c r="AK95" s="868"/>
      <c r="AL95" s="868"/>
      <c r="AM95" s="868"/>
      <c r="AN95" s="868"/>
      <c r="AO95" s="868"/>
      <c r="AP95" s="868"/>
      <c r="AQ95" s="868"/>
      <c r="AR95" s="868"/>
      <c r="AS95" s="868"/>
      <c r="AT95" s="89"/>
    </row>
    <row r="96" spans="1:53" ht="15.6">
      <c r="C96" s="40"/>
      <c r="D96" s="29"/>
      <c r="E96" s="29"/>
      <c r="F96" s="86"/>
      <c r="J96" s="1"/>
      <c r="K96" s="1"/>
      <c r="L96" s="1"/>
      <c r="M96" s="1"/>
      <c r="N96" s="1"/>
      <c r="O96" s="5"/>
      <c r="P96" s="5"/>
      <c r="Q96" s="13"/>
      <c r="R96" s="13"/>
      <c r="S96" s="13"/>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c r="AT96" s="785"/>
      <c r="AU96" s="13"/>
      <c r="AV96" s="13"/>
      <c r="AW96" s="13"/>
      <c r="AX96" s="13"/>
      <c r="AY96" s="13"/>
      <c r="AZ96" s="13"/>
      <c r="BA96" s="13"/>
    </row>
    <row r="97" spans="1:46" ht="18" customHeight="1">
      <c r="A97" s="1163"/>
      <c r="B97" s="1163" t="s">
        <v>514</v>
      </c>
      <c r="C97" s="1163"/>
      <c r="D97" s="1163"/>
      <c r="F97" s="1172" t="s">
        <v>830</v>
      </c>
      <c r="H97" s="332"/>
      <c r="I97" s="332"/>
      <c r="J97" s="332"/>
      <c r="K97" s="332"/>
      <c r="L97" s="332"/>
      <c r="M97" s="332"/>
      <c r="N97" s="332"/>
      <c r="O97" s="332"/>
      <c r="P97" s="1"/>
      <c r="Y97" s="22"/>
    </row>
    <row r="98" spans="1:46" ht="17.399999999999999">
      <c r="B98" s="170" t="str">
        <f>IF(SS_Comparison="n","using default benefits","using alternative benefits")</f>
        <v>using default benefits</v>
      </c>
      <c r="C98" s="236"/>
      <c r="D98" s="236"/>
      <c r="H98" s="236"/>
      <c r="I98" s="109"/>
      <c r="J98" s="1158"/>
      <c r="K98" s="317"/>
      <c r="L98" s="317"/>
      <c r="M98" s="317"/>
      <c r="N98" s="317"/>
      <c r="O98" s="317"/>
      <c r="P98" s="1"/>
    </row>
    <row r="99" spans="1:46" ht="17.399999999999999">
      <c r="C99" s="236"/>
      <c r="E99" s="13"/>
      <c r="F99" s="13" t="s">
        <v>1340</v>
      </c>
      <c r="G99" s="13" t="s">
        <v>187</v>
      </c>
      <c r="I99" s="109"/>
      <c r="K99" s="304"/>
      <c r="L99" s="53"/>
      <c r="M99" s="54"/>
      <c r="N99" s="54"/>
    </row>
    <row r="100" spans="1:46" ht="15" customHeight="1">
      <c r="B100" s="7" t="str">
        <f>"Summary - " &amp; IF(SS_Comparison="n","default benefits","alternative benefits")</f>
        <v>Summary - default benefits</v>
      </c>
      <c r="D100" s="26" t="s">
        <v>1661</v>
      </c>
      <c r="E100" s="6" t="s">
        <v>635</v>
      </c>
      <c r="F100" s="168" t="s">
        <v>1704</v>
      </c>
      <c r="G100" s="6" t="s">
        <v>831</v>
      </c>
      <c r="I100" s="5"/>
      <c r="K100" s="304"/>
      <c r="L100" s="53"/>
      <c r="M100" s="54"/>
      <c r="N100" s="54"/>
    </row>
    <row r="101" spans="1:46" ht="15" customHeight="1">
      <c r="B101" s="276" t="s">
        <v>538</v>
      </c>
      <c r="D101" s="102">
        <f>ROUND(NPV(Discount_Rate,Results!F106:AS106)/Round_To,0)*Round_To</f>
        <v>607500</v>
      </c>
      <c r="E101" s="102">
        <f>+E106</f>
        <v>1065900</v>
      </c>
      <c r="F101" s="1268">
        <f>IF(SS_Comparison="n",Your_SS_Start,Your_SS_Start_Alt)</f>
        <v>70</v>
      </c>
      <c r="G101" s="102">
        <f>IF(Your_Age&gt;70,0,HLOOKUP(70,$F$1:$AS$141,ROW($F$106),TRUE))</f>
        <v>46400</v>
      </c>
      <c r="I101" s="307"/>
      <c r="J101" s="304"/>
      <c r="K101" s="304"/>
      <c r="L101" s="53"/>
      <c r="M101" s="54"/>
      <c r="N101" s="54"/>
    </row>
    <row r="102" spans="1:46" ht="15" customHeight="1">
      <c r="B102" s="276" t="s">
        <v>643</v>
      </c>
      <c r="D102" s="34">
        <f>ROUND(NPV(Discount_Rate,Results!F107:AS107)/Round_To,0)*Round_To</f>
        <v>293300</v>
      </c>
      <c r="E102" s="34">
        <f>+E107</f>
        <v>451000</v>
      </c>
      <c r="F102" s="1268">
        <f>IF(SS_Comparison="n",Spouse_SS_Start,Spouse_SS_Start_Alt)</f>
        <v>66</v>
      </c>
      <c r="G102" s="102">
        <f>IF(OR(Spouse_Age="",Spouse_Age&gt;70),0,HLOOKUP(70,$F$2:$AS$141,ROW($F$106),TRUE))</f>
        <v>24000</v>
      </c>
      <c r="I102" s="307"/>
      <c r="J102" s="304"/>
      <c r="K102" s="304"/>
      <c r="L102" s="53"/>
      <c r="M102" s="54"/>
      <c r="N102" s="54"/>
    </row>
    <row r="103" spans="1:46" ht="15" customHeight="1">
      <c r="B103" t="s">
        <v>635</v>
      </c>
      <c r="D103" s="102">
        <f>+D101+D102</f>
        <v>900800</v>
      </c>
      <c r="E103" s="102">
        <f>+E101+E102</f>
        <v>1516900</v>
      </c>
      <c r="G103" s="102"/>
      <c r="I103" s="304"/>
      <c r="J103" s="304"/>
      <c r="K103" s="304"/>
      <c r="L103" s="53"/>
      <c r="M103" s="54"/>
      <c r="N103" s="54"/>
    </row>
    <row r="104" spans="1:46" ht="15" customHeight="1">
      <c r="G104" s="102"/>
      <c r="I104" s="304"/>
      <c r="J104" s="304"/>
      <c r="K104" s="304"/>
      <c r="L104" s="53"/>
      <c r="M104" s="54"/>
      <c r="N104" s="54"/>
    </row>
    <row r="105" spans="1:46" ht="15" customHeight="1">
      <c r="B105" s="167" t="str">
        <f>"Yearly - " &amp; IF(SS_Comparison="n","default benefits","alternative benefits")</f>
        <v>Yearly - default benefits</v>
      </c>
      <c r="D105" s="71"/>
      <c r="E105" s="6" t="s">
        <v>635</v>
      </c>
    </row>
    <row r="106" spans="1:46">
      <c r="B106" t="s">
        <v>538</v>
      </c>
      <c r="C106" s="33"/>
      <c r="D106" s="102"/>
      <c r="E106" s="29">
        <f>SUM(F106:AS106)</f>
        <v>1065900</v>
      </c>
      <c r="F106" s="31">
        <f>+Details!F$49</f>
        <v>0</v>
      </c>
      <c r="G106" s="868">
        <f>+Details!G49</f>
        <v>0</v>
      </c>
      <c r="H106" s="868">
        <f>+Details!H49</f>
        <v>0</v>
      </c>
      <c r="I106" s="868">
        <f>+Details!I49</f>
        <v>0</v>
      </c>
      <c r="J106" s="868">
        <f>+Details!J49</f>
        <v>0</v>
      </c>
      <c r="K106" s="868">
        <f>+Details!K49</f>
        <v>0</v>
      </c>
      <c r="L106" s="868">
        <f>+Details!L49</f>
        <v>0</v>
      </c>
      <c r="M106" s="868">
        <f>+Details!M49</f>
        <v>0</v>
      </c>
      <c r="N106" s="868">
        <f>+Details!N49</f>
        <v>46400</v>
      </c>
      <c r="O106" s="868">
        <f>+Details!O49</f>
        <v>47300</v>
      </c>
      <c r="P106" s="868">
        <f>+Details!P49</f>
        <v>48200</v>
      </c>
      <c r="Q106" s="868">
        <f>+Details!Q49</f>
        <v>49200</v>
      </c>
      <c r="R106" s="868">
        <f>+Details!R49</f>
        <v>50200</v>
      </c>
      <c r="S106" s="868">
        <f>+Details!S49</f>
        <v>51200</v>
      </c>
      <c r="T106" s="868">
        <f>+Details!T49</f>
        <v>52200</v>
      </c>
      <c r="U106" s="868">
        <f>+Details!U49</f>
        <v>53200</v>
      </c>
      <c r="V106" s="868">
        <f>+Details!V49</f>
        <v>41800</v>
      </c>
      <c r="W106" s="868">
        <f>+Details!W49</f>
        <v>42600</v>
      </c>
      <c r="X106" s="868">
        <f>+Details!X49</f>
        <v>43500</v>
      </c>
      <c r="Y106" s="868">
        <f>+Details!Y49</f>
        <v>44400</v>
      </c>
      <c r="Z106" s="868">
        <f>+Details!Z49</f>
        <v>45300</v>
      </c>
      <c r="AA106" s="868">
        <f>+Details!AA49</f>
        <v>46200</v>
      </c>
      <c r="AB106" s="868">
        <f>+Details!AB49</f>
        <v>47100</v>
      </c>
      <c r="AC106" s="868">
        <f>+Details!AC49</f>
        <v>48000</v>
      </c>
      <c r="AD106" s="868">
        <f>+Details!AD49</f>
        <v>49000</v>
      </c>
      <c r="AE106" s="868">
        <f>+Details!AE49</f>
        <v>50000</v>
      </c>
      <c r="AF106" s="868">
        <f>+Details!AF49</f>
        <v>51000</v>
      </c>
      <c r="AG106" s="868">
        <f>+Details!AG49</f>
        <v>52000</v>
      </c>
      <c r="AH106" s="868">
        <f>+Details!AH49</f>
        <v>53000</v>
      </c>
      <c r="AI106" s="868">
        <f>+Details!AI49</f>
        <v>54100</v>
      </c>
      <c r="AJ106" s="868">
        <f>+Details!AJ49</f>
        <v>0</v>
      </c>
      <c r="AK106" s="868">
        <f>+Details!AK49</f>
        <v>0</v>
      </c>
      <c r="AL106" s="868">
        <f>+Details!AL49</f>
        <v>0</v>
      </c>
      <c r="AM106" s="868">
        <f>+Details!AM49</f>
        <v>0</v>
      </c>
      <c r="AN106" s="868">
        <f>+Details!AN49</f>
        <v>0</v>
      </c>
      <c r="AO106" s="868">
        <f>+Details!AO49</f>
        <v>0</v>
      </c>
      <c r="AP106" s="868">
        <f>+Details!AP49</f>
        <v>0</v>
      </c>
      <c r="AQ106" s="868">
        <f>+Details!AQ49</f>
        <v>0</v>
      </c>
      <c r="AR106" s="868">
        <f>+Details!AR49</f>
        <v>0</v>
      </c>
      <c r="AS106" s="868">
        <f>+Details!AS49</f>
        <v>0</v>
      </c>
    </row>
    <row r="107" spans="1:46">
      <c r="B107" s="276" t="s">
        <v>643</v>
      </c>
      <c r="C107" s="33"/>
      <c r="D107" s="102"/>
      <c r="E107" s="34">
        <f>SUM(F107:AS107)</f>
        <v>451000</v>
      </c>
      <c r="F107" s="38">
        <f>+Details!F60</f>
        <v>0</v>
      </c>
      <c r="G107" s="1115">
        <f>+Details!G60</f>
        <v>0</v>
      </c>
      <c r="H107" s="1115">
        <f>+Details!H60</f>
        <v>0</v>
      </c>
      <c r="I107" s="1115">
        <f>+Details!I60</f>
        <v>0</v>
      </c>
      <c r="J107" s="1115">
        <f>+Details!J60</f>
        <v>0</v>
      </c>
      <c r="K107" s="1115">
        <f>+Details!K60</f>
        <v>22100</v>
      </c>
      <c r="L107" s="1115">
        <f>+Details!L60</f>
        <v>22500</v>
      </c>
      <c r="M107" s="1115">
        <f>+Details!M60</f>
        <v>23000</v>
      </c>
      <c r="N107" s="1115">
        <f>+Details!N60</f>
        <v>23500</v>
      </c>
      <c r="O107" s="1115">
        <f>+Details!O60</f>
        <v>24000</v>
      </c>
      <c r="P107" s="1115">
        <f>+Details!P60</f>
        <v>24500</v>
      </c>
      <c r="Q107" s="1115">
        <f>+Details!Q60</f>
        <v>25000</v>
      </c>
      <c r="R107" s="1115">
        <f>+Details!R60</f>
        <v>25500</v>
      </c>
      <c r="S107" s="1115">
        <f>+Details!S60</f>
        <v>26000</v>
      </c>
      <c r="T107" s="1115">
        <f>+Details!T60</f>
        <v>26500</v>
      </c>
      <c r="U107" s="1115">
        <f>+Details!U60</f>
        <v>27000</v>
      </c>
      <c r="V107" s="1115">
        <f>+Details!V60</f>
        <v>21200</v>
      </c>
      <c r="W107" s="1115">
        <f>+Details!W60</f>
        <v>21600</v>
      </c>
      <c r="X107" s="1115">
        <f>+Details!X60</f>
        <v>22000</v>
      </c>
      <c r="Y107" s="1115">
        <f>+Details!Y60</f>
        <v>22400</v>
      </c>
      <c r="Z107" s="1115">
        <f>+Details!Z60</f>
        <v>22800</v>
      </c>
      <c r="AA107" s="1115">
        <f>+Details!AA60</f>
        <v>23300</v>
      </c>
      <c r="AB107" s="1115">
        <f>+Details!AB60</f>
        <v>23800</v>
      </c>
      <c r="AC107" s="1115">
        <f>+Details!AC60</f>
        <v>24300</v>
      </c>
      <c r="AD107" s="1115">
        <f>+Details!AD60</f>
        <v>0</v>
      </c>
      <c r="AE107" s="1115">
        <f>+Details!AE60</f>
        <v>0</v>
      </c>
      <c r="AF107" s="1115">
        <f>+Details!AF60</f>
        <v>0</v>
      </c>
      <c r="AG107" s="1115">
        <f>+Details!AG60</f>
        <v>0</v>
      </c>
      <c r="AH107" s="1115">
        <f>+Details!AH60</f>
        <v>0</v>
      </c>
      <c r="AI107" s="1115">
        <f>+Details!AI60</f>
        <v>0</v>
      </c>
      <c r="AJ107" s="1115">
        <f>+Details!AJ60</f>
        <v>0</v>
      </c>
      <c r="AK107" s="1115">
        <f>+Details!AK60</f>
        <v>0</v>
      </c>
      <c r="AL107" s="1115">
        <f>+Details!AL60</f>
        <v>0</v>
      </c>
      <c r="AM107" s="1115">
        <f>+Details!AM60</f>
        <v>0</v>
      </c>
      <c r="AN107" s="1115">
        <f>+Details!AN60</f>
        <v>0</v>
      </c>
      <c r="AO107" s="1115">
        <f>+Details!AO60</f>
        <v>0</v>
      </c>
      <c r="AP107" s="1115">
        <f>+Details!AP60</f>
        <v>0</v>
      </c>
      <c r="AQ107" s="1115">
        <f>+Details!AQ60</f>
        <v>0</v>
      </c>
      <c r="AR107" s="1115">
        <f>+Details!AR60</f>
        <v>0</v>
      </c>
      <c r="AS107" s="1115">
        <f>+Details!AS60</f>
        <v>0</v>
      </c>
    </row>
    <row r="108" spans="1:46" ht="15" customHeight="1">
      <c r="B108" s="143" t="s">
        <v>635</v>
      </c>
      <c r="C108" s="1247"/>
      <c r="D108" s="102"/>
      <c r="E108" s="102">
        <f>SUM(F108:AS108)</f>
        <v>1516900</v>
      </c>
      <c r="F108" s="88">
        <f>+F106+F107</f>
        <v>0</v>
      </c>
      <c r="G108" s="868">
        <f>+G106+G107</f>
        <v>0</v>
      </c>
      <c r="H108" s="868">
        <f t="shared" ref="H108:AS108" si="4">+H106+H107</f>
        <v>0</v>
      </c>
      <c r="I108" s="868">
        <f t="shared" si="4"/>
        <v>0</v>
      </c>
      <c r="J108" s="868">
        <f t="shared" si="4"/>
        <v>0</v>
      </c>
      <c r="K108" s="868">
        <f t="shared" si="4"/>
        <v>22100</v>
      </c>
      <c r="L108" s="868">
        <f t="shared" si="4"/>
        <v>22500</v>
      </c>
      <c r="M108" s="868">
        <f t="shared" si="4"/>
        <v>23000</v>
      </c>
      <c r="N108" s="868">
        <f t="shared" si="4"/>
        <v>69900</v>
      </c>
      <c r="O108" s="868">
        <f t="shared" si="4"/>
        <v>71300</v>
      </c>
      <c r="P108" s="868">
        <f t="shared" si="4"/>
        <v>72700</v>
      </c>
      <c r="Q108" s="868">
        <f t="shared" si="4"/>
        <v>74200</v>
      </c>
      <c r="R108" s="868">
        <f t="shared" si="4"/>
        <v>75700</v>
      </c>
      <c r="S108" s="868">
        <f t="shared" si="4"/>
        <v>77200</v>
      </c>
      <c r="T108" s="868">
        <f t="shared" si="4"/>
        <v>78700</v>
      </c>
      <c r="U108" s="868">
        <f t="shared" si="4"/>
        <v>80200</v>
      </c>
      <c r="V108" s="868">
        <f t="shared" si="4"/>
        <v>63000</v>
      </c>
      <c r="W108" s="868">
        <f t="shared" si="4"/>
        <v>64200</v>
      </c>
      <c r="X108" s="868">
        <f t="shared" si="4"/>
        <v>65500</v>
      </c>
      <c r="Y108" s="868">
        <f t="shared" si="4"/>
        <v>66800</v>
      </c>
      <c r="Z108" s="868">
        <f t="shared" si="4"/>
        <v>68100</v>
      </c>
      <c r="AA108" s="868">
        <f t="shared" si="4"/>
        <v>69500</v>
      </c>
      <c r="AB108" s="868">
        <f t="shared" si="4"/>
        <v>70900</v>
      </c>
      <c r="AC108" s="868">
        <f t="shared" si="4"/>
        <v>72300</v>
      </c>
      <c r="AD108" s="868">
        <f t="shared" si="4"/>
        <v>49000</v>
      </c>
      <c r="AE108" s="868">
        <f t="shared" si="4"/>
        <v>50000</v>
      </c>
      <c r="AF108" s="868">
        <f t="shared" si="4"/>
        <v>51000</v>
      </c>
      <c r="AG108" s="868">
        <f t="shared" si="4"/>
        <v>52000</v>
      </c>
      <c r="AH108" s="868">
        <f t="shared" si="4"/>
        <v>53000</v>
      </c>
      <c r="AI108" s="868">
        <f t="shared" si="4"/>
        <v>54100</v>
      </c>
      <c r="AJ108" s="868">
        <f t="shared" si="4"/>
        <v>0</v>
      </c>
      <c r="AK108" s="868">
        <f t="shared" si="4"/>
        <v>0</v>
      </c>
      <c r="AL108" s="868">
        <f t="shared" si="4"/>
        <v>0</v>
      </c>
      <c r="AM108" s="868">
        <f t="shared" si="4"/>
        <v>0</v>
      </c>
      <c r="AN108" s="868">
        <f t="shared" si="4"/>
        <v>0</v>
      </c>
      <c r="AO108" s="868">
        <f t="shared" si="4"/>
        <v>0</v>
      </c>
      <c r="AP108" s="868">
        <f t="shared" si="4"/>
        <v>0</v>
      </c>
      <c r="AQ108" s="868">
        <f t="shared" si="4"/>
        <v>0</v>
      </c>
      <c r="AR108" s="868">
        <f t="shared" si="4"/>
        <v>0</v>
      </c>
      <c r="AS108" s="868">
        <f t="shared" si="4"/>
        <v>0</v>
      </c>
      <c r="AT108" s="89"/>
    </row>
    <row r="109" spans="1:46" ht="15" customHeight="1">
      <c r="B109" s="276" t="s">
        <v>822</v>
      </c>
      <c r="D109" s="8" t="s">
        <v>821</v>
      </c>
      <c r="E109" s="43">
        <f>E108/Details!E146</f>
        <v>0.4368196740194667</v>
      </c>
      <c r="F109" s="43">
        <f>IF(Details!F146&gt;0,+F108/Details!F146,0)</f>
        <v>0</v>
      </c>
      <c r="G109" s="43">
        <f>IF(Details!G146&gt;0,+G108/Details!G146,0)</f>
        <v>0</v>
      </c>
      <c r="H109" s="43">
        <f>IF(Details!H146&gt;0,+H108/Details!H146,0)</f>
        <v>0</v>
      </c>
      <c r="I109" s="43">
        <f>IF(Details!I146&gt;0,+I108/Details!I146,0)</f>
        <v>0</v>
      </c>
      <c r="J109" s="43">
        <f>IF(Details!J146&gt;0,+J108/Details!J146,0)</f>
        <v>0</v>
      </c>
      <c r="K109" s="43">
        <f>IF(Details!K146&gt;0,+K108/Details!K146,0)</f>
        <v>0.26030624263839813</v>
      </c>
      <c r="L109" s="43">
        <f>IF(Details!L146&gt;0,+L108/Details!L146,0)</f>
        <v>0.26041666666666669</v>
      </c>
      <c r="M109" s="43">
        <f>IF(Details!M146&gt;0,+M108/Details!M146,0)</f>
        <v>0.25698324022346369</v>
      </c>
      <c r="N109" s="43">
        <f>IF(Details!N146&gt;0,+N108/Details!N146,0)</f>
        <v>0.80622837370242217</v>
      </c>
      <c r="O109" s="43">
        <f>IF(Details!O146&gt;0,+O108/Details!O146,0)</f>
        <v>0.8065610859728507</v>
      </c>
      <c r="P109" s="43">
        <f>IF(Details!P146&gt;0,+P108/Details!P146,0)</f>
        <v>0.80598669623059871</v>
      </c>
      <c r="Q109" s="43">
        <f>IF(Details!Q146&gt;0,+Q108/Details!Q146,0)</f>
        <v>0.80390032502708564</v>
      </c>
      <c r="R109" s="43">
        <f>IF(Details!R146&gt;0,+R108/Details!R146,0)</f>
        <v>0.79267015706806288</v>
      </c>
      <c r="S109" s="43">
        <f>IF(Details!S146&gt;0,+S108/Details!S146,0)</f>
        <v>0.78936605316973418</v>
      </c>
      <c r="T109" s="43">
        <f>IF(Details!T146&gt;0,+T108/Details!T146,0)</f>
        <v>0.76407766990291259</v>
      </c>
      <c r="U109" s="43">
        <f>IF(Details!U146&gt;0,+U108/Details!U146,0)</f>
        <v>0.75164011246485474</v>
      </c>
      <c r="V109" s="43">
        <f>IF(Details!V146&gt;0,+V108/Details!V146,0)</f>
        <v>0.5817174515235457</v>
      </c>
      <c r="W109" s="43">
        <f>IF(Details!W146&gt;0,+W108/Details!W146,0)</f>
        <v>0.58047016274864371</v>
      </c>
      <c r="X109" s="43">
        <f>IF(Details!X146&gt;0,+X108/Details!X146,0)</f>
        <v>0.49809885931558934</v>
      </c>
      <c r="Y109" s="43">
        <f>IF(Details!Y146&gt;0,+Y108/Details!Y146,0)</f>
        <v>0.49813571961222969</v>
      </c>
      <c r="Z109" s="43">
        <f>IF(Details!Z146&gt;0,+Z108/Details!Z146,0)</f>
        <v>0.49708029197080295</v>
      </c>
      <c r="AA109" s="43">
        <f>IF(Details!AA146&gt;0,+AA108/Details!AA146,0)</f>
        <v>0.49572039942938662</v>
      </c>
      <c r="AB109" s="43">
        <f>IF(Details!AB146&gt;0,+AB108/Details!AB146,0)</f>
        <v>0.48067796610169494</v>
      </c>
      <c r="AC109" s="43">
        <f>IF(Details!AC146&gt;0,+AC108/Details!AC146,0)</f>
        <v>0.47628458498023718</v>
      </c>
      <c r="AD109" s="43">
        <f>IF(Details!AD146&gt;0,+AD108/Details!AD146,0)</f>
        <v>0.30759573132454487</v>
      </c>
      <c r="AE109" s="43">
        <f>IF(Details!AE146&gt;0,+AE108/Details!AE146,0)</f>
        <v>0.30674846625766872</v>
      </c>
      <c r="AF109" s="43">
        <f>IF(Details!AF146&gt;0,+AF108/Details!AF146,0)</f>
        <v>0.30685920577617326</v>
      </c>
      <c r="AG109" s="43">
        <f>IF(Details!AG146&gt;0,+AG108/Details!AG146,0)</f>
        <v>0.31156381066506889</v>
      </c>
      <c r="AH109" s="43">
        <f>IF(Details!AH146&gt;0,+AH108/Details!AH146,0)</f>
        <v>0.31231585150265173</v>
      </c>
      <c r="AI109" s="43">
        <f>IF(Details!AI146&gt;0,+AI108/Details!AI146,0)</f>
        <v>0.31253610629693818</v>
      </c>
      <c r="AJ109" s="43">
        <f>IF(Details!AJ146&gt;0,+AJ108/Details!AJ146,0)</f>
        <v>0</v>
      </c>
      <c r="AK109" s="43">
        <f>IF(Details!AK146&gt;0,+AK108/Details!AK146,0)</f>
        <v>0</v>
      </c>
      <c r="AL109" s="43">
        <f>IF(Details!AL146&gt;0,+AL108/Details!AL146,0)</f>
        <v>0</v>
      </c>
      <c r="AM109" s="43">
        <f>IF(Details!AM146&gt;0,+AM108/Details!AM146,0)</f>
        <v>0</v>
      </c>
      <c r="AN109" s="43">
        <f>IF(Details!AN146&gt;0,+AN108/Details!AN146,0)</f>
        <v>0</v>
      </c>
      <c r="AO109" s="43">
        <f>IF(Details!AO146&gt;0,+AO108/Details!AO146,0)</f>
        <v>0</v>
      </c>
      <c r="AP109" s="43">
        <f>IF(Details!AP146&gt;0,+AP108/Details!AP146,0)</f>
        <v>0</v>
      </c>
      <c r="AQ109" s="43">
        <f>IF(Details!AQ146&gt;0,+AQ108/Details!AQ146,0)</f>
        <v>0</v>
      </c>
      <c r="AR109" s="43">
        <f>IF(Details!AR146&gt;0,+AR108/Details!AR146,0)</f>
        <v>0</v>
      </c>
      <c r="AS109" s="43">
        <f>IF(Details!AS146&gt;0,+AS108/Details!AS146,0)</f>
        <v>0</v>
      </c>
    </row>
    <row r="110" spans="1:46" ht="15" customHeight="1">
      <c r="B110" s="276" t="s">
        <v>180</v>
      </c>
      <c r="D110" s="8"/>
      <c r="E110" s="43"/>
      <c r="F110" s="31">
        <f>+F108</f>
        <v>0</v>
      </c>
      <c r="G110" s="868">
        <f t="shared" ref="G110:AR110" si="5">IF(G108&gt;0,+F110+G108,0)</f>
        <v>0</v>
      </c>
      <c r="H110" s="868">
        <f t="shared" si="5"/>
        <v>0</v>
      </c>
      <c r="I110" s="868">
        <f t="shared" si="5"/>
        <v>0</v>
      </c>
      <c r="J110" s="868">
        <f t="shared" si="5"/>
        <v>0</v>
      </c>
      <c r="K110" s="868">
        <f t="shared" si="5"/>
        <v>22100</v>
      </c>
      <c r="L110" s="868">
        <f t="shared" si="5"/>
        <v>44600</v>
      </c>
      <c r="M110" s="868">
        <f t="shared" si="5"/>
        <v>67600</v>
      </c>
      <c r="N110" s="868">
        <f t="shared" si="5"/>
        <v>137500</v>
      </c>
      <c r="O110" s="868">
        <f t="shared" si="5"/>
        <v>208800</v>
      </c>
      <c r="P110" s="868">
        <f t="shared" si="5"/>
        <v>281500</v>
      </c>
      <c r="Q110" s="868">
        <f t="shared" si="5"/>
        <v>355700</v>
      </c>
      <c r="R110" s="868">
        <f t="shared" si="5"/>
        <v>431400</v>
      </c>
      <c r="S110" s="868">
        <f t="shared" si="5"/>
        <v>508600</v>
      </c>
      <c r="T110" s="868">
        <f t="shared" si="5"/>
        <v>587300</v>
      </c>
      <c r="U110" s="868">
        <f t="shared" si="5"/>
        <v>667500</v>
      </c>
      <c r="V110" s="868">
        <f t="shared" si="5"/>
        <v>730500</v>
      </c>
      <c r="W110" s="868">
        <f t="shared" si="5"/>
        <v>794700</v>
      </c>
      <c r="X110" s="868">
        <f t="shared" si="5"/>
        <v>860200</v>
      </c>
      <c r="Y110" s="868">
        <f t="shared" si="5"/>
        <v>927000</v>
      </c>
      <c r="Z110" s="868">
        <f t="shared" si="5"/>
        <v>995100</v>
      </c>
      <c r="AA110" s="868">
        <f t="shared" si="5"/>
        <v>1064600</v>
      </c>
      <c r="AB110" s="868">
        <f t="shared" si="5"/>
        <v>1135500</v>
      </c>
      <c r="AC110" s="868">
        <f t="shared" si="5"/>
        <v>1207800</v>
      </c>
      <c r="AD110" s="868">
        <f t="shared" si="5"/>
        <v>1256800</v>
      </c>
      <c r="AE110" s="868">
        <f t="shared" si="5"/>
        <v>1306800</v>
      </c>
      <c r="AF110" s="868">
        <f t="shared" si="5"/>
        <v>1357800</v>
      </c>
      <c r="AG110" s="868">
        <f t="shared" si="5"/>
        <v>1409800</v>
      </c>
      <c r="AH110" s="868">
        <f t="shared" si="5"/>
        <v>1462800</v>
      </c>
      <c r="AI110" s="868">
        <f t="shared" si="5"/>
        <v>1516900</v>
      </c>
      <c r="AJ110" s="868">
        <f t="shared" si="5"/>
        <v>0</v>
      </c>
      <c r="AK110" s="868">
        <f t="shared" si="5"/>
        <v>0</v>
      </c>
      <c r="AL110" s="868">
        <f t="shared" si="5"/>
        <v>0</v>
      </c>
      <c r="AM110" s="868">
        <f t="shared" si="5"/>
        <v>0</v>
      </c>
      <c r="AN110" s="868">
        <f t="shared" si="5"/>
        <v>0</v>
      </c>
      <c r="AO110" s="868">
        <f t="shared" si="5"/>
        <v>0</v>
      </c>
      <c r="AP110" s="868">
        <f t="shared" si="5"/>
        <v>0</v>
      </c>
      <c r="AQ110" s="868">
        <f t="shared" si="5"/>
        <v>0</v>
      </c>
      <c r="AR110" s="868">
        <f t="shared" si="5"/>
        <v>0</v>
      </c>
      <c r="AS110" s="868">
        <f>IF(AS108&gt;0,+AR110+AS108,0)</f>
        <v>0</v>
      </c>
    </row>
    <row r="111" spans="1:46" ht="15" customHeight="1">
      <c r="B111" s="276"/>
      <c r="F111" s="43"/>
      <c r="G111" s="43"/>
      <c r="H111" s="43"/>
      <c r="I111" s="31"/>
      <c r="J111" s="304"/>
      <c r="K111" s="304"/>
      <c r="L111" s="53"/>
      <c r="M111" s="54"/>
      <c r="N111" s="54"/>
    </row>
    <row r="112" spans="1:46" ht="15" customHeight="1">
      <c r="A112" s="1339" t="s">
        <v>314</v>
      </c>
      <c r="B112" s="147" t="s">
        <v>820</v>
      </c>
      <c r="C112" s="559"/>
      <c r="D112" s="102">
        <f>ROUND(NPV(Discount_Rate,Results!F112:AS112)/Round_To,0)*Round_To</f>
        <v>659200</v>
      </c>
      <c r="E112" s="102">
        <f>SUM(F112:AS112)</f>
        <v>1140000</v>
      </c>
      <c r="F112" s="88">
        <f>+Details!F165</f>
        <v>0</v>
      </c>
      <c r="G112" s="868">
        <f>+Details!G165</f>
        <v>0</v>
      </c>
      <c r="H112" s="868">
        <f>+Details!H165</f>
        <v>0</v>
      </c>
      <c r="I112" s="868">
        <f>+Details!I165</f>
        <v>0</v>
      </c>
      <c r="J112" s="868">
        <f>+Details!J165</f>
        <v>0</v>
      </c>
      <c r="K112" s="868">
        <f>+Details!K165</f>
        <v>18800</v>
      </c>
      <c r="L112" s="868">
        <f>+Details!L165</f>
        <v>19100</v>
      </c>
      <c r="M112" s="868">
        <f>+Details!M165</f>
        <v>19600</v>
      </c>
      <c r="N112" s="868">
        <f>+Details!N165</f>
        <v>33400</v>
      </c>
      <c r="O112" s="868">
        <f>+Details!O165</f>
        <v>34900</v>
      </c>
      <c r="P112" s="868">
        <f>+Details!P165</f>
        <v>36100</v>
      </c>
      <c r="Q112" s="868">
        <f>+Details!Q165</f>
        <v>38000</v>
      </c>
      <c r="R112" s="868">
        <f>+Details!R165</f>
        <v>44300</v>
      </c>
      <c r="S112" s="868">
        <f>+Details!S165</f>
        <v>47000</v>
      </c>
      <c r="T112" s="868">
        <f>+Details!T165</f>
        <v>59600</v>
      </c>
      <c r="U112" s="868">
        <f>+Details!U165</f>
        <v>66800</v>
      </c>
      <c r="V112" s="868">
        <f>+Details!V165</f>
        <v>53600</v>
      </c>
      <c r="W112" s="868">
        <f>+Details!W165</f>
        <v>54600</v>
      </c>
      <c r="X112" s="868">
        <f>+Details!X165</f>
        <v>55700</v>
      </c>
      <c r="Y112" s="868">
        <f>+Details!Y165</f>
        <v>56800</v>
      </c>
      <c r="Z112" s="868">
        <f>+Details!Z165</f>
        <v>57900</v>
      </c>
      <c r="AA112" s="868">
        <f>+Details!AA165</f>
        <v>59100</v>
      </c>
      <c r="AB112" s="868">
        <f>+Details!AB165</f>
        <v>60300</v>
      </c>
      <c r="AC112" s="868">
        <f>+Details!AC165</f>
        <v>61500</v>
      </c>
      <c r="AD112" s="868">
        <f>+Details!AD165</f>
        <v>41700</v>
      </c>
      <c r="AE112" s="868">
        <f>+Details!AE165</f>
        <v>42500</v>
      </c>
      <c r="AF112" s="868">
        <f>+Details!AF165</f>
        <v>43400</v>
      </c>
      <c r="AG112" s="868">
        <f>+Details!AG165</f>
        <v>44200</v>
      </c>
      <c r="AH112" s="868">
        <f>+Details!AH165</f>
        <v>45100</v>
      </c>
      <c r="AI112" s="868">
        <f>+Details!AI165</f>
        <v>46000</v>
      </c>
      <c r="AJ112" s="868">
        <f>+Details!AJ165</f>
        <v>0</v>
      </c>
      <c r="AK112" s="868">
        <f>+Details!AK165</f>
        <v>0</v>
      </c>
      <c r="AL112" s="868">
        <f>+Details!AL165</f>
        <v>0</v>
      </c>
      <c r="AM112" s="868">
        <f>+Details!AM165</f>
        <v>0</v>
      </c>
      <c r="AN112" s="868">
        <f>+Details!AN165</f>
        <v>0</v>
      </c>
      <c r="AO112" s="868">
        <f>+Details!AO165</f>
        <v>0</v>
      </c>
      <c r="AP112" s="868">
        <f>+Details!AP165</f>
        <v>0</v>
      </c>
      <c r="AQ112" s="868">
        <f>+Details!AQ165</f>
        <v>0</v>
      </c>
      <c r="AR112" s="868">
        <f>+Details!AR165</f>
        <v>0</v>
      </c>
      <c r="AS112" s="868">
        <f>+Details!AS165</f>
        <v>0</v>
      </c>
      <c r="AT112" s="89"/>
    </row>
    <row r="113" spans="1:46" ht="19.95" customHeight="1">
      <c r="B113" s="1496" t="str">
        <f>IF(OR(SS_re_pc=0,SS_re_yr=0),".","Reduction of " &amp; (SS_re_pc*100) &amp; "% in " &amp; SS_re_yr)</f>
        <v>Reduction of 23% in 2035</v>
      </c>
      <c r="C113" s="1"/>
      <c r="D113" s="1"/>
      <c r="E113" s="1"/>
      <c r="F113" s="88"/>
      <c r="G113" s="43"/>
      <c r="H113" s="43"/>
      <c r="I113" s="31"/>
      <c r="J113" s="304"/>
      <c r="K113" s="304"/>
      <c r="L113" s="53"/>
      <c r="M113" s="54"/>
      <c r="N113" s="54"/>
    </row>
    <row r="114" spans="1:46" ht="15" customHeight="1">
      <c r="A114" s="1279" t="s">
        <v>1110</v>
      </c>
      <c r="B114" s="1349" t="s">
        <v>181</v>
      </c>
      <c r="C114" s="1341"/>
      <c r="E114" s="13"/>
      <c r="F114" s="13" t="s">
        <v>1340</v>
      </c>
      <c r="G114" s="13" t="s">
        <v>187</v>
      </c>
      <c r="I114" s="266" t="s">
        <v>827</v>
      </c>
      <c r="J114" s="304"/>
      <c r="L114" s="53"/>
      <c r="M114" s="5" t="s">
        <v>818</v>
      </c>
      <c r="N114" s="54"/>
    </row>
    <row r="115" spans="1:46" ht="15" customHeight="1">
      <c r="A115" s="1279" t="s">
        <v>1110</v>
      </c>
      <c r="B115" s="167" t="s">
        <v>828</v>
      </c>
      <c r="D115" s="341" t="s">
        <v>1661</v>
      </c>
      <c r="E115" s="6" t="s">
        <v>635</v>
      </c>
      <c r="F115" s="168" t="s">
        <v>1704</v>
      </c>
      <c r="G115" s="6" t="s">
        <v>831</v>
      </c>
      <c r="H115" s="168" t="s">
        <v>187</v>
      </c>
      <c r="I115" s="168" t="s">
        <v>89</v>
      </c>
      <c r="J115" s="304"/>
      <c r="L115" s="53"/>
      <c r="M115" s="1338" t="s">
        <v>819</v>
      </c>
      <c r="N115" s="54"/>
    </row>
    <row r="116" spans="1:46" ht="15" customHeight="1">
      <c r="A116" s="1279" t="s">
        <v>1110</v>
      </c>
      <c r="B116" s="276" t="s">
        <v>538</v>
      </c>
      <c r="D116" s="102">
        <f>ROUND(NPV(Discount_Rate,Results!F126:AS126)/Round_To,0)*Round_To</f>
        <v>607500</v>
      </c>
      <c r="E116" s="102">
        <f>+E126</f>
        <v>1065900</v>
      </c>
      <c r="F116" s="1268">
        <f>Your_SS_Start</f>
        <v>70</v>
      </c>
      <c r="G116" s="102">
        <f>IF(Your_Age&gt;70,0,HLOOKUP(70,$F$1:$AS141,ROW($F126),TRUE))</f>
        <v>46400</v>
      </c>
      <c r="H116" s="306" t="str">
        <f>IF(SS_Comparison="n","-",IF(+C143&lt;1,"Same",C143))</f>
        <v>-</v>
      </c>
      <c r="I116" s="306" t="str">
        <f>IF(SS_Comparison="n","-",IF(+C144&lt;1,"Same",C144))</f>
        <v>-</v>
      </c>
      <c r="J116" s="304"/>
      <c r="L116" s="53"/>
      <c r="M116" s="923" t="str">
        <f>IF(Include_Roth="y","Roth conversions included","--")</f>
        <v>--</v>
      </c>
      <c r="N116" s="54"/>
    </row>
    <row r="117" spans="1:46" ht="15" customHeight="1">
      <c r="A117" s="1279" t="s">
        <v>1110</v>
      </c>
      <c r="B117" s="276" t="s">
        <v>643</v>
      </c>
      <c r="D117" s="34">
        <f>ROUND(NPV(Discount_Rate,Results!F127:AS127)/Round_To,0)*Round_To</f>
        <v>293300</v>
      </c>
      <c r="E117" s="34">
        <f>+E127</f>
        <v>451000</v>
      </c>
      <c r="F117" s="1268">
        <f>Spouse_SS_Start</f>
        <v>66</v>
      </c>
      <c r="G117" s="102">
        <f>IF(OR(Spouse_Age="",Spouse_Age&gt;70),0,HLOOKUP(70,$F$2:$AS141,ROW($F126),TRUE))</f>
        <v>24000</v>
      </c>
      <c r="I117" s="276"/>
      <c r="J117" s="304"/>
      <c r="L117" s="53"/>
      <c r="M117" s="923" t="str">
        <f>IF(OR(tIRA_Withdr_Base1&lt;&gt;0,tIRA_Withdr_Base2&lt;&gt;0,tIRA_Withdr_Base3&lt;&gt;0),"Base case is using IRA withdrawal adjustment","--")</f>
        <v>--</v>
      </c>
      <c r="N117" s="54"/>
    </row>
    <row r="118" spans="1:46" ht="15" customHeight="1">
      <c r="A118" s="1279" t="s">
        <v>1110</v>
      </c>
      <c r="B118" s="276" t="s">
        <v>635</v>
      </c>
      <c r="D118" s="102">
        <f>+D116+D117</f>
        <v>900800</v>
      </c>
      <c r="E118" s="102">
        <f>+E116+E117</f>
        <v>1516900</v>
      </c>
      <c r="G118" s="31"/>
      <c r="J118" s="304"/>
      <c r="L118" s="53"/>
      <c r="M118" s="923" t="str">
        <f>IF(SS_Comparison="y","Using alternative SS benefits","--")</f>
        <v>--</v>
      </c>
      <c r="N118" s="54"/>
    </row>
    <row r="119" spans="1:46" ht="15" customHeight="1">
      <c r="A119" s="1279" t="s">
        <v>1110</v>
      </c>
      <c r="B119" s="276"/>
      <c r="E119" s="31"/>
      <c r="F119" s="31"/>
      <c r="G119" s="31"/>
      <c r="J119" s="304"/>
      <c r="L119" s="53"/>
      <c r="M119" s="923" t="str">
        <f>IF(Tax_Rates_Alt="y","Federal tax rate change being used","--")</f>
        <v>--</v>
      </c>
      <c r="N119" s="54"/>
    </row>
    <row r="120" spans="1:46" ht="15" customHeight="1">
      <c r="A120" s="1279" t="s">
        <v>1110</v>
      </c>
      <c r="B120" s="167" t="str">
        <f>IF(SS_Comparison="n","Default benefits","Alternative benefits") &amp; " - more/(less) than default"</f>
        <v>Default benefits - more/(less) than default</v>
      </c>
      <c r="E120" s="31"/>
      <c r="F120" s="31"/>
      <c r="G120" s="31"/>
      <c r="J120" s="304"/>
      <c r="L120" s="53"/>
      <c r="M120" s="923" t="str">
        <f>IF(Exclude_Taxes="n","--","Income taxes set to zero")</f>
        <v>--</v>
      </c>
      <c r="N120" s="54"/>
    </row>
    <row r="121" spans="1:46" ht="15" customHeight="1">
      <c r="A121" s="1279" t="s">
        <v>1110</v>
      </c>
      <c r="B121" s="276" t="s">
        <v>538</v>
      </c>
      <c r="D121" s="31">
        <f t="shared" ref="D121:G122" si="6">D101-D116</f>
        <v>0</v>
      </c>
      <c r="E121" s="31">
        <f t="shared" si="6"/>
        <v>0</v>
      </c>
      <c r="F121" s="62">
        <f t="shared" si="6"/>
        <v>0</v>
      </c>
      <c r="G121" s="31">
        <f t="shared" si="6"/>
        <v>0</v>
      </c>
      <c r="J121" s="304"/>
      <c r="K121" s="304"/>
      <c r="L121" s="53"/>
      <c r="M121" s="54"/>
      <c r="N121" s="54"/>
    </row>
    <row r="122" spans="1:46" ht="15" customHeight="1">
      <c r="A122" s="1279" t="s">
        <v>1110</v>
      </c>
      <c r="B122" s="276" t="s">
        <v>643</v>
      </c>
      <c r="D122" s="38">
        <f t="shared" si="6"/>
        <v>0</v>
      </c>
      <c r="E122" s="38">
        <f t="shared" si="6"/>
        <v>0</v>
      </c>
      <c r="F122" s="301">
        <f t="shared" si="6"/>
        <v>0</v>
      </c>
      <c r="G122" s="88">
        <f t="shared" si="6"/>
        <v>0</v>
      </c>
      <c r="J122" s="304"/>
      <c r="K122" s="304"/>
      <c r="L122" s="53"/>
      <c r="M122" s="54"/>
      <c r="N122" s="54"/>
    </row>
    <row r="123" spans="1:46" ht="15" customHeight="1">
      <c r="A123" s="1279" t="s">
        <v>1110</v>
      </c>
      <c r="B123" s="276" t="s">
        <v>635</v>
      </c>
      <c r="D123" s="31">
        <f>+D121+D122</f>
        <v>0</v>
      </c>
      <c r="E123" s="31">
        <f>+E121+E122</f>
        <v>0</v>
      </c>
      <c r="G123" s="31"/>
      <c r="J123" s="304"/>
      <c r="K123" s="304"/>
      <c r="L123" s="53"/>
      <c r="M123" s="54"/>
      <c r="N123" s="54"/>
    </row>
    <row r="124" spans="1:46" ht="15" customHeight="1">
      <c r="A124" s="1279" t="s">
        <v>1110</v>
      </c>
      <c r="B124" s="276"/>
      <c r="C124" s="1"/>
      <c r="D124" s="1"/>
      <c r="E124" s="1"/>
      <c r="F124" s="88"/>
      <c r="G124" s="31"/>
      <c r="H124" s="31"/>
      <c r="I124" s="31"/>
      <c r="J124" s="304"/>
      <c r="K124" s="304"/>
      <c r="L124" s="53"/>
      <c r="M124" s="54"/>
      <c r="N124" s="54"/>
    </row>
    <row r="125" spans="1:46" ht="15" customHeight="1">
      <c r="A125" s="1279" t="s">
        <v>1110</v>
      </c>
      <c r="B125" s="167" t="s">
        <v>182</v>
      </c>
      <c r="D125" s="102"/>
      <c r="E125" s="102"/>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693"/>
    </row>
    <row r="126" spans="1:46" ht="15" customHeight="1">
      <c r="A126" s="1279" t="s">
        <v>1110</v>
      </c>
      <c r="B126" s="276" t="s">
        <v>538</v>
      </c>
      <c r="C126" s="1019"/>
      <c r="D126" s="102"/>
      <c r="E126" s="29">
        <f>SUM(F126:AS126)</f>
        <v>1065900</v>
      </c>
      <c r="F126" s="31">
        <f>+Base!F49</f>
        <v>0</v>
      </c>
      <c r="G126" s="868">
        <f>+Base!G49</f>
        <v>0</v>
      </c>
      <c r="H126" s="868">
        <f>+Base!H49</f>
        <v>0</v>
      </c>
      <c r="I126" s="868">
        <f>+Base!I49</f>
        <v>0</v>
      </c>
      <c r="J126" s="868">
        <f>+Base!J49</f>
        <v>0</v>
      </c>
      <c r="K126" s="868">
        <f>+Base!K49</f>
        <v>0</v>
      </c>
      <c r="L126" s="868">
        <f>+Base!L49</f>
        <v>0</v>
      </c>
      <c r="M126" s="868">
        <f>+Base!M49</f>
        <v>0</v>
      </c>
      <c r="N126" s="868">
        <f>+Base!N49</f>
        <v>46400</v>
      </c>
      <c r="O126" s="868">
        <f>+Base!O49</f>
        <v>47300</v>
      </c>
      <c r="P126" s="868">
        <f>+Base!P49</f>
        <v>48200</v>
      </c>
      <c r="Q126" s="868">
        <f>+Base!Q49</f>
        <v>49200</v>
      </c>
      <c r="R126" s="868">
        <f>+Base!R49</f>
        <v>50200</v>
      </c>
      <c r="S126" s="868">
        <f>+Base!S49</f>
        <v>51200</v>
      </c>
      <c r="T126" s="868">
        <f>+Base!T49</f>
        <v>52200</v>
      </c>
      <c r="U126" s="868">
        <f>+Base!U49</f>
        <v>53200</v>
      </c>
      <c r="V126" s="868">
        <f>+Base!V49</f>
        <v>41800</v>
      </c>
      <c r="W126" s="868">
        <f>+Base!W49</f>
        <v>42600</v>
      </c>
      <c r="X126" s="868">
        <f>+Base!X49</f>
        <v>43500</v>
      </c>
      <c r="Y126" s="868">
        <f>+Base!Y49</f>
        <v>44400</v>
      </c>
      <c r="Z126" s="868">
        <f>+Base!Z49</f>
        <v>45300</v>
      </c>
      <c r="AA126" s="868">
        <f>+Base!AA49</f>
        <v>46200</v>
      </c>
      <c r="AB126" s="868">
        <f>+Base!AB49</f>
        <v>47100</v>
      </c>
      <c r="AC126" s="868">
        <f>+Base!AC49</f>
        <v>48000</v>
      </c>
      <c r="AD126" s="868">
        <f>+Base!AD49</f>
        <v>49000</v>
      </c>
      <c r="AE126" s="868">
        <f>+Base!AE49</f>
        <v>50000</v>
      </c>
      <c r="AF126" s="868">
        <f>+Base!AF49</f>
        <v>51000</v>
      </c>
      <c r="AG126" s="868">
        <f>+Base!AG49</f>
        <v>52000</v>
      </c>
      <c r="AH126" s="868">
        <f>+Base!AH49</f>
        <v>53000</v>
      </c>
      <c r="AI126" s="868">
        <f>+Base!AI49</f>
        <v>54100</v>
      </c>
      <c r="AJ126" s="868">
        <f>+Base!AJ49</f>
        <v>0</v>
      </c>
      <c r="AK126" s="868">
        <f>+Base!AK49</f>
        <v>0</v>
      </c>
      <c r="AL126" s="868">
        <f>+Base!AL49</f>
        <v>0</v>
      </c>
      <c r="AM126" s="868">
        <f>+Base!AM49</f>
        <v>0</v>
      </c>
      <c r="AN126" s="868">
        <f>+Base!AN49</f>
        <v>0</v>
      </c>
      <c r="AO126" s="868">
        <f>+Base!AO49</f>
        <v>0</v>
      </c>
      <c r="AP126" s="868">
        <f>+Base!AP49</f>
        <v>0</v>
      </c>
      <c r="AQ126" s="868">
        <f>+Base!AQ49</f>
        <v>0</v>
      </c>
      <c r="AR126" s="868">
        <f>+Base!AR49</f>
        <v>0</v>
      </c>
      <c r="AS126" s="868">
        <f>+Base!AS49</f>
        <v>0</v>
      </c>
      <c r="AT126" s="693"/>
    </row>
    <row r="127" spans="1:46" ht="15" customHeight="1">
      <c r="A127" s="1279" t="s">
        <v>1110</v>
      </c>
      <c r="B127" s="276" t="s">
        <v>643</v>
      </c>
      <c r="C127" s="1019"/>
      <c r="D127" s="102"/>
      <c r="E127" s="34">
        <f>SUM(F127:AS127)</f>
        <v>451000</v>
      </c>
      <c r="F127" s="38">
        <f>+Base!F60</f>
        <v>0</v>
      </c>
      <c r="G127" s="1115">
        <f>+Base!G60</f>
        <v>0</v>
      </c>
      <c r="H127" s="1115">
        <f>+Base!H60</f>
        <v>0</v>
      </c>
      <c r="I127" s="1115">
        <f>+Base!I60</f>
        <v>0</v>
      </c>
      <c r="J127" s="1115">
        <f>+Base!J60</f>
        <v>0</v>
      </c>
      <c r="K127" s="1115">
        <f>+Base!K60</f>
        <v>22100</v>
      </c>
      <c r="L127" s="1115">
        <f>+Base!L60</f>
        <v>22500</v>
      </c>
      <c r="M127" s="1115">
        <f>+Base!M60</f>
        <v>23000</v>
      </c>
      <c r="N127" s="1115">
        <f>+Base!N60</f>
        <v>23500</v>
      </c>
      <c r="O127" s="1115">
        <f>+Base!O60</f>
        <v>24000</v>
      </c>
      <c r="P127" s="1115">
        <f>+Base!P60</f>
        <v>24500</v>
      </c>
      <c r="Q127" s="1115">
        <f>+Base!Q60</f>
        <v>25000</v>
      </c>
      <c r="R127" s="1115">
        <f>+Base!R60</f>
        <v>25500</v>
      </c>
      <c r="S127" s="1115">
        <f>+Base!S60</f>
        <v>26000</v>
      </c>
      <c r="T127" s="1115">
        <f>+Base!T60</f>
        <v>26500</v>
      </c>
      <c r="U127" s="1115">
        <f>+Base!U60</f>
        <v>27000</v>
      </c>
      <c r="V127" s="1115">
        <f>+Base!V60</f>
        <v>21200</v>
      </c>
      <c r="W127" s="1115">
        <f>+Base!W60</f>
        <v>21600</v>
      </c>
      <c r="X127" s="1115">
        <f>+Base!X60</f>
        <v>22000</v>
      </c>
      <c r="Y127" s="1115">
        <f>+Base!Y60</f>
        <v>22400</v>
      </c>
      <c r="Z127" s="1115">
        <f>+Base!Z60</f>
        <v>22800</v>
      </c>
      <c r="AA127" s="1115">
        <f>+Base!AA60</f>
        <v>23300</v>
      </c>
      <c r="AB127" s="1115">
        <f>+Base!AB60</f>
        <v>23800</v>
      </c>
      <c r="AC127" s="1115">
        <f>+Base!AC60</f>
        <v>24300</v>
      </c>
      <c r="AD127" s="1115">
        <f>+Base!AD60</f>
        <v>0</v>
      </c>
      <c r="AE127" s="1115">
        <f>+Base!AE60</f>
        <v>0</v>
      </c>
      <c r="AF127" s="1115">
        <f>+Base!AF60</f>
        <v>0</v>
      </c>
      <c r="AG127" s="1115">
        <f>+Base!AG60</f>
        <v>0</v>
      </c>
      <c r="AH127" s="1115">
        <f>+Base!AH60</f>
        <v>0</v>
      </c>
      <c r="AI127" s="1115">
        <f>+Base!AI60</f>
        <v>0</v>
      </c>
      <c r="AJ127" s="1115">
        <f>+Base!AJ60</f>
        <v>0</v>
      </c>
      <c r="AK127" s="1115">
        <f>+Base!AK60</f>
        <v>0</v>
      </c>
      <c r="AL127" s="1115">
        <f>+Base!AL60</f>
        <v>0</v>
      </c>
      <c r="AM127" s="1115">
        <f>+Base!AM60</f>
        <v>0</v>
      </c>
      <c r="AN127" s="1115">
        <f>+Base!AN60</f>
        <v>0</v>
      </c>
      <c r="AO127" s="1115">
        <f>+Base!AO60</f>
        <v>0</v>
      </c>
      <c r="AP127" s="1115">
        <f>+Base!AP60</f>
        <v>0</v>
      </c>
      <c r="AQ127" s="1115">
        <f>+Base!AQ60</f>
        <v>0</v>
      </c>
      <c r="AR127" s="1115">
        <f>+Base!AR60</f>
        <v>0</v>
      </c>
      <c r="AS127" s="1115">
        <f>+Base!AS60</f>
        <v>0</v>
      </c>
      <c r="AT127" s="693"/>
    </row>
    <row r="128" spans="1:46" ht="15" customHeight="1">
      <c r="A128" s="1279" t="s">
        <v>1110</v>
      </c>
      <c r="B128" s="143" t="s">
        <v>635</v>
      </c>
      <c r="C128" s="1247"/>
      <c r="D128" s="102"/>
      <c r="E128" s="29">
        <f>SUM(F128:AS128)</f>
        <v>1516900</v>
      </c>
      <c r="F128" s="31">
        <f>+Base!F61</f>
        <v>0</v>
      </c>
      <c r="G128" s="868">
        <f>+Base!G61</f>
        <v>0</v>
      </c>
      <c r="H128" s="868">
        <f>+Base!H61</f>
        <v>0</v>
      </c>
      <c r="I128" s="868">
        <f>+Base!I61</f>
        <v>0</v>
      </c>
      <c r="J128" s="868">
        <f>+Base!J61</f>
        <v>0</v>
      </c>
      <c r="K128" s="868">
        <f>+Base!K61</f>
        <v>22100</v>
      </c>
      <c r="L128" s="868">
        <f>+Base!L61</f>
        <v>22500</v>
      </c>
      <c r="M128" s="868">
        <f>+Base!M61</f>
        <v>23000</v>
      </c>
      <c r="N128" s="868">
        <f>+Base!N61</f>
        <v>69900</v>
      </c>
      <c r="O128" s="868">
        <f>+Base!O61</f>
        <v>71300</v>
      </c>
      <c r="P128" s="868">
        <f>+Base!P61</f>
        <v>72700</v>
      </c>
      <c r="Q128" s="868">
        <f>+Base!Q61</f>
        <v>74200</v>
      </c>
      <c r="R128" s="868">
        <f>+Base!R61</f>
        <v>75700</v>
      </c>
      <c r="S128" s="868">
        <f>+Base!S61</f>
        <v>77200</v>
      </c>
      <c r="T128" s="868">
        <f>+Base!T61</f>
        <v>78700</v>
      </c>
      <c r="U128" s="868">
        <f>+Base!U61</f>
        <v>80200</v>
      </c>
      <c r="V128" s="868">
        <f>+Base!V61</f>
        <v>63000</v>
      </c>
      <c r="W128" s="868">
        <f>+Base!W61</f>
        <v>64200</v>
      </c>
      <c r="X128" s="868">
        <f>+Base!X61</f>
        <v>65500</v>
      </c>
      <c r="Y128" s="868">
        <f>+Base!Y61</f>
        <v>66800</v>
      </c>
      <c r="Z128" s="868">
        <f>+Base!Z61</f>
        <v>68100</v>
      </c>
      <c r="AA128" s="868">
        <f>+Base!AA61</f>
        <v>69500</v>
      </c>
      <c r="AB128" s="868">
        <f>+Base!AB61</f>
        <v>70900</v>
      </c>
      <c r="AC128" s="868">
        <f>+Base!AC61</f>
        <v>72300</v>
      </c>
      <c r="AD128" s="868">
        <f>+Base!AD61</f>
        <v>49000</v>
      </c>
      <c r="AE128" s="868">
        <f>+Base!AE61</f>
        <v>50000</v>
      </c>
      <c r="AF128" s="868">
        <f>+Base!AF61</f>
        <v>51000</v>
      </c>
      <c r="AG128" s="868">
        <f>+Base!AG61</f>
        <v>52000</v>
      </c>
      <c r="AH128" s="868">
        <f>+Base!AH61</f>
        <v>53000</v>
      </c>
      <c r="AI128" s="868">
        <f>+Base!AI61</f>
        <v>54100</v>
      </c>
      <c r="AJ128" s="868">
        <f>+Base!AJ61</f>
        <v>0</v>
      </c>
      <c r="AK128" s="868">
        <f>+Base!AK61</f>
        <v>0</v>
      </c>
      <c r="AL128" s="868">
        <f>+Base!AL61</f>
        <v>0</v>
      </c>
      <c r="AM128" s="868">
        <f>+Base!AM61</f>
        <v>0</v>
      </c>
      <c r="AN128" s="868">
        <f>+Base!AN61</f>
        <v>0</v>
      </c>
      <c r="AO128" s="868">
        <f>+Base!AO61</f>
        <v>0</v>
      </c>
      <c r="AP128" s="868">
        <f>+Base!AP61</f>
        <v>0</v>
      </c>
      <c r="AQ128" s="868">
        <f>+Base!AQ61</f>
        <v>0</v>
      </c>
      <c r="AR128" s="868">
        <f>+Base!AR61</f>
        <v>0</v>
      </c>
      <c r="AS128" s="868">
        <f>+Base!AS61</f>
        <v>0</v>
      </c>
      <c r="AT128" s="693"/>
    </row>
    <row r="129" spans="1:46" ht="15" customHeight="1">
      <c r="A129" s="1279" t="s">
        <v>1110</v>
      </c>
      <c r="B129" s="276" t="s">
        <v>188</v>
      </c>
      <c r="C129" s="1247"/>
      <c r="D129" s="8" t="s">
        <v>821</v>
      </c>
      <c r="E129" s="43">
        <f>E128/Base!E146</f>
        <v>0.4368196740194667</v>
      </c>
      <c r="F129" s="43">
        <f>IF(Base!F146&gt;0,+F128/Base!F146,0)</f>
        <v>0</v>
      </c>
      <c r="G129" s="43">
        <f>IF(Base!G146&gt;0,+G128/Base!G146,0)</f>
        <v>0</v>
      </c>
      <c r="H129" s="43">
        <f>IF(Base!H146&gt;0,+H128/Base!H146,0)</f>
        <v>0</v>
      </c>
      <c r="I129" s="43">
        <f>IF(Base!I146&gt;0,+I128/Base!I146,0)</f>
        <v>0</v>
      </c>
      <c r="J129" s="43">
        <f>IF(Base!J146&gt;0,+J128/Base!J146,0)</f>
        <v>0</v>
      </c>
      <c r="K129" s="43">
        <f>IF(Base!K146&gt;0,+K128/Base!K146,0)</f>
        <v>0.26030624263839813</v>
      </c>
      <c r="L129" s="43">
        <f>IF(Base!L146&gt;0,+L128/Base!L146,0)</f>
        <v>0.26041666666666669</v>
      </c>
      <c r="M129" s="113">
        <f>IF(Base!M146&gt;0,+M128/Base!M146,0)</f>
        <v>0.25698324022346369</v>
      </c>
      <c r="N129" s="113">
        <f>IF(Base!N146&gt;0,+N128/Base!N146,0)</f>
        <v>0.80622837370242217</v>
      </c>
      <c r="O129" s="43">
        <f>IF(Base!O146&gt;0,+O128/Base!O146,0)</f>
        <v>0.8065610859728507</v>
      </c>
      <c r="P129" s="43">
        <f>IF(Base!P146&gt;0,+P128/Base!P146,0)</f>
        <v>0.80598669623059871</v>
      </c>
      <c r="Q129" s="43">
        <f>IF(Base!Q146&gt;0,+Q128/Base!Q146,0)</f>
        <v>0.80390032502708564</v>
      </c>
      <c r="R129" s="43">
        <f>IF(Base!R146&gt;0,+R128/Base!R146,0)</f>
        <v>0.79267015706806288</v>
      </c>
      <c r="S129" s="43">
        <f>IF(Base!S146&gt;0,+S128/Base!S146,0)</f>
        <v>0.78936605316973418</v>
      </c>
      <c r="T129" s="43">
        <f>IF(Base!T146&gt;0,+T128/Base!T146,0)</f>
        <v>0.76407766990291259</v>
      </c>
      <c r="U129" s="43">
        <f>IF(Base!U146&gt;0,+U128/Base!U146,0)</f>
        <v>0.75164011246485474</v>
      </c>
      <c r="V129" s="43">
        <f>IF(Base!V146&gt;0,+V128/Base!V146,0)</f>
        <v>0.5817174515235457</v>
      </c>
      <c r="W129" s="43">
        <f>IF(Base!W146&gt;0,+W128/Base!W146,0)</f>
        <v>0.58047016274864371</v>
      </c>
      <c r="X129" s="43">
        <f>IF(Base!X146&gt;0,+X128/Base!X146,0)</f>
        <v>0.49809885931558934</v>
      </c>
      <c r="Y129" s="43">
        <f>IF(Base!Y146&gt;0,+Y128/Base!Y146,0)</f>
        <v>0.49813571961222969</v>
      </c>
      <c r="Z129" s="43">
        <f>IF(Base!Z146&gt;0,+Z128/Base!Z146,0)</f>
        <v>0.49708029197080295</v>
      </c>
      <c r="AA129" s="43">
        <f>IF(Base!AA146&gt;0,+AA128/Base!AA146,0)</f>
        <v>0.49572039942938662</v>
      </c>
      <c r="AB129" s="43">
        <f>IF(Base!AB146&gt;0,+AB128/Base!AB146,0)</f>
        <v>0.48067796610169494</v>
      </c>
      <c r="AC129" s="43">
        <f>IF(Base!AC146&gt;0,+AC128/Base!AC146,0)</f>
        <v>0.47628458498023718</v>
      </c>
      <c r="AD129" s="43">
        <f>IF(Base!AD146&gt;0,+AD128/Base!AD146,0)</f>
        <v>0.30759573132454487</v>
      </c>
      <c r="AE129" s="43">
        <f>IF(Base!AE146&gt;0,+AE128/Base!AE146,0)</f>
        <v>0.30674846625766872</v>
      </c>
      <c r="AF129" s="43">
        <f>IF(Base!AF146&gt;0,+AF128/Base!AF146,0)</f>
        <v>0.30685920577617326</v>
      </c>
      <c r="AG129" s="43">
        <f>IF(Base!AG146&gt;0,+AG128/Base!AG146,0)</f>
        <v>0.31156381066506889</v>
      </c>
      <c r="AH129" s="43">
        <f>IF(Base!AH146&gt;0,+AH128/Base!AH146,0)</f>
        <v>0.31231585150265173</v>
      </c>
      <c r="AI129" s="43">
        <f>IF(Base!AI146&gt;0,+AI128/Base!AI146,0)</f>
        <v>0.31253610629693818</v>
      </c>
      <c r="AJ129" s="43">
        <f>IF(Base!AJ146&gt;0,+AJ128/Base!AJ146,0)</f>
        <v>0</v>
      </c>
      <c r="AK129" s="43">
        <f>IF(Base!AK146&gt;0,+AK128/Base!AK146,0)</f>
        <v>0</v>
      </c>
      <c r="AL129" s="43">
        <f>IF(Base!AL146&gt;0,+AL128/Base!AL146,0)</f>
        <v>0</v>
      </c>
      <c r="AM129" s="43">
        <f>IF(Base!AM146&gt;0,+AM128/Base!AM146,0)</f>
        <v>0</v>
      </c>
      <c r="AN129" s="43">
        <f>IF(Base!AN146&gt;0,+AN128/Base!AN146,0)</f>
        <v>0</v>
      </c>
      <c r="AO129" s="43">
        <f>IF(Base!AO146&gt;0,+AO128/Base!AO146,0)</f>
        <v>0</v>
      </c>
      <c r="AP129" s="43">
        <f>IF(Base!AP146&gt;0,+AP128/Base!AP146,0)</f>
        <v>0</v>
      </c>
      <c r="AQ129" s="43">
        <f>IF(Base!AQ146&gt;0,+AQ128/Base!AQ146,0)</f>
        <v>0</v>
      </c>
      <c r="AR129" s="43">
        <f>IF(Base!AR146&gt;0,+AR128/Base!AR146,0)</f>
        <v>0</v>
      </c>
      <c r="AS129" s="43">
        <f>IF(Base!AS146&gt;0,+AS128/Base!AS146,0)</f>
        <v>0</v>
      </c>
      <c r="AT129" s="693"/>
    </row>
    <row r="130" spans="1:46" ht="15" customHeight="1">
      <c r="A130" s="1279" t="s">
        <v>1110</v>
      </c>
      <c r="B130" s="276" t="s">
        <v>609</v>
      </c>
      <c r="C130" s="1247"/>
      <c r="D130" s="8"/>
      <c r="E130" s="43"/>
      <c r="F130" s="31">
        <f>+F128</f>
        <v>0</v>
      </c>
      <c r="G130" s="868">
        <f t="shared" ref="G130:AS130" si="7">IF(G128&gt;0,+F130+G128,0)</f>
        <v>0</v>
      </c>
      <c r="H130" s="868">
        <f t="shared" si="7"/>
        <v>0</v>
      </c>
      <c r="I130" s="868">
        <f t="shared" si="7"/>
        <v>0</v>
      </c>
      <c r="J130" s="868">
        <f t="shared" si="7"/>
        <v>0</v>
      </c>
      <c r="K130" s="868">
        <f t="shared" si="7"/>
        <v>22100</v>
      </c>
      <c r="L130" s="868">
        <f t="shared" si="7"/>
        <v>44600</v>
      </c>
      <c r="M130" s="868">
        <f t="shared" si="7"/>
        <v>67600</v>
      </c>
      <c r="N130" s="868">
        <f t="shared" si="7"/>
        <v>137500</v>
      </c>
      <c r="O130" s="868">
        <f t="shared" si="7"/>
        <v>208800</v>
      </c>
      <c r="P130" s="868">
        <f t="shared" si="7"/>
        <v>281500</v>
      </c>
      <c r="Q130" s="868">
        <f t="shared" si="7"/>
        <v>355700</v>
      </c>
      <c r="R130" s="868">
        <f t="shared" si="7"/>
        <v>431400</v>
      </c>
      <c r="S130" s="868">
        <f t="shared" si="7"/>
        <v>508600</v>
      </c>
      <c r="T130" s="868">
        <f t="shared" si="7"/>
        <v>587300</v>
      </c>
      <c r="U130" s="868">
        <f t="shared" si="7"/>
        <v>667500</v>
      </c>
      <c r="V130" s="868">
        <f t="shared" si="7"/>
        <v>730500</v>
      </c>
      <c r="W130" s="868">
        <f t="shared" si="7"/>
        <v>794700</v>
      </c>
      <c r="X130" s="868">
        <f t="shared" si="7"/>
        <v>860200</v>
      </c>
      <c r="Y130" s="868">
        <f t="shared" si="7"/>
        <v>927000</v>
      </c>
      <c r="Z130" s="868">
        <f t="shared" si="7"/>
        <v>995100</v>
      </c>
      <c r="AA130" s="868">
        <f t="shared" si="7"/>
        <v>1064600</v>
      </c>
      <c r="AB130" s="868">
        <f t="shared" si="7"/>
        <v>1135500</v>
      </c>
      <c r="AC130" s="868">
        <f t="shared" si="7"/>
        <v>1207800</v>
      </c>
      <c r="AD130" s="868">
        <f t="shared" si="7"/>
        <v>1256800</v>
      </c>
      <c r="AE130" s="868">
        <f t="shared" si="7"/>
        <v>1306800</v>
      </c>
      <c r="AF130" s="868">
        <f t="shared" si="7"/>
        <v>1357800</v>
      </c>
      <c r="AG130" s="868">
        <f t="shared" si="7"/>
        <v>1409800</v>
      </c>
      <c r="AH130" s="868">
        <f t="shared" si="7"/>
        <v>1462800</v>
      </c>
      <c r="AI130" s="868">
        <f t="shared" si="7"/>
        <v>1516900</v>
      </c>
      <c r="AJ130" s="868">
        <f t="shared" si="7"/>
        <v>0</v>
      </c>
      <c r="AK130" s="868">
        <f t="shared" si="7"/>
        <v>0</v>
      </c>
      <c r="AL130" s="868">
        <f t="shared" si="7"/>
        <v>0</v>
      </c>
      <c r="AM130" s="868">
        <f t="shared" si="7"/>
        <v>0</v>
      </c>
      <c r="AN130" s="868">
        <f t="shared" si="7"/>
        <v>0</v>
      </c>
      <c r="AO130" s="868">
        <f t="shared" si="7"/>
        <v>0</v>
      </c>
      <c r="AP130" s="868">
        <f t="shared" si="7"/>
        <v>0</v>
      </c>
      <c r="AQ130" s="868">
        <f t="shared" si="7"/>
        <v>0</v>
      </c>
      <c r="AR130" s="868">
        <f t="shared" si="7"/>
        <v>0</v>
      </c>
      <c r="AS130" s="868">
        <f t="shared" si="7"/>
        <v>0</v>
      </c>
      <c r="AT130" s="693"/>
    </row>
    <row r="131" spans="1:46" ht="15" customHeight="1">
      <c r="A131" s="1279" t="s">
        <v>1110</v>
      </c>
      <c r="B131" s="276"/>
      <c r="C131" s="1247"/>
      <c r="D131" s="8"/>
      <c r="E131" s="43"/>
      <c r="F131" s="31"/>
      <c r="G131" s="868"/>
      <c r="H131" s="868"/>
      <c r="I131" s="868"/>
      <c r="J131" s="868"/>
      <c r="K131" s="868"/>
      <c r="L131" s="868"/>
      <c r="M131" s="868"/>
      <c r="N131" s="868"/>
      <c r="O131" s="868"/>
      <c r="P131" s="868"/>
      <c r="Q131" s="868"/>
      <c r="R131" s="868"/>
      <c r="S131" s="868"/>
      <c r="T131" s="868"/>
      <c r="U131" s="868"/>
      <c r="V131" s="868"/>
      <c r="W131" s="868"/>
      <c r="X131" s="868"/>
      <c r="Y131" s="868"/>
      <c r="Z131" s="868"/>
      <c r="AA131" s="868"/>
      <c r="AB131" s="868"/>
      <c r="AC131" s="868"/>
      <c r="AD131" s="868"/>
      <c r="AE131" s="868"/>
      <c r="AF131" s="868"/>
      <c r="AG131" s="868"/>
      <c r="AH131" s="868"/>
      <c r="AI131" s="868"/>
      <c r="AJ131" s="868"/>
      <c r="AK131" s="868"/>
      <c r="AL131" s="868"/>
      <c r="AM131" s="868"/>
      <c r="AN131" s="868"/>
      <c r="AO131" s="868"/>
      <c r="AP131" s="868"/>
      <c r="AQ131" s="868"/>
      <c r="AR131" s="868"/>
      <c r="AS131" s="868"/>
      <c r="AT131" s="693"/>
    </row>
    <row r="132" spans="1:46" ht="15.6">
      <c r="A132" s="1279" t="s">
        <v>1110</v>
      </c>
      <c r="B132" s="167" t="str">
        <f>IF(SS_Comparison="n","Yearly default benefits","Yearly alternative benefits") &amp; " - more/(less) than default"</f>
        <v>Yearly default benefits - more/(less) than default</v>
      </c>
    </row>
    <row r="133" spans="1:46">
      <c r="A133" s="1279" t="s">
        <v>1110</v>
      </c>
      <c r="B133" s="276" t="s">
        <v>538</v>
      </c>
      <c r="C133" s="1019"/>
      <c r="D133" s="102"/>
      <c r="E133" s="29">
        <f>SUM(F133:AS133)</f>
        <v>0</v>
      </c>
      <c r="F133" s="31">
        <f>+F106-F126</f>
        <v>0</v>
      </c>
      <c r="G133" s="868">
        <f>+G106-G126</f>
        <v>0</v>
      </c>
      <c r="H133" s="868">
        <f t="shared" ref="H133:AS133" si="8">+H106-H126</f>
        <v>0</v>
      </c>
      <c r="I133" s="868">
        <f t="shared" si="8"/>
        <v>0</v>
      </c>
      <c r="J133" s="868">
        <f t="shared" si="8"/>
        <v>0</v>
      </c>
      <c r="K133" s="868">
        <f t="shared" si="8"/>
        <v>0</v>
      </c>
      <c r="L133" s="868">
        <f t="shared" si="8"/>
        <v>0</v>
      </c>
      <c r="M133" s="868">
        <f t="shared" si="8"/>
        <v>0</v>
      </c>
      <c r="N133" s="868">
        <f t="shared" si="8"/>
        <v>0</v>
      </c>
      <c r="O133" s="868">
        <f t="shared" si="8"/>
        <v>0</v>
      </c>
      <c r="P133" s="868">
        <f t="shared" si="8"/>
        <v>0</v>
      </c>
      <c r="Q133" s="868">
        <f t="shared" si="8"/>
        <v>0</v>
      </c>
      <c r="R133" s="868">
        <f t="shared" si="8"/>
        <v>0</v>
      </c>
      <c r="S133" s="868">
        <f t="shared" si="8"/>
        <v>0</v>
      </c>
      <c r="T133" s="868">
        <f t="shared" si="8"/>
        <v>0</v>
      </c>
      <c r="U133" s="868">
        <f t="shared" si="8"/>
        <v>0</v>
      </c>
      <c r="V133" s="868">
        <f t="shared" si="8"/>
        <v>0</v>
      </c>
      <c r="W133" s="868">
        <f t="shared" si="8"/>
        <v>0</v>
      </c>
      <c r="X133" s="868">
        <f t="shared" si="8"/>
        <v>0</v>
      </c>
      <c r="Y133" s="868">
        <f t="shared" si="8"/>
        <v>0</v>
      </c>
      <c r="Z133" s="868">
        <f t="shared" si="8"/>
        <v>0</v>
      </c>
      <c r="AA133" s="868">
        <f t="shared" si="8"/>
        <v>0</v>
      </c>
      <c r="AB133" s="868">
        <f t="shared" si="8"/>
        <v>0</v>
      </c>
      <c r="AC133" s="868">
        <f t="shared" si="8"/>
        <v>0</v>
      </c>
      <c r="AD133" s="868">
        <f t="shared" si="8"/>
        <v>0</v>
      </c>
      <c r="AE133" s="868">
        <f t="shared" si="8"/>
        <v>0</v>
      </c>
      <c r="AF133" s="868">
        <f t="shared" si="8"/>
        <v>0</v>
      </c>
      <c r="AG133" s="868">
        <f t="shared" si="8"/>
        <v>0</v>
      </c>
      <c r="AH133" s="868">
        <f t="shared" si="8"/>
        <v>0</v>
      </c>
      <c r="AI133" s="868">
        <f t="shared" si="8"/>
        <v>0</v>
      </c>
      <c r="AJ133" s="868">
        <f t="shared" si="8"/>
        <v>0</v>
      </c>
      <c r="AK133" s="868">
        <f t="shared" si="8"/>
        <v>0</v>
      </c>
      <c r="AL133" s="868">
        <f t="shared" si="8"/>
        <v>0</v>
      </c>
      <c r="AM133" s="868">
        <f t="shared" si="8"/>
        <v>0</v>
      </c>
      <c r="AN133" s="868">
        <f t="shared" si="8"/>
        <v>0</v>
      </c>
      <c r="AO133" s="868">
        <f t="shared" si="8"/>
        <v>0</v>
      </c>
      <c r="AP133" s="868">
        <f t="shared" si="8"/>
        <v>0</v>
      </c>
      <c r="AQ133" s="868">
        <f t="shared" si="8"/>
        <v>0</v>
      </c>
      <c r="AR133" s="868">
        <f t="shared" si="8"/>
        <v>0</v>
      </c>
      <c r="AS133" s="868">
        <f t="shared" si="8"/>
        <v>0</v>
      </c>
    </row>
    <row r="134" spans="1:46">
      <c r="A134" s="1279" t="s">
        <v>1110</v>
      </c>
      <c r="B134" s="276" t="s">
        <v>643</v>
      </c>
      <c r="C134" s="1019"/>
      <c r="D134" s="102"/>
      <c r="E134" s="34">
        <f>SUM(F134:AS134)</f>
        <v>0</v>
      </c>
      <c r="F134" s="1350">
        <f>+F107-F127</f>
        <v>0</v>
      </c>
      <c r="G134" s="1115">
        <f>+G107-G127</f>
        <v>0</v>
      </c>
      <c r="H134" s="1115">
        <f t="shared" ref="H134:AS134" si="9">+H107-H127</f>
        <v>0</v>
      </c>
      <c r="I134" s="1115">
        <f t="shared" si="9"/>
        <v>0</v>
      </c>
      <c r="J134" s="1115">
        <f t="shared" si="9"/>
        <v>0</v>
      </c>
      <c r="K134" s="1115">
        <f t="shared" si="9"/>
        <v>0</v>
      </c>
      <c r="L134" s="1115">
        <f t="shared" si="9"/>
        <v>0</v>
      </c>
      <c r="M134" s="1115">
        <f t="shared" si="9"/>
        <v>0</v>
      </c>
      <c r="N134" s="1115">
        <f t="shared" si="9"/>
        <v>0</v>
      </c>
      <c r="O134" s="1115">
        <f t="shared" si="9"/>
        <v>0</v>
      </c>
      <c r="P134" s="1115">
        <f t="shared" si="9"/>
        <v>0</v>
      </c>
      <c r="Q134" s="1115">
        <f t="shared" si="9"/>
        <v>0</v>
      </c>
      <c r="R134" s="1115">
        <f t="shared" si="9"/>
        <v>0</v>
      </c>
      <c r="S134" s="1115">
        <f t="shared" si="9"/>
        <v>0</v>
      </c>
      <c r="T134" s="1115">
        <f t="shared" si="9"/>
        <v>0</v>
      </c>
      <c r="U134" s="1115">
        <f t="shared" si="9"/>
        <v>0</v>
      </c>
      <c r="V134" s="1115">
        <f t="shared" si="9"/>
        <v>0</v>
      </c>
      <c r="W134" s="1115">
        <f t="shared" si="9"/>
        <v>0</v>
      </c>
      <c r="X134" s="1115">
        <f t="shared" si="9"/>
        <v>0</v>
      </c>
      <c r="Y134" s="1115">
        <f t="shared" si="9"/>
        <v>0</v>
      </c>
      <c r="Z134" s="1115">
        <f t="shared" si="9"/>
        <v>0</v>
      </c>
      <c r="AA134" s="1115">
        <f t="shared" si="9"/>
        <v>0</v>
      </c>
      <c r="AB134" s="1115">
        <f t="shared" si="9"/>
        <v>0</v>
      </c>
      <c r="AC134" s="1115">
        <f t="shared" si="9"/>
        <v>0</v>
      </c>
      <c r="AD134" s="1115">
        <f t="shared" si="9"/>
        <v>0</v>
      </c>
      <c r="AE134" s="1115">
        <f t="shared" si="9"/>
        <v>0</v>
      </c>
      <c r="AF134" s="1115">
        <f t="shared" si="9"/>
        <v>0</v>
      </c>
      <c r="AG134" s="1115">
        <f t="shared" si="9"/>
        <v>0</v>
      </c>
      <c r="AH134" s="1115">
        <f t="shared" si="9"/>
        <v>0</v>
      </c>
      <c r="AI134" s="1115">
        <f t="shared" si="9"/>
        <v>0</v>
      </c>
      <c r="AJ134" s="1115">
        <f t="shared" si="9"/>
        <v>0</v>
      </c>
      <c r="AK134" s="1115">
        <f t="shared" si="9"/>
        <v>0</v>
      </c>
      <c r="AL134" s="1115">
        <f t="shared" si="9"/>
        <v>0</v>
      </c>
      <c r="AM134" s="1115">
        <f t="shared" si="9"/>
        <v>0</v>
      </c>
      <c r="AN134" s="1115">
        <f t="shared" si="9"/>
        <v>0</v>
      </c>
      <c r="AO134" s="1115">
        <f t="shared" si="9"/>
        <v>0</v>
      </c>
      <c r="AP134" s="1115">
        <f t="shared" si="9"/>
        <v>0</v>
      </c>
      <c r="AQ134" s="1115">
        <f t="shared" si="9"/>
        <v>0</v>
      </c>
      <c r="AR134" s="1115">
        <f t="shared" si="9"/>
        <v>0</v>
      </c>
      <c r="AS134" s="1115">
        <f t="shared" si="9"/>
        <v>0</v>
      </c>
    </row>
    <row r="135" spans="1:46">
      <c r="A135" s="1279" t="s">
        <v>1110</v>
      </c>
      <c r="B135" s="276" t="s">
        <v>635</v>
      </c>
      <c r="C135" s="40"/>
      <c r="D135" s="29"/>
      <c r="E135" s="29">
        <f>SUM(F135:AS135)</f>
        <v>0</v>
      </c>
      <c r="F135" s="29">
        <f>+F133+F134</f>
        <v>0</v>
      </c>
      <c r="G135" s="868">
        <f>+G133+G134</f>
        <v>0</v>
      </c>
      <c r="H135" s="868">
        <f t="shared" ref="H135:AS135" si="10">+H133+H134</f>
        <v>0</v>
      </c>
      <c r="I135" s="868">
        <f t="shared" si="10"/>
        <v>0</v>
      </c>
      <c r="J135" s="868">
        <f t="shared" si="10"/>
        <v>0</v>
      </c>
      <c r="K135" s="868">
        <f t="shared" si="10"/>
        <v>0</v>
      </c>
      <c r="L135" s="868">
        <f t="shared" si="10"/>
        <v>0</v>
      </c>
      <c r="M135" s="868">
        <f t="shared" si="10"/>
        <v>0</v>
      </c>
      <c r="N135" s="868">
        <f t="shared" si="10"/>
        <v>0</v>
      </c>
      <c r="O135" s="868">
        <f t="shared" si="10"/>
        <v>0</v>
      </c>
      <c r="P135" s="868">
        <f t="shared" si="10"/>
        <v>0</v>
      </c>
      <c r="Q135" s="868">
        <f t="shared" si="10"/>
        <v>0</v>
      </c>
      <c r="R135" s="868">
        <f t="shared" si="10"/>
        <v>0</v>
      </c>
      <c r="S135" s="868">
        <f t="shared" si="10"/>
        <v>0</v>
      </c>
      <c r="T135" s="868">
        <f t="shared" si="10"/>
        <v>0</v>
      </c>
      <c r="U135" s="868">
        <f t="shared" si="10"/>
        <v>0</v>
      </c>
      <c r="V135" s="868">
        <f t="shared" si="10"/>
        <v>0</v>
      </c>
      <c r="W135" s="868">
        <f t="shared" si="10"/>
        <v>0</v>
      </c>
      <c r="X135" s="868">
        <f t="shared" si="10"/>
        <v>0</v>
      </c>
      <c r="Y135" s="868">
        <f t="shared" si="10"/>
        <v>0</v>
      </c>
      <c r="Z135" s="868">
        <f t="shared" si="10"/>
        <v>0</v>
      </c>
      <c r="AA135" s="868">
        <f t="shared" si="10"/>
        <v>0</v>
      </c>
      <c r="AB135" s="868">
        <f t="shared" si="10"/>
        <v>0</v>
      </c>
      <c r="AC135" s="868">
        <f t="shared" si="10"/>
        <v>0</v>
      </c>
      <c r="AD135" s="868">
        <f t="shared" si="10"/>
        <v>0</v>
      </c>
      <c r="AE135" s="868">
        <f t="shared" si="10"/>
        <v>0</v>
      </c>
      <c r="AF135" s="868">
        <f t="shared" si="10"/>
        <v>0</v>
      </c>
      <c r="AG135" s="868">
        <f t="shared" si="10"/>
        <v>0</v>
      </c>
      <c r="AH135" s="868">
        <f t="shared" si="10"/>
        <v>0</v>
      </c>
      <c r="AI135" s="868">
        <f t="shared" si="10"/>
        <v>0</v>
      </c>
      <c r="AJ135" s="868">
        <f t="shared" si="10"/>
        <v>0</v>
      </c>
      <c r="AK135" s="868">
        <f t="shared" si="10"/>
        <v>0</v>
      </c>
      <c r="AL135" s="868">
        <f t="shared" si="10"/>
        <v>0</v>
      </c>
      <c r="AM135" s="868">
        <f t="shared" si="10"/>
        <v>0</v>
      </c>
      <c r="AN135" s="868">
        <f t="shared" si="10"/>
        <v>0</v>
      </c>
      <c r="AO135" s="868">
        <f t="shared" si="10"/>
        <v>0</v>
      </c>
      <c r="AP135" s="868">
        <f t="shared" si="10"/>
        <v>0</v>
      </c>
      <c r="AQ135" s="868">
        <f t="shared" si="10"/>
        <v>0</v>
      </c>
      <c r="AR135" s="868">
        <f t="shared" si="10"/>
        <v>0</v>
      </c>
      <c r="AS135" s="868">
        <f t="shared" si="10"/>
        <v>0</v>
      </c>
      <c r="AT135" s="693"/>
    </row>
    <row r="136" spans="1:46" ht="15.6">
      <c r="A136" s="1279" t="s">
        <v>1110</v>
      </c>
      <c r="B136" s="147"/>
      <c r="C136" s="40"/>
      <c r="D136" s="1024"/>
      <c r="E136" s="1024">
        <f>IF(E128&gt;0,+E135/E128,0)</f>
        <v>0</v>
      </c>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row>
    <row r="137" spans="1:46" ht="15.6">
      <c r="A137" s="1279" t="s">
        <v>1110</v>
      </c>
      <c r="B137" s="148" t="str">
        <f>IF(SS_Comparison="n","Cumulative default benefits","Cumulative alternative benefits") &amp; " - more/(less) than default"</f>
        <v>Cumulative default benefits - more/(less) than default</v>
      </c>
      <c r="C137" s="40"/>
      <c r="D137" s="1024"/>
      <c r="E137" s="1024"/>
      <c r="F137" s="29">
        <f>+F110-F130</f>
        <v>0</v>
      </c>
      <c r="G137" s="868">
        <f>+G110-G130</f>
        <v>0</v>
      </c>
      <c r="H137" s="868">
        <f t="shared" ref="H137:AS137" si="11">+H110-H130</f>
        <v>0</v>
      </c>
      <c r="I137" s="868">
        <f t="shared" si="11"/>
        <v>0</v>
      </c>
      <c r="J137" s="868">
        <f t="shared" si="11"/>
        <v>0</v>
      </c>
      <c r="K137" s="868">
        <f t="shared" si="11"/>
        <v>0</v>
      </c>
      <c r="L137" s="868">
        <f t="shared" si="11"/>
        <v>0</v>
      </c>
      <c r="M137" s="868">
        <f t="shared" si="11"/>
        <v>0</v>
      </c>
      <c r="N137" s="868">
        <f t="shared" si="11"/>
        <v>0</v>
      </c>
      <c r="O137" s="868">
        <f t="shared" si="11"/>
        <v>0</v>
      </c>
      <c r="P137" s="868">
        <f t="shared" si="11"/>
        <v>0</v>
      </c>
      <c r="Q137" s="868">
        <f t="shared" si="11"/>
        <v>0</v>
      </c>
      <c r="R137" s="868">
        <f t="shared" si="11"/>
        <v>0</v>
      </c>
      <c r="S137" s="868">
        <f t="shared" si="11"/>
        <v>0</v>
      </c>
      <c r="T137" s="868">
        <f t="shared" si="11"/>
        <v>0</v>
      </c>
      <c r="U137" s="868">
        <f t="shared" si="11"/>
        <v>0</v>
      </c>
      <c r="V137" s="868">
        <f t="shared" si="11"/>
        <v>0</v>
      </c>
      <c r="W137" s="868">
        <f t="shared" si="11"/>
        <v>0</v>
      </c>
      <c r="X137" s="868">
        <f t="shared" si="11"/>
        <v>0</v>
      </c>
      <c r="Y137" s="868">
        <f t="shared" si="11"/>
        <v>0</v>
      </c>
      <c r="Z137" s="868">
        <f t="shared" si="11"/>
        <v>0</v>
      </c>
      <c r="AA137" s="868">
        <f t="shared" si="11"/>
        <v>0</v>
      </c>
      <c r="AB137" s="868">
        <f t="shared" si="11"/>
        <v>0</v>
      </c>
      <c r="AC137" s="868">
        <f t="shared" si="11"/>
        <v>0</v>
      </c>
      <c r="AD137" s="868">
        <f t="shared" si="11"/>
        <v>0</v>
      </c>
      <c r="AE137" s="868">
        <f t="shared" si="11"/>
        <v>0</v>
      </c>
      <c r="AF137" s="868">
        <f t="shared" si="11"/>
        <v>0</v>
      </c>
      <c r="AG137" s="868">
        <f t="shared" si="11"/>
        <v>0</v>
      </c>
      <c r="AH137" s="868">
        <f t="shared" si="11"/>
        <v>0</v>
      </c>
      <c r="AI137" s="868">
        <f t="shared" si="11"/>
        <v>0</v>
      </c>
      <c r="AJ137" s="868">
        <f t="shared" si="11"/>
        <v>0</v>
      </c>
      <c r="AK137" s="868">
        <f t="shared" si="11"/>
        <v>0</v>
      </c>
      <c r="AL137" s="868">
        <f t="shared" si="11"/>
        <v>0</v>
      </c>
      <c r="AM137" s="868">
        <f>+AM110-AM130</f>
        <v>0</v>
      </c>
      <c r="AN137" s="868">
        <f t="shared" si="11"/>
        <v>0</v>
      </c>
      <c r="AO137" s="868">
        <f t="shared" si="11"/>
        <v>0</v>
      </c>
      <c r="AP137" s="868">
        <f t="shared" si="11"/>
        <v>0</v>
      </c>
      <c r="AQ137" s="868">
        <f t="shared" si="11"/>
        <v>0</v>
      </c>
      <c r="AR137" s="868">
        <f t="shared" si="11"/>
        <v>0</v>
      </c>
      <c r="AS137" s="868">
        <f t="shared" si="11"/>
        <v>0</v>
      </c>
    </row>
    <row r="138" spans="1:46" ht="15" customHeight="1">
      <c r="A138" s="1279" t="s">
        <v>1110</v>
      </c>
      <c r="B138" s="276"/>
      <c r="C138" s="236"/>
      <c r="D138" s="236"/>
      <c r="E138" s="236"/>
      <c r="F138" s="236"/>
      <c r="I138" s="304"/>
      <c r="J138" s="304"/>
      <c r="K138" s="304"/>
      <c r="L138" s="53"/>
      <c r="M138" s="54"/>
      <c r="N138" s="54"/>
    </row>
    <row r="139" spans="1:46" ht="15.6">
      <c r="A139" s="1279" t="s">
        <v>1110</v>
      </c>
      <c r="B139" s="147" t="s">
        <v>823</v>
      </c>
      <c r="C139" s="40"/>
      <c r="D139" s="102">
        <f>ROUND(NPV(Discount_Rate,Results!F139:AS139)/Round_To,0)*Round_To</f>
        <v>659200</v>
      </c>
      <c r="E139" s="102">
        <f>SUM(F139:AS139)</f>
        <v>1140000</v>
      </c>
      <c r="F139" s="88">
        <f>+Base!F165</f>
        <v>0</v>
      </c>
      <c r="G139" s="1157">
        <f>+Base!G165</f>
        <v>0</v>
      </c>
      <c r="H139" s="1157">
        <f>+Base!H165</f>
        <v>0</v>
      </c>
      <c r="I139" s="1157">
        <f>+Base!I165</f>
        <v>0</v>
      </c>
      <c r="J139" s="1157">
        <f>+Base!J165</f>
        <v>0</v>
      </c>
      <c r="K139" s="1157">
        <f>+Base!K165</f>
        <v>18800</v>
      </c>
      <c r="L139" s="1157">
        <f>+Base!L165</f>
        <v>19100</v>
      </c>
      <c r="M139" s="1157">
        <f>+Base!M165</f>
        <v>19600</v>
      </c>
      <c r="N139" s="1157">
        <f>+Base!N165</f>
        <v>33400</v>
      </c>
      <c r="O139" s="1157">
        <f>+Base!O165</f>
        <v>34900</v>
      </c>
      <c r="P139" s="1157">
        <f>+Base!P165</f>
        <v>36100</v>
      </c>
      <c r="Q139" s="1157">
        <f>+Base!Q165</f>
        <v>38000</v>
      </c>
      <c r="R139" s="1157">
        <f>+Base!R165</f>
        <v>44300</v>
      </c>
      <c r="S139" s="1157">
        <f>+Base!S165</f>
        <v>47000</v>
      </c>
      <c r="T139" s="1157">
        <f>+Base!T165</f>
        <v>59600</v>
      </c>
      <c r="U139" s="1157">
        <f>+Base!U165</f>
        <v>66800</v>
      </c>
      <c r="V139" s="1157">
        <f>+Base!V165</f>
        <v>53600</v>
      </c>
      <c r="W139" s="1157">
        <f>+Base!W165</f>
        <v>54600</v>
      </c>
      <c r="X139" s="1157">
        <f>+Base!X165</f>
        <v>55700</v>
      </c>
      <c r="Y139" s="1157">
        <f>+Base!Y165</f>
        <v>56800</v>
      </c>
      <c r="Z139" s="1157">
        <f>+Base!Z165</f>
        <v>57900</v>
      </c>
      <c r="AA139" s="1157">
        <f>+Base!AA165</f>
        <v>59100</v>
      </c>
      <c r="AB139" s="1157">
        <f>+Base!AB165</f>
        <v>60300</v>
      </c>
      <c r="AC139" s="1157">
        <f>+Base!AC165</f>
        <v>61500</v>
      </c>
      <c r="AD139" s="1157">
        <f>+Base!AD165</f>
        <v>41700</v>
      </c>
      <c r="AE139" s="1157">
        <f>+Base!AE165</f>
        <v>42500</v>
      </c>
      <c r="AF139" s="1157">
        <f>+Base!AF165</f>
        <v>43400</v>
      </c>
      <c r="AG139" s="1157">
        <f>+Base!AG165</f>
        <v>44200</v>
      </c>
      <c r="AH139" s="1157">
        <f>+Base!AH165</f>
        <v>45100</v>
      </c>
      <c r="AI139" s="1157">
        <f>+Base!AI165</f>
        <v>46000</v>
      </c>
      <c r="AJ139" s="1157">
        <f>+Base!AJ165</f>
        <v>0</v>
      </c>
      <c r="AK139" s="1157">
        <f>+Base!AK165</f>
        <v>0</v>
      </c>
      <c r="AL139" s="1157">
        <f>+Base!AL165</f>
        <v>0</v>
      </c>
      <c r="AM139" s="1157">
        <f>+Base!AM165</f>
        <v>0</v>
      </c>
      <c r="AN139" s="1157">
        <f>+Base!AN165</f>
        <v>0</v>
      </c>
      <c r="AO139" s="1157">
        <f>+Base!AO165</f>
        <v>0</v>
      </c>
      <c r="AP139" s="1157">
        <f>+Base!AP165</f>
        <v>0</v>
      </c>
      <c r="AQ139" s="1157">
        <f>+Base!AQ165</f>
        <v>0</v>
      </c>
      <c r="AR139" s="1157">
        <f>+Base!AR165</f>
        <v>0</v>
      </c>
      <c r="AS139" s="1157">
        <f>+Base!AS165</f>
        <v>0</v>
      </c>
      <c r="AT139" s="693"/>
    </row>
    <row r="140" spans="1:46" ht="15.6">
      <c r="A140" s="1279" t="s">
        <v>1110</v>
      </c>
      <c r="B140" s="147" t="str">
        <f>IF(SS_Comparison="n","Taxable default benefits","Taxable alternative benefits") &amp; " - more/(less) than default"</f>
        <v>Taxable default benefits - more/(less) than default</v>
      </c>
      <c r="C140" s="40"/>
      <c r="D140" s="29">
        <f>D112-D139</f>
        <v>0</v>
      </c>
      <c r="E140" s="29">
        <f>E112-E139</f>
        <v>0</v>
      </c>
      <c r="F140" s="29">
        <f>F112-F139</f>
        <v>0</v>
      </c>
      <c r="G140" s="868">
        <f>+G112-G139</f>
        <v>0</v>
      </c>
      <c r="H140" s="868">
        <f t="shared" ref="H140:AS140" si="12">+H112-H139</f>
        <v>0</v>
      </c>
      <c r="I140" s="868">
        <f t="shared" si="12"/>
        <v>0</v>
      </c>
      <c r="J140" s="868">
        <f t="shared" si="12"/>
        <v>0</v>
      </c>
      <c r="K140" s="868">
        <f t="shared" si="12"/>
        <v>0</v>
      </c>
      <c r="L140" s="868">
        <f t="shared" si="12"/>
        <v>0</v>
      </c>
      <c r="M140" s="868">
        <f t="shared" si="12"/>
        <v>0</v>
      </c>
      <c r="N140" s="868">
        <f t="shared" si="12"/>
        <v>0</v>
      </c>
      <c r="O140" s="868">
        <f t="shared" si="12"/>
        <v>0</v>
      </c>
      <c r="P140" s="868">
        <f t="shared" si="12"/>
        <v>0</v>
      </c>
      <c r="Q140" s="868">
        <f t="shared" si="12"/>
        <v>0</v>
      </c>
      <c r="R140" s="868">
        <f t="shared" si="12"/>
        <v>0</v>
      </c>
      <c r="S140" s="868">
        <f t="shared" si="12"/>
        <v>0</v>
      </c>
      <c r="T140" s="868">
        <f t="shared" si="12"/>
        <v>0</v>
      </c>
      <c r="U140" s="868">
        <f t="shared" si="12"/>
        <v>0</v>
      </c>
      <c r="V140" s="868">
        <f t="shared" si="12"/>
        <v>0</v>
      </c>
      <c r="W140" s="868">
        <f t="shared" si="12"/>
        <v>0</v>
      </c>
      <c r="X140" s="868">
        <f t="shared" si="12"/>
        <v>0</v>
      </c>
      <c r="Y140" s="868">
        <f t="shared" si="12"/>
        <v>0</v>
      </c>
      <c r="Z140" s="868">
        <f t="shared" si="12"/>
        <v>0</v>
      </c>
      <c r="AA140" s="868">
        <f t="shared" si="12"/>
        <v>0</v>
      </c>
      <c r="AB140" s="868">
        <f t="shared" si="12"/>
        <v>0</v>
      </c>
      <c r="AC140" s="868">
        <f t="shared" si="12"/>
        <v>0</v>
      </c>
      <c r="AD140" s="868">
        <f t="shared" si="12"/>
        <v>0</v>
      </c>
      <c r="AE140" s="868">
        <f t="shared" si="12"/>
        <v>0</v>
      </c>
      <c r="AF140" s="868">
        <f t="shared" si="12"/>
        <v>0</v>
      </c>
      <c r="AG140" s="868">
        <f t="shared" si="12"/>
        <v>0</v>
      </c>
      <c r="AH140" s="868">
        <f t="shared" si="12"/>
        <v>0</v>
      </c>
      <c r="AI140" s="868">
        <f t="shared" si="12"/>
        <v>0</v>
      </c>
      <c r="AJ140" s="868">
        <f t="shared" si="12"/>
        <v>0</v>
      </c>
      <c r="AK140" s="868">
        <f t="shared" si="12"/>
        <v>0</v>
      </c>
      <c r="AL140" s="868">
        <f t="shared" si="12"/>
        <v>0</v>
      </c>
      <c r="AM140" s="868">
        <f t="shared" si="12"/>
        <v>0</v>
      </c>
      <c r="AN140" s="868">
        <f t="shared" si="12"/>
        <v>0</v>
      </c>
      <c r="AO140" s="868">
        <f t="shared" si="12"/>
        <v>0</v>
      </c>
      <c r="AP140" s="868">
        <f t="shared" si="12"/>
        <v>0</v>
      </c>
      <c r="AQ140" s="868">
        <f t="shared" si="12"/>
        <v>0</v>
      </c>
      <c r="AR140" s="868">
        <f t="shared" si="12"/>
        <v>0</v>
      </c>
      <c r="AS140" s="868">
        <f t="shared" si="12"/>
        <v>0</v>
      </c>
      <c r="AT140" s="693"/>
    </row>
    <row r="141" spans="1:46" ht="19.95" customHeight="1">
      <c r="A141" s="1279" t="s">
        <v>1110</v>
      </c>
      <c r="C141" s="40"/>
      <c r="D141" s="29"/>
      <c r="E141" s="29"/>
      <c r="F141" s="29"/>
      <c r="G141" s="868"/>
      <c r="H141" s="868"/>
      <c r="I141" s="868"/>
      <c r="J141" s="868"/>
      <c r="K141" s="868"/>
      <c r="L141" s="868"/>
      <c r="M141" s="868"/>
      <c r="N141" s="868"/>
      <c r="O141" s="868"/>
      <c r="P141" s="868"/>
      <c r="Q141" s="868"/>
      <c r="R141" s="868"/>
      <c r="S141" s="868"/>
      <c r="T141" s="868"/>
      <c r="U141" s="868"/>
      <c r="V141" s="868"/>
      <c r="W141" s="868"/>
      <c r="X141" s="868"/>
      <c r="Y141" s="868"/>
      <c r="Z141" s="868"/>
      <c r="AA141" s="868"/>
      <c r="AB141" s="868"/>
      <c r="AC141" s="868"/>
      <c r="AD141" s="868"/>
      <c r="AE141" s="868"/>
      <c r="AF141" s="868"/>
      <c r="AG141" s="868"/>
      <c r="AH141" s="868"/>
      <c r="AI141" s="868"/>
      <c r="AJ141" s="868"/>
      <c r="AK141" s="868"/>
      <c r="AL141" s="868"/>
      <c r="AM141" s="868"/>
      <c r="AN141" s="868"/>
      <c r="AO141" s="868"/>
      <c r="AP141" s="868"/>
      <c r="AQ141" s="868"/>
      <c r="AR141" s="868"/>
      <c r="AS141" s="868"/>
      <c r="AT141" s="693"/>
    </row>
    <row r="142" spans="1:46" ht="15.6">
      <c r="A142" s="1279" t="s">
        <v>1110</v>
      </c>
      <c r="B142" s="390" t="s">
        <v>829</v>
      </c>
      <c r="C142" s="344"/>
      <c r="D142" s="29"/>
      <c r="E142" s="97"/>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row>
    <row r="143" spans="1:46" ht="15.6">
      <c r="A143" s="1279" t="s">
        <v>1110</v>
      </c>
      <c r="B143" s="494" t="s">
        <v>484</v>
      </c>
      <c r="C143" s="305">
        <f>SUM(F143:AS143)</f>
        <v>0.40000000000000019</v>
      </c>
      <c r="D143" s="686"/>
      <c r="F143" s="1340">
        <v>0.01</v>
      </c>
      <c r="G143" s="745">
        <f t="shared" ref="G143:AS143" si="13">IF(OR(F137=0,G137=0),0.01,IF(SIGN(G137)&lt;&gt;SIGN(F137),G1,0.01))</f>
        <v>0.01</v>
      </c>
      <c r="H143" s="745">
        <f t="shared" si="13"/>
        <v>0.01</v>
      </c>
      <c r="I143" s="745">
        <f t="shared" si="13"/>
        <v>0.01</v>
      </c>
      <c r="J143" s="745">
        <f t="shared" si="13"/>
        <v>0.01</v>
      </c>
      <c r="K143" s="745">
        <f t="shared" si="13"/>
        <v>0.01</v>
      </c>
      <c r="L143" s="745">
        <f t="shared" si="13"/>
        <v>0.01</v>
      </c>
      <c r="M143" s="745">
        <f t="shared" si="13"/>
        <v>0.01</v>
      </c>
      <c r="N143" s="745">
        <f t="shared" si="13"/>
        <v>0.01</v>
      </c>
      <c r="O143" s="745">
        <f t="shared" si="13"/>
        <v>0.01</v>
      </c>
      <c r="P143" s="745">
        <f t="shared" si="13"/>
        <v>0.01</v>
      </c>
      <c r="Q143" s="745">
        <f t="shared" si="13"/>
        <v>0.01</v>
      </c>
      <c r="R143" s="745">
        <f t="shared" si="13"/>
        <v>0.01</v>
      </c>
      <c r="S143" s="745">
        <f t="shared" si="13"/>
        <v>0.01</v>
      </c>
      <c r="T143" s="745">
        <f t="shared" si="13"/>
        <v>0.01</v>
      </c>
      <c r="U143" s="745">
        <f t="shared" si="13"/>
        <v>0.01</v>
      </c>
      <c r="V143" s="745">
        <f t="shared" si="13"/>
        <v>0.01</v>
      </c>
      <c r="W143" s="745">
        <f t="shared" si="13"/>
        <v>0.01</v>
      </c>
      <c r="X143" s="745">
        <f t="shared" si="13"/>
        <v>0.01</v>
      </c>
      <c r="Y143" s="745">
        <f t="shared" si="13"/>
        <v>0.01</v>
      </c>
      <c r="Z143" s="745">
        <f t="shared" si="13"/>
        <v>0.01</v>
      </c>
      <c r="AA143" s="745">
        <f t="shared" si="13"/>
        <v>0.01</v>
      </c>
      <c r="AB143" s="745">
        <f t="shared" si="13"/>
        <v>0.01</v>
      </c>
      <c r="AC143" s="745">
        <f t="shared" si="13"/>
        <v>0.01</v>
      </c>
      <c r="AD143" s="745">
        <f t="shared" si="13"/>
        <v>0.01</v>
      </c>
      <c r="AE143" s="745">
        <f t="shared" si="13"/>
        <v>0.01</v>
      </c>
      <c r="AF143" s="745">
        <f t="shared" si="13"/>
        <v>0.01</v>
      </c>
      <c r="AG143" s="745">
        <f t="shared" si="13"/>
        <v>0.01</v>
      </c>
      <c r="AH143" s="745">
        <f t="shared" si="13"/>
        <v>0.01</v>
      </c>
      <c r="AI143" s="745">
        <f t="shared" si="13"/>
        <v>0.01</v>
      </c>
      <c r="AJ143" s="745">
        <f t="shared" si="13"/>
        <v>0.01</v>
      </c>
      <c r="AK143" s="745">
        <f t="shared" si="13"/>
        <v>0.01</v>
      </c>
      <c r="AL143" s="745">
        <f t="shared" si="13"/>
        <v>0.01</v>
      </c>
      <c r="AM143" s="745">
        <f>IF(OR(AL137=0,AM137=0),0.01,IF(SIGN(AM137)&lt;&gt;SIGN(AL137),AM1,0.01))</f>
        <v>0.01</v>
      </c>
      <c r="AN143" s="745">
        <f>IF(OR(AM137=0,AN137=0),0.01,IF(SIGN(AN137)&lt;&gt;SIGN(AM137),AN1,0.01))</f>
        <v>0.01</v>
      </c>
      <c r="AO143" s="745">
        <f t="shared" si="13"/>
        <v>0.01</v>
      </c>
      <c r="AP143" s="745">
        <f t="shared" si="13"/>
        <v>0.01</v>
      </c>
      <c r="AQ143" s="745">
        <f t="shared" si="13"/>
        <v>0.01</v>
      </c>
      <c r="AR143" s="745">
        <f t="shared" si="13"/>
        <v>0.01</v>
      </c>
      <c r="AS143" s="745">
        <f t="shared" si="13"/>
        <v>0.01</v>
      </c>
    </row>
    <row r="144" spans="1:46">
      <c r="A144" s="1279" t="s">
        <v>1110</v>
      </c>
      <c r="B144" s="495" t="s">
        <v>483</v>
      </c>
      <c r="C144" s="305">
        <f>SUM(F144:AS144)</f>
        <v>0.40000000000000019</v>
      </c>
      <c r="D144" s="1283" t="str">
        <f>IF(C144&lt;1,"req using optional  benefits",".")</f>
        <v>req using optional  benefits</v>
      </c>
      <c r="F144" s="1340">
        <v>0.01</v>
      </c>
      <c r="G144" s="745">
        <f t="shared" ref="G144:AS144" si="14">IF(OR(F370=0,G370=0),0.01,IF(SIGN(G370)&lt;&gt;SIGN(F370),G1,0.01))</f>
        <v>0.01</v>
      </c>
      <c r="H144" s="745">
        <f t="shared" si="14"/>
        <v>0.01</v>
      </c>
      <c r="I144" s="745">
        <f t="shared" si="14"/>
        <v>0.01</v>
      </c>
      <c r="J144" s="745">
        <f t="shared" si="14"/>
        <v>0.01</v>
      </c>
      <c r="K144" s="745">
        <f t="shared" si="14"/>
        <v>0.01</v>
      </c>
      <c r="L144" s="745">
        <f t="shared" si="14"/>
        <v>0.01</v>
      </c>
      <c r="M144" s="745">
        <f t="shared" si="14"/>
        <v>0.01</v>
      </c>
      <c r="N144" s="745">
        <f t="shared" si="14"/>
        <v>0.01</v>
      </c>
      <c r="O144" s="745">
        <f t="shared" si="14"/>
        <v>0.01</v>
      </c>
      <c r="P144" s="745">
        <f t="shared" si="14"/>
        <v>0.01</v>
      </c>
      <c r="Q144" s="745">
        <f t="shared" si="14"/>
        <v>0.01</v>
      </c>
      <c r="R144" s="745">
        <f t="shared" si="14"/>
        <v>0.01</v>
      </c>
      <c r="S144" s="745">
        <f t="shared" si="14"/>
        <v>0.01</v>
      </c>
      <c r="T144" s="745">
        <f t="shared" si="14"/>
        <v>0.01</v>
      </c>
      <c r="U144" s="745">
        <f t="shared" si="14"/>
        <v>0.01</v>
      </c>
      <c r="V144" s="745">
        <f t="shared" si="14"/>
        <v>0.01</v>
      </c>
      <c r="W144" s="745">
        <f t="shared" si="14"/>
        <v>0.01</v>
      </c>
      <c r="X144" s="745">
        <f t="shared" si="14"/>
        <v>0.01</v>
      </c>
      <c r="Y144" s="745">
        <f t="shared" si="14"/>
        <v>0.01</v>
      </c>
      <c r="Z144" s="745">
        <f t="shared" si="14"/>
        <v>0.01</v>
      </c>
      <c r="AA144" s="745">
        <f t="shared" si="14"/>
        <v>0.01</v>
      </c>
      <c r="AB144" s="745">
        <f t="shared" si="14"/>
        <v>0.01</v>
      </c>
      <c r="AC144" s="745">
        <f t="shared" si="14"/>
        <v>0.01</v>
      </c>
      <c r="AD144" s="745">
        <f t="shared" si="14"/>
        <v>0.01</v>
      </c>
      <c r="AE144" s="745">
        <f t="shared" si="14"/>
        <v>0.01</v>
      </c>
      <c r="AF144" s="745">
        <f t="shared" si="14"/>
        <v>0.01</v>
      </c>
      <c r="AG144" s="745">
        <f t="shared" si="14"/>
        <v>0.01</v>
      </c>
      <c r="AH144" s="745">
        <f t="shared" si="14"/>
        <v>0.01</v>
      </c>
      <c r="AI144" s="745">
        <f t="shared" si="14"/>
        <v>0.01</v>
      </c>
      <c r="AJ144" s="745">
        <f t="shared" si="14"/>
        <v>0.01</v>
      </c>
      <c r="AK144" s="745">
        <f t="shared" si="14"/>
        <v>0.01</v>
      </c>
      <c r="AL144" s="745">
        <f t="shared" si="14"/>
        <v>0.01</v>
      </c>
      <c r="AM144" s="745">
        <f t="shared" si="14"/>
        <v>0.01</v>
      </c>
      <c r="AN144" s="745">
        <f t="shared" si="14"/>
        <v>0.01</v>
      </c>
      <c r="AO144" s="745">
        <f t="shared" si="14"/>
        <v>0.01</v>
      </c>
      <c r="AP144" s="745">
        <f t="shared" si="14"/>
        <v>0.01</v>
      </c>
      <c r="AQ144" s="745">
        <f t="shared" si="14"/>
        <v>0.01</v>
      </c>
      <c r="AR144" s="745">
        <f t="shared" si="14"/>
        <v>0.01</v>
      </c>
      <c r="AS144" s="745">
        <f t="shared" si="14"/>
        <v>0.01</v>
      </c>
    </row>
    <row r="145" spans="1:53" ht="15.6">
      <c r="A145" s="686"/>
      <c r="B145" s="1320" t="s">
        <v>530</v>
      </c>
      <c r="C145" s="305"/>
      <c r="D145" s="686"/>
      <c r="F145" s="745"/>
      <c r="G145" s="745"/>
      <c r="H145" s="744"/>
      <c r="I145" s="744"/>
      <c r="J145" s="744"/>
      <c r="K145" s="744"/>
      <c r="L145" s="744"/>
      <c r="M145" s="744"/>
      <c r="N145" s="744"/>
      <c r="O145" s="744"/>
      <c r="P145" s="744"/>
      <c r="Q145" s="744"/>
      <c r="R145" s="744"/>
      <c r="S145" s="744"/>
      <c r="T145" s="744"/>
      <c r="U145" s="744"/>
      <c r="V145" s="744"/>
      <c r="W145" s="744"/>
      <c r="X145" s="744"/>
      <c r="Y145" s="744"/>
      <c r="Z145" s="744"/>
      <c r="AA145" s="744"/>
      <c r="AB145" s="744"/>
      <c r="AC145" s="744"/>
      <c r="AD145" s="744"/>
      <c r="AE145" s="744"/>
      <c r="AF145" s="744"/>
      <c r="AG145" s="744"/>
      <c r="AH145" s="744"/>
      <c r="AI145" s="744"/>
      <c r="AJ145" s="744"/>
      <c r="AK145" s="744"/>
      <c r="AL145" s="744"/>
      <c r="AM145" s="744"/>
      <c r="AN145" s="744"/>
      <c r="AO145" s="744"/>
      <c r="AP145" s="744"/>
      <c r="AQ145" s="744"/>
      <c r="AR145" s="744"/>
      <c r="AS145" s="744"/>
    </row>
    <row r="146" spans="1:53" ht="15" customHeight="1">
      <c r="C146" s="140"/>
      <c r="D146" s="321"/>
      <c r="E146" s="321"/>
      <c r="G146" s="321"/>
      <c r="H146" s="321"/>
      <c r="I146" s="321"/>
      <c r="J146" s="321"/>
      <c r="K146" s="321"/>
      <c r="L146" s="92"/>
      <c r="M146" s="86"/>
      <c r="N146" s="223"/>
      <c r="O146" s="212"/>
      <c r="P146" s="212"/>
      <c r="Q146" s="212"/>
      <c r="R146" s="212"/>
      <c r="S146" s="212"/>
      <c r="T146" s="212"/>
      <c r="U146" s="212"/>
      <c r="V146" s="212"/>
      <c r="W146" s="212"/>
      <c r="X146" s="212"/>
      <c r="Y146" s="212"/>
      <c r="Z146" s="212"/>
      <c r="AA146" s="212"/>
      <c r="AB146" s="212"/>
      <c r="AC146" s="212"/>
      <c r="AD146" s="212"/>
      <c r="AE146" s="212"/>
      <c r="AF146" s="212"/>
      <c r="AG146" s="212"/>
      <c r="AH146" s="212"/>
      <c r="AI146" s="212"/>
      <c r="AJ146" s="212"/>
      <c r="AK146" s="212"/>
      <c r="AL146" s="212"/>
      <c r="AM146" s="212"/>
      <c r="AN146" s="212"/>
      <c r="AO146" s="212"/>
      <c r="AP146" s="212"/>
      <c r="AQ146" s="212"/>
      <c r="AR146" s="212"/>
      <c r="AS146" s="212"/>
    </row>
    <row r="147" spans="1:53" ht="18" customHeight="1">
      <c r="A147" s="1321"/>
      <c r="B147" s="1163" t="s">
        <v>215</v>
      </c>
      <c r="C147" s="1163"/>
      <c r="D147" s="1163"/>
      <c r="E147" s="1164"/>
      <c r="F147" s="1172" t="s">
        <v>956</v>
      </c>
      <c r="J147" s="5"/>
      <c r="P147" s="13"/>
      <c r="Q147" s="13"/>
      <c r="R147" s="13"/>
      <c r="S147" s="13"/>
      <c r="T147" s="13"/>
      <c r="U147" s="13"/>
      <c r="V147" s="13"/>
      <c r="W147" s="13"/>
      <c r="X147" s="13"/>
      <c r="Y147" s="13"/>
      <c r="Z147" s="13"/>
      <c r="AA147" s="13"/>
      <c r="AB147" s="13"/>
      <c r="AC147" s="13"/>
      <c r="AD147" s="13"/>
      <c r="AE147" s="13"/>
      <c r="AF147" s="13"/>
      <c r="AG147" s="13"/>
      <c r="AH147" s="13"/>
      <c r="AI147" s="13"/>
      <c r="AJ147" s="13"/>
      <c r="AK147" s="13"/>
      <c r="AL147" s="13"/>
      <c r="AM147" s="13"/>
      <c r="AN147" s="13"/>
      <c r="AO147" s="13"/>
      <c r="AP147" s="13"/>
      <c r="AQ147" s="13"/>
      <c r="AR147" s="13"/>
      <c r="AS147" s="13"/>
      <c r="AT147" s="785"/>
      <c r="AU147" s="13"/>
      <c r="AV147" s="13"/>
      <c r="AW147" s="13"/>
      <c r="AX147" s="13"/>
      <c r="AY147" s="13"/>
      <c r="AZ147" s="13"/>
      <c r="BA147" s="13"/>
    </row>
    <row r="148" spans="1:53" ht="17.399999999999999">
      <c r="A148" s="1279" t="s">
        <v>531</v>
      </c>
      <c r="B148" s="1218" t="str">
        <f>IF(Include_Roth="y"," conversions included in portfolio"," conversions not included")</f>
        <v xml:space="preserve"> conversions not included</v>
      </c>
      <c r="C148" s="410"/>
      <c r="D148" s="410"/>
      <c r="E148" s="410"/>
      <c r="F148" s="410"/>
      <c r="K148" s="1338" t="s">
        <v>819</v>
      </c>
      <c r="L148" s="332"/>
      <c r="O148" s="332"/>
      <c r="P148" s="332"/>
      <c r="Q148" s="13"/>
      <c r="R148" s="13"/>
      <c r="S148" s="13"/>
      <c r="T148" s="13"/>
      <c r="U148" s="13"/>
      <c r="V148" s="13"/>
      <c r="W148" s="13"/>
      <c r="X148" s="13"/>
      <c r="Y148" s="13"/>
      <c r="Z148" s="13"/>
      <c r="AA148" s="13"/>
      <c r="AB148" s="13"/>
      <c r="AC148" s="13"/>
      <c r="AD148" s="13"/>
      <c r="AE148" s="13"/>
      <c r="AF148" s="13"/>
      <c r="AG148" s="13"/>
      <c r="AH148" s="13"/>
      <c r="AI148" s="13"/>
      <c r="AJ148" s="13"/>
      <c r="AK148" s="13"/>
      <c r="AL148" s="13"/>
      <c r="AM148" s="13"/>
      <c r="AN148" s="13"/>
      <c r="AO148" s="13"/>
      <c r="AP148" s="13"/>
      <c r="AQ148" s="13"/>
      <c r="AR148" s="13"/>
      <c r="AS148" s="13"/>
      <c r="AT148" s="785"/>
      <c r="AU148" s="13"/>
      <c r="AV148" s="13"/>
      <c r="AW148" s="13"/>
      <c r="AX148" s="13"/>
      <c r="AY148" s="13"/>
      <c r="AZ148" s="13"/>
      <c r="BA148" s="13"/>
    </row>
    <row r="149" spans="1:53" ht="15.6">
      <c r="A149" s="1279" t="s">
        <v>531</v>
      </c>
      <c r="B149" s="22"/>
      <c r="D149" s="29"/>
      <c r="E149" s="29"/>
      <c r="F149" s="86"/>
      <c r="G149" s="13"/>
      <c r="H149" s="13"/>
      <c r="K149" s="923" t="str">
        <f>IF(Include_Roth="y","Roth conversions included","--")</f>
        <v>--</v>
      </c>
      <c r="L149" s="317"/>
      <c r="O149" s="317"/>
      <c r="P149" s="317"/>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785"/>
      <c r="AU149" s="13"/>
      <c r="AV149" s="13"/>
      <c r="AW149" s="13"/>
      <c r="AX149" s="13"/>
      <c r="AY149" s="13"/>
      <c r="AZ149" s="13"/>
      <c r="BA149" s="13"/>
    </row>
    <row r="150" spans="1:53" ht="17.399999999999999">
      <c r="A150" s="1279" t="s">
        <v>531</v>
      </c>
      <c r="B150" s="441" t="s">
        <v>549</v>
      </c>
      <c r="C150" s="410"/>
      <c r="D150" s="6" t="s">
        <v>836</v>
      </c>
      <c r="F150" s="539"/>
      <c r="K150" s="923" t="str">
        <f>IF(SS_Comparison="y","Using alternative SS benefits","--")</f>
        <v>--</v>
      </c>
      <c r="L150" s="212"/>
      <c r="O150" s="212"/>
      <c r="P150" s="212"/>
      <c r="Q150" s="212"/>
      <c r="R150" s="212"/>
      <c r="S150" s="212"/>
      <c r="T150" s="212"/>
      <c r="U150" s="212"/>
      <c r="V150" s="212"/>
      <c r="W150" s="212"/>
      <c r="X150" s="212"/>
      <c r="Y150" s="212"/>
      <c r="Z150" s="212"/>
      <c r="AA150" s="212"/>
      <c r="AB150" s="212"/>
      <c r="AC150" s="212"/>
      <c r="AD150" s="212"/>
      <c r="AE150" s="212"/>
      <c r="AF150" s="212"/>
      <c r="AG150" s="212"/>
      <c r="AH150" s="212"/>
      <c r="AI150" s="212"/>
      <c r="AJ150" s="212"/>
      <c r="AK150" s="212"/>
      <c r="AL150" s="212"/>
      <c r="AM150" s="212"/>
      <c r="AN150" s="212"/>
      <c r="AO150" s="212"/>
      <c r="AP150" s="212"/>
      <c r="AQ150" s="212"/>
      <c r="AR150" s="212"/>
      <c r="AS150" s="212"/>
    </row>
    <row r="151" spans="1:53" ht="15.6">
      <c r="A151" s="1279" t="s">
        <v>531</v>
      </c>
      <c r="B151" s="91" t="s">
        <v>835</v>
      </c>
      <c r="D151" s="15">
        <f>Roth_Total</f>
        <v>0</v>
      </c>
      <c r="I151" s="173"/>
      <c r="K151" s="923" t="str">
        <f>IF(OR(tIRA_Withdr_Base1&lt;&gt;0,tIRA_Withdr_Base2&lt;&gt;0,tIRA_Withdr_Base3&lt;&gt;0),"Base case is using IRA withdrawal adjustment","--")</f>
        <v>--</v>
      </c>
      <c r="L151" s="173"/>
      <c r="O151" s="212"/>
      <c r="P151" s="212"/>
      <c r="Q151" s="212"/>
      <c r="R151" s="212"/>
      <c r="S151" s="212"/>
      <c r="T151" s="212"/>
      <c r="U151" s="212"/>
      <c r="V151" s="212"/>
      <c r="W151" s="212"/>
      <c r="X151" s="212"/>
      <c r="Y151" s="212"/>
      <c r="Z151" s="212"/>
      <c r="AA151" s="212"/>
      <c r="AB151" s="212"/>
      <c r="AC151" s="212"/>
      <c r="AD151" s="212"/>
      <c r="AE151" s="212"/>
      <c r="AF151" s="212"/>
      <c r="AG151" s="212"/>
      <c r="AH151" s="212"/>
      <c r="AI151" s="212"/>
      <c r="AJ151" s="212"/>
      <c r="AK151" s="212"/>
      <c r="AL151" s="212"/>
      <c r="AM151" s="212"/>
      <c r="AN151" s="212"/>
      <c r="AO151" s="212"/>
      <c r="AP151" s="212"/>
      <c r="AQ151" s="212"/>
      <c r="AR151" s="212"/>
      <c r="AS151" s="212"/>
    </row>
    <row r="152" spans="1:53">
      <c r="A152" s="1279" t="s">
        <v>531</v>
      </c>
      <c r="B152" s="91" t="s">
        <v>1708</v>
      </c>
      <c r="D152" s="15">
        <f>+Details!E38</f>
        <v>0</v>
      </c>
      <c r="I152" s="215"/>
      <c r="K152" s="923" t="str">
        <f>IF(Tax_Rates_Alt="y","Federal tax rate change being used","--")</f>
        <v>--</v>
      </c>
      <c r="P152" s="547"/>
      <c r="Q152" s="547"/>
      <c r="R152" s="547"/>
      <c r="S152" s="215"/>
      <c r="T152" s="212"/>
      <c r="U152" s="212"/>
      <c r="V152" s="212"/>
      <c r="W152" s="212"/>
      <c r="X152" s="212"/>
      <c r="Y152" s="212"/>
      <c r="Z152" s="212"/>
      <c r="AA152" s="212"/>
      <c r="AB152" s="212"/>
      <c r="AC152" s="212"/>
      <c r="AD152" s="212"/>
      <c r="AE152" s="212"/>
      <c r="AF152" s="212"/>
      <c r="AG152" s="212"/>
      <c r="AH152" s="212"/>
      <c r="AI152" s="212"/>
      <c r="AJ152" s="212"/>
      <c r="AK152" s="212"/>
      <c r="AL152" s="212"/>
      <c r="AM152" s="212"/>
      <c r="AN152" s="212"/>
      <c r="AO152" s="212"/>
      <c r="AP152" s="212"/>
      <c r="AQ152" s="212"/>
      <c r="AR152" s="212"/>
      <c r="AS152" s="212"/>
    </row>
    <row r="153" spans="1:53" ht="15.6">
      <c r="A153" s="1279" t="s">
        <v>531</v>
      </c>
      <c r="B153" s="91" t="s">
        <v>364</v>
      </c>
      <c r="D153" s="82">
        <f>Details!E134</f>
        <v>0</v>
      </c>
      <c r="I153" s="274"/>
      <c r="K153" s="923" t="str">
        <f>IF(Exclude_Taxes="n","--","Income taxes set to zero")</f>
        <v>--</v>
      </c>
      <c r="L153" s="212"/>
      <c r="P153" s="547"/>
      <c r="Q153" s="547"/>
      <c r="R153" s="547"/>
      <c r="S153" s="215"/>
      <c r="T153" s="212"/>
      <c r="U153" s="212"/>
      <c r="V153" s="212"/>
      <c r="W153" s="212"/>
      <c r="X153" s="212"/>
      <c r="Y153" s="212"/>
      <c r="Z153" s="212"/>
      <c r="AA153" s="212"/>
      <c r="AB153" s="212"/>
      <c r="AC153" s="212"/>
      <c r="AD153" s="212"/>
      <c r="AE153" s="212"/>
      <c r="AF153" s="212"/>
      <c r="AG153" s="212"/>
      <c r="AH153" s="212"/>
      <c r="AI153" s="212"/>
      <c r="AJ153" s="212"/>
      <c r="AK153" s="212"/>
      <c r="AL153" s="212"/>
      <c r="AM153" s="212"/>
      <c r="AN153" s="212"/>
      <c r="AO153" s="212"/>
      <c r="AP153" s="212"/>
      <c r="AQ153" s="212"/>
      <c r="AR153" s="212"/>
      <c r="AS153" s="212"/>
    </row>
    <row r="154" spans="1:53" ht="15.6">
      <c r="A154" s="1279" t="s">
        <v>531</v>
      </c>
      <c r="B154" s="1116" t="s">
        <v>2320</v>
      </c>
      <c r="D154" s="15">
        <f ca="1">+Details!E18</f>
        <v>0</v>
      </c>
      <c r="I154" s="274"/>
      <c r="K154" s="212"/>
      <c r="L154" s="212"/>
      <c r="M154" s="212"/>
      <c r="N154" s="216"/>
      <c r="O154" s="217"/>
      <c r="P154" s="218"/>
      <c r="Q154" s="218"/>
      <c r="R154" s="218"/>
      <c r="S154" s="215"/>
      <c r="T154" s="212"/>
      <c r="U154" s="212"/>
      <c r="V154" s="212"/>
      <c r="W154" s="212"/>
      <c r="X154" s="212"/>
      <c r="Y154" s="212"/>
      <c r="Z154" s="212"/>
      <c r="AA154" s="212"/>
      <c r="AB154" s="212"/>
      <c r="AC154" s="212"/>
      <c r="AD154" s="212"/>
      <c r="AE154" s="212"/>
      <c r="AF154" s="212"/>
      <c r="AG154" s="212"/>
      <c r="AH154" s="212"/>
      <c r="AI154" s="212"/>
      <c r="AJ154" s="212"/>
      <c r="AK154" s="212"/>
      <c r="AL154" s="212"/>
      <c r="AM154" s="212"/>
      <c r="AN154" s="212"/>
      <c r="AO154" s="212"/>
      <c r="AP154" s="212"/>
      <c r="AQ154" s="212"/>
      <c r="AR154" s="212"/>
      <c r="AS154" s="212"/>
    </row>
    <row r="155" spans="1:53" ht="18" customHeight="1">
      <c r="A155" s="1279" t="s">
        <v>531</v>
      </c>
      <c r="I155" s="274"/>
      <c r="N155" s="1296" t="s">
        <v>400</v>
      </c>
      <c r="S155" s="215"/>
      <c r="T155" s="212"/>
      <c r="U155" s="212"/>
      <c r="V155" s="212"/>
      <c r="W155" s="212"/>
      <c r="X155" s="212"/>
      <c r="Y155" s="212"/>
      <c r="Z155" s="212"/>
      <c r="AA155" s="212"/>
      <c r="AB155" s="212"/>
      <c r="AC155" s="212"/>
      <c r="AD155" s="212"/>
      <c r="AE155" s="212"/>
      <c r="AF155" s="212"/>
      <c r="AG155" s="212"/>
      <c r="AH155" s="212"/>
      <c r="AI155" s="212"/>
      <c r="AJ155" s="212"/>
      <c r="AK155" s="212"/>
      <c r="AL155" s="212"/>
      <c r="AM155" s="212"/>
      <c r="AN155" s="212"/>
      <c r="AO155" s="212"/>
      <c r="AP155" s="212"/>
      <c r="AQ155" s="212"/>
      <c r="AR155" s="212"/>
      <c r="AS155" s="212"/>
    </row>
    <row r="156" spans="1:53" ht="18" customHeight="1">
      <c r="A156" s="1279" t="s">
        <v>531</v>
      </c>
      <c r="N156" s="1296"/>
      <c r="S156" s="215"/>
      <c r="T156" s="212"/>
      <c r="U156" s="212"/>
      <c r="V156" s="212"/>
      <c r="W156" s="212"/>
      <c r="X156" s="212"/>
      <c r="Y156" s="212"/>
      <c r="Z156" s="212"/>
      <c r="AA156" s="212"/>
      <c r="AB156" s="212"/>
      <c r="AC156" s="212"/>
      <c r="AD156" s="212"/>
      <c r="AE156" s="212"/>
      <c r="AF156" s="212"/>
      <c r="AG156" s="212"/>
      <c r="AH156" s="212"/>
      <c r="AI156" s="212"/>
      <c r="AJ156" s="212"/>
      <c r="AK156" s="212"/>
      <c r="AL156" s="212"/>
      <c r="AM156" s="212"/>
      <c r="AN156" s="212"/>
      <c r="AO156" s="212"/>
      <c r="AP156" s="212"/>
      <c r="AQ156" s="212"/>
      <c r="AR156" s="212"/>
      <c r="AS156" s="212"/>
    </row>
    <row r="157" spans="1:53" ht="18" customHeight="1">
      <c r="A157" s="1279" t="s">
        <v>531</v>
      </c>
      <c r="F157" s="5"/>
      <c r="G157" s="5"/>
      <c r="H157" s="5"/>
      <c r="I157" s="274"/>
      <c r="N157" s="1330" t="s">
        <v>401</v>
      </c>
      <c r="O157" s="1330"/>
      <c r="P157" s="1330"/>
      <c r="Q157" s="1330"/>
      <c r="R157" s="1330"/>
      <c r="S157" s="215"/>
      <c r="T157" s="212"/>
      <c r="U157" s="212"/>
      <c r="V157" s="212"/>
      <c r="W157" s="212"/>
      <c r="X157" s="212"/>
      <c r="Y157" s="212"/>
      <c r="Z157" s="212"/>
      <c r="AA157" s="212"/>
      <c r="AB157" s="212"/>
      <c r="AC157" s="212"/>
      <c r="AD157" s="212"/>
      <c r="AE157" s="212"/>
      <c r="AF157" s="212"/>
      <c r="AG157" s="212"/>
      <c r="AH157" s="212"/>
      <c r="AI157" s="212"/>
      <c r="AJ157" s="212"/>
      <c r="AK157" s="212"/>
      <c r="AL157" s="212"/>
      <c r="AM157" s="212"/>
      <c r="AN157" s="212"/>
      <c r="AO157" s="212"/>
      <c r="AP157" s="212"/>
      <c r="AQ157" s="212"/>
      <c r="AR157" s="212"/>
      <c r="AS157" s="212"/>
    </row>
    <row r="158" spans="1:53" ht="15.6">
      <c r="A158" s="1279" t="s">
        <v>531</v>
      </c>
      <c r="B158" s="264"/>
      <c r="C158" s="333"/>
      <c r="D158" s="1634" t="s">
        <v>1134</v>
      </c>
      <c r="E158" s="5" t="s">
        <v>778</v>
      </c>
      <c r="F158" s="5" t="s">
        <v>1145</v>
      </c>
      <c r="G158" s="5"/>
      <c r="H158" s="5"/>
      <c r="I158" s="1217"/>
      <c r="N158" s="1331"/>
      <c r="O158" s="1332" t="s">
        <v>1144</v>
      </c>
      <c r="P158" s="1332" t="s">
        <v>1145</v>
      </c>
      <c r="Q158" s="1333"/>
      <c r="R158" s="1322"/>
      <c r="S158" s="215"/>
      <c r="T158" s="212"/>
      <c r="U158" s="212"/>
      <c r="V158" s="212"/>
      <c r="W158" s="212"/>
      <c r="X158" s="212"/>
      <c r="Y158" s="212"/>
      <c r="Z158" s="212"/>
      <c r="AA158" s="212"/>
      <c r="AB158" s="212"/>
      <c r="AC158" s="212"/>
      <c r="AD158" s="212"/>
      <c r="AE158" s="212"/>
      <c r="AF158" s="212"/>
      <c r="AG158" s="212"/>
      <c r="AH158" s="212"/>
      <c r="AI158" s="212"/>
      <c r="AJ158" s="212"/>
      <c r="AK158" s="212"/>
      <c r="AL158" s="212"/>
      <c r="AM158" s="212"/>
      <c r="AN158" s="212"/>
      <c r="AO158" s="212"/>
      <c r="AP158" s="212"/>
      <c r="AQ158" s="212"/>
      <c r="AR158" s="212"/>
      <c r="AS158" s="212"/>
    </row>
    <row r="159" spans="1:53" ht="17.399999999999999" customHeight="1">
      <c r="A159" s="1279" t="s">
        <v>531</v>
      </c>
      <c r="B159" s="7" t="s">
        <v>312</v>
      </c>
      <c r="C159" s="273"/>
      <c r="D159" s="1792" t="s">
        <v>885</v>
      </c>
      <c r="E159" s="6" t="s">
        <v>885</v>
      </c>
      <c r="F159" s="6" t="s">
        <v>1403</v>
      </c>
      <c r="G159" s="6" t="s">
        <v>1572</v>
      </c>
      <c r="H159" s="6" t="s">
        <v>310</v>
      </c>
      <c r="N159" s="1323" t="s">
        <v>242</v>
      </c>
      <c r="O159" s="6" t="s">
        <v>1699</v>
      </c>
      <c r="P159" s="6" t="s">
        <v>1403</v>
      </c>
      <c r="Q159" s="6" t="s">
        <v>1572</v>
      </c>
      <c r="R159" s="1324" t="s">
        <v>310</v>
      </c>
      <c r="S159" s="215"/>
      <c r="T159" s="212"/>
      <c r="U159" s="212"/>
      <c r="V159" s="212"/>
      <c r="W159" s="212"/>
      <c r="X159" s="212"/>
      <c r="Y159" s="212"/>
      <c r="Z159" s="212"/>
      <c r="AA159" s="212"/>
      <c r="AB159" s="212"/>
      <c r="AC159" s="212"/>
      <c r="AD159" s="212"/>
      <c r="AE159" s="212"/>
      <c r="AF159" s="212"/>
      <c r="AG159" s="212"/>
      <c r="AH159" s="212"/>
      <c r="AI159" s="212"/>
      <c r="AJ159" s="212"/>
      <c r="AK159" s="212"/>
      <c r="AL159" s="212"/>
      <c r="AM159" s="212"/>
      <c r="AN159" s="212"/>
      <c r="AO159" s="212"/>
      <c r="AP159" s="212"/>
      <c r="AQ159" s="212"/>
      <c r="AR159" s="212"/>
      <c r="AS159" s="212"/>
    </row>
    <row r="160" spans="1:53" ht="17.399999999999999" customHeight="1">
      <c r="A160" s="1279" t="s">
        <v>531</v>
      </c>
      <c r="B160" s="39" t="str">
        <f>"Portfolio balance at age " &amp; Your_Age_End  &amp; " - " &amp;  Final_Year</f>
        <v>Portfolio balance at age 91 - 2048</v>
      </c>
      <c r="D160" s="102">
        <f ca="1">+E19</f>
        <v>2702400</v>
      </c>
      <c r="E160" s="102">
        <f ca="1">+Results!E199</f>
        <v>2702400</v>
      </c>
      <c r="F160" s="31">
        <f ca="1">+D160-E160</f>
        <v>0</v>
      </c>
      <c r="G160" s="149">
        <f ca="1">IF(E160=0,0,(F160/E160))</f>
        <v>0</v>
      </c>
      <c r="H160" s="183" t="str">
        <f ca="1">IF(D160=E160," ",IF(D160&gt;E160,"convert","don't convert"))</f>
        <v xml:space="preserve"> </v>
      </c>
      <c r="N160" s="1551">
        <v>2834600</v>
      </c>
      <c r="O160" s="430">
        <v>2702100</v>
      </c>
      <c r="P160" s="430">
        <v>132500</v>
      </c>
      <c r="Q160" s="220">
        <v>4.903593501350801E-2</v>
      </c>
      <c r="R160" s="1325" t="s">
        <v>313</v>
      </c>
      <c r="S160" s="215"/>
      <c r="T160" s="212"/>
      <c r="U160" s="212"/>
      <c r="V160" s="212"/>
      <c r="W160" s="212"/>
      <c r="X160" s="212"/>
      <c r="Y160" s="212"/>
      <c r="Z160" s="212"/>
      <c r="AA160" s="212"/>
      <c r="AB160" s="212"/>
      <c r="AC160" s="212"/>
      <c r="AD160" s="212"/>
      <c r="AE160" s="212"/>
      <c r="AF160" s="212"/>
      <c r="AG160" s="212"/>
      <c r="AH160" s="212"/>
      <c r="AI160" s="212"/>
      <c r="AJ160" s="212"/>
      <c r="AK160" s="212"/>
      <c r="AL160" s="212"/>
      <c r="AM160" s="212"/>
      <c r="AN160" s="212"/>
      <c r="AO160" s="212"/>
      <c r="AP160" s="212"/>
      <c r="AQ160" s="212"/>
      <c r="AR160" s="212"/>
      <c r="AS160" s="212"/>
    </row>
    <row r="161" spans="1:46" ht="17.399999999999999" customHeight="1">
      <c r="A161" s="1279" t="s">
        <v>531</v>
      </c>
      <c r="B161" s="21" t="s">
        <v>779</v>
      </c>
      <c r="C161" s="1"/>
      <c r="D161" s="102">
        <f>COUNTIF($F$370:$AS$370,"&gt;0")</f>
        <v>0</v>
      </c>
      <c r="E161" s="102">
        <f>COUNTIF($F$370:$AS$370,"&lt;0")</f>
        <v>0</v>
      </c>
      <c r="F161" s="31">
        <f>+D161-E161</f>
        <v>0</v>
      </c>
      <c r="G161" s="149">
        <f>IF(E161=0,0,(+D161-E161)/E161)</f>
        <v>0</v>
      </c>
      <c r="H161" s="183"/>
      <c r="N161" s="1551">
        <v>9</v>
      </c>
      <c r="O161" s="430">
        <v>21</v>
      </c>
      <c r="P161" s="430">
        <v>-12</v>
      </c>
      <c r="Q161" s="220">
        <v>-0.5714285714285714</v>
      </c>
      <c r="R161" s="1325"/>
      <c r="S161" s="215"/>
      <c r="T161" s="212"/>
      <c r="U161" s="212"/>
      <c r="V161" s="212"/>
      <c r="W161" s="212"/>
      <c r="X161" s="212"/>
      <c r="Y161" s="212"/>
      <c r="Z161" s="212"/>
      <c r="AA161" s="212"/>
      <c r="AB161" s="212"/>
      <c r="AC161" s="212"/>
      <c r="AD161" s="212"/>
      <c r="AE161" s="212"/>
      <c r="AF161" s="212"/>
      <c r="AG161" s="212"/>
      <c r="AH161" s="212"/>
      <c r="AI161" s="212"/>
      <c r="AJ161" s="212"/>
      <c r="AK161" s="212"/>
      <c r="AL161" s="212"/>
      <c r="AM161" s="212"/>
      <c r="AN161" s="212"/>
      <c r="AO161" s="212"/>
      <c r="AP161" s="212"/>
      <c r="AQ161" s="212"/>
      <c r="AR161" s="212"/>
      <c r="AS161" s="212"/>
    </row>
    <row r="162" spans="1:46" ht="12" customHeight="1">
      <c r="A162" s="1279" t="s">
        <v>531</v>
      </c>
      <c r="D162" s="102"/>
      <c r="E162" s="102"/>
      <c r="N162" s="1551"/>
      <c r="O162" s="430"/>
      <c r="P162" s="430"/>
      <c r="Q162" s="215"/>
      <c r="R162" s="1552"/>
      <c r="S162" s="215"/>
      <c r="T162" s="212"/>
      <c r="U162" s="212"/>
      <c r="V162" s="212"/>
      <c r="W162" s="212"/>
      <c r="X162" s="212"/>
      <c r="Y162" s="212"/>
      <c r="Z162" s="212"/>
      <c r="AA162" s="212"/>
      <c r="AB162" s="212"/>
      <c r="AC162" s="212"/>
      <c r="AD162" s="212"/>
      <c r="AE162" s="212"/>
      <c r="AF162" s="212"/>
      <c r="AG162" s="212"/>
      <c r="AH162" s="212"/>
      <c r="AI162" s="212"/>
      <c r="AJ162" s="212"/>
      <c r="AK162" s="212"/>
      <c r="AL162" s="212"/>
      <c r="AM162" s="212"/>
      <c r="AN162" s="212"/>
      <c r="AO162" s="212"/>
      <c r="AP162" s="212"/>
      <c r="AQ162" s="212"/>
      <c r="AR162" s="212"/>
      <c r="AS162" s="212"/>
    </row>
    <row r="163" spans="1:46" ht="17.399999999999999" customHeight="1">
      <c r="A163" s="1279" t="s">
        <v>531</v>
      </c>
      <c r="B163" s="270" t="s">
        <v>311</v>
      </c>
      <c r="C163" s="139"/>
      <c r="D163" s="102"/>
      <c r="E163" s="102"/>
      <c r="F163" s="31"/>
      <c r="G163" s="149"/>
      <c r="H163" s="183"/>
      <c r="N163" s="1551"/>
      <c r="O163" s="430"/>
      <c r="P163" s="430"/>
      <c r="Q163" s="220"/>
      <c r="R163" s="1325"/>
      <c r="S163" s="215"/>
      <c r="T163" s="212"/>
      <c r="U163" s="212"/>
      <c r="V163" s="212"/>
      <c r="W163" s="212"/>
      <c r="X163" s="212"/>
      <c r="Y163" s="212"/>
      <c r="Z163" s="212"/>
      <c r="AA163" s="212"/>
      <c r="AB163" s="212"/>
      <c r="AC163" s="212"/>
      <c r="AD163" s="212"/>
      <c r="AE163" s="212"/>
      <c r="AF163" s="212"/>
      <c r="AG163" s="212"/>
      <c r="AH163" s="212"/>
      <c r="AI163" s="212"/>
      <c r="AJ163" s="212"/>
      <c r="AK163" s="212"/>
      <c r="AL163" s="212"/>
      <c r="AM163" s="212"/>
      <c r="AN163" s="212"/>
      <c r="AO163" s="212"/>
      <c r="AP163" s="212"/>
      <c r="AQ163" s="212"/>
      <c r="AR163" s="212"/>
      <c r="AS163" s="212"/>
    </row>
    <row r="164" spans="1:46" ht="17.399999999999999" customHeight="1">
      <c r="A164" s="1279" t="s">
        <v>531</v>
      </c>
      <c r="B164" s="175" t="s">
        <v>1529</v>
      </c>
      <c r="D164" s="102">
        <f>+E11</f>
        <v>2564500</v>
      </c>
      <c r="E164" s="102">
        <f>+Results!E191</f>
        <v>2564500</v>
      </c>
      <c r="F164" s="31">
        <f>+D164-E164</f>
        <v>0</v>
      </c>
      <c r="G164" s="149">
        <f>IF(E164=0,0,(F164/E164))</f>
        <v>0</v>
      </c>
      <c r="H164" s="183" t="str">
        <f>IF(D164=E164," ",IF(D164&gt;E164,"convert","don't convert"))</f>
        <v xml:space="preserve"> </v>
      </c>
      <c r="N164" s="1551">
        <v>2601400</v>
      </c>
      <c r="O164" s="430">
        <v>2564400</v>
      </c>
      <c r="P164" s="430">
        <v>37000</v>
      </c>
      <c r="Q164" s="220">
        <v>1.4428326314147559E-2</v>
      </c>
      <c r="R164" s="1325" t="s">
        <v>313</v>
      </c>
      <c r="S164" s="215"/>
      <c r="T164" s="212"/>
      <c r="U164" s="212"/>
      <c r="V164" s="212"/>
      <c r="W164" s="212"/>
      <c r="X164" s="212"/>
      <c r="Y164" s="212"/>
      <c r="Z164" s="212"/>
      <c r="AA164" s="212"/>
      <c r="AB164" s="212"/>
      <c r="AC164" s="212"/>
      <c r="AD164" s="212"/>
      <c r="AE164" s="212"/>
      <c r="AF164" s="212"/>
      <c r="AG164" s="212"/>
      <c r="AH164" s="212"/>
      <c r="AI164" s="212"/>
      <c r="AJ164" s="212"/>
      <c r="AK164" s="212"/>
      <c r="AL164" s="212"/>
      <c r="AM164" s="212"/>
      <c r="AN164" s="212"/>
      <c r="AO164" s="212"/>
      <c r="AP164" s="212"/>
      <c r="AQ164" s="212"/>
      <c r="AR164" s="212"/>
      <c r="AS164" s="212"/>
    </row>
    <row r="165" spans="1:46" ht="17.399999999999999" customHeight="1">
      <c r="A165" s="1279" t="s">
        <v>531</v>
      </c>
      <c r="B165" s="72" t="s">
        <v>468</v>
      </c>
      <c r="D165" s="102">
        <f>-E17</f>
        <v>368300</v>
      </c>
      <c r="E165" s="102">
        <f>-Results!E197</f>
        <v>368300</v>
      </c>
      <c r="F165" s="31">
        <f>+E165-D165</f>
        <v>0</v>
      </c>
      <c r="G165" s="149">
        <f>IF(E165=0,0,(F165/E165))</f>
        <v>0</v>
      </c>
      <c r="H165" s="183" t="str">
        <f>IF(D165=E165," ",IF(D165&lt;E165,"convert","don't convert"))</f>
        <v xml:space="preserve"> </v>
      </c>
      <c r="I165" t="s">
        <v>314</v>
      </c>
      <c r="N165" s="1551">
        <v>273000</v>
      </c>
      <c r="O165" s="430">
        <v>368500</v>
      </c>
      <c r="P165" s="430">
        <v>95500</v>
      </c>
      <c r="Q165" s="220">
        <v>0.25915875169606511</v>
      </c>
      <c r="R165" s="1325" t="s">
        <v>313</v>
      </c>
      <c r="S165" s="215"/>
      <c r="T165" s="212"/>
      <c r="U165" s="212"/>
      <c r="V165" s="212"/>
      <c r="W165" s="212"/>
      <c r="X165" s="212"/>
      <c r="Y165" s="212"/>
      <c r="Z165" s="212"/>
      <c r="AA165" s="212"/>
      <c r="AB165" s="212"/>
      <c r="AC165" s="212"/>
      <c r="AD165" s="212"/>
      <c r="AE165" s="212"/>
      <c r="AF165" s="212"/>
      <c r="AG165" s="212"/>
      <c r="AH165" s="212"/>
      <c r="AI165" s="212"/>
      <c r="AJ165" s="212"/>
      <c r="AK165" s="212"/>
      <c r="AL165" s="212"/>
      <c r="AM165" s="212"/>
      <c r="AN165" s="212"/>
      <c r="AO165" s="212"/>
      <c r="AP165" s="212"/>
      <c r="AQ165" s="212"/>
      <c r="AR165" s="212"/>
      <c r="AS165" s="212"/>
    </row>
    <row r="166" spans="1:46" ht="12" customHeight="1">
      <c r="A166" s="1279" t="s">
        <v>531</v>
      </c>
      <c r="D166" s="102"/>
      <c r="E166" s="102"/>
      <c r="G166" s="149"/>
      <c r="H166" s="183"/>
      <c r="N166" s="1551"/>
      <c r="O166" s="430"/>
      <c r="P166" s="430"/>
      <c r="Q166" s="220"/>
      <c r="R166" s="1325"/>
      <c r="S166" s="215"/>
      <c r="T166" s="212"/>
      <c r="U166" s="212"/>
      <c r="V166" s="212"/>
      <c r="W166" s="212"/>
      <c r="X166" s="212"/>
      <c r="Y166" s="212"/>
      <c r="Z166" s="212"/>
      <c r="AA166" s="212"/>
      <c r="AB166" s="212"/>
      <c r="AC166" s="212"/>
      <c r="AD166" s="212"/>
      <c r="AE166" s="212"/>
      <c r="AF166" s="212"/>
      <c r="AG166" s="212"/>
      <c r="AH166" s="212"/>
      <c r="AI166" s="212"/>
      <c r="AJ166" s="212"/>
      <c r="AK166" s="212"/>
      <c r="AL166" s="212"/>
      <c r="AM166" s="212"/>
      <c r="AN166" s="212"/>
      <c r="AO166" s="212"/>
      <c r="AP166" s="212"/>
      <c r="AQ166" s="212"/>
      <c r="AR166" s="212"/>
      <c r="AS166" s="212"/>
    </row>
    <row r="167" spans="1:46" ht="17.399999999999999" customHeight="1">
      <c r="A167" s="1279" t="s">
        <v>531</v>
      </c>
      <c r="B167" s="270" t="s">
        <v>505</v>
      </c>
      <c r="C167" s="139"/>
      <c r="D167" s="102"/>
      <c r="E167" s="102"/>
      <c r="F167" s="31"/>
      <c r="G167" s="149"/>
      <c r="H167" s="183"/>
      <c r="N167" s="1551"/>
      <c r="O167" s="430"/>
      <c r="P167" s="430"/>
      <c r="Q167" s="220"/>
      <c r="R167" s="1325"/>
      <c r="S167" s="215"/>
      <c r="T167" s="212"/>
      <c r="U167" s="212"/>
      <c r="V167" s="212"/>
      <c r="W167" s="212"/>
      <c r="X167" s="212"/>
      <c r="Y167" s="212"/>
      <c r="Z167" s="212"/>
      <c r="AA167" s="212"/>
      <c r="AB167" s="212"/>
      <c r="AC167" s="212"/>
      <c r="AD167" s="212"/>
      <c r="AE167" s="212"/>
      <c r="AF167" s="212"/>
      <c r="AG167" s="212"/>
      <c r="AH167" s="212"/>
      <c r="AI167" s="212"/>
      <c r="AJ167" s="212"/>
      <c r="AK167" s="212"/>
      <c r="AL167" s="212"/>
      <c r="AM167" s="212"/>
      <c r="AN167" s="212"/>
      <c r="AO167" s="212"/>
      <c r="AP167" s="212"/>
      <c r="AQ167" s="212"/>
      <c r="AR167" s="212"/>
      <c r="AS167" s="212"/>
    </row>
    <row r="168" spans="1:46" ht="17.399999999999999" customHeight="1">
      <c r="A168" s="1279" t="s">
        <v>531</v>
      </c>
      <c r="B168" s="586" t="s">
        <v>2272</v>
      </c>
      <c r="C168" s="342"/>
      <c r="D168" s="102">
        <f>E$377</f>
        <v>487400</v>
      </c>
      <c r="E168" s="102">
        <f>E$380</f>
        <v>487400</v>
      </c>
      <c r="F168" s="31">
        <f>+E168-D168</f>
        <v>0</v>
      </c>
      <c r="G168" s="149">
        <f>IF(E168=0,0,(F168/E168))</f>
        <v>0</v>
      </c>
      <c r="H168" s="183" t="str">
        <f>IF(D168=E168," ",IF(D168&lt;E168,"convert","don't convert"))</f>
        <v xml:space="preserve"> </v>
      </c>
      <c r="I168" t="s">
        <v>314</v>
      </c>
      <c r="N168" s="1551">
        <v>0</v>
      </c>
      <c r="O168" s="430">
        <v>487400</v>
      </c>
      <c r="P168" s="430">
        <v>487400</v>
      </c>
      <c r="Q168" s="220">
        <v>1</v>
      </c>
      <c r="R168" s="1325" t="s">
        <v>313</v>
      </c>
      <c r="S168" s="215"/>
      <c r="T168" s="212"/>
      <c r="U168" s="212"/>
      <c r="V168" s="212"/>
      <c r="W168" s="212"/>
      <c r="X168" s="212"/>
      <c r="Y168" s="212"/>
      <c r="Z168" s="212"/>
      <c r="AA168" s="212"/>
      <c r="AB168" s="212"/>
      <c r="AC168" s="212"/>
      <c r="AD168" s="212"/>
      <c r="AE168" s="212"/>
      <c r="AF168" s="212"/>
      <c r="AG168" s="212"/>
      <c r="AH168" s="212"/>
      <c r="AI168" s="212"/>
      <c r="AJ168" s="212"/>
      <c r="AK168" s="212"/>
      <c r="AL168" s="212"/>
      <c r="AM168" s="212"/>
      <c r="AN168" s="212"/>
      <c r="AO168" s="212"/>
      <c r="AP168" s="212"/>
      <c r="AQ168" s="212"/>
      <c r="AR168" s="212"/>
      <c r="AS168" s="212"/>
    </row>
    <row r="169" spans="1:46" ht="16.95" customHeight="1">
      <c r="A169" s="1279" t="s">
        <v>531</v>
      </c>
      <c r="B169" s="91" t="s">
        <v>250</v>
      </c>
      <c r="C169" s="342"/>
      <c r="D169" s="102">
        <f>-Details!E516</f>
        <v>62447.060493968609</v>
      </c>
      <c r="E169" s="102">
        <f>-Base!E516</f>
        <v>62447.060493968609</v>
      </c>
      <c r="F169" s="31">
        <f>+E169-D169</f>
        <v>0</v>
      </c>
      <c r="G169" s="149">
        <f>IF(E169=0,0,(F169/E169))</f>
        <v>0</v>
      </c>
      <c r="H169" s="183" t="str">
        <f>IF(D169=E169," ",IF(D169&lt;E169,"convert","don't convert"))</f>
        <v xml:space="preserve"> </v>
      </c>
      <c r="I169" t="s">
        <v>314</v>
      </c>
      <c r="N169" s="1553">
        <v>0</v>
      </c>
      <c r="O169" s="977">
        <v>62474.894114806906</v>
      </c>
      <c r="P169" s="977">
        <v>62474.894114806906</v>
      </c>
      <c r="Q169" s="1326">
        <v>1</v>
      </c>
      <c r="R169" s="1327" t="s">
        <v>313</v>
      </c>
      <c r="S169" s="215"/>
      <c r="T169" s="212"/>
      <c r="U169" s="212"/>
      <c r="V169" s="212"/>
      <c r="W169" s="212"/>
      <c r="X169" s="212"/>
      <c r="Y169" s="212"/>
      <c r="Z169" s="212"/>
      <c r="AA169" s="212"/>
      <c r="AB169" s="212"/>
      <c r="AC169" s="212"/>
      <c r="AD169" s="212"/>
      <c r="AE169" s="212"/>
      <c r="AF169" s="212"/>
      <c r="AG169" s="212"/>
      <c r="AH169" s="212"/>
      <c r="AI169" s="212"/>
      <c r="AJ169" s="212"/>
      <c r="AK169" s="212"/>
      <c r="AL169" s="212"/>
      <c r="AM169" s="212"/>
      <c r="AN169" s="212"/>
      <c r="AO169" s="212"/>
      <c r="AP169" s="212"/>
      <c r="AQ169" s="212"/>
      <c r="AR169" s="212"/>
      <c r="AS169" s="212"/>
    </row>
    <row r="170" spans="1:46" ht="16.95" customHeight="1">
      <c r="A170" s="1279" t="s">
        <v>531</v>
      </c>
      <c r="B170" s="91"/>
      <c r="C170" s="342"/>
      <c r="D170" s="102"/>
      <c r="E170" s="102"/>
      <c r="F170" s="31"/>
      <c r="G170" s="149"/>
      <c r="H170" s="183"/>
      <c r="J170" s="102"/>
      <c r="K170" s="102"/>
      <c r="L170" s="102"/>
      <c r="M170" s="220"/>
      <c r="N170" s="221"/>
      <c r="S170" s="215"/>
      <c r="T170" s="212"/>
      <c r="U170" s="212"/>
      <c r="V170" s="212"/>
      <c r="W170" s="212"/>
      <c r="X170" s="212"/>
      <c r="Y170" s="212"/>
      <c r="Z170" s="212"/>
      <c r="AA170" s="212"/>
      <c r="AB170" s="212"/>
      <c r="AC170" s="212"/>
      <c r="AD170" s="212"/>
      <c r="AE170" s="212"/>
      <c r="AF170" s="212"/>
      <c r="AG170" s="212"/>
      <c r="AH170" s="212"/>
      <c r="AI170" s="212"/>
      <c r="AJ170" s="212"/>
      <c r="AK170" s="212"/>
      <c r="AL170" s="212"/>
      <c r="AM170" s="212"/>
      <c r="AN170" s="212"/>
      <c r="AO170" s="212"/>
      <c r="AP170" s="212"/>
      <c r="AQ170" s="212"/>
      <c r="AR170" s="212"/>
      <c r="AS170" s="212"/>
    </row>
    <row r="171" spans="1:46" ht="15.6">
      <c r="A171" s="1279" t="s">
        <v>531</v>
      </c>
      <c r="B171" s="7" t="s">
        <v>785</v>
      </c>
      <c r="C171" s="71"/>
      <c r="D171" s="26" t="s">
        <v>1661</v>
      </c>
      <c r="E171" s="64" t="s">
        <v>836</v>
      </c>
      <c r="F171" s="1"/>
      <c r="G171" s="1"/>
      <c r="H171" s="1"/>
      <c r="I171" s="1"/>
      <c r="J171" s="102"/>
      <c r="K171" s="102"/>
      <c r="L171" s="102"/>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89"/>
    </row>
    <row r="172" spans="1:46" ht="15.6">
      <c r="A172" s="1279" t="s">
        <v>531</v>
      </c>
      <c r="B172" t="s">
        <v>365</v>
      </c>
      <c r="C172" s="71"/>
      <c r="D172" s="102">
        <f>ROUND(NPV(Discount_Rate,Results!F172:AS172)/Round_To,0)*Round_To</f>
        <v>0</v>
      </c>
      <c r="E172" s="102">
        <f>SUM(F172:AS172)</f>
        <v>0</v>
      </c>
      <c r="F172" s="88">
        <f>Details!F133</f>
        <v>0</v>
      </c>
      <c r="G172" s="868">
        <f>Details!G133</f>
        <v>0</v>
      </c>
      <c r="H172" s="868">
        <f>Details!H133</f>
        <v>0</v>
      </c>
      <c r="I172" s="868">
        <f>Details!I133</f>
        <v>0</v>
      </c>
      <c r="J172" s="868">
        <f>Details!J133</f>
        <v>0</v>
      </c>
      <c r="K172" s="868">
        <f>Details!K133</f>
        <v>0</v>
      </c>
      <c r="L172" s="868">
        <f>Details!L133</f>
        <v>0</v>
      </c>
      <c r="M172" s="868">
        <f>Details!M133</f>
        <v>0</v>
      </c>
      <c r="N172" s="868">
        <f>Details!N133</f>
        <v>0</v>
      </c>
      <c r="O172" s="868">
        <f>Details!O133</f>
        <v>0</v>
      </c>
      <c r="P172" s="868">
        <f>Details!P133</f>
        <v>0</v>
      </c>
      <c r="Q172" s="868">
        <f>Details!Q133</f>
        <v>0</v>
      </c>
      <c r="R172" s="868">
        <f>Details!R133</f>
        <v>0</v>
      </c>
      <c r="S172" s="868">
        <f>Details!S133</f>
        <v>0</v>
      </c>
      <c r="T172" s="868">
        <f>Details!T133</f>
        <v>0</v>
      </c>
      <c r="U172" s="868">
        <f>Details!U133</f>
        <v>0</v>
      </c>
      <c r="V172" s="868">
        <f>Details!V133</f>
        <v>0</v>
      </c>
      <c r="W172" s="868">
        <f>Details!W133</f>
        <v>0</v>
      </c>
      <c r="X172" s="868">
        <f>Details!X133</f>
        <v>0</v>
      </c>
      <c r="Y172" s="868">
        <f>Details!Y133</f>
        <v>0</v>
      </c>
      <c r="Z172" s="868">
        <f>Details!Z133</f>
        <v>0</v>
      </c>
      <c r="AA172" s="868">
        <f>Details!AA133</f>
        <v>0</v>
      </c>
      <c r="AB172" s="868">
        <f>Details!AB133</f>
        <v>0</v>
      </c>
      <c r="AC172" s="868">
        <f>Details!AC133</f>
        <v>0</v>
      </c>
      <c r="AD172" s="868">
        <f>Details!AD133</f>
        <v>0</v>
      </c>
      <c r="AE172" s="868">
        <f>Details!AE133</f>
        <v>0</v>
      </c>
      <c r="AF172" s="868">
        <f>Details!AF133</f>
        <v>0</v>
      </c>
      <c r="AG172" s="868">
        <f>Details!AG133</f>
        <v>0</v>
      </c>
      <c r="AH172" s="868">
        <f>Details!AH133</f>
        <v>0</v>
      </c>
      <c r="AI172" s="868">
        <f>Details!AI133</f>
        <v>0</v>
      </c>
      <c r="AJ172" s="868">
        <f>Details!AJ133</f>
        <v>0</v>
      </c>
      <c r="AK172" s="868">
        <f>Details!AK133</f>
        <v>0</v>
      </c>
      <c r="AL172" s="868">
        <f>Details!AL133</f>
        <v>0</v>
      </c>
      <c r="AM172" s="868">
        <f>Details!AM133</f>
        <v>0</v>
      </c>
      <c r="AN172" s="868">
        <f>Details!AN133</f>
        <v>0</v>
      </c>
      <c r="AO172" s="868">
        <f>Details!AO133</f>
        <v>0</v>
      </c>
      <c r="AP172" s="868">
        <f>Details!AP133</f>
        <v>0</v>
      </c>
      <c r="AQ172" s="868">
        <f>Details!AQ133</f>
        <v>0</v>
      </c>
      <c r="AR172" s="868">
        <f>Details!AR133</f>
        <v>0</v>
      </c>
      <c r="AS172" s="868">
        <f>Details!AS133</f>
        <v>0</v>
      </c>
    </row>
    <row r="173" spans="1:46" ht="15.6">
      <c r="A173" s="1279" t="s">
        <v>531</v>
      </c>
      <c r="B173" t="s">
        <v>1708</v>
      </c>
      <c r="C173" s="71"/>
      <c r="D173" s="102">
        <f>ROUND(NPV(Discount_Rate,Results!F173:AS173)/Round_To,0)*Round_To</f>
        <v>0</v>
      </c>
      <c r="E173" s="102">
        <f>SUM(F173:AS173)</f>
        <v>0</v>
      </c>
      <c r="F173" s="88">
        <f>+Details!F38</f>
        <v>0</v>
      </c>
      <c r="G173" s="868">
        <f>+Details!G38</f>
        <v>0</v>
      </c>
      <c r="H173" s="868">
        <f>+Details!H38</f>
        <v>0</v>
      </c>
      <c r="I173" s="868">
        <f>+Details!I38</f>
        <v>0</v>
      </c>
      <c r="J173" s="868">
        <f>+Details!J38</f>
        <v>0</v>
      </c>
      <c r="K173" s="868">
        <f>+Details!K38</f>
        <v>0</v>
      </c>
      <c r="L173" s="868">
        <f>+Details!L38</f>
        <v>0</v>
      </c>
      <c r="M173" s="868">
        <f>+Details!M38</f>
        <v>0</v>
      </c>
      <c r="N173" s="868">
        <f>+Details!N38</f>
        <v>0</v>
      </c>
      <c r="O173" s="868">
        <f>+Details!O38</f>
        <v>0</v>
      </c>
      <c r="P173" s="868">
        <f>+Details!P38</f>
        <v>0</v>
      </c>
      <c r="Q173" s="868">
        <f>+Details!Q38</f>
        <v>0</v>
      </c>
      <c r="R173" s="868">
        <f>+Details!R38</f>
        <v>0</v>
      </c>
      <c r="S173" s="868">
        <f>+Details!S38</f>
        <v>0</v>
      </c>
      <c r="T173" s="868">
        <f>+Details!T38</f>
        <v>0</v>
      </c>
      <c r="U173" s="868">
        <f>+Details!U38</f>
        <v>0</v>
      </c>
      <c r="V173" s="868">
        <f>+Details!V38</f>
        <v>0</v>
      </c>
      <c r="W173" s="868">
        <f>+Details!W38</f>
        <v>0</v>
      </c>
      <c r="X173" s="868">
        <f>+Details!X38</f>
        <v>0</v>
      </c>
      <c r="Y173" s="868">
        <f>+Details!Y38</f>
        <v>0</v>
      </c>
      <c r="Z173" s="868">
        <f>+Details!Z38</f>
        <v>0</v>
      </c>
      <c r="AA173" s="868">
        <f>+Details!AA38</f>
        <v>0</v>
      </c>
      <c r="AB173" s="868">
        <f>+Details!AB38</f>
        <v>0</v>
      </c>
      <c r="AC173" s="868">
        <f>+Details!AC38</f>
        <v>0</v>
      </c>
      <c r="AD173" s="868">
        <f>+Details!AD38</f>
        <v>0</v>
      </c>
      <c r="AE173" s="868">
        <f>+Details!AE38</f>
        <v>0</v>
      </c>
      <c r="AF173" s="868">
        <f>+Details!AF38</f>
        <v>0</v>
      </c>
      <c r="AG173" s="868">
        <f>+Details!AG38</f>
        <v>0</v>
      </c>
      <c r="AH173" s="868">
        <f>+Details!AH38</f>
        <v>0</v>
      </c>
      <c r="AI173" s="868">
        <f>+Details!AI38</f>
        <v>0</v>
      </c>
      <c r="AJ173" s="868">
        <f>+Details!AJ38</f>
        <v>0</v>
      </c>
      <c r="AK173" s="868">
        <f>+Details!AK38</f>
        <v>0</v>
      </c>
      <c r="AL173" s="868">
        <f>+Details!AL38</f>
        <v>0</v>
      </c>
      <c r="AM173" s="868">
        <f>+Details!AM38</f>
        <v>0</v>
      </c>
      <c r="AN173" s="868">
        <f>+Details!AN38</f>
        <v>0</v>
      </c>
      <c r="AO173" s="868">
        <f>+Details!AO38</f>
        <v>0</v>
      </c>
      <c r="AP173" s="868">
        <f>+Details!AP38</f>
        <v>0</v>
      </c>
      <c r="AQ173" s="868">
        <f>+Details!AQ38</f>
        <v>0</v>
      </c>
      <c r="AR173" s="868">
        <f>+Details!AR38</f>
        <v>0</v>
      </c>
      <c r="AS173" s="868">
        <f>+Details!AS38</f>
        <v>0</v>
      </c>
    </row>
    <row r="174" spans="1:46" ht="15.6">
      <c r="A174" s="1279" t="s">
        <v>531</v>
      </c>
      <c r="B174" t="s">
        <v>364</v>
      </c>
      <c r="C174" s="71"/>
      <c r="D174" s="34">
        <f>ROUND(NPV(Discount_Rate,Results!F174:AS174)/Round_To,0)*Round_To</f>
        <v>0</v>
      </c>
      <c r="E174" s="34">
        <f>SUM(F174:AS174)</f>
        <v>0</v>
      </c>
      <c r="F174" s="38">
        <f>+Details!F134</f>
        <v>0</v>
      </c>
      <c r="G174" s="1115">
        <f>+Details!G134</f>
        <v>0</v>
      </c>
      <c r="H174" s="1115">
        <f>+Details!H134</f>
        <v>0</v>
      </c>
      <c r="I174" s="1115">
        <f>+Details!I134</f>
        <v>0</v>
      </c>
      <c r="J174" s="1115">
        <f>+Details!J134</f>
        <v>0</v>
      </c>
      <c r="K174" s="1115">
        <f>+Details!K134</f>
        <v>0</v>
      </c>
      <c r="L174" s="1115">
        <f>+Details!L134</f>
        <v>0</v>
      </c>
      <c r="M174" s="1115">
        <f>+Details!M134</f>
        <v>0</v>
      </c>
      <c r="N174" s="1115">
        <f>+Details!N134</f>
        <v>0</v>
      </c>
      <c r="O174" s="1115">
        <f>+Details!O134</f>
        <v>0</v>
      </c>
      <c r="P174" s="1115">
        <f>+Details!P134</f>
        <v>0</v>
      </c>
      <c r="Q174" s="1115">
        <f>+Details!Q134</f>
        <v>0</v>
      </c>
      <c r="R174" s="1115">
        <f>+Details!R134</f>
        <v>0</v>
      </c>
      <c r="S174" s="1115">
        <f>+Details!S134</f>
        <v>0</v>
      </c>
      <c r="T174" s="1115">
        <f>+Details!T134</f>
        <v>0</v>
      </c>
      <c r="U174" s="1115">
        <f>+Details!U134</f>
        <v>0</v>
      </c>
      <c r="V174" s="1115">
        <f>+Details!V134</f>
        <v>0</v>
      </c>
      <c r="W174" s="1115">
        <f>+Details!W134</f>
        <v>0</v>
      </c>
      <c r="X174" s="1115">
        <f>+Details!X134</f>
        <v>0</v>
      </c>
      <c r="Y174" s="1115">
        <f>+Details!Y134</f>
        <v>0</v>
      </c>
      <c r="Z174" s="1115">
        <f>+Details!Z134</f>
        <v>0</v>
      </c>
      <c r="AA174" s="1115">
        <f>+Details!AA134</f>
        <v>0</v>
      </c>
      <c r="AB174" s="1115">
        <f>+Details!AB134</f>
        <v>0</v>
      </c>
      <c r="AC174" s="1115">
        <f>+Details!AC134</f>
        <v>0</v>
      </c>
      <c r="AD174" s="1115">
        <f>+Details!AD134</f>
        <v>0</v>
      </c>
      <c r="AE174" s="1115">
        <f>+Details!AE134</f>
        <v>0</v>
      </c>
      <c r="AF174" s="1115">
        <f>+Details!AF134</f>
        <v>0</v>
      </c>
      <c r="AG174" s="1115">
        <f>+Details!AG134</f>
        <v>0</v>
      </c>
      <c r="AH174" s="1115">
        <f>+Details!AH134</f>
        <v>0</v>
      </c>
      <c r="AI174" s="1115">
        <f>+Details!AI134</f>
        <v>0</v>
      </c>
      <c r="AJ174" s="1115">
        <f>+Details!AJ134</f>
        <v>0</v>
      </c>
      <c r="AK174" s="1115">
        <f>+Details!AK134</f>
        <v>0</v>
      </c>
      <c r="AL174" s="1115">
        <f>+Details!AL134</f>
        <v>0</v>
      </c>
      <c r="AM174" s="1115">
        <f>+Details!AM134</f>
        <v>0</v>
      </c>
      <c r="AN174" s="1115">
        <f>+Details!AN134</f>
        <v>0</v>
      </c>
      <c r="AO174" s="1115">
        <f>+Details!AO134</f>
        <v>0</v>
      </c>
      <c r="AP174" s="1115">
        <f>+Details!AP134</f>
        <v>0</v>
      </c>
      <c r="AQ174" s="1115">
        <f>+Details!AQ134</f>
        <v>0</v>
      </c>
      <c r="AR174" s="1115">
        <f>+Details!AR134</f>
        <v>0</v>
      </c>
      <c r="AS174" s="1115">
        <f>+Details!AS134</f>
        <v>0</v>
      </c>
    </row>
    <row r="175" spans="1:46" ht="15.6">
      <c r="A175" s="1279" t="s">
        <v>531</v>
      </c>
      <c r="B175" t="s">
        <v>81</v>
      </c>
      <c r="C175" s="71"/>
      <c r="D175" s="102">
        <f>SUM(D172:D174)</f>
        <v>0</v>
      </c>
      <c r="E175" s="102">
        <f ca="1">+Details!E258</f>
        <v>0</v>
      </c>
      <c r="F175" s="88">
        <f>+Details!F258</f>
        <v>0</v>
      </c>
      <c r="G175" s="868">
        <f>+Details!G258</f>
        <v>0</v>
      </c>
      <c r="H175" s="868">
        <f>+Details!H258</f>
        <v>0</v>
      </c>
      <c r="I175" s="868">
        <f>+Details!I258</f>
        <v>0</v>
      </c>
      <c r="J175" s="868">
        <f>+Details!J258</f>
        <v>0</v>
      </c>
      <c r="K175" s="868">
        <f>+Details!K258</f>
        <v>0</v>
      </c>
      <c r="L175" s="868">
        <f>+Details!L258</f>
        <v>0</v>
      </c>
      <c r="M175" s="868">
        <f>+Details!M258</f>
        <v>0</v>
      </c>
      <c r="N175" s="868">
        <f>+Details!N258</f>
        <v>0</v>
      </c>
      <c r="O175" s="868">
        <f>+Details!O258</f>
        <v>0</v>
      </c>
      <c r="P175" s="868">
        <f>+Details!P258</f>
        <v>0</v>
      </c>
      <c r="Q175" s="868">
        <f>+Details!Q258</f>
        <v>0</v>
      </c>
      <c r="R175" s="868">
        <f>+Details!R258</f>
        <v>0</v>
      </c>
      <c r="S175" s="868">
        <f>+Details!S258</f>
        <v>0</v>
      </c>
      <c r="T175" s="868">
        <f>+Details!T258</f>
        <v>0</v>
      </c>
      <c r="U175" s="868">
        <f>+Details!U258</f>
        <v>0</v>
      </c>
      <c r="V175" s="868">
        <f>+Details!V258</f>
        <v>0</v>
      </c>
      <c r="W175" s="868">
        <f>+Details!W258</f>
        <v>0</v>
      </c>
      <c r="X175" s="868">
        <f>+Details!X258</f>
        <v>0</v>
      </c>
      <c r="Y175" s="868">
        <f>+Details!Y258</f>
        <v>0</v>
      </c>
      <c r="Z175" s="868">
        <f>+Details!Z258</f>
        <v>0</v>
      </c>
      <c r="AA175" s="868">
        <f>+Details!AA258</f>
        <v>0</v>
      </c>
      <c r="AB175" s="868">
        <f>+Details!AB258</f>
        <v>0</v>
      </c>
      <c r="AC175" s="868">
        <f>+Details!AC258</f>
        <v>0</v>
      </c>
      <c r="AD175" s="868">
        <f>+Details!AD258</f>
        <v>0</v>
      </c>
      <c r="AE175" s="868">
        <f>+Details!AE258</f>
        <v>0</v>
      </c>
      <c r="AF175" s="868">
        <f>+Details!AF258</f>
        <v>0</v>
      </c>
      <c r="AG175" s="868">
        <f>+Details!AG258</f>
        <v>0</v>
      </c>
      <c r="AH175" s="868">
        <f>+Details!AH258</f>
        <v>0</v>
      </c>
      <c r="AI175" s="868">
        <f>+Details!AI258</f>
        <v>0</v>
      </c>
      <c r="AJ175" s="868">
        <f>+Details!AJ258</f>
        <v>0</v>
      </c>
      <c r="AK175" s="868">
        <f>+Details!AK258</f>
        <v>0</v>
      </c>
      <c r="AL175" s="868">
        <f>+Details!AL258</f>
        <v>0</v>
      </c>
      <c r="AM175" s="868">
        <f>+Details!AM258</f>
        <v>0</v>
      </c>
      <c r="AN175" s="868">
        <f>+Details!AN258</f>
        <v>0</v>
      </c>
      <c r="AO175" s="868">
        <f>+Details!AO258</f>
        <v>0</v>
      </c>
      <c r="AP175" s="868">
        <f>+Details!AP258</f>
        <v>0</v>
      </c>
      <c r="AQ175" s="868">
        <f>+Details!AQ258</f>
        <v>0</v>
      </c>
      <c r="AR175" s="868">
        <f>+Details!AR258</f>
        <v>0</v>
      </c>
      <c r="AS175" s="868">
        <f>+Details!AS258</f>
        <v>0</v>
      </c>
    </row>
    <row r="176" spans="1:46" ht="15.6">
      <c r="A176" s="1279" t="s">
        <v>531</v>
      </c>
      <c r="C176" s="71"/>
      <c r="D176" s="102"/>
      <c r="E176" s="102"/>
      <c r="F176" s="88"/>
      <c r="G176" s="868"/>
      <c r="H176" s="868"/>
      <c r="I176" s="868"/>
      <c r="J176" s="868"/>
      <c r="K176" s="868"/>
      <c r="L176" s="868"/>
      <c r="M176" s="868"/>
      <c r="N176" s="868"/>
      <c r="O176" s="868"/>
      <c r="P176" s="868"/>
      <c r="Q176" s="868"/>
      <c r="R176" s="868"/>
      <c r="S176" s="868"/>
      <c r="T176" s="868"/>
      <c r="U176" s="868"/>
      <c r="V176" s="868"/>
      <c r="W176" s="868"/>
      <c r="X176" s="868"/>
      <c r="Y176" s="868"/>
      <c r="Z176" s="868"/>
      <c r="AA176" s="868"/>
      <c r="AB176" s="868"/>
      <c r="AC176" s="868"/>
      <c r="AD176" s="868"/>
      <c r="AE176" s="868"/>
      <c r="AF176" s="868"/>
      <c r="AG176" s="868"/>
      <c r="AH176" s="868"/>
      <c r="AI176" s="868"/>
      <c r="AJ176" s="868"/>
      <c r="AK176" s="868"/>
      <c r="AL176" s="868"/>
      <c r="AM176" s="868"/>
      <c r="AN176" s="868"/>
      <c r="AO176" s="868"/>
      <c r="AP176" s="868"/>
      <c r="AQ176" s="868"/>
      <c r="AR176" s="868"/>
      <c r="AS176" s="868"/>
    </row>
    <row r="177" spans="1:46" ht="15.6">
      <c r="A177" s="1279" t="s">
        <v>531</v>
      </c>
      <c r="B177" s="68" t="str">
        <f>IF(SS_Comparison="y","Alternative SS benefits in use","--")</f>
        <v>--</v>
      </c>
      <c r="C177" s="71"/>
      <c r="D177" s="102"/>
      <c r="E177" s="102"/>
      <c r="F177" s="88"/>
      <c r="G177" s="868"/>
      <c r="H177" s="868"/>
      <c r="I177" s="868"/>
      <c r="J177" s="868"/>
      <c r="K177" s="868"/>
      <c r="L177" s="868"/>
      <c r="M177" s="868"/>
      <c r="N177" s="868"/>
      <c r="O177" s="868"/>
      <c r="P177" s="868"/>
      <c r="Q177" s="868"/>
      <c r="R177" s="868"/>
      <c r="S177" s="868"/>
      <c r="T177" s="868"/>
      <c r="U177" s="868"/>
      <c r="V177" s="868"/>
      <c r="W177" s="868"/>
      <c r="X177" s="868"/>
      <c r="Y177" s="868"/>
      <c r="Z177" s="868"/>
      <c r="AA177" s="868"/>
      <c r="AB177" s="868"/>
      <c r="AC177" s="868"/>
      <c r="AD177" s="868"/>
      <c r="AE177" s="868"/>
      <c r="AF177" s="868"/>
      <c r="AG177" s="868"/>
      <c r="AH177" s="868"/>
      <c r="AI177" s="868"/>
      <c r="AJ177" s="868"/>
      <c r="AK177" s="868"/>
      <c r="AL177" s="868"/>
      <c r="AM177" s="868"/>
      <c r="AN177" s="868"/>
      <c r="AO177" s="868"/>
      <c r="AP177" s="868"/>
      <c r="AQ177" s="868"/>
      <c r="AR177" s="868"/>
      <c r="AS177" s="868"/>
    </row>
    <row r="178" spans="1:46" ht="15.6">
      <c r="A178" s="1279" t="s">
        <v>531</v>
      </c>
      <c r="B178" s="1443" t="s">
        <v>2268</v>
      </c>
      <c r="D178" s="390" t="str">
        <f>"Ending Balances in " &amp; Final_Year</f>
        <v>Ending Balances in 2048</v>
      </c>
      <c r="E178" s="139"/>
      <c r="F178" s="1798" t="s">
        <v>2298</v>
      </c>
      <c r="G178" s="1798" t="s">
        <v>1817</v>
      </c>
      <c r="H178" s="390" t="str">
        <f>"      Earnings in " &amp; Final_Year+1</f>
        <v xml:space="preserve">      Earnings in 2049</v>
      </c>
      <c r="I178" s="139"/>
      <c r="J178" s="390" t="str">
        <f>"             RMD in " &amp; Final_Year+1</f>
        <v xml:space="preserve">             RMD in 2049</v>
      </c>
      <c r="K178" s="139"/>
      <c r="L178" s="390" t="s">
        <v>2299</v>
      </c>
      <c r="M178" s="139"/>
      <c r="N178" s="1810" t="s">
        <v>2300</v>
      </c>
      <c r="O178" s="1616" t="s">
        <v>2196</v>
      </c>
      <c r="P178" s="868"/>
      <c r="Q178" s="868"/>
      <c r="R178" s="868"/>
      <c r="S178" s="868"/>
      <c r="T178" s="868"/>
      <c r="U178" s="868"/>
      <c r="V178" s="868"/>
      <c r="W178" s="868"/>
      <c r="X178" s="868"/>
      <c r="Y178" s="868"/>
      <c r="Z178" s="868"/>
      <c r="AA178" s="868"/>
      <c r="AB178" s="868"/>
      <c r="AC178" s="868"/>
      <c r="AD178" s="868"/>
      <c r="AE178" s="868"/>
      <c r="AF178" s="868"/>
      <c r="AG178" s="868"/>
      <c r="AH178" s="868"/>
      <c r="AI178" s="868"/>
      <c r="AJ178" s="868"/>
      <c r="AK178" s="868"/>
      <c r="AL178" s="868"/>
      <c r="AM178" s="868"/>
      <c r="AN178" s="868"/>
      <c r="AO178" s="868"/>
      <c r="AP178" s="868"/>
      <c r="AQ178" s="868"/>
      <c r="AR178" s="868"/>
      <c r="AS178" s="868"/>
    </row>
    <row r="179" spans="1:46" ht="17.399999999999999">
      <c r="A179" s="1279" t="s">
        <v>531</v>
      </c>
      <c r="B179" s="133" t="s">
        <v>2295</v>
      </c>
      <c r="D179" s="64" t="s">
        <v>2024</v>
      </c>
      <c r="E179" s="64" t="s">
        <v>2293</v>
      </c>
      <c r="F179" s="64" t="s">
        <v>2236</v>
      </c>
      <c r="G179" s="64" t="s">
        <v>2296</v>
      </c>
      <c r="H179" s="64" t="s">
        <v>2024</v>
      </c>
      <c r="I179" s="64" t="s">
        <v>2293</v>
      </c>
      <c r="J179" s="64" t="s">
        <v>2024</v>
      </c>
      <c r="K179" s="64" t="s">
        <v>2293</v>
      </c>
      <c r="L179" s="64" t="s">
        <v>2024</v>
      </c>
      <c r="M179" s="64" t="s">
        <v>2293</v>
      </c>
      <c r="N179" s="512">
        <v>0.2</v>
      </c>
      <c r="O179" s="1528"/>
      <c r="P179" s="1528"/>
      <c r="Q179" s="1528"/>
      <c r="R179" s="1528"/>
      <c r="S179" s="1528"/>
      <c r="T179" s="868"/>
      <c r="U179" s="868"/>
      <c r="V179" s="868"/>
      <c r="W179" s="868"/>
      <c r="X179" s="868"/>
      <c r="Y179" s="868"/>
      <c r="Z179" s="868"/>
      <c r="AA179" s="868"/>
      <c r="AB179" s="868"/>
      <c r="AC179" s="868"/>
      <c r="AD179" s="868"/>
      <c r="AE179" s="868"/>
      <c r="AF179" s="868"/>
      <c r="AG179" s="868"/>
      <c r="AH179" s="868"/>
      <c r="AI179" s="868"/>
      <c r="AJ179" s="868"/>
      <c r="AK179" s="868"/>
      <c r="AL179" s="868"/>
      <c r="AM179" s="868"/>
      <c r="AN179" s="868"/>
      <c r="AO179" s="868"/>
      <c r="AP179" s="868"/>
      <c r="AQ179" s="868"/>
      <c r="AR179" s="868"/>
      <c r="AS179" s="868"/>
    </row>
    <row r="180" spans="1:46" ht="15.6">
      <c r="A180" s="1279" t="s">
        <v>531</v>
      </c>
      <c r="B180" s="84" t="s">
        <v>979</v>
      </c>
      <c r="D180" s="31">
        <f ca="1">+Details!E8</f>
        <v>1538900</v>
      </c>
      <c r="E180" s="31">
        <f ca="1">+Base!E8</f>
        <v>1538900</v>
      </c>
      <c r="F180" s="31">
        <f ca="1">+D180-E180</f>
        <v>0</v>
      </c>
      <c r="G180" s="1801">
        <f>Taxable_Rate</f>
        <v>7.0000000000000007E-2</v>
      </c>
      <c r="H180" s="31">
        <f ca="1">ROUND(D180*Taxable_Rate/Round_To,0)*Round_To</f>
        <v>107700</v>
      </c>
      <c r="I180" s="31">
        <f ca="1">ROUND(E180*Taxable_Rate/Round_To,0)*Round_To</f>
        <v>107700</v>
      </c>
      <c r="J180">
        <v>0</v>
      </c>
      <c r="K180">
        <v>0</v>
      </c>
      <c r="L180" s="31">
        <f ca="1">ROUND(H180*(1-Taxable_LTCG_Adj)*Tax_Est/Round_To,0)*Round_To</f>
        <v>15100</v>
      </c>
      <c r="M180" s="31">
        <f ca="1">ROUND(I180*(1-Taxable_LTCG_Adj)*Tax_Est/Round_To,0)*Round_To</f>
        <v>15100</v>
      </c>
      <c r="N180" s="1810" t="s">
        <v>2326</v>
      </c>
      <c r="O180" s="1528"/>
      <c r="P180" s="1528"/>
      <c r="Q180" s="1528"/>
      <c r="R180" s="1528"/>
      <c r="S180" s="1528"/>
      <c r="T180" s="868"/>
      <c r="U180" s="868"/>
      <c r="V180" s="868"/>
      <c r="W180" s="868"/>
      <c r="X180" s="868"/>
      <c r="Y180" s="868"/>
      <c r="Z180" s="868"/>
      <c r="AA180" s="868"/>
      <c r="AB180" s="868"/>
      <c r="AC180" s="868"/>
      <c r="AD180" s="868"/>
      <c r="AE180" s="868"/>
      <c r="AF180" s="868"/>
      <c r="AG180" s="868"/>
      <c r="AH180" s="868"/>
      <c r="AI180" s="868"/>
      <c r="AJ180" s="868"/>
      <c r="AK180" s="868"/>
      <c r="AL180" s="868"/>
      <c r="AM180" s="868"/>
      <c r="AN180" s="868"/>
      <c r="AO180" s="868"/>
      <c r="AP180" s="868"/>
      <c r="AQ180" s="868"/>
      <c r="AR180" s="868"/>
      <c r="AS180" s="868"/>
    </row>
    <row r="181" spans="1:46" ht="15.6">
      <c r="A181" s="1279" t="s">
        <v>531</v>
      </c>
      <c r="B181" s="84" t="s">
        <v>981</v>
      </c>
      <c r="D181" s="31">
        <f ca="1">+Details!E11+Details!E14</f>
        <v>725800</v>
      </c>
      <c r="E181" s="31">
        <f ca="1">+Base!E11+Base!E14</f>
        <v>725800</v>
      </c>
      <c r="F181" s="31">
        <f ca="1">+D181-E181</f>
        <v>0</v>
      </c>
      <c r="G181" s="1801">
        <f>tIRA1_Rate</f>
        <v>5.5E-2</v>
      </c>
      <c r="H181" s="31">
        <f ca="1">ROUND(D181*tIRA1_Rate/Round_To,0)*Round_To</f>
        <v>39900</v>
      </c>
      <c r="I181" s="31">
        <f ca="1">ROUND(E181*tIRA1_Rate/Round_To,0)*Round_To</f>
        <v>39900</v>
      </c>
      <c r="J181" s="31">
        <f ca="1">ROUND(D181/RMD_Est/Round_To,0)*Round_To</f>
        <v>49000</v>
      </c>
      <c r="K181" s="31">
        <f ca="1">ROUND(E181/RMD_Est/Round_To,0)*Round_To</f>
        <v>49000</v>
      </c>
      <c r="L181" s="31">
        <f ca="1">ROUND(J181*Tax_Est/Round_To,0)*Round_To</f>
        <v>9800</v>
      </c>
      <c r="M181" s="31">
        <f ca="1">ROUND(K181*Tax_Est/Round_To,0)*Round_To</f>
        <v>9800</v>
      </c>
      <c r="N181" s="1815">
        <v>14.8</v>
      </c>
      <c r="O181" s="1528"/>
      <c r="P181" s="1528"/>
      <c r="Q181" s="1528"/>
      <c r="R181" s="1528"/>
      <c r="S181" s="1528"/>
      <c r="T181" s="868"/>
      <c r="U181" s="868"/>
      <c r="V181" s="868"/>
      <c r="W181" s="868"/>
      <c r="X181" s="868"/>
      <c r="Y181" s="868"/>
      <c r="Z181" s="868"/>
      <c r="AA181" s="868"/>
      <c r="AB181" s="868"/>
      <c r="AC181" s="868"/>
      <c r="AD181" s="868"/>
      <c r="AE181" s="868"/>
      <c r="AF181" s="868"/>
      <c r="AG181" s="868"/>
      <c r="AH181" s="868"/>
      <c r="AI181" s="868"/>
      <c r="AJ181" s="868"/>
      <c r="AK181" s="868"/>
      <c r="AL181" s="868"/>
      <c r="AM181" s="868"/>
      <c r="AN181" s="868"/>
      <c r="AO181" s="868"/>
      <c r="AP181" s="868"/>
      <c r="AQ181" s="868"/>
      <c r="AR181" s="868"/>
      <c r="AS181" s="868"/>
    </row>
    <row r="182" spans="1:46">
      <c r="A182" s="1279" t="s">
        <v>531</v>
      </c>
      <c r="B182" s="84" t="s">
        <v>471</v>
      </c>
      <c r="D182" s="31">
        <f ca="1">+Details!E17</f>
        <v>437700</v>
      </c>
      <c r="E182" s="31">
        <f ca="1">+Base!E17</f>
        <v>437700</v>
      </c>
      <c r="F182" s="31">
        <f ca="1">+D182-E182</f>
        <v>0</v>
      </c>
      <c r="G182" s="1801">
        <f>Roth_Rate</f>
        <v>0.05</v>
      </c>
      <c r="H182" s="31">
        <f ca="1">ROUND(D182*Roth_Rate/Round_To,0)*Round_To</f>
        <v>21900</v>
      </c>
      <c r="I182" s="31">
        <f ca="1">ROUND(E182*Roth_Rate/Round_To,0)*Round_To</f>
        <v>21900</v>
      </c>
      <c r="J182">
        <v>0</v>
      </c>
      <c r="K182">
        <v>0</v>
      </c>
      <c r="L182" s="31">
        <v>0</v>
      </c>
      <c r="M182" s="31">
        <v>0</v>
      </c>
      <c r="O182" s="1528"/>
      <c r="P182" s="1528"/>
      <c r="Q182" s="1528"/>
      <c r="R182" s="1528"/>
      <c r="S182" s="1528"/>
      <c r="T182" s="868"/>
      <c r="U182" s="868"/>
      <c r="V182" s="868"/>
      <c r="W182" s="868"/>
      <c r="X182" s="868"/>
      <c r="Y182" s="868"/>
      <c r="Z182" s="868"/>
      <c r="AA182" s="868"/>
      <c r="AB182" s="868"/>
      <c r="AC182" s="868"/>
      <c r="AD182" s="868"/>
      <c r="AE182" s="868"/>
      <c r="AF182" s="868"/>
      <c r="AG182" s="868"/>
      <c r="AH182" s="868"/>
      <c r="AI182" s="868"/>
      <c r="AJ182" s="868"/>
      <c r="AK182" s="868"/>
      <c r="AL182" s="868"/>
      <c r="AM182" s="868"/>
      <c r="AN182" s="868"/>
      <c r="AO182" s="868"/>
      <c r="AP182" s="868"/>
      <c r="AQ182" s="868"/>
      <c r="AR182" s="868"/>
      <c r="AS182" s="868"/>
    </row>
    <row r="183" spans="1:46">
      <c r="A183" s="1279" t="s">
        <v>531</v>
      </c>
      <c r="B183" s="84" t="s">
        <v>2297</v>
      </c>
      <c r="D183" s="38">
        <f ca="1">+Details!E18</f>
        <v>0</v>
      </c>
      <c r="E183" s="38">
        <f ca="1">+Base!E18</f>
        <v>0</v>
      </c>
      <c r="F183" s="38">
        <f ca="1">+D183-E183</f>
        <v>0</v>
      </c>
      <c r="G183" s="1801">
        <f>RothConv_Rate</f>
        <v>0.05</v>
      </c>
      <c r="H183" s="38">
        <f ca="1">ROUND(D183*RothConv_Rate/Round_To,0)*Round_To</f>
        <v>0</v>
      </c>
      <c r="I183" s="38">
        <f ca="1">ROUND(E183*RothConv_Rate/Round_To,0)*Round_To</f>
        <v>0</v>
      </c>
      <c r="J183" s="139">
        <v>0</v>
      </c>
      <c r="K183" s="139">
        <v>0</v>
      </c>
      <c r="L183" s="38">
        <v>0</v>
      </c>
      <c r="M183" s="38">
        <f ca="1">ROUND(I183*Tax_Est/Round_To,0)*Round_To</f>
        <v>0</v>
      </c>
      <c r="O183" s="1528"/>
      <c r="P183" s="1528"/>
      <c r="Q183" s="1528"/>
      <c r="R183" s="1528"/>
      <c r="S183" s="1528"/>
      <c r="T183" s="868"/>
      <c r="U183" s="868"/>
      <c r="V183" s="868"/>
      <c r="W183" s="868"/>
      <c r="X183" s="868"/>
      <c r="Y183" s="868"/>
      <c r="Z183" s="868"/>
      <c r="AA183" s="868"/>
      <c r="AB183" s="868"/>
      <c r="AC183" s="868"/>
      <c r="AD183" s="868"/>
      <c r="AE183" s="868"/>
      <c r="AF183" s="868"/>
      <c r="AG183" s="868"/>
      <c r="AH183" s="868"/>
      <c r="AI183" s="868"/>
      <c r="AJ183" s="868"/>
      <c r="AK183" s="868"/>
      <c r="AL183" s="868"/>
      <c r="AM183" s="868"/>
      <c r="AN183" s="868"/>
      <c r="AO183" s="868"/>
      <c r="AP183" s="868"/>
      <c r="AQ183" s="868"/>
      <c r="AR183" s="868"/>
      <c r="AS183" s="868"/>
    </row>
    <row r="184" spans="1:46">
      <c r="A184" s="1279" t="s">
        <v>531</v>
      </c>
      <c r="B184" s="84" t="s">
        <v>635</v>
      </c>
      <c r="D184" s="31">
        <f ca="1">SUM(D180:D183)</f>
        <v>2702400</v>
      </c>
      <c r="E184" s="31">
        <f ca="1">SUM(E180:E183)</f>
        <v>2702400</v>
      </c>
      <c r="F184" s="31">
        <f ca="1">SUM(F180:F183)</f>
        <v>0</v>
      </c>
      <c r="H184" s="31">
        <f t="shared" ref="H184:M184" ca="1" si="15">SUM(H180:H183)</f>
        <v>169500</v>
      </c>
      <c r="I184" s="31">
        <f t="shared" ca="1" si="15"/>
        <v>169500</v>
      </c>
      <c r="J184" s="31">
        <f t="shared" ca="1" si="15"/>
        <v>49000</v>
      </c>
      <c r="K184" s="31">
        <f t="shared" ca="1" si="15"/>
        <v>49000</v>
      </c>
      <c r="L184" s="31">
        <f t="shared" ca="1" si="15"/>
        <v>24900</v>
      </c>
      <c r="M184" s="31">
        <f t="shared" ca="1" si="15"/>
        <v>24900</v>
      </c>
      <c r="O184" s="1528"/>
      <c r="P184" s="1528"/>
      <c r="Q184" s="1528"/>
      <c r="R184" s="1528"/>
      <c r="S184" s="1528"/>
      <c r="T184" s="868"/>
      <c r="U184" s="868"/>
      <c r="V184" s="868"/>
      <c r="W184" s="868"/>
      <c r="X184" s="868"/>
      <c r="Y184" s="868"/>
      <c r="Z184" s="868"/>
      <c r="AA184" s="868"/>
      <c r="AB184" s="868"/>
      <c r="AC184" s="868"/>
      <c r="AD184" s="868"/>
      <c r="AE184" s="868"/>
      <c r="AF184" s="868"/>
      <c r="AG184" s="868"/>
      <c r="AH184" s="868"/>
      <c r="AI184" s="868"/>
      <c r="AJ184" s="868"/>
      <c r="AK184" s="868"/>
      <c r="AL184" s="868"/>
      <c r="AM184" s="868"/>
      <c r="AN184" s="868"/>
      <c r="AO184" s="868"/>
      <c r="AP184" s="868"/>
      <c r="AQ184" s="868"/>
      <c r="AR184" s="868"/>
      <c r="AS184" s="868"/>
    </row>
    <row r="185" spans="1:46" ht="15.6">
      <c r="A185" s="1279" t="s">
        <v>531</v>
      </c>
      <c r="B185" s="84"/>
      <c r="C185" s="71"/>
      <c r="D185" s="102"/>
      <c r="E185" s="102"/>
      <c r="F185" s="88"/>
      <c r="G185" s="868"/>
      <c r="H185" s="868"/>
      <c r="J185" s="1808"/>
      <c r="K185" s="1809" t="s">
        <v>2327</v>
      </c>
      <c r="L185" s="1814">
        <f ca="1">+M184-L184</f>
        <v>0</v>
      </c>
      <c r="T185" s="868"/>
      <c r="U185" s="868"/>
      <c r="V185" s="868"/>
      <c r="W185" s="868"/>
      <c r="X185" s="868"/>
      <c r="Y185" s="868"/>
      <c r="Z185" s="868"/>
      <c r="AA185" s="868"/>
      <c r="AB185" s="868"/>
      <c r="AC185" s="868"/>
      <c r="AD185" s="868"/>
      <c r="AE185" s="868"/>
      <c r="AF185" s="868"/>
      <c r="AG185" s="868"/>
      <c r="AH185" s="868"/>
      <c r="AI185" s="868"/>
      <c r="AJ185" s="868"/>
      <c r="AK185" s="868"/>
      <c r="AL185" s="868"/>
      <c r="AM185" s="868"/>
      <c r="AN185" s="868"/>
      <c r="AO185" s="868"/>
      <c r="AP185" s="868"/>
      <c r="AQ185" s="868"/>
      <c r="AR185" s="868"/>
      <c r="AS185" s="868"/>
    </row>
    <row r="186" spans="1:46" ht="15.6">
      <c r="A186" s="1279" t="s">
        <v>531</v>
      </c>
      <c r="C186" s="320"/>
      <c r="D186" s="102"/>
      <c r="E186" s="102"/>
      <c r="F186" s="320"/>
      <c r="G186" s="320"/>
      <c r="H186" s="336"/>
      <c r="I186" s="336"/>
      <c r="J186" s="336"/>
      <c r="K186" s="336"/>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row>
    <row r="187" spans="1:46" ht="15.6">
      <c r="B187" s="1320" t="s">
        <v>532</v>
      </c>
      <c r="C187" s="162"/>
      <c r="D187" s="102"/>
      <c r="E187" s="102"/>
      <c r="F187" s="162"/>
      <c r="H187" s="332"/>
      <c r="I187" s="332"/>
      <c r="J187" s="332"/>
      <c r="K187" s="332"/>
      <c r="L187" s="332"/>
      <c r="M187" s="86"/>
      <c r="N187" s="44"/>
    </row>
    <row r="188" spans="1:46" ht="18" customHeight="1">
      <c r="A188" s="1163"/>
      <c r="B188" s="1165" t="s">
        <v>654</v>
      </c>
      <c r="C188" s="1163"/>
      <c r="D188" s="1073"/>
      <c r="E188" s="1164"/>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row>
    <row r="189" spans="1:46" s="3" customFormat="1" ht="18" customHeight="1">
      <c r="A189" s="1075"/>
      <c r="B189" s="1183"/>
      <c r="C189" s="323"/>
      <c r="D189" s="231"/>
      <c r="E189" s="323"/>
      <c r="F189" s="323"/>
      <c r="G189" s="198"/>
      <c r="J189" s="198"/>
      <c r="K189" s="198"/>
      <c r="L189" s="198"/>
      <c r="M189" s="198"/>
      <c r="N189" s="309"/>
      <c r="O189" s="309"/>
      <c r="P189" s="309"/>
      <c r="Q189" s="309"/>
      <c r="R189" s="309"/>
      <c r="S189" s="310"/>
      <c r="T189" s="310"/>
      <c r="U189" s="310"/>
      <c r="V189" s="309"/>
      <c r="W189" s="309"/>
      <c r="X189" s="309"/>
      <c r="Y189" s="309"/>
      <c r="Z189" s="309"/>
      <c r="AA189" s="309"/>
      <c r="AB189" s="309"/>
      <c r="AC189" s="309"/>
      <c r="AD189" s="309"/>
      <c r="AE189" s="309"/>
      <c r="AF189" s="309"/>
      <c r="AG189" s="309"/>
      <c r="AH189" s="309"/>
      <c r="AI189" s="309"/>
      <c r="AJ189" s="309"/>
      <c r="AK189" s="309"/>
      <c r="AL189" s="309"/>
      <c r="AM189" s="309"/>
      <c r="AN189" s="309"/>
      <c r="AO189" s="309"/>
      <c r="AP189" s="309"/>
      <c r="AQ189" s="309"/>
      <c r="AR189" s="309"/>
      <c r="AS189" s="309"/>
      <c r="AT189" s="693"/>
    </row>
    <row r="190" spans="1:46" s="1199" customFormat="1" ht="19.95" customHeight="1">
      <c r="A190" s="1194"/>
      <c r="B190" s="1195" t="s">
        <v>230</v>
      </c>
      <c r="C190" s="1196"/>
      <c r="D190" s="1197"/>
      <c r="E190" s="1197"/>
      <c r="F190" s="1198">
        <f>+Base!F$19</f>
        <v>1000000</v>
      </c>
      <c r="G190" s="1198">
        <f>+Base!G19</f>
        <v>1003900</v>
      </c>
      <c r="H190" s="1198">
        <f>+Base!H19</f>
        <v>1020200</v>
      </c>
      <c r="I190" s="1198">
        <f>+Base!I19</f>
        <v>1023600</v>
      </c>
      <c r="J190" s="1198">
        <f>+Base!J19</f>
        <v>1026400</v>
      </c>
      <c r="K190" s="1198">
        <f>+Base!K19</f>
        <v>1028500</v>
      </c>
      <c r="L190" s="1198">
        <f>+Base!L19</f>
        <v>1050200</v>
      </c>
      <c r="M190" s="1198">
        <f>+Base!M19</f>
        <v>1072700</v>
      </c>
      <c r="N190" s="1198">
        <f>+Base!N19</f>
        <v>1094600</v>
      </c>
      <c r="O190" s="1198">
        <f>+Base!O19</f>
        <v>1169500</v>
      </c>
      <c r="P190" s="1198">
        <f>+Base!P19</f>
        <v>1219000</v>
      </c>
      <c r="Q190" s="1198">
        <f>+Base!Q19</f>
        <v>1189100</v>
      </c>
      <c r="R190" s="1198">
        <f>+Base!R19</f>
        <v>1340600</v>
      </c>
      <c r="S190" s="1198">
        <f>+Base!S19</f>
        <v>1377500</v>
      </c>
      <c r="T190" s="1198">
        <f>+Base!T19</f>
        <v>1436400</v>
      </c>
      <c r="U190" s="1198">
        <f>+Base!U19</f>
        <v>1417200</v>
      </c>
      <c r="V190" s="1198">
        <f>+Base!V19</f>
        <v>1599600</v>
      </c>
      <c r="W190" s="1198">
        <f>+Base!W19</f>
        <v>1671600</v>
      </c>
      <c r="X190" s="1198">
        <f>+Base!X19</f>
        <v>1746500</v>
      </c>
      <c r="Y190" s="1198">
        <f>+Base!Y19</f>
        <v>1786500</v>
      </c>
      <c r="Z190" s="1198">
        <f>+Base!Z19</f>
        <v>1827200</v>
      </c>
      <c r="AA190" s="1198">
        <f>+Base!AA19</f>
        <v>1868600</v>
      </c>
      <c r="AB190" s="1198">
        <f>+Base!AB19</f>
        <v>1910200</v>
      </c>
      <c r="AC190" s="1198">
        <f>+Base!AC19</f>
        <v>2356100</v>
      </c>
      <c r="AD190" s="1198">
        <f>+Base!AD19</f>
        <v>2414800</v>
      </c>
      <c r="AE190" s="1198">
        <f>+Base!AE19</f>
        <v>2544900</v>
      </c>
      <c r="AF190" s="1198">
        <f>+Base!AF19</f>
        <v>2576100</v>
      </c>
      <c r="AG190" s="1198">
        <f>+Base!AG19</f>
        <v>2606300</v>
      </c>
      <c r="AH190" s="1198">
        <f>+Base!AH19</f>
        <v>2638500</v>
      </c>
      <c r="AI190" s="1198">
        <f>+Base!AI19</f>
        <v>2670800</v>
      </c>
      <c r="AJ190" s="1198">
        <f>+Base!AJ19</f>
        <v>0</v>
      </c>
      <c r="AK190" s="1198">
        <f>+Base!AK19</f>
        <v>0</v>
      </c>
      <c r="AL190" s="1198">
        <f>+Base!AL19</f>
        <v>0</v>
      </c>
      <c r="AM190" s="1198">
        <f>+Base!AM19</f>
        <v>0</v>
      </c>
      <c r="AN190" s="1198">
        <f>+Base!AN19</f>
        <v>0</v>
      </c>
      <c r="AO190" s="1198">
        <f>+Base!AO19</f>
        <v>0</v>
      </c>
      <c r="AP190" s="1198">
        <f>+Base!AP19</f>
        <v>0</v>
      </c>
      <c r="AQ190" s="1198">
        <f>+Base!AQ19</f>
        <v>0</v>
      </c>
      <c r="AR190" s="1198">
        <f>+Base!AR19</f>
        <v>0</v>
      </c>
      <c r="AS190" s="1198">
        <f>+Base!AS19</f>
        <v>0</v>
      </c>
      <c r="AT190" s="1204"/>
    </row>
    <row r="191" spans="1:46" s="3" customFormat="1" ht="15" customHeight="1">
      <c r="A191" s="1075"/>
      <c r="B191" s="175" t="s">
        <v>844</v>
      </c>
      <c r="C191" s="198"/>
      <c r="D191" s="138"/>
      <c r="E191" s="29">
        <f t="shared" ref="E191:E198" si="16">SUM(F191:AS191)</f>
        <v>2564500</v>
      </c>
      <c r="F191" s="868">
        <f>+Base!F$28+Base!F$31+Base!F$34+Base!F$37+Base!F$38</f>
        <v>58900</v>
      </c>
      <c r="G191" s="868">
        <f>+Base!G28+Base!G31+Base!G34+Base!G37+Base!G38</f>
        <v>59500</v>
      </c>
      <c r="H191" s="868">
        <f>+Base!H28+Base!H31+Base!H34+Base!H37+Base!H38</f>
        <v>60000</v>
      </c>
      <c r="I191" s="868">
        <f>+Base!I28+Base!I31+Base!I34+Base!I37+Base!I38</f>
        <v>60300</v>
      </c>
      <c r="J191" s="868">
        <f>+Base!J28+Base!J31+Base!J34+Base!J37+Base!J38</f>
        <v>60500</v>
      </c>
      <c r="K191" s="868">
        <f>+Base!K28+Base!K31+Base!K34+Base!K37+Base!K38</f>
        <v>61100</v>
      </c>
      <c r="L191" s="868">
        <f>+Base!L28+Base!L31+Base!L34+Base!L37+Base!L38</f>
        <v>62200</v>
      </c>
      <c r="M191" s="868">
        <f>+Base!M28+Base!M31+Base!M34+Base!M37+Base!M38</f>
        <v>63400</v>
      </c>
      <c r="N191" s="868">
        <f>+Base!N28+Base!N31+Base!N34+Base!N37+Base!N38</f>
        <v>65900</v>
      </c>
      <c r="O191" s="868">
        <f>+Base!O28+Base!O31+Base!O34+Base!O37+Base!O38</f>
        <v>69100</v>
      </c>
      <c r="P191" s="868">
        <f>+Base!P28+Base!P31+Base!P34+Base!P37+Base!P38</f>
        <v>69800</v>
      </c>
      <c r="Q191" s="868">
        <f>+Base!Q28+Base!Q31+Base!Q34+Base!Q37+Base!Q38</f>
        <v>71500</v>
      </c>
      <c r="R191" s="868">
        <f>+Base!R28+Base!R31+Base!R34+Base!R37+Base!R38</f>
        <v>78300</v>
      </c>
      <c r="S191" s="868">
        <f>+Base!S28+Base!S31+Base!S34+Base!S37+Base!S38</f>
        <v>80800</v>
      </c>
      <c r="T191" s="868">
        <f>+Base!T28+Base!T31+Base!T34+Base!T37+Base!T38</f>
        <v>82000</v>
      </c>
      <c r="U191" s="868">
        <f>+Base!U28+Base!U31+Base!U34+Base!U37+Base!U38</f>
        <v>85400</v>
      </c>
      <c r="V191" s="868">
        <f>+Base!V28+Base!V31+Base!V34+Base!V37+Base!V38</f>
        <v>93400</v>
      </c>
      <c r="W191" s="868">
        <f>+Base!W28+Base!W31+Base!W34+Base!W37+Base!W38</f>
        <v>97000</v>
      </c>
      <c r="X191" s="868">
        <f>+Base!X28+Base!X31+Base!X34+Base!X37+Base!X38</f>
        <v>86300</v>
      </c>
      <c r="Y191" s="868">
        <f>+Base!Y28+Base!Y31+Base!Y34+Base!Y37+Base!Y38</f>
        <v>87900</v>
      </c>
      <c r="Z191" s="868">
        <f>+Base!Z28+Base!Z31+Base!Z34+Base!Z37+Base!Z38</f>
        <v>89800</v>
      </c>
      <c r="AA191" s="868">
        <f>+Base!AA28+Base!AA31+Base!AA34+Base!AA37+Base!AA38</f>
        <v>91400</v>
      </c>
      <c r="AB191" s="868">
        <f>+Base!AB28+Base!AB31+Base!AB34+Base!AB37+Base!AB38</f>
        <v>101200</v>
      </c>
      <c r="AC191" s="868">
        <f>+Base!AC28+Base!AC31+Base!AC34+Base!AC37+Base!AC38</f>
        <v>111400</v>
      </c>
      <c r="AD191" s="868">
        <f>+Base!AD28+Base!AD31+Base!AD34+Base!AD37+Base!AD38</f>
        <v>115100</v>
      </c>
      <c r="AE191" s="868">
        <f>+Base!AE28+Base!AE31+Base!AE34+Base!AE37+Base!AE38</f>
        <v>118400</v>
      </c>
      <c r="AF191" s="868">
        <f>+Base!AF28+Base!AF31+Base!AF34+Base!AF37+Base!AF38</f>
        <v>119100</v>
      </c>
      <c r="AG191" s="868">
        <f>+Base!AG28+Base!AG31+Base!AG34+Base!AG37+Base!AG38</f>
        <v>120300</v>
      </c>
      <c r="AH191" s="868">
        <f>+Base!AH28+Base!AH31+Base!AH34+Base!AH37+Base!AH38</f>
        <v>121700</v>
      </c>
      <c r="AI191" s="868">
        <f>+Base!AI28+Base!AI31+Base!AI34+Base!AI37+Base!AI38</f>
        <v>122800</v>
      </c>
      <c r="AJ191" s="868">
        <f>+Base!AJ28+Base!AJ31+Base!AJ34+Base!AJ37+Base!AJ38</f>
        <v>0</v>
      </c>
      <c r="AK191" s="868">
        <f>+Base!AK28+Base!AK31+Base!AK34+Base!AK37+Base!AK38</f>
        <v>0</v>
      </c>
      <c r="AL191" s="868">
        <f>+Base!AL28+Base!AL31+Base!AL34+Base!AL37+Base!AL38</f>
        <v>0</v>
      </c>
      <c r="AM191" s="868">
        <f>+Base!AM28+Base!AM31+Base!AM34+Base!AM37+Base!AM38</f>
        <v>0</v>
      </c>
      <c r="AN191" s="868">
        <f>+Base!AN28+Base!AN31+Base!AN34+Base!AN37+Base!AN38</f>
        <v>0</v>
      </c>
      <c r="AO191" s="868">
        <f>+Base!AO28+Base!AO31+Base!AO34+Base!AO37+Base!AO38</f>
        <v>0</v>
      </c>
      <c r="AP191" s="868">
        <f>+Base!AP28+Base!AP31+Base!AP34+Base!AP37+Base!AP38</f>
        <v>0</v>
      </c>
      <c r="AQ191" s="868">
        <f>+Base!AQ28+Base!AQ31+Base!AQ34+Base!AQ37+Base!AQ38</f>
        <v>0</v>
      </c>
      <c r="AR191" s="868">
        <f>+Base!AR28+Base!AR31+Base!AR34+Base!AR37+Base!AR38</f>
        <v>0</v>
      </c>
      <c r="AS191" s="868">
        <f>+Base!AS28+Base!AS31+Base!AS34+Base!AS37+Base!AS38</f>
        <v>0</v>
      </c>
      <c r="AT191" s="693"/>
    </row>
    <row r="192" spans="1:46" s="3" customFormat="1" ht="15" customHeight="1">
      <c r="A192" s="1075"/>
      <c r="B192" s="175" t="s">
        <v>1080</v>
      </c>
      <c r="C192" s="198"/>
      <c r="D192" s="138"/>
      <c r="E192" s="29">
        <f t="shared" si="16"/>
        <v>693600</v>
      </c>
      <c r="F192" s="868">
        <f>+Base!F$63+Base!F$64+Base!F$62+Base!F$70</f>
        <v>20000</v>
      </c>
      <c r="G192" s="868">
        <f>+Base!G$63+Base!G$64+Base!G$62+Base!G$70</f>
        <v>35600</v>
      </c>
      <c r="H192" s="868">
        <f>+Base!H$63+Base!H$64+Base!H$62+Base!H$70</f>
        <v>21200</v>
      </c>
      <c r="I192" s="868">
        <f>+Base!I$63+Base!I$64+Base!I$62+Base!I$70</f>
        <v>21900</v>
      </c>
      <c r="J192" s="868">
        <f>+Base!J$63+Base!J$64+Base!J$62+Base!J$70</f>
        <v>22600</v>
      </c>
      <c r="K192" s="868">
        <f>+Base!K$63+Base!K$64+Base!K$62+Base!K$70</f>
        <v>23400</v>
      </c>
      <c r="L192" s="868">
        <f>+Base!L$63+Base!L$64+Base!L$62+Base!L$70</f>
        <v>24200</v>
      </c>
      <c r="M192" s="868">
        <f>+Base!M$63+Base!M$64+Base!M$62+Base!M$70</f>
        <v>25000</v>
      </c>
      <c r="N192" s="868">
        <f>+Base!N$63+Base!N$64+Base!N$62+Base!N$70</f>
        <v>25800</v>
      </c>
      <c r="O192" s="868">
        <f>+Base!O$63+Base!O$64+Base!O$62+Base!O$70</f>
        <v>12500</v>
      </c>
      <c r="P192" s="868">
        <f>+Base!P$63+Base!P$64+Base!P$62+Base!P$70</f>
        <v>12800</v>
      </c>
      <c r="Q192" s="868">
        <f>+Base!Q$63+Base!Q$64+Base!Q$62+Base!Q$70</f>
        <v>13100</v>
      </c>
      <c r="R192" s="868">
        <f>+Base!R$63+Base!R$64+Base!R$62+Base!R$70</f>
        <v>13400</v>
      </c>
      <c r="S192" s="868">
        <f>+Base!S$63+Base!S$64+Base!S$62+Base!S$70</f>
        <v>13700</v>
      </c>
      <c r="T192" s="868">
        <f>+Base!T$63+Base!T$64+Base!T$62+Base!T$70</f>
        <v>23100</v>
      </c>
      <c r="U192" s="868">
        <f>+Base!U$63+Base!U$64+Base!U$62+Base!U$70</f>
        <v>23500</v>
      </c>
      <c r="V192" s="868">
        <f>+Base!V$63+Base!V$64+Base!V$62+Base!V$70</f>
        <v>23900</v>
      </c>
      <c r="W192" s="868">
        <f>+Base!W$63+Base!W$64+Base!W$62+Base!W$70</f>
        <v>24300</v>
      </c>
      <c r="X192" s="868">
        <f>+Base!X$63+Base!X$64+Base!X$62+Base!X$70</f>
        <v>24700</v>
      </c>
      <c r="Y192" s="868">
        <f>+Base!Y$63+Base!Y$64+Base!Y$62+Base!Y$70</f>
        <v>25100</v>
      </c>
      <c r="Z192" s="868">
        <f>+Base!Z$63+Base!Z$64+Base!Z$62+Base!Z$70</f>
        <v>25500</v>
      </c>
      <c r="AA192" s="868">
        <f>+Base!AA$63+Base!AA$64+Base!AA$62+Base!AA$70</f>
        <v>25900</v>
      </c>
      <c r="AB192" s="868">
        <f>+Base!AB$63+Base!AB$64+Base!AB$62+Base!AB$70</f>
        <v>26300</v>
      </c>
      <c r="AC192" s="868">
        <f>+Base!AC$63+Base!AC$64+Base!AC$62+Base!AC$70</f>
        <v>26800</v>
      </c>
      <c r="AD192" s="868">
        <f>+Base!AD$63+Base!AD$64+Base!AD$62+Base!AD$70</f>
        <v>25300</v>
      </c>
      <c r="AE192" s="868">
        <f>+Base!AE$63+Base!AE$64+Base!AE$62+Base!AE$70</f>
        <v>25800</v>
      </c>
      <c r="AF192" s="868">
        <f>+Base!AF$63+Base!AF$64+Base!AF$62+Base!AF$70</f>
        <v>26300</v>
      </c>
      <c r="AG192" s="868">
        <f>+Base!AG$63+Base!AG$64+Base!AG$62+Base!AG$70</f>
        <v>26800</v>
      </c>
      <c r="AH192" s="868">
        <f>+Base!AH$63+Base!AH$64+Base!AH$62+Base!AH$70</f>
        <v>27300</v>
      </c>
      <c r="AI192" s="868">
        <f>+Base!AI$63+Base!AI$64+Base!AI$62+Base!AI$70</f>
        <v>27800</v>
      </c>
      <c r="AJ192" s="868">
        <f>+Base!AJ$63+Base!AJ$64+Base!AJ$62+Base!AJ$70</f>
        <v>0</v>
      </c>
      <c r="AK192" s="868">
        <f>+Base!AK$63+Base!AK$64+Base!AK$62+Base!AK$70</f>
        <v>0</v>
      </c>
      <c r="AL192" s="868">
        <f>+Base!AL$63+Base!AL$64+Base!AL$62+Base!AL$70</f>
        <v>0</v>
      </c>
      <c r="AM192" s="868">
        <f>+Base!AM$63+Base!AM$64+Base!AM$62+Base!AM$70</f>
        <v>0</v>
      </c>
      <c r="AN192" s="868">
        <f>+Base!AN$63+Base!AN$64+Base!AN$62+Base!AN$70</f>
        <v>0</v>
      </c>
      <c r="AO192" s="868">
        <f>+Base!AO$63+Base!AO$64+Base!AO$62+Base!AO$70</f>
        <v>0</v>
      </c>
      <c r="AP192" s="868">
        <f>+Base!AP$63+Base!AP$64+Base!AP$62+Base!AP$70</f>
        <v>0</v>
      </c>
      <c r="AQ192" s="868">
        <f>+Base!AQ$63+Base!AQ$64+Base!AQ$62+Base!AQ$70</f>
        <v>0</v>
      </c>
      <c r="AR192" s="868">
        <f>+Base!AR$63+Base!AR$64+Base!AR$62+Base!AR$70</f>
        <v>0</v>
      </c>
      <c r="AS192" s="868">
        <f>+Base!AS$63+Base!AS$64+Base!AS$62+Base!AS$70</f>
        <v>0</v>
      </c>
      <c r="AT192" s="693"/>
    </row>
    <row r="193" spans="1:46" s="3" customFormat="1" ht="15" customHeight="1">
      <c r="A193" s="1075"/>
      <c r="B193" s="72" t="s">
        <v>221</v>
      </c>
      <c r="C193" s="198"/>
      <c r="D193" s="138"/>
      <c r="E193" s="29">
        <f t="shared" si="16"/>
        <v>1516900</v>
      </c>
      <c r="F193" s="868">
        <f>+Base!F$61</f>
        <v>0</v>
      </c>
      <c r="G193" s="868">
        <f>+Base!G61</f>
        <v>0</v>
      </c>
      <c r="H193" s="868">
        <f>+Base!H61</f>
        <v>0</v>
      </c>
      <c r="I193" s="868">
        <f>+Base!I61</f>
        <v>0</v>
      </c>
      <c r="J193" s="868">
        <f>+Base!J61</f>
        <v>0</v>
      </c>
      <c r="K193" s="868">
        <f>+Base!K61</f>
        <v>22100</v>
      </c>
      <c r="L193" s="868">
        <f>+Base!L61</f>
        <v>22500</v>
      </c>
      <c r="M193" s="868">
        <f>+Base!M61</f>
        <v>23000</v>
      </c>
      <c r="N193" s="868">
        <f>+Base!N61</f>
        <v>69900</v>
      </c>
      <c r="O193" s="868">
        <f>+Base!O61</f>
        <v>71300</v>
      </c>
      <c r="P193" s="868">
        <f>+Base!P61</f>
        <v>72700</v>
      </c>
      <c r="Q193" s="868">
        <f>+Base!Q61</f>
        <v>74200</v>
      </c>
      <c r="R193" s="868">
        <f>+Base!R61</f>
        <v>75700</v>
      </c>
      <c r="S193" s="868">
        <f>+Base!S61</f>
        <v>77200</v>
      </c>
      <c r="T193" s="868">
        <f>+Base!T61</f>
        <v>78700</v>
      </c>
      <c r="U193" s="868">
        <f>+Base!U61</f>
        <v>80200</v>
      </c>
      <c r="V193" s="868">
        <f>+Base!V61</f>
        <v>63000</v>
      </c>
      <c r="W193" s="868">
        <f>+Base!W61</f>
        <v>64200</v>
      </c>
      <c r="X193" s="868">
        <f>+Base!X61</f>
        <v>65500</v>
      </c>
      <c r="Y193" s="868">
        <f>+Base!Y61</f>
        <v>66800</v>
      </c>
      <c r="Z193" s="868">
        <f>+Base!Z61</f>
        <v>68100</v>
      </c>
      <c r="AA193" s="868">
        <f>+Base!AA61</f>
        <v>69500</v>
      </c>
      <c r="AB193" s="868">
        <f>+Base!AB61</f>
        <v>70900</v>
      </c>
      <c r="AC193" s="868">
        <f>+Base!AC61</f>
        <v>72300</v>
      </c>
      <c r="AD193" s="868">
        <f>+Base!AD61</f>
        <v>49000</v>
      </c>
      <c r="AE193" s="868">
        <f>+Base!AE61</f>
        <v>50000</v>
      </c>
      <c r="AF193" s="868">
        <f>+Base!AF61</f>
        <v>51000</v>
      </c>
      <c r="AG193" s="868">
        <f>+Base!AG61</f>
        <v>52000</v>
      </c>
      <c r="AH193" s="868">
        <f>+Base!AH61</f>
        <v>53000</v>
      </c>
      <c r="AI193" s="868">
        <f>+Base!AI61</f>
        <v>54100</v>
      </c>
      <c r="AJ193" s="868">
        <f>+Base!AJ61</f>
        <v>0</v>
      </c>
      <c r="AK193" s="868">
        <f>+Base!AK61</f>
        <v>0</v>
      </c>
      <c r="AL193" s="868">
        <f>+Base!AL61</f>
        <v>0</v>
      </c>
      <c r="AM193" s="868">
        <f>+Base!AM61</f>
        <v>0</v>
      </c>
      <c r="AN193" s="868">
        <f>+Base!AN61</f>
        <v>0</v>
      </c>
      <c r="AO193" s="868">
        <f>+Base!AO61</f>
        <v>0</v>
      </c>
      <c r="AP193" s="868">
        <f>+Base!AP61</f>
        <v>0</v>
      </c>
      <c r="AQ193" s="868">
        <f>+Base!AQ61</f>
        <v>0</v>
      </c>
      <c r="AR193" s="868">
        <f>+Base!AR61</f>
        <v>0</v>
      </c>
      <c r="AS193" s="868">
        <f>+Base!AS61</f>
        <v>0</v>
      </c>
      <c r="AT193" s="693"/>
    </row>
    <row r="194" spans="1:46" s="3" customFormat="1" ht="15" customHeight="1">
      <c r="A194" s="1075"/>
      <c r="B194" s="175" t="s">
        <v>222</v>
      </c>
      <c r="C194" s="198"/>
      <c r="D194" s="138"/>
      <c r="E194" s="29">
        <f t="shared" si="16"/>
        <v>700000</v>
      </c>
      <c r="F194" s="868">
        <f>+Base!F$78+Base!F$79+Base!F$80+Base!F$81+Base!F$105+Base!F$106</f>
        <v>0</v>
      </c>
      <c r="G194" s="868">
        <f>+Base!G$78+Base!G$79+Base!G$80+Base!G$81+Base!G$105+Base!G$106</f>
        <v>0</v>
      </c>
      <c r="H194" s="868">
        <f>+Base!H$78+Base!H$79+Base!H$80+Base!H$81+Base!H$105+Base!H$106</f>
        <v>0</v>
      </c>
      <c r="I194" s="868">
        <f>+Base!I$78+Base!I$79+Base!I$80+Base!I$81+Base!I$105+Base!I$106</f>
        <v>0</v>
      </c>
      <c r="J194" s="868">
        <f>+Base!J$78+Base!J$79+Base!J$80+Base!J$81+Base!J$105+Base!J$106</f>
        <v>0</v>
      </c>
      <c r="K194" s="868">
        <f>+Base!K$78+Base!K$79+Base!K$80+Base!K$81+Base!K$105+Base!K$106</f>
        <v>0</v>
      </c>
      <c r="L194" s="868">
        <f>+Base!L$78+Base!L$79+Base!L$80+Base!L$81+Base!L$105+Base!L$106</f>
        <v>0</v>
      </c>
      <c r="M194" s="868">
        <f>+Base!M$78+Base!M$79+Base!M$80+Base!M$81+Base!M$105+Base!M$106</f>
        <v>0</v>
      </c>
      <c r="N194" s="868">
        <f>+Base!N$78+Base!N$79+Base!N$80+Base!N$81+Base!N$105+Base!N$106</f>
        <v>0</v>
      </c>
      <c r="O194" s="868">
        <f>+Base!O$78+Base!O$79+Base!O$80+Base!O$81+Base!O$105+Base!O$106</f>
        <v>0</v>
      </c>
      <c r="P194" s="868">
        <f>+Base!P$78+Base!P$79+Base!P$80+Base!P$81+Base!P$105+Base!P$106</f>
        <v>0</v>
      </c>
      <c r="Q194" s="868">
        <f>+Base!Q$78+Base!Q$79+Base!Q$80+Base!Q$81+Base!Q$105+Base!Q$106</f>
        <v>100000</v>
      </c>
      <c r="R194" s="868">
        <f>+Base!R$78+Base!R$79+Base!R$80+Base!R$81+Base!R$105+Base!R$106</f>
        <v>0</v>
      </c>
      <c r="S194" s="868">
        <f>+Base!S$78+Base!S$79+Base!S$80+Base!S$81+Base!S$105+Base!S$106</f>
        <v>0</v>
      </c>
      <c r="T194" s="868">
        <f>+Base!T$78+Base!T$79+Base!T$80+Base!T$81+Base!T$105+Base!T$106</f>
        <v>0</v>
      </c>
      <c r="U194" s="868">
        <f>+Base!U$78+Base!U$79+Base!U$80+Base!U$81+Base!U$105+Base!U$106</f>
        <v>100000</v>
      </c>
      <c r="V194" s="868">
        <f>+Base!V$78+Base!V$79+Base!V$80+Base!V$81+Base!V$105+Base!V$106</f>
        <v>0</v>
      </c>
      <c r="W194" s="868">
        <f>+Base!W$78+Base!W$79+Base!W$80+Base!W$81+Base!W$105+Base!W$106</f>
        <v>0</v>
      </c>
      <c r="X194" s="868">
        <f>+Base!X$78+Base!X$79+Base!X$80+Base!X$81+Base!X$105+Base!X$106</f>
        <v>0</v>
      </c>
      <c r="Y194" s="868">
        <f>+Base!Y$78+Base!Y$79+Base!Y$80+Base!Y$81+Base!Y$105+Base!Y$106</f>
        <v>0</v>
      </c>
      <c r="Z194" s="868">
        <f>+Base!Z$78+Base!Z$79+Base!Z$80+Base!Z$81+Base!Z$105+Base!Z$106</f>
        <v>0</v>
      </c>
      <c r="AA194" s="868">
        <f>+Base!AA$78+Base!AA$79+Base!AA$80+Base!AA$81+Base!AA$105+Base!AA$106</f>
        <v>0</v>
      </c>
      <c r="AB194" s="868">
        <f>+Base!AB$78+Base!AB$79+Base!AB$80+Base!AB$81+Base!AB$105+Base!AB$106</f>
        <v>400000</v>
      </c>
      <c r="AC194" s="868">
        <f>+Base!AC$78+Base!AC$79+Base!AC$80+Base!AC$81+Base!AC$105+Base!AC$106</f>
        <v>0</v>
      </c>
      <c r="AD194" s="868">
        <f>+Base!AD$78+Base!AD$79+Base!AD$80+Base!AD$81+Base!AD$105+Base!AD$106</f>
        <v>100000</v>
      </c>
      <c r="AE194" s="868">
        <f>+Base!AE$78+Base!AE$79+Base!AE$80+Base!AE$81+Base!AE$105+Base!AE$106</f>
        <v>0</v>
      </c>
      <c r="AF194" s="868">
        <f>+Base!AF$78+Base!AF$79+Base!AF$80+Base!AF$81+Base!AF$105+Base!AF$106</f>
        <v>0</v>
      </c>
      <c r="AG194" s="868">
        <f>+Base!AG$78+Base!AG$79+Base!AG$80+Base!AG$81+Base!AG$105+Base!AG$106</f>
        <v>0</v>
      </c>
      <c r="AH194" s="868">
        <f>+Base!AH$78+Base!AH$79+Base!AH$80+Base!AH$81+Base!AH$105+Base!AH$106</f>
        <v>0</v>
      </c>
      <c r="AI194" s="868">
        <f>+Base!AI$78+Base!AI$79+Base!AI$80+Base!AI$81+Base!AI$105+Base!AI$106</f>
        <v>0</v>
      </c>
      <c r="AJ194" s="868">
        <f>+Base!AJ$78+Base!AJ$79+Base!AJ$80+Base!AJ$81+Base!AJ$105+Base!AJ$106</f>
        <v>0</v>
      </c>
      <c r="AK194" s="868">
        <f>+Base!AK$78+Base!AK$79+Base!AK$80+Base!AK$81+Base!AK$105+Base!AK$106</f>
        <v>0</v>
      </c>
      <c r="AL194" s="868">
        <f>+Base!AL$78+Base!AL$79+Base!AL$80+Base!AL$81+Base!AL$105+Base!AL$106</f>
        <v>0</v>
      </c>
      <c r="AM194" s="868">
        <f>+Base!AM$78+Base!AM$79+Base!AM$80+Base!AM$81+Base!AM$105+Base!AM$106</f>
        <v>0</v>
      </c>
      <c r="AN194" s="868">
        <f>+Base!AN$78+Base!AN$79+Base!AN$80+Base!AN$81+Base!AN$105+Base!AN$106</f>
        <v>0</v>
      </c>
      <c r="AO194" s="868">
        <f>+Base!AO$78+Base!AO$79+Base!AO$80+Base!AO$81+Base!AO$105+Base!AO$106</f>
        <v>0</v>
      </c>
      <c r="AP194" s="868">
        <f>+Base!AP$78+Base!AP$79+Base!AP$80+Base!AP$81+Base!AP$105+Base!AP$106</f>
        <v>0</v>
      </c>
      <c r="AQ194" s="868">
        <f>+Base!AQ$78+Base!AQ$79+Base!AQ$80+Base!AQ$81+Base!AQ$105+Base!AQ$106</f>
        <v>0</v>
      </c>
      <c r="AR194" s="868">
        <f>+Base!AR$78+Base!AR$79+Base!AR$80+Base!AR$81+Base!AR$105+Base!AR$106</f>
        <v>0</v>
      </c>
      <c r="AS194" s="868">
        <f>+Base!AS$78+Base!AS$79+Base!AS$80+Base!AS$81+Base!AS$105+Base!AS$106</f>
        <v>0</v>
      </c>
      <c r="AT194" s="693"/>
    </row>
    <row r="195" spans="1:46" s="3" customFormat="1" ht="15" customHeight="1">
      <c r="A195" s="1075"/>
      <c r="B195" s="72" t="s">
        <v>1206</v>
      </c>
      <c r="C195" s="198"/>
      <c r="D195" s="138"/>
      <c r="E195" s="29">
        <f t="shared" si="16"/>
        <v>-300000</v>
      </c>
      <c r="F195" s="868">
        <f>Base!F$82+Base!F$83+Base!F$84+Base!F$137</f>
        <v>0</v>
      </c>
      <c r="G195" s="868">
        <f>Base!G$82+Base!G$83+Base!G$84+Base!G$137</f>
        <v>0</v>
      </c>
      <c r="H195" s="868">
        <f>Base!H$82+Base!H$83+Base!H$84+Base!H$137</f>
        <v>0</v>
      </c>
      <c r="I195" s="868">
        <f>Base!I$82+Base!I$83+Base!I$84+Base!I$137</f>
        <v>0</v>
      </c>
      <c r="J195" s="868">
        <f>Base!J$82+Base!J$83+Base!J$84+Base!J$137</f>
        <v>0</v>
      </c>
      <c r="K195" s="868">
        <f>Base!K$82+Base!K$83+Base!K$84+Base!K$137</f>
        <v>0</v>
      </c>
      <c r="L195" s="868">
        <f>Base!L$82+Base!L$83+Base!L$84+Base!L$137</f>
        <v>0</v>
      </c>
      <c r="M195" s="868">
        <f>Base!M$82+Base!M$83+Base!M$84+Base!M$137</f>
        <v>0</v>
      </c>
      <c r="N195" s="868">
        <f>Base!N$82+Base!N$83+Base!N$84+Base!N$137</f>
        <v>0</v>
      </c>
      <c r="O195" s="868">
        <f>Base!O$82+Base!O$83+Base!O$84+Base!O$137</f>
        <v>-15000</v>
      </c>
      <c r="P195" s="868">
        <f>Base!P$82+Base!P$83+Base!P$84+Base!P$137</f>
        <v>-95000</v>
      </c>
      <c r="Q195" s="868">
        <f>Base!Q$82+Base!Q$83+Base!Q$84+Base!Q$137</f>
        <v>-15000</v>
      </c>
      <c r="R195" s="868">
        <f>Base!R$82+Base!R$83+Base!R$84+Base!R$137</f>
        <v>-35000</v>
      </c>
      <c r="S195" s="868">
        <f>Base!S$82+Base!S$83+Base!S$84+Base!S$137</f>
        <v>-15000</v>
      </c>
      <c r="T195" s="868">
        <f>Base!T$82+Base!T$83+Base!T$84+Base!T$137</f>
        <v>-100000</v>
      </c>
      <c r="U195" s="868">
        <f>Base!U$82+Base!U$83+Base!U$84+Base!U$137</f>
        <v>0</v>
      </c>
      <c r="V195" s="868">
        <f>Base!V$82+Base!V$83+Base!V$84+Base!V$137</f>
        <v>0</v>
      </c>
      <c r="W195" s="868">
        <f>Base!W$82+Base!W$83+Base!W$84+Base!W$137</f>
        <v>0</v>
      </c>
      <c r="X195" s="868">
        <f>Base!X$82+Base!X$83+Base!X$84+Base!X$137</f>
        <v>-5000</v>
      </c>
      <c r="Y195" s="868">
        <f>Base!Y$82+Base!Y$83+Base!Y$84+Base!Y$137</f>
        <v>-5000</v>
      </c>
      <c r="Z195" s="868">
        <f>Base!Z$82+Base!Z$83+Base!Z$84+Base!Z$137</f>
        <v>-5000</v>
      </c>
      <c r="AA195" s="868">
        <f>Base!AA$82+Base!AA$83+Base!AA$84+Base!AA$137</f>
        <v>-5000</v>
      </c>
      <c r="AB195" s="868">
        <f>Base!AB$82+Base!AB$83+Base!AB$84+Base!AB$137</f>
        <v>-5000</v>
      </c>
      <c r="AC195" s="868">
        <f>Base!AC$82+Base!AC$83+Base!AC$84+Base!AC$137</f>
        <v>0</v>
      </c>
      <c r="AD195" s="868">
        <f>Base!AD$82+Base!AD$83+Base!AD$84+Base!AD$137</f>
        <v>0</v>
      </c>
      <c r="AE195" s="868">
        <f>Base!AE$82+Base!AE$83+Base!AE$84+Base!AE$137</f>
        <v>0</v>
      </c>
      <c r="AF195" s="868">
        <f>Base!AF$82+Base!AF$83+Base!AF$84+Base!AF$137</f>
        <v>0</v>
      </c>
      <c r="AG195" s="868">
        <f>Base!AG$82+Base!AG$83+Base!AG$84+Base!AG$137</f>
        <v>0</v>
      </c>
      <c r="AH195" s="868">
        <f>Base!AH$82+Base!AH$83+Base!AH$84+Base!AH$137</f>
        <v>0</v>
      </c>
      <c r="AI195" s="868">
        <f>Base!AI$82+Base!AI$83+Base!AI$84+Base!AI$137</f>
        <v>0</v>
      </c>
      <c r="AJ195" s="868">
        <f>Base!AJ$82+Base!AJ$83+Base!AJ$84+Base!AJ$137</f>
        <v>0</v>
      </c>
      <c r="AK195" s="868">
        <f>Base!AK$82+Base!AK$83+Base!AK$84+Base!AK$137</f>
        <v>0</v>
      </c>
      <c r="AL195" s="868">
        <f>Base!AL$82+Base!AL$83+Base!AL$84+Base!AL$137</f>
        <v>0</v>
      </c>
      <c r="AM195" s="868">
        <f>Base!AM$82+Base!AM$83+Base!AM$84+Base!AM$137</f>
        <v>0</v>
      </c>
      <c r="AN195" s="868">
        <f>Base!AN$82+Base!AN$83+Base!AN$84+Base!AN$137</f>
        <v>0</v>
      </c>
      <c r="AO195" s="868">
        <f>Base!AO$82+Base!AO$83+Base!AO$84+Base!AO$137</f>
        <v>0</v>
      </c>
      <c r="AP195" s="868">
        <f>Base!AP$82+Base!AP$83+Base!AP$84+Base!AP$137</f>
        <v>0</v>
      </c>
      <c r="AQ195" s="868">
        <f>Base!AQ$82+Base!AQ$83+Base!AQ$84+Base!AQ$137</f>
        <v>0</v>
      </c>
      <c r="AR195" s="868">
        <f>Base!AR$82+Base!AR$83+Base!AR$84+Base!AR$137</f>
        <v>0</v>
      </c>
      <c r="AS195" s="868">
        <f>Base!AS$82+Base!AS$83+Base!AS$84+Base!AS$137</f>
        <v>0</v>
      </c>
      <c r="AT195" s="693"/>
    </row>
    <row r="196" spans="1:46" s="3" customFormat="1" ht="15" customHeight="1">
      <c r="A196" s="1075"/>
      <c r="B196" s="72" t="s">
        <v>1319</v>
      </c>
      <c r="C196" s="198"/>
      <c r="D196" s="138"/>
      <c r="E196" s="29">
        <f>SUM(F196:AS196)</f>
        <v>-3104300</v>
      </c>
      <c r="F196" s="868">
        <f>-Base!F$144</f>
        <v>-70000</v>
      </c>
      <c r="G196" s="868">
        <f>-Base!G144</f>
        <v>-71400</v>
      </c>
      <c r="H196" s="868">
        <f>-Base!H144</f>
        <v>-72800</v>
      </c>
      <c r="I196" s="868">
        <f>-Base!I144</f>
        <v>-74300</v>
      </c>
      <c r="J196" s="868">
        <f>-Base!J144</f>
        <v>-75800</v>
      </c>
      <c r="K196" s="868">
        <f>-Base!K144</f>
        <v>-77300</v>
      </c>
      <c r="L196" s="868">
        <f>-Base!L144</f>
        <v>-78800</v>
      </c>
      <c r="M196" s="868">
        <f>-Base!M144</f>
        <v>-80400</v>
      </c>
      <c r="N196" s="868">
        <f>-Base!N144</f>
        <v>-82000</v>
      </c>
      <c r="O196" s="868">
        <f>-Base!O144</f>
        <v>-83600</v>
      </c>
      <c r="P196" s="868">
        <f>-Base!P144</f>
        <v>-85300</v>
      </c>
      <c r="Q196" s="868">
        <f>-Base!Q144</f>
        <v>-87000</v>
      </c>
      <c r="R196" s="868">
        <f>-Base!R144</f>
        <v>-88700</v>
      </c>
      <c r="S196" s="868">
        <f>-Base!S144</f>
        <v>-90500</v>
      </c>
      <c r="T196" s="868">
        <f>-Base!T144</f>
        <v>-92300</v>
      </c>
      <c r="U196" s="868">
        <f>-Base!U144</f>
        <v>-94100</v>
      </c>
      <c r="V196" s="868">
        <f>-Base!V144</f>
        <v>-96000</v>
      </c>
      <c r="W196" s="868">
        <f>-Base!W144</f>
        <v>-97900</v>
      </c>
      <c r="X196" s="868">
        <f>-Base!X144</f>
        <v>-119800</v>
      </c>
      <c r="Y196" s="868">
        <f>-Base!Y144</f>
        <v>-122200</v>
      </c>
      <c r="Z196" s="868">
        <f>-Base!Z144</f>
        <v>-124600</v>
      </c>
      <c r="AA196" s="868">
        <f>-Base!AA144</f>
        <v>-127100</v>
      </c>
      <c r="AB196" s="868">
        <f>-Base!AB144</f>
        <v>-129600</v>
      </c>
      <c r="AC196" s="868">
        <f>-Base!AC144</f>
        <v>-132200</v>
      </c>
      <c r="AD196" s="868">
        <f>-Base!AD144</f>
        <v>-134800</v>
      </c>
      <c r="AE196" s="868">
        <f>-Base!AE144</f>
        <v>-137500</v>
      </c>
      <c r="AF196" s="868">
        <f>-Base!AF144</f>
        <v>-140300</v>
      </c>
      <c r="AG196" s="868">
        <f>-Base!AG144</f>
        <v>-143100</v>
      </c>
      <c r="AH196" s="868">
        <f>-Base!AH144</f>
        <v>-146000</v>
      </c>
      <c r="AI196" s="868">
        <f>-Base!AI144</f>
        <v>-148900</v>
      </c>
      <c r="AJ196" s="868">
        <f>-Base!AJ144</f>
        <v>0</v>
      </c>
      <c r="AK196" s="868">
        <f>-Base!AK144</f>
        <v>0</v>
      </c>
      <c r="AL196" s="868">
        <f>-Base!AL144</f>
        <v>0</v>
      </c>
      <c r="AM196" s="868">
        <f>-Base!AM144</f>
        <v>0</v>
      </c>
      <c r="AN196" s="868">
        <f>-Base!AN144</f>
        <v>0</v>
      </c>
      <c r="AO196" s="868">
        <f>-Base!AO144</f>
        <v>0</v>
      </c>
      <c r="AP196" s="868">
        <f>-Base!AP144</f>
        <v>0</v>
      </c>
      <c r="AQ196" s="868">
        <f>-Base!AQ144</f>
        <v>0</v>
      </c>
      <c r="AR196" s="868">
        <f>-Base!AR144</f>
        <v>0</v>
      </c>
      <c r="AS196" s="868">
        <f>-Base!AS144</f>
        <v>0</v>
      </c>
      <c r="AT196" s="693"/>
    </row>
    <row r="197" spans="1:46" s="3" customFormat="1" ht="15" customHeight="1">
      <c r="A197" s="1075"/>
      <c r="B197" s="72" t="s">
        <v>468</v>
      </c>
      <c r="C197" s="198"/>
      <c r="D197" s="138"/>
      <c r="E197" s="34">
        <f t="shared" si="16"/>
        <v>-368300</v>
      </c>
      <c r="F197" s="1115">
        <f>-Base!F$145</f>
        <v>-5000</v>
      </c>
      <c r="G197" s="1115">
        <f>-Base!G145</f>
        <v>-7400</v>
      </c>
      <c r="H197" s="1115">
        <f>-Base!H145</f>
        <v>-5000</v>
      </c>
      <c r="I197" s="1115">
        <f>-Base!I145</f>
        <v>-5100</v>
      </c>
      <c r="J197" s="1115">
        <f>-Base!J145</f>
        <v>-5200</v>
      </c>
      <c r="K197" s="1115">
        <f>-Base!K145</f>
        <v>-7600</v>
      </c>
      <c r="L197" s="1115">
        <f>-Base!L145</f>
        <v>-7600</v>
      </c>
      <c r="M197" s="1115">
        <f>-Base!M145</f>
        <v>-9100</v>
      </c>
      <c r="N197" s="1115">
        <f>-Base!N145</f>
        <v>-4700</v>
      </c>
      <c r="O197" s="1115">
        <f>-Base!O145</f>
        <v>-4800</v>
      </c>
      <c r="P197" s="1115">
        <f>-Base!P145</f>
        <v>-4900</v>
      </c>
      <c r="Q197" s="1115">
        <f>-Base!Q145</f>
        <v>-5300</v>
      </c>
      <c r="R197" s="1115">
        <f>-Base!R145</f>
        <v>-6800</v>
      </c>
      <c r="S197" s="1115">
        <f>-Base!S145</f>
        <v>-7300</v>
      </c>
      <c r="T197" s="1115">
        <f>-Base!T145</f>
        <v>-10700</v>
      </c>
      <c r="U197" s="1115">
        <f>-Base!U145</f>
        <v>-12600</v>
      </c>
      <c r="V197" s="1115">
        <f>-Base!V145</f>
        <v>-12300</v>
      </c>
      <c r="W197" s="1115">
        <f>-Base!W145</f>
        <v>-12700</v>
      </c>
      <c r="X197" s="1115">
        <f>-Base!X145</f>
        <v>-11700</v>
      </c>
      <c r="Y197" s="1115">
        <f>-Base!Y145</f>
        <v>-11900</v>
      </c>
      <c r="Z197" s="1115">
        <f>-Base!Z145</f>
        <v>-12400</v>
      </c>
      <c r="AA197" s="1115">
        <f>-Base!AA145</f>
        <v>-13100</v>
      </c>
      <c r="AB197" s="1115">
        <f>-Base!AB145</f>
        <v>-17900</v>
      </c>
      <c r="AC197" s="1115">
        <f>-Base!AC145</f>
        <v>-19600</v>
      </c>
      <c r="AD197" s="1115">
        <f>-Base!AD145</f>
        <v>-24500</v>
      </c>
      <c r="AE197" s="1115">
        <f>-Base!AE145</f>
        <v>-25500</v>
      </c>
      <c r="AF197" s="1115">
        <f>-Base!AF145</f>
        <v>-25900</v>
      </c>
      <c r="AG197" s="1115">
        <f>-Base!AG145</f>
        <v>-23800</v>
      </c>
      <c r="AH197" s="1115">
        <f>-Base!AH145</f>
        <v>-23700</v>
      </c>
      <c r="AI197" s="1115">
        <f>-Base!AI145</f>
        <v>-24200</v>
      </c>
      <c r="AJ197" s="1115">
        <f>-Base!AJ145</f>
        <v>0</v>
      </c>
      <c r="AK197" s="1115">
        <f>-Base!AK145</f>
        <v>0</v>
      </c>
      <c r="AL197" s="1115">
        <f>-Base!AL145</f>
        <v>0</v>
      </c>
      <c r="AM197" s="1115">
        <f>-Base!AM145</f>
        <v>0</v>
      </c>
      <c r="AN197" s="1115">
        <f>-Base!AN145</f>
        <v>0</v>
      </c>
      <c r="AO197" s="1115">
        <f>-Base!AO145</f>
        <v>0</v>
      </c>
      <c r="AP197" s="1115">
        <f>-Base!AP145</f>
        <v>0</v>
      </c>
      <c r="AQ197" s="1115">
        <f>-Base!AQ145</f>
        <v>0</v>
      </c>
      <c r="AR197" s="1115">
        <f>-Base!AR145</f>
        <v>0</v>
      </c>
      <c r="AS197" s="1115">
        <f>-Base!AS145</f>
        <v>0</v>
      </c>
      <c r="AT197" s="693"/>
    </row>
    <row r="198" spans="1:46" s="3" customFormat="1" ht="15" customHeight="1">
      <c r="A198" s="1075"/>
      <c r="B198" s="138" t="s">
        <v>512</v>
      </c>
      <c r="C198" s="198"/>
      <c r="D198" s="138"/>
      <c r="E198" s="29">
        <f t="shared" si="16"/>
        <v>1702400</v>
      </c>
      <c r="F198" s="868">
        <f t="shared" ref="F198:AS198" si="17">SUM(F191:F197)</f>
        <v>3900</v>
      </c>
      <c r="G198" s="868">
        <f t="shared" si="17"/>
        <v>16300</v>
      </c>
      <c r="H198" s="868">
        <f t="shared" si="17"/>
        <v>3400</v>
      </c>
      <c r="I198" s="868">
        <f t="shared" si="17"/>
        <v>2800</v>
      </c>
      <c r="J198" s="868">
        <f t="shared" si="17"/>
        <v>2100</v>
      </c>
      <c r="K198" s="868">
        <f t="shared" si="17"/>
        <v>21700</v>
      </c>
      <c r="L198" s="868">
        <f t="shared" si="17"/>
        <v>22500</v>
      </c>
      <c r="M198" s="868">
        <f t="shared" si="17"/>
        <v>21900</v>
      </c>
      <c r="N198" s="868">
        <f t="shared" si="17"/>
        <v>74900</v>
      </c>
      <c r="O198" s="868">
        <f t="shared" si="17"/>
        <v>49500</v>
      </c>
      <c r="P198" s="868">
        <f t="shared" si="17"/>
        <v>-29900</v>
      </c>
      <c r="Q198" s="868">
        <f t="shared" si="17"/>
        <v>151500</v>
      </c>
      <c r="R198" s="868">
        <f t="shared" si="17"/>
        <v>36900</v>
      </c>
      <c r="S198" s="868">
        <f t="shared" si="17"/>
        <v>58900</v>
      </c>
      <c r="T198" s="868">
        <f t="shared" si="17"/>
        <v>-19200</v>
      </c>
      <c r="U198" s="868">
        <f t="shared" si="17"/>
        <v>182400</v>
      </c>
      <c r="V198" s="868">
        <f t="shared" si="17"/>
        <v>72000</v>
      </c>
      <c r="W198" s="868">
        <f t="shared" si="17"/>
        <v>74900</v>
      </c>
      <c r="X198" s="868">
        <f t="shared" si="17"/>
        <v>40000</v>
      </c>
      <c r="Y198" s="868">
        <f t="shared" si="17"/>
        <v>40700</v>
      </c>
      <c r="Z198" s="868">
        <f t="shared" si="17"/>
        <v>41400</v>
      </c>
      <c r="AA198" s="868">
        <f t="shared" si="17"/>
        <v>41600</v>
      </c>
      <c r="AB198" s="868">
        <f t="shared" si="17"/>
        <v>445900</v>
      </c>
      <c r="AC198" s="868">
        <f t="shared" si="17"/>
        <v>58700</v>
      </c>
      <c r="AD198" s="868">
        <f t="shared" si="17"/>
        <v>130100</v>
      </c>
      <c r="AE198" s="868">
        <f t="shared" si="17"/>
        <v>31200</v>
      </c>
      <c r="AF198" s="868">
        <f t="shared" si="17"/>
        <v>30200</v>
      </c>
      <c r="AG198" s="868">
        <f t="shared" si="17"/>
        <v>32200</v>
      </c>
      <c r="AH198" s="868">
        <f t="shared" si="17"/>
        <v>32300</v>
      </c>
      <c r="AI198" s="868">
        <f t="shared" si="17"/>
        <v>31600</v>
      </c>
      <c r="AJ198" s="868">
        <f t="shared" si="17"/>
        <v>0</v>
      </c>
      <c r="AK198" s="868">
        <f t="shared" si="17"/>
        <v>0</v>
      </c>
      <c r="AL198" s="868">
        <f t="shared" si="17"/>
        <v>0</v>
      </c>
      <c r="AM198" s="868">
        <f t="shared" si="17"/>
        <v>0</v>
      </c>
      <c r="AN198" s="868">
        <f t="shared" si="17"/>
        <v>0</v>
      </c>
      <c r="AO198" s="868">
        <f t="shared" si="17"/>
        <v>0</v>
      </c>
      <c r="AP198" s="868">
        <f t="shared" si="17"/>
        <v>0</v>
      </c>
      <c r="AQ198" s="868">
        <f t="shared" si="17"/>
        <v>0</v>
      </c>
      <c r="AR198" s="868">
        <f t="shared" si="17"/>
        <v>0</v>
      </c>
      <c r="AS198" s="868">
        <f t="shared" si="17"/>
        <v>0</v>
      </c>
      <c r="AT198" s="693"/>
    </row>
    <row r="199" spans="1:46" s="1199" customFormat="1" ht="19.95" customHeight="1">
      <c r="B199" s="1195" t="s">
        <v>638</v>
      </c>
      <c r="C199" s="1196"/>
      <c r="D199" s="1200" t="s">
        <v>1528</v>
      </c>
      <c r="E199" s="1282">
        <f ca="1">INDIRECT(ADDRESS(ROW(),Total_Years+5))</f>
        <v>2702400</v>
      </c>
      <c r="F199" s="1198">
        <f t="shared" ref="F199:AS199" si="18">+F190+F198</f>
        <v>1003900</v>
      </c>
      <c r="G199" s="1198">
        <f t="shared" si="18"/>
        <v>1020200</v>
      </c>
      <c r="H199" s="1198">
        <f t="shared" si="18"/>
        <v>1023600</v>
      </c>
      <c r="I199" s="1198">
        <f t="shared" si="18"/>
        <v>1026400</v>
      </c>
      <c r="J199" s="1198">
        <f t="shared" si="18"/>
        <v>1028500</v>
      </c>
      <c r="K199" s="1198">
        <f t="shared" si="18"/>
        <v>1050200</v>
      </c>
      <c r="L199" s="1198">
        <f t="shared" si="18"/>
        <v>1072700</v>
      </c>
      <c r="M199" s="1198">
        <f t="shared" si="18"/>
        <v>1094600</v>
      </c>
      <c r="N199" s="1198">
        <f t="shared" si="18"/>
        <v>1169500</v>
      </c>
      <c r="O199" s="1198">
        <f t="shared" si="18"/>
        <v>1219000</v>
      </c>
      <c r="P199" s="1198">
        <f t="shared" si="18"/>
        <v>1189100</v>
      </c>
      <c r="Q199" s="1198">
        <f t="shared" si="18"/>
        <v>1340600</v>
      </c>
      <c r="R199" s="1198">
        <f t="shared" si="18"/>
        <v>1377500</v>
      </c>
      <c r="S199" s="1198">
        <f t="shared" si="18"/>
        <v>1436400</v>
      </c>
      <c r="T199" s="1198">
        <f t="shared" si="18"/>
        <v>1417200</v>
      </c>
      <c r="U199" s="1198">
        <f t="shared" si="18"/>
        <v>1599600</v>
      </c>
      <c r="V199" s="1198">
        <f t="shared" si="18"/>
        <v>1671600</v>
      </c>
      <c r="W199" s="1198">
        <f t="shared" si="18"/>
        <v>1746500</v>
      </c>
      <c r="X199" s="1198">
        <f t="shared" si="18"/>
        <v>1786500</v>
      </c>
      <c r="Y199" s="1198">
        <f t="shared" si="18"/>
        <v>1827200</v>
      </c>
      <c r="Z199" s="1198">
        <f t="shared" si="18"/>
        <v>1868600</v>
      </c>
      <c r="AA199" s="1198">
        <f t="shared" si="18"/>
        <v>1910200</v>
      </c>
      <c r="AB199" s="1198">
        <f t="shared" si="18"/>
        <v>2356100</v>
      </c>
      <c r="AC199" s="1198">
        <f t="shared" si="18"/>
        <v>2414800</v>
      </c>
      <c r="AD199" s="1198">
        <f t="shared" si="18"/>
        <v>2544900</v>
      </c>
      <c r="AE199" s="1198">
        <f t="shared" si="18"/>
        <v>2576100</v>
      </c>
      <c r="AF199" s="1198">
        <f t="shared" si="18"/>
        <v>2606300</v>
      </c>
      <c r="AG199" s="1198">
        <f t="shared" si="18"/>
        <v>2638500</v>
      </c>
      <c r="AH199" s="1198">
        <f t="shared" si="18"/>
        <v>2670800</v>
      </c>
      <c r="AI199" s="1198">
        <f t="shared" si="18"/>
        <v>2702400</v>
      </c>
      <c r="AJ199" s="1198">
        <f t="shared" si="18"/>
        <v>0</v>
      </c>
      <c r="AK199" s="1198">
        <f t="shared" si="18"/>
        <v>0</v>
      </c>
      <c r="AL199" s="1198">
        <f t="shared" si="18"/>
        <v>0</v>
      </c>
      <c r="AM199" s="1198">
        <f t="shared" si="18"/>
        <v>0</v>
      </c>
      <c r="AN199" s="1198">
        <f t="shared" si="18"/>
        <v>0</v>
      </c>
      <c r="AO199" s="1198">
        <f t="shared" si="18"/>
        <v>0</v>
      </c>
      <c r="AP199" s="1198">
        <f t="shared" si="18"/>
        <v>0</v>
      </c>
      <c r="AQ199" s="1198">
        <f t="shared" si="18"/>
        <v>0</v>
      </c>
      <c r="AR199" s="1198">
        <f t="shared" si="18"/>
        <v>0</v>
      </c>
      <c r="AS199" s="1198">
        <f t="shared" si="18"/>
        <v>0</v>
      </c>
      <c r="AT199" s="1204"/>
    </row>
    <row r="200" spans="1:46" s="1251" customFormat="1" ht="18" customHeight="1">
      <c r="A200" s="1250"/>
      <c r="B200" s="72" t="s">
        <v>652</v>
      </c>
      <c r="C200" s="1249"/>
      <c r="D200" s="1249"/>
      <c r="E200" s="1271">
        <f>SUM(F200:AS200)/Total_Years</f>
        <v>2.0399103996969554E-2</v>
      </c>
      <c r="F200" s="1271">
        <f>IF(F199&gt;0,-((Base!F$28*(1-Taxable_Tax_Rate))+F192+F193+F196+F197)/+F190,0)</f>
        <v>5.1159999999999997E-2</v>
      </c>
      <c r="G200" s="1271">
        <f>IF(G199&gt;0,-((Base!G$28*(1-Taxable_Tax_Rate))+G192+G193+G196+G197)/+G190,0)</f>
        <v>3.9326626157983866E-2</v>
      </c>
      <c r="H200" s="1271">
        <f>IF(H199&gt;0,-((Base!H$28*(1-Taxable_Tax_Rate))+H192+H193+H196+H197)/+H190,0)</f>
        <v>5.1989805920407764E-2</v>
      </c>
      <c r="I200" s="1271">
        <f>IF(I199&gt;0,-((Base!I$28*(1-Taxable_Tax_Rate))+I192+I193+I196+I197)/+I190,0)</f>
        <v>5.2930832356389214E-2</v>
      </c>
      <c r="J200" s="1271">
        <f>IF(J199&gt;0,-((Base!J$28*(1-Taxable_Tax_Rate))+J192+J193+J196+J197)/+J190,0)</f>
        <v>5.3897116134060792E-2</v>
      </c>
      <c r="K200" s="1271">
        <f>IF(K199&gt;0,-((Base!K$28*(1-Taxable_Tax_Rate))+K192+K193+K196+K197)/+K190,0)</f>
        <v>3.5352455031599415E-2</v>
      </c>
      <c r="L200" s="1271">
        <f>IF(L199&gt;0,-((Base!L$28*(1-Taxable_Tax_Rate))+L192+L193+L196+L197)/+L190,0)</f>
        <v>3.4717196724433443E-2</v>
      </c>
      <c r="M200" s="1271">
        <f>IF(M199&gt;0,-((Base!M$28*(1-Taxable_Tax_Rate))+M192+M193+M196+M197)/+M190,0)</f>
        <v>3.5480563065162674E-2</v>
      </c>
      <c r="N200" s="1271">
        <f>IF(N199&gt;0,-((Base!N$28*(1-Taxable_Tax_Rate))+N192+N193+N196+N197)/+N190,0)</f>
        <v>-1.165722638406724E-2</v>
      </c>
      <c r="O200" s="1271">
        <f>IF(O199&gt;0,-((Base!O$28*(1-Taxable_Tax_Rate))+O192+O193+O196+O197)/+O190,0)</f>
        <v>2.0521590423257802E-4</v>
      </c>
      <c r="P200" s="1271">
        <f>IF(P199&gt;0,-((Base!P$28*(1-Taxable_Tax_Rate))+P192+P193+P196+P197)/+P190,0)</f>
        <v>3.4454470877768662E-4</v>
      </c>
      <c r="Q200" s="1271">
        <f>IF(Q199&gt;0,-((Base!Q$28*(1-Taxable_Tax_Rate))+Q192+Q193+Q196+Q197)/+Q190,0)</f>
        <v>3.3638886552855103E-4</v>
      </c>
      <c r="R200" s="1271">
        <f>IF(R199&gt;0,-((Base!R$28*(1-Taxable_Tax_Rate))+R192+R193+R196+R197)/+R190,0)</f>
        <v>5.967477248992988E-4</v>
      </c>
      <c r="S200" s="1271">
        <f>IF(S199&gt;0,-((Base!S$28*(1-Taxable_Tax_Rate))+S192+S193+S196+S197)/+S190,0)</f>
        <v>4.2105263157894739E-4</v>
      </c>
      <c r="T200" s="1271">
        <f>IF(T199&gt;0,-((Base!T$28*(1-Taxable_Tax_Rate))+T192+T193+T196+T197)/+T190,0)</f>
        <v>-3.6201615148983568E-3</v>
      </c>
      <c r="U200" s="1271">
        <f>IF(U199&gt;0,-((Base!U$28*(1-Taxable_Tax_Rate))+U192+U193+U196+U197)/+U190,0)</f>
        <v>-2.9635901778154107E-3</v>
      </c>
      <c r="V200" s="1271">
        <f>IF(V199&gt;0,-((Base!V$28*(1-Taxable_Tax_Rate))+V192+V193+V196+V197)/+V190,0)</f>
        <v>7.7769442360590144E-3</v>
      </c>
      <c r="W200" s="1271">
        <f>IF(W199&gt;0,-((Base!W$28*(1-Taxable_Tax_Rate))+W192+W193+W196+W197)/+W190,0)</f>
        <v>7.190715482172769E-3</v>
      </c>
      <c r="X200" s="1271">
        <f>IF(X199&gt;0,-((Base!X$28*(1-Taxable_Tax_Rate))+X192+X193+X196+X197)/+X190,0)</f>
        <v>1.8448325221872317E-2</v>
      </c>
      <c r="Y200" s="1271">
        <f>IF(Y199&gt;0,-((Base!Y$28*(1-Taxable_Tax_Rate))+Y192+Y193+Y196+Y197)/+Y190,0)</f>
        <v>1.8247970892807164E-2</v>
      </c>
      <c r="Z200" s="1271">
        <f>IF(Z199&gt;0,-((Base!Z$28*(1-Taxable_Tax_Rate))+Z192+Z193+Z196+Z197)/+Z190,0)</f>
        <v>1.8169877408056041E-2</v>
      </c>
      <c r="AA200" s="1271">
        <f>IF(AA199&gt;0,-((Base!AA$28*(1-Taxable_Tax_Rate))+AA192+AA193+AA196+AA197)/+AA190,0)</f>
        <v>1.8174034036176817E-2</v>
      </c>
      <c r="AB200" s="1271">
        <f>IF(AB199&gt;0,-((Base!AB$28*(1-Taxable_Tax_Rate))+AB192+AB193+AB196+AB197)/+AB190,0)</f>
        <v>1.8584441419746623E-2</v>
      </c>
      <c r="AC200" s="1271">
        <f>IF(AC199&gt;0,-((Base!AC$28*(1-Taxable_Tax_Rate))+AC192+AC193+AC196+AC197)/+AC190,0)</f>
        <v>1.4337252238869318E-2</v>
      </c>
      <c r="AD200" s="1271">
        <f>IF(AD199&gt;0,-((Base!AD$28*(1-Taxable_Tax_Rate))+AD192+AD193+AD196+AD197)/+AD190,0)</f>
        <v>2.6668875269173432E-2</v>
      </c>
      <c r="AE200" s="1271">
        <f>IF(AE199&gt;0,-((Base!AE$28*(1-Taxable_Tax_Rate))+AE192+AE193+AE196+AE197)/+AE190,0)</f>
        <v>2.5604149475421431E-2</v>
      </c>
      <c r="AF200" s="1271">
        <f>IF(AF199&gt;0,-((Base!AF$28*(1-Taxable_Tax_Rate))+AF192+AF193+AF196+AF197)/+AF190,0)</f>
        <v>2.5689996506346804E-2</v>
      </c>
      <c r="AG200" s="1271">
        <f>IF(AG199&gt;0,-((Base!AG$28*(1-Taxable_Tax_Rate))+AG192+AG193+AG196+AG197)/+AG190,0)</f>
        <v>2.4839811226643135E-2</v>
      </c>
      <c r="AH200" s="1271">
        <f>IF(AH199&gt;0,-((Base!AH$28*(1-Taxable_Tax_Rate))+AH192+AH193+AH196+AH197)/+AH190,0)</f>
        <v>2.4786810687890848E-2</v>
      </c>
      <c r="AI200" s="1271">
        <f>IF(AI199&gt;0,-((Base!AI$28*(1-Taxable_Tax_Rate))+AI192+AI193+AI196+AI197)/+AI190,0)</f>
        <v>2.4936348659577653E-2</v>
      </c>
      <c r="AJ200" s="1271">
        <f>IF(AJ199&gt;0,-((Base!AJ$28*(1-Taxable_Tax_Rate))+AJ192+AJ193+AJ196+AJ197)/+AJ190,0)</f>
        <v>0</v>
      </c>
      <c r="AK200" s="1271">
        <f>IF(AK199&gt;0,-((Base!AK$28*(1-Taxable_Tax_Rate))+AK192+AK193+AK196+AK197)/+AK190,0)</f>
        <v>0</v>
      </c>
      <c r="AL200" s="1271">
        <f>IF(AL199&gt;0,-((Base!AL$28*(1-Taxable_Tax_Rate))+AL192+AL193+AL196+AL197)/+AL190,0)</f>
        <v>0</v>
      </c>
      <c r="AM200" s="1271">
        <f>IF(AM199&gt;0,-((Base!AM$28*(1-Taxable_Tax_Rate))+AM192+AM193+AM196+AM197)/+AM190,0)</f>
        <v>0</v>
      </c>
      <c r="AN200" s="1271">
        <f>IF(AN199&gt;0,-((Base!AN$28*(1-Taxable_Tax_Rate))+AN192+AN193+AN196+AN197)/+AN190,0)</f>
        <v>0</v>
      </c>
      <c r="AO200" s="1271">
        <f>IF(AO199&gt;0,-((Base!AO$28*(1-Taxable_Tax_Rate))+AO192+AO193+AO196+AO197)/+AO190,0)</f>
        <v>0</v>
      </c>
      <c r="AP200" s="1271">
        <f>IF(AP199&gt;0,-((Base!AP$28*(1-Taxable_Tax_Rate))+AP192+AP193+AP196+AP197)/+AP190,0)</f>
        <v>0</v>
      </c>
      <c r="AQ200" s="1271">
        <f>IF(AQ199&gt;0,-((Base!AQ$28*(1-Taxable_Tax_Rate))+AQ192+AQ193+AQ196+AQ197)/+AQ190,0)</f>
        <v>0</v>
      </c>
      <c r="AR200" s="1271">
        <f>IF(AR199&gt;0,-((Base!AR$28*(1-Taxable_Tax_Rate))+AR192+AR193+AR196+AR197)/+AR190,0)</f>
        <v>0</v>
      </c>
      <c r="AS200" s="1271">
        <f>IF(AS199&gt;0,-((Base!AS$28*(1-Taxable_Tax_Rate))+AS192+AS193+AS196+AS197)/+AS190,0)</f>
        <v>0</v>
      </c>
      <c r="AT200" s="1269"/>
    </row>
    <row r="201" spans="1:46" s="615" customFormat="1" ht="18" customHeight="1">
      <c r="A201" s="1075"/>
      <c r="B201" s="28"/>
      <c r="C201" s="324"/>
      <c r="D201" s="324"/>
      <c r="E201" s="365"/>
      <c r="F201" s="614"/>
      <c r="G201" s="614"/>
      <c r="H201" s="614"/>
      <c r="I201" s="614"/>
      <c r="J201" s="614"/>
      <c r="K201" s="614"/>
      <c r="L201" s="614"/>
      <c r="M201" s="614"/>
      <c r="N201" s="614"/>
      <c r="O201" s="614"/>
      <c r="P201" s="614"/>
      <c r="Q201" s="614"/>
      <c r="R201" s="614"/>
      <c r="S201" s="614"/>
      <c r="T201" s="614"/>
      <c r="U201" s="614"/>
      <c r="V201" s="614"/>
      <c r="W201" s="614"/>
      <c r="X201" s="614"/>
      <c r="Y201" s="614"/>
      <c r="Z201" s="614"/>
      <c r="AA201" s="614"/>
      <c r="AB201" s="614"/>
      <c r="AC201" s="614"/>
      <c r="AD201" s="614"/>
      <c r="AE201" s="614"/>
      <c r="AF201" s="614"/>
      <c r="AG201" s="614"/>
      <c r="AH201" s="614"/>
      <c r="AI201" s="614"/>
      <c r="AJ201" s="614"/>
      <c r="AK201" s="614"/>
      <c r="AL201" s="614"/>
      <c r="AM201" s="614"/>
      <c r="AN201" s="614"/>
      <c r="AO201" s="614"/>
      <c r="AP201" s="614"/>
      <c r="AQ201" s="614"/>
      <c r="AR201" s="614"/>
      <c r="AS201" s="614"/>
      <c r="AT201" s="693"/>
    </row>
    <row r="202" spans="1:46" s="615" customFormat="1" ht="18" customHeight="1">
      <c r="A202" s="1339" t="s">
        <v>314</v>
      </c>
      <c r="B202" s="687"/>
      <c r="C202" s="324"/>
      <c r="D202" s="324"/>
      <c r="E202" s="365"/>
      <c r="F202" s="614"/>
      <c r="G202" s="614"/>
      <c r="H202" s="614"/>
      <c r="I202" s="614"/>
      <c r="J202" s="614"/>
      <c r="K202" s="614"/>
      <c r="L202" s="614"/>
      <c r="M202" s="614"/>
      <c r="N202" s="614"/>
      <c r="O202" s="614"/>
      <c r="P202" s="614"/>
      <c r="Q202" s="614"/>
      <c r="R202" s="614"/>
      <c r="S202" s="614"/>
      <c r="T202" s="614"/>
      <c r="U202" s="614"/>
      <c r="V202" s="614"/>
      <c r="W202" s="614"/>
      <c r="X202" s="614"/>
      <c r="Y202" s="614"/>
      <c r="Z202" s="614"/>
      <c r="AA202" s="614"/>
      <c r="AB202" s="614"/>
      <c r="AC202" s="614"/>
      <c r="AD202" s="614"/>
      <c r="AE202" s="614"/>
      <c r="AF202" s="614"/>
      <c r="AG202" s="614"/>
      <c r="AH202" s="614"/>
      <c r="AI202" s="614"/>
      <c r="AJ202" s="614"/>
      <c r="AK202" s="614"/>
      <c r="AL202" s="614"/>
      <c r="AM202" s="614"/>
      <c r="AN202" s="614"/>
      <c r="AO202" s="614"/>
      <c r="AP202" s="614"/>
      <c r="AQ202" s="614"/>
      <c r="AR202" s="614"/>
      <c r="AS202" s="614"/>
      <c r="AT202" s="693"/>
    </row>
    <row r="203" spans="1:46" s="615" customFormat="1" ht="175.2" customHeight="1">
      <c r="A203" s="1075"/>
      <c r="B203" s="687"/>
      <c r="C203" s="324"/>
      <c r="D203" s="324"/>
      <c r="E203" s="365"/>
      <c r="F203" s="614"/>
      <c r="G203" s="614"/>
      <c r="H203" s="614"/>
      <c r="I203" s="614"/>
      <c r="J203" s="614"/>
      <c r="K203" s="614"/>
      <c r="L203" s="614"/>
      <c r="M203" s="614"/>
      <c r="N203" s="614"/>
      <c r="O203" s="614"/>
      <c r="P203" s="614"/>
      <c r="Q203" s="614"/>
      <c r="R203" s="614"/>
      <c r="S203" s="614"/>
      <c r="T203" s="614"/>
      <c r="U203" s="614"/>
      <c r="V203" s="614"/>
      <c r="W203" s="614"/>
      <c r="X203" s="614"/>
      <c r="Y203" s="614"/>
      <c r="Z203" s="614"/>
      <c r="AA203" s="614"/>
      <c r="AB203" s="614"/>
      <c r="AC203" s="614"/>
      <c r="AD203" s="614"/>
      <c r="AE203" s="614"/>
      <c r="AF203" s="614"/>
      <c r="AG203" s="614"/>
      <c r="AH203" s="614"/>
      <c r="AI203" s="614"/>
      <c r="AJ203" s="614"/>
      <c r="AK203" s="614"/>
      <c r="AL203" s="614"/>
      <c r="AM203" s="614"/>
      <c r="AN203" s="614"/>
      <c r="AO203" s="614"/>
      <c r="AP203" s="614"/>
      <c r="AQ203" s="614"/>
      <c r="AR203" s="614"/>
      <c r="AS203" s="614"/>
      <c r="AT203" s="693"/>
    </row>
    <row r="204" spans="1:46" s="615" customFormat="1" ht="18" customHeight="1">
      <c r="A204" s="1075"/>
      <c r="B204" s="162" t="str">
        <f ca="1">IF(OR(Base!$E$8&lt;0,Base!$E$11&lt;0,Base!$E$14&lt;0,Base!$E$18&lt;0,Details!$E$8&lt;0,Details!$E$11&lt;0,Details!$E$14&lt;0,Details!$E$18&lt;0),"Negative final account balances detected!  Adjust expenses and other factors.",".")</f>
        <v>.</v>
      </c>
      <c r="C204" s="324"/>
      <c r="D204" s="324"/>
      <c r="E204" s="365"/>
      <c r="F204" s="614"/>
      <c r="G204" s="614"/>
      <c r="H204" s="614"/>
      <c r="I204" s="614"/>
      <c r="J204" s="614"/>
      <c r="K204" s="614"/>
      <c r="L204" s="614"/>
      <c r="M204" s="614"/>
      <c r="N204" s="614"/>
      <c r="O204" s="614"/>
      <c r="P204" s="614"/>
      <c r="Q204" s="614"/>
      <c r="R204" s="614"/>
      <c r="S204" s="614"/>
      <c r="T204" s="614"/>
      <c r="U204" s="614"/>
      <c r="V204" s="614"/>
      <c r="W204" s="614"/>
      <c r="X204" s="614"/>
      <c r="Y204" s="614"/>
      <c r="Z204" s="614"/>
      <c r="AA204" s="614"/>
      <c r="AB204" s="614"/>
      <c r="AC204" s="614"/>
      <c r="AD204" s="614"/>
      <c r="AE204" s="614"/>
      <c r="AF204" s="614"/>
      <c r="AG204" s="614"/>
      <c r="AH204" s="614"/>
      <c r="AI204" s="614"/>
      <c r="AJ204" s="614"/>
      <c r="AK204" s="614"/>
      <c r="AL204" s="614"/>
      <c r="AM204" s="614"/>
      <c r="AN204" s="614"/>
      <c r="AO204" s="614"/>
      <c r="AP204" s="614"/>
      <c r="AQ204" s="614"/>
      <c r="AR204" s="614"/>
      <c r="AS204" s="614"/>
      <c r="AT204" s="693"/>
    </row>
    <row r="205" spans="1:46" ht="17.399999999999999" customHeight="1">
      <c r="A205" s="1075"/>
      <c r="B205" s="180" t="s">
        <v>2134</v>
      </c>
      <c r="C205" s="1335"/>
      <c r="D205" s="38"/>
      <c r="E205" s="88"/>
      <c r="F205" s="325"/>
      <c r="G205" s="325"/>
      <c r="H205" s="325"/>
      <c r="I205" s="325"/>
      <c r="J205" s="325"/>
      <c r="K205" s="325"/>
      <c r="L205" s="325"/>
      <c r="M205" s="325"/>
      <c r="N205" s="325"/>
      <c r="O205" s="325"/>
      <c r="P205" s="325"/>
      <c r="Q205" s="325"/>
      <c r="R205" s="325"/>
      <c r="S205" s="325"/>
      <c r="T205" s="325"/>
      <c r="U205" s="325"/>
      <c r="V205" s="325"/>
      <c r="W205" s="325"/>
      <c r="X205" s="325"/>
      <c r="Y205" s="325"/>
      <c r="Z205" s="325"/>
      <c r="AA205" s="325"/>
      <c r="AB205" s="325"/>
      <c r="AC205" s="325"/>
      <c r="AD205" s="325"/>
      <c r="AE205" s="325"/>
      <c r="AF205" s="325"/>
      <c r="AG205" s="325"/>
      <c r="AH205" s="325"/>
      <c r="AI205" s="325"/>
      <c r="AJ205" s="325"/>
      <c r="AK205" s="325"/>
      <c r="AL205" s="325"/>
      <c r="AM205" s="325"/>
      <c r="AN205" s="325"/>
      <c r="AO205" s="325"/>
      <c r="AP205" s="325"/>
      <c r="AQ205" s="325"/>
      <c r="AR205" s="325"/>
      <c r="AS205" s="325"/>
      <c r="AT205" s="693"/>
    </row>
    <row r="206" spans="1:46" s="852" customFormat="1" ht="19.95" customHeight="1">
      <c r="A206" s="1194"/>
      <c r="B206" s="1195" t="s">
        <v>230</v>
      </c>
      <c r="C206" s="1201"/>
      <c r="D206" s="1202"/>
      <c r="E206" s="1197"/>
      <c r="F206" s="1198">
        <f>+Results!F10-F190</f>
        <v>0</v>
      </c>
      <c r="G206" s="1198">
        <f>+Results!G10-G190</f>
        <v>0</v>
      </c>
      <c r="H206" s="1198">
        <f>+Results!H10-H190</f>
        <v>0</v>
      </c>
      <c r="I206" s="1198">
        <f>+Results!I10-I190</f>
        <v>0</v>
      </c>
      <c r="J206" s="1198">
        <f>+Results!J10-J190</f>
        <v>0</v>
      </c>
      <c r="K206" s="1198">
        <f>+Results!K10-K190</f>
        <v>0</v>
      </c>
      <c r="L206" s="1198">
        <f>+Results!L10-L190</f>
        <v>0</v>
      </c>
      <c r="M206" s="1198">
        <f>+Results!M10-M190</f>
        <v>0</v>
      </c>
      <c r="N206" s="1198">
        <f>+Results!N10-N190</f>
        <v>0</v>
      </c>
      <c r="O206" s="1198">
        <f>+Results!O10-O190</f>
        <v>0</v>
      </c>
      <c r="P206" s="1198">
        <f>+Results!P10-P190</f>
        <v>0</v>
      </c>
      <c r="Q206" s="1198">
        <f>+Results!Q10-Q190</f>
        <v>0</v>
      </c>
      <c r="R206" s="1198">
        <f>+Results!R10-R190</f>
        <v>0</v>
      </c>
      <c r="S206" s="1198">
        <f>+Results!S10-S190</f>
        <v>0</v>
      </c>
      <c r="T206" s="1198">
        <f>+Results!T10-T190</f>
        <v>0</v>
      </c>
      <c r="U206" s="1198">
        <f>+Results!U10-U190</f>
        <v>0</v>
      </c>
      <c r="V206" s="1198">
        <f>+Results!V10-V190</f>
        <v>0</v>
      </c>
      <c r="W206" s="1198">
        <f>+Results!W10-W190</f>
        <v>0</v>
      </c>
      <c r="X206" s="1198">
        <f>+Results!X10-X190</f>
        <v>0</v>
      </c>
      <c r="Y206" s="1198">
        <f>+Results!Y10-Y190</f>
        <v>0</v>
      </c>
      <c r="Z206" s="1198">
        <f>+Results!Z10-Z190</f>
        <v>0</v>
      </c>
      <c r="AA206" s="1198">
        <f>+Results!AA10-AA190</f>
        <v>0</v>
      </c>
      <c r="AB206" s="1198">
        <f>+Results!AB10-AB190</f>
        <v>0</v>
      </c>
      <c r="AC206" s="1198">
        <f>+Results!AC10-AC190</f>
        <v>0</v>
      </c>
      <c r="AD206" s="1198">
        <f>+Results!AD10-AD190</f>
        <v>0</v>
      </c>
      <c r="AE206" s="1198">
        <f>+Results!AE10-AE190</f>
        <v>0</v>
      </c>
      <c r="AF206" s="1198">
        <f>+Results!AF10-AF190</f>
        <v>0</v>
      </c>
      <c r="AG206" s="1198">
        <f>+Results!AG10-AG190</f>
        <v>0</v>
      </c>
      <c r="AH206" s="1198">
        <f>+Results!AH10-AH190</f>
        <v>0</v>
      </c>
      <c r="AI206" s="1198">
        <f>+Results!AI10-AI190</f>
        <v>0</v>
      </c>
      <c r="AJ206" s="1198">
        <f>+Results!AJ10-AJ190</f>
        <v>0</v>
      </c>
      <c r="AK206" s="1198">
        <f>+Results!AK10-AK190</f>
        <v>0</v>
      </c>
      <c r="AL206" s="1198">
        <f>+Results!AL10-AL190</f>
        <v>0</v>
      </c>
      <c r="AM206" s="1198">
        <f>+Results!AM10-AM190</f>
        <v>0</v>
      </c>
      <c r="AN206" s="1198">
        <f>+Results!AN10-AN190</f>
        <v>0</v>
      </c>
      <c r="AO206" s="1198">
        <f>+Results!AO10-AO190</f>
        <v>0</v>
      </c>
      <c r="AP206" s="1198">
        <f>+Results!AP10-AP190</f>
        <v>0</v>
      </c>
      <c r="AQ206" s="1198">
        <f>+Results!AQ10-AQ190</f>
        <v>0</v>
      </c>
      <c r="AR206" s="1198">
        <f>+Results!AR10-AR190</f>
        <v>0</v>
      </c>
      <c r="AS206" s="1198">
        <f>+Results!AS10-AS190</f>
        <v>0</v>
      </c>
      <c r="AT206" s="1204"/>
    </row>
    <row r="207" spans="1:46" ht="15" customHeight="1">
      <c r="A207" s="1075"/>
      <c r="B207" s="175" t="s">
        <v>844</v>
      </c>
      <c r="C207" s="342"/>
      <c r="D207" s="31"/>
      <c r="E207" s="29">
        <f t="shared" ref="E207:E214" si="19">SUM(F207:AS207)</f>
        <v>0</v>
      </c>
      <c r="F207" s="868">
        <f>+Results!F11-F191</f>
        <v>0</v>
      </c>
      <c r="G207" s="868">
        <f>+Results!G11-G191</f>
        <v>0</v>
      </c>
      <c r="H207" s="868">
        <f>+Results!H11-H191</f>
        <v>0</v>
      </c>
      <c r="I207" s="868">
        <f>+Results!I11-I191</f>
        <v>0</v>
      </c>
      <c r="J207" s="868">
        <f>+Results!J11-J191</f>
        <v>0</v>
      </c>
      <c r="K207" s="868">
        <f>+Results!K11-K191</f>
        <v>0</v>
      </c>
      <c r="L207" s="868">
        <f>+Results!L11-L191</f>
        <v>0</v>
      </c>
      <c r="M207" s="868">
        <f>+Results!M11-M191</f>
        <v>0</v>
      </c>
      <c r="N207" s="868">
        <f>+Results!N11-N191</f>
        <v>0</v>
      </c>
      <c r="O207" s="868">
        <f>+Results!O11-O191</f>
        <v>0</v>
      </c>
      <c r="P207" s="868">
        <f>+Results!P11-P191</f>
        <v>0</v>
      </c>
      <c r="Q207" s="868">
        <f>+Results!Q11-Q191</f>
        <v>0</v>
      </c>
      <c r="R207" s="868">
        <f>+Results!R11-R191</f>
        <v>0</v>
      </c>
      <c r="S207" s="868">
        <f>+Results!S11-S191</f>
        <v>0</v>
      </c>
      <c r="T207" s="868">
        <f>+Results!T11-T191</f>
        <v>0</v>
      </c>
      <c r="U207" s="868">
        <f>+Results!U11-U191</f>
        <v>0</v>
      </c>
      <c r="V207" s="868">
        <f>+Results!V11-V191</f>
        <v>0</v>
      </c>
      <c r="W207" s="868">
        <f>+Results!W11-W191</f>
        <v>0</v>
      </c>
      <c r="X207" s="868">
        <f>+Results!X11-X191</f>
        <v>0</v>
      </c>
      <c r="Y207" s="868">
        <f>+Results!Y11-Y191</f>
        <v>0</v>
      </c>
      <c r="Z207" s="868">
        <f>+Results!Z11-Z191</f>
        <v>0</v>
      </c>
      <c r="AA207" s="868">
        <f>+Results!AA11-AA191</f>
        <v>0</v>
      </c>
      <c r="AB207" s="868">
        <f>+Results!AB11-AB191</f>
        <v>0</v>
      </c>
      <c r="AC207" s="868">
        <f>+Results!AC11-AC191</f>
        <v>0</v>
      </c>
      <c r="AD207" s="868">
        <f>+Results!AD11-AD191</f>
        <v>0</v>
      </c>
      <c r="AE207" s="868">
        <f>+Results!AE11-AE191</f>
        <v>0</v>
      </c>
      <c r="AF207" s="868">
        <f>+Results!AF11-AF191</f>
        <v>0</v>
      </c>
      <c r="AG207" s="868">
        <f>+Results!AG11-AG191</f>
        <v>0</v>
      </c>
      <c r="AH207" s="868">
        <f>+Results!AH11-AH191</f>
        <v>0</v>
      </c>
      <c r="AI207" s="868">
        <f>+Results!AI11-AI191</f>
        <v>0</v>
      </c>
      <c r="AJ207" s="868">
        <f>+Results!AJ11-AJ191</f>
        <v>0</v>
      </c>
      <c r="AK207" s="868">
        <f>+Results!AK11-AK191</f>
        <v>0</v>
      </c>
      <c r="AL207" s="868">
        <f>+Results!AL11-AL191</f>
        <v>0</v>
      </c>
      <c r="AM207" s="868">
        <f>+Results!AM11-AM191</f>
        <v>0</v>
      </c>
      <c r="AN207" s="868">
        <f>+Results!AN11-AN191</f>
        <v>0</v>
      </c>
      <c r="AO207" s="868">
        <f>+Results!AO11-AO191</f>
        <v>0</v>
      </c>
      <c r="AP207" s="868">
        <f>+Results!AP11-AP191</f>
        <v>0</v>
      </c>
      <c r="AQ207" s="868">
        <f>+Results!AQ11-AQ191</f>
        <v>0</v>
      </c>
      <c r="AR207" s="868">
        <f>+Results!AR11-AR191</f>
        <v>0</v>
      </c>
      <c r="AS207" s="868">
        <f>+Results!AS11-AS191</f>
        <v>0</v>
      </c>
      <c r="AT207" s="693"/>
    </row>
    <row r="208" spans="1:46" ht="15" customHeight="1">
      <c r="A208" s="1075"/>
      <c r="B208" s="175" t="s">
        <v>220</v>
      </c>
      <c r="C208" s="342"/>
      <c r="D208" s="31"/>
      <c r="E208" s="29">
        <f t="shared" si="19"/>
        <v>0</v>
      </c>
      <c r="F208" s="868">
        <f>+Results!F12-F192</f>
        <v>0</v>
      </c>
      <c r="G208" s="868">
        <f>+Results!G12-G192</f>
        <v>0</v>
      </c>
      <c r="H208" s="868">
        <f>+Results!H12-H192</f>
        <v>0</v>
      </c>
      <c r="I208" s="868">
        <f>+Results!I12-I192</f>
        <v>0</v>
      </c>
      <c r="J208" s="868">
        <f>+Results!J12-J192</f>
        <v>0</v>
      </c>
      <c r="K208" s="868">
        <f>+Results!K12-K192</f>
        <v>0</v>
      </c>
      <c r="L208" s="868">
        <f>+Results!L12-L192</f>
        <v>0</v>
      </c>
      <c r="M208" s="868">
        <f>+Results!M12-M192</f>
        <v>0</v>
      </c>
      <c r="N208" s="868">
        <f>+Results!N12-N192</f>
        <v>0</v>
      </c>
      <c r="O208" s="868">
        <f>+Results!O12-O192</f>
        <v>0</v>
      </c>
      <c r="P208" s="868">
        <f>+Results!P12-P192</f>
        <v>0</v>
      </c>
      <c r="Q208" s="868">
        <f>+Results!Q12-Q192</f>
        <v>0</v>
      </c>
      <c r="R208" s="868">
        <f>+Results!R12-R192</f>
        <v>0</v>
      </c>
      <c r="S208" s="868">
        <f>+Results!S12-S192</f>
        <v>0</v>
      </c>
      <c r="T208" s="868">
        <f>+Results!T12-T192</f>
        <v>0</v>
      </c>
      <c r="U208" s="868">
        <f>+Results!U12-U192</f>
        <v>0</v>
      </c>
      <c r="V208" s="868">
        <f>+Results!V12-V192</f>
        <v>0</v>
      </c>
      <c r="W208" s="868">
        <f>+Results!W12-W192</f>
        <v>0</v>
      </c>
      <c r="X208" s="868">
        <f>+Results!X12-X192</f>
        <v>0</v>
      </c>
      <c r="Y208" s="868">
        <f>+Results!Y12-Y192</f>
        <v>0</v>
      </c>
      <c r="Z208" s="868">
        <f>+Results!Z12-Z192</f>
        <v>0</v>
      </c>
      <c r="AA208" s="868">
        <f>+Results!AA12-AA192</f>
        <v>0</v>
      </c>
      <c r="AB208" s="868">
        <f>+Results!AB12-AB192</f>
        <v>0</v>
      </c>
      <c r="AC208" s="868">
        <f>+Results!AC12-AC192</f>
        <v>0</v>
      </c>
      <c r="AD208" s="868">
        <f>+Results!AD12-AD192</f>
        <v>0</v>
      </c>
      <c r="AE208" s="868">
        <f>+Results!AE12-AE192</f>
        <v>0</v>
      </c>
      <c r="AF208" s="868">
        <f>+Results!AF12-AF192</f>
        <v>0</v>
      </c>
      <c r="AG208" s="868">
        <f>+Results!AG12-AG192</f>
        <v>0</v>
      </c>
      <c r="AH208" s="868">
        <f>+Results!AH12-AH192</f>
        <v>0</v>
      </c>
      <c r="AI208" s="868">
        <f>+Results!AI12-AI192</f>
        <v>0</v>
      </c>
      <c r="AJ208" s="868">
        <f>+Results!AJ12-AJ192</f>
        <v>0</v>
      </c>
      <c r="AK208" s="868">
        <f>+Results!AK12-AK192</f>
        <v>0</v>
      </c>
      <c r="AL208" s="868">
        <f>+Results!AL12-AL192</f>
        <v>0</v>
      </c>
      <c r="AM208" s="868">
        <f>+Results!AM12-AM192</f>
        <v>0</v>
      </c>
      <c r="AN208" s="868">
        <f>+Results!AN12-AN192</f>
        <v>0</v>
      </c>
      <c r="AO208" s="868">
        <f>+Results!AO12-AO192</f>
        <v>0</v>
      </c>
      <c r="AP208" s="868">
        <f>+Results!AP12-AP192</f>
        <v>0</v>
      </c>
      <c r="AQ208" s="868">
        <f>+Results!AQ12-AQ192</f>
        <v>0</v>
      </c>
      <c r="AR208" s="868">
        <f>+Results!AR12-AR192</f>
        <v>0</v>
      </c>
      <c r="AS208" s="868">
        <f>+Results!AS12-AS192</f>
        <v>0</v>
      </c>
      <c r="AT208" s="693"/>
    </row>
    <row r="209" spans="1:91" ht="15" customHeight="1">
      <c r="A209" s="1075"/>
      <c r="B209" s="72" t="s">
        <v>221</v>
      </c>
      <c r="C209" s="342"/>
      <c r="D209" s="31"/>
      <c r="E209" s="29">
        <f t="shared" si="19"/>
        <v>0</v>
      </c>
      <c r="F209" s="868">
        <f>+Results!F13-F193</f>
        <v>0</v>
      </c>
      <c r="G209" s="868">
        <f>+Results!G13-G193</f>
        <v>0</v>
      </c>
      <c r="H209" s="868">
        <f>+Results!H13-H193</f>
        <v>0</v>
      </c>
      <c r="I209" s="868">
        <f>+Results!I13-I193</f>
        <v>0</v>
      </c>
      <c r="J209" s="868">
        <f>+Results!J13-J193</f>
        <v>0</v>
      </c>
      <c r="K209" s="868">
        <f>+Results!K13-K193</f>
        <v>0</v>
      </c>
      <c r="L209" s="868">
        <f>+Results!L13-L193</f>
        <v>0</v>
      </c>
      <c r="M209" s="868">
        <f>+Results!M13-M193</f>
        <v>0</v>
      </c>
      <c r="N209" s="868">
        <f>+Results!N13-N193</f>
        <v>0</v>
      </c>
      <c r="O209" s="868">
        <f>+Results!O13-O193</f>
        <v>0</v>
      </c>
      <c r="P209" s="868">
        <f>+Results!P13-P193</f>
        <v>0</v>
      </c>
      <c r="Q209" s="868">
        <f>+Results!Q13-Q193</f>
        <v>0</v>
      </c>
      <c r="R209" s="868">
        <f>+Results!R13-R193</f>
        <v>0</v>
      </c>
      <c r="S209" s="868">
        <f>+Results!S13-S193</f>
        <v>0</v>
      </c>
      <c r="T209" s="868">
        <f>+Results!T13-T193</f>
        <v>0</v>
      </c>
      <c r="U209" s="868">
        <f>+Results!U13-U193</f>
        <v>0</v>
      </c>
      <c r="V209" s="868">
        <f>+Results!V13-V193</f>
        <v>0</v>
      </c>
      <c r="W209" s="868">
        <f>+Results!W13-W193</f>
        <v>0</v>
      </c>
      <c r="X209" s="868">
        <f>+Results!X13-X193</f>
        <v>0</v>
      </c>
      <c r="Y209" s="868">
        <f>+Results!Y13-Y193</f>
        <v>0</v>
      </c>
      <c r="Z209" s="868">
        <f>+Results!Z13-Z193</f>
        <v>0</v>
      </c>
      <c r="AA209" s="868">
        <f>+Results!AA13-AA193</f>
        <v>0</v>
      </c>
      <c r="AB209" s="868">
        <f>+Results!AB13-AB193</f>
        <v>0</v>
      </c>
      <c r="AC209" s="868">
        <f>+Results!AC13-AC193</f>
        <v>0</v>
      </c>
      <c r="AD209" s="868">
        <f>+Results!AD13-AD193</f>
        <v>0</v>
      </c>
      <c r="AE209" s="868">
        <f>+Results!AE13-AE193</f>
        <v>0</v>
      </c>
      <c r="AF209" s="868">
        <f>+Results!AF13-AF193</f>
        <v>0</v>
      </c>
      <c r="AG209" s="868">
        <f>+Results!AG13-AG193</f>
        <v>0</v>
      </c>
      <c r="AH209" s="868">
        <f>+Results!AH13-AH193</f>
        <v>0</v>
      </c>
      <c r="AI209" s="868">
        <f>+Results!AI13-AI193</f>
        <v>0</v>
      </c>
      <c r="AJ209" s="868">
        <f>+Results!AJ13-AJ193</f>
        <v>0</v>
      </c>
      <c r="AK209" s="868">
        <f>+Results!AK13-AK193</f>
        <v>0</v>
      </c>
      <c r="AL209" s="868">
        <f>+Results!AL13-AL193</f>
        <v>0</v>
      </c>
      <c r="AM209" s="868">
        <f>+Results!AM13-AM193</f>
        <v>0</v>
      </c>
      <c r="AN209" s="868">
        <f>+Results!AN13-AN193</f>
        <v>0</v>
      </c>
      <c r="AO209" s="868">
        <f>+Results!AO13-AO193</f>
        <v>0</v>
      </c>
      <c r="AP209" s="868">
        <f>+Results!AP13-AP193</f>
        <v>0</v>
      </c>
      <c r="AQ209" s="868">
        <f>+Results!AQ13-AQ193</f>
        <v>0</v>
      </c>
      <c r="AR209" s="868">
        <f>+Results!AR13-AR193</f>
        <v>0</v>
      </c>
      <c r="AS209" s="868">
        <f>+Results!AS13-AS193</f>
        <v>0</v>
      </c>
      <c r="AT209" s="693"/>
    </row>
    <row r="210" spans="1:91" ht="15" customHeight="1">
      <c r="A210" s="1075"/>
      <c r="B210" s="72" t="s">
        <v>1319</v>
      </c>
      <c r="C210" s="342"/>
      <c r="D210" s="31"/>
      <c r="E210" s="29">
        <f t="shared" si="19"/>
        <v>0</v>
      </c>
      <c r="F210" s="868">
        <f>+Results!F16-F196</f>
        <v>0</v>
      </c>
      <c r="G210" s="868">
        <f>+Results!G16-G196</f>
        <v>0</v>
      </c>
      <c r="H210" s="868">
        <f>+Results!H16-H196</f>
        <v>0</v>
      </c>
      <c r="I210" s="868">
        <f>+Results!I16-I196</f>
        <v>0</v>
      </c>
      <c r="J210" s="868">
        <f>+Results!J16-J196</f>
        <v>0</v>
      </c>
      <c r="K210" s="868">
        <f>+Results!K16-K196</f>
        <v>0</v>
      </c>
      <c r="L210" s="868">
        <f>+Results!L16-L196</f>
        <v>0</v>
      </c>
      <c r="M210" s="868">
        <f>+Results!M16-M196</f>
        <v>0</v>
      </c>
      <c r="N210" s="868">
        <f>+Results!N16-N196</f>
        <v>0</v>
      </c>
      <c r="O210" s="868">
        <f>+Results!O16-O196</f>
        <v>0</v>
      </c>
      <c r="P210" s="868">
        <f>+Results!P16-P196</f>
        <v>0</v>
      </c>
      <c r="Q210" s="868">
        <f>+Results!Q16-Q196</f>
        <v>0</v>
      </c>
      <c r="R210" s="868">
        <f>+Results!R16-R196</f>
        <v>0</v>
      </c>
      <c r="S210" s="868">
        <f>+Results!S16-S196</f>
        <v>0</v>
      </c>
      <c r="T210" s="868">
        <f>+Results!T16-T196</f>
        <v>0</v>
      </c>
      <c r="U210" s="868">
        <f>+Results!U16-U196</f>
        <v>0</v>
      </c>
      <c r="V210" s="868">
        <f>+Results!V16-V196</f>
        <v>0</v>
      </c>
      <c r="W210" s="868">
        <f>+Results!W16-W196</f>
        <v>0</v>
      </c>
      <c r="X210" s="868">
        <f>+Results!X16-X196</f>
        <v>0</v>
      </c>
      <c r="Y210" s="868">
        <f>+Results!Y16-Y196</f>
        <v>0</v>
      </c>
      <c r="Z210" s="868">
        <f>+Results!Z16-Z196</f>
        <v>0</v>
      </c>
      <c r="AA210" s="868">
        <f>+Results!AA16-AA196</f>
        <v>0</v>
      </c>
      <c r="AB210" s="868">
        <f>+Results!AB16-AB196</f>
        <v>0</v>
      </c>
      <c r="AC210" s="868">
        <f>+Results!AC16-AC196</f>
        <v>0</v>
      </c>
      <c r="AD210" s="868">
        <f>+Results!AD16-AD196</f>
        <v>0</v>
      </c>
      <c r="AE210" s="868">
        <f>+Results!AE16-AE196</f>
        <v>0</v>
      </c>
      <c r="AF210" s="868">
        <f>+Results!AF16-AF196</f>
        <v>0</v>
      </c>
      <c r="AG210" s="868">
        <f>+Results!AG16-AG196</f>
        <v>0</v>
      </c>
      <c r="AH210" s="868">
        <f>+Results!AH16-AH196</f>
        <v>0</v>
      </c>
      <c r="AI210" s="868">
        <f>+Results!AI16-AI196</f>
        <v>0</v>
      </c>
      <c r="AJ210" s="868">
        <f>+Results!AJ16-AJ196</f>
        <v>0</v>
      </c>
      <c r="AK210" s="868">
        <f>+Results!AK16-AK196</f>
        <v>0</v>
      </c>
      <c r="AL210" s="868">
        <f>+Results!AL16-AL196</f>
        <v>0</v>
      </c>
      <c r="AM210" s="868">
        <f>+Results!AM16-AM196</f>
        <v>0</v>
      </c>
      <c r="AN210" s="868">
        <f>+Results!AN16-AN196</f>
        <v>0</v>
      </c>
      <c r="AO210" s="868">
        <f>+Results!AO16-AO196</f>
        <v>0</v>
      </c>
      <c r="AP210" s="868">
        <f>+Results!AP16-AP196</f>
        <v>0</v>
      </c>
      <c r="AQ210" s="868">
        <f>+Results!AQ16-AQ196</f>
        <v>0</v>
      </c>
      <c r="AR210" s="868">
        <f>+Results!AR16-AR196</f>
        <v>0</v>
      </c>
      <c r="AS210" s="868">
        <f>+Results!AS16-AS196</f>
        <v>0</v>
      </c>
      <c r="AT210" s="693"/>
    </row>
    <row r="211" spans="1:91" ht="15" customHeight="1">
      <c r="A211" s="1075"/>
      <c r="B211" s="175" t="s">
        <v>222</v>
      </c>
      <c r="C211" s="342"/>
      <c r="D211" s="31"/>
      <c r="E211" s="29">
        <f t="shared" si="19"/>
        <v>0</v>
      </c>
      <c r="F211" s="868">
        <f>+Results!F14-F194</f>
        <v>0</v>
      </c>
      <c r="G211" s="868">
        <f>+Results!G14-G194</f>
        <v>0</v>
      </c>
      <c r="H211" s="868">
        <f>+Results!H14-H194</f>
        <v>0</v>
      </c>
      <c r="I211" s="868">
        <f>+Results!I14-I194</f>
        <v>0</v>
      </c>
      <c r="J211" s="868">
        <f>+Results!J14-J194</f>
        <v>0</v>
      </c>
      <c r="K211" s="868">
        <f>+Results!K14-K194</f>
        <v>0</v>
      </c>
      <c r="L211" s="868">
        <f>+Results!L14-L194</f>
        <v>0</v>
      </c>
      <c r="M211" s="868">
        <f>+Results!M14-M194</f>
        <v>0</v>
      </c>
      <c r="N211" s="868">
        <f>+Results!N14-N194</f>
        <v>0</v>
      </c>
      <c r="O211" s="868">
        <f>+Results!O14-O194</f>
        <v>0</v>
      </c>
      <c r="P211" s="868">
        <f>+Results!P14-P194</f>
        <v>0</v>
      </c>
      <c r="Q211" s="868">
        <f>+Results!Q14-Q194</f>
        <v>0</v>
      </c>
      <c r="R211" s="868">
        <f>+Results!R14-R194</f>
        <v>0</v>
      </c>
      <c r="S211" s="868">
        <f>+Results!S14-S194</f>
        <v>0</v>
      </c>
      <c r="T211" s="868">
        <f>+Results!T14-T194</f>
        <v>0</v>
      </c>
      <c r="U211" s="868">
        <f>+Results!U14-U194</f>
        <v>0</v>
      </c>
      <c r="V211" s="868">
        <f>+Results!V14-V194</f>
        <v>0</v>
      </c>
      <c r="W211" s="868">
        <f>+Results!W14-W194</f>
        <v>0</v>
      </c>
      <c r="X211" s="868">
        <f>+Results!X14-X194</f>
        <v>0</v>
      </c>
      <c r="Y211" s="868">
        <f>+Results!Y14-Y194</f>
        <v>0</v>
      </c>
      <c r="Z211" s="868">
        <f>+Results!Z14-Z194</f>
        <v>0</v>
      </c>
      <c r="AA211" s="868">
        <f>+Results!AA14-AA194</f>
        <v>0</v>
      </c>
      <c r="AB211" s="868">
        <f>+Results!AB14-AB194</f>
        <v>0</v>
      </c>
      <c r="AC211" s="868">
        <f>+Results!AC14-AC194</f>
        <v>0</v>
      </c>
      <c r="AD211" s="868">
        <f>+Results!AD14-AD194</f>
        <v>0</v>
      </c>
      <c r="AE211" s="868">
        <f>+Results!AE14-AE194</f>
        <v>0</v>
      </c>
      <c r="AF211" s="868">
        <f>+Results!AF14-AF194</f>
        <v>0</v>
      </c>
      <c r="AG211" s="868">
        <f>+Results!AG14-AG194</f>
        <v>0</v>
      </c>
      <c r="AH211" s="868">
        <f>+Results!AH14-AH194</f>
        <v>0</v>
      </c>
      <c r="AI211" s="868">
        <f>+Results!AI14-AI194</f>
        <v>0</v>
      </c>
      <c r="AJ211" s="868">
        <f>+Results!AJ14-AJ194</f>
        <v>0</v>
      </c>
      <c r="AK211" s="868">
        <f>+Results!AK14-AK194</f>
        <v>0</v>
      </c>
      <c r="AL211" s="868">
        <f>+Results!AL14-AL194</f>
        <v>0</v>
      </c>
      <c r="AM211" s="868">
        <f>+Results!AM14-AM194</f>
        <v>0</v>
      </c>
      <c r="AN211" s="868">
        <f>+Results!AN14-AN194</f>
        <v>0</v>
      </c>
      <c r="AO211" s="868">
        <f>+Results!AO14-AO194</f>
        <v>0</v>
      </c>
      <c r="AP211" s="868">
        <f>+Results!AP14-AP194</f>
        <v>0</v>
      </c>
      <c r="AQ211" s="868">
        <f>+Results!AQ14-AQ194</f>
        <v>0</v>
      </c>
      <c r="AR211" s="868">
        <f>+Results!AR14-AR194</f>
        <v>0</v>
      </c>
      <c r="AS211" s="868">
        <f>+Results!AS14-AS194</f>
        <v>0</v>
      </c>
      <c r="AT211" s="693"/>
    </row>
    <row r="212" spans="1:91" ht="15" customHeight="1">
      <c r="A212" s="1075"/>
      <c r="B212" s="72" t="s">
        <v>1206</v>
      </c>
      <c r="C212" s="342"/>
      <c r="D212" s="31"/>
      <c r="E212" s="29">
        <f t="shared" si="19"/>
        <v>0</v>
      </c>
      <c r="F212" s="868">
        <f>+Results!F15-F195</f>
        <v>0</v>
      </c>
      <c r="G212" s="868">
        <f>+Results!G15-G195</f>
        <v>0</v>
      </c>
      <c r="H212" s="868">
        <f>+Results!H15-H195</f>
        <v>0</v>
      </c>
      <c r="I212" s="868">
        <f>+Results!I15-I195</f>
        <v>0</v>
      </c>
      <c r="J212" s="868">
        <f>+Results!J15-J195</f>
        <v>0</v>
      </c>
      <c r="K212" s="868">
        <f>+Results!K15-K195</f>
        <v>0</v>
      </c>
      <c r="L212" s="868">
        <f>+Results!L15-L195</f>
        <v>0</v>
      </c>
      <c r="M212" s="868">
        <f>+Results!M15-M195</f>
        <v>0</v>
      </c>
      <c r="N212" s="868">
        <f>+Results!N15-N195</f>
        <v>0</v>
      </c>
      <c r="O212" s="868">
        <f>+Results!O15-O195</f>
        <v>0</v>
      </c>
      <c r="P212" s="868">
        <f>+Results!P15-P195</f>
        <v>0</v>
      </c>
      <c r="Q212" s="868">
        <f>+Results!Q15-Q195</f>
        <v>0</v>
      </c>
      <c r="R212" s="868">
        <f>+Results!R15-R195</f>
        <v>0</v>
      </c>
      <c r="S212" s="868">
        <f>+Results!S15-S195</f>
        <v>0</v>
      </c>
      <c r="T212" s="868">
        <f>+Results!T15-T195</f>
        <v>0</v>
      </c>
      <c r="U212" s="868">
        <f>+Results!U15-U195</f>
        <v>0</v>
      </c>
      <c r="V212" s="868">
        <f>+Results!V15-V195</f>
        <v>0</v>
      </c>
      <c r="W212" s="868">
        <f>+Results!W15-W195</f>
        <v>0</v>
      </c>
      <c r="X212" s="868">
        <f>+Results!X15-X195</f>
        <v>0</v>
      </c>
      <c r="Y212" s="868">
        <f>+Results!Y15-Y195</f>
        <v>0</v>
      </c>
      <c r="Z212" s="868">
        <f>+Results!Z15-Z195</f>
        <v>0</v>
      </c>
      <c r="AA212" s="868">
        <f>+Results!AA15-AA195</f>
        <v>0</v>
      </c>
      <c r="AB212" s="868">
        <f>+Results!AB15-AB195</f>
        <v>0</v>
      </c>
      <c r="AC212" s="868">
        <f>+Results!AC15-AC195</f>
        <v>0</v>
      </c>
      <c r="AD212" s="868">
        <f>+Results!AD15-AD195</f>
        <v>0</v>
      </c>
      <c r="AE212" s="868">
        <f>+Results!AE15-AE195</f>
        <v>0</v>
      </c>
      <c r="AF212" s="868">
        <f>+Results!AF15-AF195</f>
        <v>0</v>
      </c>
      <c r="AG212" s="868">
        <f>+Results!AG15-AG195</f>
        <v>0</v>
      </c>
      <c r="AH212" s="868">
        <f>+Results!AH15-AH195</f>
        <v>0</v>
      </c>
      <c r="AI212" s="868">
        <f>+Results!AI15-AI195</f>
        <v>0</v>
      </c>
      <c r="AJ212" s="868">
        <f>+Results!AJ15-AJ195</f>
        <v>0</v>
      </c>
      <c r="AK212" s="868">
        <f>+Results!AK15-AK195</f>
        <v>0</v>
      </c>
      <c r="AL212" s="868">
        <f>+Results!AL15-AL195</f>
        <v>0</v>
      </c>
      <c r="AM212" s="868">
        <f>+Results!AM15-AM195</f>
        <v>0</v>
      </c>
      <c r="AN212" s="868">
        <f>+Results!AN15-AN195</f>
        <v>0</v>
      </c>
      <c r="AO212" s="868">
        <f>+Results!AO15-AO195</f>
        <v>0</v>
      </c>
      <c r="AP212" s="868">
        <f>+Results!AP15-AP195</f>
        <v>0</v>
      </c>
      <c r="AQ212" s="868">
        <f>+Results!AQ15-AQ195</f>
        <v>0</v>
      </c>
      <c r="AR212" s="868">
        <f>+Results!AR15-AR195</f>
        <v>0</v>
      </c>
      <c r="AS212" s="868">
        <f>+Results!AS15-AS195</f>
        <v>0</v>
      </c>
      <c r="AT212" s="693"/>
    </row>
    <row r="213" spans="1:91" ht="15" customHeight="1">
      <c r="A213" s="1075"/>
      <c r="B213" s="72" t="s">
        <v>468</v>
      </c>
      <c r="C213" s="342"/>
      <c r="D213" s="31"/>
      <c r="E213" s="34">
        <f t="shared" si="19"/>
        <v>0</v>
      </c>
      <c r="F213" s="1115">
        <f>+Results!F17-F197</f>
        <v>0</v>
      </c>
      <c r="G213" s="1115">
        <f>+Results!G17-G197</f>
        <v>0</v>
      </c>
      <c r="H213" s="1115">
        <f>+Results!H17-H197</f>
        <v>0</v>
      </c>
      <c r="I213" s="1115">
        <f>+Results!I17-I197</f>
        <v>0</v>
      </c>
      <c r="J213" s="1115">
        <f>+Results!J17-J197</f>
        <v>0</v>
      </c>
      <c r="K213" s="1115">
        <f>+Results!K17-K197</f>
        <v>0</v>
      </c>
      <c r="L213" s="1115">
        <f>+Results!L17-L197</f>
        <v>0</v>
      </c>
      <c r="M213" s="1115">
        <f>+Results!M17-M197</f>
        <v>0</v>
      </c>
      <c r="N213" s="1115">
        <f>+Results!N17-N197</f>
        <v>0</v>
      </c>
      <c r="O213" s="1115">
        <f>+Results!O17-O197</f>
        <v>0</v>
      </c>
      <c r="P213" s="1115">
        <f>+Results!P17-P197</f>
        <v>0</v>
      </c>
      <c r="Q213" s="1115">
        <f>+Results!Q17-Q197</f>
        <v>0</v>
      </c>
      <c r="R213" s="1115">
        <f>+Results!R17-R197</f>
        <v>0</v>
      </c>
      <c r="S213" s="1115">
        <f>+Results!S17-S197</f>
        <v>0</v>
      </c>
      <c r="T213" s="1115">
        <f>+Results!T17-T197</f>
        <v>0</v>
      </c>
      <c r="U213" s="1115">
        <f>+Results!U17-U197</f>
        <v>0</v>
      </c>
      <c r="V213" s="1115">
        <f>+Results!V17-V197</f>
        <v>0</v>
      </c>
      <c r="W213" s="1115">
        <f>+Results!W17-W197</f>
        <v>0</v>
      </c>
      <c r="X213" s="1115">
        <f>+Results!X17-X197</f>
        <v>0</v>
      </c>
      <c r="Y213" s="1115">
        <f>+Results!Y17-Y197</f>
        <v>0</v>
      </c>
      <c r="Z213" s="1115">
        <f>+Results!Z17-Z197</f>
        <v>0</v>
      </c>
      <c r="AA213" s="1115">
        <f>+Results!AA17-AA197</f>
        <v>0</v>
      </c>
      <c r="AB213" s="1115">
        <f>+Results!AB17-AB197</f>
        <v>0</v>
      </c>
      <c r="AC213" s="1115">
        <f>+Results!AC17-AC197</f>
        <v>0</v>
      </c>
      <c r="AD213" s="1115">
        <f>+Results!AD17-AD197</f>
        <v>0</v>
      </c>
      <c r="AE213" s="1115">
        <f>+Results!AE17-AE197</f>
        <v>0</v>
      </c>
      <c r="AF213" s="1115">
        <f>+Results!AF17-AF197</f>
        <v>0</v>
      </c>
      <c r="AG213" s="1115">
        <f>+Results!AG17-AG197</f>
        <v>0</v>
      </c>
      <c r="AH213" s="1115">
        <f>+Results!AH17-AH197</f>
        <v>0</v>
      </c>
      <c r="AI213" s="1115">
        <f>+Results!AI17-AI197</f>
        <v>0</v>
      </c>
      <c r="AJ213" s="1115">
        <f>+Results!AJ17-AJ197</f>
        <v>0</v>
      </c>
      <c r="AK213" s="1115">
        <f>+Results!AK17-AK197</f>
        <v>0</v>
      </c>
      <c r="AL213" s="1115">
        <f>+Results!AL17-AL197</f>
        <v>0</v>
      </c>
      <c r="AM213" s="1115">
        <f>+Results!AM17-AM197</f>
        <v>0</v>
      </c>
      <c r="AN213" s="1115">
        <f>+Results!AN17-AN197</f>
        <v>0</v>
      </c>
      <c r="AO213" s="1115">
        <f>+Results!AO17-AO197</f>
        <v>0</v>
      </c>
      <c r="AP213" s="1115">
        <f>+Results!AP17-AP197</f>
        <v>0</v>
      </c>
      <c r="AQ213" s="1115">
        <f>+Results!AQ17-AQ197</f>
        <v>0</v>
      </c>
      <c r="AR213" s="1115">
        <f>+Results!AR17-AR197</f>
        <v>0</v>
      </c>
      <c r="AS213" s="1115">
        <f>+Results!AS17-AS197</f>
        <v>0</v>
      </c>
      <c r="AT213" s="693"/>
    </row>
    <row r="214" spans="1:91" ht="15" customHeight="1">
      <c r="A214" s="1075"/>
      <c r="B214" s="138" t="s">
        <v>512</v>
      </c>
      <c r="C214" s="342"/>
      <c r="D214" s="31"/>
      <c r="E214" s="29">
        <f t="shared" si="19"/>
        <v>0</v>
      </c>
      <c r="F214" s="868">
        <f>+Results!F18-F198</f>
        <v>0</v>
      </c>
      <c r="G214" s="868">
        <f>+Results!G18-G198</f>
        <v>0</v>
      </c>
      <c r="H214" s="868">
        <f>+Results!H18-H198</f>
        <v>0</v>
      </c>
      <c r="I214" s="868">
        <f>+Results!I18-I198</f>
        <v>0</v>
      </c>
      <c r="J214" s="868">
        <f>+Results!J18-J198</f>
        <v>0</v>
      </c>
      <c r="K214" s="868">
        <f>+Results!K18-K198</f>
        <v>0</v>
      </c>
      <c r="L214" s="868">
        <f>+Results!L18-L198</f>
        <v>0</v>
      </c>
      <c r="M214" s="868">
        <f>+Results!M18-M198</f>
        <v>0</v>
      </c>
      <c r="N214" s="868">
        <f>+Results!N18-N198</f>
        <v>0</v>
      </c>
      <c r="O214" s="868">
        <f>+Results!O18-O198</f>
        <v>0</v>
      </c>
      <c r="P214" s="868">
        <f>+Results!P18-P198</f>
        <v>0</v>
      </c>
      <c r="Q214" s="868">
        <f>+Results!Q18-Q198</f>
        <v>0</v>
      </c>
      <c r="R214" s="868">
        <f>+Results!R18-R198</f>
        <v>0</v>
      </c>
      <c r="S214" s="868">
        <f>+Results!S18-S198</f>
        <v>0</v>
      </c>
      <c r="T214" s="868">
        <f>+Results!T18-T198</f>
        <v>0</v>
      </c>
      <c r="U214" s="868">
        <f>+Results!U18-U198</f>
        <v>0</v>
      </c>
      <c r="V214" s="868">
        <f>+Results!V18-V198</f>
        <v>0</v>
      </c>
      <c r="W214" s="868">
        <f>+Results!W18-W198</f>
        <v>0</v>
      </c>
      <c r="X214" s="868">
        <f>+Results!X18-X198</f>
        <v>0</v>
      </c>
      <c r="Y214" s="868">
        <f>+Results!Y18-Y198</f>
        <v>0</v>
      </c>
      <c r="Z214" s="868">
        <f>+Results!Z18-Z198</f>
        <v>0</v>
      </c>
      <c r="AA214" s="868">
        <f>+Results!AA18-AA198</f>
        <v>0</v>
      </c>
      <c r="AB214" s="868">
        <f>+Results!AB18-AB198</f>
        <v>0</v>
      </c>
      <c r="AC214" s="868">
        <f>+Results!AC18-AC198</f>
        <v>0</v>
      </c>
      <c r="AD214" s="868">
        <f>+Results!AD18-AD198</f>
        <v>0</v>
      </c>
      <c r="AE214" s="868">
        <f>+Results!AE18-AE198</f>
        <v>0</v>
      </c>
      <c r="AF214" s="868">
        <f>+Results!AF18-AF198</f>
        <v>0</v>
      </c>
      <c r="AG214" s="868">
        <f>+Results!AG18-AG198</f>
        <v>0</v>
      </c>
      <c r="AH214" s="868">
        <f>+Results!AH18-AH198</f>
        <v>0</v>
      </c>
      <c r="AI214" s="868">
        <f>+Results!AI18-AI198</f>
        <v>0</v>
      </c>
      <c r="AJ214" s="868">
        <f>+Results!AJ18-AJ198</f>
        <v>0</v>
      </c>
      <c r="AK214" s="868">
        <f>+Results!AK18-AK198</f>
        <v>0</v>
      </c>
      <c r="AL214" s="868">
        <f>+Results!AL18-AL198</f>
        <v>0</v>
      </c>
      <c r="AM214" s="868">
        <f>+Results!AM18-AM198</f>
        <v>0</v>
      </c>
      <c r="AN214" s="868">
        <f>+Results!AN18-AN198</f>
        <v>0</v>
      </c>
      <c r="AO214" s="868">
        <f>+Results!AO18-AO198</f>
        <v>0</v>
      </c>
      <c r="AP214" s="868">
        <f>+Results!AP18-AP198</f>
        <v>0</v>
      </c>
      <c r="AQ214" s="868">
        <f>+Results!AQ18-AQ198</f>
        <v>0</v>
      </c>
      <c r="AR214" s="868">
        <f>+Results!AR18-AR198</f>
        <v>0</v>
      </c>
      <c r="AS214" s="868">
        <f>+Results!AS18-AS198</f>
        <v>0</v>
      </c>
      <c r="AT214" s="693"/>
    </row>
    <row r="215" spans="1:91" s="852" customFormat="1" ht="19.95" customHeight="1">
      <c r="A215" s="1194"/>
      <c r="B215" s="1195" t="s">
        <v>638</v>
      </c>
      <c r="C215" s="1201"/>
      <c r="D215" s="1202"/>
      <c r="E215" s="1203"/>
      <c r="F215" s="1198">
        <f>+Results!F19-F199</f>
        <v>0</v>
      </c>
      <c r="G215" s="1198">
        <f>+Results!G19-G199</f>
        <v>0</v>
      </c>
      <c r="H215" s="1198">
        <f>+Results!H19-H199</f>
        <v>0</v>
      </c>
      <c r="I215" s="1198">
        <f>+Results!I19-I199</f>
        <v>0</v>
      </c>
      <c r="J215" s="1198">
        <f>+Results!J19-J199</f>
        <v>0</v>
      </c>
      <c r="K215" s="1198">
        <f>+Results!K19-K199</f>
        <v>0</v>
      </c>
      <c r="L215" s="1198">
        <f>+Results!L19-L199</f>
        <v>0</v>
      </c>
      <c r="M215" s="1198">
        <f>+Results!M19-M199</f>
        <v>0</v>
      </c>
      <c r="N215" s="1198">
        <f>+Results!N19-N199</f>
        <v>0</v>
      </c>
      <c r="O215" s="1198">
        <f>+Results!O19-O199</f>
        <v>0</v>
      </c>
      <c r="P215" s="1198">
        <f>+Results!P19-P199</f>
        <v>0</v>
      </c>
      <c r="Q215" s="1198">
        <f>+Results!Q19-Q199</f>
        <v>0</v>
      </c>
      <c r="R215" s="1198">
        <f>+Results!R19-R199</f>
        <v>0</v>
      </c>
      <c r="S215" s="1198">
        <f>+Results!S19-S199</f>
        <v>0</v>
      </c>
      <c r="T215" s="1198">
        <f>+Results!T19-T199</f>
        <v>0</v>
      </c>
      <c r="U215" s="1198">
        <f>+Results!U19-U199</f>
        <v>0</v>
      </c>
      <c r="V215" s="1198">
        <f>+Results!V19-V199</f>
        <v>0</v>
      </c>
      <c r="W215" s="1198">
        <f>+Results!W19-W199</f>
        <v>0</v>
      </c>
      <c r="X215" s="1198">
        <f>+Results!X19-X199</f>
        <v>0</v>
      </c>
      <c r="Y215" s="1198">
        <f>+Results!Y19-Y199</f>
        <v>0</v>
      </c>
      <c r="Z215" s="1198">
        <f>+Results!Z19-Z199</f>
        <v>0</v>
      </c>
      <c r="AA215" s="1198">
        <f>+Results!AA19-AA199</f>
        <v>0</v>
      </c>
      <c r="AB215" s="1198">
        <f>+Results!AB19-AB199</f>
        <v>0</v>
      </c>
      <c r="AC215" s="1198">
        <f>+Results!AC19-AC199</f>
        <v>0</v>
      </c>
      <c r="AD215" s="1198">
        <f>+Results!AD19-AD199</f>
        <v>0</v>
      </c>
      <c r="AE215" s="1198">
        <f>+Results!AE19-AE199</f>
        <v>0</v>
      </c>
      <c r="AF215" s="1198">
        <f>+Results!AF19-AF199</f>
        <v>0</v>
      </c>
      <c r="AG215" s="1198">
        <f>+Results!AG19-AG199</f>
        <v>0</v>
      </c>
      <c r="AH215" s="1198">
        <f>+Results!AH19-AH199</f>
        <v>0</v>
      </c>
      <c r="AI215" s="1198">
        <f>+Results!AI19-AI199</f>
        <v>0</v>
      </c>
      <c r="AJ215" s="1198">
        <f>+Results!AJ19-AJ199</f>
        <v>0</v>
      </c>
      <c r="AK215" s="1198">
        <f>+Results!AK19-AK199</f>
        <v>0</v>
      </c>
      <c r="AL215" s="1198">
        <f>+Results!AL19-AL199</f>
        <v>0</v>
      </c>
      <c r="AM215" s="1198">
        <f>+Results!AM19-AM199</f>
        <v>0</v>
      </c>
      <c r="AN215" s="1198">
        <f>+Results!AN19-AN199</f>
        <v>0</v>
      </c>
      <c r="AO215" s="1198">
        <f>+Results!AO19-AO199</f>
        <v>0</v>
      </c>
      <c r="AP215" s="1198">
        <f>+Results!AP19-AP199</f>
        <v>0</v>
      </c>
      <c r="AQ215" s="1198">
        <f>+Results!AQ19-AQ199</f>
        <v>0</v>
      </c>
      <c r="AR215" s="1198">
        <f>+Results!AR19-AR199</f>
        <v>0</v>
      </c>
      <c r="AS215" s="1198">
        <f>+Results!AS19-AS199</f>
        <v>0</v>
      </c>
      <c r="AT215" s="1204"/>
    </row>
    <row r="216" spans="1:91" ht="30" customHeight="1">
      <c r="A216" s="1"/>
      <c r="B216" s="1154"/>
      <c r="C216" s="71"/>
      <c r="D216" s="71"/>
      <c r="E216" s="71"/>
      <c r="F216" s="74"/>
      <c r="G216" s="74"/>
      <c r="H216" s="74"/>
      <c r="I216" s="74"/>
      <c r="J216" s="74"/>
      <c r="K216" s="74"/>
      <c r="L216" s="74"/>
      <c r="M216" s="74"/>
      <c r="N216" s="74"/>
      <c r="O216" s="74"/>
      <c r="P216" s="74"/>
      <c r="Q216" s="74"/>
      <c r="R216" s="74"/>
      <c r="S216" s="74"/>
      <c r="T216" s="74"/>
      <c r="U216" s="74"/>
      <c r="V216" s="74"/>
      <c r="W216" s="74"/>
      <c r="X216" s="74"/>
      <c r="Y216" s="74"/>
      <c r="Z216" s="74"/>
      <c r="AA216" s="74"/>
      <c r="AB216" s="74"/>
      <c r="AC216" s="74"/>
      <c r="AD216" s="74"/>
      <c r="AE216" s="74"/>
      <c r="AF216" s="74"/>
      <c r="AG216" s="74"/>
      <c r="AH216" s="74"/>
      <c r="AI216" s="74"/>
      <c r="AJ216" s="74"/>
      <c r="AK216" s="74"/>
      <c r="AL216" s="74"/>
      <c r="AM216" s="74"/>
      <c r="AN216" s="74"/>
      <c r="AO216" s="74"/>
      <c r="AP216" s="74"/>
      <c r="AQ216" s="74"/>
      <c r="AR216" s="74"/>
      <c r="AS216" s="74"/>
      <c r="AU216" s="13"/>
      <c r="AV216" s="13"/>
      <c r="AW216" s="13"/>
      <c r="AX216" s="71"/>
      <c r="AY216" s="74"/>
      <c r="AZ216" s="74"/>
      <c r="BA216" s="74"/>
      <c r="BB216" s="74"/>
      <c r="BC216" s="74"/>
      <c r="BD216" s="74"/>
      <c r="BE216" s="74"/>
      <c r="BF216" s="74"/>
      <c r="BG216" s="74"/>
      <c r="BH216" s="74"/>
      <c r="BI216" s="74"/>
      <c r="BJ216" s="74"/>
      <c r="BK216" s="74"/>
      <c r="BL216" s="74"/>
      <c r="BM216" s="74"/>
      <c r="BN216" s="74"/>
      <c r="BO216" s="74"/>
      <c r="BP216" s="74"/>
      <c r="BQ216" s="74"/>
      <c r="BR216" s="74"/>
      <c r="BS216" s="74"/>
      <c r="BT216" s="74"/>
      <c r="BU216" s="74"/>
      <c r="BV216" s="74"/>
      <c r="BW216" s="74"/>
      <c r="BX216" s="74"/>
      <c r="BY216" s="74"/>
      <c r="BZ216" s="74"/>
      <c r="CA216" s="74"/>
      <c r="CB216" s="74"/>
      <c r="CC216" s="74"/>
      <c r="CD216" s="74"/>
      <c r="CE216" s="74"/>
      <c r="CF216" s="74"/>
      <c r="CG216" s="74"/>
      <c r="CH216" s="74"/>
      <c r="CI216" s="74"/>
      <c r="CJ216" s="74"/>
      <c r="CK216" s="74"/>
      <c r="CL216" s="74"/>
      <c r="CM216" s="13"/>
    </row>
    <row r="217" spans="1:91" s="1" customFormat="1" ht="18" customHeight="1">
      <c r="A217" s="1163"/>
      <c r="B217" s="1163"/>
      <c r="C217" s="1163"/>
      <c r="D217" s="1073" t="s">
        <v>399</v>
      </c>
      <c r="E217" s="1266"/>
      <c r="F217" s="1172" t="s">
        <v>645</v>
      </c>
      <c r="G217" s="1157"/>
      <c r="H217" s="1157"/>
      <c r="I217" s="1157"/>
      <c r="J217" s="1157"/>
      <c r="K217" s="1157"/>
      <c r="L217" s="1157"/>
      <c r="M217" s="1157"/>
      <c r="N217" s="1157"/>
      <c r="O217" s="1157"/>
      <c r="P217" s="1157"/>
      <c r="Q217" s="1157"/>
      <c r="R217" s="1157"/>
      <c r="S217" s="1157"/>
      <c r="T217" s="1157"/>
      <c r="U217" s="1157"/>
      <c r="V217" s="1157"/>
      <c r="W217" s="1157"/>
      <c r="X217" s="1157"/>
      <c r="Y217" s="1157"/>
      <c r="Z217" s="1157"/>
      <c r="AA217" s="1157"/>
      <c r="AB217" s="1157"/>
      <c r="AC217" s="1157"/>
      <c r="AD217" s="1157"/>
      <c r="AE217" s="1157"/>
      <c r="AF217" s="1157"/>
      <c r="AG217" s="1157"/>
      <c r="AH217" s="1157"/>
      <c r="AI217" s="1157"/>
      <c r="AJ217" s="1157"/>
      <c r="AK217" s="1157"/>
      <c r="AL217" s="1157"/>
      <c r="AM217" s="1157"/>
      <c r="AN217" s="1157"/>
      <c r="AO217" s="1157"/>
      <c r="AP217" s="1157"/>
      <c r="AQ217" s="1157"/>
      <c r="AR217" s="1157"/>
      <c r="AS217" s="1157"/>
      <c r="AT217" s="693"/>
    </row>
    <row r="218" spans="1:91" s="1" customFormat="1" ht="16.2" customHeight="1">
      <c r="A218" s="693"/>
      <c r="B218" s="91"/>
      <c r="C218" s="559"/>
      <c r="D218" s="102"/>
      <c r="E218" s="102"/>
      <c r="F218" s="102"/>
      <c r="G218" s="1157"/>
      <c r="H218" s="1157"/>
      <c r="I218" s="1157"/>
      <c r="J218" s="1157"/>
      <c r="K218" s="1157"/>
      <c r="L218" s="1157"/>
      <c r="M218" s="1157"/>
      <c r="N218" s="1157"/>
      <c r="O218" s="1157"/>
      <c r="P218" s="1157"/>
      <c r="Q218" s="1157"/>
      <c r="R218" s="1157"/>
      <c r="S218" s="1157"/>
      <c r="T218" s="1157"/>
      <c r="U218" s="1157"/>
      <c r="V218" s="1157"/>
      <c r="W218" s="1157"/>
      <c r="X218" s="1157"/>
      <c r="Y218" s="1157"/>
      <c r="Z218" s="1157"/>
      <c r="AA218" s="1157"/>
      <c r="AB218" s="1157"/>
      <c r="AC218" s="1157"/>
      <c r="AD218" s="1157"/>
      <c r="AE218" s="1157"/>
      <c r="AF218" s="1157"/>
      <c r="AG218" s="1157"/>
      <c r="AH218" s="1157"/>
      <c r="AI218" s="1157"/>
      <c r="AJ218" s="1157"/>
      <c r="AK218" s="1157"/>
      <c r="AL218" s="1157"/>
      <c r="AM218" s="1157"/>
      <c r="AN218" s="1157"/>
      <c r="AO218" s="1157"/>
      <c r="AP218" s="1157"/>
      <c r="AQ218" s="1157"/>
      <c r="AR218" s="1157"/>
      <c r="AS218" s="1157"/>
      <c r="AT218" s="693"/>
    </row>
    <row r="219" spans="1:91" s="1" customFormat="1" ht="16.2" customHeight="1">
      <c r="A219" s="693"/>
      <c r="B219" s="91"/>
      <c r="C219" s="559"/>
      <c r="D219" s="3"/>
      <c r="E219" s="1800"/>
      <c r="F219" s="1800"/>
      <c r="G219" s="1800" t="s">
        <v>886</v>
      </c>
      <c r="H219" s="1800"/>
      <c r="I219" s="1800" t="s">
        <v>1134</v>
      </c>
      <c r="J219" s="1157"/>
      <c r="K219" s="1157"/>
      <c r="L219" s="1157"/>
      <c r="M219" s="1157"/>
      <c r="N219" s="1157"/>
      <c r="O219" s="1157"/>
      <c r="P219" s="1157"/>
      <c r="Q219" s="1157"/>
      <c r="R219" s="1157"/>
      <c r="S219" s="1157"/>
      <c r="T219" s="1157"/>
      <c r="U219" s="1157"/>
      <c r="V219" s="1157"/>
      <c r="W219" s="1157"/>
      <c r="X219" s="1157"/>
      <c r="Y219" s="1157"/>
      <c r="Z219" s="1157"/>
      <c r="AA219" s="1157"/>
      <c r="AB219" s="1157"/>
      <c r="AC219" s="1157"/>
      <c r="AD219" s="1157"/>
      <c r="AE219" s="1157"/>
      <c r="AF219" s="1157"/>
      <c r="AG219" s="1157"/>
      <c r="AH219" s="1157"/>
      <c r="AI219" s="1157"/>
      <c r="AJ219" s="1157"/>
      <c r="AK219" s="1157"/>
      <c r="AL219" s="1157"/>
      <c r="AM219" s="1157"/>
      <c r="AN219" s="1157"/>
      <c r="AO219" s="1157"/>
      <c r="AP219" s="1157"/>
      <c r="AQ219" s="1157"/>
      <c r="AR219" s="1157"/>
      <c r="AS219" s="1157"/>
      <c r="AT219" s="693"/>
    </row>
    <row r="220" spans="1:91" ht="15" customHeight="1">
      <c r="B220" s="7" t="s">
        <v>1587</v>
      </c>
      <c r="C220" s="140"/>
      <c r="D220" s="1799" t="s">
        <v>635</v>
      </c>
      <c r="E220" s="1799" t="s">
        <v>979</v>
      </c>
      <c r="F220" s="1799" t="s">
        <v>1085</v>
      </c>
      <c r="G220" s="64" t="s">
        <v>1085</v>
      </c>
      <c r="H220" s="1799" t="s">
        <v>1086</v>
      </c>
      <c r="I220" s="1799" t="s">
        <v>885</v>
      </c>
      <c r="J220" s="321"/>
      <c r="K220" s="321"/>
      <c r="L220" s="92"/>
      <c r="M220" s="86"/>
      <c r="N220" s="223"/>
      <c r="O220" s="212"/>
      <c r="P220" s="212"/>
      <c r="Q220" s="212"/>
      <c r="R220" s="212"/>
      <c r="S220" s="212"/>
      <c r="T220" s="212"/>
      <c r="U220" s="212"/>
      <c r="V220" s="212"/>
      <c r="W220" s="212"/>
      <c r="X220" s="212"/>
      <c r="Y220" s="212"/>
      <c r="Z220" s="212"/>
      <c r="AA220" s="212"/>
      <c r="AB220" s="212"/>
      <c r="AC220" s="212"/>
      <c r="AD220" s="212"/>
      <c r="AE220" s="212"/>
      <c r="AF220" s="212"/>
      <c r="AG220" s="212"/>
      <c r="AH220" s="212"/>
      <c r="AI220" s="212"/>
      <c r="AJ220" s="212"/>
      <c r="AK220" s="212"/>
      <c r="AL220" s="212"/>
      <c r="AM220" s="212"/>
      <c r="AN220" s="212"/>
      <c r="AO220" s="212"/>
      <c r="AP220" s="212"/>
      <c r="AQ220" s="212"/>
      <c r="AR220" s="212"/>
      <c r="AS220" s="212"/>
      <c r="AT220" s="693"/>
    </row>
    <row r="221" spans="1:91" ht="15" customHeight="1">
      <c r="B221" s="112" t="s">
        <v>1009</v>
      </c>
      <c r="C221" s="140"/>
      <c r="D221" s="321">
        <f>SUM(E221:I221)</f>
        <v>1000000</v>
      </c>
      <c r="E221" s="321">
        <f>+Base!$F$8</f>
        <v>200000</v>
      </c>
      <c r="F221" s="1124">
        <f>+Base!$F$11</f>
        <v>700000</v>
      </c>
      <c r="G221" s="1124">
        <f>+Base!$F$14</f>
        <v>0</v>
      </c>
      <c r="H221" s="1124">
        <f>+Base!$F$17</f>
        <v>100000</v>
      </c>
      <c r="I221" s="1124">
        <v>0</v>
      </c>
      <c r="J221" s="321"/>
      <c r="K221" s="321"/>
      <c r="L221" s="92"/>
      <c r="M221" s="86"/>
      <c r="N221" s="223"/>
      <c r="O221" s="212"/>
      <c r="P221" s="212"/>
      <c r="Q221" s="212"/>
      <c r="R221" s="212"/>
      <c r="S221" s="212"/>
      <c r="T221" s="212"/>
      <c r="U221" s="212"/>
      <c r="V221" s="212"/>
      <c r="W221" s="212"/>
      <c r="X221" s="212"/>
      <c r="Y221" s="212"/>
      <c r="Z221" s="212"/>
      <c r="AA221" s="212"/>
      <c r="AB221" s="212"/>
      <c r="AC221" s="212"/>
      <c r="AD221" s="212"/>
      <c r="AE221" s="212"/>
      <c r="AF221" s="212"/>
      <c r="AG221" s="212"/>
      <c r="AH221" s="212"/>
      <c r="AI221" s="212"/>
      <c r="AJ221" s="212"/>
      <c r="AK221" s="212"/>
      <c r="AL221" s="212"/>
      <c r="AM221" s="212"/>
      <c r="AN221" s="212"/>
      <c r="AO221" s="212"/>
      <c r="AP221" s="212"/>
      <c r="AQ221" s="212"/>
      <c r="AR221" s="212"/>
      <c r="AS221" s="212"/>
      <c r="AT221" s="693"/>
    </row>
    <row r="222" spans="1:91" ht="15" hidden="1" customHeight="1">
      <c r="B222" s="112"/>
      <c r="C222" s="1279" t="s">
        <v>706</v>
      </c>
      <c r="D222" s="321"/>
      <c r="E222" s="321"/>
      <c r="F222" s="1124"/>
      <c r="G222" s="1124"/>
      <c r="H222" s="1124"/>
      <c r="I222" s="1124"/>
      <c r="J222" s="321"/>
      <c r="K222" s="321"/>
      <c r="L222" s="92"/>
      <c r="M222" s="86"/>
      <c r="N222" s="223"/>
      <c r="O222" s="212"/>
      <c r="P222" s="212"/>
      <c r="Q222" s="212"/>
      <c r="R222" s="212"/>
      <c r="S222" s="212"/>
      <c r="T222" s="212"/>
      <c r="U222" s="212"/>
      <c r="V222" s="212"/>
      <c r="W222" s="212"/>
      <c r="X222" s="212"/>
      <c r="Y222" s="212"/>
      <c r="Z222" s="212"/>
      <c r="AA222" s="212"/>
      <c r="AB222" s="212"/>
      <c r="AC222" s="212"/>
      <c r="AD222" s="212"/>
      <c r="AE222" s="212"/>
      <c r="AF222" s="212"/>
      <c r="AG222" s="212"/>
      <c r="AH222" s="212"/>
      <c r="AI222" s="212"/>
      <c r="AJ222" s="212"/>
      <c r="AK222" s="212"/>
      <c r="AL222" s="212"/>
      <c r="AM222" s="212"/>
      <c r="AN222" s="212"/>
      <c r="AO222" s="212"/>
      <c r="AP222" s="212"/>
      <c r="AQ222" s="212"/>
      <c r="AR222" s="212"/>
      <c r="AS222" s="212"/>
      <c r="AT222" s="693"/>
    </row>
    <row r="223" spans="1:91" ht="15" hidden="1" customHeight="1">
      <c r="B223" s="366" t="s">
        <v>243</v>
      </c>
      <c r="C223" s="1279" t="s">
        <v>706</v>
      </c>
      <c r="D223" s="366"/>
      <c r="E223" s="321">
        <f>Base!$E$85</f>
        <v>400000</v>
      </c>
      <c r="F223" s="1124"/>
      <c r="G223" s="1124"/>
      <c r="H223" s="1124"/>
      <c r="I223" s="1124"/>
      <c r="J223" s="321"/>
      <c r="K223" s="321"/>
      <c r="L223" s="92"/>
      <c r="M223" s="86"/>
      <c r="N223" s="223"/>
      <c r="O223" s="212"/>
      <c r="P223" s="212"/>
      <c r="Q223" s="212"/>
      <c r="R223" s="212"/>
      <c r="S223" s="212"/>
      <c r="T223" s="212"/>
      <c r="U223" s="212"/>
      <c r="V223" s="212"/>
      <c r="W223" s="212"/>
      <c r="X223" s="212"/>
      <c r="Y223" s="212"/>
      <c r="Z223" s="212"/>
      <c r="AA223" s="212"/>
      <c r="AB223" s="212"/>
      <c r="AC223" s="212"/>
      <c r="AD223" s="212"/>
      <c r="AE223" s="212"/>
      <c r="AF223" s="212"/>
      <c r="AG223" s="212"/>
      <c r="AH223" s="212"/>
      <c r="AI223" s="212"/>
      <c r="AJ223" s="212"/>
      <c r="AK223" s="212"/>
      <c r="AL223" s="212"/>
      <c r="AM223" s="212"/>
      <c r="AN223" s="212"/>
      <c r="AO223" s="212"/>
      <c r="AP223" s="212"/>
      <c r="AQ223" s="212"/>
      <c r="AR223" s="212"/>
      <c r="AS223" s="212"/>
    </row>
    <row r="224" spans="1:91" ht="15" hidden="1" customHeight="1">
      <c r="B224" s="1803" t="s">
        <v>2307</v>
      </c>
      <c r="C224" s="1279" t="s">
        <v>706</v>
      </c>
      <c r="D224" s="366"/>
      <c r="E224" s="321"/>
      <c r="F224" s="1124">
        <f>+Base!E$87+Base!E$98</f>
        <v>58500</v>
      </c>
      <c r="G224" s="1124"/>
      <c r="H224" s="1124"/>
      <c r="I224" s="1124"/>
      <c r="J224" s="321"/>
      <c r="K224" s="321"/>
      <c r="L224" s="92"/>
      <c r="M224" s="86"/>
      <c r="N224" s="223"/>
      <c r="O224" s="212"/>
      <c r="P224" s="212"/>
      <c r="Q224" s="212"/>
      <c r="R224" s="212"/>
      <c r="S224" s="212"/>
      <c r="T224" s="212"/>
      <c r="U224" s="212"/>
      <c r="V224" s="212"/>
      <c r="W224" s="212"/>
      <c r="X224" s="212"/>
      <c r="Y224" s="212"/>
      <c r="Z224" s="212"/>
      <c r="AA224" s="212"/>
      <c r="AB224" s="212"/>
      <c r="AC224" s="212"/>
      <c r="AD224" s="212"/>
      <c r="AE224" s="212"/>
      <c r="AF224" s="212"/>
      <c r="AG224" s="212"/>
      <c r="AH224" s="212"/>
      <c r="AI224" s="212"/>
      <c r="AJ224" s="212"/>
      <c r="AK224" s="212"/>
      <c r="AL224" s="212"/>
      <c r="AM224" s="212"/>
      <c r="AN224" s="212"/>
      <c r="AO224" s="212"/>
      <c r="AP224" s="212"/>
      <c r="AQ224" s="212"/>
      <c r="AR224" s="212"/>
      <c r="AS224" s="212"/>
    </row>
    <row r="225" spans="2:46" ht="15" hidden="1" customHeight="1">
      <c r="B225" s="367" t="s">
        <v>352</v>
      </c>
      <c r="C225" s="1279" t="s">
        <v>706</v>
      </c>
      <c r="D225" s="321"/>
      <c r="E225" s="321">
        <f>-Base!$E$91-Base!$E$99</f>
        <v>402600</v>
      </c>
      <c r="F225" s="1124"/>
      <c r="G225" s="1124"/>
      <c r="H225" s="1124"/>
      <c r="I225" s="1124"/>
      <c r="J225" s="321"/>
      <c r="K225" s="321"/>
      <c r="L225" s="92"/>
      <c r="M225" s="86"/>
      <c r="N225" s="223"/>
      <c r="O225" s="212"/>
      <c r="P225" s="212"/>
      <c r="Q225" s="212"/>
      <c r="R225" s="212"/>
      <c r="S225" s="212"/>
      <c r="T225" s="212"/>
      <c r="U225" s="212"/>
      <c r="V225" s="212"/>
      <c r="W225" s="212"/>
      <c r="X225" s="212"/>
      <c r="Y225" s="212"/>
      <c r="Z225" s="212"/>
      <c r="AA225" s="212"/>
      <c r="AB225" s="212"/>
      <c r="AC225" s="212"/>
      <c r="AD225" s="212"/>
      <c r="AE225" s="212"/>
      <c r="AF225" s="212"/>
      <c r="AG225" s="212"/>
      <c r="AH225" s="212"/>
      <c r="AI225" s="212"/>
      <c r="AJ225" s="212"/>
      <c r="AK225" s="212"/>
      <c r="AL225" s="212"/>
      <c r="AM225" s="212"/>
      <c r="AN225" s="212"/>
      <c r="AO225" s="212"/>
      <c r="AP225" s="212"/>
      <c r="AQ225" s="212"/>
      <c r="AR225" s="212"/>
      <c r="AS225" s="212"/>
    </row>
    <row r="226" spans="2:46" ht="15" hidden="1" customHeight="1">
      <c r="B226" s="367" t="s">
        <v>1182</v>
      </c>
      <c r="C226" s="1279" t="s">
        <v>706</v>
      </c>
      <c r="D226" s="321"/>
      <c r="E226" s="321">
        <f>-Base!$E$94-Base!$E$102</f>
        <v>1017800</v>
      </c>
      <c r="F226" s="1124"/>
      <c r="G226" s="1124"/>
      <c r="H226" s="1124"/>
      <c r="I226" s="1124"/>
      <c r="J226" s="321"/>
      <c r="K226" s="321"/>
      <c r="L226" s="92"/>
      <c r="M226" s="86"/>
      <c r="N226" s="223"/>
      <c r="O226" s="212"/>
      <c r="P226" s="212"/>
      <c r="Q226" s="212"/>
      <c r="R226" s="212"/>
      <c r="S226" s="212"/>
      <c r="T226" s="212"/>
      <c r="U226" s="212"/>
      <c r="V226" s="212"/>
      <c r="W226" s="212"/>
      <c r="X226" s="212"/>
      <c r="Y226" s="212"/>
      <c r="Z226" s="212"/>
      <c r="AA226" s="212"/>
      <c r="AB226" s="212"/>
      <c r="AC226" s="212"/>
      <c r="AD226" s="212"/>
      <c r="AE226" s="212"/>
      <c r="AF226" s="212"/>
      <c r="AG226" s="212"/>
      <c r="AH226" s="212"/>
      <c r="AI226" s="212"/>
      <c r="AJ226" s="212"/>
      <c r="AK226" s="212"/>
      <c r="AL226" s="212"/>
      <c r="AM226" s="212"/>
      <c r="AN226" s="212"/>
      <c r="AO226" s="212"/>
      <c r="AP226" s="212"/>
      <c r="AQ226" s="212"/>
      <c r="AR226" s="212"/>
      <c r="AS226" s="212"/>
    </row>
    <row r="227" spans="2:46" ht="15" hidden="1" customHeight="1">
      <c r="B227" s="367" t="s">
        <v>353</v>
      </c>
      <c r="C227" s="1279" t="s">
        <v>706</v>
      </c>
      <c r="D227" s="321"/>
      <c r="E227" s="321">
        <f>-Base!$E$95-Base!$E$103</f>
        <v>0</v>
      </c>
      <c r="F227" s="1124"/>
      <c r="G227" s="1124"/>
      <c r="H227" s="1124"/>
      <c r="I227" s="1124"/>
      <c r="J227" s="321"/>
      <c r="K227" s="321"/>
      <c r="L227" s="92"/>
      <c r="M227" s="86"/>
      <c r="N227" s="223"/>
      <c r="O227" s="212"/>
      <c r="P227" s="212"/>
      <c r="Q227" s="212"/>
      <c r="R227" s="212"/>
      <c r="S227" s="212"/>
      <c r="T227" s="212"/>
      <c r="U227" s="212"/>
      <c r="V227" s="212"/>
      <c r="W227" s="212"/>
      <c r="X227" s="212"/>
      <c r="Y227" s="212"/>
      <c r="Z227" s="212"/>
      <c r="AA227" s="212"/>
      <c r="AB227" s="212"/>
      <c r="AC227" s="212"/>
      <c r="AD227" s="212"/>
      <c r="AE227" s="212"/>
      <c r="AF227" s="212"/>
      <c r="AG227" s="212"/>
      <c r="AH227" s="212"/>
      <c r="AI227" s="212"/>
      <c r="AJ227" s="212"/>
      <c r="AK227" s="212"/>
      <c r="AL227" s="212"/>
      <c r="AM227" s="212"/>
      <c r="AN227" s="212"/>
      <c r="AO227" s="212"/>
      <c r="AP227" s="212"/>
      <c r="AQ227" s="212"/>
      <c r="AR227" s="212"/>
      <c r="AS227" s="212"/>
    </row>
    <row r="228" spans="2:46" ht="15" hidden="1" customHeight="1">
      <c r="B228" s="369" t="s">
        <v>170</v>
      </c>
      <c r="C228" s="1279" t="s">
        <v>706</v>
      </c>
      <c r="D228" s="321"/>
      <c r="E228" s="321"/>
      <c r="F228" s="1124"/>
      <c r="G228" s="1124">
        <f>+Base!$E$107</f>
        <v>100000</v>
      </c>
      <c r="H228" s="1124"/>
      <c r="I228" s="1124"/>
      <c r="J228" s="321"/>
      <c r="K228" s="321"/>
      <c r="L228" s="92"/>
      <c r="M228" s="86"/>
      <c r="N228" s="223"/>
      <c r="O228" s="212"/>
      <c r="P228" s="212"/>
      <c r="Q228" s="212"/>
      <c r="R228" s="212"/>
      <c r="S228" s="212"/>
      <c r="T228" s="212"/>
      <c r="U228" s="212"/>
      <c r="V228" s="212"/>
      <c r="W228" s="212"/>
      <c r="X228" s="212"/>
      <c r="Y228" s="212"/>
      <c r="Z228" s="212"/>
      <c r="AA228" s="212"/>
      <c r="AB228" s="212"/>
      <c r="AC228" s="212"/>
      <c r="AD228" s="212"/>
      <c r="AE228" s="212"/>
      <c r="AF228" s="212"/>
      <c r="AG228" s="212"/>
      <c r="AH228" s="212"/>
      <c r="AI228" s="212"/>
      <c r="AJ228" s="212"/>
      <c r="AK228" s="212"/>
      <c r="AL228" s="212"/>
      <c r="AM228" s="212"/>
      <c r="AN228" s="212"/>
      <c r="AO228" s="212"/>
      <c r="AP228" s="212"/>
      <c r="AQ228" s="212"/>
      <c r="AR228" s="212"/>
      <c r="AS228" s="212"/>
    </row>
    <row r="229" spans="2:46" ht="15" hidden="1" customHeight="1">
      <c r="B229" s="369" t="s">
        <v>1181</v>
      </c>
      <c r="C229" s="1279" t="s">
        <v>706</v>
      </c>
      <c r="D229" s="321"/>
      <c r="E229" s="321">
        <f>-Base!$E$112</f>
        <v>128700</v>
      </c>
      <c r="F229" s="1124"/>
      <c r="G229" s="1124"/>
      <c r="H229" s="1124"/>
      <c r="I229" s="1124"/>
      <c r="J229" s="321"/>
      <c r="K229" s="321"/>
      <c r="L229" s="92"/>
      <c r="M229" s="86"/>
      <c r="N229" s="223"/>
      <c r="O229" s="212"/>
      <c r="P229" s="212"/>
      <c r="Q229" s="212"/>
      <c r="R229" s="212"/>
      <c r="S229" s="212"/>
      <c r="T229" s="212"/>
      <c r="U229" s="212"/>
      <c r="V229" s="212"/>
      <c r="W229" s="212"/>
      <c r="X229" s="212"/>
      <c r="Y229" s="212"/>
      <c r="Z229" s="212"/>
      <c r="AA229" s="212"/>
      <c r="AB229" s="212"/>
      <c r="AC229" s="212"/>
      <c r="AD229" s="212"/>
      <c r="AE229" s="212"/>
      <c r="AF229" s="212"/>
      <c r="AG229" s="212"/>
      <c r="AH229" s="212"/>
      <c r="AI229" s="212"/>
      <c r="AJ229" s="212"/>
      <c r="AK229" s="212"/>
      <c r="AL229" s="212"/>
      <c r="AM229" s="212"/>
      <c r="AN229" s="212"/>
      <c r="AO229" s="212"/>
      <c r="AP229" s="212"/>
      <c r="AQ229" s="212"/>
      <c r="AR229" s="212"/>
      <c r="AS229" s="212"/>
    </row>
    <row r="230" spans="2:46" ht="15" hidden="1" customHeight="1">
      <c r="B230" s="369" t="s">
        <v>259</v>
      </c>
      <c r="C230" s="1279" t="s">
        <v>706</v>
      </c>
      <c r="D230" s="321"/>
      <c r="E230" s="321">
        <f>-Base!$E$115</f>
        <v>15300</v>
      </c>
      <c r="F230" s="1124"/>
      <c r="G230" s="1124"/>
      <c r="H230" s="1124"/>
      <c r="I230" s="1124"/>
      <c r="J230" s="321"/>
      <c r="K230" s="321"/>
      <c r="L230" s="92"/>
      <c r="M230" s="86"/>
      <c r="N230" s="223"/>
      <c r="O230" s="212"/>
      <c r="P230" s="212"/>
      <c r="Q230" s="212"/>
      <c r="R230" s="212"/>
      <c r="S230" s="212"/>
      <c r="T230" s="212"/>
      <c r="U230" s="212"/>
      <c r="V230" s="212"/>
      <c r="W230" s="212"/>
      <c r="X230" s="212"/>
      <c r="Y230" s="212"/>
      <c r="Z230" s="212"/>
      <c r="AA230" s="212"/>
      <c r="AB230" s="212"/>
      <c r="AC230" s="212"/>
      <c r="AD230" s="212"/>
      <c r="AE230" s="212"/>
      <c r="AF230" s="212"/>
      <c r="AG230" s="212"/>
      <c r="AH230" s="212"/>
      <c r="AI230" s="212"/>
      <c r="AJ230" s="212"/>
      <c r="AK230" s="212"/>
      <c r="AL230" s="212"/>
      <c r="AM230" s="212"/>
      <c r="AN230" s="212"/>
      <c r="AO230" s="212"/>
      <c r="AP230" s="212"/>
      <c r="AQ230" s="212"/>
      <c r="AR230" s="212"/>
      <c r="AS230" s="212"/>
    </row>
    <row r="231" spans="2:46" ht="15" hidden="1" customHeight="1">
      <c r="B231" s="369" t="s">
        <v>359</v>
      </c>
      <c r="C231" s="1279" t="s">
        <v>706</v>
      </c>
      <c r="D231" s="321"/>
      <c r="E231" s="321">
        <f>-Base!$E$118</f>
        <v>0</v>
      </c>
      <c r="F231" s="1124"/>
      <c r="G231" s="1124"/>
      <c r="H231" s="1124"/>
      <c r="I231" s="1124"/>
      <c r="J231" s="321"/>
      <c r="K231" s="321"/>
      <c r="L231" s="92"/>
      <c r="M231" s="86"/>
      <c r="N231" s="223"/>
      <c r="O231" s="212"/>
      <c r="P231" s="212"/>
      <c r="Q231" s="212"/>
      <c r="R231" s="212"/>
      <c r="S231" s="212"/>
      <c r="T231" s="212"/>
      <c r="U231" s="212"/>
      <c r="V231" s="212"/>
      <c r="W231" s="212"/>
      <c r="X231" s="212"/>
      <c r="Y231" s="212"/>
      <c r="Z231" s="212"/>
      <c r="AA231" s="212"/>
      <c r="AB231" s="212"/>
      <c r="AC231" s="212"/>
      <c r="AD231" s="212"/>
      <c r="AE231" s="212"/>
      <c r="AF231" s="212"/>
      <c r="AG231" s="212"/>
      <c r="AH231" s="212"/>
      <c r="AI231" s="212"/>
      <c r="AJ231" s="212"/>
      <c r="AK231" s="212"/>
      <c r="AL231" s="212"/>
      <c r="AM231" s="212"/>
      <c r="AN231" s="212"/>
      <c r="AO231" s="212"/>
      <c r="AP231" s="212"/>
      <c r="AQ231" s="212"/>
      <c r="AR231" s="212"/>
      <c r="AS231" s="212"/>
    </row>
    <row r="232" spans="2:46" ht="15" hidden="1" customHeight="1">
      <c r="B232" s="370" t="s">
        <v>2304</v>
      </c>
      <c r="C232" s="1279" t="s">
        <v>706</v>
      </c>
      <c r="D232" s="321"/>
      <c r="E232" s="321"/>
      <c r="F232" s="1124"/>
      <c r="G232" s="1124"/>
      <c r="H232" s="1124">
        <f>+Base!E$120</f>
        <v>4600</v>
      </c>
      <c r="I232" s="1124"/>
      <c r="J232" s="321"/>
      <c r="K232" s="321"/>
      <c r="L232" s="92"/>
      <c r="M232" s="86"/>
      <c r="N232" s="223"/>
      <c r="O232" s="212"/>
      <c r="P232" s="212"/>
      <c r="Q232" s="212"/>
      <c r="R232" s="212"/>
      <c r="S232" s="212"/>
      <c r="T232" s="212"/>
      <c r="U232" s="212"/>
      <c r="V232" s="212"/>
      <c r="W232" s="212"/>
      <c r="X232" s="212"/>
      <c r="Y232" s="212"/>
      <c r="Z232" s="212"/>
      <c r="AA232" s="212"/>
      <c r="AB232" s="212"/>
      <c r="AC232" s="212"/>
      <c r="AD232" s="212"/>
      <c r="AE232" s="212"/>
      <c r="AF232" s="212"/>
      <c r="AG232" s="212"/>
      <c r="AH232" s="212"/>
      <c r="AI232" s="212"/>
      <c r="AJ232" s="212"/>
      <c r="AK232" s="212"/>
      <c r="AL232" s="212"/>
      <c r="AM232" s="212"/>
      <c r="AN232" s="212"/>
      <c r="AO232" s="212"/>
      <c r="AP232" s="212"/>
      <c r="AQ232" s="212"/>
      <c r="AR232" s="212"/>
      <c r="AS232" s="212"/>
    </row>
    <row r="233" spans="2:46" ht="15" hidden="1" customHeight="1">
      <c r="B233" s="370" t="s">
        <v>1075</v>
      </c>
      <c r="C233" s="1279" t="s">
        <v>706</v>
      </c>
      <c r="D233" s="321"/>
      <c r="E233" s="321">
        <f>-Base!$E$125</f>
        <v>50800</v>
      </c>
      <c r="F233" s="1124"/>
      <c r="G233" s="1124"/>
      <c r="H233" s="1124"/>
      <c r="I233" s="1124"/>
      <c r="J233" s="321"/>
      <c r="K233" s="321"/>
      <c r="L233" s="92"/>
      <c r="M233" s="86"/>
      <c r="N233" s="223"/>
      <c r="O233" s="212"/>
      <c r="P233" s="212"/>
      <c r="Q233" s="212"/>
      <c r="R233" s="212"/>
      <c r="S233" s="212"/>
      <c r="T233" s="212"/>
      <c r="U233" s="212"/>
      <c r="V233" s="212"/>
      <c r="W233" s="212"/>
      <c r="X233" s="212"/>
      <c r="Y233" s="212"/>
      <c r="Z233" s="212"/>
      <c r="AA233" s="212"/>
      <c r="AB233" s="212"/>
      <c r="AC233" s="212"/>
      <c r="AD233" s="212"/>
      <c r="AE233" s="212"/>
      <c r="AF233" s="212"/>
      <c r="AG233" s="212"/>
      <c r="AH233" s="212"/>
      <c r="AI233" s="212"/>
      <c r="AJ233" s="212"/>
      <c r="AK233" s="212"/>
      <c r="AL233" s="212"/>
      <c r="AM233" s="212"/>
      <c r="AN233" s="212"/>
      <c r="AO233" s="212"/>
      <c r="AP233" s="212"/>
      <c r="AQ233" s="212"/>
      <c r="AR233" s="212"/>
      <c r="AS233" s="212"/>
    </row>
    <row r="234" spans="2:46" ht="15" hidden="1" customHeight="1">
      <c r="B234" s="370" t="s">
        <v>2305</v>
      </c>
      <c r="C234" s="1279" t="s">
        <v>706</v>
      </c>
      <c r="D234" s="321"/>
      <c r="E234" s="321">
        <f>-Base!$E$126</f>
        <v>0</v>
      </c>
      <c r="F234" s="1124"/>
      <c r="G234" s="1124"/>
      <c r="H234" s="1124"/>
      <c r="I234" s="1124"/>
      <c r="J234" s="321"/>
      <c r="K234" s="321"/>
      <c r="L234" s="92"/>
      <c r="M234" s="86"/>
      <c r="N234" s="223"/>
      <c r="O234" s="212"/>
      <c r="P234" s="212"/>
      <c r="Q234" s="212"/>
      <c r="R234" s="212"/>
      <c r="S234" s="212"/>
      <c r="T234" s="212"/>
      <c r="U234" s="212"/>
      <c r="V234" s="212"/>
      <c r="W234" s="212"/>
      <c r="X234" s="212"/>
      <c r="Y234" s="212"/>
      <c r="Z234" s="212"/>
      <c r="AA234" s="212"/>
      <c r="AB234" s="212"/>
      <c r="AC234" s="212"/>
      <c r="AD234" s="212"/>
      <c r="AE234" s="212"/>
      <c r="AF234" s="212"/>
      <c r="AG234" s="212"/>
      <c r="AH234" s="212"/>
      <c r="AI234" s="212"/>
      <c r="AJ234" s="212"/>
      <c r="AK234" s="212"/>
      <c r="AL234" s="212"/>
      <c r="AM234" s="212"/>
      <c r="AN234" s="212"/>
      <c r="AO234" s="212"/>
      <c r="AP234" s="212"/>
      <c r="AQ234" s="212"/>
      <c r="AR234" s="212"/>
      <c r="AS234" s="212"/>
    </row>
    <row r="235" spans="2:46" ht="15" hidden="1" customHeight="1">
      <c r="B235" s="370" t="s">
        <v>2306</v>
      </c>
      <c r="C235" s="1279" t="s">
        <v>706</v>
      </c>
      <c r="D235" s="321"/>
      <c r="E235" s="321"/>
      <c r="F235" s="1124"/>
      <c r="G235" s="1124"/>
      <c r="H235" s="1124"/>
      <c r="I235" s="1124"/>
      <c r="J235" s="321"/>
      <c r="K235" s="321"/>
      <c r="L235" s="92"/>
      <c r="M235" s="86"/>
      <c r="N235" s="223"/>
      <c r="O235" s="212"/>
      <c r="P235" s="212"/>
      <c r="Q235" s="212"/>
      <c r="R235" s="212"/>
      <c r="S235" s="212"/>
      <c r="T235" s="212"/>
      <c r="U235" s="212"/>
      <c r="V235" s="212"/>
      <c r="W235" s="212"/>
      <c r="X235" s="212"/>
      <c r="Y235" s="212"/>
      <c r="Z235" s="212"/>
      <c r="AA235" s="212"/>
      <c r="AB235" s="212"/>
      <c r="AC235" s="212"/>
      <c r="AD235" s="212"/>
      <c r="AE235" s="212"/>
      <c r="AF235" s="212"/>
      <c r="AG235" s="212"/>
      <c r="AH235" s="212"/>
      <c r="AI235" s="212"/>
      <c r="AJ235" s="212"/>
      <c r="AK235" s="212"/>
      <c r="AL235" s="212"/>
      <c r="AM235" s="212"/>
      <c r="AN235" s="212"/>
      <c r="AO235" s="212"/>
      <c r="AP235" s="212"/>
      <c r="AQ235" s="212"/>
      <c r="AR235" s="212"/>
      <c r="AS235" s="212"/>
    </row>
    <row r="236" spans="2:46" ht="15" hidden="1" customHeight="1">
      <c r="B236" s="374" t="s">
        <v>1074</v>
      </c>
      <c r="C236" s="1279" t="s">
        <v>706</v>
      </c>
      <c r="D236" s="321"/>
      <c r="E236" s="321"/>
      <c r="F236" s="1124"/>
      <c r="G236" s="1124"/>
      <c r="H236" s="1124"/>
      <c r="I236" s="1124"/>
      <c r="J236" s="321"/>
      <c r="K236" s="321"/>
      <c r="L236" s="92"/>
      <c r="M236" s="86"/>
      <c r="N236" s="223"/>
      <c r="O236" s="212"/>
      <c r="P236" s="212"/>
      <c r="Q236" s="212"/>
      <c r="R236" s="212"/>
      <c r="S236" s="212"/>
      <c r="T236" s="212"/>
      <c r="U236" s="212"/>
      <c r="V236" s="212"/>
      <c r="W236" s="212"/>
      <c r="X236" s="212"/>
      <c r="Y236" s="212"/>
      <c r="Z236" s="212"/>
      <c r="AA236" s="212"/>
      <c r="AB236" s="212"/>
      <c r="AC236" s="212"/>
      <c r="AD236" s="212"/>
      <c r="AE236" s="212"/>
      <c r="AF236" s="212"/>
      <c r="AG236" s="212"/>
      <c r="AH236" s="212"/>
      <c r="AI236" s="212"/>
      <c r="AJ236" s="212"/>
      <c r="AK236" s="212"/>
      <c r="AL236" s="212"/>
      <c r="AM236" s="212"/>
      <c r="AN236" s="212"/>
      <c r="AO236" s="212"/>
      <c r="AP236" s="212"/>
      <c r="AQ236" s="212"/>
      <c r="AR236" s="212"/>
      <c r="AS236" s="212"/>
    </row>
    <row r="237" spans="2:46" ht="15" hidden="1" customHeight="1">
      <c r="B237" s="375" t="s">
        <v>1075</v>
      </c>
      <c r="C237" s="1279" t="s">
        <v>706</v>
      </c>
      <c r="D237" s="321"/>
      <c r="E237" s="321"/>
      <c r="F237" s="1124"/>
      <c r="G237" s="1124"/>
      <c r="H237" s="1124"/>
      <c r="I237" s="1124"/>
      <c r="J237" s="321"/>
      <c r="K237" s="321"/>
      <c r="L237" s="92"/>
      <c r="M237" s="86"/>
      <c r="N237" s="223"/>
      <c r="O237" s="212"/>
      <c r="P237" s="212"/>
      <c r="Q237" s="212"/>
      <c r="R237" s="212"/>
      <c r="S237" s="212"/>
      <c r="T237" s="212"/>
      <c r="U237" s="212"/>
      <c r="V237" s="212"/>
      <c r="W237" s="212"/>
      <c r="X237" s="212"/>
      <c r="Y237" s="212"/>
      <c r="Z237" s="212"/>
      <c r="AA237" s="212"/>
      <c r="AB237" s="212"/>
      <c r="AC237" s="212"/>
      <c r="AD237" s="212"/>
      <c r="AE237" s="212"/>
      <c r="AF237" s="212"/>
      <c r="AG237" s="212"/>
      <c r="AH237" s="212"/>
      <c r="AI237" s="212"/>
      <c r="AJ237" s="212"/>
      <c r="AK237" s="212"/>
      <c r="AL237" s="212"/>
      <c r="AM237" s="212"/>
      <c r="AN237" s="212"/>
      <c r="AO237" s="212"/>
      <c r="AP237" s="212"/>
      <c r="AQ237" s="212"/>
      <c r="AR237" s="212"/>
      <c r="AS237" s="212"/>
    </row>
    <row r="238" spans="2:46" ht="15" hidden="1" customHeight="1">
      <c r="B238" s="372" t="s">
        <v>1076</v>
      </c>
      <c r="C238" s="1279" t="s">
        <v>706</v>
      </c>
      <c r="D238" s="322"/>
      <c r="E238" s="322"/>
      <c r="F238" s="1125"/>
      <c r="G238" s="1125"/>
      <c r="H238" s="1125"/>
      <c r="I238" s="1125"/>
      <c r="J238" s="321"/>
      <c r="K238" s="321"/>
      <c r="L238" s="92"/>
      <c r="M238" s="86"/>
      <c r="N238" s="223"/>
      <c r="O238" s="212"/>
      <c r="P238" s="212"/>
      <c r="Q238" s="212"/>
      <c r="R238" s="212"/>
      <c r="S238" s="212"/>
      <c r="T238" s="212"/>
      <c r="U238" s="212"/>
      <c r="V238" s="212"/>
      <c r="W238" s="212"/>
      <c r="X238" s="212"/>
      <c r="Y238" s="212"/>
      <c r="Z238" s="212"/>
      <c r="AA238" s="212"/>
      <c r="AB238" s="212"/>
      <c r="AC238" s="212"/>
      <c r="AD238" s="212"/>
      <c r="AE238" s="212"/>
      <c r="AF238" s="212"/>
      <c r="AG238" s="212"/>
      <c r="AH238" s="212"/>
      <c r="AI238" s="212"/>
      <c r="AJ238" s="212"/>
      <c r="AK238" s="212"/>
      <c r="AL238" s="212"/>
      <c r="AM238" s="212"/>
      <c r="AN238" s="212"/>
      <c r="AO238" s="212"/>
      <c r="AP238" s="212"/>
      <c r="AQ238" s="212"/>
      <c r="AR238" s="212"/>
      <c r="AS238" s="212"/>
    </row>
    <row r="239" spans="2:46" ht="15" customHeight="1">
      <c r="B239" s="112" t="s">
        <v>460</v>
      </c>
      <c r="C239" s="140"/>
      <c r="D239" s="321">
        <f>SUM(E239:I239)</f>
        <v>2178300</v>
      </c>
      <c r="E239" s="321">
        <f>SUM(E223:E238)</f>
        <v>2015200</v>
      </c>
      <c r="F239" s="1124">
        <f>SUM(F223:F238)</f>
        <v>58500</v>
      </c>
      <c r="G239" s="1124">
        <f>SUM(G223:G238)</f>
        <v>100000</v>
      </c>
      <c r="H239" s="1124">
        <f>SUM(H223:H238)</f>
        <v>4600</v>
      </c>
      <c r="I239" s="1124">
        <f>SUM(I223:I238)</f>
        <v>0</v>
      </c>
      <c r="J239" s="321"/>
      <c r="K239" s="321"/>
      <c r="L239" s="92"/>
      <c r="M239" s="86"/>
      <c r="N239" s="223"/>
      <c r="O239" s="212"/>
      <c r="P239" s="212"/>
      <c r="Q239" s="212"/>
      <c r="R239" s="212"/>
      <c r="S239" s="212"/>
      <c r="T239" s="212"/>
      <c r="U239" s="212"/>
      <c r="V239" s="212"/>
      <c r="W239" s="212"/>
      <c r="X239" s="212"/>
      <c r="Y239" s="212"/>
      <c r="Z239" s="212"/>
      <c r="AA239" s="212"/>
      <c r="AB239" s="212"/>
      <c r="AC239" s="212"/>
      <c r="AD239" s="212"/>
      <c r="AE239" s="212"/>
      <c r="AF239" s="212"/>
      <c r="AG239" s="212"/>
      <c r="AH239" s="212"/>
      <c r="AI239" s="212"/>
      <c r="AJ239" s="212"/>
      <c r="AK239" s="212"/>
      <c r="AL239" s="212"/>
      <c r="AM239" s="212"/>
      <c r="AN239" s="212"/>
      <c r="AO239" s="212"/>
      <c r="AP239" s="212"/>
      <c r="AQ239" s="212"/>
      <c r="AR239" s="212"/>
      <c r="AS239" s="212"/>
      <c r="AT239" s="693"/>
    </row>
    <row r="240" spans="2:46" ht="19.95" hidden="1" customHeight="1">
      <c r="B240" s="371" t="s">
        <v>944</v>
      </c>
      <c r="C240" s="1279" t="s">
        <v>706</v>
      </c>
      <c r="D240" s="321"/>
      <c r="E240" s="321">
        <f>+Base!$E$28</f>
        <v>748900</v>
      </c>
      <c r="F240" s="1124"/>
      <c r="G240" s="1124"/>
      <c r="H240" s="1124"/>
      <c r="I240" s="1124"/>
      <c r="J240" s="321"/>
      <c r="K240" s="321"/>
      <c r="L240" s="92"/>
      <c r="M240" s="86"/>
      <c r="N240" s="223"/>
      <c r="O240" s="212"/>
      <c r="P240" s="212"/>
      <c r="Q240" s="212"/>
      <c r="R240" s="212"/>
      <c r="S240" s="212"/>
      <c r="T240" s="212"/>
      <c r="U240" s="212"/>
      <c r="V240" s="212"/>
      <c r="W240" s="212"/>
      <c r="X240" s="212"/>
      <c r="Y240" s="212"/>
      <c r="Z240" s="212"/>
      <c r="AA240" s="212"/>
      <c r="AB240" s="212"/>
      <c r="AC240" s="212"/>
      <c r="AD240" s="212"/>
      <c r="AE240" s="212"/>
      <c r="AF240" s="212"/>
      <c r="AG240" s="212"/>
      <c r="AH240" s="212"/>
      <c r="AI240" s="212"/>
      <c r="AJ240" s="212"/>
      <c r="AK240" s="212"/>
      <c r="AL240" s="212"/>
      <c r="AM240" s="212"/>
      <c r="AN240" s="212"/>
      <c r="AO240" s="212"/>
      <c r="AP240" s="212"/>
      <c r="AQ240" s="212"/>
      <c r="AR240" s="212"/>
      <c r="AS240" s="212"/>
    </row>
    <row r="241" spans="2:46" ht="15" hidden="1" customHeight="1">
      <c r="B241" s="371" t="s">
        <v>195</v>
      </c>
      <c r="C241" s="1279" t="s">
        <v>706</v>
      </c>
      <c r="D241" s="321"/>
      <c r="E241" s="321">
        <f>+Base!E61</f>
        <v>1516900</v>
      </c>
      <c r="F241" s="1124"/>
      <c r="G241" s="1124"/>
      <c r="H241" s="1124"/>
      <c r="I241" s="1124"/>
      <c r="J241" s="321"/>
      <c r="K241" s="321"/>
      <c r="L241" s="92"/>
      <c r="M241" s="86"/>
      <c r="N241" s="223"/>
      <c r="O241" s="212"/>
      <c r="P241" s="212"/>
      <c r="Q241" s="212"/>
      <c r="R241" s="212"/>
      <c r="S241" s="212"/>
      <c r="T241" s="212"/>
      <c r="U241" s="212"/>
      <c r="V241" s="212"/>
      <c r="W241" s="212"/>
      <c r="X241" s="212"/>
      <c r="Y241" s="212"/>
      <c r="Z241" s="212"/>
      <c r="AA241" s="212"/>
      <c r="AB241" s="212"/>
      <c r="AC241" s="212"/>
      <c r="AD241" s="212"/>
      <c r="AE241" s="212"/>
      <c r="AF241" s="212"/>
      <c r="AG241" s="212"/>
      <c r="AH241" s="212"/>
      <c r="AI241" s="212"/>
      <c r="AJ241" s="212"/>
      <c r="AK241" s="212"/>
      <c r="AL241" s="212"/>
      <c r="AM241" s="212"/>
      <c r="AN241" s="212"/>
      <c r="AO241" s="212"/>
      <c r="AP241" s="212"/>
      <c r="AQ241" s="212"/>
      <c r="AR241" s="212"/>
      <c r="AS241" s="212"/>
    </row>
    <row r="242" spans="2:46" ht="15" hidden="1" customHeight="1">
      <c r="B242" s="457" t="s">
        <v>943</v>
      </c>
      <c r="C242" s="1279" t="s">
        <v>706</v>
      </c>
      <c r="D242" s="321"/>
      <c r="E242" s="321">
        <f>+Base!E70</f>
        <v>549600</v>
      </c>
      <c r="F242" s="1124"/>
      <c r="G242" s="1124"/>
      <c r="H242" s="1124"/>
      <c r="I242" s="1124"/>
      <c r="J242" s="321"/>
      <c r="K242" s="321"/>
      <c r="L242" s="92"/>
      <c r="M242" s="86"/>
      <c r="N242" s="223"/>
      <c r="O242" s="212"/>
      <c r="P242" s="212"/>
      <c r="Q242" s="212"/>
      <c r="R242" s="212"/>
      <c r="S242" s="212"/>
      <c r="T242" s="212"/>
      <c r="U242" s="212"/>
      <c r="V242" s="212"/>
      <c r="W242" s="212"/>
      <c r="X242" s="212"/>
      <c r="Y242" s="212"/>
      <c r="Z242" s="212"/>
      <c r="AA242" s="212"/>
      <c r="AB242" s="212"/>
      <c r="AC242" s="212"/>
      <c r="AD242" s="212"/>
      <c r="AE242" s="212"/>
      <c r="AF242" s="212"/>
      <c r="AG242" s="212"/>
      <c r="AH242" s="212"/>
      <c r="AI242" s="212"/>
      <c r="AJ242" s="212"/>
      <c r="AK242" s="212"/>
      <c r="AL242" s="212"/>
      <c r="AM242" s="212"/>
      <c r="AN242" s="212"/>
      <c r="AO242" s="212"/>
      <c r="AP242" s="212"/>
      <c r="AQ242" s="212"/>
      <c r="AR242" s="212"/>
      <c r="AS242" s="212"/>
    </row>
    <row r="243" spans="2:46" ht="15" hidden="1" customHeight="1">
      <c r="B243" s="510" t="s">
        <v>945</v>
      </c>
      <c r="C243" s="1279" t="s">
        <v>706</v>
      </c>
      <c r="D243" s="321"/>
      <c r="E243" s="321">
        <f>+Base!E62</f>
        <v>144000</v>
      </c>
      <c r="F243" s="1124"/>
      <c r="G243" s="1124"/>
      <c r="H243" s="1124"/>
      <c r="I243" s="1124"/>
      <c r="J243" s="321"/>
      <c r="K243" s="321"/>
      <c r="L243" s="92"/>
      <c r="M243" s="86"/>
      <c r="N243" s="223"/>
      <c r="O243" s="212"/>
      <c r="P243" s="212"/>
      <c r="Q243" s="212"/>
      <c r="R243" s="212"/>
      <c r="S243" s="212"/>
      <c r="T243" s="212"/>
      <c r="U243" s="212"/>
      <c r="V243" s="212"/>
      <c r="W243" s="212"/>
      <c r="X243" s="212"/>
      <c r="Y243" s="212"/>
      <c r="Z243" s="212"/>
      <c r="AA243" s="212"/>
      <c r="AB243" s="212"/>
      <c r="AC243" s="212"/>
      <c r="AD243" s="212"/>
      <c r="AE243" s="212"/>
      <c r="AF243" s="212"/>
      <c r="AG243" s="212"/>
      <c r="AH243" s="212"/>
      <c r="AI243" s="212"/>
      <c r="AJ243" s="212"/>
      <c r="AK243" s="212"/>
      <c r="AL243" s="212"/>
      <c r="AM243" s="212"/>
      <c r="AN243" s="212"/>
      <c r="AO243" s="212"/>
      <c r="AP243" s="212"/>
      <c r="AQ243" s="212"/>
      <c r="AR243" s="212"/>
      <c r="AS243" s="212"/>
    </row>
    <row r="244" spans="2:46" ht="15" hidden="1" customHeight="1">
      <c r="B244" s="367" t="s">
        <v>1535</v>
      </c>
      <c r="C244" s="1279" t="s">
        <v>706</v>
      </c>
      <c r="D244" s="321"/>
      <c r="E244" s="321"/>
      <c r="F244" s="1124">
        <f>+Base!$E$29</f>
        <v>727700</v>
      </c>
      <c r="G244" s="1124"/>
      <c r="H244" s="1124"/>
      <c r="I244" s="1124"/>
      <c r="J244" s="321"/>
      <c r="K244" s="321"/>
      <c r="L244" s="92"/>
      <c r="M244" s="86"/>
      <c r="N244" s="223"/>
      <c r="O244" s="212"/>
      <c r="P244" s="212"/>
      <c r="Q244" s="212"/>
      <c r="R244" s="212"/>
      <c r="S244" s="212"/>
      <c r="T244" s="212"/>
      <c r="U244" s="212"/>
      <c r="V244" s="212"/>
      <c r="W244" s="212"/>
      <c r="X244" s="212"/>
      <c r="Y244" s="212"/>
      <c r="Z244" s="212"/>
      <c r="AA244" s="212"/>
      <c r="AB244" s="212"/>
      <c r="AC244" s="212"/>
      <c r="AD244" s="212"/>
      <c r="AE244" s="212"/>
      <c r="AF244" s="212"/>
      <c r="AG244" s="212"/>
      <c r="AH244" s="212"/>
      <c r="AI244" s="212"/>
      <c r="AJ244" s="212"/>
      <c r="AK244" s="212"/>
      <c r="AL244" s="212"/>
      <c r="AM244" s="212"/>
      <c r="AN244" s="212"/>
      <c r="AO244" s="212"/>
      <c r="AP244" s="212"/>
      <c r="AQ244" s="212"/>
      <c r="AR244" s="212"/>
      <c r="AS244" s="212"/>
    </row>
    <row r="245" spans="2:46" ht="15" hidden="1" customHeight="1">
      <c r="B245" s="367" t="s">
        <v>945</v>
      </c>
      <c r="C245" s="1279" t="s">
        <v>706</v>
      </c>
      <c r="F245" s="1124">
        <f>+Base!$E$63</f>
        <v>0</v>
      </c>
      <c r="G245" s="1124"/>
      <c r="H245" s="1124"/>
      <c r="I245" s="1124"/>
      <c r="J245" s="321"/>
      <c r="K245" s="321"/>
      <c r="L245" s="92"/>
      <c r="M245" s="86"/>
      <c r="N245" s="223"/>
      <c r="O245" s="212"/>
      <c r="P245" s="212"/>
      <c r="Q245" s="212"/>
      <c r="R245" s="212"/>
      <c r="S245" s="212"/>
      <c r="T245" s="212"/>
      <c r="U245" s="212"/>
      <c r="V245" s="212"/>
      <c r="W245" s="212"/>
      <c r="X245" s="212"/>
      <c r="Y245" s="212"/>
      <c r="Z245" s="212"/>
      <c r="AA245" s="212"/>
      <c r="AB245" s="212"/>
      <c r="AC245" s="212"/>
      <c r="AD245" s="212"/>
      <c r="AE245" s="212"/>
      <c r="AF245" s="212"/>
      <c r="AG245" s="212"/>
      <c r="AH245" s="212"/>
      <c r="AI245" s="212"/>
      <c r="AJ245" s="212"/>
      <c r="AK245" s="212"/>
      <c r="AL245" s="212"/>
      <c r="AM245" s="212"/>
      <c r="AN245" s="212"/>
      <c r="AO245" s="212"/>
      <c r="AP245" s="212"/>
      <c r="AQ245" s="212"/>
      <c r="AR245" s="212"/>
      <c r="AS245" s="212"/>
    </row>
    <row r="246" spans="2:46" ht="15" hidden="1" customHeight="1">
      <c r="B246" s="367" t="s">
        <v>1536</v>
      </c>
      <c r="C246" s="1279" t="s">
        <v>706</v>
      </c>
      <c r="F246" s="1124">
        <f>+Base!$E$30</f>
        <v>660000</v>
      </c>
      <c r="G246" s="1124"/>
      <c r="H246" s="1124"/>
      <c r="I246" s="1124"/>
      <c r="J246" s="321"/>
      <c r="K246" s="321"/>
      <c r="L246" s="92"/>
      <c r="M246" s="86"/>
      <c r="N246" s="223"/>
      <c r="O246" s="212"/>
      <c r="P246" s="212"/>
      <c r="Q246" s="212"/>
      <c r="R246" s="212"/>
      <c r="S246" s="212"/>
      <c r="T246" s="212"/>
      <c r="U246" s="212"/>
      <c r="V246" s="212"/>
      <c r="W246" s="212"/>
      <c r="X246" s="212"/>
      <c r="Y246" s="212"/>
      <c r="Z246" s="212"/>
      <c r="AA246" s="212"/>
      <c r="AB246" s="212"/>
      <c r="AC246" s="212"/>
      <c r="AD246" s="212"/>
      <c r="AE246" s="212"/>
      <c r="AF246" s="212"/>
      <c r="AG246" s="212"/>
      <c r="AH246" s="212"/>
      <c r="AI246" s="212"/>
      <c r="AJ246" s="212"/>
      <c r="AK246" s="212"/>
      <c r="AL246" s="212"/>
      <c r="AM246" s="212"/>
      <c r="AN246" s="212"/>
      <c r="AO246" s="212"/>
      <c r="AP246" s="212"/>
      <c r="AQ246" s="212"/>
      <c r="AR246" s="212"/>
      <c r="AS246" s="212"/>
    </row>
    <row r="247" spans="2:46" ht="15" hidden="1" customHeight="1">
      <c r="B247" s="369" t="s">
        <v>1118</v>
      </c>
      <c r="C247" s="1279" t="s">
        <v>706</v>
      </c>
      <c r="D247" s="321"/>
      <c r="E247" s="321"/>
      <c r="F247" s="1124"/>
      <c r="G247" s="1124">
        <f>+Base!$E$32</f>
        <v>12100</v>
      </c>
      <c r="H247" s="1124"/>
      <c r="I247" s="1124"/>
      <c r="J247" s="321"/>
      <c r="K247" s="321"/>
      <c r="L247" s="92"/>
      <c r="M247" s="86"/>
      <c r="N247" s="223"/>
      <c r="O247" s="212"/>
      <c r="P247" s="212"/>
      <c r="Q247" s="212"/>
      <c r="R247" s="212"/>
      <c r="S247" s="212"/>
      <c r="T247" s="212"/>
      <c r="U247" s="212"/>
      <c r="V247" s="212"/>
      <c r="W247" s="212"/>
      <c r="X247" s="212"/>
      <c r="Y247" s="212"/>
      <c r="Z247" s="212"/>
      <c r="AA247" s="212"/>
      <c r="AB247" s="212"/>
      <c r="AC247" s="212"/>
      <c r="AD247" s="212"/>
      <c r="AE247" s="212"/>
      <c r="AF247" s="212"/>
      <c r="AG247" s="212"/>
      <c r="AH247" s="212"/>
      <c r="AI247" s="212"/>
      <c r="AJ247" s="212"/>
      <c r="AK247" s="212"/>
      <c r="AL247" s="212"/>
      <c r="AM247" s="212"/>
      <c r="AN247" s="212"/>
      <c r="AO247" s="212"/>
      <c r="AP247" s="212"/>
      <c r="AQ247" s="212"/>
      <c r="AR247" s="212"/>
      <c r="AS247" s="212"/>
    </row>
    <row r="248" spans="2:46" ht="15" hidden="1" customHeight="1">
      <c r="B248" s="369" t="s">
        <v>1119</v>
      </c>
      <c r="C248" s="1279" t="s">
        <v>706</v>
      </c>
      <c r="F248" s="1124"/>
      <c r="G248" s="1124">
        <f>+Base!$E$33</f>
        <v>31900</v>
      </c>
      <c r="H248" s="1124"/>
      <c r="I248" s="1124"/>
      <c r="J248" s="321"/>
      <c r="K248" s="321"/>
      <c r="L248" s="92"/>
      <c r="M248" s="86"/>
      <c r="N248" s="223"/>
      <c r="O248" s="212"/>
      <c r="P248" s="212"/>
      <c r="Q248" s="212"/>
      <c r="R248" s="212"/>
      <c r="S248" s="212"/>
      <c r="T248" s="212"/>
      <c r="U248" s="212"/>
      <c r="V248" s="212"/>
      <c r="W248" s="212"/>
      <c r="X248" s="212"/>
      <c r="Y248" s="212"/>
      <c r="Z248" s="212"/>
      <c r="AA248" s="212"/>
      <c r="AB248" s="212"/>
      <c r="AC248" s="212"/>
      <c r="AD248" s="212"/>
      <c r="AE248" s="212"/>
      <c r="AF248" s="212"/>
      <c r="AG248" s="212"/>
      <c r="AH248" s="212"/>
      <c r="AI248" s="212"/>
      <c r="AJ248" s="212"/>
      <c r="AK248" s="212"/>
      <c r="AL248" s="212"/>
      <c r="AM248" s="212"/>
      <c r="AN248" s="212"/>
      <c r="AO248" s="212"/>
      <c r="AP248" s="212"/>
      <c r="AQ248" s="212"/>
      <c r="AR248" s="212"/>
      <c r="AS248" s="212"/>
    </row>
    <row r="249" spans="2:46" ht="15" hidden="1" customHeight="1">
      <c r="B249" s="451" t="s">
        <v>760</v>
      </c>
      <c r="C249" s="1279" t="s">
        <v>706</v>
      </c>
      <c r="D249" s="321"/>
      <c r="E249" s="321"/>
      <c r="F249" s="1124"/>
      <c r="G249" s="1124"/>
      <c r="H249" s="1124">
        <f>+Base!$E$35</f>
        <v>349000</v>
      </c>
      <c r="I249" s="1124"/>
      <c r="J249" s="321"/>
      <c r="K249" s="321"/>
      <c r="L249" s="92"/>
      <c r="M249" s="86"/>
      <c r="N249" s="223"/>
      <c r="O249" s="212"/>
      <c r="P249" s="212"/>
      <c r="Q249" s="212"/>
      <c r="R249" s="212"/>
      <c r="S249" s="212"/>
      <c r="T249" s="212"/>
      <c r="U249" s="212"/>
      <c r="V249" s="212"/>
      <c r="W249" s="212"/>
      <c r="X249" s="212"/>
      <c r="Y249" s="212"/>
      <c r="Z249" s="212"/>
      <c r="AA249" s="212"/>
      <c r="AB249" s="212"/>
      <c r="AC249" s="212"/>
      <c r="AD249" s="212"/>
      <c r="AE249" s="212"/>
      <c r="AF249" s="212"/>
      <c r="AG249" s="212"/>
      <c r="AH249" s="212"/>
      <c r="AI249" s="212"/>
      <c r="AJ249" s="212"/>
      <c r="AK249" s="212"/>
      <c r="AL249" s="212"/>
      <c r="AM249" s="212"/>
      <c r="AN249" s="212"/>
      <c r="AO249" s="212"/>
      <c r="AP249" s="212"/>
      <c r="AQ249" s="212"/>
      <c r="AR249" s="212"/>
      <c r="AS249" s="212"/>
    </row>
    <row r="250" spans="2:46" ht="15" hidden="1" customHeight="1">
      <c r="B250" s="451" t="s">
        <v>761</v>
      </c>
      <c r="C250" s="1279" t="s">
        <v>706</v>
      </c>
      <c r="D250" s="321"/>
      <c r="E250" s="321"/>
      <c r="F250" s="1124"/>
      <c r="G250" s="1124"/>
      <c r="H250" s="1124">
        <f>+Base!$E$36</f>
        <v>34900</v>
      </c>
      <c r="I250" s="1124"/>
      <c r="J250" s="321"/>
      <c r="K250" s="321"/>
      <c r="L250" s="92"/>
      <c r="M250" s="86"/>
      <c r="N250" s="223"/>
      <c r="O250" s="212"/>
      <c r="P250" s="212"/>
      <c r="Q250" s="212"/>
      <c r="R250" s="212"/>
      <c r="S250" s="212"/>
      <c r="T250" s="212"/>
      <c r="U250" s="212"/>
      <c r="V250" s="212"/>
      <c r="W250" s="212"/>
      <c r="X250" s="212"/>
      <c r="Y250" s="212"/>
      <c r="Z250" s="212"/>
      <c r="AA250" s="212"/>
      <c r="AB250" s="212"/>
      <c r="AC250" s="212"/>
      <c r="AD250" s="212"/>
      <c r="AE250" s="212"/>
      <c r="AF250" s="212"/>
      <c r="AG250" s="212"/>
      <c r="AH250" s="212"/>
      <c r="AI250" s="212"/>
      <c r="AJ250" s="212"/>
      <c r="AK250" s="212"/>
      <c r="AL250" s="212"/>
      <c r="AM250" s="212"/>
      <c r="AN250" s="212"/>
      <c r="AO250" s="212"/>
      <c r="AP250" s="212"/>
      <c r="AQ250" s="212"/>
      <c r="AR250" s="212"/>
      <c r="AS250" s="212"/>
    </row>
    <row r="251" spans="2:46" ht="15" hidden="1" customHeight="1">
      <c r="B251" s="451" t="s">
        <v>945</v>
      </c>
      <c r="C251" s="1279" t="s">
        <v>706</v>
      </c>
      <c r="D251" s="321"/>
      <c r="E251" s="321"/>
      <c r="F251" s="1124"/>
      <c r="G251" s="1124"/>
      <c r="H251" s="1124">
        <f>+Base!$E$64</f>
        <v>0</v>
      </c>
      <c r="I251" s="1124"/>
      <c r="J251" s="321"/>
      <c r="K251" s="321"/>
      <c r="L251" s="92"/>
      <c r="M251" s="86"/>
      <c r="N251" s="223"/>
      <c r="O251" s="212"/>
      <c r="P251" s="212"/>
      <c r="Q251" s="212"/>
      <c r="R251" s="212"/>
      <c r="S251" s="212"/>
      <c r="T251" s="212"/>
      <c r="U251" s="212"/>
      <c r="V251" s="212"/>
      <c r="W251" s="212"/>
      <c r="X251" s="212"/>
      <c r="Y251" s="212"/>
      <c r="Z251" s="212"/>
      <c r="AA251" s="212"/>
      <c r="AB251" s="212"/>
      <c r="AC251" s="212"/>
      <c r="AD251" s="212"/>
      <c r="AE251" s="212"/>
      <c r="AF251" s="212"/>
      <c r="AG251" s="212"/>
      <c r="AH251" s="212"/>
      <c r="AI251" s="212"/>
      <c r="AJ251" s="212"/>
      <c r="AK251" s="212"/>
      <c r="AL251" s="212"/>
      <c r="AM251" s="212"/>
      <c r="AN251" s="212"/>
      <c r="AO251" s="212"/>
      <c r="AP251" s="212"/>
      <c r="AQ251" s="212"/>
      <c r="AR251" s="212"/>
      <c r="AS251" s="212"/>
    </row>
    <row r="252" spans="2:46" ht="15" hidden="1" customHeight="1">
      <c r="B252" s="374" t="s">
        <v>1074</v>
      </c>
      <c r="C252" s="1279" t="s">
        <v>706</v>
      </c>
      <c r="D252" s="322"/>
      <c r="E252" s="322"/>
      <c r="F252" s="1125"/>
      <c r="G252" s="1125"/>
      <c r="H252" s="1125"/>
      <c r="I252" s="1125"/>
      <c r="J252" s="321"/>
      <c r="K252" s="321"/>
      <c r="L252" s="92"/>
      <c r="M252" s="86"/>
      <c r="N252" s="223"/>
      <c r="O252" s="212"/>
      <c r="P252" s="212"/>
      <c r="Q252" s="212"/>
      <c r="R252" s="212"/>
      <c r="S252" s="212"/>
      <c r="T252" s="212"/>
      <c r="U252" s="212"/>
      <c r="V252" s="212"/>
      <c r="W252" s="212"/>
      <c r="X252" s="212"/>
      <c r="Y252" s="212"/>
      <c r="Z252" s="212"/>
      <c r="AA252" s="212"/>
      <c r="AB252" s="212"/>
      <c r="AC252" s="212"/>
      <c r="AD252" s="212"/>
      <c r="AE252" s="212"/>
      <c r="AF252" s="212"/>
      <c r="AG252" s="212"/>
      <c r="AH252" s="212"/>
      <c r="AI252" s="212"/>
      <c r="AJ252" s="212"/>
      <c r="AK252" s="212"/>
      <c r="AL252" s="212"/>
      <c r="AM252" s="212"/>
      <c r="AN252" s="212"/>
      <c r="AO252" s="212"/>
      <c r="AP252" s="212"/>
      <c r="AQ252" s="212"/>
      <c r="AR252" s="212"/>
      <c r="AS252" s="212"/>
    </row>
    <row r="253" spans="2:46" ht="15" customHeight="1">
      <c r="B253" s="112" t="s">
        <v>461</v>
      </c>
      <c r="C253" s="140"/>
      <c r="D253" s="321">
        <f>SUM(E253:I253)</f>
        <v>4775000</v>
      </c>
      <c r="E253" s="321">
        <f>SUM(E240:E252)</f>
        <v>2959400</v>
      </c>
      <c r="F253" s="1124">
        <f>SUM(F240:F252)</f>
        <v>1387700</v>
      </c>
      <c r="G253" s="1124">
        <f>SUM(G240:G252)</f>
        <v>44000</v>
      </c>
      <c r="H253" s="1124">
        <f>SUM(H240:H252)</f>
        <v>383900</v>
      </c>
      <c r="I253" s="1124">
        <f>SUM(I240:I252)</f>
        <v>0</v>
      </c>
      <c r="J253" s="321"/>
      <c r="K253" s="321"/>
      <c r="L253" s="92"/>
      <c r="M253" s="86"/>
      <c r="N253" s="223"/>
      <c r="O253" s="212"/>
      <c r="P253" s="212"/>
      <c r="Q253" s="212"/>
      <c r="R253" s="212"/>
      <c r="S253" s="212"/>
      <c r="T253" s="212"/>
      <c r="U253" s="212"/>
      <c r="V253" s="212"/>
      <c r="W253" s="212"/>
      <c r="X253" s="212"/>
      <c r="Y253" s="212"/>
      <c r="Z253" s="212"/>
      <c r="AA253" s="212"/>
      <c r="AB253" s="212"/>
      <c r="AC253" s="212"/>
      <c r="AD253" s="212"/>
      <c r="AE253" s="212"/>
      <c r="AF253" s="212"/>
      <c r="AG253" s="212"/>
      <c r="AH253" s="212"/>
      <c r="AI253" s="212"/>
      <c r="AJ253" s="212"/>
      <c r="AK253" s="212"/>
      <c r="AL253" s="212"/>
      <c r="AM253" s="212"/>
      <c r="AN253" s="212"/>
      <c r="AO253" s="212"/>
      <c r="AP253" s="212"/>
      <c r="AQ253" s="212"/>
      <c r="AR253" s="212"/>
      <c r="AS253" s="212"/>
      <c r="AT253" s="693"/>
    </row>
    <row r="254" spans="2:46" ht="19.95" hidden="1" customHeight="1">
      <c r="B254" s="373" t="s">
        <v>481</v>
      </c>
      <c r="C254" s="1279" t="s">
        <v>706</v>
      </c>
      <c r="D254" s="321"/>
      <c r="E254" s="321">
        <f>-Base!$E$146</f>
        <v>-3472600</v>
      </c>
      <c r="F254" s="1124"/>
      <c r="G254" s="1124"/>
      <c r="H254" s="1124"/>
      <c r="I254" s="1124"/>
      <c r="J254" s="321"/>
      <c r="K254" s="321"/>
      <c r="L254" s="92"/>
      <c r="M254" s="86"/>
      <c r="N254" s="223"/>
      <c r="O254" s="212"/>
      <c r="P254" s="212"/>
      <c r="Q254" s="212"/>
      <c r="R254" s="212"/>
      <c r="S254" s="212"/>
      <c r="T254" s="212"/>
      <c r="U254" s="212"/>
      <c r="V254" s="212"/>
      <c r="W254" s="212"/>
      <c r="X254" s="212"/>
      <c r="Y254" s="212"/>
      <c r="Z254" s="212"/>
      <c r="AA254" s="212"/>
      <c r="AB254" s="212"/>
      <c r="AC254" s="212"/>
      <c r="AD254" s="212"/>
      <c r="AE254" s="212"/>
      <c r="AF254" s="212"/>
      <c r="AG254" s="212"/>
      <c r="AH254" s="212"/>
      <c r="AI254" s="212"/>
      <c r="AJ254" s="212"/>
      <c r="AK254" s="212"/>
      <c r="AL254" s="212"/>
      <c r="AM254" s="212"/>
      <c r="AN254" s="212"/>
      <c r="AO254" s="212"/>
      <c r="AP254" s="212"/>
      <c r="AQ254" s="212"/>
      <c r="AR254" s="212"/>
      <c r="AS254" s="212"/>
    </row>
    <row r="255" spans="2:46" ht="19.95" hidden="1" customHeight="1">
      <c r="B255" s="367" t="s">
        <v>1831</v>
      </c>
      <c r="C255" s="1279" t="s">
        <v>706</v>
      </c>
      <c r="D255" s="321"/>
      <c r="E255" s="321">
        <f>+Base!E$74+Base!E$75</f>
        <v>-58500</v>
      </c>
      <c r="F255" s="1124"/>
      <c r="G255" s="1124"/>
      <c r="H255" s="1124"/>
      <c r="I255" s="1124"/>
      <c r="J255" s="321"/>
      <c r="K255" s="321"/>
      <c r="L255" s="92"/>
      <c r="M255" s="86"/>
      <c r="N255" s="223"/>
      <c r="O255" s="212"/>
      <c r="P255" s="212"/>
      <c r="Q255" s="212"/>
      <c r="R255" s="212"/>
      <c r="S255" s="212"/>
      <c r="T255" s="212"/>
      <c r="U255" s="212"/>
      <c r="V255" s="212"/>
      <c r="W255" s="212"/>
      <c r="X255" s="212"/>
      <c r="Y255" s="212"/>
      <c r="Z255" s="212"/>
      <c r="AA255" s="212"/>
      <c r="AB255" s="212"/>
      <c r="AC255" s="212"/>
      <c r="AD255" s="212"/>
      <c r="AE255" s="212"/>
      <c r="AF255" s="212"/>
      <c r="AG255" s="212"/>
      <c r="AH255" s="212"/>
      <c r="AI255" s="212"/>
      <c r="AJ255" s="212"/>
      <c r="AK255" s="212"/>
      <c r="AL255" s="212"/>
      <c r="AM255" s="212"/>
      <c r="AN255" s="212"/>
      <c r="AO255" s="212"/>
      <c r="AP255" s="212"/>
      <c r="AQ255" s="212"/>
      <c r="AR255" s="212"/>
      <c r="AS255" s="212"/>
    </row>
    <row r="256" spans="2:46" ht="15" hidden="1" customHeight="1">
      <c r="B256" s="367" t="s">
        <v>352</v>
      </c>
      <c r="C256" s="1279" t="s">
        <v>706</v>
      </c>
      <c r="D256" s="321"/>
      <c r="E256" s="321"/>
      <c r="F256" s="1124">
        <f>+Base!$E$91+Base!$E$99</f>
        <v>-402600</v>
      </c>
      <c r="G256" s="1124"/>
      <c r="H256" s="1124"/>
      <c r="I256" s="1124"/>
      <c r="J256" s="321"/>
      <c r="K256" s="321"/>
      <c r="L256" s="92"/>
      <c r="M256" s="86"/>
      <c r="N256" s="223"/>
      <c r="O256" s="212"/>
      <c r="P256" s="212"/>
      <c r="Q256" s="212"/>
      <c r="R256" s="212"/>
      <c r="S256" s="212"/>
      <c r="T256" s="212"/>
      <c r="U256" s="212"/>
      <c r="V256" s="212"/>
      <c r="W256" s="212"/>
      <c r="X256" s="212"/>
      <c r="Y256" s="212"/>
      <c r="Z256" s="212"/>
      <c r="AA256" s="212"/>
      <c r="AB256" s="212"/>
      <c r="AC256" s="212"/>
      <c r="AD256" s="212"/>
      <c r="AE256" s="212"/>
      <c r="AF256" s="212"/>
      <c r="AG256" s="212"/>
      <c r="AH256" s="212"/>
      <c r="AI256" s="212"/>
      <c r="AJ256" s="212"/>
      <c r="AK256" s="212"/>
      <c r="AL256" s="212"/>
      <c r="AM256" s="212"/>
      <c r="AN256" s="212"/>
      <c r="AO256" s="212"/>
      <c r="AP256" s="212"/>
      <c r="AQ256" s="212"/>
      <c r="AR256" s="212"/>
      <c r="AS256" s="212"/>
    </row>
    <row r="257" spans="2:46" ht="15" hidden="1" customHeight="1">
      <c r="B257" s="367" t="s">
        <v>360</v>
      </c>
      <c r="C257" s="1279" t="s">
        <v>706</v>
      </c>
      <c r="D257" s="321"/>
      <c r="E257" s="321"/>
      <c r="F257" s="1124">
        <f>+Base!$E$96</f>
        <v>0</v>
      </c>
      <c r="G257" s="1124"/>
      <c r="H257" s="1124"/>
      <c r="I257" s="1124"/>
      <c r="J257" s="321"/>
      <c r="K257" s="321"/>
      <c r="L257" s="92"/>
      <c r="M257" s="86"/>
      <c r="N257" s="223"/>
      <c r="O257" s="212"/>
      <c r="P257" s="212"/>
      <c r="Q257" s="212"/>
      <c r="R257" s="212"/>
      <c r="S257" s="212"/>
      <c r="T257" s="212"/>
      <c r="U257" s="212"/>
      <c r="V257" s="212"/>
      <c r="W257" s="212"/>
      <c r="X257" s="212"/>
      <c r="Y257" s="212"/>
      <c r="Z257" s="212"/>
      <c r="AA257" s="212"/>
      <c r="AB257" s="212"/>
      <c r="AC257" s="212"/>
      <c r="AD257" s="212"/>
      <c r="AE257" s="212"/>
      <c r="AF257" s="212"/>
      <c r="AG257" s="212"/>
      <c r="AH257" s="212"/>
      <c r="AI257" s="212"/>
      <c r="AJ257" s="212"/>
      <c r="AK257" s="212"/>
      <c r="AL257" s="212"/>
      <c r="AM257" s="212"/>
      <c r="AN257" s="212"/>
      <c r="AO257" s="212"/>
      <c r="AP257" s="212"/>
      <c r="AQ257" s="212"/>
      <c r="AR257" s="212"/>
      <c r="AS257" s="212"/>
    </row>
    <row r="258" spans="2:46" ht="15" hidden="1" customHeight="1">
      <c r="B258" s="367" t="s">
        <v>1182</v>
      </c>
      <c r="C258" s="1279" t="s">
        <v>706</v>
      </c>
      <c r="D258" s="321"/>
      <c r="E258" s="321"/>
      <c r="F258" s="1124">
        <f>+Base!$E$94+Base!$E$102</f>
        <v>-1017800</v>
      </c>
      <c r="G258" s="1124"/>
      <c r="H258" s="1124"/>
      <c r="I258" s="1124"/>
      <c r="J258" s="321"/>
      <c r="K258" s="321"/>
      <c r="L258" s="92"/>
      <c r="M258" s="86"/>
      <c r="N258" s="223"/>
      <c r="O258" s="212"/>
      <c r="P258" s="212"/>
      <c r="Q258" s="212"/>
      <c r="R258" s="212"/>
      <c r="S258" s="212"/>
      <c r="T258" s="212"/>
      <c r="U258" s="212"/>
      <c r="V258" s="212"/>
      <c r="W258" s="212"/>
      <c r="X258" s="212"/>
      <c r="Y258" s="212"/>
      <c r="Z258" s="212"/>
      <c r="AA258" s="212"/>
      <c r="AB258" s="212"/>
      <c r="AC258" s="212"/>
      <c r="AD258" s="212"/>
      <c r="AE258" s="212"/>
      <c r="AF258" s="212"/>
      <c r="AG258" s="212"/>
      <c r="AH258" s="212"/>
      <c r="AI258" s="212"/>
      <c r="AJ258" s="212"/>
      <c r="AK258" s="212"/>
      <c r="AL258" s="212"/>
      <c r="AM258" s="212"/>
      <c r="AN258" s="212"/>
      <c r="AO258" s="212"/>
      <c r="AP258" s="212"/>
      <c r="AQ258" s="212"/>
      <c r="AR258" s="212"/>
      <c r="AS258" s="212"/>
    </row>
    <row r="259" spans="2:46" ht="15" hidden="1" customHeight="1">
      <c r="B259" s="368" t="s">
        <v>353</v>
      </c>
      <c r="C259" s="1279" t="s">
        <v>706</v>
      </c>
      <c r="D259" s="321"/>
      <c r="E259" s="321"/>
      <c r="F259" s="1124">
        <f>+Base!$E$95+Base!$E$103</f>
        <v>0</v>
      </c>
      <c r="G259" s="1124"/>
      <c r="H259" s="1124"/>
      <c r="I259" s="1124"/>
      <c r="J259" s="321"/>
      <c r="K259" s="321"/>
      <c r="L259" s="92"/>
      <c r="M259" s="86"/>
      <c r="N259" s="223"/>
      <c r="O259" s="212"/>
      <c r="P259" s="212"/>
      <c r="Q259" s="212"/>
      <c r="R259" s="212"/>
      <c r="S259" s="212"/>
      <c r="T259" s="212"/>
      <c r="U259" s="212"/>
      <c r="V259" s="212"/>
      <c r="W259" s="212"/>
      <c r="X259" s="212"/>
      <c r="Y259" s="212"/>
      <c r="Z259" s="212"/>
      <c r="AA259" s="212"/>
      <c r="AB259" s="212"/>
      <c r="AC259" s="212"/>
      <c r="AD259" s="212"/>
      <c r="AE259" s="212"/>
      <c r="AF259" s="212"/>
      <c r="AG259" s="212"/>
      <c r="AH259" s="212"/>
      <c r="AI259" s="212"/>
      <c r="AJ259" s="212"/>
      <c r="AK259" s="212"/>
      <c r="AL259" s="212"/>
      <c r="AM259" s="212"/>
      <c r="AN259" s="212"/>
      <c r="AO259" s="212"/>
      <c r="AP259" s="212"/>
      <c r="AQ259" s="212"/>
      <c r="AR259" s="212"/>
      <c r="AS259" s="212"/>
    </row>
    <row r="260" spans="2:46" ht="15" hidden="1" customHeight="1">
      <c r="B260" s="369" t="s">
        <v>1181</v>
      </c>
      <c r="C260" s="1279" t="s">
        <v>706</v>
      </c>
      <c r="D260" s="321"/>
      <c r="E260" s="321"/>
      <c r="F260" s="1124"/>
      <c r="G260" s="1124">
        <f>+Base!$E$112</f>
        <v>-128700</v>
      </c>
      <c r="H260" s="1124"/>
      <c r="I260" s="1124"/>
      <c r="J260" s="321"/>
      <c r="K260" s="321"/>
      <c r="L260" s="92"/>
      <c r="M260" s="86"/>
      <c r="N260" s="223"/>
      <c r="O260" s="212"/>
      <c r="P260" s="212"/>
      <c r="Q260" s="212"/>
      <c r="R260" s="212"/>
      <c r="S260" s="212"/>
      <c r="T260" s="212"/>
      <c r="U260" s="212"/>
      <c r="V260" s="212"/>
      <c r="W260" s="212"/>
      <c r="X260" s="212"/>
      <c r="Y260" s="212"/>
      <c r="Z260" s="212"/>
      <c r="AA260" s="212"/>
      <c r="AB260" s="212"/>
      <c r="AC260" s="212"/>
      <c r="AD260" s="212"/>
      <c r="AE260" s="212"/>
      <c r="AF260" s="212"/>
      <c r="AG260" s="212"/>
      <c r="AH260" s="212"/>
      <c r="AI260" s="212"/>
      <c r="AJ260" s="212"/>
      <c r="AK260" s="212"/>
      <c r="AL260" s="212"/>
      <c r="AM260" s="212"/>
      <c r="AN260" s="212"/>
      <c r="AO260" s="212"/>
      <c r="AP260" s="212"/>
      <c r="AQ260" s="212"/>
      <c r="AR260" s="212"/>
      <c r="AS260" s="212"/>
    </row>
    <row r="261" spans="2:46" ht="15" hidden="1" customHeight="1">
      <c r="B261" s="369" t="s">
        <v>259</v>
      </c>
      <c r="C261" s="1279" t="s">
        <v>706</v>
      </c>
      <c r="D261" s="321"/>
      <c r="E261" s="321"/>
      <c r="F261" s="1124"/>
      <c r="G261" s="1124">
        <f>Base!$E$115</f>
        <v>-15300</v>
      </c>
      <c r="H261" s="1124"/>
      <c r="I261" s="1124"/>
      <c r="J261" s="321"/>
      <c r="K261" s="321"/>
      <c r="L261" s="92"/>
      <c r="M261" s="86"/>
      <c r="N261" s="223"/>
      <c r="O261" s="212"/>
      <c r="P261" s="212"/>
      <c r="Q261" s="212"/>
      <c r="R261" s="212"/>
      <c r="S261" s="212"/>
      <c r="T261" s="212"/>
      <c r="U261" s="212"/>
      <c r="V261" s="212"/>
      <c r="W261" s="212"/>
      <c r="X261" s="212"/>
      <c r="Y261" s="212"/>
      <c r="Z261" s="212"/>
      <c r="AA261" s="212"/>
      <c r="AB261" s="212"/>
      <c r="AC261" s="212"/>
      <c r="AD261" s="212"/>
      <c r="AE261" s="212"/>
      <c r="AF261" s="212"/>
      <c r="AG261" s="212"/>
      <c r="AH261" s="212"/>
      <c r="AI261" s="212"/>
      <c r="AJ261" s="212"/>
      <c r="AK261" s="212"/>
      <c r="AL261" s="212"/>
      <c r="AM261" s="212"/>
      <c r="AN261" s="212"/>
      <c r="AO261" s="212"/>
      <c r="AP261" s="212"/>
      <c r="AQ261" s="212"/>
      <c r="AR261" s="212"/>
      <c r="AS261" s="212"/>
    </row>
    <row r="262" spans="2:46" ht="15" hidden="1" customHeight="1">
      <c r="B262" s="369" t="s">
        <v>359</v>
      </c>
      <c r="C262" s="1279" t="s">
        <v>706</v>
      </c>
      <c r="D262" s="321"/>
      <c r="E262" s="321"/>
      <c r="F262" s="1124"/>
      <c r="G262" s="1124">
        <f>+Base!$E$118</f>
        <v>0</v>
      </c>
      <c r="H262" s="1124"/>
      <c r="I262" s="1124"/>
      <c r="J262" s="321"/>
      <c r="K262" s="321"/>
      <c r="L262" s="92"/>
      <c r="M262" s="86"/>
      <c r="N262" s="223"/>
      <c r="O262" s="212"/>
      <c r="P262" s="212"/>
      <c r="Q262" s="212"/>
      <c r="R262" s="212"/>
      <c r="S262" s="212"/>
      <c r="T262" s="212"/>
      <c r="U262" s="212"/>
      <c r="V262" s="212"/>
      <c r="W262" s="212"/>
      <c r="X262" s="212"/>
      <c r="Y262" s="212"/>
      <c r="Z262" s="212"/>
      <c r="AA262" s="212"/>
      <c r="AB262" s="212"/>
      <c r="AC262" s="212"/>
      <c r="AD262" s="212"/>
      <c r="AE262" s="212"/>
      <c r="AF262" s="212"/>
      <c r="AG262" s="212"/>
      <c r="AH262" s="212"/>
      <c r="AI262" s="212"/>
      <c r="AJ262" s="212"/>
      <c r="AK262" s="212"/>
      <c r="AL262" s="212"/>
      <c r="AM262" s="212"/>
      <c r="AN262" s="212"/>
      <c r="AO262" s="212"/>
      <c r="AP262" s="212"/>
      <c r="AQ262" s="212"/>
      <c r="AR262" s="212"/>
      <c r="AS262" s="212"/>
    </row>
    <row r="263" spans="2:46" ht="15" hidden="1" customHeight="1">
      <c r="B263" s="370" t="s">
        <v>2304</v>
      </c>
      <c r="C263" s="1279" t="s">
        <v>706</v>
      </c>
      <c r="D263" s="321"/>
      <c r="E263" s="321">
        <f>-Base!E$120</f>
        <v>-4600</v>
      </c>
      <c r="F263" s="1124"/>
      <c r="G263" s="1124"/>
      <c r="H263" s="1124"/>
      <c r="I263" s="1124"/>
      <c r="J263" s="321"/>
      <c r="K263" s="321"/>
      <c r="L263" s="92"/>
      <c r="M263" s="86"/>
      <c r="N263" s="223"/>
      <c r="O263" s="212"/>
      <c r="P263" s="212"/>
      <c r="Q263" s="212"/>
      <c r="R263" s="212"/>
      <c r="S263" s="212"/>
      <c r="T263" s="212"/>
      <c r="U263" s="212"/>
      <c r="V263" s="212"/>
      <c r="W263" s="212"/>
      <c r="X263" s="212"/>
      <c r="Y263" s="212"/>
      <c r="Z263" s="212"/>
      <c r="AA263" s="212"/>
      <c r="AB263" s="212"/>
      <c r="AC263" s="212"/>
      <c r="AD263" s="212"/>
      <c r="AE263" s="212"/>
      <c r="AF263" s="212"/>
      <c r="AG263" s="212"/>
      <c r="AH263" s="212"/>
      <c r="AI263" s="212"/>
      <c r="AJ263" s="212"/>
      <c r="AK263" s="212"/>
      <c r="AL263" s="212"/>
      <c r="AM263" s="212"/>
      <c r="AN263" s="212"/>
      <c r="AO263" s="212"/>
      <c r="AP263" s="212"/>
      <c r="AQ263" s="212"/>
      <c r="AR263" s="212"/>
      <c r="AS263" s="212"/>
    </row>
    <row r="264" spans="2:46" ht="15" hidden="1" customHeight="1">
      <c r="B264" s="370" t="s">
        <v>1075</v>
      </c>
      <c r="C264" s="1279" t="s">
        <v>706</v>
      </c>
      <c r="D264" s="321"/>
      <c r="E264" s="321"/>
      <c r="F264" s="1124"/>
      <c r="G264" s="1124"/>
      <c r="H264" s="1124">
        <f>+Base!$E$125</f>
        <v>-50800</v>
      </c>
      <c r="I264" s="1124"/>
      <c r="J264" s="321"/>
      <c r="K264" s="321"/>
      <c r="L264" s="92"/>
      <c r="M264" s="86"/>
      <c r="N264" s="223"/>
      <c r="O264" s="212"/>
      <c r="P264" s="212"/>
      <c r="Q264" s="212"/>
      <c r="R264" s="212"/>
      <c r="S264" s="212"/>
      <c r="T264" s="212"/>
      <c r="U264" s="212"/>
      <c r="V264" s="212"/>
      <c r="W264" s="212"/>
      <c r="X264" s="212"/>
      <c r="Y264" s="212"/>
      <c r="Z264" s="212"/>
      <c r="AA264" s="212"/>
      <c r="AB264" s="212"/>
      <c r="AC264" s="212"/>
      <c r="AD264" s="212"/>
      <c r="AE264" s="212"/>
      <c r="AF264" s="212"/>
      <c r="AG264" s="212"/>
      <c r="AH264" s="212"/>
      <c r="AI264" s="212"/>
      <c r="AJ264" s="212"/>
      <c r="AK264" s="212"/>
      <c r="AL264" s="212"/>
      <c r="AM264" s="212"/>
      <c r="AN264" s="212"/>
      <c r="AO264" s="212"/>
      <c r="AP264" s="212"/>
      <c r="AQ264" s="212"/>
      <c r="AR264" s="212"/>
      <c r="AS264" s="212"/>
    </row>
    <row r="265" spans="2:46" ht="15" hidden="1" customHeight="1">
      <c r="B265" s="370" t="s">
        <v>2305</v>
      </c>
      <c r="C265" s="1279" t="s">
        <v>706</v>
      </c>
      <c r="D265" s="321"/>
      <c r="E265" s="321"/>
      <c r="F265" s="1124"/>
      <c r="G265" s="1124"/>
      <c r="H265" s="1124">
        <f>+Base!$E$126</f>
        <v>0</v>
      </c>
      <c r="I265" s="1124"/>
      <c r="J265" s="321"/>
      <c r="K265" s="321"/>
      <c r="L265" s="92"/>
      <c r="M265" s="86"/>
      <c r="N265" s="223"/>
      <c r="O265" s="212"/>
      <c r="P265" s="212"/>
      <c r="Q265" s="212"/>
      <c r="R265" s="212"/>
      <c r="S265" s="212"/>
      <c r="T265" s="212"/>
      <c r="U265" s="212"/>
      <c r="V265" s="212"/>
      <c r="W265" s="212"/>
      <c r="X265" s="212"/>
      <c r="Y265" s="212"/>
      <c r="Z265" s="212"/>
      <c r="AA265" s="212"/>
      <c r="AB265" s="212"/>
      <c r="AC265" s="212"/>
      <c r="AD265" s="212"/>
      <c r="AE265" s="212"/>
      <c r="AF265" s="212"/>
      <c r="AG265" s="212"/>
      <c r="AH265" s="212"/>
      <c r="AI265" s="212"/>
      <c r="AJ265" s="212"/>
      <c r="AK265" s="212"/>
      <c r="AL265" s="212"/>
      <c r="AM265" s="212"/>
      <c r="AN265" s="212"/>
      <c r="AO265" s="212"/>
      <c r="AP265" s="212"/>
      <c r="AQ265" s="212"/>
      <c r="AR265" s="212"/>
      <c r="AS265" s="212"/>
    </row>
    <row r="266" spans="2:46" ht="15" hidden="1" customHeight="1">
      <c r="B266" s="370" t="s">
        <v>2306</v>
      </c>
      <c r="C266" s="1279" t="s">
        <v>706</v>
      </c>
      <c r="D266" s="321"/>
      <c r="E266" s="321"/>
      <c r="F266" s="1124"/>
      <c r="G266" s="1124"/>
      <c r="H266" s="1124">
        <f>+Base!$E$127</f>
        <v>0</v>
      </c>
      <c r="I266" s="1124"/>
      <c r="J266" s="321"/>
      <c r="K266" s="321"/>
      <c r="L266" s="92"/>
      <c r="M266" s="86"/>
      <c r="N266" s="223"/>
      <c r="O266" s="212"/>
      <c r="P266" s="212"/>
      <c r="Q266" s="212"/>
      <c r="R266" s="212"/>
      <c r="S266" s="212"/>
      <c r="T266" s="212"/>
      <c r="U266" s="212"/>
      <c r="V266" s="212"/>
      <c r="W266" s="212"/>
      <c r="X266" s="212"/>
      <c r="Y266" s="212"/>
      <c r="Z266" s="212"/>
      <c r="AA266" s="212"/>
      <c r="AB266" s="212"/>
      <c r="AC266" s="212"/>
      <c r="AD266" s="212"/>
      <c r="AE266" s="212"/>
      <c r="AF266" s="212"/>
      <c r="AG266" s="212"/>
      <c r="AH266" s="212"/>
      <c r="AI266" s="212"/>
      <c r="AJ266" s="212"/>
      <c r="AK266" s="212"/>
      <c r="AL266" s="212"/>
      <c r="AM266" s="212"/>
      <c r="AN266" s="212"/>
      <c r="AO266" s="212"/>
      <c r="AP266" s="212"/>
      <c r="AQ266" s="212"/>
      <c r="AR266" s="212"/>
      <c r="AS266" s="212"/>
    </row>
    <row r="267" spans="2:46" ht="15" hidden="1" customHeight="1">
      <c r="B267" s="374" t="s">
        <v>1074</v>
      </c>
      <c r="C267" s="1279" t="s">
        <v>706</v>
      </c>
      <c r="D267" s="321"/>
      <c r="E267" s="321"/>
      <c r="F267" s="1124"/>
      <c r="G267" s="1124"/>
      <c r="H267" s="1124"/>
      <c r="I267" s="1124"/>
      <c r="J267" s="321"/>
      <c r="K267" s="321"/>
      <c r="L267" s="92"/>
      <c r="M267" s="86"/>
      <c r="N267" s="223"/>
      <c r="O267" s="212"/>
      <c r="P267" s="212"/>
      <c r="Q267" s="212"/>
      <c r="R267" s="212"/>
      <c r="S267" s="212"/>
      <c r="T267" s="212"/>
      <c r="U267" s="212"/>
      <c r="V267" s="212"/>
      <c r="W267" s="212"/>
      <c r="X267" s="212"/>
      <c r="Y267" s="212"/>
      <c r="Z267" s="212"/>
      <c r="AA267" s="212"/>
      <c r="AB267" s="212"/>
      <c r="AC267" s="212"/>
      <c r="AD267" s="212"/>
      <c r="AE267" s="212"/>
      <c r="AF267" s="212"/>
      <c r="AG267" s="212"/>
      <c r="AH267" s="212"/>
      <c r="AI267" s="212"/>
      <c r="AJ267" s="212"/>
      <c r="AK267" s="212"/>
      <c r="AL267" s="212"/>
      <c r="AM267" s="212"/>
      <c r="AN267" s="212"/>
      <c r="AO267" s="212"/>
      <c r="AP267" s="212"/>
      <c r="AQ267" s="212"/>
      <c r="AR267" s="212"/>
      <c r="AS267" s="212"/>
    </row>
    <row r="268" spans="2:46" ht="15" hidden="1" customHeight="1">
      <c r="B268" s="375" t="s">
        <v>1075</v>
      </c>
      <c r="C268" s="1279" t="s">
        <v>706</v>
      </c>
      <c r="D268" s="321"/>
      <c r="E268" s="321"/>
      <c r="F268" s="1124"/>
      <c r="G268" s="1124"/>
      <c r="H268" s="1124"/>
      <c r="I268" s="1124"/>
      <c r="J268" s="321"/>
      <c r="K268" s="321"/>
      <c r="L268" s="92"/>
      <c r="M268" s="86"/>
      <c r="N268" s="223"/>
      <c r="O268" s="212"/>
      <c r="P268" s="212"/>
      <c r="Q268" s="212"/>
      <c r="R268" s="212"/>
      <c r="S268" s="212"/>
      <c r="T268" s="212"/>
      <c r="U268" s="212"/>
      <c r="V268" s="212"/>
      <c r="W268" s="212"/>
      <c r="X268" s="212"/>
      <c r="Y268" s="212"/>
      <c r="Z268" s="212"/>
      <c r="AA268" s="212"/>
      <c r="AB268" s="212"/>
      <c r="AC268" s="212"/>
      <c r="AD268" s="212"/>
      <c r="AE268" s="212"/>
      <c r="AF268" s="212"/>
      <c r="AG268" s="212"/>
      <c r="AH268" s="212"/>
      <c r="AI268" s="212"/>
      <c r="AJ268" s="212"/>
      <c r="AK268" s="212"/>
      <c r="AL268" s="212"/>
      <c r="AM268" s="212"/>
      <c r="AN268" s="212"/>
      <c r="AO268" s="212"/>
      <c r="AP268" s="212"/>
      <c r="AQ268" s="212"/>
      <c r="AR268" s="212"/>
      <c r="AS268" s="212"/>
    </row>
    <row r="269" spans="2:46" ht="15" hidden="1" customHeight="1">
      <c r="B269" s="372" t="s">
        <v>1076</v>
      </c>
      <c r="C269" s="1279" t="s">
        <v>706</v>
      </c>
      <c r="D269" s="321"/>
      <c r="E269" s="321"/>
      <c r="F269" s="1124"/>
      <c r="G269" s="1124"/>
      <c r="H269" s="1124"/>
      <c r="I269" s="1124"/>
      <c r="J269" s="321"/>
      <c r="K269" s="321"/>
      <c r="L269" s="92"/>
      <c r="M269" s="86"/>
      <c r="N269" s="223"/>
      <c r="O269" s="212"/>
      <c r="P269" s="212"/>
      <c r="Q269" s="212"/>
      <c r="R269" s="212"/>
      <c r="S269" s="212"/>
      <c r="T269" s="212"/>
      <c r="U269" s="212"/>
      <c r="V269" s="212"/>
      <c r="W269" s="212"/>
      <c r="X269" s="212"/>
      <c r="Y269" s="212"/>
      <c r="Z269" s="212"/>
      <c r="AA269" s="212"/>
      <c r="AB269" s="212"/>
      <c r="AC269" s="212"/>
      <c r="AD269" s="212"/>
      <c r="AE269" s="212"/>
      <c r="AF269" s="212"/>
      <c r="AG269" s="212"/>
      <c r="AH269" s="212"/>
      <c r="AI269" s="212"/>
      <c r="AJ269" s="212"/>
      <c r="AK269" s="212"/>
      <c r="AL269" s="212"/>
      <c r="AM269" s="212"/>
      <c r="AN269" s="212"/>
      <c r="AO269" s="212"/>
      <c r="AP269" s="212"/>
      <c r="AQ269" s="212"/>
      <c r="AR269" s="212"/>
      <c r="AS269" s="212"/>
    </row>
    <row r="270" spans="2:46" ht="15" hidden="1" customHeight="1">
      <c r="B270" s="722" t="s">
        <v>1205</v>
      </c>
      <c r="C270" s="1279" t="s">
        <v>706</v>
      </c>
      <c r="D270" s="321"/>
      <c r="E270" s="321">
        <f>Base!E137</f>
        <v>-100000</v>
      </c>
      <c r="F270" s="1124"/>
      <c r="G270" s="1124"/>
      <c r="H270" s="1124"/>
      <c r="I270" s="1124"/>
      <c r="J270" s="321"/>
      <c r="K270" s="321"/>
      <c r="L270" s="92"/>
      <c r="M270" s="86"/>
      <c r="N270" s="223"/>
      <c r="O270" s="212"/>
      <c r="P270" s="212"/>
      <c r="Q270" s="212"/>
      <c r="R270" s="212"/>
      <c r="S270" s="212"/>
      <c r="T270" s="212"/>
      <c r="U270" s="212"/>
      <c r="V270" s="212"/>
      <c r="W270" s="212"/>
      <c r="X270" s="212"/>
      <c r="Y270" s="212"/>
      <c r="Z270" s="212"/>
      <c r="AA270" s="212"/>
      <c r="AB270" s="212"/>
      <c r="AC270" s="212"/>
      <c r="AD270" s="212"/>
      <c r="AE270" s="212"/>
      <c r="AF270" s="212"/>
      <c r="AG270" s="212"/>
      <c r="AH270" s="212"/>
      <c r="AI270" s="212"/>
      <c r="AJ270" s="212"/>
      <c r="AK270" s="212"/>
      <c r="AL270" s="212"/>
      <c r="AM270" s="212"/>
      <c r="AN270" s="212"/>
      <c r="AO270" s="212"/>
      <c r="AP270" s="212"/>
      <c r="AQ270" s="212"/>
      <c r="AR270" s="212"/>
      <c r="AS270" s="212"/>
    </row>
    <row r="271" spans="2:46" ht="15" customHeight="1">
      <c r="B271" s="112" t="s">
        <v>462</v>
      </c>
      <c r="C271" s="140"/>
      <c r="D271" s="322">
        <f>SUM(E271:I271)</f>
        <v>-5250900</v>
      </c>
      <c r="E271" s="322">
        <f>SUM(E254:E270)</f>
        <v>-3635700</v>
      </c>
      <c r="F271" s="1125">
        <f>SUM(F254:F270)</f>
        <v>-1420400</v>
      </c>
      <c r="G271" s="1125">
        <f>SUM(G254:G270)</f>
        <v>-144000</v>
      </c>
      <c r="H271" s="1125">
        <f>SUM(H254:H270)</f>
        <v>-50800</v>
      </c>
      <c r="I271" s="1125">
        <f>SUM(I254:I270)</f>
        <v>0</v>
      </c>
      <c r="J271" s="321"/>
      <c r="K271" s="321"/>
      <c r="L271" s="92"/>
      <c r="M271" s="86"/>
      <c r="N271" s="223"/>
      <c r="O271" s="212"/>
      <c r="P271" s="212"/>
      <c r="Q271" s="212"/>
      <c r="R271" s="212"/>
      <c r="S271" s="212"/>
      <c r="T271" s="212"/>
      <c r="U271" s="212"/>
      <c r="V271" s="212"/>
      <c r="W271" s="212"/>
      <c r="X271" s="212"/>
      <c r="Y271" s="212"/>
      <c r="Z271" s="212"/>
      <c r="AA271" s="212"/>
      <c r="AB271" s="212"/>
      <c r="AC271" s="212"/>
      <c r="AD271" s="212"/>
      <c r="AE271" s="212"/>
      <c r="AF271" s="212"/>
      <c r="AG271" s="212"/>
      <c r="AH271" s="212"/>
      <c r="AI271" s="212"/>
      <c r="AJ271" s="212"/>
      <c r="AK271" s="212"/>
      <c r="AL271" s="212"/>
      <c r="AM271" s="212"/>
      <c r="AN271" s="212"/>
      <c r="AO271" s="212"/>
      <c r="AP271" s="212"/>
      <c r="AQ271" s="212"/>
      <c r="AR271" s="212"/>
      <c r="AS271" s="212"/>
      <c r="AT271" s="693"/>
    </row>
    <row r="272" spans="2:46" ht="15" customHeight="1">
      <c r="B272" s="112" t="s">
        <v>1415</v>
      </c>
      <c r="C272" s="140"/>
      <c r="D272" s="321">
        <f t="shared" ref="D272:I272" si="20">+D221+D239+D253+D271</f>
        <v>2702400</v>
      </c>
      <c r="E272" s="321">
        <f t="shared" si="20"/>
        <v>1538900</v>
      </c>
      <c r="F272" s="1124">
        <f t="shared" si="20"/>
        <v>725800</v>
      </c>
      <c r="G272" s="1124">
        <f t="shared" si="20"/>
        <v>0</v>
      </c>
      <c r="H272" s="1124">
        <f t="shared" si="20"/>
        <v>437700</v>
      </c>
      <c r="I272" s="1124">
        <f t="shared" si="20"/>
        <v>0</v>
      </c>
      <c r="J272" s="321"/>
      <c r="K272" s="321"/>
      <c r="L272" s="92"/>
      <c r="M272" s="86"/>
      <c r="N272" s="223"/>
      <c r="O272" s="212"/>
      <c r="P272" s="212"/>
      <c r="Q272" s="212"/>
      <c r="R272" s="212"/>
      <c r="S272" s="212"/>
      <c r="T272" s="212"/>
      <c r="U272" s="212"/>
      <c r="V272" s="212"/>
      <c r="W272" s="212"/>
      <c r="X272" s="212"/>
      <c r="Y272" s="212"/>
      <c r="Z272" s="212"/>
      <c r="AA272" s="212"/>
      <c r="AB272" s="212"/>
      <c r="AC272" s="212"/>
      <c r="AD272" s="212"/>
      <c r="AE272" s="212"/>
      <c r="AF272" s="212"/>
      <c r="AG272" s="212"/>
      <c r="AH272" s="212"/>
      <c r="AI272" s="212"/>
      <c r="AJ272" s="212"/>
      <c r="AK272" s="212"/>
      <c r="AL272" s="212"/>
      <c r="AM272" s="212"/>
      <c r="AN272" s="212"/>
      <c r="AO272" s="212"/>
      <c r="AP272" s="212"/>
      <c r="AQ272" s="212"/>
      <c r="AR272" s="212"/>
      <c r="AS272" s="212"/>
      <c r="AT272" s="693"/>
    </row>
    <row r="273" spans="2:46" ht="15" customHeight="1">
      <c r="B273" s="112"/>
      <c r="C273" s="448" t="str">
        <f ca="1">IF($D272&lt;&gt;Base!$E$19,"Error",".")</f>
        <v>.</v>
      </c>
      <c r="D273" s="448" t="str">
        <f ca="1">IF(D272&lt;&gt;Base!$E$19,D272-Base!$E$19,".")</f>
        <v>.</v>
      </c>
      <c r="E273" s="448" t="str">
        <f ca="1">IF(E272&lt;&gt;Base!$E$8,E272-Base!$E$8,".")</f>
        <v>.</v>
      </c>
      <c r="F273" s="448" t="str">
        <f ca="1">IF(F272&lt;&gt;Base!$E$11,F272-Base!$E$11,".")</f>
        <v>.</v>
      </c>
      <c r="G273" s="448" t="str">
        <f ca="1">IF(G272&lt;&gt;Base!$E$14,G272-Base!$E$14,".")</f>
        <v>.</v>
      </c>
      <c r="H273" s="448" t="str">
        <f ca="1">IF(H272&lt;&gt;Base!$E$17,H272-Base!$E$17,".")</f>
        <v>.</v>
      </c>
      <c r="I273" s="448" t="str">
        <f ca="1">IF(I272&lt;&gt;Base!$E$18,I272-Base!$E$18,".")</f>
        <v>.</v>
      </c>
      <c r="J273" s="321"/>
      <c r="K273" s="321"/>
      <c r="L273" s="92"/>
      <c r="M273" s="86"/>
      <c r="N273" s="223"/>
      <c r="O273" s="212"/>
      <c r="P273" s="212"/>
      <c r="Q273" s="212"/>
      <c r="R273" s="212"/>
      <c r="S273" s="212"/>
      <c r="T273" s="212"/>
      <c r="U273" s="212"/>
      <c r="V273" s="212"/>
      <c r="W273" s="212"/>
      <c r="X273" s="212"/>
      <c r="Y273" s="212"/>
      <c r="Z273" s="212"/>
      <c r="AA273" s="212"/>
      <c r="AB273" s="212"/>
      <c r="AC273" s="212"/>
      <c r="AD273" s="212"/>
      <c r="AE273" s="212"/>
      <c r="AF273" s="212"/>
      <c r="AG273" s="212"/>
      <c r="AH273" s="212"/>
      <c r="AI273" s="212"/>
      <c r="AJ273" s="212"/>
      <c r="AK273" s="212"/>
      <c r="AL273" s="212"/>
      <c r="AM273" s="212"/>
      <c r="AN273" s="212"/>
      <c r="AO273" s="212"/>
      <c r="AP273" s="212"/>
      <c r="AQ273" s="212"/>
      <c r="AR273" s="212"/>
      <c r="AS273" s="212"/>
    </row>
    <row r="274" spans="2:46" ht="15" customHeight="1">
      <c r="B274" s="7" t="s">
        <v>2308</v>
      </c>
      <c r="C274" s="140"/>
      <c r="D274" s="5"/>
      <c r="E274" s="5"/>
      <c r="F274" s="5"/>
      <c r="G274" s="545"/>
      <c r="H274" s="5"/>
      <c r="I274" s="5"/>
      <c r="J274" s="321"/>
      <c r="K274" s="321"/>
      <c r="L274" s="92"/>
      <c r="M274" s="86"/>
      <c r="N274" s="223"/>
      <c r="O274" s="212"/>
      <c r="P274" s="212"/>
      <c r="Q274" s="212"/>
      <c r="R274" s="212"/>
      <c r="S274" s="212"/>
      <c r="T274" s="212"/>
      <c r="U274" s="212"/>
      <c r="V274" s="212"/>
      <c r="W274" s="212"/>
      <c r="X274" s="212"/>
      <c r="Y274" s="212"/>
      <c r="Z274" s="212"/>
      <c r="AA274" s="212"/>
      <c r="AB274" s="212"/>
      <c r="AC274" s="212"/>
      <c r="AD274" s="212"/>
      <c r="AE274" s="212"/>
      <c r="AF274" s="212"/>
      <c r="AG274" s="212"/>
      <c r="AH274" s="212"/>
      <c r="AI274" s="212"/>
      <c r="AJ274" s="212"/>
      <c r="AK274" s="212"/>
      <c r="AL274" s="212"/>
      <c r="AM274" s="212"/>
      <c r="AN274" s="212"/>
      <c r="AO274" s="212"/>
      <c r="AP274" s="212"/>
      <c r="AQ274" s="212"/>
      <c r="AR274" s="212"/>
      <c r="AS274" s="212"/>
      <c r="AT274" s="693"/>
    </row>
    <row r="275" spans="2:46" ht="15" customHeight="1">
      <c r="B275" s="112" t="s">
        <v>1009</v>
      </c>
      <c r="C275" s="140"/>
      <c r="D275" s="1124">
        <f t="shared" ref="D275:I275" si="21">+D29-D221</f>
        <v>0</v>
      </c>
      <c r="E275" s="1124">
        <f t="shared" si="21"/>
        <v>0</v>
      </c>
      <c r="F275" s="1124">
        <f t="shared" si="21"/>
        <v>0</v>
      </c>
      <c r="G275" s="1124">
        <f t="shared" si="21"/>
        <v>0</v>
      </c>
      <c r="H275" s="1124">
        <f t="shared" si="21"/>
        <v>0</v>
      </c>
      <c r="I275" s="1124">
        <f t="shared" si="21"/>
        <v>0</v>
      </c>
      <c r="J275" s="112"/>
      <c r="K275" s="321"/>
      <c r="L275" s="92"/>
      <c r="M275" s="86"/>
      <c r="N275" s="223"/>
      <c r="O275" s="212"/>
      <c r="P275" s="212"/>
      <c r="Q275" s="212"/>
      <c r="R275" s="212"/>
      <c r="S275" s="212"/>
      <c r="T275" s="212"/>
      <c r="U275" s="212"/>
      <c r="V275" s="212"/>
      <c r="W275" s="212"/>
      <c r="X275" s="212"/>
      <c r="Y275" s="212"/>
      <c r="Z275" s="212"/>
      <c r="AA275" s="212"/>
      <c r="AB275" s="212"/>
      <c r="AC275" s="212"/>
      <c r="AD275" s="212"/>
      <c r="AE275" s="212"/>
      <c r="AF275" s="212"/>
      <c r="AG275" s="212"/>
      <c r="AH275" s="212"/>
      <c r="AI275" s="212"/>
      <c r="AJ275" s="212"/>
      <c r="AK275" s="212"/>
      <c r="AL275" s="212"/>
      <c r="AM275" s="212"/>
      <c r="AN275" s="212"/>
      <c r="AO275" s="212"/>
      <c r="AP275" s="212"/>
      <c r="AQ275" s="212"/>
      <c r="AR275" s="212"/>
      <c r="AS275" s="212"/>
      <c r="AT275" s="693"/>
    </row>
    <row r="276" spans="2:46" ht="15" hidden="1" customHeight="1">
      <c r="B276" s="366" t="s">
        <v>243</v>
      </c>
      <c r="C276" s="1279" t="s">
        <v>706</v>
      </c>
      <c r="D276" s="1124">
        <f t="shared" ref="D276:I285" si="22">+D31-D223</f>
        <v>0</v>
      </c>
      <c r="E276" s="1124">
        <f t="shared" si="22"/>
        <v>0</v>
      </c>
      <c r="F276" s="1124">
        <f t="shared" si="22"/>
        <v>0</v>
      </c>
      <c r="G276" s="1124">
        <f t="shared" si="22"/>
        <v>0</v>
      </c>
      <c r="H276" s="1124">
        <f t="shared" si="22"/>
        <v>0</v>
      </c>
      <c r="I276" s="1124">
        <f t="shared" si="22"/>
        <v>0</v>
      </c>
      <c r="J276" s="366"/>
      <c r="K276" s="321"/>
      <c r="L276" s="92"/>
      <c r="M276" s="86"/>
      <c r="N276" s="223"/>
      <c r="O276" s="212"/>
      <c r="P276" s="212"/>
      <c r="Q276" s="212"/>
      <c r="R276" s="212"/>
      <c r="S276" s="212"/>
      <c r="T276" s="212"/>
      <c r="U276" s="212"/>
      <c r="V276" s="212"/>
      <c r="W276" s="212"/>
      <c r="X276" s="212"/>
      <c r="Y276" s="212"/>
      <c r="Z276" s="212"/>
      <c r="AA276" s="212"/>
      <c r="AB276" s="212"/>
      <c r="AC276" s="212"/>
      <c r="AD276" s="212"/>
      <c r="AE276" s="212"/>
      <c r="AF276" s="212"/>
      <c r="AG276" s="212"/>
      <c r="AH276" s="212"/>
      <c r="AI276" s="212"/>
      <c r="AJ276" s="212"/>
      <c r="AK276" s="212"/>
      <c r="AL276" s="212"/>
      <c r="AM276" s="212"/>
      <c r="AN276" s="212"/>
      <c r="AO276" s="212"/>
      <c r="AP276" s="212"/>
      <c r="AQ276" s="212"/>
      <c r="AR276" s="212"/>
      <c r="AS276" s="212"/>
    </row>
    <row r="277" spans="2:46" ht="15" hidden="1" customHeight="1">
      <c r="B277" s="367" t="s">
        <v>1831</v>
      </c>
      <c r="C277" s="1279" t="s">
        <v>706</v>
      </c>
      <c r="D277" s="1124">
        <f t="shared" si="22"/>
        <v>0</v>
      </c>
      <c r="E277" s="1124">
        <f t="shared" si="22"/>
        <v>0</v>
      </c>
      <c r="F277" s="1124">
        <f t="shared" si="22"/>
        <v>0</v>
      </c>
      <c r="G277" s="1124">
        <f t="shared" si="22"/>
        <v>0</v>
      </c>
      <c r="H277" s="1124">
        <f t="shared" si="22"/>
        <v>0</v>
      </c>
      <c r="I277" s="1124">
        <f t="shared" si="22"/>
        <v>0</v>
      </c>
      <c r="J277" s="366"/>
      <c r="K277" s="321"/>
      <c r="L277" s="92"/>
      <c r="M277" s="86"/>
      <c r="N277" s="223"/>
      <c r="O277" s="212"/>
      <c r="P277" s="212"/>
      <c r="Q277" s="212"/>
      <c r="R277" s="212"/>
      <c r="S277" s="212"/>
      <c r="T277" s="212"/>
      <c r="U277" s="212"/>
      <c r="V277" s="212"/>
      <c r="W277" s="212"/>
      <c r="X277" s="212"/>
      <c r="Y277" s="212"/>
      <c r="Z277" s="212"/>
      <c r="AA277" s="212"/>
      <c r="AB277" s="212"/>
      <c r="AC277" s="212"/>
      <c r="AD277" s="212"/>
      <c r="AE277" s="212"/>
      <c r="AF277" s="212"/>
      <c r="AG277" s="212"/>
      <c r="AH277" s="212"/>
      <c r="AI277" s="212"/>
      <c r="AJ277" s="212"/>
      <c r="AK277" s="212"/>
      <c r="AL277" s="212"/>
      <c r="AM277" s="212"/>
      <c r="AN277" s="212"/>
      <c r="AO277" s="212"/>
      <c r="AP277" s="212"/>
      <c r="AQ277" s="212"/>
      <c r="AR277" s="212"/>
      <c r="AS277" s="212"/>
    </row>
    <row r="278" spans="2:46" ht="15" hidden="1" customHeight="1">
      <c r="B278" s="367" t="s">
        <v>352</v>
      </c>
      <c r="C278" s="1279" t="s">
        <v>706</v>
      </c>
      <c r="D278" s="1124">
        <f t="shared" si="22"/>
        <v>0</v>
      </c>
      <c r="E278" s="1124">
        <f t="shared" si="22"/>
        <v>0</v>
      </c>
      <c r="F278" s="1124">
        <f t="shared" si="22"/>
        <v>0</v>
      </c>
      <c r="G278" s="1124">
        <f t="shared" si="22"/>
        <v>0</v>
      </c>
      <c r="H278" s="1124">
        <f t="shared" si="22"/>
        <v>0</v>
      </c>
      <c r="I278" s="1124">
        <f t="shared" si="22"/>
        <v>0</v>
      </c>
      <c r="J278" s="367"/>
      <c r="K278" s="321"/>
      <c r="L278" s="92"/>
      <c r="M278" s="86"/>
      <c r="N278" s="223"/>
      <c r="O278" s="212"/>
      <c r="P278" s="212"/>
      <c r="Q278" s="212"/>
      <c r="R278" s="212"/>
      <c r="S278" s="212"/>
      <c r="T278" s="212"/>
      <c r="U278" s="212"/>
      <c r="V278" s="212"/>
      <c r="W278" s="212"/>
      <c r="X278" s="212"/>
      <c r="Y278" s="212"/>
      <c r="Z278" s="212"/>
      <c r="AA278" s="212"/>
      <c r="AB278" s="212"/>
      <c r="AC278" s="212"/>
      <c r="AD278" s="212"/>
      <c r="AE278" s="212"/>
      <c r="AF278" s="212"/>
      <c r="AG278" s="212"/>
      <c r="AH278" s="212"/>
      <c r="AI278" s="212"/>
      <c r="AJ278" s="212"/>
      <c r="AK278" s="212"/>
      <c r="AL278" s="212"/>
      <c r="AM278" s="212"/>
      <c r="AN278" s="212"/>
      <c r="AO278" s="212"/>
      <c r="AP278" s="212"/>
      <c r="AQ278" s="212"/>
      <c r="AR278" s="212"/>
      <c r="AS278" s="212"/>
    </row>
    <row r="279" spans="2:46" ht="15" hidden="1" customHeight="1">
      <c r="B279" s="367" t="s">
        <v>1182</v>
      </c>
      <c r="C279" s="1279" t="s">
        <v>706</v>
      </c>
      <c r="D279" s="1124">
        <f t="shared" si="22"/>
        <v>0</v>
      </c>
      <c r="E279" s="1124">
        <f t="shared" si="22"/>
        <v>0</v>
      </c>
      <c r="F279" s="1124">
        <f t="shared" si="22"/>
        <v>0</v>
      </c>
      <c r="G279" s="1124">
        <f t="shared" si="22"/>
        <v>0</v>
      </c>
      <c r="H279" s="1124">
        <f t="shared" si="22"/>
        <v>0</v>
      </c>
      <c r="I279" s="1124">
        <f t="shared" si="22"/>
        <v>0</v>
      </c>
      <c r="J279" s="367"/>
      <c r="K279" s="321"/>
      <c r="L279" s="92"/>
      <c r="M279" s="86"/>
      <c r="N279" s="223"/>
      <c r="O279" s="212"/>
      <c r="P279" s="212"/>
      <c r="Q279" s="212"/>
      <c r="R279" s="212"/>
      <c r="S279" s="212"/>
      <c r="T279" s="212"/>
      <c r="U279" s="212"/>
      <c r="V279" s="212"/>
      <c r="W279" s="212"/>
      <c r="X279" s="212"/>
      <c r="Y279" s="212"/>
      <c r="Z279" s="212"/>
      <c r="AA279" s="212"/>
      <c r="AB279" s="212"/>
      <c r="AC279" s="212"/>
      <c r="AD279" s="212"/>
      <c r="AE279" s="212"/>
      <c r="AF279" s="212"/>
      <c r="AG279" s="212"/>
      <c r="AH279" s="212"/>
      <c r="AI279" s="212"/>
      <c r="AJ279" s="212"/>
      <c r="AK279" s="212"/>
      <c r="AL279" s="212"/>
      <c r="AM279" s="212"/>
      <c r="AN279" s="212"/>
      <c r="AO279" s="212"/>
      <c r="AP279" s="212"/>
      <c r="AQ279" s="212"/>
      <c r="AR279" s="212"/>
      <c r="AS279" s="212"/>
    </row>
    <row r="280" spans="2:46" ht="15" hidden="1" customHeight="1">
      <c r="B280" s="367" t="s">
        <v>353</v>
      </c>
      <c r="C280" s="1279" t="s">
        <v>706</v>
      </c>
      <c r="D280" s="1124">
        <f t="shared" si="22"/>
        <v>0</v>
      </c>
      <c r="E280" s="1124">
        <f t="shared" si="22"/>
        <v>0</v>
      </c>
      <c r="F280" s="1124">
        <f t="shared" si="22"/>
        <v>0</v>
      </c>
      <c r="G280" s="1124">
        <f t="shared" si="22"/>
        <v>0</v>
      </c>
      <c r="H280" s="1124">
        <f t="shared" si="22"/>
        <v>0</v>
      </c>
      <c r="I280" s="1124">
        <f t="shared" si="22"/>
        <v>0</v>
      </c>
      <c r="J280" s="367"/>
      <c r="K280" s="321"/>
      <c r="L280" s="92"/>
      <c r="M280" s="86"/>
      <c r="N280" s="223"/>
      <c r="O280" s="212"/>
      <c r="P280" s="212"/>
      <c r="Q280" s="212"/>
      <c r="R280" s="212"/>
      <c r="S280" s="212"/>
      <c r="T280" s="212"/>
      <c r="U280" s="212"/>
      <c r="V280" s="212"/>
      <c r="W280" s="212"/>
      <c r="X280" s="212"/>
      <c r="Y280" s="212"/>
      <c r="Z280" s="212"/>
      <c r="AA280" s="212"/>
      <c r="AB280" s="212"/>
      <c r="AC280" s="212"/>
      <c r="AD280" s="212"/>
      <c r="AE280" s="212"/>
      <c r="AF280" s="212"/>
      <c r="AG280" s="212"/>
      <c r="AH280" s="212"/>
      <c r="AI280" s="212"/>
      <c r="AJ280" s="212"/>
      <c r="AK280" s="212"/>
      <c r="AL280" s="212"/>
      <c r="AM280" s="212"/>
      <c r="AN280" s="212"/>
      <c r="AO280" s="212"/>
      <c r="AP280" s="212"/>
      <c r="AQ280" s="212"/>
      <c r="AR280" s="212"/>
      <c r="AS280" s="212"/>
    </row>
    <row r="281" spans="2:46" ht="15" hidden="1" customHeight="1">
      <c r="B281" s="369" t="s">
        <v>170</v>
      </c>
      <c r="C281" s="1279" t="s">
        <v>706</v>
      </c>
      <c r="D281" s="1124">
        <f t="shared" si="22"/>
        <v>0</v>
      </c>
      <c r="E281" s="1124">
        <f t="shared" si="22"/>
        <v>0</v>
      </c>
      <c r="F281" s="1124">
        <f t="shared" si="22"/>
        <v>0</v>
      </c>
      <c r="G281" s="1124">
        <f t="shared" si="22"/>
        <v>0</v>
      </c>
      <c r="H281" s="1124">
        <f t="shared" si="22"/>
        <v>0</v>
      </c>
      <c r="I281" s="1124">
        <f t="shared" si="22"/>
        <v>0</v>
      </c>
      <c r="J281" s="369"/>
      <c r="K281" s="321"/>
      <c r="L281" s="92"/>
      <c r="M281" s="86"/>
      <c r="N281" s="223"/>
      <c r="O281" s="212"/>
      <c r="P281" s="212"/>
      <c r="Q281" s="212"/>
      <c r="R281" s="212"/>
      <c r="S281" s="212"/>
      <c r="T281" s="212"/>
      <c r="U281" s="212"/>
      <c r="V281" s="212"/>
      <c r="W281" s="212"/>
      <c r="X281" s="212"/>
      <c r="Y281" s="212"/>
      <c r="Z281" s="212"/>
      <c r="AA281" s="212"/>
      <c r="AB281" s="212"/>
      <c r="AC281" s="212"/>
      <c r="AD281" s="212"/>
      <c r="AE281" s="212"/>
      <c r="AF281" s="212"/>
      <c r="AG281" s="212"/>
      <c r="AH281" s="212"/>
      <c r="AI281" s="212"/>
      <c r="AJ281" s="212"/>
      <c r="AK281" s="212"/>
      <c r="AL281" s="212"/>
      <c r="AM281" s="212"/>
      <c r="AN281" s="212"/>
      <c r="AO281" s="212"/>
      <c r="AP281" s="212"/>
      <c r="AQ281" s="212"/>
      <c r="AR281" s="212"/>
      <c r="AS281" s="212"/>
    </row>
    <row r="282" spans="2:46" ht="15" hidden="1" customHeight="1">
      <c r="B282" s="369" t="s">
        <v>1181</v>
      </c>
      <c r="C282" s="1279" t="s">
        <v>706</v>
      </c>
      <c r="D282" s="1124">
        <f t="shared" si="22"/>
        <v>0</v>
      </c>
      <c r="E282" s="1124">
        <f t="shared" si="22"/>
        <v>0</v>
      </c>
      <c r="F282" s="1124">
        <f t="shared" si="22"/>
        <v>0</v>
      </c>
      <c r="G282" s="1124">
        <f t="shared" si="22"/>
        <v>0</v>
      </c>
      <c r="H282" s="1124">
        <f t="shared" si="22"/>
        <v>0</v>
      </c>
      <c r="I282" s="1124">
        <f t="shared" si="22"/>
        <v>0</v>
      </c>
      <c r="J282" s="369"/>
      <c r="K282" s="321"/>
      <c r="L282" s="92"/>
      <c r="M282" s="86"/>
      <c r="N282" s="223"/>
      <c r="O282" s="212"/>
      <c r="P282" s="212"/>
      <c r="Q282" s="212"/>
      <c r="R282" s="212"/>
      <c r="S282" s="212"/>
      <c r="T282" s="212"/>
      <c r="U282" s="212"/>
      <c r="V282" s="212"/>
      <c r="W282" s="212"/>
      <c r="X282" s="212"/>
      <c r="Y282" s="212"/>
      <c r="Z282" s="212"/>
      <c r="AA282" s="212"/>
      <c r="AB282" s="212"/>
      <c r="AC282" s="212"/>
      <c r="AD282" s="212"/>
      <c r="AE282" s="212"/>
      <c r="AF282" s="212"/>
      <c r="AG282" s="212"/>
      <c r="AH282" s="212"/>
      <c r="AI282" s="212"/>
      <c r="AJ282" s="212"/>
      <c r="AK282" s="212"/>
      <c r="AL282" s="212"/>
      <c r="AM282" s="212"/>
      <c r="AN282" s="212"/>
      <c r="AO282" s="212"/>
      <c r="AP282" s="212"/>
      <c r="AQ282" s="212"/>
      <c r="AR282" s="212"/>
      <c r="AS282" s="212"/>
    </row>
    <row r="283" spans="2:46" ht="15" hidden="1" customHeight="1">
      <c r="B283" s="369" t="s">
        <v>259</v>
      </c>
      <c r="C283" s="1279" t="s">
        <v>706</v>
      </c>
      <c r="D283" s="1124">
        <f t="shared" si="22"/>
        <v>0</v>
      </c>
      <c r="E283" s="1124">
        <f t="shared" si="22"/>
        <v>0</v>
      </c>
      <c r="F283" s="1124">
        <f t="shared" si="22"/>
        <v>0</v>
      </c>
      <c r="G283" s="1124">
        <f t="shared" si="22"/>
        <v>0</v>
      </c>
      <c r="H283" s="1124">
        <f t="shared" si="22"/>
        <v>0</v>
      </c>
      <c r="I283" s="1124">
        <f t="shared" si="22"/>
        <v>0</v>
      </c>
      <c r="J283" s="369"/>
      <c r="K283" s="321"/>
      <c r="L283" s="92"/>
      <c r="M283" s="86"/>
      <c r="N283" s="223"/>
      <c r="O283" s="212"/>
      <c r="P283" s="212"/>
      <c r="Q283" s="212"/>
      <c r="R283" s="212"/>
      <c r="S283" s="212"/>
      <c r="T283" s="212"/>
      <c r="U283" s="212"/>
      <c r="V283" s="212"/>
      <c r="W283" s="212"/>
      <c r="X283" s="212"/>
      <c r="Y283" s="212"/>
      <c r="Z283" s="212"/>
      <c r="AA283" s="212"/>
      <c r="AB283" s="212"/>
      <c r="AC283" s="212"/>
      <c r="AD283" s="212"/>
      <c r="AE283" s="212"/>
      <c r="AF283" s="212"/>
      <c r="AG283" s="212"/>
      <c r="AH283" s="212"/>
      <c r="AI283" s="212"/>
      <c r="AJ283" s="212"/>
      <c r="AK283" s="212"/>
      <c r="AL283" s="212"/>
      <c r="AM283" s="212"/>
      <c r="AN283" s="212"/>
      <c r="AO283" s="212"/>
      <c r="AP283" s="212"/>
      <c r="AQ283" s="212"/>
      <c r="AR283" s="212"/>
      <c r="AS283" s="212"/>
    </row>
    <row r="284" spans="2:46" ht="15" hidden="1" customHeight="1">
      <c r="B284" s="369" t="s">
        <v>359</v>
      </c>
      <c r="C284" s="1279" t="s">
        <v>706</v>
      </c>
      <c r="D284" s="1124">
        <f t="shared" si="22"/>
        <v>0</v>
      </c>
      <c r="E284" s="1124">
        <f t="shared" si="22"/>
        <v>0</v>
      </c>
      <c r="F284" s="1124">
        <f t="shared" si="22"/>
        <v>0</v>
      </c>
      <c r="G284" s="1124">
        <f t="shared" si="22"/>
        <v>0</v>
      </c>
      <c r="H284" s="1124">
        <f t="shared" si="22"/>
        <v>0</v>
      </c>
      <c r="I284" s="1124">
        <f t="shared" si="22"/>
        <v>0</v>
      </c>
      <c r="J284" s="369"/>
      <c r="K284" s="321"/>
      <c r="L284" s="92"/>
      <c r="M284" s="86"/>
      <c r="N284" s="223"/>
      <c r="O284" s="212"/>
      <c r="P284" s="212"/>
      <c r="Q284" s="212"/>
      <c r="R284" s="212"/>
      <c r="S284" s="212"/>
      <c r="T284" s="212"/>
      <c r="U284" s="212"/>
      <c r="V284" s="212"/>
      <c r="W284" s="212"/>
      <c r="X284" s="212"/>
      <c r="Y284" s="212"/>
      <c r="Z284" s="212"/>
      <c r="AA284" s="212"/>
      <c r="AB284" s="212"/>
      <c r="AC284" s="212"/>
      <c r="AD284" s="212"/>
      <c r="AE284" s="212"/>
      <c r="AF284" s="212"/>
      <c r="AG284" s="212"/>
      <c r="AH284" s="212"/>
      <c r="AI284" s="212"/>
      <c r="AJ284" s="212"/>
      <c r="AK284" s="212"/>
      <c r="AL284" s="212"/>
      <c r="AM284" s="212"/>
      <c r="AN284" s="212"/>
      <c r="AO284" s="212"/>
      <c r="AP284" s="212"/>
      <c r="AQ284" s="212"/>
      <c r="AR284" s="212"/>
      <c r="AS284" s="212"/>
    </row>
    <row r="285" spans="2:46" ht="15" hidden="1" customHeight="1">
      <c r="B285" s="370" t="s">
        <v>2304</v>
      </c>
      <c r="C285" s="1279" t="s">
        <v>706</v>
      </c>
      <c r="D285" s="1124">
        <f t="shared" si="22"/>
        <v>0</v>
      </c>
      <c r="E285" s="1124">
        <f t="shared" si="22"/>
        <v>0</v>
      </c>
      <c r="F285" s="1124">
        <f t="shared" si="22"/>
        <v>0</v>
      </c>
      <c r="G285" s="1124">
        <f t="shared" si="22"/>
        <v>0</v>
      </c>
      <c r="H285" s="1124">
        <f t="shared" si="22"/>
        <v>0</v>
      </c>
      <c r="I285" s="1124">
        <f t="shared" si="22"/>
        <v>0</v>
      </c>
      <c r="J285" s="369"/>
      <c r="K285" s="321"/>
      <c r="L285" s="92"/>
      <c r="M285" s="86"/>
      <c r="N285" s="223"/>
      <c r="O285" s="212"/>
      <c r="P285" s="212"/>
      <c r="Q285" s="212"/>
      <c r="R285" s="212"/>
      <c r="S285" s="212"/>
      <c r="T285" s="212"/>
      <c r="U285" s="212"/>
      <c r="V285" s="212"/>
      <c r="W285" s="212"/>
      <c r="X285" s="212"/>
      <c r="Y285" s="212"/>
      <c r="Z285" s="212"/>
      <c r="AA285" s="212"/>
      <c r="AB285" s="212"/>
      <c r="AC285" s="212"/>
      <c r="AD285" s="212"/>
      <c r="AE285" s="212"/>
      <c r="AF285" s="212"/>
      <c r="AG285" s="212"/>
      <c r="AH285" s="212"/>
      <c r="AI285" s="212"/>
      <c r="AJ285" s="212"/>
      <c r="AK285" s="212"/>
      <c r="AL285" s="212"/>
      <c r="AM285" s="212"/>
      <c r="AN285" s="212"/>
      <c r="AO285" s="212"/>
      <c r="AP285" s="212"/>
      <c r="AQ285" s="212"/>
      <c r="AR285" s="212"/>
      <c r="AS285" s="212"/>
    </row>
    <row r="286" spans="2:46" ht="15" hidden="1" customHeight="1">
      <c r="B286" s="370" t="s">
        <v>1075</v>
      </c>
      <c r="C286" s="1279" t="s">
        <v>706</v>
      </c>
      <c r="D286" s="1124">
        <f t="shared" ref="D286:I295" si="23">+D41-D233</f>
        <v>0</v>
      </c>
      <c r="E286" s="1124">
        <f t="shared" si="23"/>
        <v>0</v>
      </c>
      <c r="F286" s="1124">
        <f t="shared" si="23"/>
        <v>0</v>
      </c>
      <c r="G286" s="1124">
        <f t="shared" si="23"/>
        <v>0</v>
      </c>
      <c r="H286" s="1124">
        <f t="shared" si="23"/>
        <v>0</v>
      </c>
      <c r="I286" s="1124">
        <f t="shared" si="23"/>
        <v>0</v>
      </c>
      <c r="J286" s="370"/>
      <c r="K286" s="321"/>
      <c r="L286" s="92"/>
      <c r="M286" s="86"/>
      <c r="N286" s="223"/>
      <c r="O286" s="212"/>
      <c r="P286" s="212"/>
      <c r="Q286" s="212"/>
      <c r="R286" s="212"/>
      <c r="S286" s="212"/>
      <c r="T286" s="212"/>
      <c r="U286" s="212"/>
      <c r="V286" s="212"/>
      <c r="W286" s="212"/>
      <c r="X286" s="212"/>
      <c r="Y286" s="212"/>
      <c r="Z286" s="212"/>
      <c r="AA286" s="212"/>
      <c r="AB286" s="212"/>
      <c r="AC286" s="212"/>
      <c r="AD286" s="212"/>
      <c r="AE286" s="212"/>
      <c r="AF286" s="212"/>
      <c r="AG286" s="212"/>
      <c r="AH286" s="212"/>
      <c r="AI286" s="212"/>
      <c r="AJ286" s="212"/>
      <c r="AK286" s="212"/>
      <c r="AL286" s="212"/>
      <c r="AM286" s="212"/>
      <c r="AN286" s="212"/>
      <c r="AO286" s="212"/>
      <c r="AP286" s="212"/>
      <c r="AQ286" s="212"/>
      <c r="AR286" s="212"/>
      <c r="AS286" s="212"/>
    </row>
    <row r="287" spans="2:46" ht="15" hidden="1" customHeight="1">
      <c r="B287" s="370" t="s">
        <v>2305</v>
      </c>
      <c r="C287" s="1279" t="s">
        <v>706</v>
      </c>
      <c r="D287" s="1124">
        <f t="shared" si="23"/>
        <v>0</v>
      </c>
      <c r="E287" s="1124">
        <f t="shared" si="23"/>
        <v>0</v>
      </c>
      <c r="F287" s="1124">
        <f t="shared" si="23"/>
        <v>0</v>
      </c>
      <c r="G287" s="1124">
        <f t="shared" si="23"/>
        <v>0</v>
      </c>
      <c r="H287" s="1124">
        <f t="shared" si="23"/>
        <v>0</v>
      </c>
      <c r="I287" s="1124">
        <f t="shared" si="23"/>
        <v>0</v>
      </c>
      <c r="J287" s="370"/>
      <c r="K287" s="321"/>
      <c r="L287" s="92"/>
      <c r="M287" s="86"/>
      <c r="N287" s="223"/>
      <c r="O287" s="212"/>
      <c r="P287" s="212"/>
      <c r="Q287" s="212"/>
      <c r="R287" s="212"/>
      <c r="S287" s="212"/>
      <c r="T287" s="212"/>
      <c r="U287" s="212"/>
      <c r="V287" s="212"/>
      <c r="W287" s="212"/>
      <c r="X287" s="212"/>
      <c r="Y287" s="212"/>
      <c r="Z287" s="212"/>
      <c r="AA287" s="212"/>
      <c r="AB287" s="212"/>
      <c r="AC287" s="212"/>
      <c r="AD287" s="212"/>
      <c r="AE287" s="212"/>
      <c r="AF287" s="212"/>
      <c r="AG287" s="212"/>
      <c r="AH287" s="212"/>
      <c r="AI287" s="212"/>
      <c r="AJ287" s="212"/>
      <c r="AK287" s="212"/>
      <c r="AL287" s="212"/>
      <c r="AM287" s="212"/>
      <c r="AN287" s="212"/>
      <c r="AO287" s="212"/>
      <c r="AP287" s="212"/>
      <c r="AQ287" s="212"/>
      <c r="AR287" s="212"/>
      <c r="AS287" s="212"/>
    </row>
    <row r="288" spans="2:46" ht="15" hidden="1" customHeight="1">
      <c r="B288" s="370" t="s">
        <v>2306</v>
      </c>
      <c r="C288" s="1279" t="s">
        <v>706</v>
      </c>
      <c r="D288" s="1124">
        <f t="shared" si="23"/>
        <v>0</v>
      </c>
      <c r="E288" s="1124">
        <f t="shared" si="23"/>
        <v>0</v>
      </c>
      <c r="F288" s="1124">
        <f t="shared" si="23"/>
        <v>0</v>
      </c>
      <c r="G288" s="1124">
        <f t="shared" si="23"/>
        <v>0</v>
      </c>
      <c r="H288" s="1124">
        <f t="shared" si="23"/>
        <v>0</v>
      </c>
      <c r="I288" s="1124">
        <f t="shared" si="23"/>
        <v>0</v>
      </c>
      <c r="J288" s="370"/>
      <c r="K288" s="321"/>
      <c r="L288" s="92"/>
      <c r="M288" s="86"/>
      <c r="N288" s="223"/>
      <c r="O288" s="212"/>
      <c r="P288" s="212"/>
      <c r="Q288" s="212"/>
      <c r="R288" s="212"/>
      <c r="S288" s="212"/>
      <c r="T288" s="212"/>
      <c r="U288" s="212"/>
      <c r="V288" s="212"/>
      <c r="W288" s="212"/>
      <c r="X288" s="212"/>
      <c r="Y288" s="212"/>
      <c r="Z288" s="212"/>
      <c r="AA288" s="212"/>
      <c r="AB288" s="212"/>
      <c r="AC288" s="212"/>
      <c r="AD288" s="212"/>
      <c r="AE288" s="212"/>
      <c r="AF288" s="212"/>
      <c r="AG288" s="212"/>
      <c r="AH288" s="212"/>
      <c r="AI288" s="212"/>
      <c r="AJ288" s="212"/>
      <c r="AK288" s="212"/>
      <c r="AL288" s="212"/>
      <c r="AM288" s="212"/>
      <c r="AN288" s="212"/>
      <c r="AO288" s="212"/>
      <c r="AP288" s="212"/>
      <c r="AQ288" s="212"/>
      <c r="AR288" s="212"/>
      <c r="AS288" s="212"/>
    </row>
    <row r="289" spans="2:46" ht="15" hidden="1" customHeight="1">
      <c r="B289" s="374" t="s">
        <v>1074</v>
      </c>
      <c r="C289" s="1279" t="s">
        <v>706</v>
      </c>
      <c r="D289" s="1124">
        <f t="shared" si="23"/>
        <v>0</v>
      </c>
      <c r="E289" s="1124">
        <f t="shared" si="23"/>
        <v>0</v>
      </c>
      <c r="F289" s="1124">
        <f t="shared" si="23"/>
        <v>0</v>
      </c>
      <c r="G289" s="1124">
        <f t="shared" si="23"/>
        <v>0</v>
      </c>
      <c r="H289" s="1124">
        <f t="shared" si="23"/>
        <v>0</v>
      </c>
      <c r="I289" s="1124">
        <f t="shared" si="23"/>
        <v>0</v>
      </c>
      <c r="K289" s="321"/>
      <c r="L289" s="92"/>
      <c r="M289" s="86"/>
      <c r="N289" s="223"/>
      <c r="O289" s="212"/>
      <c r="P289" s="212"/>
      <c r="Q289" s="212"/>
      <c r="R289" s="212"/>
      <c r="S289" s="212"/>
      <c r="T289" s="212"/>
      <c r="U289" s="212"/>
      <c r="V289" s="212"/>
      <c r="W289" s="212"/>
      <c r="X289" s="212"/>
      <c r="Y289" s="212"/>
      <c r="Z289" s="212"/>
      <c r="AA289" s="212"/>
      <c r="AB289" s="212"/>
      <c r="AC289" s="212"/>
      <c r="AD289" s="212"/>
      <c r="AE289" s="212"/>
      <c r="AF289" s="212"/>
      <c r="AG289" s="212"/>
      <c r="AH289" s="212"/>
      <c r="AI289" s="212"/>
      <c r="AJ289" s="212"/>
      <c r="AK289" s="212"/>
      <c r="AL289" s="212"/>
      <c r="AM289" s="212"/>
      <c r="AN289" s="212"/>
      <c r="AO289" s="212"/>
      <c r="AP289" s="212"/>
      <c r="AQ289" s="212"/>
      <c r="AR289" s="212"/>
      <c r="AS289" s="212"/>
    </row>
    <row r="290" spans="2:46" ht="15" hidden="1" customHeight="1">
      <c r="B290" s="375" t="s">
        <v>1075</v>
      </c>
      <c r="C290" s="1279" t="s">
        <v>706</v>
      </c>
      <c r="D290" s="1124">
        <f t="shared" si="23"/>
        <v>0</v>
      </c>
      <c r="E290" s="1124">
        <f t="shared" si="23"/>
        <v>0</v>
      </c>
      <c r="F290" s="1124">
        <f t="shared" si="23"/>
        <v>0</v>
      </c>
      <c r="G290" s="1124">
        <f t="shared" si="23"/>
        <v>0</v>
      </c>
      <c r="H290" s="1124">
        <f t="shared" si="23"/>
        <v>0</v>
      </c>
      <c r="I290" s="1124">
        <f t="shared" si="23"/>
        <v>0</v>
      </c>
      <c r="K290" s="321"/>
      <c r="L290" s="92"/>
      <c r="M290" s="86"/>
      <c r="N290" s="223"/>
      <c r="O290" s="212"/>
      <c r="P290" s="212"/>
      <c r="Q290" s="212"/>
      <c r="R290" s="212"/>
      <c r="S290" s="212"/>
      <c r="T290" s="212"/>
      <c r="U290" s="212"/>
      <c r="V290" s="212"/>
      <c r="W290" s="212"/>
      <c r="X290" s="212"/>
      <c r="Y290" s="212"/>
      <c r="Z290" s="212"/>
      <c r="AA290" s="212"/>
      <c r="AB290" s="212"/>
      <c r="AC290" s="212"/>
      <c r="AD290" s="212"/>
      <c r="AE290" s="212"/>
      <c r="AF290" s="212"/>
      <c r="AG290" s="212"/>
      <c r="AH290" s="212"/>
      <c r="AI290" s="212"/>
      <c r="AJ290" s="212"/>
      <c r="AK290" s="212"/>
      <c r="AL290" s="212"/>
      <c r="AM290" s="212"/>
      <c r="AN290" s="212"/>
      <c r="AO290" s="212"/>
      <c r="AP290" s="212"/>
      <c r="AQ290" s="212"/>
      <c r="AR290" s="212"/>
      <c r="AS290" s="212"/>
    </row>
    <row r="291" spans="2:46" ht="15" hidden="1" customHeight="1">
      <c r="B291" s="372" t="s">
        <v>1076</v>
      </c>
      <c r="C291" s="1279" t="s">
        <v>706</v>
      </c>
      <c r="D291" s="1125">
        <f t="shared" si="23"/>
        <v>0</v>
      </c>
      <c r="E291" s="1125">
        <f t="shared" si="23"/>
        <v>0</v>
      </c>
      <c r="F291" s="1125">
        <f t="shared" si="23"/>
        <v>0</v>
      </c>
      <c r="G291" s="1125">
        <f t="shared" si="23"/>
        <v>0</v>
      </c>
      <c r="H291" s="1125">
        <f t="shared" si="23"/>
        <v>0</v>
      </c>
      <c r="I291" s="1125">
        <f t="shared" si="23"/>
        <v>0</v>
      </c>
      <c r="K291" s="321"/>
      <c r="L291" s="92"/>
      <c r="M291" s="86"/>
      <c r="N291" s="223"/>
      <c r="O291" s="212"/>
      <c r="P291" s="212"/>
      <c r="Q291" s="212"/>
      <c r="R291" s="212"/>
      <c r="S291" s="212"/>
      <c r="T291" s="212"/>
      <c r="U291" s="212"/>
      <c r="V291" s="212"/>
      <c r="W291" s="212"/>
      <c r="X291" s="212"/>
      <c r="Y291" s="212"/>
      <c r="Z291" s="212"/>
      <c r="AA291" s="212"/>
      <c r="AB291" s="212"/>
      <c r="AC291" s="212"/>
      <c r="AD291" s="212"/>
      <c r="AE291" s="212"/>
      <c r="AF291" s="212"/>
      <c r="AG291" s="212"/>
      <c r="AH291" s="212"/>
      <c r="AI291" s="212"/>
      <c r="AJ291" s="212"/>
      <c r="AK291" s="212"/>
      <c r="AL291" s="212"/>
      <c r="AM291" s="212"/>
      <c r="AN291" s="212"/>
      <c r="AO291" s="212"/>
      <c r="AP291" s="212"/>
      <c r="AQ291" s="212"/>
      <c r="AR291" s="212"/>
      <c r="AS291" s="212"/>
    </row>
    <row r="292" spans="2:46" ht="15" customHeight="1">
      <c r="B292" s="112" t="s">
        <v>460</v>
      </c>
      <c r="C292" s="140"/>
      <c r="D292" s="1124">
        <f t="shared" si="23"/>
        <v>0</v>
      </c>
      <c r="E292" s="1124">
        <f t="shared" si="23"/>
        <v>0</v>
      </c>
      <c r="F292" s="1124">
        <f t="shared" si="23"/>
        <v>0</v>
      </c>
      <c r="G292" s="1124">
        <f t="shared" si="23"/>
        <v>0</v>
      </c>
      <c r="H292" s="1124">
        <f t="shared" si="23"/>
        <v>0</v>
      </c>
      <c r="I292" s="1124">
        <f t="shared" si="23"/>
        <v>0</v>
      </c>
      <c r="J292" s="112"/>
      <c r="K292" s="321"/>
      <c r="L292" s="92"/>
      <c r="M292" s="86"/>
      <c r="N292" s="223"/>
      <c r="O292" s="212"/>
      <c r="P292" s="212"/>
      <c r="Q292" s="212"/>
      <c r="R292" s="212"/>
      <c r="S292" s="212"/>
      <c r="T292" s="212"/>
      <c r="U292" s="212"/>
      <c r="V292" s="212"/>
      <c r="W292" s="212"/>
      <c r="X292" s="212"/>
      <c r="Y292" s="212"/>
      <c r="Z292" s="212"/>
      <c r="AA292" s="212"/>
      <c r="AB292" s="212"/>
      <c r="AC292" s="212"/>
      <c r="AD292" s="212"/>
      <c r="AE292" s="212"/>
      <c r="AF292" s="212"/>
      <c r="AG292" s="212"/>
      <c r="AH292" s="212"/>
      <c r="AI292" s="212"/>
      <c r="AJ292" s="212"/>
      <c r="AK292" s="212"/>
      <c r="AL292" s="212"/>
      <c r="AM292" s="212"/>
      <c r="AN292" s="212"/>
      <c r="AO292" s="212"/>
      <c r="AP292" s="212"/>
      <c r="AQ292" s="212"/>
      <c r="AR292" s="212"/>
      <c r="AS292" s="212"/>
      <c r="AT292" s="693"/>
    </row>
    <row r="293" spans="2:46" ht="19.95" hidden="1" customHeight="1">
      <c r="B293" s="371" t="s">
        <v>944</v>
      </c>
      <c r="C293" s="1279" t="s">
        <v>706</v>
      </c>
      <c r="D293" s="1124">
        <f t="shared" si="23"/>
        <v>0</v>
      </c>
      <c r="E293" s="1124">
        <f t="shared" si="23"/>
        <v>0</v>
      </c>
      <c r="F293" s="1124">
        <f t="shared" si="23"/>
        <v>0</v>
      </c>
      <c r="G293" s="1124">
        <f t="shared" si="23"/>
        <v>0</v>
      </c>
      <c r="H293" s="1124">
        <f t="shared" si="23"/>
        <v>0</v>
      </c>
      <c r="I293" s="1124">
        <f t="shared" si="23"/>
        <v>0</v>
      </c>
      <c r="J293" s="371"/>
      <c r="K293" s="321"/>
      <c r="L293" s="92"/>
      <c r="M293" s="86"/>
      <c r="N293" s="223"/>
      <c r="O293" s="212"/>
      <c r="P293" s="212"/>
      <c r="Q293" s="212"/>
      <c r="R293" s="212"/>
      <c r="S293" s="212"/>
      <c r="T293" s="212"/>
      <c r="U293" s="212"/>
      <c r="V293" s="212"/>
      <c r="W293" s="212"/>
      <c r="X293" s="212"/>
      <c r="Y293" s="212"/>
      <c r="Z293" s="212"/>
      <c r="AA293" s="212"/>
      <c r="AB293" s="212"/>
      <c r="AC293" s="212"/>
      <c r="AD293" s="212"/>
      <c r="AE293" s="212"/>
      <c r="AF293" s="212"/>
      <c r="AG293" s="212"/>
      <c r="AH293" s="212"/>
      <c r="AI293" s="212"/>
      <c r="AJ293" s="212"/>
      <c r="AK293" s="212"/>
      <c r="AL293" s="212"/>
      <c r="AM293" s="212"/>
      <c r="AN293" s="212"/>
      <c r="AO293" s="212"/>
      <c r="AP293" s="212"/>
      <c r="AQ293" s="212"/>
      <c r="AR293" s="212"/>
      <c r="AS293" s="212"/>
    </row>
    <row r="294" spans="2:46" ht="15" hidden="1" customHeight="1">
      <c r="B294" s="371" t="s">
        <v>195</v>
      </c>
      <c r="C294" s="1279" t="s">
        <v>706</v>
      </c>
      <c r="D294" s="1124">
        <f t="shared" si="23"/>
        <v>0</v>
      </c>
      <c r="E294" s="1124">
        <f t="shared" si="23"/>
        <v>0</v>
      </c>
      <c r="F294" s="1124">
        <f t="shared" si="23"/>
        <v>0</v>
      </c>
      <c r="G294" s="1124">
        <f t="shared" si="23"/>
        <v>0</v>
      </c>
      <c r="H294" s="1124">
        <f t="shared" si="23"/>
        <v>0</v>
      </c>
      <c r="I294" s="1124">
        <f t="shared" si="23"/>
        <v>0</v>
      </c>
      <c r="J294" s="371"/>
      <c r="K294" s="321"/>
      <c r="L294" s="92"/>
      <c r="M294" s="86"/>
      <c r="N294" s="223"/>
      <c r="O294" s="212"/>
      <c r="P294" s="212"/>
      <c r="Q294" s="212"/>
      <c r="R294" s="212"/>
      <c r="S294" s="212"/>
      <c r="T294" s="212"/>
      <c r="U294" s="212"/>
      <c r="V294" s="212"/>
      <c r="W294" s="212"/>
      <c r="X294" s="212"/>
      <c r="Y294" s="212"/>
      <c r="Z294" s="212"/>
      <c r="AA294" s="212"/>
      <c r="AB294" s="212"/>
      <c r="AC294" s="212"/>
      <c r="AD294" s="212"/>
      <c r="AE294" s="212"/>
      <c r="AF294" s="212"/>
      <c r="AG294" s="212"/>
      <c r="AH294" s="212"/>
      <c r="AI294" s="212"/>
      <c r="AJ294" s="212"/>
      <c r="AK294" s="212"/>
      <c r="AL294" s="212"/>
      <c r="AM294" s="212"/>
      <c r="AN294" s="212"/>
      <c r="AO294" s="212"/>
      <c r="AP294" s="212"/>
      <c r="AQ294" s="212"/>
      <c r="AR294" s="212"/>
      <c r="AS294" s="212"/>
    </row>
    <row r="295" spans="2:46" ht="15" hidden="1" customHeight="1">
      <c r="B295" s="457" t="s">
        <v>943</v>
      </c>
      <c r="C295" s="1279" t="s">
        <v>706</v>
      </c>
      <c r="D295" s="1124">
        <f t="shared" si="23"/>
        <v>0</v>
      </c>
      <c r="E295" s="1124">
        <f t="shared" si="23"/>
        <v>0</v>
      </c>
      <c r="F295" s="1124">
        <f t="shared" si="23"/>
        <v>0</v>
      </c>
      <c r="G295" s="1124">
        <f t="shared" si="23"/>
        <v>0</v>
      </c>
      <c r="H295" s="1124">
        <f t="shared" si="23"/>
        <v>0</v>
      </c>
      <c r="I295" s="1124">
        <f t="shared" si="23"/>
        <v>0</v>
      </c>
      <c r="J295" s="457"/>
      <c r="K295" s="321"/>
      <c r="L295" s="92"/>
      <c r="M295" s="86"/>
      <c r="N295" s="223"/>
      <c r="O295" s="212"/>
      <c r="P295" s="212"/>
      <c r="Q295" s="212"/>
      <c r="R295" s="212"/>
      <c r="S295" s="212"/>
      <c r="T295" s="212"/>
      <c r="U295" s="212"/>
      <c r="V295" s="212"/>
      <c r="W295" s="212"/>
      <c r="X295" s="212"/>
      <c r="Y295" s="212"/>
      <c r="Z295" s="212"/>
      <c r="AA295" s="212"/>
      <c r="AB295" s="212"/>
      <c r="AC295" s="212"/>
      <c r="AD295" s="212"/>
      <c r="AE295" s="212"/>
      <c r="AF295" s="212"/>
      <c r="AG295" s="212"/>
      <c r="AH295" s="212"/>
      <c r="AI295" s="212"/>
      <c r="AJ295" s="212"/>
      <c r="AK295" s="212"/>
      <c r="AL295" s="212"/>
      <c r="AM295" s="212"/>
      <c r="AN295" s="212"/>
      <c r="AO295" s="212"/>
      <c r="AP295" s="212"/>
      <c r="AQ295" s="212"/>
      <c r="AR295" s="212"/>
      <c r="AS295" s="212"/>
    </row>
    <row r="296" spans="2:46" ht="15" hidden="1" customHeight="1">
      <c r="B296" s="510" t="s">
        <v>945</v>
      </c>
      <c r="C296" s="1279" t="s">
        <v>706</v>
      </c>
      <c r="D296" s="1124">
        <f t="shared" ref="D296:I305" si="24">+D51-D243</f>
        <v>0</v>
      </c>
      <c r="E296" s="1124">
        <f t="shared" si="24"/>
        <v>0</v>
      </c>
      <c r="F296" s="1124">
        <f t="shared" si="24"/>
        <v>0</v>
      </c>
      <c r="G296" s="1124">
        <f t="shared" si="24"/>
        <v>0</v>
      </c>
      <c r="H296" s="1124">
        <f t="shared" si="24"/>
        <v>0</v>
      </c>
      <c r="I296" s="1124">
        <f t="shared" si="24"/>
        <v>0</v>
      </c>
      <c r="J296" s="510"/>
      <c r="K296" s="321"/>
      <c r="L296" s="92"/>
      <c r="M296" s="86"/>
      <c r="N296" s="223"/>
      <c r="O296" s="212"/>
      <c r="P296" s="212"/>
      <c r="Q296" s="212"/>
      <c r="R296" s="212"/>
      <c r="S296" s="212"/>
      <c r="T296" s="212"/>
      <c r="U296" s="212"/>
      <c r="V296" s="212"/>
      <c r="W296" s="212"/>
      <c r="X296" s="212"/>
      <c r="Y296" s="212"/>
      <c r="Z296" s="212"/>
      <c r="AA296" s="212"/>
      <c r="AB296" s="212"/>
      <c r="AC296" s="212"/>
      <c r="AD296" s="212"/>
      <c r="AE296" s="212"/>
      <c r="AF296" s="212"/>
      <c r="AG296" s="212"/>
      <c r="AH296" s="212"/>
      <c r="AI296" s="212"/>
      <c r="AJ296" s="212"/>
      <c r="AK296" s="212"/>
      <c r="AL296" s="212"/>
      <c r="AM296" s="212"/>
      <c r="AN296" s="212"/>
      <c r="AO296" s="212"/>
      <c r="AP296" s="212"/>
      <c r="AQ296" s="212"/>
      <c r="AR296" s="212"/>
      <c r="AS296" s="212"/>
    </row>
    <row r="297" spans="2:46" ht="15" hidden="1" customHeight="1">
      <c r="B297" s="367" t="s">
        <v>1535</v>
      </c>
      <c r="C297" s="1279" t="s">
        <v>706</v>
      </c>
      <c r="D297" s="1124">
        <f t="shared" si="24"/>
        <v>0</v>
      </c>
      <c r="E297" s="1124">
        <f t="shared" si="24"/>
        <v>0</v>
      </c>
      <c r="F297" s="1124">
        <f t="shared" si="24"/>
        <v>0</v>
      </c>
      <c r="G297" s="1124">
        <f t="shared" si="24"/>
        <v>0</v>
      </c>
      <c r="H297" s="1124">
        <f t="shared" si="24"/>
        <v>0</v>
      </c>
      <c r="I297" s="1124">
        <f t="shared" si="24"/>
        <v>0</v>
      </c>
      <c r="J297" s="367"/>
      <c r="K297" s="321"/>
      <c r="L297" s="92"/>
      <c r="M297" s="86"/>
      <c r="N297" s="223"/>
      <c r="O297" s="212"/>
      <c r="P297" s="212"/>
      <c r="Q297" s="212"/>
      <c r="R297" s="212"/>
      <c r="S297" s="212"/>
      <c r="T297" s="212"/>
      <c r="U297" s="212"/>
      <c r="V297" s="212"/>
      <c r="W297" s="212"/>
      <c r="X297" s="212"/>
      <c r="Y297" s="212"/>
      <c r="Z297" s="212"/>
      <c r="AA297" s="212"/>
      <c r="AB297" s="212"/>
      <c r="AC297" s="212"/>
      <c r="AD297" s="212"/>
      <c r="AE297" s="212"/>
      <c r="AF297" s="212"/>
      <c r="AG297" s="212"/>
      <c r="AH297" s="212"/>
      <c r="AI297" s="212"/>
      <c r="AJ297" s="212"/>
      <c r="AK297" s="212"/>
      <c r="AL297" s="212"/>
      <c r="AM297" s="212"/>
      <c r="AN297" s="212"/>
      <c r="AO297" s="212"/>
      <c r="AP297" s="212"/>
      <c r="AQ297" s="212"/>
      <c r="AR297" s="212"/>
      <c r="AS297" s="212"/>
    </row>
    <row r="298" spans="2:46" ht="15" hidden="1" customHeight="1">
      <c r="B298" s="367" t="s">
        <v>945</v>
      </c>
      <c r="C298" s="1279" t="s">
        <v>706</v>
      </c>
      <c r="D298" s="1124">
        <f t="shared" si="24"/>
        <v>0</v>
      </c>
      <c r="E298" s="1124">
        <f t="shared" si="24"/>
        <v>0</v>
      </c>
      <c r="F298" s="1124">
        <f t="shared" si="24"/>
        <v>0</v>
      </c>
      <c r="G298" s="1124">
        <f t="shared" si="24"/>
        <v>0</v>
      </c>
      <c r="H298" s="1124">
        <f t="shared" si="24"/>
        <v>0</v>
      </c>
      <c r="I298" s="1124">
        <f t="shared" si="24"/>
        <v>0</v>
      </c>
      <c r="J298" s="367"/>
      <c r="K298" s="321"/>
      <c r="L298" s="92"/>
      <c r="M298" s="86"/>
      <c r="N298" s="223"/>
      <c r="O298" s="212"/>
      <c r="P298" s="212"/>
      <c r="Q298" s="212"/>
      <c r="R298" s="212"/>
      <c r="S298" s="212"/>
      <c r="T298" s="212"/>
      <c r="U298" s="212"/>
      <c r="V298" s="212"/>
      <c r="W298" s="212"/>
      <c r="X298" s="212"/>
      <c r="Y298" s="212"/>
      <c r="Z298" s="212"/>
      <c r="AA298" s="212"/>
      <c r="AB298" s="212"/>
      <c r="AC298" s="212"/>
      <c r="AD298" s="212"/>
      <c r="AE298" s="212"/>
      <c r="AF298" s="212"/>
      <c r="AG298" s="212"/>
      <c r="AH298" s="212"/>
      <c r="AI298" s="212"/>
      <c r="AJ298" s="212"/>
      <c r="AK298" s="212"/>
      <c r="AL298" s="212"/>
      <c r="AM298" s="212"/>
      <c r="AN298" s="212"/>
      <c r="AO298" s="212"/>
      <c r="AP298" s="212"/>
      <c r="AQ298" s="212"/>
      <c r="AR298" s="212"/>
      <c r="AS298" s="212"/>
    </row>
    <row r="299" spans="2:46" ht="15" hidden="1" customHeight="1">
      <c r="B299" s="367" t="s">
        <v>1536</v>
      </c>
      <c r="C299" s="1279" t="s">
        <v>706</v>
      </c>
      <c r="D299" s="1124">
        <f t="shared" si="24"/>
        <v>0</v>
      </c>
      <c r="E299" s="1124">
        <f t="shared" si="24"/>
        <v>0</v>
      </c>
      <c r="F299" s="1124">
        <f t="shared" si="24"/>
        <v>0</v>
      </c>
      <c r="G299" s="1124">
        <f t="shared" si="24"/>
        <v>0</v>
      </c>
      <c r="H299" s="1124">
        <f t="shared" si="24"/>
        <v>0</v>
      </c>
      <c r="I299" s="1124">
        <f t="shared" si="24"/>
        <v>0</v>
      </c>
      <c r="J299" s="367"/>
      <c r="K299" s="321"/>
      <c r="L299" s="92"/>
      <c r="M299" s="86"/>
      <c r="N299" s="223"/>
      <c r="O299" s="212"/>
      <c r="P299" s="212"/>
      <c r="Q299" s="212"/>
      <c r="R299" s="212"/>
      <c r="S299" s="212"/>
      <c r="T299" s="212"/>
      <c r="U299" s="212"/>
      <c r="V299" s="212"/>
      <c r="W299" s="212"/>
      <c r="X299" s="212"/>
      <c r="Y299" s="212"/>
      <c r="Z299" s="212"/>
      <c r="AA299" s="212"/>
      <c r="AB299" s="212"/>
      <c r="AC299" s="212"/>
      <c r="AD299" s="212"/>
      <c r="AE299" s="212"/>
      <c r="AF299" s="212"/>
      <c r="AG299" s="212"/>
      <c r="AH299" s="212"/>
      <c r="AI299" s="212"/>
      <c r="AJ299" s="212"/>
      <c r="AK299" s="212"/>
      <c r="AL299" s="212"/>
      <c r="AM299" s="212"/>
      <c r="AN299" s="212"/>
      <c r="AO299" s="212"/>
      <c r="AP299" s="212"/>
      <c r="AQ299" s="212"/>
      <c r="AR299" s="212"/>
      <c r="AS299" s="212"/>
    </row>
    <row r="300" spans="2:46" ht="15" hidden="1" customHeight="1">
      <c r="B300" s="369" t="s">
        <v>1118</v>
      </c>
      <c r="C300" s="1279" t="s">
        <v>706</v>
      </c>
      <c r="D300" s="1124">
        <f t="shared" si="24"/>
        <v>0</v>
      </c>
      <c r="E300" s="1124">
        <f t="shared" si="24"/>
        <v>0</v>
      </c>
      <c r="F300" s="1124">
        <f t="shared" si="24"/>
        <v>0</v>
      </c>
      <c r="G300" s="1124">
        <f t="shared" si="24"/>
        <v>0</v>
      </c>
      <c r="H300" s="1124">
        <f t="shared" si="24"/>
        <v>0</v>
      </c>
      <c r="I300" s="1124">
        <f t="shared" si="24"/>
        <v>0</v>
      </c>
      <c r="J300" s="369"/>
      <c r="K300" s="321"/>
      <c r="L300" s="92"/>
      <c r="M300" s="86"/>
      <c r="N300" s="223"/>
      <c r="O300" s="212"/>
      <c r="P300" s="212"/>
      <c r="Q300" s="212"/>
      <c r="R300" s="212"/>
      <c r="S300" s="212"/>
      <c r="T300" s="212"/>
      <c r="U300" s="212"/>
      <c r="V300" s="212"/>
      <c r="W300" s="212"/>
      <c r="X300" s="212"/>
      <c r="Y300" s="212"/>
      <c r="Z300" s="212"/>
      <c r="AA300" s="212"/>
      <c r="AB300" s="212"/>
      <c r="AC300" s="212"/>
      <c r="AD300" s="212"/>
      <c r="AE300" s="212"/>
      <c r="AF300" s="212"/>
      <c r="AG300" s="212"/>
      <c r="AH300" s="212"/>
      <c r="AI300" s="212"/>
      <c r="AJ300" s="212"/>
      <c r="AK300" s="212"/>
      <c r="AL300" s="212"/>
      <c r="AM300" s="212"/>
      <c r="AN300" s="212"/>
      <c r="AO300" s="212"/>
      <c r="AP300" s="212"/>
      <c r="AQ300" s="212"/>
      <c r="AR300" s="212"/>
      <c r="AS300" s="212"/>
    </row>
    <row r="301" spans="2:46" ht="15" hidden="1" customHeight="1">
      <c r="B301" s="369" t="s">
        <v>1119</v>
      </c>
      <c r="C301" s="1279" t="s">
        <v>706</v>
      </c>
      <c r="D301" s="1124">
        <f t="shared" si="24"/>
        <v>0</v>
      </c>
      <c r="E301" s="1124">
        <f t="shared" si="24"/>
        <v>0</v>
      </c>
      <c r="F301" s="1124">
        <f t="shared" si="24"/>
        <v>0</v>
      </c>
      <c r="G301" s="1124">
        <f t="shared" si="24"/>
        <v>0</v>
      </c>
      <c r="H301" s="1124">
        <f t="shared" si="24"/>
        <v>0</v>
      </c>
      <c r="I301" s="1124">
        <f t="shared" si="24"/>
        <v>0</v>
      </c>
      <c r="J301" s="369"/>
      <c r="K301" s="321"/>
      <c r="L301" s="92"/>
      <c r="M301" s="86"/>
      <c r="N301" s="223"/>
      <c r="O301" s="212"/>
      <c r="P301" s="212"/>
      <c r="Q301" s="212"/>
      <c r="R301" s="212"/>
      <c r="S301" s="212"/>
      <c r="T301" s="212"/>
      <c r="U301" s="212"/>
      <c r="V301" s="212"/>
      <c r="W301" s="212"/>
      <c r="X301" s="212"/>
      <c r="Y301" s="212"/>
      <c r="Z301" s="212"/>
      <c r="AA301" s="212"/>
      <c r="AB301" s="212"/>
      <c r="AC301" s="212"/>
      <c r="AD301" s="212"/>
      <c r="AE301" s="212"/>
      <c r="AF301" s="212"/>
      <c r="AG301" s="212"/>
      <c r="AH301" s="212"/>
      <c r="AI301" s="212"/>
      <c r="AJ301" s="212"/>
      <c r="AK301" s="212"/>
      <c r="AL301" s="212"/>
      <c r="AM301" s="212"/>
      <c r="AN301" s="212"/>
      <c r="AO301" s="212"/>
      <c r="AP301" s="212"/>
      <c r="AQ301" s="212"/>
      <c r="AR301" s="212"/>
      <c r="AS301" s="212"/>
    </row>
    <row r="302" spans="2:46" ht="15" hidden="1" customHeight="1">
      <c r="B302" s="451" t="s">
        <v>924</v>
      </c>
      <c r="C302" s="1279" t="s">
        <v>706</v>
      </c>
      <c r="D302" s="1124">
        <f t="shared" si="24"/>
        <v>0</v>
      </c>
      <c r="E302" s="1124">
        <f t="shared" si="24"/>
        <v>0</v>
      </c>
      <c r="F302" s="1124">
        <f t="shared" si="24"/>
        <v>0</v>
      </c>
      <c r="G302" s="1124">
        <f t="shared" si="24"/>
        <v>0</v>
      </c>
      <c r="H302" s="1124">
        <f t="shared" si="24"/>
        <v>0</v>
      </c>
      <c r="I302" s="1124">
        <f t="shared" si="24"/>
        <v>0</v>
      </c>
      <c r="J302" s="451"/>
      <c r="K302" s="321"/>
      <c r="L302" s="92"/>
      <c r="M302" s="86"/>
      <c r="N302" s="223"/>
      <c r="O302" s="212"/>
      <c r="P302" s="212"/>
      <c r="Q302" s="212"/>
      <c r="R302" s="212"/>
      <c r="S302" s="212"/>
      <c r="T302" s="212"/>
      <c r="U302" s="212"/>
      <c r="V302" s="212"/>
      <c r="W302" s="212"/>
      <c r="X302" s="212"/>
      <c r="Y302" s="212"/>
      <c r="Z302" s="212"/>
      <c r="AA302" s="212"/>
      <c r="AB302" s="212"/>
      <c r="AC302" s="212"/>
      <c r="AD302" s="212"/>
      <c r="AE302" s="212"/>
      <c r="AF302" s="212"/>
      <c r="AG302" s="212"/>
      <c r="AH302" s="212"/>
      <c r="AI302" s="212"/>
      <c r="AJ302" s="212"/>
      <c r="AK302" s="212"/>
      <c r="AL302" s="212"/>
      <c r="AM302" s="212"/>
      <c r="AN302" s="212"/>
      <c r="AO302" s="212"/>
      <c r="AP302" s="212"/>
      <c r="AQ302" s="212"/>
      <c r="AR302" s="212"/>
      <c r="AS302" s="212"/>
    </row>
    <row r="303" spans="2:46" ht="15" hidden="1" customHeight="1">
      <c r="B303" s="451" t="s">
        <v>923</v>
      </c>
      <c r="C303" s="1279" t="s">
        <v>706</v>
      </c>
      <c r="D303" s="1124">
        <f t="shared" si="24"/>
        <v>0</v>
      </c>
      <c r="E303" s="1124">
        <f t="shared" si="24"/>
        <v>0</v>
      </c>
      <c r="F303" s="1124">
        <f t="shared" si="24"/>
        <v>0</v>
      </c>
      <c r="G303" s="1124">
        <f t="shared" si="24"/>
        <v>0</v>
      </c>
      <c r="H303" s="1124">
        <f t="shared" si="24"/>
        <v>0</v>
      </c>
      <c r="I303" s="1124">
        <f t="shared" si="24"/>
        <v>0</v>
      </c>
      <c r="J303" s="451"/>
      <c r="K303" s="321"/>
      <c r="L303" s="92"/>
      <c r="M303" s="86"/>
      <c r="N303" s="223"/>
      <c r="O303" s="212"/>
      <c r="P303" s="212"/>
      <c r="Q303" s="212"/>
      <c r="R303" s="212"/>
      <c r="S303" s="212"/>
      <c r="T303" s="212"/>
      <c r="U303" s="212"/>
      <c r="V303" s="212"/>
      <c r="W303" s="212"/>
      <c r="X303" s="212"/>
      <c r="Y303" s="212"/>
      <c r="Z303" s="212"/>
      <c r="AA303" s="212"/>
      <c r="AB303" s="212"/>
      <c r="AC303" s="212"/>
      <c r="AD303" s="212"/>
      <c r="AE303" s="212"/>
      <c r="AF303" s="212"/>
      <c r="AG303" s="212"/>
      <c r="AH303" s="212"/>
      <c r="AI303" s="212"/>
      <c r="AJ303" s="212"/>
      <c r="AK303" s="212"/>
      <c r="AL303" s="212"/>
      <c r="AM303" s="212"/>
      <c r="AN303" s="212"/>
      <c r="AO303" s="212"/>
      <c r="AP303" s="212"/>
      <c r="AQ303" s="212"/>
      <c r="AR303" s="212"/>
      <c r="AS303" s="212"/>
    </row>
    <row r="304" spans="2:46" ht="15" hidden="1" customHeight="1">
      <c r="B304" s="451" t="s">
        <v>945</v>
      </c>
      <c r="C304" s="1279" t="s">
        <v>706</v>
      </c>
      <c r="D304" s="1124">
        <f t="shared" si="24"/>
        <v>0</v>
      </c>
      <c r="E304" s="1124">
        <f t="shared" si="24"/>
        <v>0</v>
      </c>
      <c r="F304" s="1124">
        <f t="shared" si="24"/>
        <v>0</v>
      </c>
      <c r="G304" s="1124">
        <f t="shared" si="24"/>
        <v>0</v>
      </c>
      <c r="H304" s="1124">
        <f t="shared" si="24"/>
        <v>0</v>
      </c>
      <c r="I304" s="1124">
        <f t="shared" si="24"/>
        <v>0</v>
      </c>
      <c r="J304" s="451"/>
      <c r="K304" s="321"/>
      <c r="L304" s="92"/>
      <c r="M304" s="86"/>
      <c r="N304" s="223"/>
      <c r="O304" s="212"/>
      <c r="P304" s="212"/>
      <c r="Q304" s="212"/>
      <c r="R304" s="212"/>
      <c r="S304" s="212"/>
      <c r="T304" s="212"/>
      <c r="U304" s="212"/>
      <c r="V304" s="212"/>
      <c r="W304" s="212"/>
      <c r="X304" s="212"/>
      <c r="Y304" s="212"/>
      <c r="Z304" s="212"/>
      <c r="AA304" s="212"/>
      <c r="AB304" s="212"/>
      <c r="AC304" s="212"/>
      <c r="AD304" s="212"/>
      <c r="AE304" s="212"/>
      <c r="AF304" s="212"/>
      <c r="AG304" s="212"/>
      <c r="AH304" s="212"/>
      <c r="AI304" s="212"/>
      <c r="AJ304" s="212"/>
      <c r="AK304" s="212"/>
      <c r="AL304" s="212"/>
      <c r="AM304" s="212"/>
      <c r="AN304" s="212"/>
      <c r="AO304" s="212"/>
      <c r="AP304" s="212"/>
      <c r="AQ304" s="212"/>
      <c r="AR304" s="212"/>
      <c r="AS304" s="212"/>
    </row>
    <row r="305" spans="2:46" ht="15" hidden="1" customHeight="1">
      <c r="B305" s="374" t="s">
        <v>1074</v>
      </c>
      <c r="C305" s="1279" t="s">
        <v>706</v>
      </c>
      <c r="D305" s="1125">
        <f t="shared" si="24"/>
        <v>0</v>
      </c>
      <c r="E305" s="1125">
        <f t="shared" si="24"/>
        <v>0</v>
      </c>
      <c r="F305" s="1125">
        <f t="shared" si="24"/>
        <v>0</v>
      </c>
      <c r="G305" s="1125">
        <f t="shared" si="24"/>
        <v>0</v>
      </c>
      <c r="H305" s="1125">
        <f t="shared" si="24"/>
        <v>0</v>
      </c>
      <c r="I305" s="1125">
        <f t="shared" si="24"/>
        <v>0</v>
      </c>
      <c r="J305" s="374"/>
      <c r="K305" s="321"/>
      <c r="L305" s="92"/>
      <c r="M305" s="86"/>
      <c r="N305" s="223"/>
      <c r="O305" s="212"/>
      <c r="P305" s="212"/>
      <c r="Q305" s="212"/>
      <c r="R305" s="212"/>
      <c r="S305" s="212"/>
      <c r="T305" s="212"/>
      <c r="U305" s="212"/>
      <c r="V305" s="212"/>
      <c r="W305" s="212"/>
      <c r="X305" s="212"/>
      <c r="Y305" s="212"/>
      <c r="Z305" s="212"/>
      <c r="AA305" s="212"/>
      <c r="AB305" s="212"/>
      <c r="AC305" s="212"/>
      <c r="AD305" s="212"/>
      <c r="AE305" s="212"/>
      <c r="AF305" s="212"/>
      <c r="AG305" s="212"/>
      <c r="AH305" s="212"/>
      <c r="AI305" s="212"/>
      <c r="AJ305" s="212"/>
      <c r="AK305" s="212"/>
      <c r="AL305" s="212"/>
      <c r="AM305" s="212"/>
      <c r="AN305" s="212"/>
      <c r="AO305" s="212"/>
      <c r="AP305" s="212"/>
      <c r="AQ305" s="212"/>
      <c r="AR305" s="212"/>
      <c r="AS305" s="212"/>
    </row>
    <row r="306" spans="2:46" ht="15" customHeight="1">
      <c r="B306" s="112" t="s">
        <v>461</v>
      </c>
      <c r="C306" s="140"/>
      <c r="D306" s="1124">
        <f t="shared" ref="D306:I315" si="25">+D61-D253</f>
        <v>0</v>
      </c>
      <c r="E306" s="1124">
        <f t="shared" si="25"/>
        <v>0</v>
      </c>
      <c r="F306" s="1124">
        <f t="shared" si="25"/>
        <v>0</v>
      </c>
      <c r="G306" s="1124">
        <f t="shared" si="25"/>
        <v>0</v>
      </c>
      <c r="H306" s="1124">
        <f t="shared" si="25"/>
        <v>0</v>
      </c>
      <c r="I306" s="1124">
        <f t="shared" si="25"/>
        <v>0</v>
      </c>
      <c r="J306" s="112"/>
      <c r="K306" s="321"/>
      <c r="L306" s="92"/>
      <c r="M306" s="86"/>
      <c r="N306" s="223"/>
      <c r="O306" s="212"/>
      <c r="P306" s="212"/>
      <c r="Q306" s="212"/>
      <c r="R306" s="212"/>
      <c r="S306" s="212"/>
      <c r="T306" s="212"/>
      <c r="U306" s="212"/>
      <c r="V306" s="212"/>
      <c r="W306" s="212"/>
      <c r="X306" s="212"/>
      <c r="Y306" s="212"/>
      <c r="Z306" s="212"/>
      <c r="AA306" s="212"/>
      <c r="AB306" s="212"/>
      <c r="AC306" s="212"/>
      <c r="AD306" s="212"/>
      <c r="AE306" s="212"/>
      <c r="AF306" s="212"/>
      <c r="AG306" s="212"/>
      <c r="AH306" s="212"/>
      <c r="AI306" s="212"/>
      <c r="AJ306" s="212"/>
      <c r="AK306" s="212"/>
      <c r="AL306" s="212"/>
      <c r="AM306" s="212"/>
      <c r="AN306" s="212"/>
      <c r="AO306" s="212"/>
      <c r="AP306" s="212"/>
      <c r="AQ306" s="212"/>
      <c r="AR306" s="212"/>
      <c r="AS306" s="212"/>
      <c r="AT306" s="693"/>
    </row>
    <row r="307" spans="2:46" ht="19.95" hidden="1" customHeight="1">
      <c r="B307" s="373" t="s">
        <v>481</v>
      </c>
      <c r="C307" s="1279" t="s">
        <v>706</v>
      </c>
      <c r="D307" s="1124">
        <f t="shared" si="25"/>
        <v>0</v>
      </c>
      <c r="E307" s="1124">
        <f t="shared" si="25"/>
        <v>0</v>
      </c>
      <c r="F307" s="1124">
        <f t="shared" si="25"/>
        <v>0</v>
      </c>
      <c r="G307" s="1124">
        <f t="shared" si="25"/>
        <v>0</v>
      </c>
      <c r="H307" s="1124">
        <f t="shared" si="25"/>
        <v>0</v>
      </c>
      <c r="I307" s="1124">
        <f t="shared" si="25"/>
        <v>0</v>
      </c>
      <c r="J307" s="373"/>
      <c r="K307" s="321"/>
      <c r="L307" s="92"/>
      <c r="M307" s="86"/>
      <c r="N307" s="223"/>
      <c r="O307" s="212"/>
      <c r="P307" s="212"/>
      <c r="Q307" s="212"/>
      <c r="R307" s="212"/>
      <c r="S307" s="212"/>
      <c r="T307" s="212"/>
      <c r="U307" s="212"/>
      <c r="V307" s="212"/>
      <c r="W307" s="212"/>
      <c r="X307" s="212"/>
      <c r="Y307" s="212"/>
      <c r="Z307" s="212"/>
      <c r="AA307" s="212"/>
      <c r="AB307" s="212"/>
      <c r="AC307" s="212"/>
      <c r="AD307" s="212"/>
      <c r="AE307" s="212"/>
      <c r="AF307" s="212"/>
      <c r="AG307" s="212"/>
      <c r="AH307" s="212"/>
      <c r="AI307" s="212"/>
      <c r="AJ307" s="212"/>
      <c r="AK307" s="212"/>
      <c r="AL307" s="212"/>
      <c r="AM307" s="212"/>
      <c r="AN307" s="212"/>
      <c r="AO307" s="212"/>
      <c r="AP307" s="212"/>
      <c r="AQ307" s="212"/>
      <c r="AR307" s="212"/>
      <c r="AS307" s="212"/>
    </row>
    <row r="308" spans="2:46" ht="19.95" hidden="1" customHeight="1">
      <c r="B308" s="367" t="s">
        <v>1831</v>
      </c>
      <c r="C308" s="1279" t="s">
        <v>706</v>
      </c>
      <c r="D308" s="1124">
        <f t="shared" si="25"/>
        <v>0</v>
      </c>
      <c r="E308" s="1124">
        <f t="shared" si="25"/>
        <v>0</v>
      </c>
      <c r="F308" s="1124">
        <f t="shared" si="25"/>
        <v>0</v>
      </c>
      <c r="G308" s="1124">
        <f t="shared" si="25"/>
        <v>0</v>
      </c>
      <c r="H308" s="1124">
        <f t="shared" si="25"/>
        <v>0</v>
      </c>
      <c r="I308" s="1124">
        <f t="shared" si="25"/>
        <v>0</v>
      </c>
      <c r="J308" s="373"/>
      <c r="K308" s="321"/>
      <c r="L308" s="92"/>
      <c r="M308" s="86"/>
      <c r="N308" s="223"/>
      <c r="O308" s="212"/>
      <c r="P308" s="212"/>
      <c r="Q308" s="212"/>
      <c r="R308" s="212"/>
      <c r="S308" s="212"/>
      <c r="T308" s="212"/>
      <c r="U308" s="212"/>
      <c r="V308" s="212"/>
      <c r="W308" s="212"/>
      <c r="X308" s="212"/>
      <c r="Y308" s="212"/>
      <c r="Z308" s="212"/>
      <c r="AA308" s="212"/>
      <c r="AB308" s="212"/>
      <c r="AC308" s="212"/>
      <c r="AD308" s="212"/>
      <c r="AE308" s="212"/>
      <c r="AF308" s="212"/>
      <c r="AG308" s="212"/>
      <c r="AH308" s="212"/>
      <c r="AI308" s="212"/>
      <c r="AJ308" s="212"/>
      <c r="AK308" s="212"/>
      <c r="AL308" s="212"/>
      <c r="AM308" s="212"/>
      <c r="AN308" s="212"/>
      <c r="AO308" s="212"/>
      <c r="AP308" s="212"/>
      <c r="AQ308" s="212"/>
      <c r="AR308" s="212"/>
      <c r="AS308" s="212"/>
    </row>
    <row r="309" spans="2:46" ht="15" hidden="1" customHeight="1">
      <c r="B309" s="367" t="s">
        <v>352</v>
      </c>
      <c r="C309" s="1279" t="s">
        <v>706</v>
      </c>
      <c r="D309" s="1124">
        <f t="shared" si="25"/>
        <v>0</v>
      </c>
      <c r="E309" s="1124">
        <f t="shared" si="25"/>
        <v>0</v>
      </c>
      <c r="F309" s="1124">
        <f t="shared" si="25"/>
        <v>0</v>
      </c>
      <c r="G309" s="1124">
        <f t="shared" si="25"/>
        <v>0</v>
      </c>
      <c r="H309" s="1124">
        <f t="shared" si="25"/>
        <v>0</v>
      </c>
      <c r="I309" s="1124">
        <f t="shared" si="25"/>
        <v>0</v>
      </c>
      <c r="J309" s="367"/>
      <c r="K309" s="321"/>
      <c r="L309" s="92"/>
      <c r="M309" s="86"/>
      <c r="N309" s="223"/>
      <c r="O309" s="212"/>
      <c r="P309" s="212"/>
      <c r="Q309" s="212"/>
      <c r="R309" s="212"/>
      <c r="S309" s="212"/>
      <c r="T309" s="212"/>
      <c r="U309" s="212"/>
      <c r="V309" s="212"/>
      <c r="W309" s="212"/>
      <c r="X309" s="212"/>
      <c r="Y309" s="212"/>
      <c r="Z309" s="212"/>
      <c r="AA309" s="212"/>
      <c r="AB309" s="212"/>
      <c r="AC309" s="212"/>
      <c r="AD309" s="212"/>
      <c r="AE309" s="212"/>
      <c r="AF309" s="212"/>
      <c r="AG309" s="212"/>
      <c r="AH309" s="212"/>
      <c r="AI309" s="212"/>
      <c r="AJ309" s="212"/>
      <c r="AK309" s="212"/>
      <c r="AL309" s="212"/>
      <c r="AM309" s="212"/>
      <c r="AN309" s="212"/>
      <c r="AO309" s="212"/>
      <c r="AP309" s="212"/>
      <c r="AQ309" s="212"/>
      <c r="AR309" s="212"/>
      <c r="AS309" s="212"/>
    </row>
    <row r="310" spans="2:46" ht="15" hidden="1" customHeight="1">
      <c r="B310" s="367" t="s">
        <v>360</v>
      </c>
      <c r="C310" s="1279" t="s">
        <v>706</v>
      </c>
      <c r="D310" s="1124">
        <f t="shared" si="25"/>
        <v>0</v>
      </c>
      <c r="E310" s="1124">
        <f t="shared" si="25"/>
        <v>0</v>
      </c>
      <c r="F310" s="1124">
        <f t="shared" si="25"/>
        <v>0</v>
      </c>
      <c r="G310" s="1124">
        <f t="shared" si="25"/>
        <v>0</v>
      </c>
      <c r="H310" s="1124">
        <f t="shared" si="25"/>
        <v>0</v>
      </c>
      <c r="I310" s="1124">
        <f t="shared" si="25"/>
        <v>0</v>
      </c>
      <c r="J310" s="367"/>
      <c r="K310" s="321"/>
      <c r="L310" s="92"/>
      <c r="M310" s="86"/>
      <c r="N310" s="223"/>
      <c r="O310" s="212"/>
      <c r="P310" s="212"/>
      <c r="Q310" s="212"/>
      <c r="R310" s="212"/>
      <c r="S310" s="212"/>
      <c r="T310" s="212"/>
      <c r="U310" s="212"/>
      <c r="V310" s="212"/>
      <c r="W310" s="212"/>
      <c r="X310" s="212"/>
      <c r="Y310" s="212"/>
      <c r="Z310" s="212"/>
      <c r="AA310" s="212"/>
      <c r="AB310" s="212"/>
      <c r="AC310" s="212"/>
      <c r="AD310" s="212"/>
      <c r="AE310" s="212"/>
      <c r="AF310" s="212"/>
      <c r="AG310" s="212"/>
      <c r="AH310" s="212"/>
      <c r="AI310" s="212"/>
      <c r="AJ310" s="212"/>
      <c r="AK310" s="212"/>
      <c r="AL310" s="212"/>
      <c r="AM310" s="212"/>
      <c r="AN310" s="212"/>
      <c r="AO310" s="212"/>
      <c r="AP310" s="212"/>
      <c r="AQ310" s="212"/>
      <c r="AR310" s="212"/>
      <c r="AS310" s="212"/>
    </row>
    <row r="311" spans="2:46" ht="15" hidden="1" customHeight="1">
      <c r="B311" s="367" t="s">
        <v>1182</v>
      </c>
      <c r="C311" s="1279" t="s">
        <v>706</v>
      </c>
      <c r="D311" s="1124">
        <f t="shared" si="25"/>
        <v>0</v>
      </c>
      <c r="E311" s="1124">
        <f t="shared" si="25"/>
        <v>0</v>
      </c>
      <c r="F311" s="1124">
        <f t="shared" si="25"/>
        <v>0</v>
      </c>
      <c r="G311" s="1124">
        <f t="shared" si="25"/>
        <v>0</v>
      </c>
      <c r="H311" s="1124">
        <f t="shared" si="25"/>
        <v>0</v>
      </c>
      <c r="I311" s="1124">
        <f t="shared" si="25"/>
        <v>0</v>
      </c>
      <c r="J311" s="367"/>
      <c r="K311" s="321"/>
      <c r="L311" s="92"/>
      <c r="M311" s="86"/>
      <c r="N311" s="223"/>
      <c r="O311" s="212"/>
      <c r="P311" s="212"/>
      <c r="Q311" s="212"/>
      <c r="R311" s="212"/>
      <c r="S311" s="212"/>
      <c r="T311" s="212"/>
      <c r="U311" s="212"/>
      <c r="V311" s="212"/>
      <c r="W311" s="212"/>
      <c r="X311" s="212"/>
      <c r="Y311" s="212"/>
      <c r="Z311" s="212"/>
      <c r="AA311" s="212"/>
      <c r="AB311" s="212"/>
      <c r="AC311" s="212"/>
      <c r="AD311" s="212"/>
      <c r="AE311" s="212"/>
      <c r="AF311" s="212"/>
      <c r="AG311" s="212"/>
      <c r="AH311" s="212"/>
      <c r="AI311" s="212"/>
      <c r="AJ311" s="212"/>
      <c r="AK311" s="212"/>
      <c r="AL311" s="212"/>
      <c r="AM311" s="212"/>
      <c r="AN311" s="212"/>
      <c r="AO311" s="212"/>
      <c r="AP311" s="212"/>
      <c r="AQ311" s="212"/>
      <c r="AR311" s="212"/>
      <c r="AS311" s="212"/>
    </row>
    <row r="312" spans="2:46" ht="15" hidden="1" customHeight="1">
      <c r="B312" s="368" t="s">
        <v>353</v>
      </c>
      <c r="C312" s="1279" t="s">
        <v>706</v>
      </c>
      <c r="D312" s="1124">
        <f t="shared" si="25"/>
        <v>0</v>
      </c>
      <c r="E312" s="1124">
        <f t="shared" si="25"/>
        <v>0</v>
      </c>
      <c r="F312" s="1124">
        <f t="shared" si="25"/>
        <v>0</v>
      </c>
      <c r="G312" s="1124">
        <f t="shared" si="25"/>
        <v>0</v>
      </c>
      <c r="H312" s="1124">
        <f t="shared" si="25"/>
        <v>0</v>
      </c>
      <c r="I312" s="1124">
        <f t="shared" si="25"/>
        <v>0</v>
      </c>
      <c r="J312" s="368"/>
      <c r="K312" s="321"/>
      <c r="L312" s="92"/>
      <c r="M312" s="86"/>
      <c r="N312" s="223"/>
      <c r="O312" s="212"/>
      <c r="P312" s="212"/>
      <c r="Q312" s="212"/>
      <c r="R312" s="212"/>
      <c r="S312" s="212"/>
      <c r="T312" s="212"/>
      <c r="U312" s="212"/>
      <c r="V312" s="212"/>
      <c r="W312" s="212"/>
      <c r="X312" s="212"/>
      <c r="Y312" s="212"/>
      <c r="Z312" s="212"/>
      <c r="AA312" s="212"/>
      <c r="AB312" s="212"/>
      <c r="AC312" s="212"/>
      <c r="AD312" s="212"/>
      <c r="AE312" s="212"/>
      <c r="AF312" s="212"/>
      <c r="AG312" s="212"/>
      <c r="AH312" s="212"/>
      <c r="AI312" s="212"/>
      <c r="AJ312" s="212"/>
      <c r="AK312" s="212"/>
      <c r="AL312" s="212"/>
      <c r="AM312" s="212"/>
      <c r="AN312" s="212"/>
      <c r="AO312" s="212"/>
      <c r="AP312" s="212"/>
      <c r="AQ312" s="212"/>
      <c r="AR312" s="212"/>
      <c r="AS312" s="212"/>
    </row>
    <row r="313" spans="2:46" ht="15" hidden="1" customHeight="1">
      <c r="B313" s="369" t="s">
        <v>1181</v>
      </c>
      <c r="C313" s="1279" t="s">
        <v>706</v>
      </c>
      <c r="D313" s="1124">
        <f t="shared" si="25"/>
        <v>0</v>
      </c>
      <c r="E313" s="1124">
        <f t="shared" si="25"/>
        <v>0</v>
      </c>
      <c r="F313" s="1124">
        <f t="shared" si="25"/>
        <v>0</v>
      </c>
      <c r="G313" s="1124">
        <f t="shared" si="25"/>
        <v>0</v>
      </c>
      <c r="H313" s="1124">
        <f t="shared" si="25"/>
        <v>0</v>
      </c>
      <c r="I313" s="1124">
        <f t="shared" si="25"/>
        <v>0</v>
      </c>
      <c r="J313" s="369"/>
      <c r="K313" s="321"/>
      <c r="L313" s="92"/>
      <c r="M313" s="86"/>
      <c r="N313" s="223"/>
      <c r="O313" s="212"/>
      <c r="P313" s="212"/>
      <c r="Q313" s="212"/>
      <c r="R313" s="212"/>
      <c r="S313" s="212"/>
      <c r="T313" s="212"/>
      <c r="U313" s="212"/>
      <c r="V313" s="212"/>
      <c r="W313" s="212"/>
      <c r="X313" s="212"/>
      <c r="Y313" s="212"/>
      <c r="Z313" s="212"/>
      <c r="AA313" s="212"/>
      <c r="AB313" s="212"/>
      <c r="AC313" s="212"/>
      <c r="AD313" s="212"/>
      <c r="AE313" s="212"/>
      <c r="AF313" s="212"/>
      <c r="AG313" s="212"/>
      <c r="AH313" s="212"/>
      <c r="AI313" s="212"/>
      <c r="AJ313" s="212"/>
      <c r="AK313" s="212"/>
      <c r="AL313" s="212"/>
      <c r="AM313" s="212"/>
      <c r="AN313" s="212"/>
      <c r="AO313" s="212"/>
      <c r="AP313" s="212"/>
      <c r="AQ313" s="212"/>
      <c r="AR313" s="212"/>
      <c r="AS313" s="212"/>
    </row>
    <row r="314" spans="2:46" ht="15" hidden="1" customHeight="1">
      <c r="B314" s="369" t="s">
        <v>259</v>
      </c>
      <c r="C314" s="1279" t="s">
        <v>706</v>
      </c>
      <c r="D314" s="1124">
        <f t="shared" si="25"/>
        <v>0</v>
      </c>
      <c r="E314" s="1124">
        <f t="shared" si="25"/>
        <v>0</v>
      </c>
      <c r="F314" s="1124">
        <f t="shared" si="25"/>
        <v>0</v>
      </c>
      <c r="G314" s="1124">
        <f t="shared" si="25"/>
        <v>0</v>
      </c>
      <c r="H314" s="1124">
        <f t="shared" si="25"/>
        <v>0</v>
      </c>
      <c r="I314" s="1124">
        <f t="shared" si="25"/>
        <v>0</v>
      </c>
      <c r="J314" s="369"/>
      <c r="K314" s="321"/>
      <c r="L314" s="92"/>
      <c r="M314" s="86"/>
      <c r="N314" s="223"/>
      <c r="O314" s="212"/>
      <c r="P314" s="212"/>
      <c r="Q314" s="212"/>
      <c r="R314" s="212"/>
      <c r="S314" s="212"/>
      <c r="T314" s="212"/>
      <c r="U314" s="212"/>
      <c r="V314" s="212"/>
      <c r="W314" s="212"/>
      <c r="X314" s="212"/>
      <c r="Y314" s="212"/>
      <c r="Z314" s="212"/>
      <c r="AA314" s="212"/>
      <c r="AB314" s="212"/>
      <c r="AC314" s="212"/>
      <c r="AD314" s="212"/>
      <c r="AE314" s="212"/>
      <c r="AF314" s="212"/>
      <c r="AG314" s="212"/>
      <c r="AH314" s="212"/>
      <c r="AI314" s="212"/>
      <c r="AJ314" s="212"/>
      <c r="AK314" s="212"/>
      <c r="AL314" s="212"/>
      <c r="AM314" s="212"/>
      <c r="AN314" s="212"/>
      <c r="AO314" s="212"/>
      <c r="AP314" s="212"/>
      <c r="AQ314" s="212"/>
      <c r="AR314" s="212"/>
      <c r="AS314" s="212"/>
    </row>
    <row r="315" spans="2:46" ht="15" hidden="1" customHeight="1">
      <c r="B315" s="369" t="s">
        <v>359</v>
      </c>
      <c r="C315" s="1279" t="s">
        <v>706</v>
      </c>
      <c r="D315" s="1124">
        <f t="shared" si="25"/>
        <v>0</v>
      </c>
      <c r="E315" s="1124">
        <f t="shared" si="25"/>
        <v>0</v>
      </c>
      <c r="F315" s="1124">
        <f t="shared" si="25"/>
        <v>0</v>
      </c>
      <c r="G315" s="1124">
        <f t="shared" si="25"/>
        <v>0</v>
      </c>
      <c r="H315" s="1124">
        <f t="shared" si="25"/>
        <v>0</v>
      </c>
      <c r="I315" s="1124">
        <f t="shared" si="25"/>
        <v>0</v>
      </c>
      <c r="J315" s="369"/>
      <c r="K315" s="321"/>
      <c r="L315" s="92"/>
      <c r="M315" s="86"/>
      <c r="N315" s="223"/>
      <c r="O315" s="212"/>
      <c r="P315" s="212"/>
      <c r="Q315" s="212"/>
      <c r="R315" s="212"/>
      <c r="S315" s="212"/>
      <c r="T315" s="212"/>
      <c r="U315" s="212"/>
      <c r="V315" s="212"/>
      <c r="W315" s="212"/>
      <c r="X315" s="212"/>
      <c r="Y315" s="212"/>
      <c r="Z315" s="212"/>
      <c r="AA315" s="212"/>
      <c r="AB315" s="212"/>
      <c r="AC315" s="212"/>
      <c r="AD315" s="212"/>
      <c r="AE315" s="212"/>
      <c r="AF315" s="212"/>
      <c r="AG315" s="212"/>
      <c r="AH315" s="212"/>
      <c r="AI315" s="212"/>
      <c r="AJ315" s="212"/>
      <c r="AK315" s="212"/>
      <c r="AL315" s="212"/>
      <c r="AM315" s="212"/>
      <c r="AN315" s="212"/>
      <c r="AO315" s="212"/>
      <c r="AP315" s="212"/>
      <c r="AQ315" s="212"/>
      <c r="AR315" s="212"/>
      <c r="AS315" s="212"/>
    </row>
    <row r="316" spans="2:46" ht="15" hidden="1" customHeight="1">
      <c r="B316" s="370" t="s">
        <v>2304</v>
      </c>
      <c r="C316" s="1279" t="s">
        <v>706</v>
      </c>
      <c r="D316" s="1124">
        <f t="shared" ref="D316:I325" si="26">+D71-D263</f>
        <v>0</v>
      </c>
      <c r="E316" s="1124">
        <f t="shared" si="26"/>
        <v>0</v>
      </c>
      <c r="F316" s="1124">
        <f t="shared" si="26"/>
        <v>0</v>
      </c>
      <c r="G316" s="1124">
        <f t="shared" si="26"/>
        <v>0</v>
      </c>
      <c r="H316" s="1124">
        <f t="shared" si="26"/>
        <v>0</v>
      </c>
      <c r="I316" s="1124">
        <f t="shared" si="26"/>
        <v>0</v>
      </c>
      <c r="J316" s="369"/>
      <c r="K316" s="321"/>
      <c r="L316" s="92"/>
      <c r="M316" s="86"/>
      <c r="N316" s="223"/>
      <c r="O316" s="212"/>
      <c r="P316" s="212"/>
      <c r="Q316" s="212"/>
      <c r="R316" s="212"/>
      <c r="S316" s="212"/>
      <c r="T316" s="212"/>
      <c r="U316" s="212"/>
      <c r="V316" s="212"/>
      <c r="W316" s="212"/>
      <c r="X316" s="212"/>
      <c r="Y316" s="212"/>
      <c r="Z316" s="212"/>
      <c r="AA316" s="212"/>
      <c r="AB316" s="212"/>
      <c r="AC316" s="212"/>
      <c r="AD316" s="212"/>
      <c r="AE316" s="212"/>
      <c r="AF316" s="212"/>
      <c r="AG316" s="212"/>
      <c r="AH316" s="212"/>
      <c r="AI316" s="212"/>
      <c r="AJ316" s="212"/>
      <c r="AK316" s="212"/>
      <c r="AL316" s="212"/>
      <c r="AM316" s="212"/>
      <c r="AN316" s="212"/>
      <c r="AO316" s="212"/>
      <c r="AP316" s="212"/>
      <c r="AQ316" s="212"/>
      <c r="AR316" s="212"/>
      <c r="AS316" s="212"/>
    </row>
    <row r="317" spans="2:46" ht="15" hidden="1" customHeight="1">
      <c r="B317" s="370" t="s">
        <v>1075</v>
      </c>
      <c r="C317" s="1279" t="s">
        <v>706</v>
      </c>
      <c r="D317" s="1124">
        <f t="shared" si="26"/>
        <v>0</v>
      </c>
      <c r="E317" s="1124">
        <f t="shared" si="26"/>
        <v>0</v>
      </c>
      <c r="F317" s="1124">
        <f t="shared" si="26"/>
        <v>0</v>
      </c>
      <c r="G317" s="1124">
        <f t="shared" si="26"/>
        <v>0</v>
      </c>
      <c r="H317" s="1124">
        <f t="shared" si="26"/>
        <v>0</v>
      </c>
      <c r="I317" s="1124">
        <f t="shared" si="26"/>
        <v>0</v>
      </c>
      <c r="J317" s="370"/>
      <c r="K317" s="321"/>
      <c r="L317" s="92"/>
      <c r="M317" s="86"/>
      <c r="N317" s="223"/>
      <c r="O317" s="212"/>
      <c r="P317" s="212"/>
      <c r="Q317" s="212"/>
      <c r="R317" s="212"/>
      <c r="S317" s="212"/>
      <c r="T317" s="212"/>
      <c r="U317" s="212"/>
      <c r="V317" s="212"/>
      <c r="W317" s="212"/>
      <c r="X317" s="212"/>
      <c r="Y317" s="212"/>
      <c r="Z317" s="212"/>
      <c r="AA317" s="212"/>
      <c r="AB317" s="212"/>
      <c r="AC317" s="212"/>
      <c r="AD317" s="212"/>
      <c r="AE317" s="212"/>
      <c r="AF317" s="212"/>
      <c r="AG317" s="212"/>
      <c r="AH317" s="212"/>
      <c r="AI317" s="212"/>
      <c r="AJ317" s="212"/>
      <c r="AK317" s="212"/>
      <c r="AL317" s="212"/>
      <c r="AM317" s="212"/>
      <c r="AN317" s="212"/>
      <c r="AO317" s="212"/>
      <c r="AP317" s="212"/>
      <c r="AQ317" s="212"/>
      <c r="AR317" s="212"/>
      <c r="AS317" s="212"/>
    </row>
    <row r="318" spans="2:46" ht="15" hidden="1" customHeight="1">
      <c r="B318" s="370" t="s">
        <v>2305</v>
      </c>
      <c r="C318" s="1279" t="s">
        <v>706</v>
      </c>
      <c r="D318" s="1124">
        <f t="shared" si="26"/>
        <v>0</v>
      </c>
      <c r="E318" s="1124">
        <f t="shared" si="26"/>
        <v>0</v>
      </c>
      <c r="F318" s="1124">
        <f t="shared" si="26"/>
        <v>0</v>
      </c>
      <c r="G318" s="1124">
        <f t="shared" si="26"/>
        <v>0</v>
      </c>
      <c r="H318" s="1124">
        <f t="shared" si="26"/>
        <v>0</v>
      </c>
      <c r="I318" s="1124">
        <f t="shared" si="26"/>
        <v>0</v>
      </c>
      <c r="J318" s="370"/>
      <c r="K318" s="321"/>
      <c r="L318" s="92"/>
      <c r="M318" s="86"/>
      <c r="N318" s="223"/>
      <c r="O318" s="212"/>
      <c r="P318" s="212"/>
      <c r="Q318" s="212"/>
      <c r="R318" s="212"/>
      <c r="S318" s="212"/>
      <c r="T318" s="212"/>
      <c r="U318" s="212"/>
      <c r="V318" s="212"/>
      <c r="W318" s="212"/>
      <c r="X318" s="212"/>
      <c r="Y318" s="212"/>
      <c r="Z318" s="212"/>
      <c r="AA318" s="212"/>
      <c r="AB318" s="212"/>
      <c r="AC318" s="212"/>
      <c r="AD318" s="212"/>
      <c r="AE318" s="212"/>
      <c r="AF318" s="212"/>
      <c r="AG318" s="212"/>
      <c r="AH318" s="212"/>
      <c r="AI318" s="212"/>
      <c r="AJ318" s="212"/>
      <c r="AK318" s="212"/>
      <c r="AL318" s="212"/>
      <c r="AM318" s="212"/>
      <c r="AN318" s="212"/>
      <c r="AO318" s="212"/>
      <c r="AP318" s="212"/>
      <c r="AQ318" s="212"/>
      <c r="AR318" s="212"/>
      <c r="AS318" s="212"/>
    </row>
    <row r="319" spans="2:46" ht="15" hidden="1" customHeight="1">
      <c r="B319" s="370" t="s">
        <v>2306</v>
      </c>
      <c r="C319" s="1279" t="s">
        <v>706</v>
      </c>
      <c r="D319" s="1124">
        <f t="shared" si="26"/>
        <v>0</v>
      </c>
      <c r="E319" s="1124">
        <f t="shared" si="26"/>
        <v>0</v>
      </c>
      <c r="F319" s="1124">
        <f t="shared" si="26"/>
        <v>0</v>
      </c>
      <c r="G319" s="1124">
        <f t="shared" si="26"/>
        <v>0</v>
      </c>
      <c r="H319" s="1124">
        <f t="shared" si="26"/>
        <v>0</v>
      </c>
      <c r="I319" s="1124">
        <f t="shared" si="26"/>
        <v>0</v>
      </c>
      <c r="J319" s="370"/>
      <c r="K319" s="321"/>
      <c r="L319" s="92"/>
      <c r="M319" s="86"/>
      <c r="N319" s="223"/>
      <c r="O319" s="212"/>
      <c r="P319" s="212"/>
      <c r="Q319" s="212"/>
      <c r="R319" s="212"/>
      <c r="S319" s="212"/>
      <c r="T319" s="212"/>
      <c r="U319" s="212"/>
      <c r="V319" s="212"/>
      <c r="W319" s="212"/>
      <c r="X319" s="212"/>
      <c r="Y319" s="212"/>
      <c r="Z319" s="212"/>
      <c r="AA319" s="212"/>
      <c r="AB319" s="212"/>
      <c r="AC319" s="212"/>
      <c r="AD319" s="212"/>
      <c r="AE319" s="212"/>
      <c r="AF319" s="212"/>
      <c r="AG319" s="212"/>
      <c r="AH319" s="212"/>
      <c r="AI319" s="212"/>
      <c r="AJ319" s="212"/>
      <c r="AK319" s="212"/>
      <c r="AL319" s="212"/>
      <c r="AM319" s="212"/>
      <c r="AN319" s="212"/>
      <c r="AO319" s="212"/>
      <c r="AP319" s="212"/>
      <c r="AQ319" s="212"/>
      <c r="AR319" s="212"/>
      <c r="AS319" s="212"/>
    </row>
    <row r="320" spans="2:46" ht="15" hidden="1" customHeight="1">
      <c r="B320" s="374" t="s">
        <v>1074</v>
      </c>
      <c r="C320" s="1279" t="s">
        <v>706</v>
      </c>
      <c r="D320" s="1124">
        <f t="shared" si="26"/>
        <v>0</v>
      </c>
      <c r="E320" s="1124">
        <f t="shared" si="26"/>
        <v>0</v>
      </c>
      <c r="F320" s="1124">
        <f t="shared" si="26"/>
        <v>0</v>
      </c>
      <c r="G320" s="1124">
        <f t="shared" si="26"/>
        <v>0</v>
      </c>
      <c r="H320" s="1124">
        <f t="shared" si="26"/>
        <v>0</v>
      </c>
      <c r="I320" s="1124">
        <f t="shared" si="26"/>
        <v>0</v>
      </c>
      <c r="J320" s="112"/>
      <c r="K320" s="321"/>
      <c r="L320" s="92"/>
      <c r="M320" s="86"/>
      <c r="N320" s="223"/>
      <c r="O320" s="212"/>
      <c r="P320" s="212"/>
      <c r="Q320" s="212"/>
      <c r="R320" s="212"/>
      <c r="S320" s="212"/>
      <c r="T320" s="212"/>
      <c r="U320" s="212"/>
      <c r="V320" s="212"/>
      <c r="W320" s="212"/>
      <c r="X320" s="212"/>
      <c r="Y320" s="212"/>
      <c r="Z320" s="212"/>
      <c r="AA320" s="212"/>
      <c r="AB320" s="212"/>
      <c r="AC320" s="212"/>
      <c r="AD320" s="212"/>
      <c r="AE320" s="212"/>
      <c r="AF320" s="212"/>
      <c r="AG320" s="212"/>
      <c r="AH320" s="212"/>
      <c r="AI320" s="212"/>
      <c r="AJ320" s="212"/>
      <c r="AK320" s="212"/>
      <c r="AL320" s="212"/>
      <c r="AM320" s="212"/>
      <c r="AN320" s="212"/>
      <c r="AO320" s="212"/>
      <c r="AP320" s="212"/>
      <c r="AQ320" s="212"/>
      <c r="AR320" s="212"/>
      <c r="AS320" s="212"/>
    </row>
    <row r="321" spans="1:91" ht="15" hidden="1" customHeight="1">
      <c r="B321" s="375" t="s">
        <v>1075</v>
      </c>
      <c r="C321" s="1279" t="s">
        <v>706</v>
      </c>
      <c r="D321" s="1124">
        <f t="shared" si="26"/>
        <v>0</v>
      </c>
      <c r="E321" s="1124">
        <f t="shared" si="26"/>
        <v>0</v>
      </c>
      <c r="F321" s="1124">
        <f t="shared" si="26"/>
        <v>0</v>
      </c>
      <c r="G321" s="1124">
        <f t="shared" si="26"/>
        <v>0</v>
      </c>
      <c r="H321" s="1124">
        <f t="shared" si="26"/>
        <v>0</v>
      </c>
      <c r="I321" s="1124">
        <f t="shared" si="26"/>
        <v>0</v>
      </c>
      <c r="J321" s="112"/>
      <c r="K321" s="321"/>
      <c r="L321" s="92"/>
      <c r="M321" s="86"/>
      <c r="N321" s="223"/>
      <c r="O321" s="212"/>
      <c r="P321" s="212"/>
      <c r="Q321" s="212"/>
      <c r="R321" s="212"/>
      <c r="S321" s="212"/>
      <c r="T321" s="212"/>
      <c r="U321" s="212"/>
      <c r="V321" s="212"/>
      <c r="W321" s="212"/>
      <c r="X321" s="212"/>
      <c r="Y321" s="212"/>
      <c r="Z321" s="212"/>
      <c r="AA321" s="212"/>
      <c r="AB321" s="212"/>
      <c r="AC321" s="212"/>
      <c r="AD321" s="212"/>
      <c r="AE321" s="212"/>
      <c r="AF321" s="212"/>
      <c r="AG321" s="212"/>
      <c r="AH321" s="212"/>
      <c r="AI321" s="212"/>
      <c r="AJ321" s="212"/>
      <c r="AK321" s="212"/>
      <c r="AL321" s="212"/>
      <c r="AM321" s="212"/>
      <c r="AN321" s="212"/>
      <c r="AO321" s="212"/>
      <c r="AP321" s="212"/>
      <c r="AQ321" s="212"/>
      <c r="AR321" s="212"/>
      <c r="AS321" s="212"/>
    </row>
    <row r="322" spans="1:91" ht="15" hidden="1" customHeight="1">
      <c r="B322" s="372" t="s">
        <v>1076</v>
      </c>
      <c r="C322" s="1279" t="s">
        <v>706</v>
      </c>
      <c r="D322" s="1124">
        <f t="shared" si="26"/>
        <v>0</v>
      </c>
      <c r="E322" s="1124">
        <f t="shared" si="26"/>
        <v>0</v>
      </c>
      <c r="F322" s="1124">
        <f t="shared" si="26"/>
        <v>0</v>
      </c>
      <c r="G322" s="1124">
        <f t="shared" si="26"/>
        <v>0</v>
      </c>
      <c r="H322" s="1124">
        <f t="shared" si="26"/>
        <v>0</v>
      </c>
      <c r="I322" s="1124">
        <f t="shared" si="26"/>
        <v>0</v>
      </c>
      <c r="J322" s="321"/>
      <c r="K322" s="321"/>
      <c r="L322" s="92"/>
      <c r="M322" s="86"/>
      <c r="N322" s="223"/>
      <c r="O322" s="212"/>
      <c r="P322" s="212"/>
      <c r="Q322" s="212"/>
      <c r="R322" s="212"/>
      <c r="S322" s="212"/>
      <c r="T322" s="212"/>
      <c r="U322" s="212"/>
      <c r="V322" s="212"/>
      <c r="W322" s="212"/>
      <c r="X322" s="212"/>
      <c r="Y322" s="212"/>
      <c r="Z322" s="212"/>
      <c r="AA322" s="212"/>
      <c r="AB322" s="212"/>
      <c r="AC322" s="212"/>
      <c r="AD322" s="212"/>
      <c r="AE322" s="212"/>
      <c r="AF322" s="212"/>
      <c r="AG322" s="212"/>
      <c r="AH322" s="212"/>
      <c r="AI322" s="212"/>
      <c r="AJ322" s="212"/>
      <c r="AK322" s="212"/>
      <c r="AL322" s="212"/>
      <c r="AM322" s="212"/>
      <c r="AN322" s="212"/>
      <c r="AO322" s="212"/>
      <c r="AP322" s="212"/>
      <c r="AQ322" s="212"/>
      <c r="AR322" s="212"/>
      <c r="AS322" s="212"/>
    </row>
    <row r="323" spans="1:91" ht="15" hidden="1" customHeight="1">
      <c r="B323" s="722" t="s">
        <v>1205</v>
      </c>
      <c r="C323" s="1279" t="s">
        <v>706</v>
      </c>
      <c r="D323" s="1124">
        <f t="shared" si="26"/>
        <v>0</v>
      </c>
      <c r="E323" s="1124">
        <f t="shared" si="26"/>
        <v>0</v>
      </c>
      <c r="F323" s="1124">
        <f t="shared" si="26"/>
        <v>0</v>
      </c>
      <c r="G323" s="1124">
        <f t="shared" si="26"/>
        <v>0</v>
      </c>
      <c r="H323" s="1124">
        <f t="shared" si="26"/>
        <v>0</v>
      </c>
      <c r="I323" s="1124">
        <f t="shared" si="26"/>
        <v>0</v>
      </c>
      <c r="J323" s="321"/>
      <c r="K323" s="321"/>
      <c r="L323" s="92"/>
      <c r="M323" s="86"/>
      <c r="N323" s="223"/>
      <c r="O323" s="212"/>
      <c r="P323" s="212"/>
      <c r="Q323" s="212"/>
      <c r="R323" s="212"/>
      <c r="S323" s="212"/>
      <c r="T323" s="212"/>
      <c r="U323" s="212"/>
      <c r="V323" s="212"/>
      <c r="W323" s="212"/>
      <c r="X323" s="212"/>
      <c r="Y323" s="212"/>
      <c r="Z323" s="212"/>
      <c r="AA323" s="212"/>
      <c r="AB323" s="212"/>
      <c r="AC323" s="212"/>
      <c r="AD323" s="212"/>
      <c r="AE323" s="212"/>
      <c r="AF323" s="212"/>
      <c r="AG323" s="212"/>
      <c r="AH323" s="212"/>
      <c r="AI323" s="212"/>
      <c r="AJ323" s="212"/>
      <c r="AK323" s="212"/>
      <c r="AL323" s="212"/>
      <c r="AM323" s="212"/>
      <c r="AN323" s="212"/>
      <c r="AO323" s="212"/>
      <c r="AP323" s="212"/>
      <c r="AQ323" s="212"/>
      <c r="AR323" s="212"/>
      <c r="AS323" s="212"/>
    </row>
    <row r="324" spans="1:91" ht="15" customHeight="1">
      <c r="B324" s="112" t="s">
        <v>462</v>
      </c>
      <c r="C324" s="140"/>
      <c r="D324" s="1125">
        <f t="shared" si="26"/>
        <v>0</v>
      </c>
      <c r="E324" s="1125">
        <f t="shared" si="26"/>
        <v>0</v>
      </c>
      <c r="F324" s="1125">
        <f t="shared" si="26"/>
        <v>0</v>
      </c>
      <c r="G324" s="1125">
        <f t="shared" si="26"/>
        <v>0</v>
      </c>
      <c r="H324" s="1125">
        <f t="shared" si="26"/>
        <v>0</v>
      </c>
      <c r="I324" s="1125">
        <f t="shared" si="26"/>
        <v>0</v>
      </c>
      <c r="J324" s="321"/>
      <c r="K324" s="321"/>
      <c r="L324" s="92"/>
      <c r="M324" s="86"/>
      <c r="N324" s="223"/>
      <c r="O324" s="212"/>
      <c r="P324" s="212"/>
      <c r="Q324" s="212"/>
      <c r="R324" s="212"/>
      <c r="S324" s="212"/>
      <c r="T324" s="212"/>
      <c r="U324" s="212"/>
      <c r="V324" s="212"/>
      <c r="W324" s="212"/>
      <c r="X324" s="212"/>
      <c r="Y324" s="212"/>
      <c r="Z324" s="212"/>
      <c r="AA324" s="212"/>
      <c r="AB324" s="212"/>
      <c r="AC324" s="212"/>
      <c r="AD324" s="212"/>
      <c r="AE324" s="212"/>
      <c r="AF324" s="212"/>
      <c r="AG324" s="212"/>
      <c r="AH324" s="212"/>
      <c r="AI324" s="212"/>
      <c r="AJ324" s="212"/>
      <c r="AK324" s="212"/>
      <c r="AL324" s="212"/>
      <c r="AM324" s="212"/>
      <c r="AN324" s="212"/>
      <c r="AO324" s="212"/>
      <c r="AP324" s="212"/>
      <c r="AQ324" s="212"/>
      <c r="AR324" s="212"/>
      <c r="AS324" s="212"/>
      <c r="AT324" s="693"/>
    </row>
    <row r="325" spans="1:91" ht="15" customHeight="1">
      <c r="B325" s="112" t="s">
        <v>1415</v>
      </c>
      <c r="C325" s="140"/>
      <c r="D325" s="1124">
        <f t="shared" si="26"/>
        <v>0</v>
      </c>
      <c r="E325" s="1124">
        <f t="shared" si="26"/>
        <v>0</v>
      </c>
      <c r="F325" s="1124">
        <f t="shared" si="26"/>
        <v>0</v>
      </c>
      <c r="G325" s="1124">
        <f t="shared" si="26"/>
        <v>0</v>
      </c>
      <c r="H325" s="1124">
        <f t="shared" si="26"/>
        <v>0</v>
      </c>
      <c r="I325" s="1124">
        <f t="shared" si="26"/>
        <v>0</v>
      </c>
      <c r="J325" s="321"/>
      <c r="K325" s="321"/>
      <c r="L325" s="92"/>
      <c r="M325" s="86"/>
      <c r="N325" s="223"/>
      <c r="O325" s="212"/>
      <c r="P325" s="212"/>
      <c r="Q325" s="212"/>
      <c r="R325" s="212"/>
      <c r="S325" s="212"/>
      <c r="T325" s="212"/>
      <c r="U325" s="212"/>
      <c r="V325" s="212"/>
      <c r="W325" s="212"/>
      <c r="X325" s="212"/>
      <c r="Y325" s="212"/>
      <c r="Z325" s="212"/>
      <c r="AA325" s="212"/>
      <c r="AB325" s="212"/>
      <c r="AC325" s="212"/>
      <c r="AD325" s="212"/>
      <c r="AE325" s="212"/>
      <c r="AF325" s="212"/>
      <c r="AG325" s="212"/>
      <c r="AH325" s="212"/>
      <c r="AI325" s="212"/>
      <c r="AJ325" s="212"/>
      <c r="AK325" s="212"/>
      <c r="AL325" s="212"/>
      <c r="AM325" s="212"/>
      <c r="AN325" s="212"/>
      <c r="AO325" s="212"/>
      <c r="AP325" s="212"/>
      <c r="AQ325" s="212"/>
      <c r="AR325" s="212"/>
      <c r="AS325" s="212"/>
      <c r="AT325" s="693"/>
    </row>
    <row r="326" spans="1:91" ht="15" customHeight="1">
      <c r="F326" s="448" t="str">
        <f ca="1">IF(F80&lt;&gt;Details!$E$11,F80-Details!$E$11,".")</f>
        <v>.</v>
      </c>
      <c r="G326" s="448" t="str">
        <f ca="1">IF(G80&lt;&gt;Details!$E$14,G80-Details!$E$14,".")</f>
        <v>.</v>
      </c>
      <c r="H326" s="448" t="str">
        <f ca="1">IF(H80&lt;&gt;Details!$E$17,H80-Details!$E$17,".")</f>
        <v>.</v>
      </c>
      <c r="I326" s="448" t="str">
        <f ca="1">IF(I80&lt;&gt;Details!$E$18,I80-Details!$E$18,".")</f>
        <v>.</v>
      </c>
      <c r="J326" s="321"/>
      <c r="K326" s="321"/>
      <c r="L326" s="92"/>
      <c r="M326" s="86"/>
      <c r="N326" s="223"/>
      <c r="O326" s="212"/>
      <c r="P326" s="212"/>
      <c r="Q326" s="212"/>
      <c r="R326" s="212"/>
      <c r="S326" s="212"/>
      <c r="T326" s="212"/>
      <c r="U326" s="212"/>
      <c r="V326" s="212"/>
      <c r="W326" s="212"/>
      <c r="X326" s="212"/>
      <c r="Y326" s="212"/>
      <c r="Z326" s="212"/>
      <c r="AA326" s="212"/>
      <c r="AB326" s="212"/>
      <c r="AC326" s="212"/>
      <c r="AD326" s="212"/>
      <c r="AE326" s="212"/>
      <c r="AF326" s="212"/>
      <c r="AG326" s="212"/>
      <c r="AH326" s="212"/>
      <c r="AI326" s="212"/>
      <c r="AJ326" s="212"/>
      <c r="AK326" s="212"/>
      <c r="AL326" s="212"/>
      <c r="AM326" s="212"/>
      <c r="AN326" s="212"/>
      <c r="AO326" s="212"/>
      <c r="AP326" s="212"/>
      <c r="AQ326" s="212"/>
      <c r="AR326" s="212"/>
      <c r="AS326" s="212"/>
    </row>
    <row r="327" spans="1:91" ht="18" customHeight="1">
      <c r="A327" s="1"/>
      <c r="B327" s="1154"/>
      <c r="C327" s="71"/>
      <c r="D327" s="71"/>
      <c r="E327" s="71"/>
      <c r="F327" s="74"/>
      <c r="G327" s="74"/>
      <c r="H327" s="74"/>
      <c r="I327" s="74"/>
      <c r="J327" s="74"/>
      <c r="K327" s="74"/>
      <c r="L327" s="74"/>
      <c r="M327" s="74"/>
      <c r="N327" s="74"/>
      <c r="O327" s="74"/>
      <c r="P327" s="74"/>
      <c r="Q327" s="74"/>
      <c r="R327" s="74"/>
      <c r="S327" s="74"/>
      <c r="T327" s="74"/>
      <c r="U327" s="74"/>
      <c r="V327" s="74"/>
      <c r="W327" s="74"/>
      <c r="X327" s="74"/>
      <c r="Y327" s="74"/>
      <c r="Z327" s="74"/>
      <c r="AA327" s="74"/>
      <c r="AB327" s="74"/>
      <c r="AC327" s="74"/>
      <c r="AD327" s="74"/>
      <c r="AE327" s="74"/>
      <c r="AF327" s="74"/>
      <c r="AG327" s="74"/>
      <c r="AH327" s="74"/>
      <c r="AI327" s="74"/>
      <c r="AJ327" s="74"/>
      <c r="AK327" s="74"/>
      <c r="AL327" s="74"/>
      <c r="AM327" s="74"/>
      <c r="AN327" s="74"/>
      <c r="AO327" s="74"/>
      <c r="AP327" s="74"/>
      <c r="AQ327" s="74"/>
      <c r="AR327" s="74"/>
      <c r="AS327" s="74"/>
      <c r="AU327" s="13"/>
      <c r="AV327" s="13"/>
      <c r="AW327" s="13"/>
      <c r="AX327" s="71"/>
      <c r="AY327" s="74"/>
      <c r="AZ327" s="74"/>
      <c r="BA327" s="74"/>
      <c r="BB327" s="74"/>
      <c r="BC327" s="74"/>
      <c r="BD327" s="74"/>
      <c r="BE327" s="74"/>
      <c r="BF327" s="74"/>
      <c r="BG327" s="74"/>
      <c r="BH327" s="74"/>
      <c r="BI327" s="74"/>
      <c r="BJ327" s="74"/>
      <c r="BK327" s="74"/>
      <c r="BL327" s="74"/>
      <c r="BM327" s="74"/>
      <c r="BN327" s="74"/>
      <c r="BO327" s="74"/>
      <c r="BP327" s="74"/>
      <c r="BQ327" s="74"/>
      <c r="BR327" s="74"/>
      <c r="BS327" s="74"/>
      <c r="BT327" s="74"/>
      <c r="BU327" s="74"/>
      <c r="BV327" s="74"/>
      <c r="BW327" s="74"/>
      <c r="BX327" s="74"/>
      <c r="BY327" s="74"/>
      <c r="BZ327" s="74"/>
      <c r="CA327" s="74"/>
      <c r="CB327" s="74"/>
      <c r="CC327" s="74"/>
      <c r="CD327" s="74"/>
      <c r="CE327" s="74"/>
      <c r="CF327" s="74"/>
      <c r="CG327" s="74"/>
      <c r="CH327" s="74"/>
      <c r="CI327" s="74"/>
      <c r="CJ327" s="74"/>
      <c r="CK327" s="74"/>
      <c r="CL327" s="74"/>
      <c r="CM327" s="13"/>
    </row>
    <row r="328" spans="1:91" ht="18" customHeight="1">
      <c r="A328" s="1073"/>
      <c r="B328" s="1163" t="s">
        <v>655</v>
      </c>
      <c r="C328" s="1163"/>
      <c r="D328" s="1073"/>
      <c r="E328" s="1267"/>
      <c r="F328" s="29"/>
      <c r="G328" s="29"/>
      <c r="H328" s="29"/>
      <c r="I328" s="29"/>
      <c r="J328" s="29"/>
      <c r="K328" s="29"/>
      <c r="L328" s="29"/>
      <c r="M328" s="29"/>
      <c r="N328" s="29"/>
      <c r="O328" s="29"/>
      <c r="P328" s="29"/>
      <c r="Q328" s="29"/>
      <c r="R328" s="29"/>
      <c r="S328" s="29"/>
      <c r="T328" s="29"/>
      <c r="U328" s="29"/>
      <c r="V328" s="29"/>
      <c r="W328" s="29"/>
      <c r="X328" s="29"/>
      <c r="Y328" s="29"/>
      <c r="Z328" s="29"/>
      <c r="AA328" s="29"/>
      <c r="AB328" s="29"/>
      <c r="AC328" s="29"/>
      <c r="AD328" s="29"/>
      <c r="AE328" s="29"/>
      <c r="AF328" s="29"/>
      <c r="AG328" s="29"/>
      <c r="AH328" s="29"/>
      <c r="AI328" s="29"/>
      <c r="AJ328" s="29"/>
      <c r="AK328" s="29"/>
      <c r="AL328" s="29"/>
      <c r="AM328" s="29"/>
      <c r="AN328" s="29"/>
      <c r="AO328" s="29"/>
      <c r="AP328" s="29"/>
      <c r="AQ328" s="29"/>
      <c r="AR328" s="29"/>
      <c r="AS328" s="29"/>
    </row>
    <row r="329" spans="1:91" ht="16.2" customHeight="1">
      <c r="A329" s="1167"/>
      <c r="B329" s="1167"/>
      <c r="C329" s="1167"/>
      <c r="D329" s="341" t="s">
        <v>1661</v>
      </c>
      <c r="E329" s="1167"/>
      <c r="F329" s="29"/>
      <c r="G329" s="29"/>
      <c r="H329" s="29"/>
      <c r="I329" s="29"/>
      <c r="J329" s="29"/>
      <c r="K329" s="29"/>
      <c r="L329" s="29"/>
      <c r="M329" s="29"/>
      <c r="N329" s="29"/>
      <c r="O329" s="29"/>
      <c r="P329" s="29"/>
      <c r="Q329" s="29"/>
      <c r="R329" s="29"/>
      <c r="S329" s="29"/>
      <c r="T329" s="29"/>
      <c r="U329" s="29"/>
      <c r="V329" s="29"/>
      <c r="W329" s="29"/>
      <c r="X329" s="29"/>
      <c r="Y329" s="29"/>
      <c r="Z329" s="29"/>
      <c r="AA329" s="29"/>
      <c r="AB329" s="29"/>
      <c r="AC329" s="29"/>
      <c r="AD329" s="29"/>
      <c r="AE329" s="29"/>
      <c r="AF329" s="29"/>
      <c r="AG329" s="29"/>
      <c r="AH329" s="29"/>
      <c r="AI329" s="29"/>
      <c r="AJ329" s="29"/>
      <c r="AK329" s="29"/>
      <c r="AL329" s="29"/>
      <c r="AM329" s="29"/>
      <c r="AN329" s="29"/>
      <c r="AO329" s="29"/>
      <c r="AP329" s="29"/>
      <c r="AQ329" s="29"/>
      <c r="AR329" s="29"/>
      <c r="AS329" s="29"/>
    </row>
    <row r="330" spans="1:91" s="1209" customFormat="1" ht="16.2" customHeight="1">
      <c r="A330" s="1204" t="s">
        <v>1494</v>
      </c>
      <c r="B330" s="150" t="s">
        <v>1040</v>
      </c>
      <c r="C330" s="1206"/>
      <c r="D330" s="1207"/>
      <c r="E330" s="1207">
        <f>SUM(F330:AS330)</f>
        <v>3354900</v>
      </c>
      <c r="F330" s="102">
        <f>+Base!F184</f>
        <v>62700</v>
      </c>
      <c r="G330" s="1208">
        <f>+Base!G184</f>
        <v>79400</v>
      </c>
      <c r="H330" s="1208">
        <f>+Base!H184</f>
        <v>66100</v>
      </c>
      <c r="I330" s="1208">
        <f>+Base!I184</f>
        <v>67900</v>
      </c>
      <c r="J330" s="1208">
        <f>+Base!J184</f>
        <v>69800</v>
      </c>
      <c r="K330" s="1208">
        <f>+Base!K184</f>
        <v>90700</v>
      </c>
      <c r="L330" s="1208">
        <f>+Base!L184</f>
        <v>93400</v>
      </c>
      <c r="M330" s="1208">
        <f>+Base!M184</f>
        <v>96200</v>
      </c>
      <c r="N330" s="1208">
        <f>+Base!N184</f>
        <v>71800</v>
      </c>
      <c r="O330" s="1208">
        <f>+Base!O184</f>
        <v>73900</v>
      </c>
      <c r="P330" s="1208">
        <f>+Base!P184</f>
        <v>75900</v>
      </c>
      <c r="Q330" s="1208">
        <f>+Base!Q184</f>
        <v>79000</v>
      </c>
      <c r="R330" s="1208">
        <f>+Base!R184</f>
        <v>91200</v>
      </c>
      <c r="S330" s="1208">
        <f>+Base!S184</f>
        <v>95900</v>
      </c>
      <c r="T330" s="1208">
        <f>+Base!T184</f>
        <v>122400</v>
      </c>
      <c r="U330" s="1208">
        <f>+Base!U184</f>
        <v>136800</v>
      </c>
      <c r="V330" s="1208">
        <f>+Base!V184</f>
        <v>132100</v>
      </c>
      <c r="W330" s="1208">
        <f>+Base!W184</f>
        <v>136700</v>
      </c>
      <c r="X330" s="1208">
        <f>+Base!X184</f>
        <v>129000</v>
      </c>
      <c r="Y330" s="1208">
        <f>+Base!Y184</f>
        <v>131800</v>
      </c>
      <c r="Z330" s="1208">
        <f>+Base!Z184</f>
        <v>136200</v>
      </c>
      <c r="AA330" s="1208">
        <f>+Base!AA184</f>
        <v>141000</v>
      </c>
      <c r="AB330" s="1208">
        <f>+Base!AB184</f>
        <v>147800</v>
      </c>
      <c r="AC330" s="1208">
        <f>+Base!AC184</f>
        <v>158700</v>
      </c>
      <c r="AD330" s="1208">
        <f>+Base!AD184</f>
        <v>141000</v>
      </c>
      <c r="AE330" s="1208">
        <f>+Base!AE184</f>
        <v>145700</v>
      </c>
      <c r="AF330" s="1208">
        <f>+Base!AF184</f>
        <v>148500</v>
      </c>
      <c r="AG330" s="1208">
        <f>+Base!AG184</f>
        <v>142500</v>
      </c>
      <c r="AH330" s="1208">
        <f>+Base!AH184</f>
        <v>143900</v>
      </c>
      <c r="AI330" s="1208">
        <f>+Base!AI184</f>
        <v>146900</v>
      </c>
      <c r="AJ330" s="1208">
        <f>+Base!AJ184</f>
        <v>0</v>
      </c>
      <c r="AK330" s="1208">
        <f>+Base!AK184</f>
        <v>0</v>
      </c>
      <c r="AL330" s="1208">
        <f>+Base!AL184</f>
        <v>0</v>
      </c>
      <c r="AM330" s="1208">
        <f>+Base!AM184</f>
        <v>0</v>
      </c>
      <c r="AN330" s="1208">
        <f>+Base!AN184</f>
        <v>0</v>
      </c>
      <c r="AO330" s="1208">
        <f>+Base!AO184</f>
        <v>0</v>
      </c>
      <c r="AP330" s="1208">
        <f>+Base!AP184</f>
        <v>0</v>
      </c>
      <c r="AQ330" s="1208">
        <f>+Base!AQ184</f>
        <v>0</v>
      </c>
      <c r="AR330" s="1208">
        <f>+Base!AR184</f>
        <v>0</v>
      </c>
      <c r="AS330" s="1208">
        <f>+Base!AS184</f>
        <v>0</v>
      </c>
      <c r="AT330" s="1204"/>
    </row>
    <row r="331" spans="1:91" s="1" customFormat="1" ht="16.2" customHeight="1">
      <c r="A331" s="693" t="s">
        <v>1494</v>
      </c>
      <c r="B331" s="91" t="s">
        <v>150</v>
      </c>
      <c r="C331" s="559"/>
      <c r="D331" s="102"/>
      <c r="E331" s="102">
        <f>SUM(F331:AS331)</f>
        <v>3689300</v>
      </c>
      <c r="F331" s="102">
        <f>+Base!F270</f>
        <v>65600</v>
      </c>
      <c r="G331" s="1157">
        <f>+Base!G270</f>
        <v>82200</v>
      </c>
      <c r="H331" s="1157">
        <f>+Base!H270</f>
        <v>68800</v>
      </c>
      <c r="I331" s="1157">
        <f>+Base!I270</f>
        <v>70400</v>
      </c>
      <c r="J331" s="1157">
        <f>+Base!J270</f>
        <v>72100</v>
      </c>
      <c r="K331" s="1157">
        <f>+Base!K270</f>
        <v>93000</v>
      </c>
      <c r="L331" s="1157">
        <f>+Base!L270</f>
        <v>95800</v>
      </c>
      <c r="M331" s="1157">
        <f>+Base!M270</f>
        <v>98800</v>
      </c>
      <c r="N331" s="1157">
        <f>+Base!N270</f>
        <v>74600</v>
      </c>
      <c r="O331" s="1157">
        <f>+Base!O270</f>
        <v>77200</v>
      </c>
      <c r="P331" s="1157">
        <f>+Base!P270</f>
        <v>79100</v>
      </c>
      <c r="Q331" s="1157">
        <f>+Base!Q270</f>
        <v>82500</v>
      </c>
      <c r="R331" s="1157">
        <f>+Base!R270</f>
        <v>95400</v>
      </c>
      <c r="S331" s="1157">
        <f>+Base!S270</f>
        <v>100600</v>
      </c>
      <c r="T331" s="1157">
        <f>+Base!T270</f>
        <v>127200</v>
      </c>
      <c r="U331" s="1157">
        <f>+Base!U270</f>
        <v>142200</v>
      </c>
      <c r="V331" s="1157">
        <f>+Base!V270</f>
        <v>138800</v>
      </c>
      <c r="W331" s="1157">
        <f>+Base!W270</f>
        <v>144300</v>
      </c>
      <c r="X331" s="1157">
        <f>+Base!X270</f>
        <v>140500</v>
      </c>
      <c r="Y331" s="1157">
        <f>+Base!Y270</f>
        <v>144000</v>
      </c>
      <c r="Z331" s="1157">
        <f>+Base!Z270</f>
        <v>149200</v>
      </c>
      <c r="AA331" s="1157">
        <f>+Base!AA270</f>
        <v>154800</v>
      </c>
      <c r="AB331" s="1157">
        <f>+Base!AB270</f>
        <v>165500</v>
      </c>
      <c r="AC331" s="1157">
        <f>+Base!AC270</f>
        <v>182800</v>
      </c>
      <c r="AD331" s="1157">
        <f>+Base!AD270</f>
        <v>167000</v>
      </c>
      <c r="AE331" s="1157">
        <f>+Base!AE270</f>
        <v>173900</v>
      </c>
      <c r="AF331" s="1157">
        <f>+Base!AF270</f>
        <v>177600</v>
      </c>
      <c r="AG331" s="1157">
        <f>+Base!AG270</f>
        <v>172400</v>
      </c>
      <c r="AH331" s="1157">
        <f>+Base!AH270</f>
        <v>174600</v>
      </c>
      <c r="AI331" s="1157">
        <f>+Base!AI270</f>
        <v>178400</v>
      </c>
      <c r="AJ331" s="1157">
        <f>+Base!AJ270</f>
        <v>0</v>
      </c>
      <c r="AK331" s="1157">
        <f>+Base!AK270</f>
        <v>0</v>
      </c>
      <c r="AL331" s="1157">
        <f>+Base!AL270</f>
        <v>0</v>
      </c>
      <c r="AM331" s="1157">
        <f>+Base!AM270</f>
        <v>0</v>
      </c>
      <c r="AN331" s="1157">
        <f>+Base!AN270</f>
        <v>0</v>
      </c>
      <c r="AO331" s="1157">
        <f>+Base!AO270</f>
        <v>0</v>
      </c>
      <c r="AP331" s="1157">
        <f>+Base!AP270</f>
        <v>0</v>
      </c>
      <c r="AQ331" s="1157">
        <f>+Base!AQ270</f>
        <v>0</v>
      </c>
      <c r="AR331" s="1157">
        <f>+Base!AR270</f>
        <v>0</v>
      </c>
      <c r="AS331" s="1157">
        <f>+Base!AS270</f>
        <v>0</v>
      </c>
      <c r="AT331" s="693"/>
    </row>
    <row r="332" spans="1:91" s="1" customFormat="1" ht="19.95" customHeight="1">
      <c r="A332" s="693" t="s">
        <v>1494</v>
      </c>
      <c r="B332" s="586" t="s">
        <v>1481</v>
      </c>
      <c r="C332" s="559"/>
      <c r="D332" s="102">
        <f>ROUND(NPV(Discount_Rate,Results!F332:AS332)/Round_To,0)*Round_To</f>
        <v>162100</v>
      </c>
      <c r="E332" s="102">
        <f>SUM(F332:AS332)</f>
        <v>279600</v>
      </c>
      <c r="F332" s="102">
        <f>+Base!F202</f>
        <v>3900</v>
      </c>
      <c r="G332" s="1157">
        <f>+Base!G202</f>
        <v>5800</v>
      </c>
      <c r="H332" s="1157">
        <f>+Base!H202</f>
        <v>4000</v>
      </c>
      <c r="I332" s="1157">
        <f>+Base!I202</f>
        <v>4100</v>
      </c>
      <c r="J332" s="1157">
        <f>+Base!J202</f>
        <v>4100</v>
      </c>
      <c r="K332" s="1157">
        <f>+Base!K202</f>
        <v>6500</v>
      </c>
      <c r="L332" s="1157">
        <f>+Base!L202</f>
        <v>6500</v>
      </c>
      <c r="M332" s="1157">
        <f>+Base!M202</f>
        <v>7100</v>
      </c>
      <c r="N332" s="1157">
        <f>+Base!N202</f>
        <v>4100</v>
      </c>
      <c r="O332" s="1157">
        <f>+Base!O202</f>
        <v>4200</v>
      </c>
      <c r="P332" s="1157">
        <f>+Base!P202</f>
        <v>4300</v>
      </c>
      <c r="Q332" s="1157">
        <f>+Base!Q202</f>
        <v>4600</v>
      </c>
      <c r="R332" s="1157">
        <f>+Base!R202</f>
        <v>5900</v>
      </c>
      <c r="S332" s="1157">
        <f>+Base!S202</f>
        <v>6300</v>
      </c>
      <c r="T332" s="1157">
        <f>+Base!T202</f>
        <v>9300</v>
      </c>
      <c r="U332" s="1157">
        <f>+Base!U202</f>
        <v>10900</v>
      </c>
      <c r="V332" s="1157">
        <f>+Base!V202</f>
        <v>10200</v>
      </c>
      <c r="W332" s="1157">
        <f>+Base!W202</f>
        <v>10500</v>
      </c>
      <c r="X332" s="1157">
        <f>+Base!X202</f>
        <v>9700</v>
      </c>
      <c r="Y332" s="1157">
        <f>+Base!Y202</f>
        <v>9900</v>
      </c>
      <c r="Z332" s="1157">
        <f>+Base!Z202</f>
        <v>10300</v>
      </c>
      <c r="AA332" s="1157">
        <f>+Base!AA202</f>
        <v>10800</v>
      </c>
      <c r="AB332" s="1157">
        <f>+Base!AB202</f>
        <v>11200</v>
      </c>
      <c r="AC332" s="1157">
        <f>+Base!AC202</f>
        <v>12200</v>
      </c>
      <c r="AD332" s="1157">
        <f>+Base!AD202</f>
        <v>17200</v>
      </c>
      <c r="AE332" s="1157">
        <f>+Base!AE202</f>
        <v>17900</v>
      </c>
      <c r="AF332" s="1157">
        <f>+Base!AF202</f>
        <v>18200</v>
      </c>
      <c r="AG332" s="1157">
        <f>+Base!AG202</f>
        <v>16600</v>
      </c>
      <c r="AH332" s="1157">
        <f>+Base!AH202</f>
        <v>16500</v>
      </c>
      <c r="AI332" s="1157">
        <f>+Base!AI202</f>
        <v>16800</v>
      </c>
      <c r="AJ332" s="1157">
        <f>+Base!AJ202</f>
        <v>0</v>
      </c>
      <c r="AK332" s="1157">
        <f>+Base!AK202</f>
        <v>0</v>
      </c>
      <c r="AL332" s="1157">
        <f>+Base!AL202</f>
        <v>0</v>
      </c>
      <c r="AM332" s="1157">
        <f>+Base!AM202</f>
        <v>0</v>
      </c>
      <c r="AN332" s="1157">
        <f>+Base!AN202</f>
        <v>0</v>
      </c>
      <c r="AO332" s="1157">
        <f>+Base!AO202</f>
        <v>0</v>
      </c>
      <c r="AP332" s="1157">
        <f>+Base!AP202</f>
        <v>0</v>
      </c>
      <c r="AQ332" s="1157">
        <f>+Base!AQ202</f>
        <v>0</v>
      </c>
      <c r="AR332" s="1157">
        <f>+Base!AR202</f>
        <v>0</v>
      </c>
      <c r="AS332" s="1157">
        <f>+Base!AS202</f>
        <v>0</v>
      </c>
      <c r="AT332" s="693"/>
    </row>
    <row r="333" spans="1:91" s="1" customFormat="1" ht="16.2" customHeight="1">
      <c r="A333" s="693" t="s">
        <v>1494</v>
      </c>
      <c r="B333" s="586" t="s">
        <v>2314</v>
      </c>
      <c r="C333" s="559"/>
      <c r="D333" s="102"/>
      <c r="E333" s="562"/>
      <c r="F333" s="102" t="str">
        <f>IF(F3&gt;Final_Year,"-     ",TEXT(+Base!F203,"0.0%") &amp; "-" &amp; TEXT(Base!F204,"0.0%"))</f>
        <v>10.9%-12.0%</v>
      </c>
      <c r="G333" s="102" t="str">
        <f>IF(G3&gt;Final_Year,"-     ",TEXT(+Base!G203,"0.0%") &amp; "-" &amp; TEXT(Base!G204,"0.0%"))</f>
        <v>11.4%-12.0%</v>
      </c>
      <c r="H333" s="102" t="str">
        <f>IF(H3&gt;Final_Year,"-     ",TEXT(+Base!H203,"0.0%") &amp; "-" &amp; TEXT(Base!H204,"0.0%"))</f>
        <v>10.9%-12.0%</v>
      </c>
      <c r="I333" s="102" t="str">
        <f>IF(I3&gt;Final_Year,"-     ",TEXT(+Base!I203,"0.0%") &amp; "-" &amp; TEXT(Base!I204,"0.0%"))</f>
        <v>11.0%-12.0%</v>
      </c>
      <c r="J333" s="102" t="str">
        <f>IF(J3&gt;Final_Year,"-     ",TEXT(+Base!J203,"0.0%") &amp; "-" &amp; TEXT(Base!J204,"0.0%"))</f>
        <v>10.8%-12.0%</v>
      </c>
      <c r="K333" s="102" t="str">
        <f>IF(K3&gt;Final_Year,"-     ",TEXT(+Base!K203,"0.0%") &amp; "-" &amp; TEXT(Base!K204,"0.0%"))</f>
        <v>11.4%-12.0%</v>
      </c>
      <c r="L333" s="102" t="str">
        <f>IF(L3&gt;Final_Year,"-     ",TEXT(+Base!L203,"0.0%") &amp; "-" &amp; TEXT(Base!L204,"0.0%"))</f>
        <v>11.2%-12.0%</v>
      </c>
      <c r="M333" s="102" t="str">
        <f>IF(M3&gt;Final_Year,"-     ",TEXT(+Base!M203,"0.0%") &amp; "-" &amp; TEXT(Base!M204,"0.0%"))</f>
        <v>11.3%-12.0%</v>
      </c>
      <c r="N333" s="102" t="str">
        <f>IF(N3&gt;Final_Year,"-     ",TEXT(+Base!N203,"0.0%") &amp; "-" &amp; TEXT(Base!N204,"0.0%"))</f>
        <v>10.9%-12.0%</v>
      </c>
      <c r="O333" s="102" t="str">
        <f>IF(O3&gt;Final_Year,"-     ",TEXT(+Base!O203,"0.0%") &amp; "-" &amp; TEXT(Base!O204,"0.0%"))</f>
        <v>10.8%-12.0%</v>
      </c>
      <c r="P333" s="102" t="str">
        <f>IF(P3&gt;Final_Year,"-     ",TEXT(+Base!P203,"0.0%") &amp; "-" &amp; TEXT(Base!P204,"0.0%"))</f>
        <v>10.7%-12.0%</v>
      </c>
      <c r="Q333" s="102" t="str">
        <f>IF(Q3&gt;Final_Year,"-     ",TEXT(+Base!Q203,"0.0%") &amp; "-" &amp; TEXT(Base!Q204,"0.0%"))</f>
        <v>10.9%-12.0%</v>
      </c>
      <c r="R333" s="102" t="str">
        <f>IF(R3&gt;Final_Year,"-     ",TEXT(+Base!R203,"0.0%") &amp; "-" &amp; TEXT(Base!R204,"0.0%"))</f>
        <v>11.1%-12.0%</v>
      </c>
      <c r="S333" s="102" t="str">
        <f>IF(S3&gt;Final_Year,"-     ",TEXT(+Base!S203,"0.0%") &amp; "-" &amp; TEXT(Base!S204,"0.0%"))</f>
        <v>11.1%-12.0%</v>
      </c>
      <c r="T333" s="102" t="str">
        <f>IF(T3&gt;Final_Year,"-     ",TEXT(+Base!T203,"0.0%") &amp; "-" &amp; TEXT(Base!T204,"0.0%"))</f>
        <v>11.3%-12.0%</v>
      </c>
      <c r="U333" s="102" t="str">
        <f>IF(U3&gt;Final_Year,"-     ",TEXT(+Base!U203,"0.0%") &amp; "-" &amp; TEXT(Base!U204,"0.0%"))</f>
        <v>11.4%-12.0%</v>
      </c>
      <c r="V333" s="102" t="str">
        <f>IF(V3&gt;Final_Year,"-     ",TEXT(+Base!V203,"0.0%") &amp; "-" &amp; TEXT(Base!V204,"0.0%"))</f>
        <v>11.4%-12.0%</v>
      </c>
      <c r="W333" s="102" t="str">
        <f>IF(W3&gt;Final_Year,"-     ",TEXT(+Base!W203,"0.0%") &amp; "-" &amp; TEXT(Base!W204,"0.0%"))</f>
        <v>11.4%-12.0%</v>
      </c>
      <c r="X333" s="102" t="str">
        <f>IF(X3&gt;Final_Year,"-     ",TEXT(+Base!X203,"0.0%") &amp; "-" &amp; TEXT(Base!X204,"0.0%"))</f>
        <v>11.3%-12.0%</v>
      </c>
      <c r="Y333" s="102" t="str">
        <f>IF(Y3&gt;Final_Year,"-     ",TEXT(+Base!Y203,"0.0%") &amp; "-" &amp; TEXT(Base!Y204,"0.0%"))</f>
        <v>11.3%-12.0%</v>
      </c>
      <c r="Z333" s="102" t="str">
        <f>IF(Z3&gt;Final_Year,"-     ",TEXT(+Base!Z203,"0.0%") &amp; "-" &amp; TEXT(Base!Z204,"0.0%"))</f>
        <v>11.4%-12.0%</v>
      </c>
      <c r="AA333" s="102" t="str">
        <f>IF(AA3&gt;Final_Year,"-     ",TEXT(+Base!AA203,"0.0%") &amp; "-" &amp; TEXT(Base!AA204,"0.0%"))</f>
        <v>11.4%-12.0%</v>
      </c>
      <c r="AB333" s="102" t="str">
        <f>IF(AB3&gt;Final_Year,"-     ",TEXT(+Base!AB203,"0.0%") &amp; "-" &amp; TEXT(Base!AB204,"0.0%"))</f>
        <v>11.4%-12.0%</v>
      </c>
      <c r="AC333" s="102" t="str">
        <f>IF(AC3&gt;Final_Year,"-     ",TEXT(+Base!AC203,"0.0%") &amp; "-" &amp; TEXT(Base!AC204,"0.0%"))</f>
        <v>11.4%-12.0%</v>
      </c>
      <c r="AD333" s="102" t="str">
        <f>IF(AD3&gt;Final_Year,"-     ",TEXT(+Base!AD203,"0.0%") &amp; "-" &amp; TEXT(Base!AD204,"0.0%"))</f>
        <v>15.7%-22.0%</v>
      </c>
      <c r="AE333" s="102" t="str">
        <f>IF(AE3&gt;Final_Year,"-     ",TEXT(+Base!AE203,"0.0%") &amp; "-" &amp; TEXT(Base!AE204,"0.0%"))</f>
        <v>15.7%-22.0%</v>
      </c>
      <c r="AF333" s="102" t="str">
        <f>IF(AF3&gt;Final_Year,"-     ",TEXT(+Base!AF203,"0.0%") &amp; "-" &amp; TEXT(Base!AF204,"0.0%"))</f>
        <v>15.7%-22.0%</v>
      </c>
      <c r="AG333" s="102" t="str">
        <f>IF(AG3&gt;Final_Year,"-     ",TEXT(+Base!AG203,"0.0%") &amp; "-" &amp; TEXT(Base!AG204,"0.0%"))</f>
        <v>15.2%-22.0%</v>
      </c>
      <c r="AH333" s="102" t="str">
        <f>IF(AH3&gt;Final_Year,"-     ",TEXT(+Base!AH203,"0.0%") &amp; "-" &amp; TEXT(Base!AH204,"0.0%"))</f>
        <v>15.1%-22.0%</v>
      </c>
      <c r="AI333" s="102" t="str">
        <f>IF(AI3&gt;Final_Year,"-     ",TEXT(+Base!AI203,"0.0%") &amp; "-" &amp; TEXT(Base!AI204,"0.0%"))</f>
        <v>15.0%-22.0%</v>
      </c>
      <c r="AJ333" s="102" t="str">
        <f>IF(AJ3&gt;Final_Year,"-     ",TEXT(+Base!AJ203,"0.0%") &amp; "-" &amp; TEXT(Base!AJ204,"0.0%"))</f>
        <v xml:space="preserve">-     </v>
      </c>
      <c r="AK333" s="102" t="str">
        <f>IF(AK3&gt;Final_Year,"-     ",TEXT(+Base!AK203,"0.0%") &amp; "-" &amp; TEXT(Base!AK204,"0.0%"))</f>
        <v xml:space="preserve">-     </v>
      </c>
      <c r="AL333" s="102" t="str">
        <f>IF(AL3&gt;Final_Year,"-     ",TEXT(+Base!AL203,"0.0%") &amp; "-" &amp; TEXT(Base!AL204,"0.0%"))</f>
        <v xml:space="preserve">-     </v>
      </c>
      <c r="AM333" s="102" t="str">
        <f>IF(AM3&gt;Final_Year,"-     ",TEXT(+Base!AM203,"0.0%") &amp; "-" &amp; TEXT(Base!AM204,"0.0%"))</f>
        <v xml:space="preserve">-     </v>
      </c>
      <c r="AN333" s="102" t="str">
        <f>IF(AN3&gt;Final_Year,"-     ",TEXT(+Base!AN203,"0.0%") &amp; "-" &amp; TEXT(Base!AN204,"0.0%"))</f>
        <v xml:space="preserve">-     </v>
      </c>
      <c r="AO333" s="102" t="str">
        <f>IF(AO3&gt;Final_Year,"-     ",TEXT(+Base!AO203,"0.0%") &amp; "-" &amp; TEXT(Base!AO204,"0.0%"))</f>
        <v xml:space="preserve">-     </v>
      </c>
      <c r="AP333" s="102" t="str">
        <f>IF(AP3&gt;Final_Year,"-     ",TEXT(+Base!AP203,"0.0%") &amp; "-" &amp; TEXT(Base!AP204,"0.0%"))</f>
        <v xml:space="preserve">-     </v>
      </c>
      <c r="AQ333" s="102" t="str">
        <f>IF(AQ3&gt;Final_Year,"-     ",TEXT(+Base!AQ203,"0.0%") &amp; "-" &amp; TEXT(Base!AQ204,"0.0%"))</f>
        <v xml:space="preserve">-     </v>
      </c>
      <c r="AR333" s="102" t="str">
        <f>IF(AR3&gt;Final_Year,"-     ",TEXT(+Base!AR203,"0.0%") &amp; "-" &amp; TEXT(Base!AR204,"0.0%"))</f>
        <v xml:space="preserve">-     </v>
      </c>
      <c r="AS333" s="102" t="str">
        <f>IF(AS3&gt;Final_Year,"-     ",TEXT(+Base!AS203,"0.0%") &amp; "-" &amp; TEXT(Base!AS204,"0.0%"))</f>
        <v xml:space="preserve">-     </v>
      </c>
      <c r="AT333" s="693"/>
    </row>
    <row r="334" spans="1:91" s="1209" customFormat="1" ht="19.95" customHeight="1">
      <c r="A334" s="1204" t="s">
        <v>1494</v>
      </c>
      <c r="B334" s="586" t="s">
        <v>1317</v>
      </c>
      <c r="C334" s="1206"/>
      <c r="D334" s="1207"/>
      <c r="E334" s="1207">
        <f>SUM(F334:AS334)</f>
        <v>88700</v>
      </c>
      <c r="F334" s="102">
        <f>+Base!F227</f>
        <v>1100</v>
      </c>
      <c r="G334" s="1208">
        <f>+Base!G227</f>
        <v>1600</v>
      </c>
      <c r="H334" s="1208">
        <f>+Base!H227</f>
        <v>1000</v>
      </c>
      <c r="I334" s="1208">
        <f>+Base!I227</f>
        <v>1000</v>
      </c>
      <c r="J334" s="1208">
        <f>+Base!J227</f>
        <v>1100</v>
      </c>
      <c r="K334" s="1208">
        <f>+Base!K227</f>
        <v>1100</v>
      </c>
      <c r="L334" s="1208">
        <f>+Base!L227</f>
        <v>1100</v>
      </c>
      <c r="M334" s="1208">
        <f>+Base!M227</f>
        <v>2000</v>
      </c>
      <c r="N334" s="1208">
        <f>+Base!N227</f>
        <v>600</v>
      </c>
      <c r="O334" s="1208">
        <f>+Base!O227</f>
        <v>600</v>
      </c>
      <c r="P334" s="1208">
        <f>+Base!P227</f>
        <v>600</v>
      </c>
      <c r="Q334" s="1208">
        <f>+Base!Q227</f>
        <v>700</v>
      </c>
      <c r="R334" s="1208">
        <f>+Base!R227</f>
        <v>900</v>
      </c>
      <c r="S334" s="1208">
        <f>+Base!S227</f>
        <v>1000</v>
      </c>
      <c r="T334" s="1208">
        <f>+Base!T227</f>
        <v>1400</v>
      </c>
      <c r="U334" s="1208">
        <f>+Base!U227</f>
        <v>1700</v>
      </c>
      <c r="V334" s="1208">
        <f>+Base!V227</f>
        <v>2100</v>
      </c>
      <c r="W334" s="1208">
        <f>+Base!W227</f>
        <v>2200</v>
      </c>
      <c r="X334" s="1208">
        <f>+Base!X227</f>
        <v>2000</v>
      </c>
      <c r="Y334" s="1208">
        <f>+Base!Y227</f>
        <v>2000</v>
      </c>
      <c r="Z334" s="1208">
        <f>+Base!Z227</f>
        <v>2100</v>
      </c>
      <c r="AA334" s="1208">
        <f>+Base!AA227</f>
        <v>2300</v>
      </c>
      <c r="AB334" s="1208">
        <f>+Base!AB227</f>
        <v>6700</v>
      </c>
      <c r="AC334" s="1208">
        <f>+Base!AC227</f>
        <v>7400</v>
      </c>
      <c r="AD334" s="1208">
        <f>+Base!AD227</f>
        <v>7300</v>
      </c>
      <c r="AE334" s="1208">
        <f>+Base!AE227</f>
        <v>7600</v>
      </c>
      <c r="AF334" s="1208">
        <f>+Base!AF227</f>
        <v>7700</v>
      </c>
      <c r="AG334" s="1208">
        <f>+Base!AG227</f>
        <v>7200</v>
      </c>
      <c r="AH334" s="1208">
        <f>+Base!AH227</f>
        <v>7200</v>
      </c>
      <c r="AI334" s="1208">
        <f>+Base!AI227</f>
        <v>7400</v>
      </c>
      <c r="AJ334" s="1208">
        <f>+Base!AJ227</f>
        <v>0</v>
      </c>
      <c r="AK334" s="1208">
        <f>+Base!AK227</f>
        <v>0</v>
      </c>
      <c r="AL334" s="1208">
        <f>+Base!AL227</f>
        <v>0</v>
      </c>
      <c r="AM334" s="1208">
        <f>+Base!AM227</f>
        <v>0</v>
      </c>
      <c r="AN334" s="1208">
        <f>+Base!AN227</f>
        <v>0</v>
      </c>
      <c r="AO334" s="1208">
        <f>+Base!AO227</f>
        <v>0</v>
      </c>
      <c r="AP334" s="1208">
        <f>+Base!AP227</f>
        <v>0</v>
      </c>
      <c r="AQ334" s="1208">
        <f>+Base!AQ227</f>
        <v>0</v>
      </c>
      <c r="AR334" s="1208">
        <f>+Base!AR227</f>
        <v>0</v>
      </c>
      <c r="AS334" s="1208">
        <f>+Base!AS227</f>
        <v>0</v>
      </c>
      <c r="AT334" s="1204"/>
    </row>
    <row r="335" spans="1:91" s="1209" customFormat="1" ht="19.95" customHeight="1">
      <c r="A335" s="1204" t="s">
        <v>1494</v>
      </c>
      <c r="B335" s="175" t="s">
        <v>804</v>
      </c>
      <c r="C335" s="1206"/>
      <c r="D335" s="102">
        <f>ROUND(NPV(Discount_Rate,Results!F335:AS335)/Round_To,0)*Round_To</f>
        <v>2710200</v>
      </c>
      <c r="E335" s="1207">
        <f>SUM(F335:AS335)</f>
        <v>4406700</v>
      </c>
      <c r="F335" s="102">
        <f>+Base!F229</f>
        <v>73900</v>
      </c>
      <c r="G335" s="1208">
        <f>+Base!G229</f>
        <v>87700</v>
      </c>
      <c r="H335" s="1208">
        <f>+Base!H229</f>
        <v>76200</v>
      </c>
      <c r="I335" s="1208">
        <f>+Base!I229</f>
        <v>77100</v>
      </c>
      <c r="J335" s="1208">
        <f>+Base!J229</f>
        <v>77900</v>
      </c>
      <c r="K335" s="1208">
        <f>+Base!K229</f>
        <v>99000</v>
      </c>
      <c r="L335" s="1208">
        <f>+Base!L229</f>
        <v>101300</v>
      </c>
      <c r="M335" s="1208">
        <f>+Base!M229</f>
        <v>102300</v>
      </c>
      <c r="N335" s="1208">
        <f>+Base!N229</f>
        <v>156900</v>
      </c>
      <c r="O335" s="1208">
        <f>+Base!O229</f>
        <v>148100</v>
      </c>
      <c r="P335" s="1208">
        <f>+Base!P229</f>
        <v>150400</v>
      </c>
      <c r="Q335" s="1208">
        <f>+Base!Q229</f>
        <v>153500</v>
      </c>
      <c r="R335" s="1208">
        <f>+Base!R229</f>
        <v>160600</v>
      </c>
      <c r="S335" s="1208">
        <f>+Base!S229</f>
        <v>164400</v>
      </c>
      <c r="T335" s="1208">
        <f>+Base!T229</f>
        <v>173100</v>
      </c>
      <c r="U335" s="1208">
        <f>+Base!U229</f>
        <v>176500</v>
      </c>
      <c r="V335" s="1208">
        <f>+Base!V229</f>
        <v>168000</v>
      </c>
      <c r="W335" s="1208">
        <f>+Base!W229</f>
        <v>172800</v>
      </c>
      <c r="X335" s="1208">
        <f>+Base!X229</f>
        <v>164800</v>
      </c>
      <c r="Y335" s="1208">
        <f>+Base!Y229</f>
        <v>167900</v>
      </c>
      <c r="Z335" s="1208">
        <f>+Base!Z229</f>
        <v>171000</v>
      </c>
      <c r="AA335" s="1208">
        <f>+Base!AA229</f>
        <v>173700</v>
      </c>
      <c r="AB335" s="1208">
        <f>+Base!AB229</f>
        <v>180500</v>
      </c>
      <c r="AC335" s="1208">
        <f>+Base!AC229</f>
        <v>190900</v>
      </c>
      <c r="AD335" s="1208">
        <f>+Base!AD229</f>
        <v>164900</v>
      </c>
      <c r="AE335" s="1208">
        <f>+Base!AE229</f>
        <v>168700</v>
      </c>
      <c r="AF335" s="1208">
        <f>+Base!AF229</f>
        <v>170500</v>
      </c>
      <c r="AG335" s="1208">
        <f>+Base!AG229</f>
        <v>175300</v>
      </c>
      <c r="AH335" s="1208">
        <f>+Base!AH229</f>
        <v>178300</v>
      </c>
      <c r="AI335" s="1208">
        <f>+Base!AI229</f>
        <v>180500</v>
      </c>
      <c r="AJ335" s="1208">
        <f>+Base!AJ229</f>
        <v>0</v>
      </c>
      <c r="AK335" s="1208">
        <f>+Base!AK229</f>
        <v>0</v>
      </c>
      <c r="AL335" s="1208">
        <f>+Base!AL229</f>
        <v>0</v>
      </c>
      <c r="AM335" s="1208">
        <f>+Base!AM229</f>
        <v>0</v>
      </c>
      <c r="AN335" s="1208">
        <f>+Base!AN229</f>
        <v>0</v>
      </c>
      <c r="AO335" s="1208">
        <f>+Base!AO229</f>
        <v>0</v>
      </c>
      <c r="AP335" s="1208">
        <f>+Base!AP229</f>
        <v>0</v>
      </c>
      <c r="AQ335" s="1208">
        <f>+Base!AQ229</f>
        <v>0</v>
      </c>
      <c r="AR335" s="1208">
        <f>+Base!AR229</f>
        <v>0</v>
      </c>
      <c r="AS335" s="1208">
        <f>+Base!AS229</f>
        <v>0</v>
      </c>
      <c r="AT335" s="1204"/>
    </row>
    <row r="336" spans="1:91" s="1209" customFormat="1" ht="19.95" customHeight="1">
      <c r="A336" s="1204"/>
      <c r="B336" s="1205"/>
      <c r="C336" s="1206"/>
      <c r="D336" s="1207"/>
      <c r="E336" s="1207"/>
      <c r="F336" s="1207"/>
      <c r="G336" s="1208"/>
      <c r="H336" s="1208"/>
      <c r="I336" s="1208"/>
      <c r="J336" s="1208"/>
      <c r="K336" s="1208"/>
      <c r="L336" s="1208"/>
      <c r="M336" s="1208"/>
      <c r="N336" s="1208"/>
      <c r="O336" s="1208"/>
      <c r="P336" s="1208"/>
      <c r="Q336" s="1208"/>
      <c r="R336" s="1208"/>
      <c r="S336" s="1208"/>
      <c r="T336" s="1208"/>
      <c r="U336" s="1208"/>
      <c r="V336" s="1208"/>
      <c r="W336" s="1208"/>
      <c r="X336" s="1208"/>
      <c r="Y336" s="1208"/>
      <c r="Z336" s="1208"/>
      <c r="AA336" s="1208"/>
      <c r="AB336" s="1208"/>
      <c r="AC336" s="1208"/>
      <c r="AD336" s="1208"/>
      <c r="AE336" s="1208"/>
      <c r="AF336" s="1208"/>
      <c r="AG336" s="1208"/>
      <c r="AH336" s="1208"/>
      <c r="AI336" s="1208"/>
      <c r="AJ336" s="1208"/>
      <c r="AK336" s="1208"/>
      <c r="AL336" s="1208"/>
      <c r="AM336" s="1208"/>
      <c r="AN336" s="1208"/>
      <c r="AO336" s="1208"/>
      <c r="AP336" s="1208"/>
      <c r="AQ336" s="1208"/>
      <c r="AR336" s="1208"/>
      <c r="AS336" s="1208"/>
      <c r="AT336" s="1204"/>
    </row>
    <row r="337" spans="1:46" s="1" customFormat="1" ht="16.2" customHeight="1">
      <c r="A337" s="693"/>
      <c r="B337" s="91"/>
      <c r="C337" s="559"/>
      <c r="D337" s="102"/>
      <c r="E337" s="102"/>
      <c r="F337" s="102"/>
      <c r="G337" s="1157"/>
      <c r="H337" s="1157"/>
      <c r="I337" s="1157"/>
      <c r="J337" s="1157"/>
      <c r="K337" s="1157"/>
      <c r="L337" s="1157"/>
      <c r="M337" s="1157"/>
      <c r="N337" s="1157"/>
      <c r="O337" s="1157"/>
      <c r="P337" s="1157"/>
      <c r="Q337" s="1157"/>
      <c r="R337" s="1157"/>
      <c r="S337" s="1157"/>
      <c r="T337" s="1157"/>
      <c r="U337" s="1157"/>
      <c r="V337" s="1157"/>
      <c r="W337" s="1157"/>
      <c r="X337" s="1157"/>
      <c r="Y337" s="1157"/>
      <c r="Z337" s="1157"/>
      <c r="AA337" s="1157"/>
      <c r="AB337" s="1157"/>
      <c r="AC337" s="1157"/>
      <c r="AD337" s="1157"/>
      <c r="AE337" s="1157"/>
      <c r="AF337" s="1157"/>
      <c r="AG337" s="1157"/>
      <c r="AH337" s="1157"/>
      <c r="AI337" s="1157"/>
      <c r="AJ337" s="1157"/>
      <c r="AK337" s="1157"/>
      <c r="AL337" s="1157"/>
      <c r="AM337" s="1157"/>
      <c r="AN337" s="1157"/>
      <c r="AO337" s="1157"/>
      <c r="AP337" s="1157"/>
      <c r="AQ337" s="1157"/>
      <c r="AR337" s="1157"/>
      <c r="AS337" s="1157"/>
      <c r="AT337" s="693"/>
    </row>
    <row r="338" spans="1:46" s="1" customFormat="1" ht="175.2" customHeight="1">
      <c r="A338" s="693"/>
      <c r="B338" s="91"/>
      <c r="C338" s="559"/>
      <c r="D338" s="102"/>
      <c r="E338" s="102"/>
      <c r="F338" s="102"/>
      <c r="G338" s="1157"/>
      <c r="H338" s="1157"/>
      <c r="I338" s="1157"/>
      <c r="J338" s="1157"/>
      <c r="K338" s="1157"/>
      <c r="L338" s="1157"/>
      <c r="M338" s="1157"/>
      <c r="N338" s="1157"/>
      <c r="O338" s="1157"/>
      <c r="P338" s="1157"/>
      <c r="Q338" s="1157"/>
      <c r="R338" s="1157"/>
      <c r="S338" s="1157"/>
      <c r="T338" s="1157"/>
      <c r="U338" s="1157"/>
      <c r="V338" s="1157"/>
      <c r="W338" s="1157"/>
      <c r="X338" s="1157"/>
      <c r="Y338" s="1157"/>
      <c r="Z338" s="1157"/>
      <c r="AA338" s="1157"/>
      <c r="AB338" s="1157"/>
      <c r="AC338" s="1157"/>
      <c r="AD338" s="1157"/>
      <c r="AE338" s="1157"/>
      <c r="AF338" s="1157"/>
      <c r="AG338" s="1157"/>
      <c r="AH338" s="1157"/>
      <c r="AI338" s="1157"/>
      <c r="AJ338" s="1157"/>
      <c r="AK338" s="1157"/>
      <c r="AL338" s="1157"/>
      <c r="AM338" s="1157"/>
      <c r="AN338" s="1157"/>
      <c r="AO338" s="1157"/>
      <c r="AP338" s="1157"/>
      <c r="AQ338" s="1157"/>
      <c r="AR338" s="1157"/>
      <c r="AS338" s="1157"/>
      <c r="AT338" s="693"/>
    </row>
    <row r="339" spans="1:46" s="1" customFormat="1" ht="16.2" customHeight="1">
      <c r="A339" s="693"/>
      <c r="B339" s="91"/>
      <c r="C339" s="559"/>
      <c r="D339" s="102"/>
      <c r="E339" s="102"/>
      <c r="F339" s="102"/>
      <c r="G339" s="1157"/>
      <c r="H339" s="1157"/>
      <c r="I339" s="1157"/>
      <c r="J339" s="1157"/>
      <c r="K339" s="1157"/>
      <c r="L339" s="1157"/>
      <c r="M339" s="1157"/>
      <c r="N339" s="1157"/>
      <c r="O339" s="1157"/>
      <c r="P339" s="1157"/>
      <c r="Q339" s="1157"/>
      <c r="R339" s="1157"/>
      <c r="S339" s="1157"/>
      <c r="T339" s="1157"/>
      <c r="U339" s="1157"/>
      <c r="V339" s="1157"/>
      <c r="W339" s="1157"/>
      <c r="X339" s="1157"/>
      <c r="Y339" s="1157"/>
      <c r="Z339" s="1157"/>
      <c r="AA339" s="1157"/>
      <c r="AB339" s="1157"/>
      <c r="AC339" s="1157"/>
      <c r="AD339" s="1157"/>
      <c r="AE339" s="1157"/>
      <c r="AF339" s="1157"/>
      <c r="AG339" s="1157"/>
      <c r="AH339" s="1157"/>
      <c r="AI339" s="1157"/>
      <c r="AJ339" s="1157"/>
      <c r="AK339" s="1157"/>
      <c r="AL339" s="1157"/>
      <c r="AM339" s="1157"/>
      <c r="AN339" s="1157"/>
      <c r="AO339" s="1157"/>
      <c r="AP339" s="1157"/>
      <c r="AQ339" s="1157"/>
      <c r="AR339" s="1157"/>
      <c r="AS339" s="1157"/>
      <c r="AT339" s="693"/>
    </row>
    <row r="340" spans="1:46" s="1" customFormat="1" ht="16.2" customHeight="1">
      <c r="A340" s="693"/>
      <c r="B340" s="147" t="s">
        <v>787</v>
      </c>
      <c r="C340" s="559"/>
      <c r="D340" s="102"/>
      <c r="E340" s="102"/>
      <c r="F340" s="102"/>
      <c r="G340" s="1157"/>
      <c r="H340" s="1157"/>
      <c r="I340" s="1157"/>
      <c r="J340" s="1157"/>
      <c r="K340" s="1157"/>
      <c r="L340" s="1157"/>
      <c r="M340" s="1157"/>
      <c r="N340" s="1157"/>
      <c r="O340" s="1157"/>
      <c r="P340" s="1157"/>
      <c r="Q340" s="1157"/>
      <c r="R340" s="1157"/>
      <c r="S340" s="1157"/>
      <c r="T340" s="1157"/>
      <c r="U340" s="1157"/>
      <c r="V340" s="1157"/>
      <c r="W340" s="1157"/>
      <c r="X340" s="1157"/>
      <c r="Y340" s="1157"/>
      <c r="Z340" s="1157"/>
      <c r="AA340" s="1157"/>
      <c r="AB340" s="1157"/>
      <c r="AC340" s="1157"/>
      <c r="AD340" s="1157"/>
      <c r="AE340" s="1157"/>
      <c r="AF340" s="1157"/>
      <c r="AG340" s="1157"/>
      <c r="AH340" s="1157"/>
      <c r="AI340" s="1157"/>
      <c r="AJ340" s="1157"/>
      <c r="AK340" s="1157"/>
      <c r="AL340" s="1157"/>
      <c r="AM340" s="1157"/>
      <c r="AN340" s="1157"/>
      <c r="AO340" s="1157"/>
      <c r="AP340" s="1157"/>
      <c r="AQ340" s="1157"/>
      <c r="AR340" s="1157"/>
      <c r="AS340" s="1157"/>
      <c r="AT340" s="693"/>
    </row>
    <row r="341" spans="1:46" ht="16.2" customHeight="1">
      <c r="A341" s="693"/>
      <c r="B341" s="147" t="s">
        <v>786</v>
      </c>
      <c r="C341" s="40"/>
      <c r="D341" s="64" t="s">
        <v>1661</v>
      </c>
      <c r="E341" s="29"/>
      <c r="F341" s="29"/>
      <c r="G341" s="868"/>
      <c r="H341" s="868"/>
      <c r="I341" s="868"/>
      <c r="J341" s="868"/>
      <c r="K341" s="868"/>
      <c r="L341" s="868"/>
      <c r="M341" s="868"/>
      <c r="N341" s="868"/>
      <c r="O341" s="868"/>
      <c r="P341" s="868"/>
      <c r="Q341" s="868"/>
      <c r="R341" s="868"/>
      <c r="S341" s="868"/>
      <c r="T341" s="868"/>
      <c r="U341" s="868"/>
      <c r="V341" s="868"/>
      <c r="W341" s="868"/>
      <c r="X341" s="868"/>
      <c r="Y341" s="868"/>
      <c r="Z341" s="868"/>
      <c r="AA341" s="868"/>
      <c r="AB341" s="868"/>
      <c r="AC341" s="868"/>
      <c r="AD341" s="868"/>
      <c r="AE341" s="868"/>
      <c r="AF341" s="868"/>
      <c r="AG341" s="868"/>
      <c r="AH341" s="868"/>
      <c r="AI341" s="868"/>
      <c r="AJ341" s="868"/>
      <c r="AK341" s="868"/>
      <c r="AL341" s="868"/>
      <c r="AM341" s="868"/>
      <c r="AN341" s="868"/>
      <c r="AO341" s="868"/>
      <c r="AP341" s="868"/>
      <c r="AQ341" s="868"/>
      <c r="AR341" s="868"/>
      <c r="AS341" s="868"/>
      <c r="AT341" s="693"/>
    </row>
    <row r="342" spans="1:46" s="852" customFormat="1" ht="19.95" customHeight="1">
      <c r="A342" s="1204"/>
      <c r="B342" s="1205" t="s">
        <v>1040</v>
      </c>
      <c r="C342" s="1210"/>
      <c r="D342" s="1211"/>
      <c r="E342" s="1211">
        <f>SUM(F342:AS342)</f>
        <v>0</v>
      </c>
      <c r="F342" s="1211">
        <f t="shared" ref="F342:AS342" si="27">+F85-F330</f>
        <v>0</v>
      </c>
      <c r="G342" s="1198">
        <f t="shared" si="27"/>
        <v>0</v>
      </c>
      <c r="H342" s="1198">
        <f t="shared" si="27"/>
        <v>0</v>
      </c>
      <c r="I342" s="1198">
        <f t="shared" si="27"/>
        <v>0</v>
      </c>
      <c r="J342" s="1198">
        <f t="shared" si="27"/>
        <v>0</v>
      </c>
      <c r="K342" s="1198">
        <f t="shared" si="27"/>
        <v>0</v>
      </c>
      <c r="L342" s="1198">
        <f t="shared" si="27"/>
        <v>0</v>
      </c>
      <c r="M342" s="1198">
        <f t="shared" si="27"/>
        <v>0</v>
      </c>
      <c r="N342" s="1198">
        <f t="shared" si="27"/>
        <v>0</v>
      </c>
      <c r="O342" s="1198">
        <f t="shared" si="27"/>
        <v>0</v>
      </c>
      <c r="P342" s="1198">
        <f t="shared" si="27"/>
        <v>0</v>
      </c>
      <c r="Q342" s="1198">
        <f t="shared" si="27"/>
        <v>0</v>
      </c>
      <c r="R342" s="1198">
        <f t="shared" si="27"/>
        <v>0</v>
      </c>
      <c r="S342" s="1198">
        <f t="shared" si="27"/>
        <v>0</v>
      </c>
      <c r="T342" s="1198">
        <f t="shared" si="27"/>
        <v>0</v>
      </c>
      <c r="U342" s="1198">
        <f t="shared" si="27"/>
        <v>0</v>
      </c>
      <c r="V342" s="1198">
        <f t="shared" si="27"/>
        <v>0</v>
      </c>
      <c r="W342" s="1198">
        <f t="shared" si="27"/>
        <v>0</v>
      </c>
      <c r="X342" s="1198">
        <f t="shared" si="27"/>
        <v>0</v>
      </c>
      <c r="Y342" s="1198">
        <f t="shared" si="27"/>
        <v>0</v>
      </c>
      <c r="Z342" s="1198">
        <f t="shared" si="27"/>
        <v>0</v>
      </c>
      <c r="AA342" s="1198">
        <f t="shared" si="27"/>
        <v>0</v>
      </c>
      <c r="AB342" s="1198">
        <f t="shared" si="27"/>
        <v>0</v>
      </c>
      <c r="AC342" s="1198">
        <f t="shared" si="27"/>
        <v>0</v>
      </c>
      <c r="AD342" s="1198">
        <f t="shared" si="27"/>
        <v>0</v>
      </c>
      <c r="AE342" s="1198">
        <f t="shared" si="27"/>
        <v>0</v>
      </c>
      <c r="AF342" s="1198">
        <f t="shared" si="27"/>
        <v>0</v>
      </c>
      <c r="AG342" s="1198">
        <f t="shared" si="27"/>
        <v>0</v>
      </c>
      <c r="AH342" s="1198">
        <f t="shared" si="27"/>
        <v>0</v>
      </c>
      <c r="AI342" s="1198">
        <f t="shared" si="27"/>
        <v>0</v>
      </c>
      <c r="AJ342" s="1198">
        <f t="shared" si="27"/>
        <v>0</v>
      </c>
      <c r="AK342" s="1198">
        <f t="shared" si="27"/>
        <v>0</v>
      </c>
      <c r="AL342" s="1198">
        <f t="shared" si="27"/>
        <v>0</v>
      </c>
      <c r="AM342" s="1198">
        <f t="shared" si="27"/>
        <v>0</v>
      </c>
      <c r="AN342" s="1198">
        <f t="shared" si="27"/>
        <v>0</v>
      </c>
      <c r="AO342" s="1198">
        <f t="shared" si="27"/>
        <v>0</v>
      </c>
      <c r="AP342" s="1198">
        <f t="shared" si="27"/>
        <v>0</v>
      </c>
      <c r="AQ342" s="1198">
        <f t="shared" si="27"/>
        <v>0</v>
      </c>
      <c r="AR342" s="1198">
        <f t="shared" si="27"/>
        <v>0</v>
      </c>
      <c r="AS342" s="1198">
        <f t="shared" si="27"/>
        <v>0</v>
      </c>
      <c r="AT342" s="1204"/>
    </row>
    <row r="343" spans="1:46">
      <c r="A343" s="693"/>
      <c r="B343" s="91" t="s">
        <v>150</v>
      </c>
      <c r="C343" s="40"/>
      <c r="D343" s="29"/>
      <c r="E343" s="29">
        <f>SUM(F343:AS343)</f>
        <v>0</v>
      </c>
      <c r="F343" s="29">
        <f t="shared" ref="F343:AS343" si="28">+F86-F331</f>
        <v>0</v>
      </c>
      <c r="G343" s="868">
        <f t="shared" si="28"/>
        <v>0</v>
      </c>
      <c r="H343" s="868">
        <f t="shared" si="28"/>
        <v>0</v>
      </c>
      <c r="I343" s="868">
        <f t="shared" si="28"/>
        <v>0</v>
      </c>
      <c r="J343" s="868">
        <f t="shared" si="28"/>
        <v>0</v>
      </c>
      <c r="K343" s="868">
        <f t="shared" si="28"/>
        <v>0</v>
      </c>
      <c r="L343" s="868">
        <f t="shared" si="28"/>
        <v>0</v>
      </c>
      <c r="M343" s="868">
        <f t="shared" si="28"/>
        <v>0</v>
      </c>
      <c r="N343" s="868">
        <f t="shared" si="28"/>
        <v>0</v>
      </c>
      <c r="O343" s="868">
        <f t="shared" si="28"/>
        <v>0</v>
      </c>
      <c r="P343" s="868">
        <f t="shared" si="28"/>
        <v>0</v>
      </c>
      <c r="Q343" s="868">
        <f t="shared" si="28"/>
        <v>0</v>
      </c>
      <c r="R343" s="868">
        <f t="shared" si="28"/>
        <v>0</v>
      </c>
      <c r="S343" s="868">
        <f t="shared" si="28"/>
        <v>0</v>
      </c>
      <c r="T343" s="868">
        <f t="shared" si="28"/>
        <v>0</v>
      </c>
      <c r="U343" s="868">
        <f t="shared" si="28"/>
        <v>0</v>
      </c>
      <c r="V343" s="868">
        <f t="shared" si="28"/>
        <v>0</v>
      </c>
      <c r="W343" s="868">
        <f t="shared" si="28"/>
        <v>0</v>
      </c>
      <c r="X343" s="868">
        <f t="shared" si="28"/>
        <v>0</v>
      </c>
      <c r="Y343" s="868">
        <f t="shared" si="28"/>
        <v>0</v>
      </c>
      <c r="Z343" s="868">
        <f t="shared" si="28"/>
        <v>0</v>
      </c>
      <c r="AA343" s="868">
        <f t="shared" si="28"/>
        <v>0</v>
      </c>
      <c r="AB343" s="868">
        <f t="shared" si="28"/>
        <v>0</v>
      </c>
      <c r="AC343" s="868">
        <f t="shared" si="28"/>
        <v>0</v>
      </c>
      <c r="AD343" s="868">
        <f t="shared" si="28"/>
        <v>0</v>
      </c>
      <c r="AE343" s="868">
        <f t="shared" si="28"/>
        <v>0</v>
      </c>
      <c r="AF343" s="868">
        <f t="shared" si="28"/>
        <v>0</v>
      </c>
      <c r="AG343" s="868">
        <f t="shared" si="28"/>
        <v>0</v>
      </c>
      <c r="AH343" s="868">
        <f t="shared" si="28"/>
        <v>0</v>
      </c>
      <c r="AI343" s="868">
        <f t="shared" si="28"/>
        <v>0</v>
      </c>
      <c r="AJ343" s="868">
        <f t="shared" si="28"/>
        <v>0</v>
      </c>
      <c r="AK343" s="868">
        <f t="shared" si="28"/>
        <v>0</v>
      </c>
      <c r="AL343" s="868">
        <f t="shared" si="28"/>
        <v>0</v>
      </c>
      <c r="AM343" s="868">
        <f t="shared" si="28"/>
        <v>0</v>
      </c>
      <c r="AN343" s="868">
        <f t="shared" si="28"/>
        <v>0</v>
      </c>
      <c r="AO343" s="868">
        <f t="shared" si="28"/>
        <v>0</v>
      </c>
      <c r="AP343" s="868">
        <f t="shared" si="28"/>
        <v>0</v>
      </c>
      <c r="AQ343" s="868">
        <f t="shared" si="28"/>
        <v>0</v>
      </c>
      <c r="AR343" s="868">
        <f t="shared" si="28"/>
        <v>0</v>
      </c>
      <c r="AS343" s="868">
        <f t="shared" si="28"/>
        <v>0</v>
      </c>
      <c r="AT343" s="693"/>
    </row>
    <row r="344" spans="1:46" ht="19.95" customHeight="1">
      <c r="A344" s="693"/>
      <c r="B344" s="91" t="s">
        <v>1480</v>
      </c>
      <c r="C344" s="40"/>
      <c r="D344" s="29">
        <f>+D87-D332</f>
        <v>0</v>
      </c>
      <c r="E344" s="29">
        <f>SUM(F344:AS344)</f>
        <v>0</v>
      </c>
      <c r="F344" s="29">
        <f t="shared" ref="F344:AS344" si="29">+F87-F332</f>
        <v>0</v>
      </c>
      <c r="G344" s="868">
        <f t="shared" si="29"/>
        <v>0</v>
      </c>
      <c r="H344" s="868">
        <f t="shared" si="29"/>
        <v>0</v>
      </c>
      <c r="I344" s="868">
        <f t="shared" si="29"/>
        <v>0</v>
      </c>
      <c r="J344" s="868">
        <f t="shared" si="29"/>
        <v>0</v>
      </c>
      <c r="K344" s="868">
        <f t="shared" si="29"/>
        <v>0</v>
      </c>
      <c r="L344" s="868">
        <f t="shared" si="29"/>
        <v>0</v>
      </c>
      <c r="M344" s="868">
        <f t="shared" si="29"/>
        <v>0</v>
      </c>
      <c r="N344" s="868">
        <f t="shared" si="29"/>
        <v>0</v>
      </c>
      <c r="O344" s="868">
        <f t="shared" si="29"/>
        <v>0</v>
      </c>
      <c r="P344" s="868">
        <f t="shared" si="29"/>
        <v>0</v>
      </c>
      <c r="Q344" s="868">
        <f t="shared" si="29"/>
        <v>0</v>
      </c>
      <c r="R344" s="868">
        <f t="shared" si="29"/>
        <v>0</v>
      </c>
      <c r="S344" s="868">
        <f t="shared" si="29"/>
        <v>0</v>
      </c>
      <c r="T344" s="868">
        <f t="shared" si="29"/>
        <v>0</v>
      </c>
      <c r="U344" s="868">
        <f t="shared" si="29"/>
        <v>0</v>
      </c>
      <c r="V344" s="868">
        <f t="shared" si="29"/>
        <v>0</v>
      </c>
      <c r="W344" s="868">
        <f t="shared" si="29"/>
        <v>0</v>
      </c>
      <c r="X344" s="868">
        <f t="shared" si="29"/>
        <v>0</v>
      </c>
      <c r="Y344" s="868">
        <f t="shared" si="29"/>
        <v>0</v>
      </c>
      <c r="Z344" s="868">
        <f t="shared" si="29"/>
        <v>0</v>
      </c>
      <c r="AA344" s="868">
        <f t="shared" si="29"/>
        <v>0</v>
      </c>
      <c r="AB344" s="868">
        <f t="shared" si="29"/>
        <v>0</v>
      </c>
      <c r="AC344" s="868">
        <f t="shared" si="29"/>
        <v>0</v>
      </c>
      <c r="AD344" s="868">
        <f t="shared" si="29"/>
        <v>0</v>
      </c>
      <c r="AE344" s="868">
        <f t="shared" si="29"/>
        <v>0</v>
      </c>
      <c r="AF344" s="868">
        <f t="shared" si="29"/>
        <v>0</v>
      </c>
      <c r="AG344" s="868">
        <f t="shared" si="29"/>
        <v>0</v>
      </c>
      <c r="AH344" s="868">
        <f t="shared" si="29"/>
        <v>0</v>
      </c>
      <c r="AI344" s="868">
        <f t="shared" si="29"/>
        <v>0</v>
      </c>
      <c r="AJ344" s="868">
        <f t="shared" si="29"/>
        <v>0</v>
      </c>
      <c r="AK344" s="868">
        <f t="shared" si="29"/>
        <v>0</v>
      </c>
      <c r="AL344" s="868">
        <f t="shared" si="29"/>
        <v>0</v>
      </c>
      <c r="AM344" s="868">
        <f t="shared" si="29"/>
        <v>0</v>
      </c>
      <c r="AN344" s="868">
        <f t="shared" si="29"/>
        <v>0</v>
      </c>
      <c r="AO344" s="868">
        <f t="shared" si="29"/>
        <v>0</v>
      </c>
      <c r="AP344" s="868">
        <f t="shared" si="29"/>
        <v>0</v>
      </c>
      <c r="AQ344" s="868">
        <f t="shared" si="29"/>
        <v>0</v>
      </c>
      <c r="AR344" s="868">
        <f t="shared" si="29"/>
        <v>0</v>
      </c>
      <c r="AS344" s="868">
        <f t="shared" si="29"/>
        <v>0</v>
      </c>
      <c r="AT344" s="693"/>
    </row>
    <row r="345" spans="1:46" s="852" customFormat="1" ht="19.95" customHeight="1">
      <c r="A345" s="1204"/>
      <c r="B345" s="150" t="s">
        <v>1039</v>
      </c>
      <c r="C345" s="1210"/>
      <c r="D345" s="29"/>
      <c r="E345" s="1211">
        <f>SUM(F345:AS345)</f>
        <v>0</v>
      </c>
      <c r="F345" s="29">
        <f t="shared" ref="F345:AS345" si="30">+F89-F334</f>
        <v>0</v>
      </c>
      <c r="G345" s="1198">
        <f t="shared" si="30"/>
        <v>0</v>
      </c>
      <c r="H345" s="1198">
        <f t="shared" si="30"/>
        <v>0</v>
      </c>
      <c r="I345" s="1198">
        <f t="shared" si="30"/>
        <v>0</v>
      </c>
      <c r="J345" s="1198">
        <f t="shared" si="30"/>
        <v>0</v>
      </c>
      <c r="K345" s="1198">
        <f t="shared" si="30"/>
        <v>0</v>
      </c>
      <c r="L345" s="1198">
        <f t="shared" si="30"/>
        <v>0</v>
      </c>
      <c r="M345" s="1198">
        <f t="shared" si="30"/>
        <v>0</v>
      </c>
      <c r="N345" s="1198">
        <f t="shared" si="30"/>
        <v>0</v>
      </c>
      <c r="O345" s="1198">
        <f t="shared" si="30"/>
        <v>0</v>
      </c>
      <c r="P345" s="1198">
        <f t="shared" si="30"/>
        <v>0</v>
      </c>
      <c r="Q345" s="1198">
        <f t="shared" si="30"/>
        <v>0</v>
      </c>
      <c r="R345" s="1198">
        <f t="shared" si="30"/>
        <v>0</v>
      </c>
      <c r="S345" s="1198">
        <f t="shared" si="30"/>
        <v>0</v>
      </c>
      <c r="T345" s="1198">
        <f t="shared" si="30"/>
        <v>0</v>
      </c>
      <c r="U345" s="1198">
        <f t="shared" si="30"/>
        <v>0</v>
      </c>
      <c r="V345" s="1198">
        <f t="shared" si="30"/>
        <v>0</v>
      </c>
      <c r="W345" s="1198">
        <f t="shared" si="30"/>
        <v>0</v>
      </c>
      <c r="X345" s="1198">
        <f t="shared" si="30"/>
        <v>0</v>
      </c>
      <c r="Y345" s="1198">
        <f t="shared" si="30"/>
        <v>0</v>
      </c>
      <c r="Z345" s="1198">
        <f t="shared" si="30"/>
        <v>0</v>
      </c>
      <c r="AA345" s="1198">
        <f t="shared" si="30"/>
        <v>0</v>
      </c>
      <c r="AB345" s="1198">
        <f t="shared" si="30"/>
        <v>0</v>
      </c>
      <c r="AC345" s="1198">
        <f t="shared" si="30"/>
        <v>0</v>
      </c>
      <c r="AD345" s="1198">
        <f t="shared" si="30"/>
        <v>0</v>
      </c>
      <c r="AE345" s="1198">
        <f t="shared" si="30"/>
        <v>0</v>
      </c>
      <c r="AF345" s="1198">
        <f t="shared" si="30"/>
        <v>0</v>
      </c>
      <c r="AG345" s="1198">
        <f t="shared" si="30"/>
        <v>0</v>
      </c>
      <c r="AH345" s="1198">
        <f t="shared" si="30"/>
        <v>0</v>
      </c>
      <c r="AI345" s="1198">
        <f t="shared" si="30"/>
        <v>0</v>
      </c>
      <c r="AJ345" s="1198">
        <f t="shared" si="30"/>
        <v>0</v>
      </c>
      <c r="AK345" s="1198">
        <f t="shared" si="30"/>
        <v>0</v>
      </c>
      <c r="AL345" s="1198">
        <f t="shared" si="30"/>
        <v>0</v>
      </c>
      <c r="AM345" s="1198">
        <f t="shared" si="30"/>
        <v>0</v>
      </c>
      <c r="AN345" s="1198">
        <f t="shared" si="30"/>
        <v>0</v>
      </c>
      <c r="AO345" s="1198">
        <f t="shared" si="30"/>
        <v>0</v>
      </c>
      <c r="AP345" s="1198">
        <f t="shared" si="30"/>
        <v>0</v>
      </c>
      <c r="AQ345" s="1198">
        <f t="shared" si="30"/>
        <v>0</v>
      </c>
      <c r="AR345" s="1198">
        <f t="shared" si="30"/>
        <v>0</v>
      </c>
      <c r="AS345" s="1198">
        <f t="shared" si="30"/>
        <v>0</v>
      </c>
      <c r="AT345" s="1204"/>
    </row>
    <row r="346" spans="1:46" s="852" customFormat="1" ht="19.95" customHeight="1">
      <c r="A346" s="1204"/>
      <c r="B346" s="175" t="s">
        <v>804</v>
      </c>
      <c r="C346" s="1210"/>
      <c r="D346" s="29">
        <f>+D90-D335</f>
        <v>0</v>
      </c>
      <c r="E346" s="1211">
        <f>SUM(F346:AS346)</f>
        <v>0</v>
      </c>
      <c r="F346" s="29">
        <f t="shared" ref="F346:AS346" si="31">+F90-F335</f>
        <v>0</v>
      </c>
      <c r="G346" s="1198">
        <f t="shared" si="31"/>
        <v>0</v>
      </c>
      <c r="H346" s="1198">
        <f t="shared" si="31"/>
        <v>0</v>
      </c>
      <c r="I346" s="1198">
        <f t="shared" si="31"/>
        <v>0</v>
      </c>
      <c r="J346" s="1198">
        <f t="shared" si="31"/>
        <v>0</v>
      </c>
      <c r="K346" s="1198">
        <f t="shared" si="31"/>
        <v>0</v>
      </c>
      <c r="L346" s="1198">
        <f t="shared" si="31"/>
        <v>0</v>
      </c>
      <c r="M346" s="1198">
        <f t="shared" si="31"/>
        <v>0</v>
      </c>
      <c r="N346" s="1198">
        <f t="shared" si="31"/>
        <v>0</v>
      </c>
      <c r="O346" s="1198">
        <f t="shared" si="31"/>
        <v>0</v>
      </c>
      <c r="P346" s="1198">
        <f t="shared" si="31"/>
        <v>0</v>
      </c>
      <c r="Q346" s="1198">
        <f t="shared" si="31"/>
        <v>0</v>
      </c>
      <c r="R346" s="1198">
        <f t="shared" si="31"/>
        <v>0</v>
      </c>
      <c r="S346" s="1198">
        <f t="shared" si="31"/>
        <v>0</v>
      </c>
      <c r="T346" s="1198">
        <f t="shared" si="31"/>
        <v>0</v>
      </c>
      <c r="U346" s="1198">
        <f t="shared" si="31"/>
        <v>0</v>
      </c>
      <c r="V346" s="1198">
        <f t="shared" si="31"/>
        <v>0</v>
      </c>
      <c r="W346" s="1198">
        <f t="shared" si="31"/>
        <v>0</v>
      </c>
      <c r="X346" s="1198">
        <f t="shared" si="31"/>
        <v>0</v>
      </c>
      <c r="Y346" s="1198">
        <f t="shared" si="31"/>
        <v>0</v>
      </c>
      <c r="Z346" s="1198">
        <f t="shared" si="31"/>
        <v>0</v>
      </c>
      <c r="AA346" s="1198">
        <f t="shared" si="31"/>
        <v>0</v>
      </c>
      <c r="AB346" s="1198">
        <f t="shared" si="31"/>
        <v>0</v>
      </c>
      <c r="AC346" s="1198">
        <f t="shared" si="31"/>
        <v>0</v>
      </c>
      <c r="AD346" s="1198">
        <f t="shared" si="31"/>
        <v>0</v>
      </c>
      <c r="AE346" s="1198">
        <f t="shared" si="31"/>
        <v>0</v>
      </c>
      <c r="AF346" s="1198">
        <f t="shared" si="31"/>
        <v>0</v>
      </c>
      <c r="AG346" s="1198">
        <f t="shared" si="31"/>
        <v>0</v>
      </c>
      <c r="AH346" s="1198">
        <f t="shared" si="31"/>
        <v>0</v>
      </c>
      <c r="AI346" s="1198">
        <f t="shared" si="31"/>
        <v>0</v>
      </c>
      <c r="AJ346" s="1198">
        <f t="shared" si="31"/>
        <v>0</v>
      </c>
      <c r="AK346" s="1198">
        <f t="shared" si="31"/>
        <v>0</v>
      </c>
      <c r="AL346" s="1198">
        <f t="shared" si="31"/>
        <v>0</v>
      </c>
      <c r="AM346" s="1198">
        <f t="shared" si="31"/>
        <v>0</v>
      </c>
      <c r="AN346" s="1198">
        <f t="shared" si="31"/>
        <v>0</v>
      </c>
      <c r="AO346" s="1198">
        <f t="shared" si="31"/>
        <v>0</v>
      </c>
      <c r="AP346" s="1198">
        <f t="shared" si="31"/>
        <v>0</v>
      </c>
      <c r="AQ346" s="1198">
        <f t="shared" si="31"/>
        <v>0</v>
      </c>
      <c r="AR346" s="1198">
        <f t="shared" si="31"/>
        <v>0</v>
      </c>
      <c r="AS346" s="1198">
        <f t="shared" si="31"/>
        <v>0</v>
      </c>
      <c r="AT346" s="1204"/>
    </row>
    <row r="347" spans="1:46" s="852" customFormat="1" ht="19.95" customHeight="1">
      <c r="A347" s="1204"/>
      <c r="B347" s="1205"/>
      <c r="C347" s="1210"/>
      <c r="D347" s="1211"/>
      <c r="E347" s="1211"/>
      <c r="F347" s="1211"/>
      <c r="G347" s="1198"/>
      <c r="H347" s="1198"/>
      <c r="I347" s="1198"/>
      <c r="J347" s="1198"/>
      <c r="K347" s="1198"/>
      <c r="L347" s="1198"/>
      <c r="M347" s="1198"/>
      <c r="N347" s="1198"/>
      <c r="O347" s="1198"/>
      <c r="P347" s="1198"/>
      <c r="Q347" s="1198"/>
      <c r="R347" s="1198"/>
      <c r="S347" s="1198"/>
      <c r="T347" s="1198"/>
      <c r="U347" s="1198"/>
      <c r="V347" s="1198"/>
      <c r="W347" s="1198"/>
      <c r="X347" s="1198"/>
      <c r="Y347" s="1198"/>
      <c r="Z347" s="1198"/>
      <c r="AA347" s="1198"/>
      <c r="AB347" s="1198"/>
      <c r="AC347" s="1198"/>
      <c r="AD347" s="1198"/>
      <c r="AE347" s="1198"/>
      <c r="AF347" s="1198"/>
      <c r="AG347" s="1198"/>
      <c r="AH347" s="1198"/>
      <c r="AI347" s="1198"/>
      <c r="AJ347" s="1198"/>
      <c r="AK347" s="1198"/>
      <c r="AL347" s="1198"/>
      <c r="AM347" s="1198"/>
      <c r="AN347" s="1198"/>
      <c r="AO347" s="1198"/>
      <c r="AP347" s="1198"/>
      <c r="AQ347" s="1198"/>
      <c r="AR347" s="1198"/>
      <c r="AS347" s="1198"/>
      <c r="AT347" s="1204"/>
    </row>
    <row r="348" spans="1:46" ht="15" customHeight="1">
      <c r="B348" s="140"/>
      <c r="J348" s="321"/>
      <c r="K348" s="321"/>
      <c r="L348" s="92"/>
      <c r="M348" s="86"/>
      <c r="N348" s="223"/>
      <c r="O348" s="212"/>
      <c r="P348" s="212"/>
      <c r="Q348" s="212"/>
      <c r="R348" s="212"/>
      <c r="S348" s="212"/>
      <c r="T348" s="212"/>
      <c r="U348" s="212"/>
      <c r="V348" s="212"/>
      <c r="W348" s="212"/>
      <c r="X348" s="212"/>
      <c r="Y348" s="212"/>
      <c r="Z348" s="212"/>
      <c r="AA348" s="212"/>
      <c r="AB348" s="212"/>
      <c r="AC348" s="212"/>
      <c r="AD348" s="212"/>
      <c r="AE348" s="212"/>
      <c r="AF348" s="212"/>
      <c r="AG348" s="212"/>
      <c r="AH348" s="212"/>
      <c r="AI348" s="212"/>
      <c r="AJ348" s="212"/>
      <c r="AK348" s="212"/>
      <c r="AL348" s="212"/>
      <c r="AM348" s="212"/>
      <c r="AN348" s="212"/>
      <c r="AO348" s="212"/>
      <c r="AP348" s="212"/>
      <c r="AQ348" s="212"/>
      <c r="AR348" s="212"/>
      <c r="AS348" s="212"/>
    </row>
    <row r="349" spans="1:46" ht="18" customHeight="1">
      <c r="A349" s="1236"/>
      <c r="B349" s="1237" t="s">
        <v>812</v>
      </c>
      <c r="C349" s="1237"/>
      <c r="D349" s="1237"/>
      <c r="E349" s="1236"/>
      <c r="F349" s="410"/>
      <c r="H349" s="331"/>
      <c r="I349" s="317"/>
      <c r="J349" s="317"/>
      <c r="K349" s="317"/>
      <c r="L349" s="317"/>
      <c r="M349" s="86"/>
      <c r="N349" s="44"/>
      <c r="AT349" s="693"/>
    </row>
    <row r="350" spans="1:46" s="3" customFormat="1" ht="25.2" customHeight="1">
      <c r="B350" s="323"/>
      <c r="C350" s="323"/>
      <c r="D350" s="323"/>
      <c r="E350" s="323"/>
      <c r="F350" s="323"/>
      <c r="G350" s="198"/>
      <c r="H350" s="326"/>
      <c r="I350" s="326"/>
      <c r="J350" s="1318"/>
      <c r="K350" s="89"/>
      <c r="L350" s="89"/>
      <c r="M350" s="703"/>
      <c r="N350" s="1319"/>
      <c r="AT350" s="693"/>
    </row>
    <row r="351" spans="1:46" ht="17.399999999999999">
      <c r="B351" s="1823" t="s">
        <v>1180</v>
      </c>
      <c r="C351" s="1823"/>
      <c r="D351" s="153"/>
      <c r="F351" s="5" t="s">
        <v>788</v>
      </c>
      <c r="G351" s="5"/>
      <c r="H351" s="5"/>
      <c r="I351" s="5" t="s">
        <v>818</v>
      </c>
      <c r="J351" s="332"/>
      <c r="K351" s="332"/>
      <c r="L351" s="332"/>
      <c r="M351" s="332"/>
      <c r="N351" s="332"/>
      <c r="O351" s="1"/>
      <c r="P351" s="1"/>
      <c r="Q351" s="218"/>
      <c r="R351" s="218"/>
      <c r="S351" s="215"/>
      <c r="T351" s="212"/>
      <c r="U351" s="212"/>
      <c r="V351" s="212"/>
      <c r="W351" s="212"/>
      <c r="X351" s="212"/>
      <c r="Y351" s="212"/>
      <c r="Z351" s="212"/>
      <c r="AA351" s="212"/>
      <c r="AB351" s="212"/>
      <c r="AC351" s="212"/>
      <c r="AD351" s="212"/>
      <c r="AE351" s="212"/>
      <c r="AF351" s="212"/>
      <c r="AG351" s="212"/>
      <c r="AH351" s="212"/>
      <c r="AI351" s="212"/>
      <c r="AJ351" s="212"/>
      <c r="AK351" s="212"/>
      <c r="AL351" s="212"/>
      <c r="AM351" s="212"/>
      <c r="AN351" s="212"/>
      <c r="AO351" s="212"/>
      <c r="AP351" s="212"/>
      <c r="AQ351" s="212"/>
      <c r="AR351" s="212"/>
      <c r="AS351" s="212"/>
      <c r="AT351" s="693"/>
    </row>
    <row r="352" spans="1:46" ht="17.399999999999999" customHeight="1">
      <c r="A352" s="3"/>
      <c r="D352" s="6" t="s">
        <v>203</v>
      </c>
      <c r="E352" s="6" t="s">
        <v>1700</v>
      </c>
      <c r="F352" s="6" t="s">
        <v>789</v>
      </c>
      <c r="G352" s="6" t="s">
        <v>1572</v>
      </c>
      <c r="H352" s="5"/>
      <c r="I352" s="1338" t="s">
        <v>819</v>
      </c>
      <c r="N352" s="317"/>
      <c r="S352" s="215"/>
      <c r="T352" s="212"/>
      <c r="U352" s="212"/>
      <c r="V352" s="212"/>
      <c r="W352" s="212"/>
      <c r="X352" s="212"/>
      <c r="Y352" s="212"/>
      <c r="Z352" s="212"/>
      <c r="AA352" s="212"/>
      <c r="AB352" s="212"/>
      <c r="AC352" s="212"/>
      <c r="AD352" s="212"/>
      <c r="AE352" s="212"/>
      <c r="AF352" s="212"/>
      <c r="AG352" s="212"/>
      <c r="AH352" s="212"/>
      <c r="AI352" s="212"/>
      <c r="AJ352" s="212"/>
      <c r="AK352" s="212"/>
      <c r="AL352" s="212"/>
      <c r="AM352" s="212"/>
      <c r="AN352" s="212"/>
      <c r="AO352" s="212"/>
      <c r="AP352" s="212"/>
      <c r="AQ352" s="212"/>
      <c r="AR352" s="212"/>
      <c r="AS352" s="212"/>
      <c r="AT352" s="693"/>
    </row>
    <row r="353" spans="1:46" ht="17.399999999999999" customHeight="1">
      <c r="B353" s="39" t="str">
        <f>"Portfolio balances at age " &amp; Your_Age_End  &amp; ": " &amp;  Final_Year</f>
        <v>Portfolio balances at age 91: 2048</v>
      </c>
      <c r="C353" s="96" t="str">
        <f ca="1">IF(E353&lt;0,"Fail!","")</f>
        <v/>
      </c>
      <c r="D353" s="29">
        <f ca="1">+E364</f>
        <v>2702400</v>
      </c>
      <c r="E353" s="29">
        <f ca="1">+E365</f>
        <v>2702400</v>
      </c>
      <c r="F353" s="29">
        <f ca="1">+D353-E353</f>
        <v>0</v>
      </c>
      <c r="G353" s="1336">
        <f ca="1">IF(E353&gt;0,(+D353-E353)/E353,0)</f>
        <v>0</v>
      </c>
      <c r="H353" s="183"/>
      <c r="I353" s="923" t="str">
        <f>IF(Include_Roth="y","Roth conversions included","--")</f>
        <v>--</v>
      </c>
      <c r="J353" s="822"/>
      <c r="K353" s="822"/>
      <c r="L353" s="822"/>
      <c r="M353" s="1316"/>
      <c r="N353" s="1317"/>
      <c r="S353" s="215"/>
      <c r="T353" s="212"/>
      <c r="U353" s="212"/>
      <c r="V353" s="212"/>
      <c r="W353" s="212"/>
      <c r="X353" s="212"/>
      <c r="Y353" s="212"/>
      <c r="Z353" s="212"/>
      <c r="AA353" s="212"/>
      <c r="AB353" s="212"/>
      <c r="AC353" s="212"/>
      <c r="AD353" s="212"/>
      <c r="AE353" s="212"/>
      <c r="AF353" s="212"/>
      <c r="AG353" s="212"/>
      <c r="AH353" s="212"/>
      <c r="AI353" s="212"/>
      <c r="AJ353" s="212"/>
      <c r="AK353" s="212"/>
      <c r="AL353" s="212"/>
      <c r="AM353" s="212"/>
      <c r="AN353" s="212"/>
      <c r="AO353" s="212"/>
      <c r="AP353" s="212"/>
      <c r="AQ353" s="212"/>
      <c r="AR353" s="212"/>
      <c r="AS353" s="212"/>
      <c r="AT353" s="693"/>
    </row>
    <row r="354" spans="1:46" ht="17.399999999999999" customHeight="1">
      <c r="B354" s="21" t="s">
        <v>853</v>
      </c>
      <c r="D354" s="29">
        <f>COUNTIF($F$370:$AS$370,"&gt;0")</f>
        <v>0</v>
      </c>
      <c r="E354" s="29">
        <f>COUNTIF($F$370:$AS$370,"&lt;0")</f>
        <v>0</v>
      </c>
      <c r="F354" s="29">
        <f>+D354-E354</f>
        <v>0</v>
      </c>
      <c r="G354" s="1337">
        <f>IF(E354=0,0,(+D354-E354)/E354)</f>
        <v>0</v>
      </c>
      <c r="H354" s="183"/>
      <c r="I354" s="923" t="str">
        <f>IF(SS_Comparison="y","Using alternative SS benefits","--")</f>
        <v>--</v>
      </c>
      <c r="J354" s="822"/>
      <c r="K354" s="822"/>
      <c r="L354" s="822"/>
      <c r="M354" s="1316"/>
      <c r="N354" s="1317"/>
      <c r="S354" s="215"/>
      <c r="T354" s="212"/>
      <c r="U354" s="212"/>
      <c r="V354" s="212"/>
      <c r="W354" s="212"/>
      <c r="X354" s="212"/>
      <c r="Y354" s="212"/>
      <c r="Z354" s="212"/>
      <c r="AA354" s="212"/>
      <c r="AB354" s="212"/>
      <c r="AC354" s="212"/>
      <c r="AD354" s="212"/>
      <c r="AE354" s="212"/>
      <c r="AF354" s="212"/>
      <c r="AG354" s="212"/>
      <c r="AH354" s="212"/>
      <c r="AI354" s="212"/>
      <c r="AJ354" s="212"/>
      <c r="AK354" s="212"/>
      <c r="AL354" s="212"/>
      <c r="AM354" s="212"/>
      <c r="AN354" s="212"/>
      <c r="AO354" s="212"/>
      <c r="AP354" s="212"/>
      <c r="AQ354" s="212"/>
      <c r="AR354" s="212"/>
      <c r="AS354" s="212"/>
      <c r="AT354" s="693"/>
    </row>
    <row r="355" spans="1:46" ht="19.95" customHeight="1">
      <c r="B355" s="175" t="s">
        <v>804</v>
      </c>
      <c r="D355" s="29">
        <f>+E$90</f>
        <v>4406700</v>
      </c>
      <c r="E355" s="29">
        <f>+E$335</f>
        <v>4406700</v>
      </c>
      <c r="F355" s="29">
        <f>+D355-E355</f>
        <v>0</v>
      </c>
      <c r="G355" s="1336">
        <f>IF(E355&gt;0,(+D355-E355)/E355,0)</f>
        <v>0</v>
      </c>
      <c r="H355" s="183"/>
      <c r="I355" s="923" t="str">
        <f>IF(OR(tIRA_Withdr_Base1&lt;&gt;0,tIRA_Withdr_Base2&lt;&gt;0,tIRA_Withdr_Base3&lt;&gt;0),"Base case is using IRA withdrawal adjustment","--")</f>
        <v>--</v>
      </c>
      <c r="J355" s="822"/>
      <c r="K355" s="822"/>
      <c r="L355" s="822"/>
      <c r="M355" s="1316"/>
      <c r="N355" s="1317"/>
      <c r="S355" s="215"/>
      <c r="T355" s="212"/>
      <c r="U355" s="212"/>
      <c r="V355" s="212"/>
      <c r="W355" s="212"/>
      <c r="X355" s="212"/>
      <c r="Y355" s="212"/>
      <c r="Z355" s="212"/>
      <c r="AA355" s="212"/>
      <c r="AB355" s="212"/>
      <c r="AC355" s="212"/>
      <c r="AD355" s="212"/>
      <c r="AE355" s="212"/>
      <c r="AF355" s="212"/>
      <c r="AG355" s="212"/>
      <c r="AH355" s="212"/>
      <c r="AI355" s="212"/>
      <c r="AJ355" s="212"/>
      <c r="AK355" s="212"/>
      <c r="AL355" s="212"/>
      <c r="AM355" s="212"/>
      <c r="AN355" s="212"/>
      <c r="AO355" s="212"/>
      <c r="AP355" s="212"/>
      <c r="AQ355" s="212"/>
      <c r="AR355" s="212"/>
      <c r="AS355" s="212"/>
      <c r="AT355" s="693"/>
    </row>
    <row r="356" spans="1:46" ht="17.399999999999999" customHeight="1">
      <c r="B356" s="21" t="s">
        <v>449</v>
      </c>
      <c r="D356" s="29">
        <f>+D$90</f>
        <v>2710200</v>
      </c>
      <c r="E356" s="29">
        <f>+D$335</f>
        <v>2710200</v>
      </c>
      <c r="F356" s="29">
        <f>+D356-E356</f>
        <v>0</v>
      </c>
      <c r="G356" s="1336">
        <f>IF(E356&gt;0,(+D356-E356)/E356,0)</f>
        <v>0</v>
      </c>
      <c r="H356" s="183"/>
      <c r="I356" s="923" t="str">
        <f>IF(Tax_Rates_Alt="y","Federal tax rate change being used","--")</f>
        <v>--</v>
      </c>
      <c r="J356" s="822"/>
      <c r="K356" s="822"/>
      <c r="L356" s="822"/>
      <c r="M356" s="1316"/>
      <c r="N356" s="1317"/>
      <c r="S356" s="215"/>
      <c r="T356" s="212"/>
      <c r="U356" s="212"/>
      <c r="V356" s="212"/>
      <c r="W356" s="212"/>
      <c r="X356" s="212"/>
      <c r="Y356" s="212"/>
      <c r="Z356" s="212"/>
      <c r="AA356" s="212"/>
      <c r="AB356" s="212"/>
      <c r="AC356" s="212"/>
      <c r="AD356" s="212"/>
      <c r="AE356" s="212"/>
      <c r="AF356" s="212"/>
      <c r="AG356" s="212"/>
      <c r="AH356" s="212"/>
      <c r="AI356" s="212"/>
      <c r="AJ356" s="212"/>
      <c r="AK356" s="212"/>
      <c r="AL356" s="212"/>
      <c r="AM356" s="212"/>
      <c r="AN356" s="212"/>
      <c r="AO356" s="212"/>
      <c r="AP356" s="212"/>
      <c r="AQ356" s="212"/>
      <c r="AR356" s="212"/>
      <c r="AS356" s="212"/>
      <c r="AT356" s="693"/>
    </row>
    <row r="357" spans="1:46" ht="19.95" customHeight="1">
      <c r="B357" s="21" t="s">
        <v>1481</v>
      </c>
      <c r="D357" s="29">
        <f>+E$87</f>
        <v>279600</v>
      </c>
      <c r="E357" s="29">
        <f>+E$332</f>
        <v>279600</v>
      </c>
      <c r="F357" s="29">
        <f>+E357-D357</f>
        <v>0</v>
      </c>
      <c r="G357" s="1336">
        <f>IF(E357&gt;0,(+D357-E357)/E357,0)</f>
        <v>0</v>
      </c>
      <c r="H357" s="183"/>
      <c r="I357" s="923" t="str">
        <f>IF(Exclude_Taxes="n","--","Income taxes set to zero")</f>
        <v>--</v>
      </c>
      <c r="J357" s="822"/>
      <c r="K357" s="822"/>
      <c r="L357" s="822"/>
      <c r="M357" s="1316"/>
      <c r="N357" s="1317"/>
      <c r="S357" s="215"/>
      <c r="T357" s="212"/>
      <c r="U357" s="212"/>
      <c r="V357" s="212"/>
      <c r="W357" s="212"/>
      <c r="X357" s="212"/>
      <c r="Y357" s="212"/>
      <c r="Z357" s="212"/>
      <c r="AA357" s="212"/>
      <c r="AB357" s="212"/>
      <c r="AC357" s="212"/>
      <c r="AD357" s="212"/>
      <c r="AE357" s="212"/>
      <c r="AF357" s="212"/>
      <c r="AG357" s="212"/>
      <c r="AH357" s="212"/>
      <c r="AI357" s="212"/>
      <c r="AJ357" s="212"/>
      <c r="AK357" s="212"/>
      <c r="AL357" s="212"/>
      <c r="AM357" s="212"/>
      <c r="AN357" s="212"/>
      <c r="AO357" s="212"/>
      <c r="AP357" s="212"/>
      <c r="AQ357" s="212"/>
      <c r="AR357" s="212"/>
      <c r="AS357" s="212"/>
      <c r="AT357" s="693"/>
    </row>
    <row r="358" spans="1:46" ht="17.399999999999999" customHeight="1">
      <c r="B358" s="21" t="s">
        <v>449</v>
      </c>
      <c r="D358" s="29">
        <f>+D$87</f>
        <v>162100</v>
      </c>
      <c r="E358" s="29">
        <f>+D$332</f>
        <v>162100</v>
      </c>
      <c r="F358" s="29">
        <f>+E358-D358</f>
        <v>0</v>
      </c>
      <c r="G358" s="1336">
        <f>IF(E358&gt;0,(+D358-E358)/E358,0)</f>
        <v>0</v>
      </c>
      <c r="H358" s="183"/>
      <c r="J358" s="822"/>
      <c r="K358" s="822"/>
      <c r="L358" s="822"/>
      <c r="M358" s="1316"/>
      <c r="N358" s="1317"/>
      <c r="S358" s="215"/>
      <c r="T358" s="212"/>
      <c r="U358" s="212"/>
      <c r="V358" s="212"/>
      <c r="W358" s="212"/>
      <c r="X358" s="212"/>
      <c r="Y358" s="212"/>
      <c r="Z358" s="212"/>
      <c r="AA358" s="212"/>
      <c r="AB358" s="212"/>
      <c r="AC358" s="212"/>
      <c r="AD358" s="212"/>
      <c r="AE358" s="212"/>
      <c r="AF358" s="212"/>
      <c r="AG358" s="212"/>
      <c r="AH358" s="212"/>
      <c r="AI358" s="212"/>
      <c r="AJ358" s="212"/>
      <c r="AK358" s="212"/>
      <c r="AL358" s="212"/>
      <c r="AM358" s="212"/>
      <c r="AN358" s="212"/>
      <c r="AO358" s="212"/>
      <c r="AP358" s="212"/>
      <c r="AQ358" s="212"/>
      <c r="AR358" s="212"/>
      <c r="AS358" s="212"/>
      <c r="AT358" s="693"/>
    </row>
    <row r="359" spans="1:46" ht="19.95" customHeight="1">
      <c r="B359" s="91" t="s">
        <v>574</v>
      </c>
      <c r="D359" s="29">
        <f>E$379</f>
        <v>1017800</v>
      </c>
      <c r="E359" s="29">
        <f>E$382</f>
        <v>1017800</v>
      </c>
      <c r="F359" s="29">
        <f>+E359-D359</f>
        <v>0</v>
      </c>
      <c r="G359" s="1336">
        <f>IF(E359&gt;0,(+D359-E359)/E359,0)</f>
        <v>0</v>
      </c>
      <c r="H359" s="183"/>
      <c r="J359" s="822"/>
      <c r="K359" s="822"/>
      <c r="L359" s="822"/>
      <c r="M359" s="1316"/>
      <c r="N359" s="1317"/>
      <c r="S359" s="215"/>
      <c r="T359" s="212"/>
      <c r="U359" s="212"/>
      <c r="V359" s="212"/>
      <c r="W359" s="212"/>
      <c r="X359" s="212"/>
      <c r="Y359" s="212"/>
      <c r="Z359" s="212"/>
      <c r="AA359" s="212"/>
      <c r="AB359" s="212"/>
      <c r="AC359" s="212"/>
      <c r="AD359" s="212"/>
      <c r="AE359" s="212"/>
      <c r="AF359" s="212"/>
      <c r="AG359" s="212"/>
      <c r="AH359" s="212"/>
      <c r="AI359" s="212"/>
      <c r="AJ359" s="212"/>
      <c r="AK359" s="212"/>
      <c r="AL359" s="212"/>
      <c r="AM359" s="212"/>
      <c r="AN359" s="212"/>
      <c r="AO359" s="212"/>
      <c r="AP359" s="212"/>
      <c r="AQ359" s="212"/>
      <c r="AR359" s="212"/>
      <c r="AS359" s="212"/>
      <c r="AT359" s="693"/>
    </row>
    <row r="360" spans="1:46" ht="15.6">
      <c r="B360" s="162"/>
      <c r="C360" s="162"/>
      <c r="D360" s="671"/>
      <c r="F360" s="162"/>
      <c r="G360" s="162"/>
      <c r="H360" s="162"/>
      <c r="I360" s="162"/>
      <c r="J360" s="351"/>
      <c r="K360" s="351"/>
      <c r="L360" s="351"/>
      <c r="M360" s="703"/>
      <c r="N360" s="1319"/>
      <c r="AT360" s="693"/>
    </row>
    <row r="361" spans="1:46" ht="15.75" customHeight="1">
      <c r="D361" s="427"/>
      <c r="E361" s="162"/>
      <c r="F361" s="162"/>
      <c r="G361" s="162"/>
      <c r="H361" s="162"/>
      <c r="I361" s="162"/>
      <c r="J361" s="92"/>
      <c r="K361" s="92"/>
      <c r="L361" s="92"/>
      <c r="M361" s="86"/>
      <c r="N361" s="44"/>
      <c r="AT361" s="693"/>
    </row>
    <row r="362" spans="1:46" ht="17.399999999999999" customHeight="1">
      <c r="B362" s="1823" t="s">
        <v>1337</v>
      </c>
      <c r="C362" s="1823"/>
      <c r="D362" s="428"/>
      <c r="E362" s="1286" t="s">
        <v>557</v>
      </c>
      <c r="F362" s="325"/>
      <c r="G362" s="325"/>
      <c r="H362" s="325"/>
      <c r="I362" s="325"/>
      <c r="J362" s="325"/>
      <c r="K362" s="325"/>
      <c r="L362" s="325"/>
      <c r="M362" s="325"/>
      <c r="N362" s="325"/>
      <c r="O362" s="325"/>
      <c r="P362" s="325"/>
      <c r="Q362" s="325"/>
      <c r="R362" s="325"/>
      <c r="S362" s="325"/>
      <c r="T362" s="325"/>
      <c r="U362" s="325"/>
      <c r="V362" s="325"/>
      <c r="W362" s="325"/>
      <c r="X362" s="325"/>
      <c r="Y362" s="325"/>
      <c r="Z362" s="325"/>
      <c r="AA362" s="325"/>
      <c r="AB362" s="325"/>
      <c r="AC362" s="325"/>
      <c r="AD362" s="325"/>
      <c r="AE362" s="325"/>
      <c r="AF362" s="325"/>
      <c r="AG362" s="325"/>
      <c r="AH362" s="325"/>
      <c r="AI362" s="325"/>
      <c r="AJ362" s="325"/>
      <c r="AK362" s="325"/>
      <c r="AL362" s="325"/>
      <c r="AM362" s="325"/>
      <c r="AN362" s="325"/>
      <c r="AO362" s="325"/>
      <c r="AP362" s="325"/>
      <c r="AQ362" s="325"/>
      <c r="AR362" s="325"/>
      <c r="AS362" s="325"/>
      <c r="AT362" s="693"/>
    </row>
    <row r="363" spans="1:46" ht="15.6">
      <c r="C363" s="71"/>
      <c r="E363" s="345" t="s">
        <v>1434</v>
      </c>
      <c r="F363" s="74"/>
      <c r="G363" s="75"/>
      <c r="H363" s="75"/>
      <c r="I363" s="75"/>
      <c r="J363" s="75"/>
      <c r="K363" s="75"/>
      <c r="L363" s="75"/>
      <c r="M363" s="75"/>
      <c r="N363" s="75"/>
      <c r="O363" s="75"/>
      <c r="P363" s="75"/>
      <c r="Q363" s="75"/>
      <c r="R363" s="75"/>
      <c r="S363" s="75"/>
      <c r="T363" s="75"/>
      <c r="U363" s="75"/>
      <c r="V363" s="75"/>
      <c r="W363" s="75"/>
      <c r="X363" s="75"/>
      <c r="Y363" s="75"/>
      <c r="Z363" s="75"/>
      <c r="AA363" s="75"/>
      <c r="AB363" s="75"/>
      <c r="AC363" s="75"/>
      <c r="AD363" s="75"/>
      <c r="AE363" s="75"/>
      <c r="AF363" s="75"/>
      <c r="AG363" s="75"/>
      <c r="AH363" s="75"/>
      <c r="AI363" s="75"/>
      <c r="AJ363" s="75"/>
      <c r="AK363" s="75"/>
      <c r="AL363" s="75"/>
      <c r="AM363" s="75"/>
      <c r="AN363" s="75"/>
      <c r="AO363" s="75"/>
      <c r="AP363" s="75"/>
      <c r="AQ363" s="75"/>
      <c r="AR363" s="75"/>
      <c r="AS363" s="75"/>
      <c r="AT363" s="693"/>
    </row>
    <row r="364" spans="1:46" s="1" customFormat="1" ht="18" customHeight="1">
      <c r="A364" s="1339" t="s">
        <v>314</v>
      </c>
      <c r="B364" s="70" t="s">
        <v>813</v>
      </c>
      <c r="D364" s="96"/>
      <c r="E364" s="237">
        <f ca="1">+Details!$E$19</f>
        <v>2702400</v>
      </c>
      <c r="F364" s="102">
        <f>+Details!F19</f>
        <v>1000000</v>
      </c>
      <c r="G364" s="868">
        <f>+Details!G19</f>
        <v>1003900</v>
      </c>
      <c r="H364" s="868">
        <f>+Details!H19</f>
        <v>1020200</v>
      </c>
      <c r="I364" s="868">
        <f>+Details!I19</f>
        <v>1023600</v>
      </c>
      <c r="J364" s="868">
        <f>+Details!J19</f>
        <v>1026400</v>
      </c>
      <c r="K364" s="868">
        <f>+Details!K19</f>
        <v>1028500</v>
      </c>
      <c r="L364" s="868">
        <f>+Details!L19</f>
        <v>1050200</v>
      </c>
      <c r="M364" s="868">
        <f>+Details!M19</f>
        <v>1072700</v>
      </c>
      <c r="N364" s="868">
        <f>+Details!N19</f>
        <v>1094600</v>
      </c>
      <c r="O364" s="868">
        <f>+Details!O19</f>
        <v>1169500</v>
      </c>
      <c r="P364" s="868">
        <f>+Details!P19</f>
        <v>1219000</v>
      </c>
      <c r="Q364" s="868">
        <f>+Details!Q19</f>
        <v>1189100</v>
      </c>
      <c r="R364" s="868">
        <f>+Details!R19</f>
        <v>1340600</v>
      </c>
      <c r="S364" s="868">
        <f>+Details!S19</f>
        <v>1377500</v>
      </c>
      <c r="T364" s="868">
        <f>+Details!T19</f>
        <v>1436400</v>
      </c>
      <c r="U364" s="868">
        <f>+Details!U19</f>
        <v>1417200</v>
      </c>
      <c r="V364" s="868">
        <f>+Details!V19</f>
        <v>1599600</v>
      </c>
      <c r="W364" s="868">
        <f>+Details!W19</f>
        <v>1671600</v>
      </c>
      <c r="X364" s="868">
        <f>+Details!X19</f>
        <v>1746500</v>
      </c>
      <c r="Y364" s="868">
        <f>+Details!Y19</f>
        <v>1786500</v>
      </c>
      <c r="Z364" s="868">
        <f>+Details!Z19</f>
        <v>1827200</v>
      </c>
      <c r="AA364" s="868">
        <f>+Details!AA19</f>
        <v>1868600</v>
      </c>
      <c r="AB364" s="868">
        <f>+Details!AB19</f>
        <v>1910200</v>
      </c>
      <c r="AC364" s="868">
        <f>+Details!AC19</f>
        <v>2356100</v>
      </c>
      <c r="AD364" s="868">
        <f>+Details!AD19</f>
        <v>2414800</v>
      </c>
      <c r="AE364" s="868">
        <f>+Details!AE19</f>
        <v>2544900</v>
      </c>
      <c r="AF364" s="868">
        <f>+Details!AF19</f>
        <v>2576100</v>
      </c>
      <c r="AG364" s="868">
        <f>+Details!AG19</f>
        <v>2606300</v>
      </c>
      <c r="AH364" s="868">
        <f>+Details!AH19</f>
        <v>2638500</v>
      </c>
      <c r="AI364" s="868">
        <f>+Details!AI19</f>
        <v>2670800</v>
      </c>
      <c r="AJ364" s="868">
        <f>+Details!AJ19</f>
        <v>0</v>
      </c>
      <c r="AK364" s="868">
        <f>+Details!AK19</f>
        <v>0</v>
      </c>
      <c r="AL364" s="868">
        <f>+Details!AL19</f>
        <v>0</v>
      </c>
      <c r="AM364" s="868">
        <f>+Details!AM19</f>
        <v>0</v>
      </c>
      <c r="AN364" s="868">
        <f>+Details!AN19</f>
        <v>0</v>
      </c>
      <c r="AO364" s="868">
        <f>+Details!AO19</f>
        <v>0</v>
      </c>
      <c r="AP364" s="868">
        <f>+Details!AP19</f>
        <v>0</v>
      </c>
      <c r="AQ364" s="868">
        <f>+Details!AQ19</f>
        <v>0</v>
      </c>
      <c r="AR364" s="868">
        <f>+Details!AR19</f>
        <v>0</v>
      </c>
      <c r="AS364" s="868">
        <f>+Details!AS19</f>
        <v>0</v>
      </c>
      <c r="AT364" s="693"/>
    </row>
    <row r="365" spans="1:46" s="1" customFormat="1" ht="15.6">
      <c r="B365" s="21" t="s">
        <v>308</v>
      </c>
      <c r="D365" s="96"/>
      <c r="E365" s="238">
        <f ca="1">+Base!$E$19</f>
        <v>2702400</v>
      </c>
      <c r="F365" s="34">
        <f>+Base!F19</f>
        <v>1000000</v>
      </c>
      <c r="G365" s="1115">
        <f>+Base!G19</f>
        <v>1003900</v>
      </c>
      <c r="H365" s="1115">
        <f>+Base!H19</f>
        <v>1020200</v>
      </c>
      <c r="I365" s="1115">
        <f>+Base!I19</f>
        <v>1023600</v>
      </c>
      <c r="J365" s="1115">
        <f>+Base!J19</f>
        <v>1026400</v>
      </c>
      <c r="K365" s="1115">
        <f>+Base!K19</f>
        <v>1028500</v>
      </c>
      <c r="L365" s="1115">
        <f>+Base!L19</f>
        <v>1050200</v>
      </c>
      <c r="M365" s="1115">
        <f>+Base!M19</f>
        <v>1072700</v>
      </c>
      <c r="N365" s="1115">
        <f>+Base!N19</f>
        <v>1094600</v>
      </c>
      <c r="O365" s="1115">
        <f>+Base!O19</f>
        <v>1169500</v>
      </c>
      <c r="P365" s="1115">
        <f>+Base!P19</f>
        <v>1219000</v>
      </c>
      <c r="Q365" s="1115">
        <f>+Base!Q19</f>
        <v>1189100</v>
      </c>
      <c r="R365" s="1115">
        <f>+Base!R19</f>
        <v>1340600</v>
      </c>
      <c r="S365" s="1115">
        <f>+Base!S19</f>
        <v>1377500</v>
      </c>
      <c r="T365" s="1115">
        <f>+Base!T19</f>
        <v>1436400</v>
      </c>
      <c r="U365" s="1115">
        <f>+Base!U19</f>
        <v>1417200</v>
      </c>
      <c r="V365" s="1115">
        <f>+Base!V19</f>
        <v>1599600</v>
      </c>
      <c r="W365" s="1115">
        <f>+Base!W19</f>
        <v>1671600</v>
      </c>
      <c r="X365" s="1115">
        <f>+Base!X19</f>
        <v>1746500</v>
      </c>
      <c r="Y365" s="1115">
        <f>+Base!Y19</f>
        <v>1786500</v>
      </c>
      <c r="Z365" s="1115">
        <f>+Base!Z19</f>
        <v>1827200</v>
      </c>
      <c r="AA365" s="1115">
        <f>+Base!AA19</f>
        <v>1868600</v>
      </c>
      <c r="AB365" s="1115">
        <f>+Base!AB19</f>
        <v>1910200</v>
      </c>
      <c r="AC365" s="1115">
        <f>+Base!AC19</f>
        <v>2356100</v>
      </c>
      <c r="AD365" s="1115">
        <f>+Base!AD19</f>
        <v>2414800</v>
      </c>
      <c r="AE365" s="1115">
        <f>+Base!AE19</f>
        <v>2544900</v>
      </c>
      <c r="AF365" s="1115">
        <f>+Base!AF19</f>
        <v>2576100</v>
      </c>
      <c r="AG365" s="1115">
        <f>+Base!AG19</f>
        <v>2606300</v>
      </c>
      <c r="AH365" s="1115">
        <f>+Base!AH19</f>
        <v>2638500</v>
      </c>
      <c r="AI365" s="1115">
        <f>+Base!AI19</f>
        <v>2670800</v>
      </c>
      <c r="AJ365" s="1115">
        <f>+Base!AJ19</f>
        <v>0</v>
      </c>
      <c r="AK365" s="1115">
        <f>+Base!AK19</f>
        <v>0</v>
      </c>
      <c r="AL365" s="1115">
        <f>+Base!AL19</f>
        <v>0</v>
      </c>
      <c r="AM365" s="1115">
        <f>+Base!AM19</f>
        <v>0</v>
      </c>
      <c r="AN365" s="1115">
        <f>+Base!AN19</f>
        <v>0</v>
      </c>
      <c r="AO365" s="1115">
        <f>+Base!AO19</f>
        <v>0</v>
      </c>
      <c r="AP365" s="1115">
        <f>+Base!AP19</f>
        <v>0</v>
      </c>
      <c r="AQ365" s="1115">
        <f>+Base!AQ19</f>
        <v>0</v>
      </c>
      <c r="AR365" s="1115">
        <f>+Base!AR19</f>
        <v>0</v>
      </c>
      <c r="AS365" s="1115">
        <f>+Base!AS19</f>
        <v>0</v>
      </c>
      <c r="AT365" s="693"/>
    </row>
    <row r="366" spans="1:46" ht="15.6">
      <c r="B366" s="143" t="s">
        <v>824</v>
      </c>
      <c r="C366" s="52"/>
      <c r="D366" s="29"/>
      <c r="E366" s="93">
        <f ca="1">+E364-E365</f>
        <v>0</v>
      </c>
      <c r="F366" s="29">
        <f>+F364-F365</f>
        <v>0</v>
      </c>
      <c r="G366" s="868">
        <f>+G364-G365</f>
        <v>0</v>
      </c>
      <c r="H366" s="868">
        <f t="shared" ref="H366:AS366" si="32">+H364-H365</f>
        <v>0</v>
      </c>
      <c r="I366" s="868">
        <f t="shared" si="32"/>
        <v>0</v>
      </c>
      <c r="J366" s="868">
        <f t="shared" si="32"/>
        <v>0</v>
      </c>
      <c r="K366" s="868">
        <f t="shared" si="32"/>
        <v>0</v>
      </c>
      <c r="L366" s="868">
        <f t="shared" si="32"/>
        <v>0</v>
      </c>
      <c r="M366" s="868">
        <f t="shared" si="32"/>
        <v>0</v>
      </c>
      <c r="N366" s="868">
        <f t="shared" si="32"/>
        <v>0</v>
      </c>
      <c r="O366" s="868">
        <f t="shared" si="32"/>
        <v>0</v>
      </c>
      <c r="P366" s="868">
        <f t="shared" si="32"/>
        <v>0</v>
      </c>
      <c r="Q366" s="868">
        <f t="shared" si="32"/>
        <v>0</v>
      </c>
      <c r="R366" s="868">
        <f t="shared" si="32"/>
        <v>0</v>
      </c>
      <c r="S366" s="868">
        <f t="shared" si="32"/>
        <v>0</v>
      </c>
      <c r="T366" s="868">
        <f t="shared" si="32"/>
        <v>0</v>
      </c>
      <c r="U366" s="868">
        <f t="shared" si="32"/>
        <v>0</v>
      </c>
      <c r="V366" s="868">
        <f t="shared" si="32"/>
        <v>0</v>
      </c>
      <c r="W366" s="868">
        <f t="shared" si="32"/>
        <v>0</v>
      </c>
      <c r="X366" s="868">
        <f t="shared" si="32"/>
        <v>0</v>
      </c>
      <c r="Y366" s="868">
        <f t="shared" si="32"/>
        <v>0</v>
      </c>
      <c r="Z366" s="868">
        <f t="shared" si="32"/>
        <v>0</v>
      </c>
      <c r="AA366" s="868">
        <f t="shared" si="32"/>
        <v>0</v>
      </c>
      <c r="AB366" s="868">
        <f t="shared" si="32"/>
        <v>0</v>
      </c>
      <c r="AC366" s="868">
        <f t="shared" si="32"/>
        <v>0</v>
      </c>
      <c r="AD366" s="868">
        <f t="shared" si="32"/>
        <v>0</v>
      </c>
      <c r="AE366" s="868">
        <f t="shared" si="32"/>
        <v>0</v>
      </c>
      <c r="AF366" s="868">
        <f t="shared" si="32"/>
        <v>0</v>
      </c>
      <c r="AG366" s="868">
        <f t="shared" si="32"/>
        <v>0</v>
      </c>
      <c r="AH366" s="868">
        <f t="shared" si="32"/>
        <v>0</v>
      </c>
      <c r="AI366" s="868">
        <f t="shared" si="32"/>
        <v>0</v>
      </c>
      <c r="AJ366" s="868">
        <f t="shared" si="32"/>
        <v>0</v>
      </c>
      <c r="AK366" s="868">
        <f t="shared" si="32"/>
        <v>0</v>
      </c>
      <c r="AL366" s="868">
        <f t="shared" si="32"/>
        <v>0</v>
      </c>
      <c r="AM366" s="868">
        <f t="shared" si="32"/>
        <v>0</v>
      </c>
      <c r="AN366" s="868">
        <f t="shared" si="32"/>
        <v>0</v>
      </c>
      <c r="AO366" s="868">
        <f t="shared" si="32"/>
        <v>0</v>
      </c>
      <c r="AP366" s="868">
        <f t="shared" si="32"/>
        <v>0</v>
      </c>
      <c r="AQ366" s="868">
        <f t="shared" si="32"/>
        <v>0</v>
      </c>
      <c r="AR366" s="868">
        <f t="shared" si="32"/>
        <v>0</v>
      </c>
      <c r="AS366" s="868">
        <f t="shared" si="32"/>
        <v>0</v>
      </c>
      <c r="AT366" s="693"/>
    </row>
    <row r="367" spans="1:46" ht="15.6">
      <c r="C367" s="71"/>
      <c r="D367" s="71"/>
      <c r="E367" s="87"/>
      <c r="F367" s="29"/>
      <c r="G367" s="29"/>
      <c r="H367" s="29"/>
      <c r="I367" s="29"/>
      <c r="J367" s="29"/>
      <c r="K367" s="29"/>
      <c r="L367" s="29"/>
      <c r="M367" s="29"/>
      <c r="N367" s="29"/>
      <c r="O367" s="29"/>
      <c r="P367" s="29"/>
      <c r="Q367" s="29"/>
      <c r="R367" s="29"/>
      <c r="S367" s="29"/>
      <c r="T367" s="29"/>
      <c r="U367" s="29"/>
      <c r="V367" s="29"/>
      <c r="W367" s="29"/>
      <c r="X367" s="29"/>
      <c r="Y367" s="29"/>
      <c r="Z367" s="29"/>
      <c r="AA367" s="29"/>
      <c r="AB367" s="29"/>
      <c r="AC367" s="29"/>
      <c r="AD367" s="29"/>
      <c r="AE367" s="29"/>
      <c r="AF367" s="29"/>
      <c r="AG367" s="29"/>
      <c r="AH367" s="29"/>
      <c r="AI367" s="29"/>
      <c r="AJ367" s="29"/>
      <c r="AK367" s="29"/>
      <c r="AL367" s="29"/>
      <c r="AM367" s="29"/>
      <c r="AN367" s="29"/>
      <c r="AO367" s="29"/>
      <c r="AP367" s="29"/>
      <c r="AQ367" s="29"/>
      <c r="AR367" s="29"/>
      <c r="AS367" s="29"/>
      <c r="AT367" s="693"/>
    </row>
    <row r="368" spans="1:46" s="1" customFormat="1" ht="15.6">
      <c r="B368" s="70" t="s">
        <v>814</v>
      </c>
      <c r="D368" s="96"/>
      <c r="E368" s="237">
        <f ca="1">+Details!$E$19</f>
        <v>2702400</v>
      </c>
      <c r="F368" s="102">
        <f>+Details!F259</f>
        <v>1003900</v>
      </c>
      <c r="G368" s="868">
        <f>+Details!G259</f>
        <v>1020200</v>
      </c>
      <c r="H368" s="868">
        <f>+Details!H259</f>
        <v>1023600</v>
      </c>
      <c r="I368" s="868">
        <f>+Details!I259</f>
        <v>1026400</v>
      </c>
      <c r="J368" s="868">
        <f>+Details!J259</f>
        <v>1028500</v>
      </c>
      <c r="K368" s="868">
        <f>+Details!K259</f>
        <v>1050200</v>
      </c>
      <c r="L368" s="868">
        <f>+Details!L259</f>
        <v>1072700</v>
      </c>
      <c r="M368" s="868">
        <f>+Details!M259</f>
        <v>1094600</v>
      </c>
      <c r="N368" s="868">
        <f>+Details!N259</f>
        <v>1169500</v>
      </c>
      <c r="O368" s="868">
        <f>+Details!O259</f>
        <v>1219000</v>
      </c>
      <c r="P368" s="868">
        <f>+Details!P259</f>
        <v>1189100</v>
      </c>
      <c r="Q368" s="868">
        <f>+Details!Q259</f>
        <v>1340600</v>
      </c>
      <c r="R368" s="868">
        <f>+Details!R259</f>
        <v>1377500</v>
      </c>
      <c r="S368" s="868">
        <f>+Details!S259</f>
        <v>1436400</v>
      </c>
      <c r="T368" s="868">
        <f>+Details!T259</f>
        <v>1417200</v>
      </c>
      <c r="U368" s="868">
        <f>+Details!U259</f>
        <v>1599600</v>
      </c>
      <c r="V368" s="868">
        <f>+Details!V259</f>
        <v>1671600</v>
      </c>
      <c r="W368" s="868">
        <f>+Details!W259</f>
        <v>1746500</v>
      </c>
      <c r="X368" s="868">
        <f>+Details!X259</f>
        <v>1786500</v>
      </c>
      <c r="Y368" s="868">
        <f>+Details!Y259</f>
        <v>1827200</v>
      </c>
      <c r="Z368" s="868">
        <f>+Details!Z259</f>
        <v>1868600</v>
      </c>
      <c r="AA368" s="868">
        <f>+Details!AA259</f>
        <v>1910200</v>
      </c>
      <c r="AB368" s="868">
        <f>+Details!AB259</f>
        <v>2356100</v>
      </c>
      <c r="AC368" s="868">
        <f>+Details!AC259</f>
        <v>2414800</v>
      </c>
      <c r="AD368" s="868">
        <f>+Details!AD259</f>
        <v>2544900</v>
      </c>
      <c r="AE368" s="868">
        <f>+Details!AE259</f>
        <v>2576100</v>
      </c>
      <c r="AF368" s="868">
        <f>+Details!AF259</f>
        <v>2606300</v>
      </c>
      <c r="AG368" s="868">
        <f>+Details!AG259</f>
        <v>2638500</v>
      </c>
      <c r="AH368" s="868">
        <f>+Details!AH259</f>
        <v>2670800</v>
      </c>
      <c r="AI368" s="868">
        <f>+Details!AI259</f>
        <v>2702400</v>
      </c>
      <c r="AJ368" s="868">
        <f>+Details!AJ259</f>
        <v>0</v>
      </c>
      <c r="AK368" s="868">
        <f>+Details!AK259</f>
        <v>0</v>
      </c>
      <c r="AL368" s="868">
        <f>+Details!AL259</f>
        <v>0</v>
      </c>
      <c r="AM368" s="868">
        <f>+Details!AM259</f>
        <v>0</v>
      </c>
      <c r="AN368" s="868">
        <f>+Details!AN259</f>
        <v>0</v>
      </c>
      <c r="AO368" s="868">
        <f>+Details!AO259</f>
        <v>0</v>
      </c>
      <c r="AP368" s="868">
        <f>+Details!AP259</f>
        <v>0</v>
      </c>
      <c r="AQ368" s="868">
        <f>+Details!AQ259</f>
        <v>0</v>
      </c>
      <c r="AR368" s="868">
        <f>+Details!AR259</f>
        <v>0</v>
      </c>
      <c r="AS368" s="868">
        <f>+Details!AS259</f>
        <v>0</v>
      </c>
      <c r="AT368" s="693"/>
    </row>
    <row r="369" spans="2:46" s="1" customFormat="1" ht="15.6">
      <c r="B369" s="21" t="s">
        <v>308</v>
      </c>
      <c r="D369" s="96"/>
      <c r="E369" s="238">
        <f ca="1">+Base!$E$19</f>
        <v>2702400</v>
      </c>
      <c r="F369" s="34">
        <f>+Base!F259</f>
        <v>1003900</v>
      </c>
      <c r="G369" s="1115">
        <f>+Base!G259</f>
        <v>1020200</v>
      </c>
      <c r="H369" s="1115">
        <f>+Base!H259</f>
        <v>1023600</v>
      </c>
      <c r="I369" s="1115">
        <f>+Base!I259</f>
        <v>1026400</v>
      </c>
      <c r="J369" s="1115">
        <f>+Base!J259</f>
        <v>1028500</v>
      </c>
      <c r="K369" s="1115">
        <f>+Base!K259</f>
        <v>1050200</v>
      </c>
      <c r="L369" s="1115">
        <f>+Base!L259</f>
        <v>1072700</v>
      </c>
      <c r="M369" s="1115">
        <f>+Base!M259</f>
        <v>1094600</v>
      </c>
      <c r="N369" s="1115">
        <f>+Base!N259</f>
        <v>1169500</v>
      </c>
      <c r="O369" s="1115">
        <f>+Base!O259</f>
        <v>1219000</v>
      </c>
      <c r="P369" s="1115">
        <f>+Base!P259</f>
        <v>1189100</v>
      </c>
      <c r="Q369" s="1115">
        <f>+Base!Q259</f>
        <v>1340600</v>
      </c>
      <c r="R369" s="1115">
        <f>+Base!R259</f>
        <v>1377500</v>
      </c>
      <c r="S369" s="1115">
        <f>+Base!S259</f>
        <v>1436400</v>
      </c>
      <c r="T369" s="1115">
        <f>+Base!T259</f>
        <v>1417200</v>
      </c>
      <c r="U369" s="1115">
        <f>+Base!U259</f>
        <v>1599600</v>
      </c>
      <c r="V369" s="1115">
        <f>+Base!V259</f>
        <v>1671600</v>
      </c>
      <c r="W369" s="1115">
        <f>+Base!W259</f>
        <v>1746500</v>
      </c>
      <c r="X369" s="1115">
        <f>+Base!X259</f>
        <v>1786500</v>
      </c>
      <c r="Y369" s="1115">
        <f>+Base!Y259</f>
        <v>1827200</v>
      </c>
      <c r="Z369" s="1115">
        <f>+Base!Z259</f>
        <v>1868600</v>
      </c>
      <c r="AA369" s="1115">
        <f>+Base!AA259</f>
        <v>1910200</v>
      </c>
      <c r="AB369" s="1115">
        <f>+Base!AB259</f>
        <v>2356100</v>
      </c>
      <c r="AC369" s="1115">
        <f>+Base!AC259</f>
        <v>2414800</v>
      </c>
      <c r="AD369" s="1115">
        <f>+Base!AD259</f>
        <v>2544900</v>
      </c>
      <c r="AE369" s="1115">
        <f>+Base!AE259</f>
        <v>2576100</v>
      </c>
      <c r="AF369" s="1115">
        <f>+Base!AF259</f>
        <v>2606300</v>
      </c>
      <c r="AG369" s="1115">
        <f>+Base!AG259</f>
        <v>2638500</v>
      </c>
      <c r="AH369" s="1115">
        <f>+Base!AH259</f>
        <v>2670800</v>
      </c>
      <c r="AI369" s="1115">
        <f>+Base!AI259</f>
        <v>2702400</v>
      </c>
      <c r="AJ369" s="1115">
        <f>+Base!AJ259</f>
        <v>0</v>
      </c>
      <c r="AK369" s="1115">
        <f>+Base!AK259</f>
        <v>0</v>
      </c>
      <c r="AL369" s="1115">
        <f>+Base!AL259</f>
        <v>0</v>
      </c>
      <c r="AM369" s="1115">
        <f>+Base!AM259</f>
        <v>0</v>
      </c>
      <c r="AN369" s="1115">
        <f>+Base!AN259</f>
        <v>0</v>
      </c>
      <c r="AO369" s="1115">
        <f>+Base!AO259</f>
        <v>0</v>
      </c>
      <c r="AP369" s="1115">
        <f>+Base!AP259</f>
        <v>0</v>
      </c>
      <c r="AQ369" s="1115">
        <f>+Base!AQ259</f>
        <v>0</v>
      </c>
      <c r="AR369" s="1115">
        <f>+Base!AR259</f>
        <v>0</v>
      </c>
      <c r="AS369" s="1115">
        <f>+Base!AS259</f>
        <v>0</v>
      </c>
      <c r="AT369" s="693"/>
    </row>
    <row r="370" spans="2:46" ht="15.6">
      <c r="B370" s="143" t="s">
        <v>824</v>
      </c>
      <c r="C370" s="52"/>
      <c r="D370" s="29"/>
      <c r="E370" s="93">
        <f ca="1">-E369+E368</f>
        <v>0</v>
      </c>
      <c r="F370" s="29">
        <f t="shared" ref="F370:AS370" si="33">-F369+F368</f>
        <v>0</v>
      </c>
      <c r="G370" s="868">
        <f t="shared" si="33"/>
        <v>0</v>
      </c>
      <c r="H370" s="868">
        <f t="shared" si="33"/>
        <v>0</v>
      </c>
      <c r="I370" s="868">
        <f t="shared" si="33"/>
        <v>0</v>
      </c>
      <c r="J370" s="868">
        <f t="shared" si="33"/>
        <v>0</v>
      </c>
      <c r="K370" s="868">
        <f t="shared" si="33"/>
        <v>0</v>
      </c>
      <c r="L370" s="868">
        <f t="shared" si="33"/>
        <v>0</v>
      </c>
      <c r="M370" s="868">
        <f t="shared" si="33"/>
        <v>0</v>
      </c>
      <c r="N370" s="868">
        <f t="shared" si="33"/>
        <v>0</v>
      </c>
      <c r="O370" s="868">
        <f t="shared" si="33"/>
        <v>0</v>
      </c>
      <c r="P370" s="868">
        <f t="shared" si="33"/>
        <v>0</v>
      </c>
      <c r="Q370" s="868">
        <f t="shared" si="33"/>
        <v>0</v>
      </c>
      <c r="R370" s="868">
        <f t="shared" si="33"/>
        <v>0</v>
      </c>
      <c r="S370" s="868">
        <f t="shared" si="33"/>
        <v>0</v>
      </c>
      <c r="T370" s="868">
        <f t="shared" si="33"/>
        <v>0</v>
      </c>
      <c r="U370" s="868">
        <f t="shared" si="33"/>
        <v>0</v>
      </c>
      <c r="V370" s="868">
        <f t="shared" si="33"/>
        <v>0</v>
      </c>
      <c r="W370" s="868">
        <f t="shared" si="33"/>
        <v>0</v>
      </c>
      <c r="X370" s="868">
        <f t="shared" si="33"/>
        <v>0</v>
      </c>
      <c r="Y370" s="868">
        <f t="shared" si="33"/>
        <v>0</v>
      </c>
      <c r="Z370" s="868">
        <f t="shared" si="33"/>
        <v>0</v>
      </c>
      <c r="AA370" s="868">
        <f t="shared" si="33"/>
        <v>0</v>
      </c>
      <c r="AB370" s="868">
        <f t="shared" si="33"/>
        <v>0</v>
      </c>
      <c r="AC370" s="868">
        <f t="shared" si="33"/>
        <v>0</v>
      </c>
      <c r="AD370" s="868">
        <f t="shared" si="33"/>
        <v>0</v>
      </c>
      <c r="AE370" s="868">
        <f t="shared" si="33"/>
        <v>0</v>
      </c>
      <c r="AF370" s="868">
        <f t="shared" si="33"/>
        <v>0</v>
      </c>
      <c r="AG370" s="868">
        <f t="shared" si="33"/>
        <v>0</v>
      </c>
      <c r="AH370" s="868">
        <f t="shared" si="33"/>
        <v>0</v>
      </c>
      <c r="AI370" s="868">
        <f t="shared" si="33"/>
        <v>0</v>
      </c>
      <c r="AJ370" s="868">
        <f t="shared" si="33"/>
        <v>0</v>
      </c>
      <c r="AK370" s="868">
        <f t="shared" si="33"/>
        <v>0</v>
      </c>
      <c r="AL370" s="868">
        <f t="shared" si="33"/>
        <v>0</v>
      </c>
      <c r="AM370" s="868">
        <f t="shared" si="33"/>
        <v>0</v>
      </c>
      <c r="AN370" s="868">
        <f t="shared" si="33"/>
        <v>0</v>
      </c>
      <c r="AO370" s="868">
        <f t="shared" si="33"/>
        <v>0</v>
      </c>
      <c r="AP370" s="868">
        <f t="shared" si="33"/>
        <v>0</v>
      </c>
      <c r="AQ370" s="868">
        <f t="shared" si="33"/>
        <v>0</v>
      </c>
      <c r="AR370" s="868">
        <f t="shared" si="33"/>
        <v>0</v>
      </c>
      <c r="AS370" s="868">
        <f t="shared" si="33"/>
        <v>0</v>
      </c>
      <c r="AT370" s="693"/>
    </row>
    <row r="371" spans="2:46" ht="15.6">
      <c r="C371" s="313"/>
      <c r="D371" s="29"/>
      <c r="E371" s="77"/>
      <c r="F371" s="29"/>
      <c r="G371" s="29"/>
      <c r="H371" s="29"/>
      <c r="I371" s="29"/>
      <c r="J371" s="29"/>
      <c r="K371" s="29"/>
      <c r="L371" s="29"/>
      <c r="M371" s="29"/>
      <c r="N371" s="29"/>
      <c r="O371" s="29"/>
      <c r="P371" s="29"/>
      <c r="Q371" s="29"/>
      <c r="R371" s="29"/>
      <c r="S371" s="29"/>
      <c r="T371" s="29"/>
      <c r="U371" s="29"/>
      <c r="V371" s="29"/>
      <c r="W371" s="29"/>
      <c r="X371" s="29"/>
      <c r="Y371" s="29"/>
      <c r="Z371" s="29"/>
      <c r="AA371" s="29"/>
      <c r="AB371" s="29"/>
      <c r="AC371" s="29"/>
      <c r="AD371" s="29"/>
      <c r="AE371" s="29"/>
      <c r="AF371" s="29"/>
      <c r="AG371" s="29"/>
      <c r="AH371" s="29"/>
      <c r="AI371" s="29"/>
      <c r="AJ371" s="29"/>
      <c r="AK371" s="29"/>
      <c r="AL371" s="29"/>
      <c r="AM371" s="29"/>
      <c r="AN371" s="29"/>
      <c r="AO371" s="29"/>
      <c r="AP371" s="29"/>
      <c r="AQ371" s="29"/>
      <c r="AR371" s="29"/>
      <c r="AS371" s="29"/>
      <c r="AT371" s="693"/>
    </row>
    <row r="372" spans="2:46" s="1" customFormat="1" ht="15.6">
      <c r="B372" s="313" t="s">
        <v>815</v>
      </c>
      <c r="C372" s="265"/>
      <c r="D372" s="102"/>
      <c r="E372" s="237">
        <f ca="1">+Details!$E$8</f>
        <v>1538900</v>
      </c>
      <c r="F372" s="102">
        <f>+Details!F8</f>
        <v>200000</v>
      </c>
      <c r="G372" s="868">
        <f>+Details!G8</f>
        <v>187100</v>
      </c>
      <c r="H372" s="868">
        <f>+Details!H8</f>
        <v>186800</v>
      </c>
      <c r="I372" s="868">
        <f>+Details!I8</f>
        <v>173800</v>
      </c>
      <c r="J372" s="868">
        <f>+Details!J8</f>
        <v>160500</v>
      </c>
      <c r="K372" s="868">
        <f>+Details!K8</f>
        <v>148300</v>
      </c>
      <c r="L372" s="868">
        <f>+Details!L8</f>
        <v>156400</v>
      </c>
      <c r="M372" s="868">
        <f>+Details!M8</f>
        <v>166100</v>
      </c>
      <c r="N372" s="868">
        <f>+Details!N8</f>
        <v>175900</v>
      </c>
      <c r="O372" s="868">
        <f>+Details!O8</f>
        <v>202800</v>
      </c>
      <c r="P372" s="868">
        <f>+Details!P8</f>
        <v>238100</v>
      </c>
      <c r="Q372" s="868">
        <f>+Details!Q8</f>
        <v>194200</v>
      </c>
      <c r="R372" s="868">
        <f>+Details!R8</f>
        <v>272100</v>
      </c>
      <c r="S372" s="868">
        <f>+Details!S8</f>
        <v>296700</v>
      </c>
      <c r="T372" s="868">
        <f>+Details!T8</f>
        <v>344500</v>
      </c>
      <c r="U372" s="868">
        <f>+Details!U8</f>
        <v>301300</v>
      </c>
      <c r="V372" s="868">
        <f>+Details!V8</f>
        <v>424600</v>
      </c>
      <c r="W372" s="868">
        <f>+Details!W8</f>
        <v>480700</v>
      </c>
      <c r="X372" s="868">
        <f>+Details!X8</f>
        <v>541400</v>
      </c>
      <c r="Y372" s="868">
        <f>+Details!Y8</f>
        <v>574700</v>
      </c>
      <c r="Z372" s="868">
        <f>+Details!Z8</f>
        <v>609500</v>
      </c>
      <c r="AA372" s="868">
        <f>+Details!AA8</f>
        <v>647200</v>
      </c>
      <c r="AB372" s="868">
        <f>+Details!AB8</f>
        <v>688000</v>
      </c>
      <c r="AC372" s="868">
        <f>+Details!AC8</f>
        <v>1136000</v>
      </c>
      <c r="AD372" s="868">
        <f>+Details!AD8</f>
        <v>1199500</v>
      </c>
      <c r="AE372" s="868">
        <f>+Details!AE8</f>
        <v>1337600</v>
      </c>
      <c r="AF372" s="868">
        <f>+Details!AF8</f>
        <v>1379900</v>
      </c>
      <c r="AG372" s="868">
        <f>+Details!AG8</f>
        <v>1423300</v>
      </c>
      <c r="AH372" s="868">
        <f>+Details!AH8</f>
        <v>1461500</v>
      </c>
      <c r="AI372" s="868">
        <f>+Details!AI8</f>
        <v>1499700</v>
      </c>
      <c r="AJ372" s="868">
        <f>+Details!AJ8</f>
        <v>0</v>
      </c>
      <c r="AK372" s="868">
        <f>+Details!AK8</f>
        <v>0</v>
      </c>
      <c r="AL372" s="868">
        <f>+Details!AL8</f>
        <v>0</v>
      </c>
      <c r="AM372" s="868">
        <f>+Details!AM8</f>
        <v>0</v>
      </c>
      <c r="AN372" s="868">
        <f>+Details!AN8</f>
        <v>0</v>
      </c>
      <c r="AO372" s="868">
        <f>+Details!AO8</f>
        <v>0</v>
      </c>
      <c r="AP372" s="868">
        <f>+Details!AP8</f>
        <v>0</v>
      </c>
      <c r="AQ372" s="868">
        <f>+Details!AQ8</f>
        <v>0</v>
      </c>
      <c r="AR372" s="868">
        <f>+Details!AR8</f>
        <v>0</v>
      </c>
      <c r="AS372" s="868">
        <f>+Details!AS8</f>
        <v>0</v>
      </c>
      <c r="AT372" s="693"/>
    </row>
    <row r="373" spans="2:46" s="1" customFormat="1" ht="15.6">
      <c r="B373" s="21" t="s">
        <v>308</v>
      </c>
      <c r="C373" s="265"/>
      <c r="D373" s="102"/>
      <c r="E373" s="238">
        <f ca="1">+Base!$E$8</f>
        <v>1538900</v>
      </c>
      <c r="F373" s="34">
        <f>+Base!F8</f>
        <v>200000</v>
      </c>
      <c r="G373" s="1115">
        <f>+Base!G8</f>
        <v>187100</v>
      </c>
      <c r="H373" s="1115">
        <f>+Base!H8</f>
        <v>186800</v>
      </c>
      <c r="I373" s="1115">
        <f>+Base!I8</f>
        <v>173800</v>
      </c>
      <c r="J373" s="1115">
        <f>+Base!J8</f>
        <v>160500</v>
      </c>
      <c r="K373" s="1115">
        <f>+Base!K8</f>
        <v>148300</v>
      </c>
      <c r="L373" s="1115">
        <f>+Base!L8</f>
        <v>156400</v>
      </c>
      <c r="M373" s="1115">
        <f>+Base!M8</f>
        <v>166100</v>
      </c>
      <c r="N373" s="1115">
        <f>+Base!N8</f>
        <v>175900</v>
      </c>
      <c r="O373" s="1115">
        <f>+Base!O8</f>
        <v>202800</v>
      </c>
      <c r="P373" s="1115">
        <f>+Base!P8</f>
        <v>238100</v>
      </c>
      <c r="Q373" s="1115">
        <f>+Base!Q8</f>
        <v>194200</v>
      </c>
      <c r="R373" s="1115">
        <f>+Base!R8</f>
        <v>272100</v>
      </c>
      <c r="S373" s="1115">
        <f>+Base!S8</f>
        <v>296700</v>
      </c>
      <c r="T373" s="1115">
        <f>+Base!T8</f>
        <v>344500</v>
      </c>
      <c r="U373" s="1115">
        <f>+Base!U8</f>
        <v>301300</v>
      </c>
      <c r="V373" s="1115">
        <f>+Base!V8</f>
        <v>424600</v>
      </c>
      <c r="W373" s="1115">
        <f>+Base!W8</f>
        <v>480700</v>
      </c>
      <c r="X373" s="1115">
        <f>+Base!X8</f>
        <v>541400</v>
      </c>
      <c r="Y373" s="1115">
        <f>+Base!Y8</f>
        <v>574700</v>
      </c>
      <c r="Z373" s="1115">
        <f>+Base!Z8</f>
        <v>609500</v>
      </c>
      <c r="AA373" s="1115">
        <f>+Base!AA8</f>
        <v>647200</v>
      </c>
      <c r="AB373" s="1115">
        <f>+Base!AB8</f>
        <v>688000</v>
      </c>
      <c r="AC373" s="1115">
        <f>+Base!AC8</f>
        <v>1136000</v>
      </c>
      <c r="AD373" s="1115">
        <f>+Base!AD8</f>
        <v>1199500</v>
      </c>
      <c r="AE373" s="1115">
        <f>+Base!AE8</f>
        <v>1337600</v>
      </c>
      <c r="AF373" s="1115">
        <f>+Base!AF8</f>
        <v>1379900</v>
      </c>
      <c r="AG373" s="1115">
        <f>+Base!AG8</f>
        <v>1423300</v>
      </c>
      <c r="AH373" s="1115">
        <f>+Base!AH8</f>
        <v>1461500</v>
      </c>
      <c r="AI373" s="1115">
        <f>+Base!AI8</f>
        <v>1499700</v>
      </c>
      <c r="AJ373" s="1115">
        <f>+Base!AJ8</f>
        <v>0</v>
      </c>
      <c r="AK373" s="1115">
        <f>+Base!AK8</f>
        <v>0</v>
      </c>
      <c r="AL373" s="1115">
        <f>+Base!AL8</f>
        <v>0</v>
      </c>
      <c r="AM373" s="1115">
        <f>+Base!AM8</f>
        <v>0</v>
      </c>
      <c r="AN373" s="1115">
        <f>+Base!AN8</f>
        <v>0</v>
      </c>
      <c r="AO373" s="1115">
        <f>+Base!AO8</f>
        <v>0</v>
      </c>
      <c r="AP373" s="1115">
        <f>+Base!AP8</f>
        <v>0</v>
      </c>
      <c r="AQ373" s="1115">
        <f>+Base!AQ8</f>
        <v>0</v>
      </c>
      <c r="AR373" s="1115">
        <f>+Base!AR8</f>
        <v>0</v>
      </c>
      <c r="AS373" s="1115">
        <f>+Base!AS8</f>
        <v>0</v>
      </c>
      <c r="AT373" s="693"/>
    </row>
    <row r="374" spans="2:46" ht="15.6">
      <c r="B374" s="143" t="s">
        <v>824</v>
      </c>
      <c r="C374" s="52"/>
      <c r="D374" s="29"/>
      <c r="E374" s="93">
        <f ca="1">-E373+E372</f>
        <v>0</v>
      </c>
      <c r="F374" s="29">
        <f t="shared" ref="F374:AS374" si="34">-F373+F372</f>
        <v>0</v>
      </c>
      <c r="G374" s="868">
        <f t="shared" si="34"/>
        <v>0</v>
      </c>
      <c r="H374" s="868">
        <f t="shared" si="34"/>
        <v>0</v>
      </c>
      <c r="I374" s="868">
        <f t="shared" si="34"/>
        <v>0</v>
      </c>
      <c r="J374" s="868">
        <f t="shared" si="34"/>
        <v>0</v>
      </c>
      <c r="K374" s="868">
        <f t="shared" si="34"/>
        <v>0</v>
      </c>
      <c r="L374" s="868">
        <f t="shared" si="34"/>
        <v>0</v>
      </c>
      <c r="M374" s="868">
        <f t="shared" si="34"/>
        <v>0</v>
      </c>
      <c r="N374" s="868">
        <f t="shared" si="34"/>
        <v>0</v>
      </c>
      <c r="O374" s="868">
        <f t="shared" si="34"/>
        <v>0</v>
      </c>
      <c r="P374" s="868">
        <f t="shared" si="34"/>
        <v>0</v>
      </c>
      <c r="Q374" s="868">
        <f t="shared" si="34"/>
        <v>0</v>
      </c>
      <c r="R374" s="868">
        <f t="shared" si="34"/>
        <v>0</v>
      </c>
      <c r="S374" s="868">
        <f t="shared" si="34"/>
        <v>0</v>
      </c>
      <c r="T374" s="868">
        <f t="shared" si="34"/>
        <v>0</v>
      </c>
      <c r="U374" s="868">
        <f t="shared" si="34"/>
        <v>0</v>
      </c>
      <c r="V374" s="868">
        <f t="shared" si="34"/>
        <v>0</v>
      </c>
      <c r="W374" s="868">
        <f t="shared" si="34"/>
        <v>0</v>
      </c>
      <c r="X374" s="868">
        <f t="shared" si="34"/>
        <v>0</v>
      </c>
      <c r="Y374" s="868">
        <f t="shared" si="34"/>
        <v>0</v>
      </c>
      <c r="Z374" s="868">
        <f t="shared" si="34"/>
        <v>0</v>
      </c>
      <c r="AA374" s="868">
        <f t="shared" si="34"/>
        <v>0</v>
      </c>
      <c r="AB374" s="868">
        <f t="shared" si="34"/>
        <v>0</v>
      </c>
      <c r="AC374" s="868">
        <f t="shared" si="34"/>
        <v>0</v>
      </c>
      <c r="AD374" s="868">
        <f t="shared" si="34"/>
        <v>0</v>
      </c>
      <c r="AE374" s="868">
        <f t="shared" si="34"/>
        <v>0</v>
      </c>
      <c r="AF374" s="868">
        <f t="shared" si="34"/>
        <v>0</v>
      </c>
      <c r="AG374" s="868">
        <f t="shared" si="34"/>
        <v>0</v>
      </c>
      <c r="AH374" s="868">
        <f t="shared" si="34"/>
        <v>0</v>
      </c>
      <c r="AI374" s="868">
        <f t="shared" si="34"/>
        <v>0</v>
      </c>
      <c r="AJ374" s="868">
        <f t="shared" si="34"/>
        <v>0</v>
      </c>
      <c r="AK374" s="868">
        <f t="shared" si="34"/>
        <v>0</v>
      </c>
      <c r="AL374" s="868">
        <f t="shared" si="34"/>
        <v>0</v>
      </c>
      <c r="AM374" s="868">
        <f t="shared" si="34"/>
        <v>0</v>
      </c>
      <c r="AN374" s="868">
        <f t="shared" si="34"/>
        <v>0</v>
      </c>
      <c r="AO374" s="868">
        <f t="shared" si="34"/>
        <v>0</v>
      </c>
      <c r="AP374" s="868">
        <f t="shared" si="34"/>
        <v>0</v>
      </c>
      <c r="AQ374" s="868">
        <f t="shared" si="34"/>
        <v>0</v>
      </c>
      <c r="AR374" s="868">
        <f t="shared" si="34"/>
        <v>0</v>
      </c>
      <c r="AS374" s="868">
        <f t="shared" si="34"/>
        <v>0</v>
      </c>
      <c r="AT374" s="693"/>
    </row>
    <row r="375" spans="2:46" ht="15.6">
      <c r="B375" s="143"/>
      <c r="C375" s="52"/>
      <c r="D375" s="29"/>
      <c r="E375" s="93"/>
      <c r="F375" s="29"/>
      <c r="G375" s="868"/>
      <c r="H375" s="868"/>
      <c r="I375" s="868"/>
      <c r="J375" s="868"/>
      <c r="K375" s="868"/>
      <c r="L375" s="868"/>
      <c r="M375" s="868"/>
      <c r="N375" s="868"/>
      <c r="O375" s="868"/>
      <c r="P375" s="868"/>
      <c r="Q375" s="868"/>
      <c r="R375" s="868"/>
      <c r="S375" s="868"/>
      <c r="T375" s="868"/>
      <c r="U375" s="868"/>
      <c r="V375" s="868"/>
      <c r="W375" s="868"/>
      <c r="X375" s="868"/>
      <c r="Y375" s="868"/>
      <c r="Z375" s="868"/>
      <c r="AA375" s="868"/>
      <c r="AB375" s="868"/>
      <c r="AC375" s="868"/>
      <c r="AD375" s="868"/>
      <c r="AE375" s="868"/>
      <c r="AF375" s="868"/>
      <c r="AG375" s="868"/>
      <c r="AH375" s="868"/>
      <c r="AI375" s="868"/>
      <c r="AJ375" s="868"/>
      <c r="AK375" s="868"/>
      <c r="AL375" s="868"/>
      <c r="AM375" s="868"/>
      <c r="AN375" s="868"/>
      <c r="AO375" s="868"/>
      <c r="AP375" s="868"/>
      <c r="AQ375" s="868"/>
      <c r="AR375" s="868"/>
      <c r="AS375" s="868"/>
      <c r="AT375" s="693"/>
    </row>
    <row r="376" spans="2:46" ht="15.6">
      <c r="B376" s="1259" t="s">
        <v>780</v>
      </c>
      <c r="C376" s="52"/>
      <c r="D376" s="341" t="s">
        <v>1661</v>
      </c>
      <c r="E376" s="93"/>
      <c r="F376" s="29"/>
      <c r="G376" s="868"/>
      <c r="H376" s="868"/>
      <c r="I376" s="868"/>
      <c r="J376" s="868"/>
      <c r="K376" s="868"/>
      <c r="L376" s="868"/>
      <c r="M376" s="868"/>
      <c r="N376" s="868"/>
      <c r="O376" s="868"/>
      <c r="P376" s="868"/>
      <c r="Q376" s="868"/>
      <c r="R376" s="868"/>
      <c r="S376" s="868"/>
      <c r="T376" s="868"/>
      <c r="U376" s="868"/>
      <c r="V376" s="868"/>
      <c r="W376" s="868"/>
      <c r="X376" s="868"/>
      <c r="Y376" s="868"/>
      <c r="Z376" s="868"/>
      <c r="AA376" s="868"/>
      <c r="AB376" s="868"/>
      <c r="AC376" s="868"/>
      <c r="AD376" s="868"/>
      <c r="AE376" s="868"/>
      <c r="AF376" s="868"/>
      <c r="AG376" s="868"/>
      <c r="AH376" s="868"/>
      <c r="AI376" s="868"/>
      <c r="AJ376" s="868"/>
      <c r="AK376" s="868"/>
      <c r="AL376" s="868"/>
      <c r="AM376" s="868"/>
      <c r="AN376" s="868"/>
      <c r="AO376" s="868"/>
      <c r="AP376" s="868"/>
      <c r="AQ376" s="868"/>
      <c r="AR376" s="868"/>
      <c r="AS376" s="868"/>
      <c r="AT376" s="693"/>
    </row>
    <row r="377" spans="2:46" ht="15.6">
      <c r="B377" s="143" t="s">
        <v>1535</v>
      </c>
      <c r="C377" s="52"/>
      <c r="D377" s="102">
        <f>ROUND(NPV(Discount_Rate,Results!F377:AS377)/Round_To,0)*Round_To</f>
        <v>261900</v>
      </c>
      <c r="E377" s="102">
        <f t="shared" ref="E377:E384" si="35">SUM(F377:AS377)</f>
        <v>487400</v>
      </c>
      <c r="F377" s="102">
        <f>-Details!F94</f>
        <v>0</v>
      </c>
      <c r="G377" s="868">
        <f>-Details!G94</f>
        <v>0</v>
      </c>
      <c r="H377" s="868">
        <f>-Details!H94</f>
        <v>0</v>
      </c>
      <c r="I377" s="868">
        <f>-Details!I94</f>
        <v>0</v>
      </c>
      <c r="J377" s="868">
        <f>-Details!J94</f>
        <v>0</v>
      </c>
      <c r="K377" s="868">
        <f>-Details!K94</f>
        <v>0</v>
      </c>
      <c r="L377" s="868">
        <f>-Details!L94</f>
        <v>0</v>
      </c>
      <c r="M377" s="868">
        <f>-Details!M94</f>
        <v>0</v>
      </c>
      <c r="N377" s="868">
        <f>-Details!N94</f>
        <v>0</v>
      </c>
      <c r="O377" s="868">
        <f>-Details!O94</f>
        <v>14500</v>
      </c>
      <c r="P377" s="868">
        <f>-Details!P94</f>
        <v>15000</v>
      </c>
      <c r="Q377" s="868">
        <f>-Details!Q94</f>
        <v>15600</v>
      </c>
      <c r="R377" s="868">
        <f>-Details!R94</f>
        <v>16200</v>
      </c>
      <c r="S377" s="868">
        <f>-Details!S94</f>
        <v>16900</v>
      </c>
      <c r="T377" s="868">
        <f>-Details!T94</f>
        <v>17700</v>
      </c>
      <c r="U377" s="868">
        <f>-Details!U94</f>
        <v>18700</v>
      </c>
      <c r="V377" s="868">
        <f>-Details!V94</f>
        <v>19900</v>
      </c>
      <c r="W377" s="868">
        <f>-Details!W94</f>
        <v>21000</v>
      </c>
      <c r="X377" s="868">
        <f>-Details!X94</f>
        <v>22100</v>
      </c>
      <c r="Y377" s="868">
        <f>-Details!Y94</f>
        <v>23100</v>
      </c>
      <c r="Z377" s="868">
        <f>-Details!Z94</f>
        <v>24200</v>
      </c>
      <c r="AA377" s="868">
        <f>-Details!AA94</f>
        <v>25300</v>
      </c>
      <c r="AB377" s="868">
        <f>-Details!AB94</f>
        <v>26400</v>
      </c>
      <c r="AC377" s="868">
        <f>-Details!AC94</f>
        <v>27300</v>
      </c>
      <c r="AD377" s="868">
        <f>-Details!AD94</f>
        <v>28300</v>
      </c>
      <c r="AE377" s="868">
        <f>-Details!AE94</f>
        <v>29300</v>
      </c>
      <c r="AF377" s="868">
        <f>-Details!AF94</f>
        <v>30300</v>
      </c>
      <c r="AG377" s="868">
        <f>-Details!AG94</f>
        <v>31200</v>
      </c>
      <c r="AH377" s="868">
        <f>-Details!AH94</f>
        <v>31900</v>
      </c>
      <c r="AI377" s="868">
        <f>-Details!AI94</f>
        <v>32500</v>
      </c>
      <c r="AJ377" s="868">
        <f>-Details!AJ94</f>
        <v>0</v>
      </c>
      <c r="AK377" s="868">
        <f>-Details!AK94</f>
        <v>0</v>
      </c>
      <c r="AL377" s="868">
        <f>-Details!AL94</f>
        <v>0</v>
      </c>
      <c r="AM377" s="868">
        <f>-Details!AM94</f>
        <v>0</v>
      </c>
      <c r="AN377" s="868">
        <f>-Details!AN94</f>
        <v>0</v>
      </c>
      <c r="AO377" s="868">
        <f>-Details!AO94</f>
        <v>0</v>
      </c>
      <c r="AP377" s="868">
        <f>-Details!AP94</f>
        <v>0</v>
      </c>
      <c r="AQ377" s="868">
        <f>-Details!AQ94</f>
        <v>0</v>
      </c>
      <c r="AR377" s="868">
        <f>-Details!AR94</f>
        <v>0</v>
      </c>
      <c r="AS377" s="868">
        <f>-Details!AS94</f>
        <v>0</v>
      </c>
      <c r="AT377" s="693"/>
    </row>
    <row r="378" spans="2:46" ht="15.6">
      <c r="B378" s="143" t="s">
        <v>1536</v>
      </c>
      <c r="C378" s="313"/>
      <c r="D378" s="34">
        <f>ROUND(NPV(Discount_Rate,Results!F378:AS378)/Round_To,0)*Round_To</f>
        <v>284900</v>
      </c>
      <c r="E378" s="34">
        <f t="shared" si="35"/>
        <v>530400</v>
      </c>
      <c r="F378" s="34">
        <f>-Details!F102</f>
        <v>0</v>
      </c>
      <c r="G378" s="1115">
        <f>-Details!G102</f>
        <v>0</v>
      </c>
      <c r="H378" s="1115">
        <f>-Details!H102</f>
        <v>0</v>
      </c>
      <c r="I378" s="1115">
        <f>-Details!I102</f>
        <v>0</v>
      </c>
      <c r="J378" s="1115">
        <f>-Details!J102</f>
        <v>0</v>
      </c>
      <c r="K378" s="1115">
        <f>-Details!K102</f>
        <v>0</v>
      </c>
      <c r="L378" s="1115">
        <f>-Details!L102</f>
        <v>0</v>
      </c>
      <c r="M378" s="1115">
        <f>-Details!M102</f>
        <v>0</v>
      </c>
      <c r="N378" s="1115">
        <f>-Details!N102</f>
        <v>0</v>
      </c>
      <c r="O378" s="1115">
        <f>-Details!O102</f>
        <v>15000</v>
      </c>
      <c r="P378" s="1115">
        <f>-Details!P102</f>
        <v>15900</v>
      </c>
      <c r="Q378" s="1115">
        <f>-Details!Q102</f>
        <v>16800</v>
      </c>
      <c r="R378" s="1115">
        <f>-Details!R102</f>
        <v>17700</v>
      </c>
      <c r="S378" s="1115">
        <f>-Details!S102</f>
        <v>18700</v>
      </c>
      <c r="T378" s="1115">
        <f>-Details!T102</f>
        <v>19700</v>
      </c>
      <c r="U378" s="1115">
        <f>-Details!U102</f>
        <v>20800</v>
      </c>
      <c r="V378" s="1115">
        <f>-Details!V102</f>
        <v>21900</v>
      </c>
      <c r="W378" s="1115">
        <f>-Details!W102</f>
        <v>23100</v>
      </c>
      <c r="X378" s="1115">
        <f>-Details!X102</f>
        <v>24200</v>
      </c>
      <c r="Y378" s="1115">
        <f>-Details!Y102</f>
        <v>25300</v>
      </c>
      <c r="Z378" s="1115">
        <f>-Details!Z102</f>
        <v>26300</v>
      </c>
      <c r="AA378" s="1115">
        <f>-Details!AA102</f>
        <v>27500</v>
      </c>
      <c r="AB378" s="1115">
        <f>-Details!AB102</f>
        <v>28600</v>
      </c>
      <c r="AC378" s="1115">
        <f>-Details!AC102</f>
        <v>29800</v>
      </c>
      <c r="AD378" s="1115">
        <f>-Details!AD102</f>
        <v>30800</v>
      </c>
      <c r="AE378" s="1115">
        <f>-Details!AE102</f>
        <v>31800</v>
      </c>
      <c r="AF378" s="1115">
        <f>-Details!AF102</f>
        <v>32700</v>
      </c>
      <c r="AG378" s="1115">
        <f>-Details!AG102</f>
        <v>33700</v>
      </c>
      <c r="AH378" s="1115">
        <f>-Details!AH102</f>
        <v>34700</v>
      </c>
      <c r="AI378" s="1115">
        <f>-Details!AI102</f>
        <v>35400</v>
      </c>
      <c r="AJ378" s="1115">
        <f>-Details!AJ102</f>
        <v>0</v>
      </c>
      <c r="AK378" s="1115">
        <f>-Details!AK102</f>
        <v>0</v>
      </c>
      <c r="AL378" s="1115">
        <f>-Details!AL102</f>
        <v>0</v>
      </c>
      <c r="AM378" s="1115">
        <f>-Details!AM102</f>
        <v>0</v>
      </c>
      <c r="AN378" s="1115">
        <f>-Details!AN102</f>
        <v>0</v>
      </c>
      <c r="AO378" s="1115">
        <f>-Details!AO102</f>
        <v>0</v>
      </c>
      <c r="AP378" s="1115">
        <f>-Details!AP102</f>
        <v>0</v>
      </c>
      <c r="AQ378" s="1115">
        <f>-Details!AQ102</f>
        <v>0</v>
      </c>
      <c r="AR378" s="1115">
        <f>-Details!AR102</f>
        <v>0</v>
      </c>
      <c r="AS378" s="1115">
        <f>-Details!AS102</f>
        <v>0</v>
      </c>
      <c r="AT378" s="693"/>
    </row>
    <row r="379" spans="2:46" s="1" customFormat="1">
      <c r="B379" s="164" t="s">
        <v>635</v>
      </c>
      <c r="C379" s="559"/>
      <c r="D379" s="102">
        <f>ROUND(NPV(Discount_Rate,Results!F379:AS379)/Round_To,0)*Round_To</f>
        <v>546800</v>
      </c>
      <c r="E379" s="102">
        <f t="shared" si="35"/>
        <v>1017800</v>
      </c>
      <c r="F379" s="102">
        <f>-Details!F94-Details!F102</f>
        <v>0</v>
      </c>
      <c r="G379" s="868">
        <f>-Details!G94-Details!G102</f>
        <v>0</v>
      </c>
      <c r="H379" s="868">
        <f>-Details!H94-Details!H102</f>
        <v>0</v>
      </c>
      <c r="I379" s="868">
        <f>-Details!I94-Details!I102</f>
        <v>0</v>
      </c>
      <c r="J379" s="868">
        <f>-Details!J94-Details!J102</f>
        <v>0</v>
      </c>
      <c r="K379" s="868">
        <f>-Details!K94-Details!K102</f>
        <v>0</v>
      </c>
      <c r="L379" s="868">
        <f>-Details!L94-Details!L102</f>
        <v>0</v>
      </c>
      <c r="M379" s="868">
        <f>-Details!M94-Details!M102</f>
        <v>0</v>
      </c>
      <c r="N379" s="868">
        <f>-Details!N94-Details!N102</f>
        <v>0</v>
      </c>
      <c r="O379" s="868">
        <f>-Details!O94-Details!O102</f>
        <v>29500</v>
      </c>
      <c r="P379" s="868">
        <f>-Details!P94-Details!P102</f>
        <v>30900</v>
      </c>
      <c r="Q379" s="868">
        <f>-Details!Q94-Details!Q102</f>
        <v>32400</v>
      </c>
      <c r="R379" s="868">
        <f>-Details!R94-Details!R102</f>
        <v>33900</v>
      </c>
      <c r="S379" s="868">
        <f>-Details!S94-Details!S102</f>
        <v>35600</v>
      </c>
      <c r="T379" s="868">
        <f>-Details!T94-Details!T102</f>
        <v>37400</v>
      </c>
      <c r="U379" s="868">
        <f>-Details!U94-Details!U102</f>
        <v>39500</v>
      </c>
      <c r="V379" s="868">
        <f>-Details!V94-Details!V102</f>
        <v>41800</v>
      </c>
      <c r="W379" s="868">
        <f>-Details!W94-Details!W102</f>
        <v>44100</v>
      </c>
      <c r="X379" s="868">
        <f>-Details!X94-Details!X102</f>
        <v>46300</v>
      </c>
      <c r="Y379" s="868">
        <f>-Details!Y94-Details!Y102</f>
        <v>48400</v>
      </c>
      <c r="Z379" s="868">
        <f>-Details!Z94-Details!Z102</f>
        <v>50500</v>
      </c>
      <c r="AA379" s="868">
        <f>-Details!AA94-Details!AA102</f>
        <v>52800</v>
      </c>
      <c r="AB379" s="868">
        <f>-Details!AB94-Details!AB102</f>
        <v>55000</v>
      </c>
      <c r="AC379" s="868">
        <f>-Details!AC94-Details!AC102</f>
        <v>57100</v>
      </c>
      <c r="AD379" s="868">
        <f>-Details!AD94-Details!AD102</f>
        <v>59100</v>
      </c>
      <c r="AE379" s="868">
        <f>-Details!AE94-Details!AE102</f>
        <v>61100</v>
      </c>
      <c r="AF379" s="868">
        <f>-Details!AF94-Details!AF102</f>
        <v>63000</v>
      </c>
      <c r="AG379" s="868">
        <f>-Details!AG94-Details!AG102</f>
        <v>64900</v>
      </c>
      <c r="AH379" s="868">
        <f>-Details!AH94-Details!AH102</f>
        <v>66600</v>
      </c>
      <c r="AI379" s="868">
        <f>-Details!AI94-Details!AI102</f>
        <v>67900</v>
      </c>
      <c r="AJ379" s="868">
        <f>-Details!AJ94-Details!AJ102</f>
        <v>0</v>
      </c>
      <c r="AK379" s="868">
        <f>-Details!AK94-Details!AK102</f>
        <v>0</v>
      </c>
      <c r="AL379" s="868">
        <f>-Details!AL94-Details!AL102</f>
        <v>0</v>
      </c>
      <c r="AM379" s="868">
        <f>-Details!AM94-Details!AM102</f>
        <v>0</v>
      </c>
      <c r="AN379" s="868">
        <f>-Details!AN94-Details!AN102</f>
        <v>0</v>
      </c>
      <c r="AO379" s="868">
        <f>-Details!AO94-Details!AO102</f>
        <v>0</v>
      </c>
      <c r="AP379" s="868">
        <f>-Details!AP94-Details!AP102</f>
        <v>0</v>
      </c>
      <c r="AQ379" s="868">
        <f>-Details!AQ94-Details!AQ102</f>
        <v>0</v>
      </c>
      <c r="AR379" s="868">
        <f>-Details!AR94-Details!AR102</f>
        <v>0</v>
      </c>
      <c r="AS379" s="868">
        <f>-Details!AS94-Details!AS102</f>
        <v>0</v>
      </c>
      <c r="AT379" s="693"/>
    </row>
    <row r="380" spans="2:46" s="1" customFormat="1" ht="19.95" customHeight="1">
      <c r="B380" s="143" t="s">
        <v>1535</v>
      </c>
      <c r="C380" s="559"/>
      <c r="D380" s="102">
        <f>ROUND(NPV(Discount_Rate,Results!F380:AS380)/Round_To,0)*Round_To</f>
        <v>261900</v>
      </c>
      <c r="E380" s="102">
        <f t="shared" si="35"/>
        <v>487400</v>
      </c>
      <c r="F380" s="102">
        <f>-Base!F94</f>
        <v>0</v>
      </c>
      <c r="G380" s="1157">
        <f>-Base!G94</f>
        <v>0</v>
      </c>
      <c r="H380" s="1157">
        <f>-Base!H94</f>
        <v>0</v>
      </c>
      <c r="I380" s="1157">
        <f>-Base!I94</f>
        <v>0</v>
      </c>
      <c r="J380" s="1157">
        <f>-Base!J94</f>
        <v>0</v>
      </c>
      <c r="K380" s="1157">
        <f>-Base!K94</f>
        <v>0</v>
      </c>
      <c r="L380" s="1157">
        <f>-Base!L94</f>
        <v>0</v>
      </c>
      <c r="M380" s="1157">
        <f>-Base!M94</f>
        <v>0</v>
      </c>
      <c r="N380" s="1157">
        <f>-Base!N94</f>
        <v>0</v>
      </c>
      <c r="O380" s="1157">
        <f>-Base!O94</f>
        <v>14500</v>
      </c>
      <c r="P380" s="1157">
        <f>-Base!P94</f>
        <v>15000</v>
      </c>
      <c r="Q380" s="1157">
        <f>-Base!Q94</f>
        <v>15600</v>
      </c>
      <c r="R380" s="1157">
        <f>-Base!R94</f>
        <v>16200</v>
      </c>
      <c r="S380" s="1157">
        <f>-Base!S94</f>
        <v>16900</v>
      </c>
      <c r="T380" s="1157">
        <f>-Base!T94</f>
        <v>17700</v>
      </c>
      <c r="U380" s="1157">
        <f>-Base!U94</f>
        <v>18700</v>
      </c>
      <c r="V380" s="1157">
        <f>-Base!V94</f>
        <v>19900</v>
      </c>
      <c r="W380" s="1157">
        <f>-Base!W94</f>
        <v>21000</v>
      </c>
      <c r="X380" s="1157">
        <f>-Base!X94</f>
        <v>22100</v>
      </c>
      <c r="Y380" s="1157">
        <f>-Base!Y94</f>
        <v>23100</v>
      </c>
      <c r="Z380" s="1157">
        <f>-Base!Z94</f>
        <v>24200</v>
      </c>
      <c r="AA380" s="1157">
        <f>-Base!AA94</f>
        <v>25300</v>
      </c>
      <c r="AB380" s="1157">
        <f>-Base!AB94</f>
        <v>26400</v>
      </c>
      <c r="AC380" s="1157">
        <f>-Base!AC94</f>
        <v>27300</v>
      </c>
      <c r="AD380" s="1157">
        <f>-Base!AD94</f>
        <v>28300</v>
      </c>
      <c r="AE380" s="1157">
        <f>-Base!AE94</f>
        <v>29300</v>
      </c>
      <c r="AF380" s="1157">
        <f>-Base!AF94</f>
        <v>30300</v>
      </c>
      <c r="AG380" s="1157">
        <f>-Base!AG94</f>
        <v>31200</v>
      </c>
      <c r="AH380" s="1157">
        <f>-Base!AH94</f>
        <v>31900</v>
      </c>
      <c r="AI380" s="1157">
        <f>-Base!AI94</f>
        <v>32500</v>
      </c>
      <c r="AJ380" s="1157">
        <f>-Base!AJ94</f>
        <v>0</v>
      </c>
      <c r="AK380" s="1157">
        <f>-Base!AK94</f>
        <v>0</v>
      </c>
      <c r="AL380" s="1157">
        <f>-Base!AL94</f>
        <v>0</v>
      </c>
      <c r="AM380" s="1157">
        <f>-Base!AM94</f>
        <v>0</v>
      </c>
      <c r="AN380" s="1157">
        <f>-Base!AN94</f>
        <v>0</v>
      </c>
      <c r="AO380" s="1157">
        <f>-Base!AO94</f>
        <v>0</v>
      </c>
      <c r="AP380" s="1157">
        <f>-Base!AP94</f>
        <v>0</v>
      </c>
      <c r="AQ380" s="1157">
        <f>-Base!AQ94</f>
        <v>0</v>
      </c>
      <c r="AR380" s="1157">
        <f>-Base!AR94</f>
        <v>0</v>
      </c>
      <c r="AS380" s="1157">
        <f>-Base!AS94</f>
        <v>0</v>
      </c>
      <c r="AT380" s="693"/>
    </row>
    <row r="381" spans="2:46" s="1" customFormat="1">
      <c r="B381" s="143" t="s">
        <v>1536</v>
      </c>
      <c r="C381" s="559"/>
      <c r="D381" s="34">
        <f>ROUND(NPV(Discount_Rate,Results!F381:AS381)/Round_To,0)*Round_To</f>
        <v>284900</v>
      </c>
      <c r="E381" s="34">
        <f t="shared" si="35"/>
        <v>530400</v>
      </c>
      <c r="F381" s="34">
        <f>-Base!F102</f>
        <v>0</v>
      </c>
      <c r="G381" s="1115">
        <f>-Base!G102</f>
        <v>0</v>
      </c>
      <c r="H381" s="1115">
        <f>-Base!H102</f>
        <v>0</v>
      </c>
      <c r="I381" s="1115">
        <f>-Base!I102</f>
        <v>0</v>
      </c>
      <c r="J381" s="1115">
        <f>-Base!J102</f>
        <v>0</v>
      </c>
      <c r="K381" s="1115">
        <f>-Base!K102</f>
        <v>0</v>
      </c>
      <c r="L381" s="1115">
        <f>-Base!L102</f>
        <v>0</v>
      </c>
      <c r="M381" s="1115">
        <f>-Base!M102</f>
        <v>0</v>
      </c>
      <c r="N381" s="1115">
        <f>-Base!N102</f>
        <v>0</v>
      </c>
      <c r="O381" s="1115">
        <f>-Base!O102</f>
        <v>15000</v>
      </c>
      <c r="P381" s="1115">
        <f>-Base!P102</f>
        <v>15900</v>
      </c>
      <c r="Q381" s="1115">
        <f>-Base!Q102</f>
        <v>16800</v>
      </c>
      <c r="R381" s="1115">
        <f>-Base!R102</f>
        <v>17700</v>
      </c>
      <c r="S381" s="1115">
        <f>-Base!S102</f>
        <v>18700</v>
      </c>
      <c r="T381" s="1115">
        <f>-Base!T102</f>
        <v>19700</v>
      </c>
      <c r="U381" s="1115">
        <f>-Base!U102</f>
        <v>20800</v>
      </c>
      <c r="V381" s="1115">
        <f>-Base!V102</f>
        <v>21900</v>
      </c>
      <c r="W381" s="1115">
        <f>-Base!W102</f>
        <v>23100</v>
      </c>
      <c r="X381" s="1115">
        <f>-Base!X102</f>
        <v>24200</v>
      </c>
      <c r="Y381" s="1115">
        <f>-Base!Y102</f>
        <v>25300</v>
      </c>
      <c r="Z381" s="1115">
        <f>-Base!Z102</f>
        <v>26300</v>
      </c>
      <c r="AA381" s="1115">
        <f>-Base!AA102</f>
        <v>27500</v>
      </c>
      <c r="AB381" s="1115">
        <f>-Base!AB102</f>
        <v>28600</v>
      </c>
      <c r="AC381" s="1115">
        <f>-Base!AC102</f>
        <v>29800</v>
      </c>
      <c r="AD381" s="1115">
        <f>-Base!AD102</f>
        <v>30800</v>
      </c>
      <c r="AE381" s="1115">
        <f>-Base!AE102</f>
        <v>31800</v>
      </c>
      <c r="AF381" s="1115">
        <f>-Base!AF102</f>
        <v>32700</v>
      </c>
      <c r="AG381" s="1115">
        <f>-Base!AG102</f>
        <v>33700</v>
      </c>
      <c r="AH381" s="1115">
        <f>-Base!AH102</f>
        <v>34700</v>
      </c>
      <c r="AI381" s="1115">
        <f>-Base!AI102</f>
        <v>35400</v>
      </c>
      <c r="AJ381" s="1115">
        <f>-Base!AJ102</f>
        <v>0</v>
      </c>
      <c r="AK381" s="1115">
        <f>-Base!AK102</f>
        <v>0</v>
      </c>
      <c r="AL381" s="1115">
        <f>-Base!AL102</f>
        <v>0</v>
      </c>
      <c r="AM381" s="1115">
        <f>-Base!AM102</f>
        <v>0</v>
      </c>
      <c r="AN381" s="1115">
        <f>-Base!AN102</f>
        <v>0</v>
      </c>
      <c r="AO381" s="1115">
        <f>-Base!AO102</f>
        <v>0</v>
      </c>
      <c r="AP381" s="1115">
        <f>-Base!AP102</f>
        <v>0</v>
      </c>
      <c r="AQ381" s="1115">
        <f>-Base!AQ102</f>
        <v>0</v>
      </c>
      <c r="AR381" s="1115">
        <f>-Base!AR102</f>
        <v>0</v>
      </c>
      <c r="AS381" s="1115">
        <f>-Base!AS102</f>
        <v>0</v>
      </c>
      <c r="AT381" s="693"/>
    </row>
    <row r="382" spans="2:46" s="1" customFormat="1">
      <c r="B382" s="143" t="s">
        <v>781</v>
      </c>
      <c r="D382" s="102">
        <f>ROUND(NPV(Discount_Rate,Results!F382:AS382)/Round_To,0)*Round_To</f>
        <v>546800</v>
      </c>
      <c r="E382" s="102">
        <f t="shared" si="35"/>
        <v>1017800</v>
      </c>
      <c r="F382" s="102">
        <f>-Base!F94-Base!F102</f>
        <v>0</v>
      </c>
      <c r="G382" s="1157">
        <f>-Base!G94-Base!G102</f>
        <v>0</v>
      </c>
      <c r="H382" s="1157">
        <f>-Base!H94-Base!H102</f>
        <v>0</v>
      </c>
      <c r="I382" s="1157">
        <f>-Base!I94-Base!I102</f>
        <v>0</v>
      </c>
      <c r="J382" s="1157">
        <f>-Base!J94-Base!J102</f>
        <v>0</v>
      </c>
      <c r="K382" s="1157">
        <f>-Base!K94-Base!K102</f>
        <v>0</v>
      </c>
      <c r="L382" s="1157">
        <f>-Base!L94-Base!L102</f>
        <v>0</v>
      </c>
      <c r="M382" s="1157">
        <f>-Base!M94-Base!M102</f>
        <v>0</v>
      </c>
      <c r="N382" s="1157">
        <f>-Base!N94-Base!N102</f>
        <v>0</v>
      </c>
      <c r="O382" s="1157">
        <f>-Base!O94-Base!O102</f>
        <v>29500</v>
      </c>
      <c r="P382" s="1157">
        <f>-Base!P94-Base!P102</f>
        <v>30900</v>
      </c>
      <c r="Q382" s="1157">
        <f>-Base!Q94-Base!Q102</f>
        <v>32400</v>
      </c>
      <c r="R382" s="1157">
        <f>-Base!R94-Base!R102</f>
        <v>33900</v>
      </c>
      <c r="S382" s="1157">
        <f>-Base!S94-Base!S102</f>
        <v>35600</v>
      </c>
      <c r="T382" s="1157">
        <f>-Base!T94-Base!T102</f>
        <v>37400</v>
      </c>
      <c r="U382" s="1157">
        <f>-Base!U94-Base!U102</f>
        <v>39500</v>
      </c>
      <c r="V382" s="1157">
        <f>-Base!V94-Base!V102</f>
        <v>41800</v>
      </c>
      <c r="W382" s="1157">
        <f>-Base!W94-Base!W102</f>
        <v>44100</v>
      </c>
      <c r="X382" s="1157">
        <f>-Base!X94-Base!X102</f>
        <v>46300</v>
      </c>
      <c r="Y382" s="1157">
        <f>-Base!Y94-Base!Y102</f>
        <v>48400</v>
      </c>
      <c r="Z382" s="1157">
        <f>-Base!Z94-Base!Z102</f>
        <v>50500</v>
      </c>
      <c r="AA382" s="1157">
        <f>-Base!AA94-Base!AA102</f>
        <v>52800</v>
      </c>
      <c r="AB382" s="1157">
        <f>-Base!AB94-Base!AB102</f>
        <v>55000</v>
      </c>
      <c r="AC382" s="1157">
        <f>-Base!AC94-Base!AC102</f>
        <v>57100</v>
      </c>
      <c r="AD382" s="1157">
        <f>-Base!AD94-Base!AD102</f>
        <v>59100</v>
      </c>
      <c r="AE382" s="1157">
        <f>-Base!AE94-Base!AE102</f>
        <v>61100</v>
      </c>
      <c r="AF382" s="1157">
        <f>-Base!AF94-Base!AF102</f>
        <v>63000</v>
      </c>
      <c r="AG382" s="1157">
        <f>-Base!AG94-Base!AG102</f>
        <v>64900</v>
      </c>
      <c r="AH382" s="1157">
        <f>-Base!AH94-Base!AH102</f>
        <v>66600</v>
      </c>
      <c r="AI382" s="1157">
        <f>-Base!AI94-Base!AI102</f>
        <v>67900</v>
      </c>
      <c r="AJ382" s="1157">
        <f>-Base!AJ94-Base!AJ102</f>
        <v>0</v>
      </c>
      <c r="AK382" s="1157">
        <f>-Base!AK94-Base!AK102</f>
        <v>0</v>
      </c>
      <c r="AL382" s="1157">
        <f>-Base!AL94-Base!AL102</f>
        <v>0</v>
      </c>
      <c r="AM382" s="1157">
        <f>-Base!AM94-Base!AM102</f>
        <v>0</v>
      </c>
      <c r="AN382" s="1157">
        <f>-Base!AN94-Base!AN102</f>
        <v>0</v>
      </c>
      <c r="AO382" s="1157">
        <f>-Base!AO94-Base!AO102</f>
        <v>0</v>
      </c>
      <c r="AP382" s="1157">
        <f>-Base!AP94-Base!AP102</f>
        <v>0</v>
      </c>
      <c r="AQ382" s="1157">
        <f>-Base!AQ94-Base!AQ102</f>
        <v>0</v>
      </c>
      <c r="AR382" s="1157">
        <f>-Base!AR94-Base!AR102</f>
        <v>0</v>
      </c>
      <c r="AS382" s="1157">
        <f>-Base!AS94-Base!AS102</f>
        <v>0</v>
      </c>
      <c r="AT382" s="693"/>
    </row>
    <row r="383" spans="2:46">
      <c r="B383" s="143" t="s">
        <v>782</v>
      </c>
      <c r="C383" s="40"/>
      <c r="D383" s="31">
        <f>+D382-D379</f>
        <v>0</v>
      </c>
      <c r="E383" s="29">
        <f t="shared" si="35"/>
        <v>0</v>
      </c>
      <c r="F383" s="29">
        <f>+F379-F382</f>
        <v>0</v>
      </c>
      <c r="G383" s="868">
        <f>+G379-G382</f>
        <v>0</v>
      </c>
      <c r="H383" s="868">
        <f t="shared" ref="H383:AS383" si="36">+H379-H382</f>
        <v>0</v>
      </c>
      <c r="I383" s="868">
        <f t="shared" si="36"/>
        <v>0</v>
      </c>
      <c r="J383" s="868">
        <f t="shared" si="36"/>
        <v>0</v>
      </c>
      <c r="K383" s="868">
        <f t="shared" si="36"/>
        <v>0</v>
      </c>
      <c r="L383" s="868">
        <f t="shared" si="36"/>
        <v>0</v>
      </c>
      <c r="M383" s="868">
        <f t="shared" si="36"/>
        <v>0</v>
      </c>
      <c r="N383" s="868">
        <f t="shared" si="36"/>
        <v>0</v>
      </c>
      <c r="O383" s="868">
        <f t="shared" si="36"/>
        <v>0</v>
      </c>
      <c r="P383" s="868">
        <f t="shared" si="36"/>
        <v>0</v>
      </c>
      <c r="Q383" s="868">
        <f t="shared" si="36"/>
        <v>0</v>
      </c>
      <c r="R383" s="868">
        <f t="shared" si="36"/>
        <v>0</v>
      </c>
      <c r="S383" s="868">
        <f t="shared" si="36"/>
        <v>0</v>
      </c>
      <c r="T383" s="868">
        <f t="shared" si="36"/>
        <v>0</v>
      </c>
      <c r="U383" s="868">
        <f t="shared" si="36"/>
        <v>0</v>
      </c>
      <c r="V383" s="868">
        <f t="shared" si="36"/>
        <v>0</v>
      </c>
      <c r="W383" s="868">
        <f t="shared" si="36"/>
        <v>0</v>
      </c>
      <c r="X383" s="868">
        <f t="shared" si="36"/>
        <v>0</v>
      </c>
      <c r="Y383" s="868">
        <f t="shared" si="36"/>
        <v>0</v>
      </c>
      <c r="Z383" s="868">
        <f t="shared" si="36"/>
        <v>0</v>
      </c>
      <c r="AA383" s="868">
        <f t="shared" si="36"/>
        <v>0</v>
      </c>
      <c r="AB383" s="868">
        <f t="shared" si="36"/>
        <v>0</v>
      </c>
      <c r="AC383" s="868">
        <f t="shared" si="36"/>
        <v>0</v>
      </c>
      <c r="AD383" s="868">
        <f t="shared" si="36"/>
        <v>0</v>
      </c>
      <c r="AE383" s="868">
        <f t="shared" si="36"/>
        <v>0</v>
      </c>
      <c r="AF383" s="868">
        <f t="shared" si="36"/>
        <v>0</v>
      </c>
      <c r="AG383" s="868">
        <f t="shared" si="36"/>
        <v>0</v>
      </c>
      <c r="AH383" s="868">
        <f t="shared" si="36"/>
        <v>0</v>
      </c>
      <c r="AI383" s="868">
        <f t="shared" si="36"/>
        <v>0</v>
      </c>
      <c r="AJ383" s="868">
        <f t="shared" si="36"/>
        <v>0</v>
      </c>
      <c r="AK383" s="868">
        <f t="shared" si="36"/>
        <v>0</v>
      </c>
      <c r="AL383" s="868">
        <f t="shared" si="36"/>
        <v>0</v>
      </c>
      <c r="AM383" s="868">
        <f t="shared" si="36"/>
        <v>0</v>
      </c>
      <c r="AN383" s="868">
        <f t="shared" si="36"/>
        <v>0</v>
      </c>
      <c r="AO383" s="868">
        <f t="shared" si="36"/>
        <v>0</v>
      </c>
      <c r="AP383" s="868">
        <f t="shared" si="36"/>
        <v>0</v>
      </c>
      <c r="AQ383" s="868">
        <f t="shared" si="36"/>
        <v>0</v>
      </c>
      <c r="AR383" s="868">
        <f t="shared" si="36"/>
        <v>0</v>
      </c>
      <c r="AS383" s="868">
        <f t="shared" si="36"/>
        <v>0</v>
      </c>
      <c r="AT383" s="693"/>
    </row>
    <row r="384" spans="2:46" ht="19.95" customHeight="1">
      <c r="B384" s="21" t="s">
        <v>784</v>
      </c>
      <c r="C384" s="40"/>
      <c r="E384" s="29">
        <f t="shared" si="35"/>
        <v>0</v>
      </c>
      <c r="F384" s="29">
        <f>+Details!F516-Base!F516</f>
        <v>0</v>
      </c>
      <c r="G384" s="868">
        <f>+Details!G516-Base!G516</f>
        <v>0</v>
      </c>
      <c r="H384" s="868">
        <f>+Details!H516-Base!H516</f>
        <v>0</v>
      </c>
      <c r="I384" s="868">
        <f>+Details!I516-Base!I516</f>
        <v>0</v>
      </c>
      <c r="J384" s="868">
        <f>+Details!J516-Base!J516</f>
        <v>0</v>
      </c>
      <c r="K384" s="868">
        <f>+Details!K516-Base!K516</f>
        <v>0</v>
      </c>
      <c r="L384" s="868">
        <f>+Details!L516-Base!L516</f>
        <v>0</v>
      </c>
      <c r="M384" s="868">
        <f>+Details!M516-Base!M516</f>
        <v>0</v>
      </c>
      <c r="N384" s="868">
        <f>+Details!N516-Base!N516</f>
        <v>0</v>
      </c>
      <c r="O384" s="868">
        <f>+Details!O516-Base!O516</f>
        <v>0</v>
      </c>
      <c r="P384" s="868">
        <f>+Details!P516-Base!P516</f>
        <v>0</v>
      </c>
      <c r="Q384" s="868">
        <f>+Details!Q516-Base!Q516</f>
        <v>0</v>
      </c>
      <c r="R384" s="868">
        <f>+Details!R516-Base!R516</f>
        <v>0</v>
      </c>
      <c r="S384" s="868">
        <f>+Details!S516-Base!S516</f>
        <v>0</v>
      </c>
      <c r="T384" s="868">
        <f>+Details!T516-Base!T516</f>
        <v>0</v>
      </c>
      <c r="U384" s="868">
        <f>+Details!U516-Base!U516</f>
        <v>0</v>
      </c>
      <c r="V384" s="868">
        <f>+Details!V516-Base!V516</f>
        <v>0</v>
      </c>
      <c r="W384" s="868">
        <f>+Details!W516-Base!W516</f>
        <v>0</v>
      </c>
      <c r="X384" s="868">
        <f>+Details!X516-Base!X516</f>
        <v>0</v>
      </c>
      <c r="Y384" s="868">
        <f>+Details!Y516-Base!Y516</f>
        <v>0</v>
      </c>
      <c r="Z384" s="868">
        <f>+Details!Z516-Base!Z516</f>
        <v>0</v>
      </c>
      <c r="AA384" s="868">
        <f>+Details!AA516-Base!AA516</f>
        <v>0</v>
      </c>
      <c r="AB384" s="868">
        <f>+Details!AB516-Base!AB516</f>
        <v>0</v>
      </c>
      <c r="AC384" s="868">
        <f>+Details!AC516-Base!AC516</f>
        <v>0</v>
      </c>
      <c r="AD384" s="868">
        <f>+Details!AD516-Base!AD516</f>
        <v>0</v>
      </c>
      <c r="AE384" s="868">
        <f>+Details!AE516-Base!AE516</f>
        <v>0</v>
      </c>
      <c r="AF384" s="868">
        <f>+Details!AF516-Base!AF516</f>
        <v>0</v>
      </c>
      <c r="AG384" s="868">
        <f>+Details!AG516-Base!AG516</f>
        <v>0</v>
      </c>
      <c r="AH384" s="868">
        <f>+Details!AH516-Base!AH516</f>
        <v>0</v>
      </c>
      <c r="AI384" s="868">
        <f>+Details!AI516-Base!AI516</f>
        <v>0</v>
      </c>
      <c r="AJ384" s="868">
        <f>+Details!AJ516-Base!AJ516</f>
        <v>0</v>
      </c>
      <c r="AK384" s="868">
        <f>+Details!AK516-Base!AK516</f>
        <v>0</v>
      </c>
      <c r="AL384" s="868">
        <f>+Details!AL516-Base!AL516</f>
        <v>0</v>
      </c>
      <c r="AM384" s="868">
        <f>+Details!AM516-Base!AM516</f>
        <v>0</v>
      </c>
      <c r="AN384" s="868">
        <f>+Details!AN516-Base!AN516</f>
        <v>0</v>
      </c>
      <c r="AO384" s="868">
        <f>+Details!AO516-Base!AO516</f>
        <v>0</v>
      </c>
      <c r="AP384" s="868">
        <f>+Details!AP516-Base!AP516</f>
        <v>0</v>
      </c>
      <c r="AQ384" s="868">
        <f>+Details!AQ516-Base!AQ516</f>
        <v>0</v>
      </c>
      <c r="AR384" s="868">
        <f>+Details!AR516-Base!AR516</f>
        <v>0</v>
      </c>
      <c r="AS384" s="868">
        <f>+Details!AS516-Base!AS516</f>
        <v>0</v>
      </c>
      <c r="AT384" s="693"/>
    </row>
    <row r="385" spans="2:46" ht="15.6">
      <c r="B385" s="22"/>
      <c r="C385" s="40"/>
      <c r="E385" s="29"/>
      <c r="F385" s="29"/>
      <c r="G385" s="29"/>
      <c r="H385" s="29"/>
      <c r="I385" s="29"/>
      <c r="J385" s="29"/>
      <c r="K385" s="29"/>
      <c r="L385" s="29"/>
      <c r="M385" s="29"/>
      <c r="N385" s="29"/>
      <c r="O385" s="29"/>
      <c r="P385" s="29"/>
      <c r="Q385" s="29"/>
      <c r="R385" s="29"/>
      <c r="S385" s="29"/>
      <c r="T385" s="29"/>
      <c r="U385" s="29"/>
      <c r="V385" s="29"/>
      <c r="W385" s="29"/>
      <c r="X385" s="29"/>
      <c r="Y385" s="29"/>
      <c r="Z385" s="29"/>
      <c r="AA385" s="29"/>
      <c r="AB385" s="29"/>
      <c r="AC385" s="29"/>
      <c r="AD385" s="29"/>
      <c r="AE385" s="29"/>
      <c r="AF385" s="29"/>
      <c r="AG385" s="29"/>
      <c r="AH385" s="29"/>
      <c r="AI385" s="29"/>
      <c r="AJ385" s="29"/>
      <c r="AK385" s="29"/>
      <c r="AL385" s="29"/>
      <c r="AM385" s="29"/>
      <c r="AN385" s="29"/>
      <c r="AO385" s="29"/>
      <c r="AP385" s="29"/>
      <c r="AQ385" s="29"/>
      <c r="AR385" s="29"/>
      <c r="AS385" s="29"/>
      <c r="AT385" s="693"/>
    </row>
    <row r="386" spans="2:46" s="1" customFormat="1" ht="15.6">
      <c r="B386" s="70" t="s">
        <v>816</v>
      </c>
      <c r="C386" s="559"/>
      <c r="D386" s="102">
        <f>ROUND(NPV(Discount_Rate,Results!F386:AS386)/Round_To,0)*Round_To</f>
        <v>2920000</v>
      </c>
      <c r="E386" s="102">
        <f>SUM(F386:AS386)</f>
        <v>4775000</v>
      </c>
      <c r="F386" s="102">
        <f>+Details!F71</f>
        <v>78900</v>
      </c>
      <c r="G386" s="868">
        <f>+Details!G71</f>
        <v>95100</v>
      </c>
      <c r="H386" s="868">
        <f>+Details!H71</f>
        <v>81200</v>
      </c>
      <c r="I386" s="868">
        <f>+Details!I71</f>
        <v>82200</v>
      </c>
      <c r="J386" s="868">
        <f>+Details!J71</f>
        <v>83100</v>
      </c>
      <c r="K386" s="868">
        <f>+Details!K71</f>
        <v>106600</v>
      </c>
      <c r="L386" s="868">
        <f>+Details!L71</f>
        <v>108900</v>
      </c>
      <c r="M386" s="868">
        <f>+Details!M71</f>
        <v>111400</v>
      </c>
      <c r="N386" s="868">
        <f>+Details!N71</f>
        <v>161600</v>
      </c>
      <c r="O386" s="868">
        <f>+Details!O71</f>
        <v>152900</v>
      </c>
      <c r="P386" s="868">
        <f>+Details!P71</f>
        <v>155300</v>
      </c>
      <c r="Q386" s="868">
        <f>+Details!Q71</f>
        <v>158800</v>
      </c>
      <c r="R386" s="868">
        <f>+Details!R71</f>
        <v>167400</v>
      </c>
      <c r="S386" s="868">
        <f>+Details!S71</f>
        <v>171700</v>
      </c>
      <c r="T386" s="868">
        <f>+Details!T71</f>
        <v>183800</v>
      </c>
      <c r="U386" s="868">
        <f>+Details!U71</f>
        <v>189100</v>
      </c>
      <c r="V386" s="868">
        <f>+Details!V71</f>
        <v>180300</v>
      </c>
      <c r="W386" s="868">
        <f>+Details!W71</f>
        <v>185500</v>
      </c>
      <c r="X386" s="868">
        <f>+Details!X71</f>
        <v>176500</v>
      </c>
      <c r="Y386" s="868">
        <f>+Details!Y71</f>
        <v>179800</v>
      </c>
      <c r="Z386" s="868">
        <f>+Details!Z71</f>
        <v>183400</v>
      </c>
      <c r="AA386" s="868">
        <f>+Details!AA71</f>
        <v>186800</v>
      </c>
      <c r="AB386" s="868">
        <f>+Details!AB71</f>
        <v>198400</v>
      </c>
      <c r="AC386" s="868">
        <f>+Details!AC71</f>
        <v>210500</v>
      </c>
      <c r="AD386" s="868">
        <f>+Details!AD71</f>
        <v>189400</v>
      </c>
      <c r="AE386" s="868">
        <f>+Details!AE71</f>
        <v>194200</v>
      </c>
      <c r="AF386" s="868">
        <f>+Details!AF71</f>
        <v>196400</v>
      </c>
      <c r="AG386" s="868">
        <f>+Details!AG71</f>
        <v>199100</v>
      </c>
      <c r="AH386" s="868">
        <f>+Details!AH71</f>
        <v>202000</v>
      </c>
      <c r="AI386" s="868">
        <f>+Details!AI71</f>
        <v>204700</v>
      </c>
      <c r="AJ386" s="868">
        <f>+Details!AJ71</f>
        <v>0</v>
      </c>
      <c r="AK386" s="868">
        <f>+Details!AK71</f>
        <v>0</v>
      </c>
      <c r="AL386" s="868">
        <f>+Details!AL71</f>
        <v>0</v>
      </c>
      <c r="AM386" s="868">
        <f>+Details!AM71</f>
        <v>0</v>
      </c>
      <c r="AN386" s="868">
        <f>+Details!AN71</f>
        <v>0</v>
      </c>
      <c r="AO386" s="868">
        <f>+Details!AO71</f>
        <v>0</v>
      </c>
      <c r="AP386" s="868">
        <f>+Details!AP71</f>
        <v>0</v>
      </c>
      <c r="AQ386" s="868">
        <f>+Details!AQ71</f>
        <v>0</v>
      </c>
      <c r="AR386" s="868">
        <f>+Details!AR71</f>
        <v>0</v>
      </c>
      <c r="AS386" s="868">
        <f>+Details!AS71</f>
        <v>0</v>
      </c>
      <c r="AT386" s="693"/>
    </row>
    <row r="387" spans="2:46" s="1" customFormat="1">
      <c r="B387" s="21" t="s">
        <v>308</v>
      </c>
      <c r="C387" s="559"/>
      <c r="D387" s="34">
        <f>ROUND(NPV(Discount_Rate,Results!F387:AS387)/Round_To,0)*Round_To</f>
        <v>2920000</v>
      </c>
      <c r="E387" s="34">
        <f>SUM(F387:AS387)</f>
        <v>4775000</v>
      </c>
      <c r="F387" s="34">
        <f>+Base!F71</f>
        <v>78900</v>
      </c>
      <c r="G387" s="1115">
        <f>+Base!G71</f>
        <v>95100</v>
      </c>
      <c r="H387" s="1115">
        <f>+Base!H71</f>
        <v>81200</v>
      </c>
      <c r="I387" s="1115">
        <f>+Base!I71</f>
        <v>82200</v>
      </c>
      <c r="J387" s="1115">
        <f>+Base!J71</f>
        <v>83100</v>
      </c>
      <c r="K387" s="1115">
        <f>+Base!K71</f>
        <v>106600</v>
      </c>
      <c r="L387" s="1115">
        <f>+Base!L71</f>
        <v>108900</v>
      </c>
      <c r="M387" s="1115">
        <f>+Base!M71</f>
        <v>111400</v>
      </c>
      <c r="N387" s="1115">
        <f>+Base!N71</f>
        <v>161600</v>
      </c>
      <c r="O387" s="1115">
        <f>+Base!O71</f>
        <v>152900</v>
      </c>
      <c r="P387" s="1115">
        <f>+Base!P71</f>
        <v>155300</v>
      </c>
      <c r="Q387" s="1115">
        <f>+Base!Q71</f>
        <v>158800</v>
      </c>
      <c r="R387" s="1115">
        <f>+Base!R71</f>
        <v>167400</v>
      </c>
      <c r="S387" s="1115">
        <f>+Base!S71</f>
        <v>171700</v>
      </c>
      <c r="T387" s="1115">
        <f>+Base!T71</f>
        <v>183800</v>
      </c>
      <c r="U387" s="1115">
        <f>+Base!U71</f>
        <v>189100</v>
      </c>
      <c r="V387" s="1115">
        <f>+Base!V71</f>
        <v>180300</v>
      </c>
      <c r="W387" s="1115">
        <f>+Base!W71</f>
        <v>185500</v>
      </c>
      <c r="X387" s="1115">
        <f>+Base!X71</f>
        <v>176500</v>
      </c>
      <c r="Y387" s="1115">
        <f>+Base!Y71</f>
        <v>179800</v>
      </c>
      <c r="Z387" s="1115">
        <f>+Base!Z71</f>
        <v>183400</v>
      </c>
      <c r="AA387" s="1115">
        <f>+Base!AA71</f>
        <v>186800</v>
      </c>
      <c r="AB387" s="1115">
        <f>+Base!AB71</f>
        <v>198400</v>
      </c>
      <c r="AC387" s="1115">
        <f>+Base!AC71</f>
        <v>210500</v>
      </c>
      <c r="AD387" s="1115">
        <f>+Base!AD71</f>
        <v>189400</v>
      </c>
      <c r="AE387" s="1115">
        <f>+Base!AE71</f>
        <v>194200</v>
      </c>
      <c r="AF387" s="1115">
        <f>+Base!AF71</f>
        <v>196400</v>
      </c>
      <c r="AG387" s="1115">
        <f>+Base!AG71</f>
        <v>199100</v>
      </c>
      <c r="AH387" s="1115">
        <f>+Base!AH71</f>
        <v>202000</v>
      </c>
      <c r="AI387" s="1115">
        <f>+Base!AI71</f>
        <v>204700</v>
      </c>
      <c r="AJ387" s="1115">
        <f>+Base!AJ71</f>
        <v>0</v>
      </c>
      <c r="AK387" s="1115">
        <f>+Base!AK71</f>
        <v>0</v>
      </c>
      <c r="AL387" s="1115">
        <f>+Base!AL71</f>
        <v>0</v>
      </c>
      <c r="AM387" s="1115">
        <f>+Base!AM71</f>
        <v>0</v>
      </c>
      <c r="AN387" s="1115">
        <f>+Base!AN71</f>
        <v>0</v>
      </c>
      <c r="AO387" s="1115">
        <f>+Base!AO71</f>
        <v>0</v>
      </c>
      <c r="AP387" s="1115">
        <f>+Base!AP71</f>
        <v>0</v>
      </c>
      <c r="AQ387" s="1115">
        <f>+Base!AQ71</f>
        <v>0</v>
      </c>
      <c r="AR387" s="1115">
        <f>+Base!AR71</f>
        <v>0</v>
      </c>
      <c r="AS387" s="1115">
        <f>+Base!AS71</f>
        <v>0</v>
      </c>
      <c r="AT387" s="693"/>
    </row>
    <row r="388" spans="2:46">
      <c r="B388" s="143" t="s">
        <v>825</v>
      </c>
      <c r="C388" s="40"/>
      <c r="D388" s="29">
        <f>+D386-D387</f>
        <v>0</v>
      </c>
      <c r="E388" s="29">
        <f>SUM(F388:AS388)</f>
        <v>0</v>
      </c>
      <c r="F388" s="29">
        <f t="shared" ref="F388:AS388" si="37">+F386-F387</f>
        <v>0</v>
      </c>
      <c r="G388" s="868">
        <f t="shared" si="37"/>
        <v>0</v>
      </c>
      <c r="H388" s="868">
        <f t="shared" si="37"/>
        <v>0</v>
      </c>
      <c r="I388" s="868">
        <f t="shared" si="37"/>
        <v>0</v>
      </c>
      <c r="J388" s="868">
        <f t="shared" si="37"/>
        <v>0</v>
      </c>
      <c r="K388" s="868">
        <f t="shared" si="37"/>
        <v>0</v>
      </c>
      <c r="L388" s="868">
        <f t="shared" si="37"/>
        <v>0</v>
      </c>
      <c r="M388" s="868">
        <f t="shared" si="37"/>
        <v>0</v>
      </c>
      <c r="N388" s="868">
        <f t="shared" si="37"/>
        <v>0</v>
      </c>
      <c r="O388" s="868">
        <f t="shared" si="37"/>
        <v>0</v>
      </c>
      <c r="P388" s="868">
        <f t="shared" si="37"/>
        <v>0</v>
      </c>
      <c r="Q388" s="868">
        <f t="shared" si="37"/>
        <v>0</v>
      </c>
      <c r="R388" s="868">
        <f t="shared" si="37"/>
        <v>0</v>
      </c>
      <c r="S388" s="868">
        <f t="shared" si="37"/>
        <v>0</v>
      </c>
      <c r="T388" s="868">
        <f t="shared" si="37"/>
        <v>0</v>
      </c>
      <c r="U388" s="868">
        <f t="shared" si="37"/>
        <v>0</v>
      </c>
      <c r="V388" s="868">
        <f t="shared" si="37"/>
        <v>0</v>
      </c>
      <c r="W388" s="868">
        <f t="shared" si="37"/>
        <v>0</v>
      </c>
      <c r="X388" s="868">
        <f t="shared" si="37"/>
        <v>0</v>
      </c>
      <c r="Y388" s="868">
        <f t="shared" si="37"/>
        <v>0</v>
      </c>
      <c r="Z388" s="868">
        <f t="shared" si="37"/>
        <v>0</v>
      </c>
      <c r="AA388" s="868">
        <f t="shared" si="37"/>
        <v>0</v>
      </c>
      <c r="AB388" s="868">
        <f t="shared" si="37"/>
        <v>0</v>
      </c>
      <c r="AC388" s="868">
        <f t="shared" si="37"/>
        <v>0</v>
      </c>
      <c r="AD388" s="868">
        <f t="shared" si="37"/>
        <v>0</v>
      </c>
      <c r="AE388" s="868">
        <f t="shared" si="37"/>
        <v>0</v>
      </c>
      <c r="AF388" s="868">
        <f t="shared" si="37"/>
        <v>0</v>
      </c>
      <c r="AG388" s="868">
        <f t="shared" si="37"/>
        <v>0</v>
      </c>
      <c r="AH388" s="868">
        <f t="shared" si="37"/>
        <v>0</v>
      </c>
      <c r="AI388" s="868">
        <f t="shared" si="37"/>
        <v>0</v>
      </c>
      <c r="AJ388" s="868">
        <f t="shared" si="37"/>
        <v>0</v>
      </c>
      <c r="AK388" s="868">
        <f t="shared" si="37"/>
        <v>0</v>
      </c>
      <c r="AL388" s="868">
        <f t="shared" si="37"/>
        <v>0</v>
      </c>
      <c r="AM388" s="868">
        <f t="shared" si="37"/>
        <v>0</v>
      </c>
      <c r="AN388" s="868">
        <f t="shared" si="37"/>
        <v>0</v>
      </c>
      <c r="AO388" s="868">
        <f t="shared" si="37"/>
        <v>0</v>
      </c>
      <c r="AP388" s="868">
        <f t="shared" si="37"/>
        <v>0</v>
      </c>
      <c r="AQ388" s="868">
        <f t="shared" si="37"/>
        <v>0</v>
      </c>
      <c r="AR388" s="868">
        <f t="shared" si="37"/>
        <v>0</v>
      </c>
      <c r="AS388" s="868">
        <f t="shared" si="37"/>
        <v>0</v>
      </c>
      <c r="AT388" s="693"/>
    </row>
    <row r="389" spans="2:46" ht="15.6">
      <c r="B389" s="22"/>
      <c r="C389" s="10"/>
      <c r="D389" s="277"/>
      <c r="E389" s="277"/>
      <c r="F389" s="29"/>
      <c r="G389" s="29"/>
      <c r="H389" s="29"/>
      <c r="I389" s="29"/>
      <c r="J389" s="29"/>
      <c r="K389" s="29"/>
      <c r="L389" s="29"/>
      <c r="M389" s="29"/>
      <c r="N389" s="29"/>
      <c r="O389" s="29"/>
      <c r="P389" s="29"/>
      <c r="Q389" s="29"/>
      <c r="R389" s="29"/>
      <c r="S389" s="29"/>
      <c r="T389" s="29"/>
      <c r="U389" s="29"/>
      <c r="V389" s="29"/>
      <c r="W389" s="29"/>
      <c r="X389" s="29"/>
      <c r="Y389" s="29"/>
      <c r="Z389" s="29"/>
      <c r="AA389" s="29"/>
      <c r="AB389" s="29"/>
      <c r="AC389" s="29"/>
      <c r="AD389" s="29"/>
      <c r="AE389" s="29"/>
      <c r="AF389" s="29"/>
      <c r="AG389" s="29"/>
      <c r="AH389" s="29"/>
      <c r="AI389" s="29"/>
      <c r="AJ389" s="29"/>
      <c r="AK389" s="29"/>
      <c r="AL389" s="29"/>
      <c r="AM389" s="29"/>
      <c r="AN389" s="29"/>
      <c r="AO389" s="29"/>
      <c r="AP389" s="29"/>
      <c r="AQ389" s="29"/>
      <c r="AR389" s="29"/>
      <c r="AS389" s="29"/>
      <c r="AT389" s="693"/>
    </row>
    <row r="390" spans="2:46" s="1" customFormat="1" ht="15.6">
      <c r="B390" s="70" t="s">
        <v>817</v>
      </c>
      <c r="C390" s="560"/>
      <c r="D390" s="102">
        <f>ROUND(NPV(Discount_Rate,Results!F390:AS390)/Round_To,0)*Round_To</f>
        <v>1572500</v>
      </c>
      <c r="E390" s="102">
        <f>SUM(F390:AS390)</f>
        <v>2564500</v>
      </c>
      <c r="F390" s="102">
        <f>+Details!F28+Details!F31+Details!F34+Details!F37+Details!F38</f>
        <v>58900</v>
      </c>
      <c r="G390" s="868">
        <f>+Details!G28+Details!G31+Details!G34+Details!G37+Details!G38</f>
        <v>59500</v>
      </c>
      <c r="H390" s="868">
        <f>+Details!H28+Details!H31+Details!H34+Details!H37+Details!H38</f>
        <v>60000</v>
      </c>
      <c r="I390" s="868">
        <f>+Details!I28+Details!I31+Details!I34+Details!I37+Details!I38</f>
        <v>60300</v>
      </c>
      <c r="J390" s="868">
        <f>+Details!J28+Details!J31+Details!J34+Details!J37+Details!J38</f>
        <v>60500</v>
      </c>
      <c r="K390" s="868">
        <f>+Details!K28+Details!K31+Details!K34+Details!K37+Details!K38</f>
        <v>61100</v>
      </c>
      <c r="L390" s="868">
        <f>+Details!L28+Details!L31+Details!L34+Details!L37+Details!L38</f>
        <v>62200</v>
      </c>
      <c r="M390" s="868">
        <f>+Details!M28+Details!M31+Details!M34+Details!M37+Details!M38</f>
        <v>63400</v>
      </c>
      <c r="N390" s="868">
        <f>+Details!N28+Details!N31+Details!N34+Details!N37+Details!N38</f>
        <v>65900</v>
      </c>
      <c r="O390" s="868">
        <f>+Details!O28+Details!O31+Details!O34+Details!O37+Details!O38</f>
        <v>69100</v>
      </c>
      <c r="P390" s="868">
        <f>+Details!P28+Details!P31+Details!P34+Details!P37+Details!P38</f>
        <v>69800</v>
      </c>
      <c r="Q390" s="868">
        <f>+Details!Q28+Details!Q31+Details!Q34+Details!Q37+Details!Q38</f>
        <v>71500</v>
      </c>
      <c r="R390" s="868">
        <f>+Details!R28+Details!R31+Details!R34+Details!R37+Details!R38</f>
        <v>78300</v>
      </c>
      <c r="S390" s="868">
        <f>+Details!S28+Details!S31+Details!S34+Details!S37+Details!S38</f>
        <v>80800</v>
      </c>
      <c r="T390" s="868">
        <f>+Details!T28+Details!T31+Details!T34+Details!T37+Details!T38</f>
        <v>82000</v>
      </c>
      <c r="U390" s="868">
        <f>+Details!U28+Details!U31+Details!U34+Details!U37+Details!U38</f>
        <v>85400</v>
      </c>
      <c r="V390" s="868">
        <f>+Details!V28+Details!V31+Details!V34+Details!V37+Details!V38</f>
        <v>93400</v>
      </c>
      <c r="W390" s="868">
        <f>+Details!W28+Details!W31+Details!W34+Details!W37+Details!W38</f>
        <v>97000</v>
      </c>
      <c r="X390" s="868">
        <f>+Details!X28+Details!X31+Details!X34+Details!X37+Details!X38</f>
        <v>86300</v>
      </c>
      <c r="Y390" s="868">
        <f>+Details!Y28+Details!Y31+Details!Y34+Details!Y37+Details!Y38</f>
        <v>87900</v>
      </c>
      <c r="Z390" s="868">
        <f>+Details!Z28+Details!Z31+Details!Z34+Details!Z37+Details!Z38</f>
        <v>89800</v>
      </c>
      <c r="AA390" s="868">
        <f>+Details!AA28+Details!AA31+Details!AA34+Details!AA37+Details!AA38</f>
        <v>91400</v>
      </c>
      <c r="AB390" s="868">
        <f>+Details!AB28+Details!AB31+Details!AB34+Details!AB37+Details!AB38</f>
        <v>101200</v>
      </c>
      <c r="AC390" s="868">
        <f>+Details!AC28+Details!AC31+Details!AC34+Details!AC37+Details!AC38</f>
        <v>111400</v>
      </c>
      <c r="AD390" s="868">
        <f>+Details!AD28+Details!AD31+Details!AD34+Details!AD37+Details!AD38</f>
        <v>115100</v>
      </c>
      <c r="AE390" s="868">
        <f>+Details!AE28+Details!AE31+Details!AE34+Details!AE37+Details!AE38</f>
        <v>118400</v>
      </c>
      <c r="AF390" s="868">
        <f>+Details!AF28+Details!AF31+Details!AF34+Details!AF37+Details!AF38</f>
        <v>119100</v>
      </c>
      <c r="AG390" s="868">
        <f>+Details!AG28+Details!AG31+Details!AG34+Details!AG37+Details!AG38</f>
        <v>120300</v>
      </c>
      <c r="AH390" s="868">
        <f>+Details!AH28+Details!AH31+Details!AH34+Details!AH37+Details!AH38</f>
        <v>121700</v>
      </c>
      <c r="AI390" s="868">
        <f>+Details!AI28+Details!AI31+Details!AI34+Details!AI37+Details!AI38</f>
        <v>122800</v>
      </c>
      <c r="AJ390" s="868">
        <f>+Details!AJ28+Details!AJ31+Details!AJ34+Details!AJ37+Details!AJ38</f>
        <v>0</v>
      </c>
      <c r="AK390" s="868">
        <f>+Details!AK28+Details!AK31+Details!AK34+Details!AK37+Details!AK38</f>
        <v>0</v>
      </c>
      <c r="AL390" s="868">
        <f>+Details!AL28+Details!AL31+Details!AL34+Details!AL37+Details!AL38</f>
        <v>0</v>
      </c>
      <c r="AM390" s="868">
        <f>+Details!AM28+Details!AM31+Details!AM34+Details!AM37+Details!AM38</f>
        <v>0</v>
      </c>
      <c r="AN390" s="868">
        <f>+Details!AN28+Details!AN31+Details!AN34+Details!AN37+Details!AN38</f>
        <v>0</v>
      </c>
      <c r="AO390" s="868">
        <f>+Details!AO28+Details!AO31+Details!AO34+Details!AO37+Details!AO38</f>
        <v>0</v>
      </c>
      <c r="AP390" s="868">
        <f>+Details!AP28+Details!AP31+Details!AP34+Details!AP37+Details!AP38</f>
        <v>0</v>
      </c>
      <c r="AQ390" s="868">
        <f>+Details!AQ28+Details!AQ31+Details!AQ34+Details!AQ37+Details!AQ38</f>
        <v>0</v>
      </c>
      <c r="AR390" s="868">
        <f>+Details!AR28+Details!AR31+Details!AR34+Details!AR37+Details!AR38</f>
        <v>0</v>
      </c>
      <c r="AS390" s="868">
        <f>+Details!AS28+Details!AS31+Details!AS34+Details!AS37+Details!AS38</f>
        <v>0</v>
      </c>
      <c r="AT390" s="693"/>
    </row>
    <row r="391" spans="2:46">
      <c r="B391" s="143" t="s">
        <v>609</v>
      </c>
      <c r="C391" s="10"/>
      <c r="D391" s="29"/>
      <c r="E391" s="102"/>
      <c r="F391" s="29">
        <f>+F390</f>
        <v>58900</v>
      </c>
      <c r="G391" s="868">
        <f t="shared" ref="G391:AS391" si="38">IF(G$369=0,0,G390+F391)</f>
        <v>118400</v>
      </c>
      <c r="H391" s="868">
        <f t="shared" si="38"/>
        <v>178400</v>
      </c>
      <c r="I391" s="868">
        <f t="shared" si="38"/>
        <v>238700</v>
      </c>
      <c r="J391" s="868">
        <f t="shared" si="38"/>
        <v>299200</v>
      </c>
      <c r="K391" s="868">
        <f t="shared" si="38"/>
        <v>360300</v>
      </c>
      <c r="L391" s="868">
        <f t="shared" si="38"/>
        <v>422500</v>
      </c>
      <c r="M391" s="868">
        <f t="shared" si="38"/>
        <v>485900</v>
      </c>
      <c r="N391" s="868">
        <f t="shared" si="38"/>
        <v>551800</v>
      </c>
      <c r="O391" s="868">
        <f t="shared" si="38"/>
        <v>620900</v>
      </c>
      <c r="P391" s="868">
        <f t="shared" si="38"/>
        <v>690700</v>
      </c>
      <c r="Q391" s="868">
        <f t="shared" si="38"/>
        <v>762200</v>
      </c>
      <c r="R391" s="868">
        <f t="shared" si="38"/>
        <v>840500</v>
      </c>
      <c r="S391" s="868">
        <f t="shared" si="38"/>
        <v>921300</v>
      </c>
      <c r="T391" s="868">
        <f t="shared" si="38"/>
        <v>1003300</v>
      </c>
      <c r="U391" s="868">
        <f t="shared" si="38"/>
        <v>1088700</v>
      </c>
      <c r="V391" s="868">
        <f t="shared" si="38"/>
        <v>1182100</v>
      </c>
      <c r="W391" s="868">
        <f t="shared" si="38"/>
        <v>1279100</v>
      </c>
      <c r="X391" s="868">
        <f t="shared" si="38"/>
        <v>1365400</v>
      </c>
      <c r="Y391" s="868">
        <f t="shared" si="38"/>
        <v>1453300</v>
      </c>
      <c r="Z391" s="868">
        <f t="shared" si="38"/>
        <v>1543100</v>
      </c>
      <c r="AA391" s="868">
        <f t="shared" si="38"/>
        <v>1634500</v>
      </c>
      <c r="AB391" s="868">
        <f t="shared" si="38"/>
        <v>1735700</v>
      </c>
      <c r="AC391" s="868">
        <f t="shared" si="38"/>
        <v>1847100</v>
      </c>
      <c r="AD391" s="868">
        <f t="shared" si="38"/>
        <v>1962200</v>
      </c>
      <c r="AE391" s="868">
        <f t="shared" si="38"/>
        <v>2080600</v>
      </c>
      <c r="AF391" s="868">
        <f t="shared" si="38"/>
        <v>2199700</v>
      </c>
      <c r="AG391" s="868">
        <f t="shared" si="38"/>
        <v>2320000</v>
      </c>
      <c r="AH391" s="868">
        <f t="shared" si="38"/>
        <v>2441700</v>
      </c>
      <c r="AI391" s="868">
        <f t="shared" si="38"/>
        <v>2564500</v>
      </c>
      <c r="AJ391" s="868">
        <f t="shared" si="38"/>
        <v>0</v>
      </c>
      <c r="AK391" s="868">
        <f t="shared" si="38"/>
        <v>0</v>
      </c>
      <c r="AL391" s="868">
        <f t="shared" si="38"/>
        <v>0</v>
      </c>
      <c r="AM391" s="868">
        <f t="shared" si="38"/>
        <v>0</v>
      </c>
      <c r="AN391" s="868">
        <f t="shared" si="38"/>
        <v>0</v>
      </c>
      <c r="AO391" s="868">
        <f t="shared" si="38"/>
        <v>0</v>
      </c>
      <c r="AP391" s="868">
        <f t="shared" si="38"/>
        <v>0</v>
      </c>
      <c r="AQ391" s="868">
        <f t="shared" si="38"/>
        <v>0</v>
      </c>
      <c r="AR391" s="868">
        <f t="shared" si="38"/>
        <v>0</v>
      </c>
      <c r="AS391" s="868">
        <f t="shared" si="38"/>
        <v>0</v>
      </c>
      <c r="AT391" s="693"/>
    </row>
    <row r="392" spans="2:46" ht="19.95" customHeight="1">
      <c r="B392" s="21" t="s">
        <v>308</v>
      </c>
      <c r="C392" s="334"/>
      <c r="D392" s="29">
        <f>ROUND(NPV(Discount_Rate,Results!F392:AS392)/Round_To,0)*Round_To</f>
        <v>1572500</v>
      </c>
      <c r="E392" s="29">
        <f>SUM(F392:AS392)</f>
        <v>2564500</v>
      </c>
      <c r="F392" s="29">
        <f>+Base!F28+Base!F31+Base!F34+Base!F37+Base!F38</f>
        <v>58900</v>
      </c>
      <c r="G392" s="868">
        <f>+Base!G28+Base!G31+Base!G34+Base!G37+Base!G38</f>
        <v>59500</v>
      </c>
      <c r="H392" s="868">
        <f>+Base!H28+Base!H31+Base!H34+Base!H37+Base!H38</f>
        <v>60000</v>
      </c>
      <c r="I392" s="868">
        <f>+Base!I28+Base!I31+Base!I34+Base!I37+Base!I38</f>
        <v>60300</v>
      </c>
      <c r="J392" s="868">
        <f>+Base!J28+Base!J31+Base!J34+Base!J37+Base!J38</f>
        <v>60500</v>
      </c>
      <c r="K392" s="868">
        <f>+Base!K28+Base!K31+Base!K34+Base!K37+Base!K38</f>
        <v>61100</v>
      </c>
      <c r="L392" s="868">
        <f>+Base!L28+Base!L31+Base!L34+Base!L37+Base!L38</f>
        <v>62200</v>
      </c>
      <c r="M392" s="868">
        <f>+Base!M28+Base!M31+Base!M34+Base!M37+Base!M38</f>
        <v>63400</v>
      </c>
      <c r="N392" s="868">
        <f>+Base!N28+Base!N31+Base!N34+Base!N37+Base!N38</f>
        <v>65900</v>
      </c>
      <c r="O392" s="868">
        <f>+Base!O28+Base!O31+Base!O34+Base!O37+Base!O38</f>
        <v>69100</v>
      </c>
      <c r="P392" s="868">
        <f>+Base!P28+Base!P31+Base!P34+Base!P37+Base!P38</f>
        <v>69800</v>
      </c>
      <c r="Q392" s="868">
        <f>+Base!Q28+Base!Q31+Base!Q34+Base!Q37+Base!Q38</f>
        <v>71500</v>
      </c>
      <c r="R392" s="868">
        <f>+Base!R28+Base!R31+Base!R34+Base!R37+Base!R38</f>
        <v>78300</v>
      </c>
      <c r="S392" s="868">
        <f>+Base!S28+Base!S31+Base!S34+Base!S37+Base!S38</f>
        <v>80800</v>
      </c>
      <c r="T392" s="868">
        <f>+Base!T28+Base!T31+Base!T34+Base!T37+Base!T38</f>
        <v>82000</v>
      </c>
      <c r="U392" s="868">
        <f>+Base!U28+Base!U31+Base!U34+Base!U37+Base!U38</f>
        <v>85400</v>
      </c>
      <c r="V392" s="868">
        <f>+Base!V28+Base!V31+Base!V34+Base!V37+Base!V38</f>
        <v>93400</v>
      </c>
      <c r="W392" s="868">
        <f>+Base!W28+Base!W31+Base!W34+Base!W37+Base!W38</f>
        <v>97000</v>
      </c>
      <c r="X392" s="868">
        <f>+Base!X28+Base!X31+Base!X34+Base!X37+Base!X38</f>
        <v>86300</v>
      </c>
      <c r="Y392" s="868">
        <f>+Base!Y28+Base!Y31+Base!Y34+Base!Y37+Base!Y38</f>
        <v>87900</v>
      </c>
      <c r="Z392" s="868">
        <f>+Base!Z28+Base!Z31+Base!Z34+Base!Z37+Base!Z38</f>
        <v>89800</v>
      </c>
      <c r="AA392" s="868">
        <f>+Base!AA28+Base!AA31+Base!AA34+Base!AA37+Base!AA38</f>
        <v>91400</v>
      </c>
      <c r="AB392" s="868">
        <f>+Base!AB28+Base!AB31+Base!AB34+Base!AB37+Base!AB38</f>
        <v>101200</v>
      </c>
      <c r="AC392" s="868">
        <f>+Base!AC28+Base!AC31+Base!AC34+Base!AC37+Base!AC38</f>
        <v>111400</v>
      </c>
      <c r="AD392" s="868">
        <f>+Base!AD28+Base!AD31+Base!AD34+Base!AD37+Base!AD38</f>
        <v>115100</v>
      </c>
      <c r="AE392" s="868">
        <f>+Base!AE28+Base!AE31+Base!AE34+Base!AE37+Base!AE38</f>
        <v>118400</v>
      </c>
      <c r="AF392" s="868">
        <f>+Base!AF28+Base!AF31+Base!AF34+Base!AF37+Base!AF38</f>
        <v>119100</v>
      </c>
      <c r="AG392" s="868">
        <f>+Base!AG28+Base!AG31+Base!AG34+Base!AG37+Base!AG38</f>
        <v>120300</v>
      </c>
      <c r="AH392" s="868">
        <f>+Base!AH28+Base!AH31+Base!AH34+Base!AH37+Base!AH38</f>
        <v>121700</v>
      </c>
      <c r="AI392" s="868">
        <f>+Base!AI28+Base!AI31+Base!AI34+Base!AI37+Base!AI38</f>
        <v>122800</v>
      </c>
      <c r="AJ392" s="868">
        <f>+Base!AJ28+Base!AJ31+Base!AJ34+Base!AJ37+Base!AJ38</f>
        <v>0</v>
      </c>
      <c r="AK392" s="868">
        <f>+Base!AK28+Base!AK31+Base!AK34+Base!AK37+Base!AK38</f>
        <v>0</v>
      </c>
      <c r="AL392" s="868">
        <f>+Base!AL28+Base!AL31+Base!AL34+Base!AL37+Base!AL38</f>
        <v>0</v>
      </c>
      <c r="AM392" s="868">
        <f>+Base!AM28+Base!AM31+Base!AM34+Base!AM37+Base!AM38</f>
        <v>0</v>
      </c>
      <c r="AN392" s="868">
        <f>+Base!AN28+Base!AN31+Base!AN34+Base!AN37+Base!AN38</f>
        <v>0</v>
      </c>
      <c r="AO392" s="868">
        <f>+Base!AO28+Base!AO31+Base!AO34+Base!AO37+Base!AO38</f>
        <v>0</v>
      </c>
      <c r="AP392" s="868">
        <f>+Base!AP28+Base!AP31+Base!AP34+Base!AP37+Base!AP38</f>
        <v>0</v>
      </c>
      <c r="AQ392" s="868">
        <f>+Base!AQ28+Base!AQ31+Base!AQ34+Base!AQ37+Base!AQ38</f>
        <v>0</v>
      </c>
      <c r="AR392" s="868">
        <f>+Base!AR28+Base!AR31+Base!AR34+Base!AR37+Base!AR38</f>
        <v>0</v>
      </c>
      <c r="AS392" s="868">
        <f>+Base!AS28+Base!AS31+Base!AS34+Base!AS37+Base!AS38</f>
        <v>0</v>
      </c>
      <c r="AT392" s="693"/>
    </row>
    <row r="393" spans="2:46">
      <c r="B393" s="21" t="s">
        <v>609</v>
      </c>
      <c r="C393" s="10"/>
      <c r="D393" s="102"/>
      <c r="E393" s="102"/>
      <c r="F393" s="102">
        <f>+F392</f>
        <v>58900</v>
      </c>
      <c r="G393" s="1157">
        <f t="shared" ref="G393:AS393" si="39">IF(G$369=0,0,G392+F393)</f>
        <v>118400</v>
      </c>
      <c r="H393" s="1157">
        <f t="shared" si="39"/>
        <v>178400</v>
      </c>
      <c r="I393" s="1157">
        <f t="shared" si="39"/>
        <v>238700</v>
      </c>
      <c r="J393" s="1157">
        <f t="shared" si="39"/>
        <v>299200</v>
      </c>
      <c r="K393" s="1157">
        <f t="shared" si="39"/>
        <v>360300</v>
      </c>
      <c r="L393" s="1157">
        <f t="shared" si="39"/>
        <v>422500</v>
      </c>
      <c r="M393" s="1157">
        <f t="shared" si="39"/>
        <v>485900</v>
      </c>
      <c r="N393" s="1157">
        <f t="shared" si="39"/>
        <v>551800</v>
      </c>
      <c r="O393" s="1157">
        <f t="shared" si="39"/>
        <v>620900</v>
      </c>
      <c r="P393" s="1157">
        <f t="shared" si="39"/>
        <v>690700</v>
      </c>
      <c r="Q393" s="1157">
        <f t="shared" si="39"/>
        <v>762200</v>
      </c>
      <c r="R393" s="1157">
        <f t="shared" si="39"/>
        <v>840500</v>
      </c>
      <c r="S393" s="1157">
        <f t="shared" si="39"/>
        <v>921300</v>
      </c>
      <c r="T393" s="1157">
        <f t="shared" si="39"/>
        <v>1003300</v>
      </c>
      <c r="U393" s="1157">
        <f t="shared" si="39"/>
        <v>1088700</v>
      </c>
      <c r="V393" s="1157">
        <f t="shared" si="39"/>
        <v>1182100</v>
      </c>
      <c r="W393" s="1157">
        <f t="shared" si="39"/>
        <v>1279100</v>
      </c>
      <c r="X393" s="1157">
        <f t="shared" si="39"/>
        <v>1365400</v>
      </c>
      <c r="Y393" s="1157">
        <f t="shared" si="39"/>
        <v>1453300</v>
      </c>
      <c r="Z393" s="1157">
        <f t="shared" si="39"/>
        <v>1543100</v>
      </c>
      <c r="AA393" s="1157">
        <f t="shared" si="39"/>
        <v>1634500</v>
      </c>
      <c r="AB393" s="1157">
        <f t="shared" si="39"/>
        <v>1735700</v>
      </c>
      <c r="AC393" s="1157">
        <f t="shared" si="39"/>
        <v>1847100</v>
      </c>
      <c r="AD393" s="1157">
        <f t="shared" si="39"/>
        <v>1962200</v>
      </c>
      <c r="AE393" s="1157">
        <f t="shared" si="39"/>
        <v>2080600</v>
      </c>
      <c r="AF393" s="1157">
        <f t="shared" si="39"/>
        <v>2199700</v>
      </c>
      <c r="AG393" s="1157">
        <f t="shared" si="39"/>
        <v>2320000</v>
      </c>
      <c r="AH393" s="1157">
        <f t="shared" si="39"/>
        <v>2441700</v>
      </c>
      <c r="AI393" s="1157">
        <f t="shared" si="39"/>
        <v>2564500</v>
      </c>
      <c r="AJ393" s="1157">
        <f t="shared" si="39"/>
        <v>0</v>
      </c>
      <c r="AK393" s="1157">
        <f t="shared" si="39"/>
        <v>0</v>
      </c>
      <c r="AL393" s="1157">
        <f t="shared" si="39"/>
        <v>0</v>
      </c>
      <c r="AM393" s="1157">
        <f t="shared" si="39"/>
        <v>0</v>
      </c>
      <c r="AN393" s="1157">
        <f t="shared" si="39"/>
        <v>0</v>
      </c>
      <c r="AO393" s="1157">
        <f t="shared" si="39"/>
        <v>0</v>
      </c>
      <c r="AP393" s="1157">
        <f t="shared" si="39"/>
        <v>0</v>
      </c>
      <c r="AQ393" s="1157">
        <f t="shared" si="39"/>
        <v>0</v>
      </c>
      <c r="AR393" s="1157">
        <f t="shared" si="39"/>
        <v>0</v>
      </c>
      <c r="AS393" s="1157">
        <f t="shared" si="39"/>
        <v>0</v>
      </c>
      <c r="AT393" s="693"/>
    </row>
    <row r="394" spans="2:46" ht="19.95" customHeight="1">
      <c r="B394" s="143" t="s">
        <v>825</v>
      </c>
      <c r="C394" s="10"/>
      <c r="D394" s="29">
        <f>NPV(Discount_Rate,Results!F394:AS394)</f>
        <v>0</v>
      </c>
      <c r="E394" s="29">
        <f>SUM(F394:AS394)</f>
        <v>0</v>
      </c>
      <c r="F394" s="29">
        <f t="shared" ref="F394:AS394" si="40">+F390-F392</f>
        <v>0</v>
      </c>
      <c r="G394" s="868">
        <f t="shared" si="40"/>
        <v>0</v>
      </c>
      <c r="H394" s="868">
        <f t="shared" si="40"/>
        <v>0</v>
      </c>
      <c r="I394" s="868">
        <f t="shared" si="40"/>
        <v>0</v>
      </c>
      <c r="J394" s="868">
        <f t="shared" si="40"/>
        <v>0</v>
      </c>
      <c r="K394" s="868">
        <f t="shared" si="40"/>
        <v>0</v>
      </c>
      <c r="L394" s="868">
        <f t="shared" si="40"/>
        <v>0</v>
      </c>
      <c r="M394" s="868">
        <f t="shared" si="40"/>
        <v>0</v>
      </c>
      <c r="N394" s="868">
        <f t="shared" si="40"/>
        <v>0</v>
      </c>
      <c r="O394" s="868">
        <f t="shared" si="40"/>
        <v>0</v>
      </c>
      <c r="P394" s="868">
        <f t="shared" si="40"/>
        <v>0</v>
      </c>
      <c r="Q394" s="868">
        <f t="shared" si="40"/>
        <v>0</v>
      </c>
      <c r="R394" s="868">
        <f t="shared" si="40"/>
        <v>0</v>
      </c>
      <c r="S394" s="868">
        <f t="shared" si="40"/>
        <v>0</v>
      </c>
      <c r="T394" s="868">
        <f t="shared" si="40"/>
        <v>0</v>
      </c>
      <c r="U394" s="868">
        <f t="shared" si="40"/>
        <v>0</v>
      </c>
      <c r="V394" s="868">
        <f t="shared" si="40"/>
        <v>0</v>
      </c>
      <c r="W394" s="868">
        <f t="shared" si="40"/>
        <v>0</v>
      </c>
      <c r="X394" s="868">
        <f t="shared" si="40"/>
        <v>0</v>
      </c>
      <c r="Y394" s="868">
        <f t="shared" si="40"/>
        <v>0</v>
      </c>
      <c r="Z394" s="868">
        <f t="shared" si="40"/>
        <v>0</v>
      </c>
      <c r="AA394" s="868">
        <f t="shared" si="40"/>
        <v>0</v>
      </c>
      <c r="AB394" s="868">
        <f t="shared" si="40"/>
        <v>0</v>
      </c>
      <c r="AC394" s="868">
        <f t="shared" si="40"/>
        <v>0</v>
      </c>
      <c r="AD394" s="868">
        <f t="shared" si="40"/>
        <v>0</v>
      </c>
      <c r="AE394" s="868">
        <f t="shared" si="40"/>
        <v>0</v>
      </c>
      <c r="AF394" s="868">
        <f t="shared" si="40"/>
        <v>0</v>
      </c>
      <c r="AG394" s="868">
        <f t="shared" si="40"/>
        <v>0</v>
      </c>
      <c r="AH394" s="868">
        <f t="shared" si="40"/>
        <v>0</v>
      </c>
      <c r="AI394" s="868">
        <f t="shared" si="40"/>
        <v>0</v>
      </c>
      <c r="AJ394" s="868">
        <f t="shared" si="40"/>
        <v>0</v>
      </c>
      <c r="AK394" s="868">
        <f t="shared" si="40"/>
        <v>0</v>
      </c>
      <c r="AL394" s="868">
        <f t="shared" si="40"/>
        <v>0</v>
      </c>
      <c r="AM394" s="868">
        <f t="shared" si="40"/>
        <v>0</v>
      </c>
      <c r="AN394" s="868">
        <f t="shared" si="40"/>
        <v>0</v>
      </c>
      <c r="AO394" s="868">
        <f t="shared" si="40"/>
        <v>0</v>
      </c>
      <c r="AP394" s="868">
        <f t="shared" si="40"/>
        <v>0</v>
      </c>
      <c r="AQ394" s="868">
        <f t="shared" si="40"/>
        <v>0</v>
      </c>
      <c r="AR394" s="868">
        <f t="shared" si="40"/>
        <v>0</v>
      </c>
      <c r="AS394" s="868">
        <f t="shared" si="40"/>
        <v>0</v>
      </c>
      <c r="AT394" s="693"/>
    </row>
    <row r="395" spans="2:46">
      <c r="B395" s="21" t="s">
        <v>826</v>
      </c>
      <c r="C395" s="10"/>
      <c r="D395" s="335"/>
      <c r="E395" s="277"/>
      <c r="F395" s="29">
        <f>+F391-F393</f>
        <v>0</v>
      </c>
      <c r="G395" s="868">
        <f>+G391-G393</f>
        <v>0</v>
      </c>
      <c r="H395" s="868">
        <f t="shared" ref="H395:AS395" si="41">+H391-H393</f>
        <v>0</v>
      </c>
      <c r="I395" s="868">
        <f t="shared" si="41"/>
        <v>0</v>
      </c>
      <c r="J395" s="868">
        <f t="shared" si="41"/>
        <v>0</v>
      </c>
      <c r="K395" s="868">
        <f t="shared" si="41"/>
        <v>0</v>
      </c>
      <c r="L395" s="868">
        <f t="shared" si="41"/>
        <v>0</v>
      </c>
      <c r="M395" s="868">
        <f t="shared" si="41"/>
        <v>0</v>
      </c>
      <c r="N395" s="868">
        <f t="shared" si="41"/>
        <v>0</v>
      </c>
      <c r="O395" s="868">
        <f t="shared" si="41"/>
        <v>0</v>
      </c>
      <c r="P395" s="868">
        <f t="shared" si="41"/>
        <v>0</v>
      </c>
      <c r="Q395" s="868">
        <f t="shared" si="41"/>
        <v>0</v>
      </c>
      <c r="R395" s="868">
        <f t="shared" si="41"/>
        <v>0</v>
      </c>
      <c r="S395" s="868">
        <f t="shared" si="41"/>
        <v>0</v>
      </c>
      <c r="T395" s="868">
        <f t="shared" si="41"/>
        <v>0</v>
      </c>
      <c r="U395" s="868">
        <f t="shared" si="41"/>
        <v>0</v>
      </c>
      <c r="V395" s="868">
        <f t="shared" si="41"/>
        <v>0</v>
      </c>
      <c r="W395" s="868">
        <f t="shared" si="41"/>
        <v>0</v>
      </c>
      <c r="X395" s="868">
        <f t="shared" si="41"/>
        <v>0</v>
      </c>
      <c r="Y395" s="868">
        <f t="shared" si="41"/>
        <v>0</v>
      </c>
      <c r="Z395" s="868">
        <f t="shared" si="41"/>
        <v>0</v>
      </c>
      <c r="AA395" s="868">
        <f t="shared" si="41"/>
        <v>0</v>
      </c>
      <c r="AB395" s="868">
        <f t="shared" si="41"/>
        <v>0</v>
      </c>
      <c r="AC395" s="868">
        <f t="shared" si="41"/>
        <v>0</v>
      </c>
      <c r="AD395" s="868">
        <f t="shared" si="41"/>
        <v>0</v>
      </c>
      <c r="AE395" s="868">
        <f t="shared" si="41"/>
        <v>0</v>
      </c>
      <c r="AF395" s="868">
        <f t="shared" si="41"/>
        <v>0</v>
      </c>
      <c r="AG395" s="868">
        <f t="shared" si="41"/>
        <v>0</v>
      </c>
      <c r="AH395" s="868">
        <f t="shared" si="41"/>
        <v>0</v>
      </c>
      <c r="AI395" s="868">
        <f t="shared" si="41"/>
        <v>0</v>
      </c>
      <c r="AJ395" s="868">
        <f t="shared" si="41"/>
        <v>0</v>
      </c>
      <c r="AK395" s="868">
        <f t="shared" si="41"/>
        <v>0</v>
      </c>
      <c r="AL395" s="868">
        <f t="shared" si="41"/>
        <v>0</v>
      </c>
      <c r="AM395" s="868">
        <f t="shared" si="41"/>
        <v>0</v>
      </c>
      <c r="AN395" s="868">
        <f t="shared" si="41"/>
        <v>0</v>
      </c>
      <c r="AO395" s="868">
        <f t="shared" si="41"/>
        <v>0</v>
      </c>
      <c r="AP395" s="868">
        <f t="shared" si="41"/>
        <v>0</v>
      </c>
      <c r="AQ395" s="868">
        <f t="shared" si="41"/>
        <v>0</v>
      </c>
      <c r="AR395" s="868">
        <f t="shared" si="41"/>
        <v>0</v>
      </c>
      <c r="AS395" s="868">
        <f t="shared" si="41"/>
        <v>0</v>
      </c>
      <c r="AT395" s="693"/>
    </row>
    <row r="396" spans="2:46">
      <c r="C396" s="10"/>
      <c r="D396" s="29"/>
      <c r="E396" s="29"/>
      <c r="F396" s="29"/>
      <c r="G396" s="29"/>
      <c r="H396" s="29"/>
      <c r="I396" s="29"/>
      <c r="J396" s="29"/>
      <c r="K396" s="29"/>
      <c r="L396" s="29"/>
      <c r="M396" s="29"/>
      <c r="N396" s="29"/>
      <c r="O396" s="29"/>
      <c r="P396" s="29"/>
      <c r="Q396" s="29"/>
      <c r="R396" s="29"/>
      <c r="S396" s="29"/>
      <c r="T396" s="29"/>
      <c r="U396" s="29"/>
      <c r="V396" s="29"/>
      <c r="W396" s="29"/>
      <c r="X396" s="29"/>
      <c r="Y396" s="29"/>
      <c r="Z396" s="29"/>
      <c r="AA396" s="29"/>
      <c r="AB396" s="29"/>
      <c r="AC396" s="29"/>
      <c r="AD396" s="29"/>
      <c r="AE396" s="29"/>
      <c r="AF396" s="29"/>
      <c r="AG396" s="29"/>
      <c r="AH396" s="29"/>
      <c r="AI396" s="29"/>
      <c r="AJ396" s="29"/>
      <c r="AK396" s="29"/>
      <c r="AL396" s="29"/>
      <c r="AM396" s="29"/>
      <c r="AN396" s="29"/>
      <c r="AO396" s="29"/>
      <c r="AP396" s="29"/>
      <c r="AQ396" s="29"/>
      <c r="AR396" s="29"/>
      <c r="AS396" s="29"/>
      <c r="AT396" s="693"/>
    </row>
    <row r="397" spans="2:46" s="1" customFormat="1" ht="15.6">
      <c r="B397" s="70" t="s">
        <v>1541</v>
      </c>
      <c r="C397" s="559"/>
      <c r="D397" s="102">
        <f>ROUND(NPV(Discount_Rate,Results!F397:AS397)/Round_To,0)*Round_To</f>
        <v>2046300</v>
      </c>
      <c r="E397" s="102">
        <f>SUM(F397:AS397)</f>
        <v>3354900</v>
      </c>
      <c r="F397" s="102">
        <f>+Details!F184</f>
        <v>62700</v>
      </c>
      <c r="G397" s="868">
        <f>+Details!G184</f>
        <v>79400</v>
      </c>
      <c r="H397" s="868">
        <f>+Details!H184</f>
        <v>66100</v>
      </c>
      <c r="I397" s="868">
        <f>+Details!I184</f>
        <v>67900</v>
      </c>
      <c r="J397" s="868">
        <f>+Details!J184</f>
        <v>69800</v>
      </c>
      <c r="K397" s="868">
        <f>+Details!K184</f>
        <v>90700</v>
      </c>
      <c r="L397" s="868">
        <f>+Details!L184</f>
        <v>93400</v>
      </c>
      <c r="M397" s="868">
        <f>+Details!M184</f>
        <v>96200</v>
      </c>
      <c r="N397" s="868">
        <f>+Details!N184</f>
        <v>71800</v>
      </c>
      <c r="O397" s="868">
        <f>+Details!O184</f>
        <v>73900</v>
      </c>
      <c r="P397" s="868">
        <f>+Details!P184</f>
        <v>75900</v>
      </c>
      <c r="Q397" s="868">
        <f>+Details!Q184</f>
        <v>79000</v>
      </c>
      <c r="R397" s="868">
        <f>+Details!R184</f>
        <v>91200</v>
      </c>
      <c r="S397" s="868">
        <f>+Details!S184</f>
        <v>95900</v>
      </c>
      <c r="T397" s="868">
        <f>+Details!T184</f>
        <v>122400</v>
      </c>
      <c r="U397" s="868">
        <f>+Details!U184</f>
        <v>136800</v>
      </c>
      <c r="V397" s="868">
        <f>+Details!V184</f>
        <v>132100</v>
      </c>
      <c r="W397" s="868">
        <f>+Details!W184</f>
        <v>136700</v>
      </c>
      <c r="X397" s="868">
        <f>+Details!X184</f>
        <v>129000</v>
      </c>
      <c r="Y397" s="868">
        <f>+Details!Y184</f>
        <v>131800</v>
      </c>
      <c r="Z397" s="868">
        <f>+Details!Z184</f>
        <v>136200</v>
      </c>
      <c r="AA397" s="868">
        <f>+Details!AA184</f>
        <v>141000</v>
      </c>
      <c r="AB397" s="868">
        <f>+Details!AB184</f>
        <v>147800</v>
      </c>
      <c r="AC397" s="868">
        <f>+Details!AC184</f>
        <v>158700</v>
      </c>
      <c r="AD397" s="868">
        <f>+Details!AD184</f>
        <v>141000</v>
      </c>
      <c r="AE397" s="868">
        <f>+Details!AE184</f>
        <v>145700</v>
      </c>
      <c r="AF397" s="868">
        <f>+Details!AF184</f>
        <v>148500</v>
      </c>
      <c r="AG397" s="868">
        <f>+Details!AG184</f>
        <v>142500</v>
      </c>
      <c r="AH397" s="868">
        <f>+Details!AH184</f>
        <v>143900</v>
      </c>
      <c r="AI397" s="868">
        <f>+Details!AI184</f>
        <v>146900</v>
      </c>
      <c r="AJ397" s="868">
        <f>+Details!AJ184</f>
        <v>0</v>
      </c>
      <c r="AK397" s="868">
        <f>+Details!AK184</f>
        <v>0</v>
      </c>
      <c r="AL397" s="868">
        <f>+Details!AL184</f>
        <v>0</v>
      </c>
      <c r="AM397" s="868">
        <f>+Details!AM184</f>
        <v>0</v>
      </c>
      <c r="AN397" s="868">
        <f>+Details!AN184</f>
        <v>0</v>
      </c>
      <c r="AO397" s="868">
        <f>+Details!AO184</f>
        <v>0</v>
      </c>
      <c r="AP397" s="868">
        <f>+Details!AP184</f>
        <v>0</v>
      </c>
      <c r="AQ397" s="868">
        <f>+Details!AQ184</f>
        <v>0</v>
      </c>
      <c r="AR397" s="868">
        <f>+Details!AR184</f>
        <v>0</v>
      </c>
      <c r="AS397" s="868">
        <f>+Details!AS184</f>
        <v>0</v>
      </c>
      <c r="AT397" s="693"/>
    </row>
    <row r="398" spans="2:46">
      <c r="B398" s="21" t="s">
        <v>308</v>
      </c>
      <c r="C398" s="40"/>
      <c r="D398" s="34">
        <f>ROUND(NPV(Discount_Rate,Results!F398:AS398)/Round_To,0)*Round_To</f>
        <v>2046300</v>
      </c>
      <c r="E398" s="34">
        <f>SUM(F398:AS398)</f>
        <v>3354900</v>
      </c>
      <c r="F398" s="34">
        <f>+Base!F184</f>
        <v>62700</v>
      </c>
      <c r="G398" s="1115">
        <f>+Base!G184</f>
        <v>79400</v>
      </c>
      <c r="H398" s="1115">
        <f>+Base!H184</f>
        <v>66100</v>
      </c>
      <c r="I398" s="1115">
        <f>+Base!I184</f>
        <v>67900</v>
      </c>
      <c r="J398" s="1115">
        <f>+Base!J184</f>
        <v>69800</v>
      </c>
      <c r="K398" s="1115">
        <f>+Base!K184</f>
        <v>90700</v>
      </c>
      <c r="L398" s="1115">
        <f>+Base!L184</f>
        <v>93400</v>
      </c>
      <c r="M398" s="1115">
        <f>+Base!M184</f>
        <v>96200</v>
      </c>
      <c r="N398" s="1115">
        <f>+Base!N184</f>
        <v>71800</v>
      </c>
      <c r="O398" s="1115">
        <f>+Base!O184</f>
        <v>73900</v>
      </c>
      <c r="P398" s="1115">
        <f>+Base!P184</f>
        <v>75900</v>
      </c>
      <c r="Q398" s="1115">
        <f>+Base!Q184</f>
        <v>79000</v>
      </c>
      <c r="R398" s="1115">
        <f>+Base!R184</f>
        <v>91200</v>
      </c>
      <c r="S398" s="1115">
        <f>+Base!S184</f>
        <v>95900</v>
      </c>
      <c r="T398" s="1115">
        <f>+Base!T184</f>
        <v>122400</v>
      </c>
      <c r="U398" s="1115">
        <f>+Base!U184</f>
        <v>136800</v>
      </c>
      <c r="V398" s="1115">
        <f>+Base!V184</f>
        <v>132100</v>
      </c>
      <c r="W398" s="1115">
        <f>+Base!W184</f>
        <v>136700</v>
      </c>
      <c r="X398" s="1115">
        <f>+Base!X184</f>
        <v>129000</v>
      </c>
      <c r="Y398" s="1115">
        <f>+Base!Y184</f>
        <v>131800</v>
      </c>
      <c r="Z398" s="1115">
        <f>+Base!Z184</f>
        <v>136200</v>
      </c>
      <c r="AA398" s="1115">
        <f>+Base!AA184</f>
        <v>141000</v>
      </c>
      <c r="AB398" s="1115">
        <f>+Base!AB184</f>
        <v>147800</v>
      </c>
      <c r="AC398" s="1115">
        <f>+Base!AC184</f>
        <v>158700</v>
      </c>
      <c r="AD398" s="1115">
        <f>+Base!AD184</f>
        <v>141000</v>
      </c>
      <c r="AE398" s="1115">
        <f>+Base!AE184</f>
        <v>145700</v>
      </c>
      <c r="AF398" s="1115">
        <f>+Base!AF184</f>
        <v>148500</v>
      </c>
      <c r="AG398" s="1115">
        <f>+Base!AG184</f>
        <v>142500</v>
      </c>
      <c r="AH398" s="1115">
        <f>+Base!AH184</f>
        <v>143900</v>
      </c>
      <c r="AI398" s="1115">
        <f>+Base!AI184</f>
        <v>146900</v>
      </c>
      <c r="AJ398" s="1115">
        <f>+Base!AJ184</f>
        <v>0</v>
      </c>
      <c r="AK398" s="1115">
        <f>+Base!AK184</f>
        <v>0</v>
      </c>
      <c r="AL398" s="1115">
        <f>+Base!AL184</f>
        <v>0</v>
      </c>
      <c r="AM398" s="1115">
        <f>+Base!AM184</f>
        <v>0</v>
      </c>
      <c r="AN398" s="1115">
        <f>+Base!AN184</f>
        <v>0</v>
      </c>
      <c r="AO398" s="1115">
        <f>+Base!AO184</f>
        <v>0</v>
      </c>
      <c r="AP398" s="1115">
        <f>+Base!AP184</f>
        <v>0</v>
      </c>
      <c r="AQ398" s="1115">
        <f>+Base!AQ184</f>
        <v>0</v>
      </c>
      <c r="AR398" s="1115">
        <f>+Base!AR184</f>
        <v>0</v>
      </c>
      <c r="AS398" s="1115">
        <f>+Base!AS184</f>
        <v>0</v>
      </c>
      <c r="AT398" s="693"/>
    </row>
    <row r="399" spans="2:46">
      <c r="B399" s="143" t="s">
        <v>825</v>
      </c>
      <c r="C399" s="40"/>
      <c r="D399" s="29">
        <f>+D397-D398</f>
        <v>0</v>
      </c>
      <c r="E399" s="29">
        <f>SUM(F399:AS399)</f>
        <v>0</v>
      </c>
      <c r="F399" s="29">
        <f>-Base!F184+Details!F184</f>
        <v>0</v>
      </c>
      <c r="G399" s="868">
        <f>-Base!G184+Details!G184</f>
        <v>0</v>
      </c>
      <c r="H399" s="868">
        <f>-Base!H184+Details!H184</f>
        <v>0</v>
      </c>
      <c r="I399" s="868">
        <f>-Base!I184+Details!I184</f>
        <v>0</v>
      </c>
      <c r="J399" s="868">
        <f>-Base!J184+Details!J184</f>
        <v>0</v>
      </c>
      <c r="K399" s="868">
        <f>-Base!K184+Details!K184</f>
        <v>0</v>
      </c>
      <c r="L399" s="868">
        <f>-Base!L184+Details!L184</f>
        <v>0</v>
      </c>
      <c r="M399" s="868">
        <f>-Base!M184+Details!M184</f>
        <v>0</v>
      </c>
      <c r="N399" s="868">
        <f>-Base!N184+Details!N184</f>
        <v>0</v>
      </c>
      <c r="O399" s="868">
        <f>-Base!O184+Details!O184</f>
        <v>0</v>
      </c>
      <c r="P399" s="868">
        <f>-Base!P184+Details!P184</f>
        <v>0</v>
      </c>
      <c r="Q399" s="868">
        <f>-Base!Q184+Details!Q184</f>
        <v>0</v>
      </c>
      <c r="R399" s="868">
        <f>-Base!R184+Details!R184</f>
        <v>0</v>
      </c>
      <c r="S399" s="868">
        <f>-Base!S184+Details!S184</f>
        <v>0</v>
      </c>
      <c r="T399" s="868">
        <f>-Base!T184+Details!T184</f>
        <v>0</v>
      </c>
      <c r="U399" s="868">
        <f>-Base!U184+Details!U184</f>
        <v>0</v>
      </c>
      <c r="V399" s="868">
        <f>-Base!V184+Details!V184</f>
        <v>0</v>
      </c>
      <c r="W399" s="868">
        <f>-Base!W184+Details!W184</f>
        <v>0</v>
      </c>
      <c r="X399" s="868">
        <f>-Base!X184+Details!X184</f>
        <v>0</v>
      </c>
      <c r="Y399" s="868">
        <f>-Base!Y184+Details!Y184</f>
        <v>0</v>
      </c>
      <c r="Z399" s="868">
        <f>-Base!Z184+Details!Z184</f>
        <v>0</v>
      </c>
      <c r="AA399" s="868">
        <f>-Base!AA184+Details!AA184</f>
        <v>0</v>
      </c>
      <c r="AB399" s="868">
        <f>-Base!AB184+Details!AB184</f>
        <v>0</v>
      </c>
      <c r="AC399" s="868">
        <f>-Base!AC184+Details!AC184</f>
        <v>0</v>
      </c>
      <c r="AD399" s="868">
        <f>-Base!AD184+Details!AD184</f>
        <v>0</v>
      </c>
      <c r="AE399" s="868">
        <f>-Base!AE184+Details!AE184</f>
        <v>0</v>
      </c>
      <c r="AF399" s="868">
        <f>-Base!AF184+Details!AF184</f>
        <v>0</v>
      </c>
      <c r="AG399" s="868">
        <f>-Base!AG184+Details!AG184</f>
        <v>0</v>
      </c>
      <c r="AH399" s="868">
        <f>-Base!AH184+Details!AH184</f>
        <v>0</v>
      </c>
      <c r="AI399" s="868">
        <f>-Base!AI184+Details!AI184</f>
        <v>0</v>
      </c>
      <c r="AJ399" s="868">
        <f>-Base!AJ184+Details!AJ184</f>
        <v>0</v>
      </c>
      <c r="AK399" s="868">
        <f>-Base!AK184+Details!AK184</f>
        <v>0</v>
      </c>
      <c r="AL399" s="868">
        <f>-Base!AL184+Details!AL184</f>
        <v>0</v>
      </c>
      <c r="AM399" s="868">
        <f>-Base!AM184+Details!AM184</f>
        <v>0</v>
      </c>
      <c r="AN399" s="868">
        <f>-Base!AN184+Details!AN184</f>
        <v>0</v>
      </c>
      <c r="AO399" s="868">
        <f>-Base!AO184+Details!AO184</f>
        <v>0</v>
      </c>
      <c r="AP399" s="868">
        <f>-Base!AP184+Details!AP184</f>
        <v>0</v>
      </c>
      <c r="AQ399" s="868">
        <f>-Base!AQ184+Details!AQ184</f>
        <v>0</v>
      </c>
      <c r="AR399" s="868">
        <f>-Base!AR184+Details!AR184</f>
        <v>0</v>
      </c>
      <c r="AS399" s="868">
        <f>-Base!AS184+Details!AS184</f>
        <v>0</v>
      </c>
      <c r="AT399" s="693"/>
    </row>
    <row r="400" spans="2:46" ht="15.6">
      <c r="B400" s="22"/>
      <c r="C400" s="10"/>
      <c r="D400" s="277">
        <f>IF(D398&gt;0,+D399/D398,0)</f>
        <v>0</v>
      </c>
      <c r="E400" s="277">
        <f>IF(E398&gt;0,+E399/E398,0)</f>
        <v>0</v>
      </c>
      <c r="F400" s="31"/>
      <c r="G400" s="31"/>
      <c r="H400" s="31"/>
      <c r="I400" s="31"/>
      <c r="J400" s="31"/>
      <c r="K400" s="31"/>
      <c r="L400" s="31"/>
      <c r="M400" s="31"/>
      <c r="N400" s="31"/>
      <c r="O400" s="31"/>
      <c r="P400" s="31"/>
      <c r="Q400" s="31"/>
      <c r="R400" s="31"/>
      <c r="S400" s="31"/>
      <c r="T400" s="31"/>
      <c r="U400" s="31"/>
      <c r="V400" s="31"/>
      <c r="W400" s="31"/>
      <c r="X400" s="31"/>
      <c r="Y400" s="31"/>
      <c r="Z400" s="31"/>
      <c r="AA400" s="31"/>
      <c r="AB400" s="31"/>
      <c r="AC400" s="31"/>
      <c r="AD400" s="31"/>
      <c r="AE400" s="31"/>
      <c r="AF400" s="31"/>
      <c r="AG400" s="31"/>
      <c r="AH400" s="31"/>
      <c r="AI400" s="31"/>
      <c r="AJ400" s="31"/>
      <c r="AK400" s="31"/>
      <c r="AL400" s="31"/>
      <c r="AM400" s="31"/>
      <c r="AN400" s="31"/>
      <c r="AO400" s="31"/>
      <c r="AP400" s="31"/>
      <c r="AQ400" s="31"/>
      <c r="AR400" s="31"/>
      <c r="AS400" s="31"/>
      <c r="AT400" s="693"/>
    </row>
    <row r="401" spans="1:46" ht="15.6">
      <c r="B401" s="22"/>
      <c r="C401" s="10"/>
      <c r="D401" s="277"/>
      <c r="E401" s="277"/>
      <c r="F401" s="31"/>
      <c r="G401" s="31"/>
      <c r="H401" s="31"/>
      <c r="I401" s="31"/>
      <c r="J401" s="31"/>
      <c r="K401" s="31"/>
      <c r="L401" s="31"/>
      <c r="M401" s="31"/>
      <c r="N401" s="31"/>
      <c r="O401" s="31"/>
      <c r="P401" s="31"/>
      <c r="Q401" s="31"/>
      <c r="R401" s="31"/>
      <c r="S401" s="31"/>
      <c r="T401" s="31"/>
      <c r="U401" s="31"/>
      <c r="V401" s="31"/>
      <c r="W401" s="31"/>
      <c r="X401" s="31"/>
      <c r="Y401" s="31"/>
      <c r="Z401" s="31"/>
      <c r="AA401" s="31"/>
      <c r="AB401" s="31"/>
      <c r="AC401" s="31"/>
      <c r="AD401" s="31"/>
      <c r="AE401" s="31"/>
      <c r="AF401" s="31"/>
      <c r="AG401" s="31"/>
      <c r="AH401" s="31"/>
      <c r="AI401" s="31"/>
      <c r="AJ401" s="31"/>
      <c r="AK401" s="31"/>
      <c r="AL401" s="31"/>
      <c r="AM401" s="31"/>
      <c r="AN401" s="31"/>
      <c r="AO401" s="31"/>
      <c r="AP401" s="31"/>
      <c r="AQ401" s="31"/>
      <c r="AR401" s="31"/>
      <c r="AS401" s="31"/>
      <c r="AT401" s="693"/>
    </row>
    <row r="402" spans="1:46" s="1" customFormat="1" ht="18" customHeight="1">
      <c r="A402" s="1236"/>
      <c r="B402" s="1237" t="s">
        <v>2286</v>
      </c>
      <c r="C402" s="1237"/>
      <c r="D402" s="1237"/>
      <c r="E402" s="1236"/>
      <c r="F402" s="102"/>
      <c r="G402" s="1157"/>
      <c r="H402" s="1157"/>
      <c r="I402" s="1157"/>
      <c r="J402" s="1157"/>
      <c r="K402" s="1157"/>
      <c r="L402" s="1157"/>
      <c r="M402" s="1157"/>
      <c r="N402" s="1157"/>
      <c r="O402" s="1157"/>
      <c r="P402" s="1157"/>
      <c r="Q402" s="1157"/>
      <c r="R402" s="1157"/>
      <c r="S402" s="1157"/>
      <c r="T402" s="1157"/>
      <c r="U402" s="1157"/>
      <c r="V402" s="1157"/>
      <c r="W402" s="1157"/>
      <c r="X402" s="1157"/>
      <c r="Y402" s="1157"/>
      <c r="Z402" s="1157"/>
      <c r="AA402" s="1157"/>
      <c r="AB402" s="1157"/>
      <c r="AC402" s="1157"/>
      <c r="AD402" s="1157"/>
      <c r="AE402" s="1157"/>
      <c r="AF402" s="1157"/>
      <c r="AG402" s="1157"/>
      <c r="AH402" s="1157"/>
      <c r="AI402" s="1157"/>
      <c r="AJ402" s="1157"/>
      <c r="AK402" s="1157"/>
      <c r="AL402" s="1157"/>
      <c r="AM402" s="1157"/>
      <c r="AN402" s="1157"/>
      <c r="AO402" s="1157"/>
      <c r="AP402" s="1157"/>
      <c r="AQ402" s="1157"/>
      <c r="AR402" s="1157"/>
      <c r="AS402" s="1157"/>
      <c r="AT402" s="693"/>
    </row>
    <row r="403" spans="1:46" ht="15.6">
      <c r="A403" s="686"/>
      <c r="B403" s="148"/>
      <c r="C403" s="305"/>
      <c r="D403" s="686"/>
      <c r="F403" s="745"/>
      <c r="G403" s="745"/>
      <c r="H403" s="744"/>
      <c r="I403" s="744"/>
      <c r="J403" s="744"/>
      <c r="K403" s="744"/>
      <c r="L403" s="744"/>
      <c r="M403" s="744"/>
      <c r="N403" s="744"/>
      <c r="O403" s="744"/>
      <c r="P403" s="744"/>
      <c r="Q403" s="744"/>
      <c r="R403" s="744"/>
      <c r="S403" s="744"/>
      <c r="T403" s="744"/>
      <c r="U403" s="744"/>
      <c r="V403" s="744"/>
      <c r="W403" s="744"/>
      <c r="X403" s="744"/>
      <c r="Y403" s="744"/>
      <c r="Z403" s="744"/>
      <c r="AA403" s="744"/>
      <c r="AB403" s="744"/>
      <c r="AC403" s="744"/>
      <c r="AD403" s="744"/>
      <c r="AE403" s="744"/>
      <c r="AF403" s="744"/>
      <c r="AG403" s="744"/>
      <c r="AH403" s="744"/>
      <c r="AI403" s="744"/>
      <c r="AJ403" s="744"/>
      <c r="AK403" s="744"/>
      <c r="AL403" s="744"/>
      <c r="AM403" s="744"/>
      <c r="AN403" s="744"/>
      <c r="AO403" s="744"/>
      <c r="AP403" s="744"/>
      <c r="AQ403" s="744"/>
      <c r="AR403" s="744"/>
      <c r="AS403" s="744"/>
    </row>
    <row r="404" spans="1:46" ht="15.6">
      <c r="A404" s="686"/>
      <c r="B404" s="148" t="s">
        <v>2287</v>
      </c>
      <c r="C404" s="305"/>
      <c r="D404" s="686"/>
      <c r="F404" s="745"/>
      <c r="G404" s="745"/>
      <c r="H404" s="744"/>
      <c r="I404" s="744"/>
      <c r="J404" s="744"/>
      <c r="K404" s="744"/>
      <c r="L404" s="744"/>
      <c r="M404" s="744"/>
      <c r="N404" s="744"/>
      <c r="O404" s="744"/>
      <c r="P404" s="744"/>
      <c r="Q404" s="744"/>
      <c r="R404" s="744"/>
      <c r="S404" s="744"/>
      <c r="T404" s="744"/>
      <c r="U404" s="744"/>
      <c r="V404" s="744"/>
      <c r="W404" s="744"/>
      <c r="X404" s="744"/>
      <c r="Y404" s="744"/>
      <c r="Z404" s="744"/>
      <c r="AA404" s="744"/>
      <c r="AB404" s="744"/>
      <c r="AC404" s="744"/>
      <c r="AD404" s="744"/>
      <c r="AE404" s="744"/>
      <c r="AF404" s="744"/>
      <c r="AG404" s="744"/>
      <c r="AH404" s="744"/>
      <c r="AI404" s="744"/>
      <c r="AJ404" s="744"/>
      <c r="AK404" s="744"/>
      <c r="AL404" s="744"/>
      <c r="AM404" s="744"/>
      <c r="AN404" s="744"/>
      <c r="AO404" s="744"/>
      <c r="AP404" s="744"/>
      <c r="AQ404" s="744"/>
      <c r="AR404" s="744"/>
      <c r="AS404" s="744"/>
    </row>
    <row r="405" spans="1:46" ht="15.6">
      <c r="A405" s="686"/>
      <c r="B405" s="1795" t="s">
        <v>2288</v>
      </c>
      <c r="C405" s="305"/>
      <c r="D405" s="686"/>
      <c r="E405" s="102">
        <f>SUM(F405:AS405)</f>
        <v>487400</v>
      </c>
      <c r="F405" s="102">
        <f>-Base!F94</f>
        <v>0</v>
      </c>
      <c r="G405" s="868">
        <f>-Base!G94</f>
        <v>0</v>
      </c>
      <c r="H405" s="868">
        <f>-Base!H94</f>
        <v>0</v>
      </c>
      <c r="I405" s="868">
        <f>-Base!I94</f>
        <v>0</v>
      </c>
      <c r="J405" s="868">
        <f>-Base!J94</f>
        <v>0</v>
      </c>
      <c r="K405" s="868">
        <f>-Base!K94</f>
        <v>0</v>
      </c>
      <c r="L405" s="868">
        <f>-Base!L94</f>
        <v>0</v>
      </c>
      <c r="M405" s="868">
        <f>-Base!M94</f>
        <v>0</v>
      </c>
      <c r="N405" s="868">
        <f>-Base!N94</f>
        <v>0</v>
      </c>
      <c r="O405" s="868">
        <f>-Base!O94</f>
        <v>14500</v>
      </c>
      <c r="P405" s="868">
        <f>-Base!P94</f>
        <v>15000</v>
      </c>
      <c r="Q405" s="868">
        <f>-Base!Q94</f>
        <v>15600</v>
      </c>
      <c r="R405" s="868">
        <f>-Base!R94</f>
        <v>16200</v>
      </c>
      <c r="S405" s="868">
        <f>-Base!S94</f>
        <v>16900</v>
      </c>
      <c r="T405" s="868">
        <f>-Base!T94</f>
        <v>17700</v>
      </c>
      <c r="U405" s="868">
        <f>-Base!U94</f>
        <v>18700</v>
      </c>
      <c r="V405" s="868">
        <f>-Base!V94</f>
        <v>19900</v>
      </c>
      <c r="W405" s="868">
        <f>-Base!W94</f>
        <v>21000</v>
      </c>
      <c r="X405" s="868">
        <f>-Base!X94</f>
        <v>22100</v>
      </c>
      <c r="Y405" s="868">
        <f>-Base!Y94</f>
        <v>23100</v>
      </c>
      <c r="Z405" s="868">
        <f>-Base!Z94</f>
        <v>24200</v>
      </c>
      <c r="AA405" s="868">
        <f>-Base!AA94</f>
        <v>25300</v>
      </c>
      <c r="AB405" s="868">
        <f>-Base!AB94</f>
        <v>26400</v>
      </c>
      <c r="AC405" s="868">
        <f>-Base!AC94</f>
        <v>27300</v>
      </c>
      <c r="AD405" s="868">
        <f>-Base!AD94</f>
        <v>28300</v>
      </c>
      <c r="AE405" s="868">
        <f>-Base!AE94</f>
        <v>29300</v>
      </c>
      <c r="AF405" s="868">
        <f>-Base!AF94</f>
        <v>30300</v>
      </c>
      <c r="AG405" s="868">
        <f>-Base!AG94</f>
        <v>31200</v>
      </c>
      <c r="AH405" s="868">
        <f>-Base!AH94</f>
        <v>31900</v>
      </c>
      <c r="AI405" s="868">
        <f>-Base!AI94</f>
        <v>32500</v>
      </c>
      <c r="AJ405" s="868">
        <f>-Base!AJ94</f>
        <v>0</v>
      </c>
      <c r="AK405" s="868">
        <f>-Base!AK94</f>
        <v>0</v>
      </c>
      <c r="AL405" s="868">
        <f>-Base!AL94</f>
        <v>0</v>
      </c>
      <c r="AM405" s="868">
        <f>-Base!AM94</f>
        <v>0</v>
      </c>
      <c r="AN405" s="868">
        <f>-Base!AN94</f>
        <v>0</v>
      </c>
      <c r="AO405" s="868">
        <f>-Base!AO94</f>
        <v>0</v>
      </c>
      <c r="AP405" s="868">
        <f>-Base!AP94</f>
        <v>0</v>
      </c>
      <c r="AQ405" s="868">
        <f>-Base!AQ94</f>
        <v>0</v>
      </c>
      <c r="AR405" s="868">
        <f>-Base!AR94</f>
        <v>0</v>
      </c>
      <c r="AS405" s="868">
        <f>-Base!AS94</f>
        <v>0</v>
      </c>
    </row>
    <row r="406" spans="1:46" ht="15.6">
      <c r="A406" s="686"/>
      <c r="B406" s="1795" t="s">
        <v>609</v>
      </c>
      <c r="C406" s="305"/>
      <c r="D406" s="686"/>
      <c r="E406" s="102"/>
      <c r="F406" s="102">
        <f>+F405</f>
        <v>0</v>
      </c>
      <c r="G406" s="868">
        <f>(G405+F406)*G411</f>
        <v>0</v>
      </c>
      <c r="H406" s="868">
        <f t="shared" ref="H406:AS406" si="42">(H405+G406)*H411</f>
        <v>0</v>
      </c>
      <c r="I406" s="868">
        <f t="shared" si="42"/>
        <v>0</v>
      </c>
      <c r="J406" s="868">
        <f t="shared" si="42"/>
        <v>0</v>
      </c>
      <c r="K406" s="868">
        <f t="shared" si="42"/>
        <v>0</v>
      </c>
      <c r="L406" s="868">
        <f t="shared" si="42"/>
        <v>0</v>
      </c>
      <c r="M406" s="868">
        <f t="shared" si="42"/>
        <v>0</v>
      </c>
      <c r="N406" s="868">
        <f t="shared" si="42"/>
        <v>0</v>
      </c>
      <c r="O406" s="868">
        <f t="shared" si="42"/>
        <v>14500</v>
      </c>
      <c r="P406" s="868">
        <f t="shared" si="42"/>
        <v>29500</v>
      </c>
      <c r="Q406" s="868">
        <f t="shared" si="42"/>
        <v>45100</v>
      </c>
      <c r="R406" s="868">
        <f t="shared" si="42"/>
        <v>61300</v>
      </c>
      <c r="S406" s="868">
        <f t="shared" si="42"/>
        <v>78200</v>
      </c>
      <c r="T406" s="868">
        <f t="shared" si="42"/>
        <v>95900</v>
      </c>
      <c r="U406" s="868">
        <f t="shared" si="42"/>
        <v>114600</v>
      </c>
      <c r="V406" s="868">
        <f t="shared" si="42"/>
        <v>134500</v>
      </c>
      <c r="W406" s="868">
        <f t="shared" si="42"/>
        <v>155500</v>
      </c>
      <c r="X406" s="868">
        <f t="shared" si="42"/>
        <v>177600</v>
      </c>
      <c r="Y406" s="868">
        <f t="shared" si="42"/>
        <v>200700</v>
      </c>
      <c r="Z406" s="868">
        <f t="shared" si="42"/>
        <v>224900</v>
      </c>
      <c r="AA406" s="868">
        <f t="shared" si="42"/>
        <v>250200</v>
      </c>
      <c r="AB406" s="868">
        <f t="shared" si="42"/>
        <v>276600</v>
      </c>
      <c r="AC406" s="868">
        <f t="shared" si="42"/>
        <v>303900</v>
      </c>
      <c r="AD406" s="868">
        <f t="shared" si="42"/>
        <v>332200</v>
      </c>
      <c r="AE406" s="868">
        <f t="shared" si="42"/>
        <v>361500</v>
      </c>
      <c r="AF406" s="868">
        <f t="shared" si="42"/>
        <v>391800</v>
      </c>
      <c r="AG406" s="868">
        <f t="shared" si="42"/>
        <v>423000</v>
      </c>
      <c r="AH406" s="868">
        <f t="shared" si="42"/>
        <v>454900</v>
      </c>
      <c r="AI406" s="868">
        <f t="shared" si="42"/>
        <v>487400</v>
      </c>
      <c r="AJ406" s="868">
        <f t="shared" si="42"/>
        <v>0</v>
      </c>
      <c r="AK406" s="868">
        <f t="shared" si="42"/>
        <v>0</v>
      </c>
      <c r="AL406" s="868">
        <f t="shared" si="42"/>
        <v>0</v>
      </c>
      <c r="AM406" s="868">
        <f t="shared" si="42"/>
        <v>0</v>
      </c>
      <c r="AN406" s="868">
        <f t="shared" si="42"/>
        <v>0</v>
      </c>
      <c r="AO406" s="868">
        <f t="shared" si="42"/>
        <v>0</v>
      </c>
      <c r="AP406" s="868">
        <f t="shared" si="42"/>
        <v>0</v>
      </c>
      <c r="AQ406" s="868">
        <f t="shared" si="42"/>
        <v>0</v>
      </c>
      <c r="AR406" s="868">
        <f t="shared" si="42"/>
        <v>0</v>
      </c>
      <c r="AS406" s="868">
        <f t="shared" si="42"/>
        <v>0</v>
      </c>
    </row>
    <row r="407" spans="1:46" ht="15.6">
      <c r="A407" s="686"/>
      <c r="B407" s="1795" t="s">
        <v>2290</v>
      </c>
      <c r="C407" s="305"/>
      <c r="D407" s="686"/>
      <c r="F407" s="117">
        <f>+Base!F22</f>
        <v>0.05</v>
      </c>
      <c r="G407" s="117">
        <f>+Base!G22</f>
        <v>0.05</v>
      </c>
      <c r="H407" s="117">
        <f>+Base!H22</f>
        <v>0.05</v>
      </c>
      <c r="I407" s="117">
        <f>+Base!I22</f>
        <v>0.05</v>
      </c>
      <c r="J407" s="117">
        <f>+Base!J22</f>
        <v>0.05</v>
      </c>
      <c r="K407" s="117">
        <f>+Base!K22</f>
        <v>0.05</v>
      </c>
      <c r="L407" s="117">
        <f>+Base!L22</f>
        <v>0.05</v>
      </c>
      <c r="M407" s="117">
        <f>+Base!M22</f>
        <v>0.05</v>
      </c>
      <c r="N407" s="117">
        <f>+Base!N22</f>
        <v>0.05</v>
      </c>
      <c r="O407" s="117">
        <f>+Base!O22</f>
        <v>0.05</v>
      </c>
      <c r="P407" s="117">
        <f>+Base!P22</f>
        <v>0.05</v>
      </c>
      <c r="Q407" s="117">
        <f>+Base!Q22</f>
        <v>0.05</v>
      </c>
      <c r="R407" s="117">
        <f>+Base!R22</f>
        <v>0.05</v>
      </c>
      <c r="S407" s="117">
        <f>+Base!S22</f>
        <v>0.05</v>
      </c>
      <c r="T407" s="117">
        <f>+Base!T22</f>
        <v>0.05</v>
      </c>
      <c r="U407" s="117">
        <f>+Base!U22</f>
        <v>0.05</v>
      </c>
      <c r="V407" s="117">
        <f>+Base!V22</f>
        <v>0.05</v>
      </c>
      <c r="W407" s="117">
        <f>+Base!W22</f>
        <v>0.05</v>
      </c>
      <c r="X407" s="117">
        <f>+Base!X22</f>
        <v>4.1000000000000002E-2</v>
      </c>
      <c r="Y407" s="117">
        <f>+Base!Y22</f>
        <v>4.1000000000000002E-2</v>
      </c>
      <c r="Z407" s="117">
        <f>+Base!Z22</f>
        <v>4.1000000000000002E-2</v>
      </c>
      <c r="AA407" s="117">
        <f>+Base!AA22</f>
        <v>4.1000000000000002E-2</v>
      </c>
      <c r="AB407" s="117">
        <f>+Base!AB22</f>
        <v>4.1000000000000002E-2</v>
      </c>
      <c r="AC407" s="117">
        <f>+Base!AC22</f>
        <v>4.1000000000000002E-2</v>
      </c>
      <c r="AD407" s="117">
        <f>+Base!AD22</f>
        <v>4.1000000000000002E-2</v>
      </c>
      <c r="AE407" s="117">
        <f>+Base!AE22</f>
        <v>4.1000000000000002E-2</v>
      </c>
      <c r="AF407" s="117">
        <f>+Base!AF22</f>
        <v>4.1000000000000002E-2</v>
      </c>
      <c r="AG407" s="117">
        <f>+Base!AG22</f>
        <v>4.1000000000000002E-2</v>
      </c>
      <c r="AH407" s="117">
        <f>+Base!AH22</f>
        <v>4.1000000000000002E-2</v>
      </c>
      <c r="AI407" s="117">
        <f>+Base!AI22</f>
        <v>4.1000000000000002E-2</v>
      </c>
      <c r="AJ407" s="117">
        <f>+Base!AJ22</f>
        <v>4.1000000000000002E-2</v>
      </c>
      <c r="AK407" s="117">
        <f>+Base!AK22</f>
        <v>4.1000000000000002E-2</v>
      </c>
      <c r="AL407" s="117">
        <f>+Base!AL22</f>
        <v>4.1000000000000002E-2</v>
      </c>
      <c r="AM407" s="117">
        <f>+Base!AM22</f>
        <v>4.1000000000000002E-2</v>
      </c>
      <c r="AN407" s="117">
        <f>+Base!AN22</f>
        <v>4.1000000000000002E-2</v>
      </c>
      <c r="AO407" s="117">
        <f>+Base!AO22</f>
        <v>4.1000000000000002E-2</v>
      </c>
      <c r="AP407" s="117">
        <f>+Base!AP22</f>
        <v>4.1000000000000002E-2</v>
      </c>
      <c r="AQ407" s="117">
        <f>+Base!AQ22</f>
        <v>4.1000000000000002E-2</v>
      </c>
      <c r="AR407" s="117">
        <f>+Base!AR22</f>
        <v>4.1000000000000002E-2</v>
      </c>
      <c r="AS407" s="117">
        <f>+Base!AS22</f>
        <v>4.1000000000000002E-2</v>
      </c>
    </row>
    <row r="408" spans="1:46">
      <c r="B408" s="1795" t="s">
        <v>2291</v>
      </c>
      <c r="E408" s="102">
        <f>SUM(F408:AS408)</f>
        <v>272300</v>
      </c>
      <c r="F408" s="102">
        <f>ROUND(((F405/2)*F407)*F411/Round_To,0)*Round_To</f>
        <v>0</v>
      </c>
      <c r="G408" s="868">
        <f t="shared" ref="G408:AS408" si="43">ROUND(((F406+(G406/2))*G407)*G411/Round_To,0)*Round_To</f>
        <v>0</v>
      </c>
      <c r="H408" s="868">
        <f t="shared" si="43"/>
        <v>0</v>
      </c>
      <c r="I408" s="868">
        <f t="shared" si="43"/>
        <v>0</v>
      </c>
      <c r="J408" s="868">
        <f t="shared" si="43"/>
        <v>0</v>
      </c>
      <c r="K408" s="868">
        <f t="shared" si="43"/>
        <v>0</v>
      </c>
      <c r="L408" s="868">
        <f t="shared" si="43"/>
        <v>0</v>
      </c>
      <c r="M408" s="868">
        <f t="shared" si="43"/>
        <v>0</v>
      </c>
      <c r="N408" s="868">
        <f t="shared" si="43"/>
        <v>0</v>
      </c>
      <c r="O408" s="868">
        <f t="shared" si="43"/>
        <v>400</v>
      </c>
      <c r="P408" s="868">
        <f t="shared" si="43"/>
        <v>1500</v>
      </c>
      <c r="Q408" s="868">
        <f t="shared" si="43"/>
        <v>2600</v>
      </c>
      <c r="R408" s="868">
        <f t="shared" si="43"/>
        <v>3800</v>
      </c>
      <c r="S408" s="868">
        <f t="shared" si="43"/>
        <v>5000</v>
      </c>
      <c r="T408" s="868">
        <f t="shared" si="43"/>
        <v>6300</v>
      </c>
      <c r="U408" s="868">
        <f t="shared" si="43"/>
        <v>7700</v>
      </c>
      <c r="V408" s="868">
        <f t="shared" si="43"/>
        <v>9100</v>
      </c>
      <c r="W408" s="868">
        <f t="shared" si="43"/>
        <v>10600</v>
      </c>
      <c r="X408" s="868">
        <f t="shared" si="43"/>
        <v>10000</v>
      </c>
      <c r="Y408" s="868">
        <f t="shared" si="43"/>
        <v>11400</v>
      </c>
      <c r="Z408" s="868">
        <f t="shared" si="43"/>
        <v>12800</v>
      </c>
      <c r="AA408" s="868">
        <f t="shared" si="43"/>
        <v>14400</v>
      </c>
      <c r="AB408" s="868">
        <f t="shared" si="43"/>
        <v>15900</v>
      </c>
      <c r="AC408" s="868">
        <f t="shared" si="43"/>
        <v>17600</v>
      </c>
      <c r="AD408" s="868">
        <f t="shared" si="43"/>
        <v>19300</v>
      </c>
      <c r="AE408" s="868">
        <f t="shared" si="43"/>
        <v>21000</v>
      </c>
      <c r="AF408" s="868">
        <f t="shared" si="43"/>
        <v>22900</v>
      </c>
      <c r="AG408" s="868">
        <f t="shared" si="43"/>
        <v>24700</v>
      </c>
      <c r="AH408" s="868">
        <f t="shared" si="43"/>
        <v>26700</v>
      </c>
      <c r="AI408" s="868">
        <f t="shared" si="43"/>
        <v>28600</v>
      </c>
      <c r="AJ408" s="868">
        <f t="shared" si="43"/>
        <v>0</v>
      </c>
      <c r="AK408" s="868">
        <f t="shared" si="43"/>
        <v>0</v>
      </c>
      <c r="AL408" s="868">
        <f t="shared" si="43"/>
        <v>0</v>
      </c>
      <c r="AM408" s="868">
        <f t="shared" si="43"/>
        <v>0</v>
      </c>
      <c r="AN408" s="868">
        <f t="shared" si="43"/>
        <v>0</v>
      </c>
      <c r="AO408" s="868">
        <f t="shared" si="43"/>
        <v>0</v>
      </c>
      <c r="AP408" s="868">
        <f t="shared" si="43"/>
        <v>0</v>
      </c>
      <c r="AQ408" s="868">
        <f t="shared" si="43"/>
        <v>0</v>
      </c>
      <c r="AR408" s="868">
        <f t="shared" si="43"/>
        <v>0</v>
      </c>
      <c r="AS408" s="868">
        <f t="shared" si="43"/>
        <v>0</v>
      </c>
      <c r="AT408" s="330"/>
    </row>
    <row r="409" spans="1:46">
      <c r="C409" s="12"/>
      <c r="D409" s="86"/>
      <c r="F409" s="86"/>
      <c r="G409" s="86"/>
      <c r="H409" s="86"/>
      <c r="I409" s="86"/>
      <c r="J409" s="86"/>
      <c r="K409" s="86"/>
      <c r="L409" s="86"/>
      <c r="M409" s="86"/>
      <c r="N409" s="86"/>
      <c r="O409" s="210"/>
    </row>
    <row r="410" spans="1:46" ht="15.6">
      <c r="B410" s="318" t="s">
        <v>307</v>
      </c>
      <c r="F410" s="71">
        <v>1</v>
      </c>
      <c r="G410" s="71">
        <v>2</v>
      </c>
      <c r="H410" s="71">
        <v>3</v>
      </c>
      <c r="I410" s="71">
        <v>4</v>
      </c>
      <c r="J410" s="71">
        <v>5</v>
      </c>
      <c r="K410" s="71">
        <v>6</v>
      </c>
      <c r="L410" s="71">
        <v>7</v>
      </c>
      <c r="M410" s="71">
        <v>8</v>
      </c>
      <c r="N410" s="71">
        <v>9</v>
      </c>
      <c r="O410" s="13">
        <v>10</v>
      </c>
      <c r="P410" s="13">
        <v>11</v>
      </c>
      <c r="Q410" s="13">
        <v>12</v>
      </c>
      <c r="R410" s="13">
        <v>13</v>
      </c>
      <c r="S410" s="13">
        <v>14</v>
      </c>
      <c r="T410" s="13">
        <v>15</v>
      </c>
      <c r="U410" s="13">
        <v>16</v>
      </c>
      <c r="V410" s="13">
        <v>17</v>
      </c>
      <c r="W410" s="13">
        <v>18</v>
      </c>
      <c r="X410" s="13">
        <v>19</v>
      </c>
      <c r="Y410" s="13">
        <v>20</v>
      </c>
      <c r="Z410" s="13">
        <v>21</v>
      </c>
      <c r="AA410" s="13">
        <v>22</v>
      </c>
      <c r="AB410" s="13">
        <v>23</v>
      </c>
      <c r="AC410" s="13">
        <v>24</v>
      </c>
      <c r="AD410" s="13">
        <v>25</v>
      </c>
      <c r="AE410" s="13">
        <v>26</v>
      </c>
      <c r="AF410" s="13">
        <v>27</v>
      </c>
      <c r="AG410" s="13">
        <v>28</v>
      </c>
      <c r="AH410" s="13">
        <v>29</v>
      </c>
      <c r="AI410" s="13">
        <v>30</v>
      </c>
      <c r="AJ410" s="13">
        <v>31</v>
      </c>
      <c r="AK410" s="13">
        <v>32</v>
      </c>
      <c r="AL410" s="13">
        <v>33</v>
      </c>
      <c r="AM410" s="13">
        <v>34</v>
      </c>
      <c r="AN410" s="13">
        <v>35</v>
      </c>
      <c r="AO410" s="13">
        <v>36</v>
      </c>
      <c r="AP410" s="13">
        <v>37</v>
      </c>
      <c r="AQ410" s="13">
        <v>38</v>
      </c>
      <c r="AR410" s="13">
        <v>39</v>
      </c>
      <c r="AS410" s="13">
        <v>40</v>
      </c>
    </row>
    <row r="411" spans="1:46" s="3" customFormat="1" ht="15.6">
      <c r="B411" s="318" t="s">
        <v>2289</v>
      </c>
      <c r="F411" s="1796">
        <f t="shared" ref="F411:AS411" si="44">IF(F$3-$F3&lt;=Total_Years-1,1,0)</f>
        <v>1</v>
      </c>
      <c r="G411" s="1796">
        <f t="shared" si="44"/>
        <v>1</v>
      </c>
      <c r="H411" s="1796">
        <f t="shared" si="44"/>
        <v>1</v>
      </c>
      <c r="I411" s="1796">
        <f t="shared" si="44"/>
        <v>1</v>
      </c>
      <c r="J411" s="1796">
        <f t="shared" si="44"/>
        <v>1</v>
      </c>
      <c r="K411" s="1796">
        <f t="shared" si="44"/>
        <v>1</v>
      </c>
      <c r="L411" s="1796">
        <f t="shared" si="44"/>
        <v>1</v>
      </c>
      <c r="M411" s="1796">
        <f t="shared" si="44"/>
        <v>1</v>
      </c>
      <c r="N411" s="1796">
        <f t="shared" si="44"/>
        <v>1</v>
      </c>
      <c r="O411" s="1796">
        <f t="shared" si="44"/>
        <v>1</v>
      </c>
      <c r="P411" s="1796">
        <f t="shared" si="44"/>
        <v>1</v>
      </c>
      <c r="Q411" s="1796">
        <f t="shared" si="44"/>
        <v>1</v>
      </c>
      <c r="R411" s="1796">
        <f t="shared" si="44"/>
        <v>1</v>
      </c>
      <c r="S411" s="1796">
        <f t="shared" si="44"/>
        <v>1</v>
      </c>
      <c r="T411" s="1796">
        <f t="shared" si="44"/>
        <v>1</v>
      </c>
      <c r="U411" s="1796">
        <f t="shared" si="44"/>
        <v>1</v>
      </c>
      <c r="V411" s="1796">
        <f t="shared" si="44"/>
        <v>1</v>
      </c>
      <c r="W411" s="1796">
        <f t="shared" si="44"/>
        <v>1</v>
      </c>
      <c r="X411" s="1796">
        <f t="shared" si="44"/>
        <v>1</v>
      </c>
      <c r="Y411" s="1796">
        <f t="shared" si="44"/>
        <v>1</v>
      </c>
      <c r="Z411" s="1796">
        <f t="shared" si="44"/>
        <v>1</v>
      </c>
      <c r="AA411" s="1796">
        <f t="shared" si="44"/>
        <v>1</v>
      </c>
      <c r="AB411" s="1796">
        <f t="shared" si="44"/>
        <v>1</v>
      </c>
      <c r="AC411" s="1796">
        <f t="shared" si="44"/>
        <v>1</v>
      </c>
      <c r="AD411" s="1796">
        <f t="shared" si="44"/>
        <v>1</v>
      </c>
      <c r="AE411" s="1796">
        <f t="shared" si="44"/>
        <v>1</v>
      </c>
      <c r="AF411" s="1796">
        <f t="shared" si="44"/>
        <v>1</v>
      </c>
      <c r="AG411" s="1796">
        <f t="shared" si="44"/>
        <v>1</v>
      </c>
      <c r="AH411" s="1796">
        <f t="shared" si="44"/>
        <v>1</v>
      </c>
      <c r="AI411" s="1796">
        <f t="shared" si="44"/>
        <v>1</v>
      </c>
      <c r="AJ411" s="1796">
        <f t="shared" si="44"/>
        <v>0</v>
      </c>
      <c r="AK411" s="1796">
        <f t="shared" si="44"/>
        <v>0</v>
      </c>
      <c r="AL411" s="1796">
        <f t="shared" si="44"/>
        <v>0</v>
      </c>
      <c r="AM411" s="1796">
        <f t="shared" si="44"/>
        <v>0</v>
      </c>
      <c r="AN411" s="1796">
        <f t="shared" si="44"/>
        <v>0</v>
      </c>
      <c r="AO411" s="1796">
        <f t="shared" si="44"/>
        <v>0</v>
      </c>
      <c r="AP411" s="1796">
        <f t="shared" si="44"/>
        <v>0</v>
      </c>
      <c r="AQ411" s="1796">
        <f t="shared" si="44"/>
        <v>0</v>
      </c>
      <c r="AR411" s="1796">
        <f t="shared" si="44"/>
        <v>0</v>
      </c>
      <c r="AS411" s="1796">
        <f t="shared" si="44"/>
        <v>0</v>
      </c>
    </row>
    <row r="412" spans="1:46"/>
    <row r="413" spans="1:46"/>
    <row r="414" spans="1:46">
      <c r="B414" s="69" t="s">
        <v>435</v>
      </c>
      <c r="C414" s="69"/>
      <c r="D414" s="69"/>
      <c r="E414" s="69"/>
      <c r="F414" s="69"/>
      <c r="G414" s="69"/>
      <c r="H414" s="69"/>
      <c r="I414" s="69"/>
      <c r="J414" s="69"/>
      <c r="K414" s="69"/>
      <c r="L414" s="69"/>
      <c r="M414" s="69"/>
      <c r="N414" s="69"/>
      <c r="O414" s="69"/>
      <c r="P414" s="69"/>
      <c r="Q414" s="69"/>
      <c r="R414" s="69"/>
      <c r="S414" s="69"/>
      <c r="T414" s="69"/>
      <c r="U414" s="69"/>
      <c r="V414" s="69"/>
      <c r="W414" s="69"/>
      <c r="X414" s="69"/>
      <c r="Y414" s="69"/>
      <c r="Z414" s="69"/>
      <c r="AA414" s="69"/>
      <c r="AB414" s="69"/>
      <c r="AC414" s="69"/>
      <c r="AD414" s="69"/>
      <c r="AE414" s="69"/>
      <c r="AF414" s="69"/>
      <c r="AG414" s="69"/>
      <c r="AH414" s="69"/>
      <c r="AI414" s="69"/>
      <c r="AJ414" s="69"/>
      <c r="AK414" s="69"/>
      <c r="AL414" s="69"/>
      <c r="AM414" s="69"/>
      <c r="AN414" s="69"/>
      <c r="AO414" s="69"/>
      <c r="AP414" s="69"/>
      <c r="AQ414" s="69"/>
      <c r="AR414" s="69"/>
      <c r="AS414" s="69"/>
    </row>
    <row r="415" spans="1:46"/>
    <row r="416" spans="1:4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sheetData>
  <sheetProtection sheet="1" objects="1" scenarios="1" formatCells="0" formatColumns="0" formatRows="0"/>
  <mergeCells count="2">
    <mergeCell ref="B351:C351"/>
    <mergeCell ref="B362:C362"/>
  </mergeCells>
  <phoneticPr fontId="13" type="noConversion"/>
  <pageMargins left="0.75" right="0.75" top="1" bottom="1" header="0.5" footer="0.5"/>
  <pageSetup scale="19" fitToHeight="0" orientation="landscape" r:id="rId1"/>
  <headerFooter alignWithMargins="0"/>
  <rowBreaks count="1" manualBreakCount="1">
    <brk id="81" max="16383" man="1"/>
  </rowBreaks>
  <colBreaks count="1" manualBreakCount="1">
    <brk id="25" max="142" man="1"/>
  </colBreaks>
  <ignoredErrors>
    <ignoredError sqref="E344 E346 G354 E388 F392:AT392" formula="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57"/>
  </sheetPr>
  <dimension ref="A1:CN735"/>
  <sheetViews>
    <sheetView showGridLines="0" showRowColHeaders="0" zoomScale="75" zoomScaleNormal="75" workbookViewId="0">
      <pane xSplit="5" ySplit="7" topLeftCell="F8" activePane="bottomRight" state="frozen"/>
      <selection pane="topRight" activeCell="F1" sqref="F1"/>
      <selection pane="bottomLeft" activeCell="A8" sqref="A8"/>
      <selection pane="bottomRight"/>
    </sheetView>
  </sheetViews>
  <sheetFormatPr defaultColWidth="0" defaultRowHeight="15" zeroHeight="1"/>
  <cols>
    <col min="1" max="1" width="3.6328125" customWidth="1"/>
    <col min="2" max="2" width="28.6328125" customWidth="1"/>
    <col min="3" max="3" width="12.81640625" customWidth="1"/>
    <col min="4" max="4" width="10.81640625" customWidth="1"/>
    <col min="5" max="5" width="12.6328125" customWidth="1"/>
    <col min="6" max="45" width="11.6328125" customWidth="1"/>
    <col min="46" max="46" width="5.81640625" customWidth="1"/>
    <col min="47" max="49" width="10.6328125" customWidth="1"/>
    <col min="50" max="51" width="10.6328125" hidden="1" customWidth="1"/>
  </cols>
  <sheetData>
    <row r="1" spans="1:92" ht="21.6" thickBot="1">
      <c r="A1" s="1077"/>
      <c r="B1" s="711" t="s">
        <v>2283</v>
      </c>
      <c r="C1" s="702"/>
      <c r="D1" s="259"/>
      <c r="E1" s="709" t="s">
        <v>1363</v>
      </c>
      <c r="F1" s="1172" t="s">
        <v>580</v>
      </c>
      <c r="H1" s="1171" t="s">
        <v>577</v>
      </c>
      <c r="K1" s="695" t="str">
        <f>+Setup!$B$6</f>
        <v>Example Data: $70k expenses bef tax. SS at 70 &amp; 66. 23% SS reduction in 2035.  $200k inherited. Sell house at 84. Wife widowed at 85. Roth conversions will leave $1.2M to heirs tax free.</v>
      </c>
      <c r="L1" s="696"/>
      <c r="M1" s="696"/>
      <c r="N1" s="696"/>
      <c r="O1" s="696"/>
      <c r="P1" s="696"/>
      <c r="Q1" s="696"/>
      <c r="R1" s="696"/>
      <c r="S1" s="696"/>
      <c r="T1" s="697"/>
      <c r="U1" s="697"/>
      <c r="V1" s="697"/>
      <c r="W1" s="695"/>
      <c r="X1" s="697"/>
      <c r="Y1" s="23"/>
      <c r="Z1" s="23"/>
      <c r="AA1" s="23"/>
      <c r="AB1" s="23"/>
      <c r="AC1" s="23"/>
      <c r="AD1" s="23"/>
      <c r="AE1" s="23"/>
      <c r="AF1" s="23"/>
      <c r="AG1" s="23"/>
      <c r="AH1" s="23"/>
      <c r="AI1" s="23"/>
      <c r="AJ1" s="23"/>
      <c r="AK1" s="23"/>
      <c r="AL1" s="23"/>
      <c r="AM1" s="23"/>
      <c r="AN1" s="23"/>
      <c r="AO1" s="23"/>
      <c r="AP1" s="23"/>
      <c r="AQ1" s="23"/>
      <c r="AR1" s="23"/>
      <c r="AS1" s="23"/>
      <c r="AT1" s="45"/>
      <c r="AU1" s="17"/>
      <c r="AV1" s="46"/>
      <c r="AW1" s="46"/>
      <c r="AX1" s="46"/>
      <c r="AY1" s="46"/>
      <c r="AZ1" s="46"/>
      <c r="BA1" s="46"/>
    </row>
    <row r="2" spans="1:92">
      <c r="F2" s="31"/>
      <c r="G2" s="31"/>
      <c r="H2" s="31"/>
      <c r="I2" s="31"/>
      <c r="J2" s="31"/>
      <c r="K2" s="31"/>
      <c r="L2" s="31"/>
      <c r="M2" s="31"/>
      <c r="N2" s="31"/>
      <c r="O2" s="31"/>
      <c r="P2" s="31"/>
      <c r="Q2" s="31"/>
      <c r="R2" s="31"/>
      <c r="S2" s="31"/>
      <c r="T2" s="31"/>
      <c r="U2" s="31"/>
      <c r="V2" s="31"/>
      <c r="W2" s="31"/>
      <c r="X2" s="31"/>
      <c r="Y2" s="31"/>
      <c r="Z2" s="31"/>
      <c r="AA2" s="31"/>
      <c r="AB2" s="190"/>
      <c r="AC2" s="31"/>
      <c r="AD2" s="31"/>
      <c r="AE2" s="31"/>
      <c r="AF2" s="31"/>
      <c r="AG2" s="31"/>
      <c r="AH2" s="31"/>
      <c r="AI2" s="31"/>
      <c r="AJ2" s="31"/>
      <c r="AK2" s="31"/>
      <c r="AL2" s="31"/>
      <c r="AM2" s="31"/>
      <c r="AN2" s="31"/>
      <c r="AO2" s="31"/>
      <c r="AP2" s="31"/>
      <c r="AQ2" s="31"/>
      <c r="AR2" s="31"/>
      <c r="AS2" s="31"/>
      <c r="AT2" s="45"/>
      <c r="AU2" s="46"/>
      <c r="AV2" s="46"/>
      <c r="AW2" s="46"/>
      <c r="AX2" s="46"/>
      <c r="AY2" s="46"/>
      <c r="AZ2" s="46"/>
      <c r="BA2" s="46"/>
    </row>
    <row r="3" spans="1:92" ht="18" customHeight="1">
      <c r="A3" s="1155" t="s">
        <v>948</v>
      </c>
      <c r="B3" s="661"/>
      <c r="C3" s="258"/>
      <c r="F3" s="273">
        <v>1</v>
      </c>
      <c r="G3" s="232">
        <v>2</v>
      </c>
      <c r="H3" s="232">
        <v>3</v>
      </c>
      <c r="I3" s="232">
        <v>4</v>
      </c>
      <c r="J3" s="232">
        <v>5</v>
      </c>
      <c r="K3" s="232">
        <v>6</v>
      </c>
      <c r="L3" s="232">
        <v>7</v>
      </c>
      <c r="M3" s="232">
        <v>8</v>
      </c>
      <c r="N3" s="232">
        <v>9</v>
      </c>
      <c r="O3" s="232">
        <v>10</v>
      </c>
      <c r="P3" s="480">
        <v>11</v>
      </c>
      <c r="Q3" s="232">
        <v>12</v>
      </c>
      <c r="R3" s="232">
        <v>13</v>
      </c>
      <c r="S3" s="232">
        <v>14</v>
      </c>
      <c r="T3" s="232">
        <v>15</v>
      </c>
      <c r="U3" s="232">
        <v>16</v>
      </c>
      <c r="V3" s="480">
        <v>17</v>
      </c>
      <c r="W3" s="232">
        <v>18</v>
      </c>
      <c r="X3" s="232">
        <v>19</v>
      </c>
      <c r="Y3" s="232">
        <v>20</v>
      </c>
      <c r="Z3" s="232">
        <v>21</v>
      </c>
      <c r="AA3" s="232">
        <v>22</v>
      </c>
      <c r="AB3" s="232">
        <v>23</v>
      </c>
      <c r="AC3" s="232">
        <v>24</v>
      </c>
      <c r="AD3" s="232">
        <v>25</v>
      </c>
      <c r="AE3" s="232">
        <v>26</v>
      </c>
      <c r="AF3" s="232">
        <v>27</v>
      </c>
      <c r="AG3" s="232">
        <v>28</v>
      </c>
      <c r="AH3" s="232">
        <v>29</v>
      </c>
      <c r="AI3" s="232">
        <v>30</v>
      </c>
      <c r="AJ3" s="232">
        <v>31</v>
      </c>
      <c r="AK3" s="232">
        <v>32</v>
      </c>
      <c r="AL3" s="232">
        <v>33</v>
      </c>
      <c r="AM3" s="232">
        <v>34</v>
      </c>
      <c r="AN3" s="232">
        <v>35</v>
      </c>
      <c r="AO3" s="232">
        <v>36</v>
      </c>
      <c r="AP3" s="232">
        <v>37</v>
      </c>
      <c r="AQ3" s="232">
        <v>38</v>
      </c>
      <c r="AR3" s="232">
        <v>39</v>
      </c>
      <c r="AS3" s="232">
        <v>40</v>
      </c>
      <c r="AT3" s="45"/>
      <c r="AU3" s="46"/>
      <c r="AV3" s="46"/>
      <c r="AW3" s="46"/>
      <c r="AX3" s="46"/>
      <c r="AY3" s="46"/>
      <c r="AZ3" s="46"/>
      <c r="BA3" s="46"/>
    </row>
    <row r="4" spans="1:92" ht="17.399999999999999">
      <c r="A4" s="1629" t="s">
        <v>2105</v>
      </c>
      <c r="B4" s="258"/>
      <c r="C4" s="258"/>
      <c r="D4" s="22"/>
      <c r="E4" s="76"/>
      <c r="F4" s="1295">
        <f>Your_Age</f>
        <v>62</v>
      </c>
      <c r="G4" s="108">
        <f t="shared" ref="G4:AJ4" si="0">+F4+1</f>
        <v>63</v>
      </c>
      <c r="H4" s="108">
        <f t="shared" si="0"/>
        <v>64</v>
      </c>
      <c r="I4" s="108">
        <f t="shared" si="0"/>
        <v>65</v>
      </c>
      <c r="J4" s="108">
        <f t="shared" si="0"/>
        <v>66</v>
      </c>
      <c r="K4" s="108">
        <f t="shared" si="0"/>
        <v>67</v>
      </c>
      <c r="L4" s="108">
        <f t="shared" si="0"/>
        <v>68</v>
      </c>
      <c r="M4" s="108">
        <f t="shared" si="0"/>
        <v>69</v>
      </c>
      <c r="N4" s="108">
        <f t="shared" si="0"/>
        <v>70</v>
      </c>
      <c r="O4" s="108">
        <f t="shared" si="0"/>
        <v>71</v>
      </c>
      <c r="P4" s="108">
        <f t="shared" si="0"/>
        <v>72</v>
      </c>
      <c r="Q4" s="108">
        <f t="shared" si="0"/>
        <v>73</v>
      </c>
      <c r="R4" s="108">
        <f t="shared" si="0"/>
        <v>74</v>
      </c>
      <c r="S4" s="108">
        <f t="shared" si="0"/>
        <v>75</v>
      </c>
      <c r="T4" s="108">
        <f t="shared" si="0"/>
        <v>76</v>
      </c>
      <c r="U4" s="108">
        <f t="shared" si="0"/>
        <v>77</v>
      </c>
      <c r="V4" s="108">
        <f t="shared" si="0"/>
        <v>78</v>
      </c>
      <c r="W4" s="108">
        <f t="shared" si="0"/>
        <v>79</v>
      </c>
      <c r="X4" s="108">
        <f t="shared" si="0"/>
        <v>80</v>
      </c>
      <c r="Y4" s="108">
        <f t="shared" si="0"/>
        <v>81</v>
      </c>
      <c r="Z4" s="108">
        <f t="shared" si="0"/>
        <v>82</v>
      </c>
      <c r="AA4" s="108">
        <f t="shared" si="0"/>
        <v>83</v>
      </c>
      <c r="AB4" s="108">
        <f t="shared" si="0"/>
        <v>84</v>
      </c>
      <c r="AC4" s="108">
        <f t="shared" si="0"/>
        <v>85</v>
      </c>
      <c r="AD4" s="108">
        <f t="shared" si="0"/>
        <v>86</v>
      </c>
      <c r="AE4" s="108">
        <f t="shared" si="0"/>
        <v>87</v>
      </c>
      <c r="AF4" s="108">
        <f t="shared" si="0"/>
        <v>88</v>
      </c>
      <c r="AG4" s="108">
        <f t="shared" si="0"/>
        <v>89</v>
      </c>
      <c r="AH4" s="108">
        <f t="shared" si="0"/>
        <v>90</v>
      </c>
      <c r="AI4" s="108">
        <f t="shared" si="0"/>
        <v>91</v>
      </c>
      <c r="AJ4" s="108">
        <f t="shared" si="0"/>
        <v>92</v>
      </c>
      <c r="AK4" s="108">
        <f t="shared" ref="AK4:AR4" si="1">+AJ4+1</f>
        <v>93</v>
      </c>
      <c r="AL4" s="108">
        <f t="shared" si="1"/>
        <v>94</v>
      </c>
      <c r="AM4" s="108">
        <f t="shared" si="1"/>
        <v>95</v>
      </c>
      <c r="AN4" s="108">
        <f t="shared" si="1"/>
        <v>96</v>
      </c>
      <c r="AO4" s="108">
        <f t="shared" si="1"/>
        <v>97</v>
      </c>
      <c r="AP4" s="108">
        <f t="shared" si="1"/>
        <v>98</v>
      </c>
      <c r="AQ4" s="108">
        <f t="shared" si="1"/>
        <v>99</v>
      </c>
      <c r="AR4" s="108">
        <f t="shared" si="1"/>
        <v>100</v>
      </c>
      <c r="AS4" s="108">
        <f>+AR4+1</f>
        <v>101</v>
      </c>
      <c r="AT4" s="45"/>
      <c r="AV4" s="13" t="s">
        <v>1470</v>
      </c>
      <c r="AW4" s="46"/>
      <c r="AX4" s="46"/>
      <c r="AY4" s="46"/>
      <c r="AZ4" s="46"/>
      <c r="BA4" s="46"/>
    </row>
    <row r="5" spans="1:92" ht="15.6">
      <c r="B5" s="22"/>
      <c r="C5" s="24"/>
      <c r="D5" s="24" t="s">
        <v>852</v>
      </c>
      <c r="E5" s="1280" t="s">
        <v>1269</v>
      </c>
      <c r="F5" s="1295">
        <f>IF(Spouse_Age&gt;0,Spouse_Age,"")</f>
        <v>61</v>
      </c>
      <c r="G5" s="108">
        <f t="shared" ref="G5:AS5" si="2">IF(Spouse_Age&gt;0,F$5+1,"")</f>
        <v>62</v>
      </c>
      <c r="H5" s="108">
        <f t="shared" si="2"/>
        <v>63</v>
      </c>
      <c r="I5" s="108">
        <f t="shared" si="2"/>
        <v>64</v>
      </c>
      <c r="J5" s="108">
        <f t="shared" si="2"/>
        <v>65</v>
      </c>
      <c r="K5" s="108">
        <f t="shared" si="2"/>
        <v>66</v>
      </c>
      <c r="L5" s="108">
        <f t="shared" si="2"/>
        <v>67</v>
      </c>
      <c r="M5" s="108">
        <f t="shared" si="2"/>
        <v>68</v>
      </c>
      <c r="N5" s="108">
        <f t="shared" si="2"/>
        <v>69</v>
      </c>
      <c r="O5" s="108">
        <f t="shared" si="2"/>
        <v>70</v>
      </c>
      <c r="P5" s="108">
        <f t="shared" si="2"/>
        <v>71</v>
      </c>
      <c r="Q5" s="108">
        <f t="shared" si="2"/>
        <v>72</v>
      </c>
      <c r="R5" s="108">
        <f t="shared" si="2"/>
        <v>73</v>
      </c>
      <c r="S5" s="108">
        <f t="shared" si="2"/>
        <v>74</v>
      </c>
      <c r="T5" s="108">
        <f t="shared" si="2"/>
        <v>75</v>
      </c>
      <c r="U5" s="108">
        <f t="shared" si="2"/>
        <v>76</v>
      </c>
      <c r="V5" s="108">
        <f t="shared" si="2"/>
        <v>77</v>
      </c>
      <c r="W5" s="108">
        <f t="shared" si="2"/>
        <v>78</v>
      </c>
      <c r="X5" s="108">
        <f t="shared" si="2"/>
        <v>79</v>
      </c>
      <c r="Y5" s="108">
        <f t="shared" si="2"/>
        <v>80</v>
      </c>
      <c r="Z5" s="108">
        <f t="shared" si="2"/>
        <v>81</v>
      </c>
      <c r="AA5" s="108">
        <f t="shared" si="2"/>
        <v>82</v>
      </c>
      <c r="AB5" s="108">
        <f t="shared" si="2"/>
        <v>83</v>
      </c>
      <c r="AC5" s="108">
        <f t="shared" si="2"/>
        <v>84</v>
      </c>
      <c r="AD5" s="108">
        <f t="shared" si="2"/>
        <v>85</v>
      </c>
      <c r="AE5" s="108">
        <f t="shared" si="2"/>
        <v>86</v>
      </c>
      <c r="AF5" s="108">
        <f t="shared" si="2"/>
        <v>87</v>
      </c>
      <c r="AG5" s="108">
        <f t="shared" si="2"/>
        <v>88</v>
      </c>
      <c r="AH5" s="108">
        <f t="shared" si="2"/>
        <v>89</v>
      </c>
      <c r="AI5" s="108">
        <f t="shared" si="2"/>
        <v>90</v>
      </c>
      <c r="AJ5" s="108">
        <f t="shared" si="2"/>
        <v>91</v>
      </c>
      <c r="AK5" s="108">
        <f t="shared" si="2"/>
        <v>92</v>
      </c>
      <c r="AL5" s="108">
        <f t="shared" si="2"/>
        <v>93</v>
      </c>
      <c r="AM5" s="108">
        <f t="shared" si="2"/>
        <v>94</v>
      </c>
      <c r="AN5" s="108">
        <f t="shared" si="2"/>
        <v>95</v>
      </c>
      <c r="AO5" s="108">
        <f t="shared" si="2"/>
        <v>96</v>
      </c>
      <c r="AP5" s="108">
        <f t="shared" si="2"/>
        <v>97</v>
      </c>
      <c r="AQ5" s="108">
        <f t="shared" si="2"/>
        <v>98</v>
      </c>
      <c r="AR5" s="108">
        <f t="shared" si="2"/>
        <v>99</v>
      </c>
      <c r="AS5" s="108">
        <f t="shared" si="2"/>
        <v>100</v>
      </c>
      <c r="AT5" s="42"/>
      <c r="AU5" s="22" t="s">
        <v>1587</v>
      </c>
      <c r="AV5" s="79" t="s">
        <v>1471</v>
      </c>
      <c r="AW5" s="49"/>
      <c r="AX5" s="49"/>
      <c r="AY5" s="49"/>
      <c r="AZ5" s="42"/>
      <c r="BA5" s="49"/>
      <c r="BB5" s="49"/>
      <c r="BC5" s="39"/>
      <c r="BD5" s="39"/>
      <c r="BE5" s="39"/>
      <c r="BF5" s="49"/>
      <c r="BG5" s="49"/>
      <c r="BH5" s="49"/>
      <c r="BI5" s="49"/>
      <c r="BJ5" s="39"/>
      <c r="BK5" s="49"/>
      <c r="BL5" s="39"/>
      <c r="BM5" s="39"/>
      <c r="BN5" s="49"/>
      <c r="BO5" s="49"/>
      <c r="BP5" s="49"/>
      <c r="BQ5" s="49"/>
      <c r="BR5" s="49"/>
      <c r="BS5" s="49"/>
      <c r="BT5" s="49"/>
      <c r="BU5" s="49"/>
      <c r="BV5" s="49"/>
      <c r="BW5" s="49"/>
      <c r="BX5" s="49"/>
      <c r="BY5" s="49"/>
      <c r="BZ5" s="49"/>
      <c r="CA5" s="44"/>
      <c r="CB5" s="49"/>
      <c r="CC5" s="49"/>
      <c r="CD5" s="49"/>
      <c r="CE5" s="49"/>
      <c r="CF5" s="49"/>
      <c r="CG5" s="49"/>
      <c r="CH5" s="49"/>
      <c r="CI5" s="49"/>
      <c r="CJ5" s="49"/>
      <c r="CK5" s="49"/>
      <c r="CL5" s="49"/>
      <c r="CM5" s="49"/>
      <c r="CN5" s="49"/>
    </row>
    <row r="6" spans="1:92" ht="15.6">
      <c r="B6" s="22"/>
      <c r="C6" s="24"/>
      <c r="D6" s="24" t="s">
        <v>976</v>
      </c>
      <c r="E6" s="1281" t="str">
        <f>Final_Year  &amp; " @ " &amp;  Your_Age_End &amp; " or"</f>
        <v>2048 @ 91 or</v>
      </c>
      <c r="F6" s="107"/>
      <c r="G6" s="108"/>
      <c r="H6" s="108"/>
      <c r="I6" s="108"/>
      <c r="J6" s="108"/>
      <c r="K6" s="108"/>
      <c r="L6" s="108"/>
      <c r="M6" s="108"/>
      <c r="N6" s="108"/>
      <c r="O6" s="108"/>
      <c r="P6" s="108"/>
      <c r="Q6" s="108"/>
      <c r="R6" s="108"/>
      <c r="S6" s="108"/>
      <c r="T6" s="108"/>
      <c r="U6" s="108"/>
      <c r="V6" s="108"/>
      <c r="W6" s="108"/>
      <c r="X6" s="108"/>
      <c r="Y6" s="108"/>
      <c r="Z6" s="108"/>
      <c r="AA6" s="108"/>
      <c r="AB6" s="108"/>
      <c r="AC6" s="108"/>
      <c r="AD6" s="108"/>
      <c r="AE6" s="108"/>
      <c r="AF6" s="108"/>
      <c r="AG6" s="108"/>
      <c r="AH6" s="108"/>
      <c r="AI6" s="108"/>
      <c r="AJ6" s="108"/>
      <c r="AK6" s="108"/>
      <c r="AL6" s="108"/>
      <c r="AM6" s="108"/>
      <c r="AN6" s="108"/>
      <c r="AO6" s="108"/>
      <c r="AP6" s="108"/>
      <c r="AQ6" s="108"/>
      <c r="AR6" s="108"/>
      <c r="AS6" s="108"/>
      <c r="AT6" s="42"/>
      <c r="AU6" s="71" t="s">
        <v>900</v>
      </c>
      <c r="AV6" s="13" t="s">
        <v>154</v>
      </c>
      <c r="AW6" s="49"/>
      <c r="AX6" s="49"/>
      <c r="AY6" s="49"/>
      <c r="AZ6" s="42"/>
      <c r="BA6" s="49"/>
      <c r="BB6" s="49"/>
      <c r="BC6" s="39"/>
      <c r="BD6" s="39"/>
      <c r="BE6" s="39"/>
      <c r="BF6" s="49"/>
      <c r="BG6" s="49"/>
      <c r="BH6" s="49"/>
      <c r="BI6" s="49"/>
      <c r="BJ6" s="39"/>
      <c r="BK6" s="49"/>
      <c r="BL6" s="39"/>
      <c r="BM6" s="39"/>
      <c r="BN6" s="49"/>
      <c r="BO6" s="49"/>
      <c r="BP6" s="49"/>
      <c r="BQ6" s="49"/>
      <c r="BR6" s="49"/>
      <c r="BS6" s="49"/>
      <c r="BT6" s="49"/>
      <c r="BU6" s="49"/>
      <c r="BV6" s="49"/>
      <c r="BW6" s="49"/>
      <c r="BX6" s="49"/>
      <c r="BY6" s="49"/>
      <c r="BZ6" s="49"/>
      <c r="CA6" s="44"/>
      <c r="CB6" s="49"/>
      <c r="CC6" s="49"/>
      <c r="CD6" s="49"/>
      <c r="CE6" s="49"/>
      <c r="CF6" s="49"/>
      <c r="CG6" s="49"/>
      <c r="CH6" s="49"/>
      <c r="CI6" s="49"/>
      <c r="CJ6" s="49"/>
      <c r="CK6" s="49"/>
      <c r="CL6" s="49"/>
      <c r="CM6" s="49"/>
      <c r="CN6" s="49"/>
    </row>
    <row r="7" spans="1:92" s="1" customFormat="1" ht="16.2" customHeight="1">
      <c r="B7" s="1025" t="s">
        <v>1135</v>
      </c>
      <c r="C7" s="26"/>
      <c r="D7" s="26" t="s">
        <v>977</v>
      </c>
      <c r="E7" s="26" t="s">
        <v>836</v>
      </c>
      <c r="F7" s="27">
        <f>+Setup!$E$23</f>
        <v>2019</v>
      </c>
      <c r="G7" s="27">
        <f t="shared" ref="G7:AJ7" si="3">+F7+1</f>
        <v>2020</v>
      </c>
      <c r="H7" s="27">
        <f t="shared" si="3"/>
        <v>2021</v>
      </c>
      <c r="I7" s="27">
        <f t="shared" si="3"/>
        <v>2022</v>
      </c>
      <c r="J7" s="27">
        <f t="shared" si="3"/>
        <v>2023</v>
      </c>
      <c r="K7" s="27">
        <f t="shared" si="3"/>
        <v>2024</v>
      </c>
      <c r="L7" s="27">
        <f t="shared" si="3"/>
        <v>2025</v>
      </c>
      <c r="M7" s="27">
        <f t="shared" si="3"/>
        <v>2026</v>
      </c>
      <c r="N7" s="27">
        <f t="shared" si="3"/>
        <v>2027</v>
      </c>
      <c r="O7" s="27">
        <f t="shared" si="3"/>
        <v>2028</v>
      </c>
      <c r="P7" s="27">
        <f t="shared" si="3"/>
        <v>2029</v>
      </c>
      <c r="Q7" s="27">
        <f t="shared" si="3"/>
        <v>2030</v>
      </c>
      <c r="R7" s="27">
        <f t="shared" si="3"/>
        <v>2031</v>
      </c>
      <c r="S7" s="27">
        <f t="shared" si="3"/>
        <v>2032</v>
      </c>
      <c r="T7" s="27">
        <f t="shared" si="3"/>
        <v>2033</v>
      </c>
      <c r="U7" s="27">
        <f t="shared" si="3"/>
        <v>2034</v>
      </c>
      <c r="V7" s="27">
        <f t="shared" si="3"/>
        <v>2035</v>
      </c>
      <c r="W7" s="27">
        <f t="shared" si="3"/>
        <v>2036</v>
      </c>
      <c r="X7" s="27">
        <f t="shared" si="3"/>
        <v>2037</v>
      </c>
      <c r="Y7" s="27">
        <f t="shared" si="3"/>
        <v>2038</v>
      </c>
      <c r="Z7" s="27">
        <f t="shared" si="3"/>
        <v>2039</v>
      </c>
      <c r="AA7" s="27">
        <f t="shared" si="3"/>
        <v>2040</v>
      </c>
      <c r="AB7" s="27">
        <f t="shared" si="3"/>
        <v>2041</v>
      </c>
      <c r="AC7" s="27">
        <f t="shared" si="3"/>
        <v>2042</v>
      </c>
      <c r="AD7" s="27">
        <f t="shared" si="3"/>
        <v>2043</v>
      </c>
      <c r="AE7" s="27">
        <f t="shared" si="3"/>
        <v>2044</v>
      </c>
      <c r="AF7" s="27">
        <f t="shared" si="3"/>
        <v>2045</v>
      </c>
      <c r="AG7" s="27">
        <f t="shared" si="3"/>
        <v>2046</v>
      </c>
      <c r="AH7" s="27">
        <f t="shared" si="3"/>
        <v>2047</v>
      </c>
      <c r="AI7" s="27">
        <f t="shared" si="3"/>
        <v>2048</v>
      </c>
      <c r="AJ7" s="27">
        <f t="shared" si="3"/>
        <v>2049</v>
      </c>
      <c r="AK7" s="27">
        <f t="shared" ref="AK7:AR7" si="4">+AJ7+1</f>
        <v>2050</v>
      </c>
      <c r="AL7" s="27">
        <f t="shared" si="4"/>
        <v>2051</v>
      </c>
      <c r="AM7" s="27">
        <f t="shared" si="4"/>
        <v>2052</v>
      </c>
      <c r="AN7" s="27">
        <f t="shared" si="4"/>
        <v>2053</v>
      </c>
      <c r="AO7" s="27">
        <f t="shared" si="4"/>
        <v>2054</v>
      </c>
      <c r="AP7" s="27">
        <f t="shared" si="4"/>
        <v>2055</v>
      </c>
      <c r="AQ7" s="27">
        <f t="shared" si="4"/>
        <v>2056</v>
      </c>
      <c r="AR7" s="27">
        <f t="shared" si="4"/>
        <v>2057</v>
      </c>
      <c r="AS7" s="27">
        <f>+AR7+1</f>
        <v>2058</v>
      </c>
      <c r="AT7" s="42"/>
      <c r="AU7" s="1131" t="s">
        <v>1434</v>
      </c>
      <c r="AV7" s="13" t="s">
        <v>1700</v>
      </c>
      <c r="AW7" s="120"/>
      <c r="AX7" s="120"/>
      <c r="AY7" s="120"/>
      <c r="AZ7" s="111"/>
      <c r="BA7" s="120"/>
      <c r="BB7" s="120"/>
      <c r="BC7" s="121"/>
      <c r="BD7" s="121"/>
      <c r="BE7" s="121"/>
      <c r="BF7" s="120"/>
      <c r="BG7" s="120"/>
      <c r="BH7" s="120"/>
      <c r="BI7" s="120"/>
      <c r="BJ7" s="121"/>
      <c r="BK7" s="120"/>
      <c r="BL7" s="121"/>
      <c r="BM7" s="121"/>
      <c r="BN7" s="120"/>
      <c r="BO7" s="120"/>
      <c r="BP7" s="120"/>
      <c r="BQ7" s="120"/>
      <c r="BR7" s="120"/>
      <c r="BS7" s="120"/>
      <c r="BT7" s="120"/>
      <c r="BU7" s="120"/>
      <c r="BV7" s="120"/>
      <c r="BW7" s="120"/>
      <c r="BX7" s="120"/>
      <c r="BY7" s="120"/>
      <c r="BZ7" s="120"/>
      <c r="CA7" s="122"/>
      <c r="CB7" s="120"/>
      <c r="CC7" s="120"/>
      <c r="CD7" s="120"/>
      <c r="CE7" s="120"/>
      <c r="CF7" s="120"/>
      <c r="CG7" s="120"/>
      <c r="CH7" s="120"/>
      <c r="CI7" s="120"/>
      <c r="CJ7" s="120"/>
      <c r="CK7" s="120"/>
      <c r="CL7" s="120"/>
      <c r="CM7" s="120"/>
      <c r="CN7" s="120"/>
    </row>
    <row r="8" spans="1:92" ht="15.6">
      <c r="B8" s="717" t="s">
        <v>979</v>
      </c>
      <c r="C8" s="686"/>
      <c r="D8" s="314"/>
      <c r="E8" s="33">
        <f t="shared" ref="E8:E19" ca="1" si="5">+E248</f>
        <v>1538900</v>
      </c>
      <c r="F8" s="1302">
        <f>ROUND(Taxable_Begin/Round_To,0)*Round_To</f>
        <v>200000</v>
      </c>
      <c r="G8" s="1124">
        <f t="shared" ref="G8:AS8" si="6">ROUND((F8+F148)*IF(G$7-$F7&lt;=Total_Years-1,1,0)/Round_To,0)*Round_To</f>
        <v>187100</v>
      </c>
      <c r="H8" s="1124">
        <f t="shared" si="6"/>
        <v>186800</v>
      </c>
      <c r="I8" s="1124">
        <f t="shared" si="6"/>
        <v>173800</v>
      </c>
      <c r="J8" s="1124">
        <f t="shared" si="6"/>
        <v>160500</v>
      </c>
      <c r="K8" s="1124">
        <f t="shared" si="6"/>
        <v>148300</v>
      </c>
      <c r="L8" s="1124">
        <f t="shared" si="6"/>
        <v>156400</v>
      </c>
      <c r="M8" s="1124">
        <f t="shared" si="6"/>
        <v>166100</v>
      </c>
      <c r="N8" s="1124">
        <f t="shared" si="6"/>
        <v>175900</v>
      </c>
      <c r="O8" s="1124">
        <f t="shared" si="6"/>
        <v>202800</v>
      </c>
      <c r="P8" s="1124">
        <f t="shared" si="6"/>
        <v>238100</v>
      </c>
      <c r="Q8" s="1124">
        <f t="shared" si="6"/>
        <v>194200</v>
      </c>
      <c r="R8" s="1124">
        <f t="shared" si="6"/>
        <v>272100</v>
      </c>
      <c r="S8" s="1124">
        <f t="shared" si="6"/>
        <v>296700</v>
      </c>
      <c r="T8" s="1124">
        <f t="shared" si="6"/>
        <v>344500</v>
      </c>
      <c r="U8" s="1124">
        <f t="shared" si="6"/>
        <v>301300</v>
      </c>
      <c r="V8" s="1124">
        <f t="shared" si="6"/>
        <v>424600</v>
      </c>
      <c r="W8" s="1124">
        <f t="shared" si="6"/>
        <v>480700</v>
      </c>
      <c r="X8" s="1124">
        <f t="shared" si="6"/>
        <v>541400</v>
      </c>
      <c r="Y8" s="1124">
        <f t="shared" si="6"/>
        <v>574700</v>
      </c>
      <c r="Z8" s="1124">
        <f t="shared" si="6"/>
        <v>609500</v>
      </c>
      <c r="AA8" s="1124">
        <f t="shared" si="6"/>
        <v>647200</v>
      </c>
      <c r="AB8" s="1124">
        <f t="shared" si="6"/>
        <v>688000</v>
      </c>
      <c r="AC8" s="1124">
        <f t="shared" si="6"/>
        <v>1136000</v>
      </c>
      <c r="AD8" s="1124">
        <f t="shared" si="6"/>
        <v>1199500</v>
      </c>
      <c r="AE8" s="1124">
        <f t="shared" si="6"/>
        <v>1337600</v>
      </c>
      <c r="AF8" s="1124">
        <f t="shared" si="6"/>
        <v>1379900</v>
      </c>
      <c r="AG8" s="1124">
        <f t="shared" si="6"/>
        <v>1423300</v>
      </c>
      <c r="AH8" s="1124">
        <f t="shared" si="6"/>
        <v>1461500</v>
      </c>
      <c r="AI8" s="1124">
        <f t="shared" si="6"/>
        <v>1499700</v>
      </c>
      <c r="AJ8" s="1124">
        <f t="shared" si="6"/>
        <v>0</v>
      </c>
      <c r="AK8" s="1124">
        <f t="shared" si="6"/>
        <v>0</v>
      </c>
      <c r="AL8" s="1124">
        <f t="shared" si="6"/>
        <v>0</v>
      </c>
      <c r="AM8" s="1124">
        <f t="shared" si="6"/>
        <v>0</v>
      </c>
      <c r="AN8" s="1124">
        <f t="shared" si="6"/>
        <v>0</v>
      </c>
      <c r="AO8" s="1124">
        <f t="shared" si="6"/>
        <v>0</v>
      </c>
      <c r="AP8" s="1124">
        <f t="shared" si="6"/>
        <v>0</v>
      </c>
      <c r="AQ8" s="1124">
        <f t="shared" si="6"/>
        <v>0</v>
      </c>
      <c r="AR8" s="1124">
        <f t="shared" si="6"/>
        <v>0</v>
      </c>
      <c r="AS8" s="1124">
        <f t="shared" si="6"/>
        <v>0</v>
      </c>
      <c r="AT8" s="42"/>
      <c r="AU8" s="1312">
        <f ca="1">+Base!E8</f>
        <v>1538900</v>
      </c>
      <c r="AV8" s="81">
        <f t="shared" ref="AV8:AV19" ca="1" si="7">+E8-AU8</f>
        <v>0</v>
      </c>
      <c r="AW8" s="97"/>
      <c r="AX8" s="49"/>
      <c r="AY8" s="49"/>
      <c r="AZ8" s="42"/>
      <c r="BA8" s="49"/>
      <c r="BB8" s="49"/>
      <c r="BC8" s="39"/>
      <c r="BD8" s="39"/>
      <c r="BE8" s="39"/>
      <c r="BF8" s="49"/>
      <c r="BG8" s="49"/>
      <c r="BH8" s="49"/>
      <c r="BI8" s="49"/>
      <c r="BJ8" s="39"/>
      <c r="BK8" s="49"/>
      <c r="BL8" s="39"/>
      <c r="BM8" s="39"/>
      <c r="BN8" s="49"/>
      <c r="BO8" s="49"/>
      <c r="BP8" s="49"/>
      <c r="BQ8" s="49"/>
      <c r="BR8" s="49"/>
      <c r="BS8" s="49"/>
      <c r="BT8" s="49"/>
      <c r="BU8" s="49"/>
      <c r="BV8" s="49"/>
      <c r="BW8" s="49"/>
      <c r="BX8" s="49"/>
      <c r="BY8" s="49"/>
      <c r="BZ8" s="49"/>
      <c r="CA8" s="44"/>
      <c r="CB8" s="49"/>
      <c r="CC8" s="49"/>
      <c r="CD8" s="49"/>
      <c r="CE8" s="49"/>
      <c r="CF8" s="49"/>
      <c r="CG8" s="49"/>
      <c r="CH8" s="49"/>
      <c r="CI8" s="49"/>
      <c r="CJ8" s="49"/>
      <c r="CK8" s="49"/>
      <c r="CL8" s="49"/>
      <c r="CM8" s="49"/>
      <c r="CN8" s="49"/>
    </row>
    <row r="9" spans="1:92" ht="19.95" hidden="1" customHeight="1">
      <c r="A9" s="1427" t="s">
        <v>1578</v>
      </c>
      <c r="B9" s="1765" t="s">
        <v>1535</v>
      </c>
      <c r="C9" s="686"/>
      <c r="D9" s="96"/>
      <c r="E9" s="433">
        <f t="shared" ca="1" si="5"/>
        <v>337700</v>
      </c>
      <c r="F9" s="1302">
        <f>ROUND(tIRA_Begin/Round_To,0)*Round_To</f>
        <v>500000</v>
      </c>
      <c r="G9" s="1124">
        <f t="shared" ref="G9:AS9" si="8">ROUND((+F9+F29+F63+F87+F91+F94+F95+F96-F133)*IF(G$7-$F7&lt;=Total_Years-1,1,0)/Round_To,0)*Round_To</f>
        <v>491200</v>
      </c>
      <c r="H9" s="1124">
        <f t="shared" si="8"/>
        <v>480600</v>
      </c>
      <c r="I9" s="1124">
        <f t="shared" si="8"/>
        <v>468100</v>
      </c>
      <c r="J9" s="1124">
        <f t="shared" si="8"/>
        <v>453400</v>
      </c>
      <c r="K9" s="1124">
        <f t="shared" si="8"/>
        <v>436400</v>
      </c>
      <c r="L9" s="1124">
        <f t="shared" si="8"/>
        <v>416900</v>
      </c>
      <c r="M9" s="1124">
        <f t="shared" si="8"/>
        <v>394600</v>
      </c>
      <c r="N9" s="1124">
        <f t="shared" si="8"/>
        <v>369500</v>
      </c>
      <c r="O9" s="1124">
        <f t="shared" si="8"/>
        <v>383200</v>
      </c>
      <c r="P9" s="1124">
        <f t="shared" si="8"/>
        <v>383800</v>
      </c>
      <c r="Q9" s="1124">
        <f t="shared" si="8"/>
        <v>384900</v>
      </c>
      <c r="R9" s="1124">
        <f t="shared" si="8"/>
        <v>386300</v>
      </c>
      <c r="S9" s="1124">
        <f t="shared" si="8"/>
        <v>387900</v>
      </c>
      <c r="T9" s="1124">
        <f t="shared" si="8"/>
        <v>389600</v>
      </c>
      <c r="U9" s="1124">
        <f t="shared" si="8"/>
        <v>396600</v>
      </c>
      <c r="V9" s="1124">
        <f t="shared" si="8"/>
        <v>403100</v>
      </c>
      <c r="W9" s="1124">
        <f t="shared" si="8"/>
        <v>408800</v>
      </c>
      <c r="X9" s="1124">
        <f t="shared" si="8"/>
        <v>413700</v>
      </c>
      <c r="Y9" s="1124">
        <f t="shared" si="8"/>
        <v>414100</v>
      </c>
      <c r="Z9" s="1124">
        <f t="shared" si="8"/>
        <v>413500</v>
      </c>
      <c r="AA9" s="1124">
        <f t="shared" si="8"/>
        <v>411800</v>
      </c>
      <c r="AB9" s="1124">
        <f t="shared" si="8"/>
        <v>408900</v>
      </c>
      <c r="AC9" s="1124">
        <f t="shared" si="8"/>
        <v>404700</v>
      </c>
      <c r="AD9" s="1124">
        <f t="shared" si="8"/>
        <v>399300</v>
      </c>
      <c r="AE9" s="1124">
        <f t="shared" si="8"/>
        <v>392600</v>
      </c>
      <c r="AF9" s="1124">
        <f t="shared" si="8"/>
        <v>384500</v>
      </c>
      <c r="AG9" s="1124">
        <f t="shared" si="8"/>
        <v>374900</v>
      </c>
      <c r="AH9" s="1124">
        <f t="shared" si="8"/>
        <v>363800</v>
      </c>
      <c r="AI9" s="1124">
        <f t="shared" si="8"/>
        <v>351400</v>
      </c>
      <c r="AJ9" s="1124">
        <f t="shared" si="8"/>
        <v>0</v>
      </c>
      <c r="AK9" s="1124">
        <f t="shared" si="8"/>
        <v>0</v>
      </c>
      <c r="AL9" s="1124">
        <f t="shared" si="8"/>
        <v>0</v>
      </c>
      <c r="AM9" s="1124">
        <f t="shared" si="8"/>
        <v>0</v>
      </c>
      <c r="AN9" s="1124">
        <f t="shared" si="8"/>
        <v>0</v>
      </c>
      <c r="AO9" s="1124">
        <f t="shared" si="8"/>
        <v>0</v>
      </c>
      <c r="AP9" s="1124">
        <f t="shared" si="8"/>
        <v>0</v>
      </c>
      <c r="AQ9" s="1124">
        <f t="shared" si="8"/>
        <v>0</v>
      </c>
      <c r="AR9" s="1124">
        <f t="shared" si="8"/>
        <v>0</v>
      </c>
      <c r="AS9" s="1124">
        <f t="shared" si="8"/>
        <v>0</v>
      </c>
      <c r="AT9" s="42"/>
      <c r="AU9" s="1312">
        <f ca="1">+Base!E9</f>
        <v>337700</v>
      </c>
      <c r="AV9" s="81">
        <f t="shared" ca="1" si="7"/>
        <v>0</v>
      </c>
      <c r="AW9" s="363"/>
      <c r="AX9" s="49"/>
      <c r="AY9" s="49"/>
      <c r="AZ9" s="42"/>
      <c r="BA9" s="49"/>
      <c r="BB9" s="49"/>
      <c r="BC9" s="39"/>
      <c r="BD9" s="39"/>
      <c r="BE9" s="39"/>
      <c r="BF9" s="49"/>
      <c r="BG9" s="49"/>
      <c r="BH9" s="49"/>
      <c r="BI9" s="49"/>
      <c r="BJ9" s="39"/>
      <c r="BK9" s="49"/>
      <c r="BL9" s="39"/>
      <c r="BM9" s="39"/>
      <c r="BN9" s="49"/>
      <c r="BO9" s="49"/>
      <c r="BP9" s="49"/>
      <c r="BQ9" s="49"/>
      <c r="BR9" s="49"/>
      <c r="BS9" s="49"/>
      <c r="BT9" s="49"/>
      <c r="BU9" s="49"/>
      <c r="BV9" s="49"/>
      <c r="BW9" s="49"/>
      <c r="BX9" s="49"/>
      <c r="BY9" s="49"/>
      <c r="BZ9" s="49"/>
      <c r="CA9" s="44"/>
      <c r="CB9" s="49"/>
      <c r="CC9" s="49"/>
      <c r="CD9" s="49"/>
      <c r="CE9" s="49"/>
      <c r="CF9" s="49"/>
      <c r="CG9" s="49"/>
      <c r="CH9" s="49"/>
      <c r="CI9" s="49"/>
      <c r="CJ9" s="49"/>
      <c r="CK9" s="49"/>
      <c r="CL9" s="49"/>
      <c r="CM9" s="49"/>
      <c r="CN9" s="49"/>
    </row>
    <row r="10" spans="1:92" ht="15.6" hidden="1">
      <c r="A10" s="1628" t="s">
        <v>1578</v>
      </c>
      <c r="B10" s="1765" t="s">
        <v>1536</v>
      </c>
      <c r="C10" s="686"/>
      <c r="D10" s="96"/>
      <c r="E10" s="1301">
        <f t="shared" ca="1" si="5"/>
        <v>388100</v>
      </c>
      <c r="F10" s="1303">
        <f>ROUND(tIRA_Begin2/Round_To,0)*Round_To</f>
        <v>200000</v>
      </c>
      <c r="G10" s="1125">
        <f t="shared" ref="G10:AS10" si="9">ROUND((+F10+F30+F98+F99+F102+F103)*IF(G$7-$F7&lt;=Total_Years-1,1,0)/Round_To,0)*Round_To</f>
        <v>218500</v>
      </c>
      <c r="H10" s="1125">
        <f t="shared" si="9"/>
        <v>238100</v>
      </c>
      <c r="I10" s="1125">
        <f t="shared" si="9"/>
        <v>258800</v>
      </c>
      <c r="J10" s="1125">
        <f t="shared" si="9"/>
        <v>280800</v>
      </c>
      <c r="K10" s="1125">
        <f t="shared" si="9"/>
        <v>304100</v>
      </c>
      <c r="L10" s="1125">
        <f t="shared" si="9"/>
        <v>328700</v>
      </c>
      <c r="M10" s="1125">
        <f t="shared" si="9"/>
        <v>354800</v>
      </c>
      <c r="N10" s="1125">
        <f t="shared" si="9"/>
        <v>382400</v>
      </c>
      <c r="O10" s="1125">
        <f t="shared" si="9"/>
        <v>411700</v>
      </c>
      <c r="P10" s="1125">
        <f t="shared" si="9"/>
        <v>420500</v>
      </c>
      <c r="Q10" s="1125">
        <f t="shared" si="9"/>
        <v>428900</v>
      </c>
      <c r="R10" s="1125">
        <f t="shared" si="9"/>
        <v>436900</v>
      </c>
      <c r="S10" s="1125">
        <f t="shared" si="9"/>
        <v>444500</v>
      </c>
      <c r="T10" s="1125">
        <f t="shared" si="9"/>
        <v>451500</v>
      </c>
      <c r="U10" s="1125">
        <f t="shared" si="9"/>
        <v>457900</v>
      </c>
      <c r="V10" s="1125">
        <f t="shared" si="9"/>
        <v>463500</v>
      </c>
      <c r="W10" s="1125">
        <f t="shared" si="9"/>
        <v>468300</v>
      </c>
      <c r="X10" s="1125">
        <f t="shared" si="9"/>
        <v>472100</v>
      </c>
      <c r="Y10" s="1125">
        <f t="shared" si="9"/>
        <v>472300</v>
      </c>
      <c r="Z10" s="1125">
        <f t="shared" si="9"/>
        <v>471400</v>
      </c>
      <c r="AA10" s="1125">
        <f t="shared" si="9"/>
        <v>469400</v>
      </c>
      <c r="AB10" s="1125">
        <f t="shared" si="9"/>
        <v>466000</v>
      </c>
      <c r="AC10" s="1125">
        <f t="shared" si="9"/>
        <v>461300</v>
      </c>
      <c r="AD10" s="1125">
        <f t="shared" si="9"/>
        <v>455200</v>
      </c>
      <c r="AE10" s="1125">
        <f t="shared" si="9"/>
        <v>447700</v>
      </c>
      <c r="AF10" s="1125">
        <f t="shared" si="9"/>
        <v>438800</v>
      </c>
      <c r="AG10" s="1125">
        <f t="shared" si="9"/>
        <v>428500</v>
      </c>
      <c r="AH10" s="1125">
        <f t="shared" si="9"/>
        <v>416600</v>
      </c>
      <c r="AI10" s="1125">
        <f t="shared" si="9"/>
        <v>403100</v>
      </c>
      <c r="AJ10" s="1125">
        <f t="shared" si="9"/>
        <v>0</v>
      </c>
      <c r="AK10" s="1125">
        <f t="shared" si="9"/>
        <v>0</v>
      </c>
      <c r="AL10" s="1125">
        <f t="shared" si="9"/>
        <v>0</v>
      </c>
      <c r="AM10" s="1125">
        <f t="shared" si="9"/>
        <v>0</v>
      </c>
      <c r="AN10" s="1125">
        <f t="shared" si="9"/>
        <v>0</v>
      </c>
      <c r="AO10" s="1125">
        <f t="shared" si="9"/>
        <v>0</v>
      </c>
      <c r="AP10" s="1125">
        <f t="shared" si="9"/>
        <v>0</v>
      </c>
      <c r="AQ10" s="1125">
        <f t="shared" si="9"/>
        <v>0</v>
      </c>
      <c r="AR10" s="1125">
        <f t="shared" si="9"/>
        <v>0</v>
      </c>
      <c r="AS10" s="1125">
        <f t="shared" si="9"/>
        <v>0</v>
      </c>
      <c r="AT10" s="42"/>
      <c r="AU10" s="1313">
        <f ca="1">+Base!E10</f>
        <v>388100</v>
      </c>
      <c r="AV10" s="83">
        <f t="shared" ca="1" si="7"/>
        <v>0</v>
      </c>
      <c r="AW10" s="1489"/>
      <c r="AX10" s="49"/>
      <c r="AY10" s="49"/>
      <c r="AZ10" s="42"/>
      <c r="BA10" s="49"/>
      <c r="BB10" s="49"/>
      <c r="BC10" s="39"/>
      <c r="BD10" s="39"/>
      <c r="BE10" s="39"/>
      <c r="BF10" s="49"/>
      <c r="BG10" s="49"/>
      <c r="BH10" s="49"/>
      <c r="BI10" s="49"/>
      <c r="BJ10" s="39"/>
      <c r="BK10" s="49"/>
      <c r="BL10" s="39"/>
      <c r="BM10" s="39"/>
      <c r="BN10" s="49"/>
      <c r="BO10" s="49"/>
      <c r="BP10" s="49"/>
      <c r="BQ10" s="49"/>
      <c r="BR10" s="49"/>
      <c r="BS10" s="49"/>
      <c r="BT10" s="49"/>
      <c r="BU10" s="49"/>
      <c r="BV10" s="49"/>
      <c r="BW10" s="49"/>
      <c r="BX10" s="49"/>
      <c r="BY10" s="49"/>
      <c r="BZ10" s="49"/>
      <c r="CA10" s="44"/>
      <c r="CB10" s="49"/>
      <c r="CC10" s="49"/>
      <c r="CD10" s="49"/>
      <c r="CE10" s="49"/>
      <c r="CF10" s="49"/>
      <c r="CG10" s="49"/>
      <c r="CH10" s="49"/>
      <c r="CI10" s="49"/>
      <c r="CJ10" s="49"/>
      <c r="CK10" s="49"/>
      <c r="CL10" s="49"/>
      <c r="CM10" s="49"/>
      <c r="CN10" s="49"/>
    </row>
    <row r="11" spans="1:92" ht="15.6">
      <c r="A11" s="1428"/>
      <c r="B11" s="1767" t="s">
        <v>927</v>
      </c>
      <c r="C11" s="997" t="str">
        <f ca="1">IF(E11&lt;-1,"Negative Balance!",".")</f>
        <v>.</v>
      </c>
      <c r="D11" s="162"/>
      <c r="E11" s="433">
        <f t="shared" ca="1" si="5"/>
        <v>725800</v>
      </c>
      <c r="F11" s="1124">
        <f>+F9+F10</f>
        <v>700000</v>
      </c>
      <c r="G11" s="1124">
        <f>+G9+G10</f>
        <v>709700</v>
      </c>
      <c r="H11" s="1124">
        <f t="shared" ref="H11:AS11" si="10">+H9+H10</f>
        <v>718700</v>
      </c>
      <c r="I11" s="1124">
        <f t="shared" si="10"/>
        <v>726900</v>
      </c>
      <c r="J11" s="1124">
        <f t="shared" si="10"/>
        <v>734200</v>
      </c>
      <c r="K11" s="1124">
        <f t="shared" si="10"/>
        <v>740500</v>
      </c>
      <c r="L11" s="1124">
        <f t="shared" si="10"/>
        <v>745600</v>
      </c>
      <c r="M11" s="1124">
        <f t="shared" si="10"/>
        <v>749400</v>
      </c>
      <c r="N11" s="1124">
        <f t="shared" si="10"/>
        <v>751900</v>
      </c>
      <c r="O11" s="1124">
        <f t="shared" si="10"/>
        <v>794900</v>
      </c>
      <c r="P11" s="1124">
        <f t="shared" si="10"/>
        <v>804300</v>
      </c>
      <c r="Q11" s="1124">
        <f t="shared" si="10"/>
        <v>813800</v>
      </c>
      <c r="R11" s="1124">
        <f t="shared" si="10"/>
        <v>823200</v>
      </c>
      <c r="S11" s="1124">
        <f t="shared" si="10"/>
        <v>832400</v>
      </c>
      <c r="T11" s="1124">
        <f t="shared" si="10"/>
        <v>841100</v>
      </c>
      <c r="U11" s="1124">
        <f t="shared" si="10"/>
        <v>854500</v>
      </c>
      <c r="V11" s="1124">
        <f t="shared" si="10"/>
        <v>866600</v>
      </c>
      <c r="W11" s="1124">
        <f t="shared" si="10"/>
        <v>877100</v>
      </c>
      <c r="X11" s="1124">
        <f t="shared" si="10"/>
        <v>885800</v>
      </c>
      <c r="Y11" s="1124">
        <f t="shared" si="10"/>
        <v>886400</v>
      </c>
      <c r="Z11" s="1124">
        <f t="shared" si="10"/>
        <v>884900</v>
      </c>
      <c r="AA11" s="1124">
        <f t="shared" si="10"/>
        <v>881200</v>
      </c>
      <c r="AB11" s="1124">
        <f t="shared" si="10"/>
        <v>874900</v>
      </c>
      <c r="AC11" s="1124">
        <f t="shared" si="10"/>
        <v>866000</v>
      </c>
      <c r="AD11" s="1124">
        <f t="shared" si="10"/>
        <v>854500</v>
      </c>
      <c r="AE11" s="1124">
        <f t="shared" si="10"/>
        <v>840300</v>
      </c>
      <c r="AF11" s="1124">
        <f t="shared" si="10"/>
        <v>823300</v>
      </c>
      <c r="AG11" s="1124">
        <f t="shared" si="10"/>
        <v>803400</v>
      </c>
      <c r="AH11" s="1124">
        <f t="shared" si="10"/>
        <v>780400</v>
      </c>
      <c r="AI11" s="1124">
        <f t="shared" si="10"/>
        <v>754500</v>
      </c>
      <c r="AJ11" s="1124">
        <f t="shared" si="10"/>
        <v>0</v>
      </c>
      <c r="AK11" s="1124">
        <f t="shared" si="10"/>
        <v>0</v>
      </c>
      <c r="AL11" s="1124">
        <f t="shared" si="10"/>
        <v>0</v>
      </c>
      <c r="AM11" s="1124">
        <f t="shared" si="10"/>
        <v>0</v>
      </c>
      <c r="AN11" s="1124">
        <f t="shared" si="10"/>
        <v>0</v>
      </c>
      <c r="AO11" s="1124">
        <f t="shared" si="10"/>
        <v>0</v>
      </c>
      <c r="AP11" s="1124">
        <f t="shared" si="10"/>
        <v>0</v>
      </c>
      <c r="AQ11" s="1124">
        <f t="shared" si="10"/>
        <v>0</v>
      </c>
      <c r="AR11" s="1124">
        <f t="shared" si="10"/>
        <v>0</v>
      </c>
      <c r="AS11" s="1124">
        <f t="shared" si="10"/>
        <v>0</v>
      </c>
      <c r="AT11" s="42"/>
      <c r="AU11" s="1312">
        <f ca="1">+Base!E11</f>
        <v>725800</v>
      </c>
      <c r="AV11" s="81">
        <f t="shared" ca="1" si="7"/>
        <v>0</v>
      </c>
      <c r="AW11" s="1489"/>
      <c r="AX11" s="49"/>
      <c r="AY11" s="49"/>
      <c r="AZ11" s="42"/>
      <c r="BA11" s="49"/>
      <c r="BB11" s="49"/>
      <c r="BC11" s="39"/>
      <c r="BD11" s="39"/>
      <c r="BE11" s="39"/>
      <c r="BF11" s="49"/>
      <c r="BG11" s="49"/>
      <c r="BH11" s="49"/>
      <c r="BI11" s="49"/>
      <c r="BJ11" s="39"/>
      <c r="BK11" s="49"/>
      <c r="BL11" s="39"/>
      <c r="BM11" s="39"/>
      <c r="BN11" s="49"/>
      <c r="BO11" s="49"/>
      <c r="BP11" s="49"/>
      <c r="BQ11" s="49"/>
      <c r="BR11" s="49"/>
      <c r="BS11" s="49"/>
      <c r="BT11" s="49"/>
      <c r="BU11" s="49"/>
      <c r="BV11" s="49"/>
      <c r="BW11" s="49"/>
      <c r="BX11" s="49"/>
      <c r="BY11" s="49"/>
      <c r="BZ11" s="49"/>
      <c r="CA11" s="44"/>
      <c r="CB11" s="49"/>
      <c r="CC11" s="49"/>
      <c r="CD11" s="49"/>
      <c r="CE11" s="49"/>
      <c r="CF11" s="49"/>
      <c r="CG11" s="49"/>
      <c r="CH11" s="49"/>
      <c r="CI11" s="49"/>
      <c r="CJ11" s="49"/>
      <c r="CK11" s="49"/>
      <c r="CL11" s="49"/>
      <c r="CM11" s="49"/>
      <c r="CN11" s="49"/>
    </row>
    <row r="12" spans="1:92" ht="19.95" hidden="1" customHeight="1">
      <c r="A12" s="1427" t="s">
        <v>1578</v>
      </c>
      <c r="B12" s="436" t="s">
        <v>925</v>
      </c>
      <c r="C12" s="686"/>
      <c r="D12" s="96"/>
      <c r="E12" s="433">
        <f t="shared" ca="1" si="5"/>
        <v>0</v>
      </c>
      <c r="F12" s="30">
        <v>0</v>
      </c>
      <c r="G12" s="1124">
        <f t="shared" ref="G12:AS12" si="11">ROUND((+F12+F32+F110+F113+F116+F105)*IF(G$7-$F7&lt;=Total_Years-1,1,0)/Round_To,0)*Round_To</f>
        <v>0</v>
      </c>
      <c r="H12" s="1124">
        <f t="shared" si="11"/>
        <v>0</v>
      </c>
      <c r="I12" s="1124">
        <f t="shared" si="11"/>
        <v>0</v>
      </c>
      <c r="J12" s="1124">
        <f t="shared" si="11"/>
        <v>0</v>
      </c>
      <c r="K12" s="1124">
        <f t="shared" si="11"/>
        <v>0</v>
      </c>
      <c r="L12" s="1124">
        <f t="shared" si="11"/>
        <v>0</v>
      </c>
      <c r="M12" s="1124">
        <f t="shared" si="11"/>
        <v>0</v>
      </c>
      <c r="N12" s="1124">
        <f t="shared" si="11"/>
        <v>0</v>
      </c>
      <c r="O12" s="1124">
        <f t="shared" si="11"/>
        <v>0</v>
      </c>
      <c r="P12" s="1124">
        <f t="shared" si="11"/>
        <v>0</v>
      </c>
      <c r="Q12" s="1124">
        <f t="shared" si="11"/>
        <v>0</v>
      </c>
      <c r="R12" s="1124">
        <f t="shared" si="11"/>
        <v>0</v>
      </c>
      <c r="S12" s="1124">
        <f t="shared" si="11"/>
        <v>0</v>
      </c>
      <c r="T12" s="1124">
        <f t="shared" si="11"/>
        <v>0</v>
      </c>
      <c r="U12" s="1124">
        <f t="shared" si="11"/>
        <v>0</v>
      </c>
      <c r="V12" s="1124">
        <f t="shared" si="11"/>
        <v>36000</v>
      </c>
      <c r="W12" s="1124">
        <f t="shared" si="11"/>
        <v>31000</v>
      </c>
      <c r="X12" s="1124">
        <f t="shared" si="11"/>
        <v>25900</v>
      </c>
      <c r="Y12" s="1124">
        <f t="shared" si="11"/>
        <v>24500</v>
      </c>
      <c r="Z12" s="1124">
        <f t="shared" si="11"/>
        <v>22900</v>
      </c>
      <c r="AA12" s="1124">
        <f t="shared" si="11"/>
        <v>21000</v>
      </c>
      <c r="AB12" s="1124">
        <f t="shared" si="11"/>
        <v>18800</v>
      </c>
      <c r="AC12" s="1124">
        <f t="shared" si="11"/>
        <v>16300</v>
      </c>
      <c r="AD12" s="1124">
        <f t="shared" si="11"/>
        <v>13400</v>
      </c>
      <c r="AE12" s="1124">
        <f t="shared" si="11"/>
        <v>10100</v>
      </c>
      <c r="AF12" s="1124">
        <f t="shared" si="11"/>
        <v>6300</v>
      </c>
      <c r="AG12" s="1124">
        <f t="shared" si="11"/>
        <v>2000</v>
      </c>
      <c r="AH12" s="1124">
        <f t="shared" si="11"/>
        <v>0</v>
      </c>
      <c r="AI12" s="1124">
        <f t="shared" si="11"/>
        <v>0</v>
      </c>
      <c r="AJ12" s="1124">
        <f t="shared" si="11"/>
        <v>0</v>
      </c>
      <c r="AK12" s="1124">
        <f t="shared" si="11"/>
        <v>0</v>
      </c>
      <c r="AL12" s="1124">
        <f t="shared" si="11"/>
        <v>0</v>
      </c>
      <c r="AM12" s="1124">
        <f t="shared" si="11"/>
        <v>0</v>
      </c>
      <c r="AN12" s="1124">
        <f t="shared" si="11"/>
        <v>0</v>
      </c>
      <c r="AO12" s="1124">
        <f t="shared" si="11"/>
        <v>0</v>
      </c>
      <c r="AP12" s="1124">
        <f t="shared" si="11"/>
        <v>0</v>
      </c>
      <c r="AQ12" s="1124">
        <f t="shared" si="11"/>
        <v>0</v>
      </c>
      <c r="AR12" s="1124">
        <f t="shared" si="11"/>
        <v>0</v>
      </c>
      <c r="AS12" s="1124">
        <f t="shared" si="11"/>
        <v>0</v>
      </c>
      <c r="AT12" s="42"/>
      <c r="AU12" s="1312">
        <f ca="1">+Base!E12</f>
        <v>0</v>
      </c>
      <c r="AV12" s="81">
        <f t="shared" ca="1" si="7"/>
        <v>0</v>
      </c>
      <c r="AW12" s="1489"/>
      <c r="AX12" s="49"/>
      <c r="AY12" s="49"/>
      <c r="AZ12" s="42"/>
      <c r="BA12" s="49"/>
      <c r="BB12" s="49"/>
      <c r="BC12" s="39"/>
      <c r="BD12" s="39"/>
      <c r="BE12" s="39"/>
      <c r="BF12" s="49"/>
      <c r="BG12" s="49"/>
      <c r="BH12" s="49"/>
      <c r="BI12" s="49"/>
      <c r="BJ12" s="39"/>
      <c r="BK12" s="49"/>
      <c r="BL12" s="39"/>
      <c r="BM12" s="39"/>
      <c r="BN12" s="49"/>
      <c r="BO12" s="49"/>
      <c r="BP12" s="49"/>
      <c r="BQ12" s="49"/>
      <c r="BR12" s="49"/>
      <c r="BS12" s="49"/>
      <c r="BT12" s="49"/>
      <c r="BU12" s="49"/>
      <c r="BV12" s="49"/>
      <c r="BW12" s="49"/>
      <c r="BX12" s="49"/>
      <c r="BY12" s="49"/>
      <c r="BZ12" s="49"/>
      <c r="CA12" s="44"/>
      <c r="CB12" s="49"/>
      <c r="CC12" s="49"/>
      <c r="CD12" s="49"/>
      <c r="CE12" s="49"/>
      <c r="CF12" s="49"/>
      <c r="CG12" s="49"/>
      <c r="CH12" s="49"/>
      <c r="CI12" s="49"/>
      <c r="CJ12" s="49"/>
      <c r="CK12" s="49"/>
      <c r="CL12" s="49"/>
      <c r="CM12" s="49"/>
      <c r="CN12" s="49"/>
    </row>
    <row r="13" spans="1:92" ht="15.6" hidden="1">
      <c r="A13" s="1427" t="s">
        <v>1578</v>
      </c>
      <c r="B13" s="436" t="s">
        <v>926</v>
      </c>
      <c r="C13" s="686"/>
      <c r="D13" s="96"/>
      <c r="E13" s="1301">
        <f t="shared" ca="1" si="5"/>
        <v>0</v>
      </c>
      <c r="F13" s="508">
        <v>0</v>
      </c>
      <c r="G13" s="1125">
        <f t="shared" ref="G13:AS13" si="12">ROUND((+F13+F33+F111+F114+F117+F106)*IF(G$7-$F7&lt;=Total_Years-1,1,0)/Round_To,0)*Round_To</f>
        <v>0</v>
      </c>
      <c r="H13" s="1125">
        <f t="shared" si="12"/>
        <v>0</v>
      </c>
      <c r="I13" s="1125">
        <f t="shared" si="12"/>
        <v>0</v>
      </c>
      <c r="J13" s="1125">
        <f t="shared" si="12"/>
        <v>0</v>
      </c>
      <c r="K13" s="1125">
        <f t="shared" si="12"/>
        <v>0</v>
      </c>
      <c r="L13" s="1125">
        <f t="shared" si="12"/>
        <v>0</v>
      </c>
      <c r="M13" s="1125">
        <f t="shared" si="12"/>
        <v>0</v>
      </c>
      <c r="N13" s="1125">
        <f t="shared" si="12"/>
        <v>0</v>
      </c>
      <c r="O13" s="1125">
        <f t="shared" si="12"/>
        <v>0</v>
      </c>
      <c r="P13" s="1125">
        <f t="shared" si="12"/>
        <v>0</v>
      </c>
      <c r="Q13" s="1125">
        <f t="shared" si="12"/>
        <v>0</v>
      </c>
      <c r="R13" s="1125">
        <f t="shared" si="12"/>
        <v>60000</v>
      </c>
      <c r="S13" s="1125">
        <f t="shared" si="12"/>
        <v>59300</v>
      </c>
      <c r="T13" s="1125">
        <f t="shared" si="12"/>
        <v>58400</v>
      </c>
      <c r="U13" s="1125">
        <f t="shared" si="12"/>
        <v>57100</v>
      </c>
      <c r="V13" s="1125">
        <f t="shared" si="12"/>
        <v>55500</v>
      </c>
      <c r="W13" s="1125">
        <f t="shared" si="12"/>
        <v>52500</v>
      </c>
      <c r="X13" s="1125">
        <f t="shared" si="12"/>
        <v>48900</v>
      </c>
      <c r="Y13" s="1125">
        <f t="shared" si="12"/>
        <v>44500</v>
      </c>
      <c r="Z13" s="1125">
        <f t="shared" si="12"/>
        <v>41000</v>
      </c>
      <c r="AA13" s="1125">
        <f t="shared" si="12"/>
        <v>37000</v>
      </c>
      <c r="AB13" s="1125">
        <f t="shared" si="12"/>
        <v>32400</v>
      </c>
      <c r="AC13" s="1125">
        <f t="shared" si="12"/>
        <v>27100</v>
      </c>
      <c r="AD13" s="1125">
        <f t="shared" si="12"/>
        <v>21200</v>
      </c>
      <c r="AE13" s="1125">
        <f t="shared" si="12"/>
        <v>14500</v>
      </c>
      <c r="AF13" s="1125">
        <f t="shared" si="12"/>
        <v>7000</v>
      </c>
      <c r="AG13" s="1125">
        <f t="shared" si="12"/>
        <v>0</v>
      </c>
      <c r="AH13" s="1125">
        <f t="shared" si="12"/>
        <v>0</v>
      </c>
      <c r="AI13" s="1125">
        <f t="shared" si="12"/>
        <v>0</v>
      </c>
      <c r="AJ13" s="1125">
        <f t="shared" si="12"/>
        <v>0</v>
      </c>
      <c r="AK13" s="1125">
        <f t="shared" si="12"/>
        <v>0</v>
      </c>
      <c r="AL13" s="1125">
        <f t="shared" si="12"/>
        <v>0</v>
      </c>
      <c r="AM13" s="1125">
        <f t="shared" si="12"/>
        <v>0</v>
      </c>
      <c r="AN13" s="1125">
        <f t="shared" si="12"/>
        <v>0</v>
      </c>
      <c r="AO13" s="1125">
        <f t="shared" si="12"/>
        <v>0</v>
      </c>
      <c r="AP13" s="1125">
        <f t="shared" si="12"/>
        <v>0</v>
      </c>
      <c r="AQ13" s="1125">
        <f t="shared" si="12"/>
        <v>0</v>
      </c>
      <c r="AR13" s="1125">
        <f t="shared" si="12"/>
        <v>0</v>
      </c>
      <c r="AS13" s="1125">
        <f t="shared" si="12"/>
        <v>0</v>
      </c>
      <c r="AT13" s="42"/>
      <c r="AU13" s="1313">
        <f ca="1">+Base!E13</f>
        <v>0</v>
      </c>
      <c r="AV13" s="83">
        <f t="shared" ca="1" si="7"/>
        <v>0</v>
      </c>
      <c r="AW13" s="1489"/>
      <c r="AX13" s="49"/>
      <c r="AY13" s="49"/>
      <c r="AZ13" s="42"/>
      <c r="BA13" s="49"/>
      <c r="BB13" s="49"/>
      <c r="BC13" s="39"/>
      <c r="BD13" s="39"/>
      <c r="BE13" s="39"/>
      <c r="BF13" s="49"/>
      <c r="BG13" s="49"/>
      <c r="BH13" s="49"/>
      <c r="BI13" s="49"/>
      <c r="BJ13" s="39"/>
      <c r="BK13" s="49"/>
      <c r="BL13" s="39"/>
      <c r="BM13" s="39"/>
      <c r="BN13" s="49"/>
      <c r="BO13" s="49"/>
      <c r="BP13" s="49"/>
      <c r="BQ13" s="49"/>
      <c r="BR13" s="49"/>
      <c r="BS13" s="49"/>
      <c r="BT13" s="49"/>
      <c r="BU13" s="49"/>
      <c r="BV13" s="49"/>
      <c r="BW13" s="49"/>
      <c r="BX13" s="49"/>
      <c r="BY13" s="49"/>
      <c r="BZ13" s="49"/>
      <c r="CA13" s="44"/>
      <c r="CB13" s="49"/>
      <c r="CC13" s="49"/>
      <c r="CD13" s="49"/>
      <c r="CE13" s="49"/>
      <c r="CF13" s="49"/>
      <c r="CG13" s="49"/>
      <c r="CH13" s="49"/>
      <c r="CI13" s="49"/>
      <c r="CJ13" s="49"/>
      <c r="CK13" s="49"/>
      <c r="CL13" s="49"/>
      <c r="CM13" s="49"/>
      <c r="CN13" s="49"/>
    </row>
    <row r="14" spans="1:92" ht="15.6">
      <c r="A14" s="1425"/>
      <c r="B14" s="381" t="s">
        <v>928</v>
      </c>
      <c r="C14" s="997" t="str">
        <f ca="1">IF(E14&lt;0,"Negative Balance!",".")</f>
        <v>.</v>
      </c>
      <c r="E14" s="433">
        <f t="shared" ca="1" si="5"/>
        <v>0</v>
      </c>
      <c r="F14" s="73">
        <f>+F12+F13</f>
        <v>0</v>
      </c>
      <c r="G14" s="1124">
        <f>+G12+G13</f>
        <v>0</v>
      </c>
      <c r="H14" s="1124">
        <f t="shared" ref="H14:AS14" si="13">+H12+H13</f>
        <v>0</v>
      </c>
      <c r="I14" s="1124">
        <f t="shared" si="13"/>
        <v>0</v>
      </c>
      <c r="J14" s="1124">
        <f t="shared" si="13"/>
        <v>0</v>
      </c>
      <c r="K14" s="1124">
        <f t="shared" si="13"/>
        <v>0</v>
      </c>
      <c r="L14" s="1124">
        <f t="shared" si="13"/>
        <v>0</v>
      </c>
      <c r="M14" s="1124">
        <f t="shared" si="13"/>
        <v>0</v>
      </c>
      <c r="N14" s="1124">
        <f t="shared" si="13"/>
        <v>0</v>
      </c>
      <c r="O14" s="1124">
        <f t="shared" si="13"/>
        <v>0</v>
      </c>
      <c r="P14" s="1124">
        <f t="shared" si="13"/>
        <v>0</v>
      </c>
      <c r="Q14" s="1124">
        <f t="shared" si="13"/>
        <v>0</v>
      </c>
      <c r="R14" s="1124">
        <f t="shared" si="13"/>
        <v>60000</v>
      </c>
      <c r="S14" s="1124">
        <f t="shared" si="13"/>
        <v>59300</v>
      </c>
      <c r="T14" s="1124">
        <f t="shared" si="13"/>
        <v>58400</v>
      </c>
      <c r="U14" s="1124">
        <f t="shared" si="13"/>
        <v>57100</v>
      </c>
      <c r="V14" s="1124">
        <f t="shared" si="13"/>
        <v>91500</v>
      </c>
      <c r="W14" s="1124">
        <f t="shared" si="13"/>
        <v>83500</v>
      </c>
      <c r="X14" s="1124">
        <f t="shared" si="13"/>
        <v>74800</v>
      </c>
      <c r="Y14" s="1124">
        <f t="shared" si="13"/>
        <v>69000</v>
      </c>
      <c r="Z14" s="1124">
        <f t="shared" si="13"/>
        <v>63900</v>
      </c>
      <c r="AA14" s="1124">
        <f t="shared" si="13"/>
        <v>58000</v>
      </c>
      <c r="AB14" s="1124">
        <f t="shared" si="13"/>
        <v>51200</v>
      </c>
      <c r="AC14" s="1124">
        <f t="shared" si="13"/>
        <v>43400</v>
      </c>
      <c r="AD14" s="1124">
        <f t="shared" si="13"/>
        <v>34600</v>
      </c>
      <c r="AE14" s="1124">
        <f t="shared" si="13"/>
        <v>24600</v>
      </c>
      <c r="AF14" s="1124">
        <f t="shared" si="13"/>
        <v>13300</v>
      </c>
      <c r="AG14" s="1124">
        <f t="shared" si="13"/>
        <v>2000</v>
      </c>
      <c r="AH14" s="1124">
        <f t="shared" si="13"/>
        <v>0</v>
      </c>
      <c r="AI14" s="1124">
        <f t="shared" si="13"/>
        <v>0</v>
      </c>
      <c r="AJ14" s="1124">
        <f t="shared" si="13"/>
        <v>0</v>
      </c>
      <c r="AK14" s="1124">
        <f t="shared" si="13"/>
        <v>0</v>
      </c>
      <c r="AL14" s="1124">
        <f t="shared" si="13"/>
        <v>0</v>
      </c>
      <c r="AM14" s="1124">
        <f t="shared" si="13"/>
        <v>0</v>
      </c>
      <c r="AN14" s="1124">
        <f t="shared" si="13"/>
        <v>0</v>
      </c>
      <c r="AO14" s="1124">
        <f t="shared" si="13"/>
        <v>0</v>
      </c>
      <c r="AP14" s="1124">
        <f t="shared" si="13"/>
        <v>0</v>
      </c>
      <c r="AQ14" s="1124">
        <f t="shared" si="13"/>
        <v>0</v>
      </c>
      <c r="AR14" s="1124">
        <f t="shared" si="13"/>
        <v>0</v>
      </c>
      <c r="AS14" s="1124">
        <f t="shared" si="13"/>
        <v>0</v>
      </c>
      <c r="AT14" s="3"/>
      <c r="AU14" s="1312">
        <f ca="1">+Base!E14</f>
        <v>0</v>
      </c>
      <c r="AV14" s="81">
        <f t="shared" ca="1" si="7"/>
        <v>0</v>
      </c>
      <c r="AW14" s="1489"/>
      <c r="AX14" s="49"/>
      <c r="AY14" s="49"/>
      <c r="AZ14" s="42"/>
      <c r="BA14" s="49"/>
      <c r="BB14" s="49"/>
      <c r="BC14" s="39"/>
      <c r="BD14" s="39"/>
      <c r="BE14" s="39"/>
      <c r="BF14" s="49"/>
      <c r="BG14" s="49"/>
      <c r="BH14" s="49"/>
      <c r="BI14" s="49"/>
      <c r="BJ14" s="39"/>
      <c r="BK14" s="49"/>
      <c r="BL14" s="39"/>
      <c r="BM14" s="39"/>
      <c r="BN14" s="49"/>
      <c r="BO14" s="49"/>
      <c r="BP14" s="49"/>
      <c r="BQ14" s="49"/>
      <c r="BR14" s="49"/>
      <c r="BS14" s="49"/>
      <c r="BT14" s="49"/>
      <c r="BU14" s="49"/>
      <c r="BV14" s="49"/>
      <c r="BW14" s="49"/>
      <c r="BX14" s="49"/>
      <c r="BY14" s="49"/>
      <c r="BZ14" s="49"/>
      <c r="CA14" s="44"/>
      <c r="CB14" s="49"/>
      <c r="CC14" s="49"/>
      <c r="CD14" s="49"/>
      <c r="CE14" s="49"/>
      <c r="CF14" s="49"/>
      <c r="CG14" s="49"/>
      <c r="CH14" s="49"/>
      <c r="CI14" s="49"/>
      <c r="CJ14" s="49"/>
      <c r="CK14" s="49"/>
      <c r="CL14" s="49"/>
      <c r="CM14" s="49"/>
      <c r="CN14" s="49"/>
    </row>
    <row r="15" spans="1:92" ht="19.95" hidden="1" customHeight="1">
      <c r="A15" s="1427" t="s">
        <v>1578</v>
      </c>
      <c r="B15" s="451" t="s">
        <v>760</v>
      </c>
      <c r="C15" s="686"/>
      <c r="E15" s="33">
        <f t="shared" ca="1" si="5"/>
        <v>416600</v>
      </c>
      <c r="F15" s="1302">
        <f>ROUND(Roth_Begin/Round_To,0)*Round_To</f>
        <v>75000</v>
      </c>
      <c r="G15" s="1124">
        <f t="shared" ref="G15:AS15" si="14">ROUND((+F15+F35+F64+F120+F123+F126+F127)*IF(G$7-$F7&lt;=Total_Years-1,1,0)/Round_To,0)*Round_To</f>
        <v>80700</v>
      </c>
      <c r="H15" s="1124">
        <f t="shared" si="14"/>
        <v>86800</v>
      </c>
      <c r="I15" s="1124">
        <f t="shared" si="14"/>
        <v>93400</v>
      </c>
      <c r="J15" s="1124">
        <f t="shared" si="14"/>
        <v>100500</v>
      </c>
      <c r="K15" s="1124">
        <f t="shared" si="14"/>
        <v>106700</v>
      </c>
      <c r="L15" s="1124">
        <f t="shared" si="14"/>
        <v>113300</v>
      </c>
      <c r="M15" s="1124">
        <f t="shared" si="14"/>
        <v>120300</v>
      </c>
      <c r="N15" s="1124">
        <f t="shared" si="14"/>
        <v>127800</v>
      </c>
      <c r="O15" s="1124">
        <f t="shared" si="14"/>
        <v>135700</v>
      </c>
      <c r="P15" s="1124">
        <f t="shared" si="14"/>
        <v>144100</v>
      </c>
      <c r="Q15" s="1124">
        <f t="shared" si="14"/>
        <v>153000</v>
      </c>
      <c r="R15" s="1124">
        <f t="shared" si="14"/>
        <v>162500</v>
      </c>
      <c r="S15" s="1124">
        <f t="shared" si="14"/>
        <v>172600</v>
      </c>
      <c r="T15" s="1124">
        <f t="shared" si="14"/>
        <v>183300</v>
      </c>
      <c r="U15" s="1124">
        <f t="shared" si="14"/>
        <v>194700</v>
      </c>
      <c r="V15" s="1124">
        <f t="shared" si="14"/>
        <v>206800</v>
      </c>
      <c r="W15" s="1124">
        <f t="shared" si="14"/>
        <v>219600</v>
      </c>
      <c r="X15" s="1124">
        <f t="shared" si="14"/>
        <v>233200</v>
      </c>
      <c r="Y15" s="1124">
        <f t="shared" si="14"/>
        <v>244500</v>
      </c>
      <c r="Z15" s="1124">
        <f t="shared" si="14"/>
        <v>256400</v>
      </c>
      <c r="AA15" s="1124">
        <f t="shared" si="14"/>
        <v>269000</v>
      </c>
      <c r="AB15" s="1124">
        <f t="shared" si="14"/>
        <v>282200</v>
      </c>
      <c r="AC15" s="1124">
        <f t="shared" si="14"/>
        <v>296100</v>
      </c>
      <c r="AD15" s="1124">
        <f t="shared" si="14"/>
        <v>310800</v>
      </c>
      <c r="AE15" s="1124">
        <f t="shared" si="14"/>
        <v>326200</v>
      </c>
      <c r="AF15" s="1124">
        <f t="shared" si="14"/>
        <v>342500</v>
      </c>
      <c r="AG15" s="1124">
        <f t="shared" si="14"/>
        <v>359600</v>
      </c>
      <c r="AH15" s="1124">
        <f t="shared" si="14"/>
        <v>377600</v>
      </c>
      <c r="AI15" s="1124">
        <f t="shared" si="14"/>
        <v>396600</v>
      </c>
      <c r="AJ15" s="1124">
        <f t="shared" si="14"/>
        <v>0</v>
      </c>
      <c r="AK15" s="1124">
        <f t="shared" si="14"/>
        <v>0</v>
      </c>
      <c r="AL15" s="1124">
        <f t="shared" si="14"/>
        <v>0</v>
      </c>
      <c r="AM15" s="1124">
        <f t="shared" si="14"/>
        <v>0</v>
      </c>
      <c r="AN15" s="1124">
        <f t="shared" si="14"/>
        <v>0</v>
      </c>
      <c r="AO15" s="1124">
        <f t="shared" si="14"/>
        <v>0</v>
      </c>
      <c r="AP15" s="1124">
        <f t="shared" si="14"/>
        <v>0</v>
      </c>
      <c r="AQ15" s="1124">
        <f t="shared" si="14"/>
        <v>0</v>
      </c>
      <c r="AR15" s="1124">
        <f t="shared" si="14"/>
        <v>0</v>
      </c>
      <c r="AS15" s="1124">
        <f t="shared" si="14"/>
        <v>0</v>
      </c>
      <c r="AT15" s="3"/>
      <c r="AU15" s="1312">
        <f ca="1">+Base!E15</f>
        <v>416600</v>
      </c>
      <c r="AV15" s="81">
        <f t="shared" ca="1" si="7"/>
        <v>0</v>
      </c>
      <c r="AW15" s="1489"/>
      <c r="AX15" s="49"/>
      <c r="AY15" s="49"/>
      <c r="AZ15" s="42"/>
      <c r="BA15" s="49"/>
      <c r="BB15" s="49"/>
      <c r="BC15" s="39"/>
      <c r="BD15" s="39"/>
      <c r="BE15" s="39"/>
      <c r="BF15" s="49"/>
      <c r="BG15" s="49"/>
      <c r="BH15" s="49"/>
      <c r="BI15" s="49"/>
      <c r="BJ15" s="39"/>
      <c r="BK15" s="49"/>
      <c r="BL15" s="39"/>
      <c r="BM15" s="39"/>
      <c r="BN15" s="49"/>
      <c r="BO15" s="49"/>
      <c r="BP15" s="49"/>
      <c r="BQ15" s="49"/>
      <c r="BR15" s="49"/>
      <c r="BS15" s="49"/>
      <c r="BT15" s="49"/>
      <c r="BU15" s="49"/>
      <c r="BV15" s="49"/>
      <c r="BW15" s="49"/>
      <c r="BX15" s="49"/>
      <c r="BY15" s="49"/>
      <c r="BZ15" s="49"/>
      <c r="CA15" s="44"/>
      <c r="CB15" s="49"/>
      <c r="CC15" s="49"/>
      <c r="CD15" s="49"/>
      <c r="CE15" s="49"/>
      <c r="CF15" s="49"/>
      <c r="CG15" s="49"/>
      <c r="CH15" s="49"/>
      <c r="CI15" s="49"/>
      <c r="CJ15" s="49"/>
      <c r="CK15" s="49"/>
      <c r="CL15" s="49"/>
      <c r="CM15" s="49"/>
      <c r="CN15" s="49"/>
    </row>
    <row r="16" spans="1:92" ht="15.6" hidden="1">
      <c r="A16" s="1427" t="s">
        <v>1578</v>
      </c>
      <c r="B16" s="992" t="s">
        <v>761</v>
      </c>
      <c r="C16" s="686"/>
      <c r="E16" s="35">
        <f t="shared" ca="1" si="5"/>
        <v>21100</v>
      </c>
      <c r="F16" s="1303">
        <f>ROUND(Roth2_Begin/Round_To,0)*Round_To</f>
        <v>25000</v>
      </c>
      <c r="G16" s="1125">
        <f t="shared" ref="G16:AS16" si="15">ROUND((+F16+F36+F124)*IF(G$7-$F7&lt;=Total_Years-1,1,0)/Round_To,0)*Round_To</f>
        <v>26400</v>
      </c>
      <c r="H16" s="1125">
        <f t="shared" si="15"/>
        <v>27900</v>
      </c>
      <c r="I16" s="1125">
        <f t="shared" si="15"/>
        <v>29500</v>
      </c>
      <c r="J16" s="1125">
        <f t="shared" si="15"/>
        <v>31200</v>
      </c>
      <c r="K16" s="1125">
        <f t="shared" si="15"/>
        <v>33000</v>
      </c>
      <c r="L16" s="1125">
        <f t="shared" si="15"/>
        <v>34900</v>
      </c>
      <c r="M16" s="1125">
        <f t="shared" si="15"/>
        <v>36900</v>
      </c>
      <c r="N16" s="1125">
        <f t="shared" si="15"/>
        <v>39000</v>
      </c>
      <c r="O16" s="1125">
        <f t="shared" si="15"/>
        <v>36100</v>
      </c>
      <c r="P16" s="1125">
        <f t="shared" si="15"/>
        <v>32500</v>
      </c>
      <c r="Q16" s="1125">
        <f t="shared" si="15"/>
        <v>28100</v>
      </c>
      <c r="R16" s="1125">
        <f t="shared" si="15"/>
        <v>22800</v>
      </c>
      <c r="S16" s="1125">
        <f t="shared" si="15"/>
        <v>16500</v>
      </c>
      <c r="T16" s="1125">
        <f t="shared" si="15"/>
        <v>9100</v>
      </c>
      <c r="U16" s="1125">
        <f t="shared" si="15"/>
        <v>9600</v>
      </c>
      <c r="V16" s="1125">
        <f t="shared" si="15"/>
        <v>10100</v>
      </c>
      <c r="W16" s="1125">
        <f t="shared" si="15"/>
        <v>10700</v>
      </c>
      <c r="X16" s="1125">
        <f t="shared" si="15"/>
        <v>11300</v>
      </c>
      <c r="Y16" s="1125">
        <f t="shared" si="15"/>
        <v>11900</v>
      </c>
      <c r="Z16" s="1125">
        <f t="shared" si="15"/>
        <v>12500</v>
      </c>
      <c r="AA16" s="1125">
        <f t="shared" si="15"/>
        <v>13200</v>
      </c>
      <c r="AB16" s="1125">
        <f t="shared" si="15"/>
        <v>13900</v>
      </c>
      <c r="AC16" s="1125">
        <f t="shared" si="15"/>
        <v>14600</v>
      </c>
      <c r="AD16" s="1125">
        <f t="shared" si="15"/>
        <v>15400</v>
      </c>
      <c r="AE16" s="1125">
        <f t="shared" si="15"/>
        <v>16200</v>
      </c>
      <c r="AF16" s="1125">
        <f t="shared" si="15"/>
        <v>17100</v>
      </c>
      <c r="AG16" s="1125">
        <f t="shared" si="15"/>
        <v>18000</v>
      </c>
      <c r="AH16" s="1125">
        <f t="shared" si="15"/>
        <v>19000</v>
      </c>
      <c r="AI16" s="1125">
        <f t="shared" si="15"/>
        <v>20000</v>
      </c>
      <c r="AJ16" s="1125">
        <f t="shared" si="15"/>
        <v>0</v>
      </c>
      <c r="AK16" s="1125">
        <f t="shared" si="15"/>
        <v>0</v>
      </c>
      <c r="AL16" s="1125">
        <f t="shared" si="15"/>
        <v>0</v>
      </c>
      <c r="AM16" s="1125">
        <f t="shared" si="15"/>
        <v>0</v>
      </c>
      <c r="AN16" s="1125">
        <f t="shared" si="15"/>
        <v>0</v>
      </c>
      <c r="AO16" s="1125">
        <f t="shared" si="15"/>
        <v>0</v>
      </c>
      <c r="AP16" s="1125">
        <f t="shared" si="15"/>
        <v>0</v>
      </c>
      <c r="AQ16" s="1125">
        <f t="shared" si="15"/>
        <v>0</v>
      </c>
      <c r="AR16" s="1125">
        <f t="shared" si="15"/>
        <v>0</v>
      </c>
      <c r="AS16" s="1125">
        <f t="shared" si="15"/>
        <v>0</v>
      </c>
      <c r="AT16" s="3"/>
      <c r="AU16" s="1312">
        <f ca="1">+Base!E16</f>
        <v>21100</v>
      </c>
      <c r="AV16" s="81">
        <f t="shared" ca="1" si="7"/>
        <v>0</v>
      </c>
      <c r="AW16" s="1489"/>
      <c r="AX16" s="49"/>
      <c r="AY16" s="49"/>
      <c r="AZ16" s="42"/>
      <c r="BA16" s="49"/>
      <c r="BB16" s="49"/>
      <c r="BC16" s="39"/>
      <c r="BD16" s="39"/>
      <c r="BE16" s="39"/>
      <c r="BF16" s="49"/>
      <c r="BG16" s="49"/>
      <c r="BH16" s="49"/>
      <c r="BI16" s="49"/>
      <c r="BJ16" s="39"/>
      <c r="BK16" s="49"/>
      <c r="BL16" s="39"/>
      <c r="BM16" s="39"/>
      <c r="BN16" s="49"/>
      <c r="BO16" s="49"/>
      <c r="BP16" s="49"/>
      <c r="BQ16" s="49"/>
      <c r="BR16" s="49"/>
      <c r="BS16" s="49"/>
      <c r="BT16" s="49"/>
      <c r="BU16" s="49"/>
      <c r="BV16" s="49"/>
      <c r="BW16" s="49"/>
      <c r="BX16" s="49"/>
      <c r="BY16" s="49"/>
      <c r="BZ16" s="49"/>
      <c r="CA16" s="44"/>
      <c r="CB16" s="49"/>
      <c r="CC16" s="49"/>
      <c r="CD16" s="49"/>
      <c r="CE16" s="49"/>
      <c r="CF16" s="49"/>
      <c r="CG16" s="49"/>
      <c r="CH16" s="49"/>
      <c r="CI16" s="49"/>
      <c r="CJ16" s="49"/>
      <c r="CK16" s="49"/>
      <c r="CL16" s="49"/>
      <c r="CM16" s="49"/>
      <c r="CN16" s="49"/>
    </row>
    <row r="17" spans="1:92" ht="15.6">
      <c r="A17" s="1425"/>
      <c r="B17" s="718" t="s">
        <v>929</v>
      </c>
      <c r="C17" s="997" t="str">
        <f ca="1">IF(E17&lt;0,"Negative Balance!",".")</f>
        <v>.</v>
      </c>
      <c r="D17" s="162"/>
      <c r="E17" s="33">
        <f t="shared" ca="1" si="5"/>
        <v>437700</v>
      </c>
      <c r="F17" s="1124">
        <f>+F15+F16</f>
        <v>100000</v>
      </c>
      <c r="G17" s="1124">
        <f t="shared" ref="G17:AS17" si="16">+G15+G16</f>
        <v>107100</v>
      </c>
      <c r="H17" s="1124">
        <f t="shared" si="16"/>
        <v>114700</v>
      </c>
      <c r="I17" s="1124">
        <f t="shared" si="16"/>
        <v>122900</v>
      </c>
      <c r="J17" s="1124">
        <f t="shared" si="16"/>
        <v>131700</v>
      </c>
      <c r="K17" s="1124">
        <f t="shared" si="16"/>
        <v>139700</v>
      </c>
      <c r="L17" s="1124">
        <f t="shared" si="16"/>
        <v>148200</v>
      </c>
      <c r="M17" s="1124">
        <f t="shared" si="16"/>
        <v>157200</v>
      </c>
      <c r="N17" s="1124">
        <f t="shared" si="16"/>
        <v>166800</v>
      </c>
      <c r="O17" s="1124">
        <f t="shared" si="16"/>
        <v>171800</v>
      </c>
      <c r="P17" s="1124">
        <f t="shared" si="16"/>
        <v>176600</v>
      </c>
      <c r="Q17" s="1124">
        <f t="shared" si="16"/>
        <v>181100</v>
      </c>
      <c r="R17" s="1124">
        <f t="shared" si="16"/>
        <v>185300</v>
      </c>
      <c r="S17" s="1124">
        <f t="shared" si="16"/>
        <v>189100</v>
      </c>
      <c r="T17" s="1124">
        <f t="shared" si="16"/>
        <v>192400</v>
      </c>
      <c r="U17" s="1124">
        <f t="shared" si="16"/>
        <v>204300</v>
      </c>
      <c r="V17" s="1124">
        <f t="shared" si="16"/>
        <v>216900</v>
      </c>
      <c r="W17" s="1124">
        <f t="shared" si="16"/>
        <v>230300</v>
      </c>
      <c r="X17" s="1124">
        <f t="shared" si="16"/>
        <v>244500</v>
      </c>
      <c r="Y17" s="1124">
        <f t="shared" si="16"/>
        <v>256400</v>
      </c>
      <c r="Z17" s="1124">
        <f t="shared" si="16"/>
        <v>268900</v>
      </c>
      <c r="AA17" s="1124">
        <f t="shared" si="16"/>
        <v>282200</v>
      </c>
      <c r="AB17" s="1124">
        <f t="shared" si="16"/>
        <v>296100</v>
      </c>
      <c r="AC17" s="1124">
        <f t="shared" si="16"/>
        <v>310700</v>
      </c>
      <c r="AD17" s="1124">
        <f t="shared" si="16"/>
        <v>326200</v>
      </c>
      <c r="AE17" s="1124">
        <f t="shared" si="16"/>
        <v>342400</v>
      </c>
      <c r="AF17" s="1124">
        <f t="shared" si="16"/>
        <v>359600</v>
      </c>
      <c r="AG17" s="1124">
        <f t="shared" si="16"/>
        <v>377600</v>
      </c>
      <c r="AH17" s="1124">
        <f t="shared" si="16"/>
        <v>396600</v>
      </c>
      <c r="AI17" s="1124">
        <f t="shared" si="16"/>
        <v>416600</v>
      </c>
      <c r="AJ17" s="1124">
        <f t="shared" si="16"/>
        <v>0</v>
      </c>
      <c r="AK17" s="1124">
        <f t="shared" si="16"/>
        <v>0</v>
      </c>
      <c r="AL17" s="1124">
        <f t="shared" si="16"/>
        <v>0</v>
      </c>
      <c r="AM17" s="1124">
        <f t="shared" si="16"/>
        <v>0</v>
      </c>
      <c r="AN17" s="1124">
        <f t="shared" si="16"/>
        <v>0</v>
      </c>
      <c r="AO17" s="1124">
        <f t="shared" si="16"/>
        <v>0</v>
      </c>
      <c r="AP17" s="1124">
        <f t="shared" si="16"/>
        <v>0</v>
      </c>
      <c r="AQ17" s="1124">
        <f t="shared" si="16"/>
        <v>0</v>
      </c>
      <c r="AR17" s="1124">
        <f t="shared" si="16"/>
        <v>0</v>
      </c>
      <c r="AS17" s="1124">
        <f t="shared" si="16"/>
        <v>0</v>
      </c>
      <c r="AT17" s="3"/>
      <c r="AU17" s="1312">
        <f ca="1">+Base!E17</f>
        <v>437700</v>
      </c>
      <c r="AV17" s="81">
        <f t="shared" ca="1" si="7"/>
        <v>0</v>
      </c>
      <c r="AW17" s="562"/>
      <c r="AX17" s="49"/>
      <c r="AY17" s="49"/>
      <c r="AZ17" s="42"/>
      <c r="BA17" s="49"/>
      <c r="BB17" s="49"/>
      <c r="BC17" s="39"/>
      <c r="BD17" s="39"/>
      <c r="BE17" s="39"/>
      <c r="BF17" s="49"/>
      <c r="BG17" s="49"/>
      <c r="BH17" s="49"/>
      <c r="BI17" s="49"/>
      <c r="BJ17" s="39"/>
      <c r="BK17" s="49"/>
      <c r="BL17" s="39"/>
      <c r="BM17" s="39"/>
      <c r="BN17" s="49"/>
      <c r="BO17" s="49"/>
      <c r="BP17" s="49"/>
      <c r="BQ17" s="49"/>
      <c r="BR17" s="49"/>
      <c r="BS17" s="49"/>
      <c r="BT17" s="49"/>
      <c r="BU17" s="49"/>
      <c r="BV17" s="49"/>
      <c r="BW17" s="49"/>
      <c r="BX17" s="49"/>
      <c r="BY17" s="49"/>
      <c r="BZ17" s="49"/>
      <c r="CA17" s="44"/>
      <c r="CB17" s="49"/>
      <c r="CC17" s="49"/>
      <c r="CD17" s="49"/>
      <c r="CE17" s="49"/>
      <c r="CF17" s="49"/>
      <c r="CG17" s="49"/>
      <c r="CH17" s="49"/>
      <c r="CI17" s="49"/>
      <c r="CJ17" s="49"/>
      <c r="CK17" s="49"/>
      <c r="CL17" s="49"/>
      <c r="CM17" s="49"/>
      <c r="CN17" s="49"/>
    </row>
    <row r="18" spans="1:92" ht="15.6">
      <c r="A18" s="1425"/>
      <c r="B18" s="719" t="s">
        <v>921</v>
      </c>
      <c r="C18" s="450"/>
      <c r="D18" s="302"/>
      <c r="E18" s="35">
        <f t="shared" ca="1" si="5"/>
        <v>0</v>
      </c>
      <c r="F18" s="1126">
        <v>0</v>
      </c>
      <c r="G18" s="1125">
        <f t="shared" ref="G18:AS18" si="17">ROUND((+F18+F38+F133+F134+F135)*IF(G$7-$F7&lt;=Total_Years-1,1,0)/Round_To,0)*Round_To</f>
        <v>0</v>
      </c>
      <c r="H18" s="1125">
        <f t="shared" si="17"/>
        <v>0</v>
      </c>
      <c r="I18" s="1125">
        <f t="shared" si="17"/>
        <v>0</v>
      </c>
      <c r="J18" s="1125">
        <f t="shared" si="17"/>
        <v>0</v>
      </c>
      <c r="K18" s="1125">
        <f t="shared" si="17"/>
        <v>0</v>
      </c>
      <c r="L18" s="1125">
        <f t="shared" si="17"/>
        <v>0</v>
      </c>
      <c r="M18" s="1125">
        <f t="shared" si="17"/>
        <v>0</v>
      </c>
      <c r="N18" s="1125">
        <f t="shared" si="17"/>
        <v>0</v>
      </c>
      <c r="O18" s="1125">
        <f t="shared" si="17"/>
        <v>0</v>
      </c>
      <c r="P18" s="1125">
        <f t="shared" si="17"/>
        <v>0</v>
      </c>
      <c r="Q18" s="1125">
        <f t="shared" si="17"/>
        <v>0</v>
      </c>
      <c r="R18" s="1125">
        <f t="shared" si="17"/>
        <v>0</v>
      </c>
      <c r="S18" s="1125">
        <f t="shared" si="17"/>
        <v>0</v>
      </c>
      <c r="T18" s="1125">
        <f t="shared" si="17"/>
        <v>0</v>
      </c>
      <c r="U18" s="1125">
        <f t="shared" si="17"/>
        <v>0</v>
      </c>
      <c r="V18" s="1125">
        <f t="shared" si="17"/>
        <v>0</v>
      </c>
      <c r="W18" s="1125">
        <f t="shared" si="17"/>
        <v>0</v>
      </c>
      <c r="X18" s="1125">
        <f t="shared" si="17"/>
        <v>0</v>
      </c>
      <c r="Y18" s="1125">
        <f t="shared" si="17"/>
        <v>0</v>
      </c>
      <c r="Z18" s="1125">
        <f t="shared" si="17"/>
        <v>0</v>
      </c>
      <c r="AA18" s="1125">
        <f t="shared" si="17"/>
        <v>0</v>
      </c>
      <c r="AB18" s="1125">
        <f t="shared" si="17"/>
        <v>0</v>
      </c>
      <c r="AC18" s="1125">
        <f t="shared" si="17"/>
        <v>0</v>
      </c>
      <c r="AD18" s="1125">
        <f t="shared" si="17"/>
        <v>0</v>
      </c>
      <c r="AE18" s="1125">
        <f t="shared" si="17"/>
        <v>0</v>
      </c>
      <c r="AF18" s="1125">
        <f t="shared" si="17"/>
        <v>0</v>
      </c>
      <c r="AG18" s="1125">
        <f t="shared" si="17"/>
        <v>0</v>
      </c>
      <c r="AH18" s="1125">
        <f t="shared" si="17"/>
        <v>0</v>
      </c>
      <c r="AI18" s="1125">
        <f t="shared" si="17"/>
        <v>0</v>
      </c>
      <c r="AJ18" s="1125">
        <f t="shared" si="17"/>
        <v>0</v>
      </c>
      <c r="AK18" s="1125">
        <f t="shared" si="17"/>
        <v>0</v>
      </c>
      <c r="AL18" s="1125">
        <f t="shared" si="17"/>
        <v>0</v>
      </c>
      <c r="AM18" s="1125">
        <f t="shared" si="17"/>
        <v>0</v>
      </c>
      <c r="AN18" s="1125">
        <f t="shared" si="17"/>
        <v>0</v>
      </c>
      <c r="AO18" s="1125">
        <f t="shared" si="17"/>
        <v>0</v>
      </c>
      <c r="AP18" s="1125">
        <f t="shared" si="17"/>
        <v>0</v>
      </c>
      <c r="AQ18" s="1125">
        <f t="shared" si="17"/>
        <v>0</v>
      </c>
      <c r="AR18" s="1125">
        <f t="shared" si="17"/>
        <v>0</v>
      </c>
      <c r="AS18" s="1125">
        <f t="shared" si="17"/>
        <v>0</v>
      </c>
      <c r="AT18" s="42"/>
      <c r="AU18" s="1313">
        <f ca="1">+Base!E18</f>
        <v>0</v>
      </c>
      <c r="AV18" s="83">
        <f t="shared" ca="1" si="7"/>
        <v>0</v>
      </c>
      <c r="AW18" s="562"/>
      <c r="AX18" s="49"/>
      <c r="AY18" s="49"/>
      <c r="AZ18" s="42"/>
      <c r="BA18" s="49"/>
      <c r="BB18" s="49"/>
      <c r="BC18" s="39"/>
      <c r="BD18" s="39"/>
      <c r="BE18" s="39"/>
      <c r="BF18" s="49"/>
      <c r="BG18" s="49"/>
      <c r="BH18" s="49"/>
      <c r="BI18" s="49"/>
      <c r="BJ18" s="39"/>
      <c r="BK18" s="49"/>
      <c r="BL18" s="39"/>
      <c r="BM18" s="39"/>
      <c r="BN18" s="49"/>
      <c r="BO18" s="49"/>
      <c r="BP18" s="49"/>
      <c r="BQ18" s="49"/>
      <c r="BR18" s="49"/>
      <c r="BS18" s="49"/>
      <c r="BT18" s="49"/>
      <c r="BU18" s="49"/>
      <c r="BV18" s="49"/>
      <c r="BW18" s="49"/>
      <c r="BX18" s="49"/>
      <c r="BY18" s="49"/>
      <c r="BZ18" s="49"/>
      <c r="CA18" s="44"/>
      <c r="CB18" s="49"/>
      <c r="CC18" s="49"/>
      <c r="CD18" s="49"/>
      <c r="CE18" s="49"/>
      <c r="CF18" s="49"/>
      <c r="CG18" s="49"/>
      <c r="CH18" s="49"/>
      <c r="CI18" s="49"/>
      <c r="CJ18" s="49"/>
      <c r="CK18" s="49"/>
      <c r="CL18" s="49"/>
      <c r="CM18" s="49"/>
      <c r="CN18" s="49"/>
    </row>
    <row r="19" spans="1:92" ht="15.6">
      <c r="A19" s="1425"/>
      <c r="B19" s="28" t="s">
        <v>635</v>
      </c>
      <c r="C19" s="998" t="str">
        <f ca="1">IF(OR($E$8&lt;0,$E$11&lt;0,$E$14&lt;0,$E$18&lt;0),"Negative! Adjust factors.",".")</f>
        <v>.</v>
      </c>
      <c r="D19" s="312"/>
      <c r="E19" s="33">
        <f t="shared" ca="1" si="5"/>
        <v>2702400</v>
      </c>
      <c r="F19" s="1124">
        <f t="shared" ref="F19:AS19" si="18">ROUND(+F8+F11+F14+F17+F18,0)</f>
        <v>1000000</v>
      </c>
      <c r="G19" s="1124">
        <f t="shared" si="18"/>
        <v>1003900</v>
      </c>
      <c r="H19" s="1124">
        <f t="shared" si="18"/>
        <v>1020200</v>
      </c>
      <c r="I19" s="1124">
        <f t="shared" si="18"/>
        <v>1023600</v>
      </c>
      <c r="J19" s="1124">
        <f t="shared" si="18"/>
        <v>1026400</v>
      </c>
      <c r="K19" s="1124">
        <f t="shared" si="18"/>
        <v>1028500</v>
      </c>
      <c r="L19" s="1124">
        <f t="shared" si="18"/>
        <v>1050200</v>
      </c>
      <c r="M19" s="1124">
        <f t="shared" si="18"/>
        <v>1072700</v>
      </c>
      <c r="N19" s="1124">
        <f t="shared" si="18"/>
        <v>1094600</v>
      </c>
      <c r="O19" s="1124">
        <f t="shared" si="18"/>
        <v>1169500</v>
      </c>
      <c r="P19" s="1124">
        <f t="shared" si="18"/>
        <v>1219000</v>
      </c>
      <c r="Q19" s="1124">
        <f t="shared" si="18"/>
        <v>1189100</v>
      </c>
      <c r="R19" s="1124">
        <f t="shared" si="18"/>
        <v>1340600</v>
      </c>
      <c r="S19" s="1124">
        <f t="shared" si="18"/>
        <v>1377500</v>
      </c>
      <c r="T19" s="1124">
        <f t="shared" si="18"/>
        <v>1436400</v>
      </c>
      <c r="U19" s="1124">
        <f t="shared" si="18"/>
        <v>1417200</v>
      </c>
      <c r="V19" s="1124">
        <f t="shared" si="18"/>
        <v>1599600</v>
      </c>
      <c r="W19" s="1124">
        <f t="shared" si="18"/>
        <v>1671600</v>
      </c>
      <c r="X19" s="1124">
        <f t="shared" si="18"/>
        <v>1746500</v>
      </c>
      <c r="Y19" s="1124">
        <f t="shared" si="18"/>
        <v>1786500</v>
      </c>
      <c r="Z19" s="1124">
        <f t="shared" si="18"/>
        <v>1827200</v>
      </c>
      <c r="AA19" s="1124">
        <f t="shared" si="18"/>
        <v>1868600</v>
      </c>
      <c r="AB19" s="1124">
        <f t="shared" si="18"/>
        <v>1910200</v>
      </c>
      <c r="AC19" s="1124">
        <f t="shared" si="18"/>
        <v>2356100</v>
      </c>
      <c r="AD19" s="1124">
        <f t="shared" si="18"/>
        <v>2414800</v>
      </c>
      <c r="AE19" s="1124">
        <f t="shared" si="18"/>
        <v>2544900</v>
      </c>
      <c r="AF19" s="1124">
        <f t="shared" si="18"/>
        <v>2576100</v>
      </c>
      <c r="AG19" s="1124">
        <f t="shared" si="18"/>
        <v>2606300</v>
      </c>
      <c r="AH19" s="1124">
        <f t="shared" si="18"/>
        <v>2638500</v>
      </c>
      <c r="AI19" s="1124">
        <f t="shared" si="18"/>
        <v>2670800</v>
      </c>
      <c r="AJ19" s="1124">
        <f t="shared" si="18"/>
        <v>0</v>
      </c>
      <c r="AK19" s="1124">
        <f t="shared" si="18"/>
        <v>0</v>
      </c>
      <c r="AL19" s="1124">
        <f t="shared" si="18"/>
        <v>0</v>
      </c>
      <c r="AM19" s="1124">
        <f t="shared" si="18"/>
        <v>0</v>
      </c>
      <c r="AN19" s="1124">
        <f t="shared" si="18"/>
        <v>0</v>
      </c>
      <c r="AO19" s="1124">
        <f t="shared" si="18"/>
        <v>0</v>
      </c>
      <c r="AP19" s="1124">
        <f t="shared" si="18"/>
        <v>0</v>
      </c>
      <c r="AQ19" s="1124">
        <f t="shared" si="18"/>
        <v>0</v>
      </c>
      <c r="AR19" s="1124">
        <f t="shared" si="18"/>
        <v>0</v>
      </c>
      <c r="AS19" s="1124">
        <f t="shared" si="18"/>
        <v>0</v>
      </c>
      <c r="AT19" s="42"/>
      <c r="AU19" s="1312">
        <f ca="1">+Base!E19</f>
        <v>2702400</v>
      </c>
      <c r="AV19" s="81">
        <f t="shared" ca="1" si="7"/>
        <v>0</v>
      </c>
      <c r="AW19" s="562"/>
      <c r="AX19" s="49"/>
      <c r="AY19" s="49"/>
      <c r="AZ19" s="42"/>
      <c r="BA19" s="49"/>
      <c r="BB19" s="49"/>
      <c r="BC19" s="39"/>
      <c r="BD19" s="39"/>
      <c r="BE19" s="39"/>
      <c r="BF19" s="49"/>
      <c r="BG19" s="49"/>
      <c r="BH19" s="49"/>
      <c r="BI19" s="49"/>
      <c r="BJ19" s="39"/>
      <c r="BK19" s="49"/>
      <c r="BL19" s="39"/>
      <c r="BM19" s="39"/>
      <c r="BN19" s="49"/>
      <c r="BO19" s="49"/>
      <c r="BP19" s="49"/>
      <c r="BQ19" s="49"/>
      <c r="BR19" s="49"/>
      <c r="BS19" s="49"/>
      <c r="BT19" s="49"/>
      <c r="BU19" s="49"/>
      <c r="BV19" s="49"/>
      <c r="BW19" s="49"/>
      <c r="BX19" s="49"/>
      <c r="BY19" s="49"/>
      <c r="BZ19" s="49"/>
      <c r="CA19" s="44"/>
      <c r="CB19" s="49"/>
      <c r="CC19" s="49"/>
      <c r="CD19" s="49"/>
      <c r="CE19" s="49"/>
      <c r="CF19" s="49"/>
      <c r="CG19" s="49"/>
      <c r="CH19" s="49"/>
      <c r="CI19" s="49"/>
      <c r="CJ19" s="49"/>
      <c r="CK19" s="49"/>
      <c r="CL19" s="49"/>
      <c r="CM19" s="49"/>
      <c r="CN19" s="49"/>
    </row>
    <row r="20" spans="1:92" ht="15.6">
      <c r="A20" s="1425"/>
      <c r="B20" s="361" t="str">
        <f>IF(Negative_Full&gt;0,"Negative balances in one or more years. Adjust setup factors.","")</f>
        <v/>
      </c>
      <c r="C20" s="999"/>
      <c r="D20" s="361"/>
      <c r="E20" s="361"/>
      <c r="F20" s="119" t="str">
        <f>IF(OR(F8&lt;0,F9&lt;0,F10&lt;0,F12&lt;0,F13&lt;0,F15&lt;0,F16&lt;0,F18&lt;0),"Negative"," ")</f>
        <v xml:space="preserve"> </v>
      </c>
      <c r="G20" s="119" t="str">
        <f t="shared" ref="G20:AS20" si="19">IF(OR(G8&lt;0,G9&lt;0,G10&lt;0,G12&lt;0,G13&lt;0,G15&lt;0,G16&lt;0,G18&lt;0),"Negative"," ")</f>
        <v xml:space="preserve"> </v>
      </c>
      <c r="H20" s="119" t="str">
        <f t="shared" si="19"/>
        <v xml:space="preserve"> </v>
      </c>
      <c r="I20" s="119" t="str">
        <f t="shared" si="19"/>
        <v xml:space="preserve"> </v>
      </c>
      <c r="J20" s="119" t="str">
        <f t="shared" si="19"/>
        <v xml:space="preserve"> </v>
      </c>
      <c r="K20" s="119" t="str">
        <f t="shared" si="19"/>
        <v xml:space="preserve"> </v>
      </c>
      <c r="L20" s="119" t="str">
        <f t="shared" si="19"/>
        <v xml:space="preserve"> </v>
      </c>
      <c r="M20" s="119" t="str">
        <f t="shared" si="19"/>
        <v xml:space="preserve"> </v>
      </c>
      <c r="N20" s="119" t="str">
        <f t="shared" si="19"/>
        <v xml:space="preserve"> </v>
      </c>
      <c r="O20" s="119" t="str">
        <f t="shared" si="19"/>
        <v xml:space="preserve"> </v>
      </c>
      <c r="P20" s="119" t="str">
        <f t="shared" si="19"/>
        <v xml:space="preserve"> </v>
      </c>
      <c r="Q20" s="119" t="str">
        <f t="shared" si="19"/>
        <v xml:space="preserve"> </v>
      </c>
      <c r="R20" s="119" t="str">
        <f t="shared" si="19"/>
        <v xml:space="preserve"> </v>
      </c>
      <c r="S20" s="119" t="str">
        <f t="shared" si="19"/>
        <v xml:space="preserve"> </v>
      </c>
      <c r="T20" s="119" t="str">
        <f t="shared" si="19"/>
        <v xml:space="preserve"> </v>
      </c>
      <c r="U20" s="119" t="str">
        <f t="shared" si="19"/>
        <v xml:space="preserve"> </v>
      </c>
      <c r="V20" s="119" t="str">
        <f t="shared" si="19"/>
        <v xml:space="preserve"> </v>
      </c>
      <c r="W20" s="119" t="str">
        <f t="shared" si="19"/>
        <v xml:space="preserve"> </v>
      </c>
      <c r="X20" s="119" t="str">
        <f t="shared" si="19"/>
        <v xml:space="preserve"> </v>
      </c>
      <c r="Y20" s="119" t="str">
        <f t="shared" si="19"/>
        <v xml:space="preserve"> </v>
      </c>
      <c r="Z20" s="119" t="str">
        <f t="shared" si="19"/>
        <v xml:space="preserve"> </v>
      </c>
      <c r="AA20" s="119" t="str">
        <f t="shared" si="19"/>
        <v xml:space="preserve"> </v>
      </c>
      <c r="AB20" s="119" t="str">
        <f t="shared" si="19"/>
        <v xml:space="preserve"> </v>
      </c>
      <c r="AC20" s="119" t="str">
        <f t="shared" si="19"/>
        <v xml:space="preserve"> </v>
      </c>
      <c r="AD20" s="119" t="str">
        <f t="shared" si="19"/>
        <v xml:space="preserve"> </v>
      </c>
      <c r="AE20" s="119" t="str">
        <f t="shared" si="19"/>
        <v xml:space="preserve"> </v>
      </c>
      <c r="AF20" s="119" t="str">
        <f t="shared" si="19"/>
        <v xml:space="preserve"> </v>
      </c>
      <c r="AG20" s="119" t="str">
        <f t="shared" si="19"/>
        <v xml:space="preserve"> </v>
      </c>
      <c r="AH20" s="119" t="str">
        <f t="shared" si="19"/>
        <v xml:space="preserve"> </v>
      </c>
      <c r="AI20" s="119" t="str">
        <f t="shared" si="19"/>
        <v xml:space="preserve"> </v>
      </c>
      <c r="AJ20" s="119" t="str">
        <f t="shared" si="19"/>
        <v xml:space="preserve"> </v>
      </c>
      <c r="AK20" s="119" t="str">
        <f t="shared" si="19"/>
        <v xml:space="preserve"> </v>
      </c>
      <c r="AL20" s="119" t="str">
        <f t="shared" si="19"/>
        <v xml:space="preserve"> </v>
      </c>
      <c r="AM20" s="119" t="str">
        <f t="shared" si="19"/>
        <v xml:space="preserve"> </v>
      </c>
      <c r="AN20" s="119" t="str">
        <f t="shared" si="19"/>
        <v xml:space="preserve"> </v>
      </c>
      <c r="AO20" s="119" t="str">
        <f t="shared" si="19"/>
        <v xml:space="preserve"> </v>
      </c>
      <c r="AP20" s="119" t="str">
        <f t="shared" si="19"/>
        <v xml:space="preserve"> </v>
      </c>
      <c r="AQ20" s="119" t="str">
        <f t="shared" si="19"/>
        <v xml:space="preserve"> </v>
      </c>
      <c r="AR20" s="119" t="str">
        <f t="shared" si="19"/>
        <v xml:space="preserve"> </v>
      </c>
      <c r="AS20" s="119" t="str">
        <f t="shared" si="19"/>
        <v xml:space="preserve"> </v>
      </c>
      <c r="AT20" s="380">
        <f>40-COUNTIF(F20:AS20," ")</f>
        <v>0</v>
      </c>
      <c r="AU20" s="197" t="s">
        <v>1537</v>
      </c>
      <c r="AV20" s="48"/>
      <c r="AW20" s="361"/>
      <c r="AX20" s="49"/>
      <c r="AY20" s="49"/>
      <c r="AZ20" s="42"/>
      <c r="BA20" s="49"/>
      <c r="BB20" s="49"/>
      <c r="BC20" s="39"/>
      <c r="BD20" s="39"/>
      <c r="BE20" s="39"/>
      <c r="BF20" s="49"/>
      <c r="BG20" s="49"/>
      <c r="BH20" s="49"/>
      <c r="BI20" s="49"/>
      <c r="BJ20" s="39"/>
      <c r="BK20" s="49"/>
      <c r="BL20" s="39"/>
      <c r="BM20" s="39"/>
      <c r="BN20" s="49"/>
      <c r="BO20" s="49"/>
      <c r="BP20" s="49"/>
      <c r="BQ20" s="49"/>
      <c r="BR20" s="49"/>
      <c r="BS20" s="49"/>
      <c r="BT20" s="49"/>
      <c r="BU20" s="49"/>
      <c r="BV20" s="49"/>
      <c r="BW20" s="49"/>
      <c r="BX20" s="49"/>
      <c r="BY20" s="49"/>
      <c r="BZ20" s="49"/>
      <c r="CA20" s="44"/>
      <c r="CB20" s="49"/>
      <c r="CC20" s="49"/>
      <c r="CD20" s="49"/>
      <c r="CE20" s="49"/>
      <c r="CF20" s="49"/>
      <c r="CG20" s="49"/>
      <c r="CH20" s="49"/>
      <c r="CI20" s="49"/>
      <c r="CJ20" s="49"/>
      <c r="CK20" s="49"/>
      <c r="CL20" s="49"/>
      <c r="CM20" s="49"/>
      <c r="CN20" s="49"/>
    </row>
    <row r="21" spans="1:92" ht="17.399999999999999">
      <c r="A21" s="1425"/>
      <c r="B21" s="1025" t="s">
        <v>448</v>
      </c>
      <c r="C21" s="422"/>
      <c r="D21" s="1352" t="s">
        <v>600</v>
      </c>
      <c r="E21" s="29"/>
      <c r="F21" s="1012" t="str">
        <f t="shared" ref="F21:AS21" si="20">IF(Change_Age=F4,"rate chg","")</f>
        <v/>
      </c>
      <c r="G21" s="1012" t="str">
        <f t="shared" si="20"/>
        <v/>
      </c>
      <c r="H21" s="1012" t="str">
        <f t="shared" si="20"/>
        <v/>
      </c>
      <c r="I21" s="1012" t="str">
        <f t="shared" si="20"/>
        <v/>
      </c>
      <c r="J21" s="1012" t="str">
        <f t="shared" si="20"/>
        <v/>
      </c>
      <c r="K21" s="1012" t="str">
        <f t="shared" si="20"/>
        <v/>
      </c>
      <c r="L21" s="1012" t="str">
        <f t="shared" si="20"/>
        <v/>
      </c>
      <c r="M21" s="1012" t="str">
        <f t="shared" si="20"/>
        <v/>
      </c>
      <c r="N21" s="1012" t="str">
        <f t="shared" si="20"/>
        <v/>
      </c>
      <c r="O21" s="1012" t="str">
        <f t="shared" si="20"/>
        <v/>
      </c>
      <c r="P21" s="1012" t="str">
        <f t="shared" si="20"/>
        <v/>
      </c>
      <c r="Q21" s="1012" t="str">
        <f t="shared" si="20"/>
        <v/>
      </c>
      <c r="R21" s="1012" t="str">
        <f t="shared" si="20"/>
        <v/>
      </c>
      <c r="S21" s="1012" t="str">
        <f t="shared" si="20"/>
        <v/>
      </c>
      <c r="T21" s="1012" t="str">
        <f t="shared" si="20"/>
        <v/>
      </c>
      <c r="U21" s="1012" t="str">
        <f t="shared" si="20"/>
        <v/>
      </c>
      <c r="V21" s="1012" t="str">
        <f t="shared" si="20"/>
        <v/>
      </c>
      <c r="W21" s="1012" t="str">
        <f t="shared" si="20"/>
        <v/>
      </c>
      <c r="X21" s="1012" t="str">
        <f t="shared" si="20"/>
        <v>rate chg</v>
      </c>
      <c r="Y21" s="1012" t="str">
        <f t="shared" si="20"/>
        <v/>
      </c>
      <c r="Z21" s="1012" t="str">
        <f t="shared" si="20"/>
        <v/>
      </c>
      <c r="AA21" s="1012" t="str">
        <f t="shared" si="20"/>
        <v/>
      </c>
      <c r="AB21" s="1012" t="str">
        <f t="shared" si="20"/>
        <v/>
      </c>
      <c r="AC21" s="1012" t="str">
        <f t="shared" si="20"/>
        <v/>
      </c>
      <c r="AD21" s="1012" t="str">
        <f t="shared" si="20"/>
        <v/>
      </c>
      <c r="AE21" s="1012" t="str">
        <f t="shared" si="20"/>
        <v/>
      </c>
      <c r="AF21" s="1012" t="str">
        <f t="shared" si="20"/>
        <v/>
      </c>
      <c r="AG21" s="1012" t="str">
        <f t="shared" si="20"/>
        <v/>
      </c>
      <c r="AH21" s="1012" t="str">
        <f t="shared" si="20"/>
        <v/>
      </c>
      <c r="AI21" s="1012" t="str">
        <f t="shared" si="20"/>
        <v/>
      </c>
      <c r="AJ21" s="1012" t="str">
        <f t="shared" si="20"/>
        <v/>
      </c>
      <c r="AK21" s="1012" t="str">
        <f t="shared" si="20"/>
        <v/>
      </c>
      <c r="AL21" s="1012" t="str">
        <f t="shared" si="20"/>
        <v/>
      </c>
      <c r="AM21" s="1012" t="str">
        <f t="shared" si="20"/>
        <v/>
      </c>
      <c r="AN21" s="1012" t="str">
        <f t="shared" si="20"/>
        <v/>
      </c>
      <c r="AO21" s="1012" t="str">
        <f t="shared" si="20"/>
        <v/>
      </c>
      <c r="AP21" s="1012" t="str">
        <f t="shared" si="20"/>
        <v/>
      </c>
      <c r="AQ21" s="1012" t="str">
        <f t="shared" si="20"/>
        <v/>
      </c>
      <c r="AR21" s="1012" t="str">
        <f t="shared" si="20"/>
        <v/>
      </c>
      <c r="AS21" s="1012" t="str">
        <f t="shared" si="20"/>
        <v/>
      </c>
      <c r="AT21" s="380"/>
      <c r="AU21" s="197"/>
      <c r="AV21" s="48"/>
      <c r="AW21" s="29"/>
      <c r="AX21" s="49"/>
      <c r="AY21" s="49"/>
      <c r="AZ21" s="42"/>
      <c r="BA21" s="49"/>
      <c r="BB21" s="49"/>
      <c r="BC21" s="39"/>
      <c r="BD21" s="39"/>
      <c r="BE21" s="39"/>
      <c r="BF21" s="49"/>
      <c r="BG21" s="49"/>
      <c r="BH21" s="49"/>
      <c r="BI21" s="49"/>
      <c r="BJ21" s="39"/>
      <c r="BK21" s="49"/>
      <c r="BL21" s="39"/>
      <c r="BM21" s="39"/>
      <c r="BN21" s="49"/>
      <c r="BO21" s="49"/>
      <c r="BP21" s="49"/>
      <c r="BQ21" s="49"/>
      <c r="BR21" s="49"/>
      <c r="BS21" s="49"/>
      <c r="BT21" s="49"/>
      <c r="BU21" s="49"/>
      <c r="BV21" s="49"/>
      <c r="BW21" s="49"/>
      <c r="BX21" s="49"/>
      <c r="BY21" s="49"/>
      <c r="BZ21" s="49"/>
      <c r="CA21" s="44"/>
      <c r="CB21" s="49"/>
      <c r="CC21" s="49"/>
      <c r="CD21" s="49"/>
      <c r="CE21" s="49"/>
      <c r="CF21" s="49"/>
      <c r="CG21" s="49"/>
      <c r="CH21" s="49"/>
      <c r="CI21" s="49"/>
      <c r="CJ21" s="49"/>
      <c r="CK21" s="49"/>
      <c r="CL21" s="49"/>
      <c r="CM21" s="49"/>
      <c r="CN21" s="49"/>
    </row>
    <row r="22" spans="1:92" ht="15.6" hidden="1">
      <c r="A22" s="1427" t="s">
        <v>1578</v>
      </c>
      <c r="B22" s="552" t="s">
        <v>75</v>
      </c>
      <c r="C22" s="437"/>
      <c r="D22" s="1662" t="str">
        <f>"Rate change year: " &amp; IF(Change_Age&gt;0,Change_Age-Your_Age+First_Year,First_Year)</f>
        <v>Rate change year: 2037</v>
      </c>
      <c r="E22" s="29"/>
      <c r="F22" s="117">
        <f t="shared" ref="F22:AS22" si="21">IF(AND(Use_Class="c",F$4&gt;=Change_Age),Taxable_Return2,Taxable_Return)</f>
        <v>0.05</v>
      </c>
      <c r="G22" s="117">
        <f t="shared" si="21"/>
        <v>0.05</v>
      </c>
      <c r="H22" s="117">
        <f t="shared" si="21"/>
        <v>0.05</v>
      </c>
      <c r="I22" s="117">
        <f t="shared" si="21"/>
        <v>0.05</v>
      </c>
      <c r="J22" s="117">
        <f t="shared" si="21"/>
        <v>0.05</v>
      </c>
      <c r="K22" s="117">
        <f t="shared" si="21"/>
        <v>0.05</v>
      </c>
      <c r="L22" s="117">
        <f t="shared" si="21"/>
        <v>0.05</v>
      </c>
      <c r="M22" s="117">
        <f t="shared" si="21"/>
        <v>0.05</v>
      </c>
      <c r="N22" s="117">
        <f t="shared" si="21"/>
        <v>0.05</v>
      </c>
      <c r="O22" s="117">
        <f t="shared" si="21"/>
        <v>0.05</v>
      </c>
      <c r="P22" s="117">
        <f t="shared" si="21"/>
        <v>0.05</v>
      </c>
      <c r="Q22" s="117">
        <f t="shared" si="21"/>
        <v>0.05</v>
      </c>
      <c r="R22" s="117">
        <f t="shared" si="21"/>
        <v>0.05</v>
      </c>
      <c r="S22" s="117">
        <f t="shared" si="21"/>
        <v>0.05</v>
      </c>
      <c r="T22" s="117">
        <f t="shared" si="21"/>
        <v>0.05</v>
      </c>
      <c r="U22" s="117">
        <f t="shared" si="21"/>
        <v>0.05</v>
      </c>
      <c r="V22" s="117">
        <f t="shared" si="21"/>
        <v>0.05</v>
      </c>
      <c r="W22" s="117">
        <f t="shared" si="21"/>
        <v>0.05</v>
      </c>
      <c r="X22" s="117">
        <f t="shared" si="21"/>
        <v>4.1000000000000002E-2</v>
      </c>
      <c r="Y22" s="117">
        <f t="shared" si="21"/>
        <v>4.1000000000000002E-2</v>
      </c>
      <c r="Z22" s="117">
        <f t="shared" si="21"/>
        <v>4.1000000000000002E-2</v>
      </c>
      <c r="AA22" s="117">
        <f t="shared" si="21"/>
        <v>4.1000000000000002E-2</v>
      </c>
      <c r="AB22" s="117">
        <f t="shared" si="21"/>
        <v>4.1000000000000002E-2</v>
      </c>
      <c r="AC22" s="117">
        <f t="shared" si="21"/>
        <v>4.1000000000000002E-2</v>
      </c>
      <c r="AD22" s="117">
        <f t="shared" si="21"/>
        <v>4.1000000000000002E-2</v>
      </c>
      <c r="AE22" s="117">
        <f t="shared" si="21"/>
        <v>4.1000000000000002E-2</v>
      </c>
      <c r="AF22" s="117">
        <f t="shared" si="21"/>
        <v>4.1000000000000002E-2</v>
      </c>
      <c r="AG22" s="117">
        <f t="shared" si="21"/>
        <v>4.1000000000000002E-2</v>
      </c>
      <c r="AH22" s="117">
        <f t="shared" si="21"/>
        <v>4.1000000000000002E-2</v>
      </c>
      <c r="AI22" s="117">
        <f t="shared" si="21"/>
        <v>4.1000000000000002E-2</v>
      </c>
      <c r="AJ22" s="117">
        <f t="shared" si="21"/>
        <v>4.1000000000000002E-2</v>
      </c>
      <c r="AK22" s="117">
        <f t="shared" si="21"/>
        <v>4.1000000000000002E-2</v>
      </c>
      <c r="AL22" s="117">
        <f t="shared" si="21"/>
        <v>4.1000000000000002E-2</v>
      </c>
      <c r="AM22" s="117">
        <f t="shared" si="21"/>
        <v>4.1000000000000002E-2</v>
      </c>
      <c r="AN22" s="117">
        <f t="shared" si="21"/>
        <v>4.1000000000000002E-2</v>
      </c>
      <c r="AO22" s="117">
        <f t="shared" si="21"/>
        <v>4.1000000000000002E-2</v>
      </c>
      <c r="AP22" s="117">
        <f t="shared" si="21"/>
        <v>4.1000000000000002E-2</v>
      </c>
      <c r="AQ22" s="117">
        <f t="shared" si="21"/>
        <v>4.1000000000000002E-2</v>
      </c>
      <c r="AR22" s="117">
        <f t="shared" si="21"/>
        <v>4.1000000000000002E-2</v>
      </c>
      <c r="AS22" s="117">
        <f t="shared" si="21"/>
        <v>4.1000000000000002E-2</v>
      </c>
      <c r="AT22" s="380"/>
      <c r="AU22" s="117"/>
      <c r="AV22" s="118"/>
      <c r="AW22" s="29"/>
      <c r="AX22" s="49"/>
      <c r="AY22" s="49"/>
      <c r="AZ22" s="42"/>
      <c r="BA22" s="49"/>
      <c r="BB22" s="49"/>
      <c r="BC22" s="39"/>
      <c r="BD22" s="39"/>
      <c r="BE22" s="39"/>
      <c r="BF22" s="49"/>
      <c r="BG22" s="49"/>
      <c r="BH22" s="49"/>
      <c r="BI22" s="49"/>
      <c r="BJ22" s="39"/>
      <c r="BK22" s="49"/>
      <c r="BL22" s="39"/>
      <c r="BM22" s="39"/>
      <c r="BN22" s="49"/>
      <c r="BO22" s="49"/>
      <c r="BP22" s="49"/>
      <c r="BQ22" s="49"/>
      <c r="BR22" s="49"/>
      <c r="BS22" s="49"/>
      <c r="BT22" s="49"/>
      <c r="BU22" s="49"/>
      <c r="BV22" s="49"/>
      <c r="BW22" s="49"/>
      <c r="BX22" s="49"/>
      <c r="BY22" s="49"/>
      <c r="BZ22" s="49"/>
      <c r="CA22" s="44"/>
      <c r="CB22" s="49"/>
      <c r="CC22" s="49"/>
      <c r="CD22" s="49"/>
      <c r="CE22" s="49"/>
      <c r="CF22" s="49"/>
      <c r="CG22" s="49"/>
      <c r="CH22" s="49"/>
      <c r="CI22" s="49"/>
      <c r="CJ22" s="49"/>
      <c r="CK22" s="49"/>
      <c r="CL22" s="49"/>
      <c r="CM22" s="49"/>
      <c r="CN22" s="49"/>
    </row>
    <row r="23" spans="1:92" ht="15.6" hidden="1">
      <c r="A23" s="1427" t="s">
        <v>1578</v>
      </c>
      <c r="B23" s="552" t="s">
        <v>174</v>
      </c>
      <c r="C23" s="437"/>
      <c r="D23" s="1663" t="str">
        <f>IF(Use_Class="a","Using rates by account method","Using rates by asset class method")</f>
        <v>Using rates by asset class method</v>
      </c>
      <c r="E23" s="29"/>
      <c r="F23" s="117">
        <f t="shared" ref="F23:AS23" si="22">IF(AND(Use_Class="c",F$4&gt;=Change_Age),tIRA_Return2,tIRA_Return)</f>
        <v>6.5000000000000002E-2</v>
      </c>
      <c r="G23" s="117">
        <f t="shared" si="22"/>
        <v>6.5000000000000002E-2</v>
      </c>
      <c r="H23" s="117">
        <f t="shared" si="22"/>
        <v>6.5000000000000002E-2</v>
      </c>
      <c r="I23" s="117">
        <f t="shared" si="22"/>
        <v>6.5000000000000002E-2</v>
      </c>
      <c r="J23" s="117">
        <f t="shared" si="22"/>
        <v>6.5000000000000002E-2</v>
      </c>
      <c r="K23" s="117">
        <f t="shared" si="22"/>
        <v>6.5000000000000002E-2</v>
      </c>
      <c r="L23" s="117">
        <f t="shared" si="22"/>
        <v>6.5000000000000002E-2</v>
      </c>
      <c r="M23" s="117">
        <f t="shared" si="22"/>
        <v>6.5000000000000002E-2</v>
      </c>
      <c r="N23" s="117">
        <f t="shared" si="22"/>
        <v>6.5000000000000002E-2</v>
      </c>
      <c r="O23" s="117">
        <f t="shared" si="22"/>
        <v>6.5000000000000002E-2</v>
      </c>
      <c r="P23" s="117">
        <f t="shared" si="22"/>
        <v>6.5000000000000002E-2</v>
      </c>
      <c r="Q23" s="117">
        <f t="shared" si="22"/>
        <v>6.5000000000000002E-2</v>
      </c>
      <c r="R23" s="117">
        <f t="shared" si="22"/>
        <v>6.5000000000000002E-2</v>
      </c>
      <c r="S23" s="117">
        <f t="shared" si="22"/>
        <v>6.5000000000000002E-2</v>
      </c>
      <c r="T23" s="117">
        <f t="shared" si="22"/>
        <v>6.5000000000000002E-2</v>
      </c>
      <c r="U23" s="117">
        <f t="shared" si="22"/>
        <v>6.5000000000000002E-2</v>
      </c>
      <c r="V23" s="117">
        <f t="shared" si="22"/>
        <v>6.5000000000000002E-2</v>
      </c>
      <c r="W23" s="117">
        <f t="shared" si="22"/>
        <v>6.5000000000000002E-2</v>
      </c>
      <c r="X23" s="117">
        <f t="shared" si="22"/>
        <v>5.6000000000000001E-2</v>
      </c>
      <c r="Y23" s="117">
        <f t="shared" si="22"/>
        <v>5.6000000000000001E-2</v>
      </c>
      <c r="Z23" s="117">
        <f t="shared" si="22"/>
        <v>5.6000000000000001E-2</v>
      </c>
      <c r="AA23" s="117">
        <f t="shared" si="22"/>
        <v>5.6000000000000001E-2</v>
      </c>
      <c r="AB23" s="117">
        <f t="shared" si="22"/>
        <v>5.6000000000000001E-2</v>
      </c>
      <c r="AC23" s="117">
        <f t="shared" si="22"/>
        <v>5.6000000000000001E-2</v>
      </c>
      <c r="AD23" s="117">
        <f t="shared" si="22"/>
        <v>5.6000000000000001E-2</v>
      </c>
      <c r="AE23" s="117">
        <f t="shared" si="22"/>
        <v>5.6000000000000001E-2</v>
      </c>
      <c r="AF23" s="117">
        <f t="shared" si="22"/>
        <v>5.6000000000000001E-2</v>
      </c>
      <c r="AG23" s="117">
        <f t="shared" si="22"/>
        <v>5.6000000000000001E-2</v>
      </c>
      <c r="AH23" s="117">
        <f t="shared" si="22"/>
        <v>5.6000000000000001E-2</v>
      </c>
      <c r="AI23" s="117">
        <f t="shared" si="22"/>
        <v>5.6000000000000001E-2</v>
      </c>
      <c r="AJ23" s="117">
        <f t="shared" si="22"/>
        <v>5.6000000000000001E-2</v>
      </c>
      <c r="AK23" s="117">
        <f t="shared" si="22"/>
        <v>5.6000000000000001E-2</v>
      </c>
      <c r="AL23" s="117">
        <f t="shared" si="22"/>
        <v>5.6000000000000001E-2</v>
      </c>
      <c r="AM23" s="117">
        <f t="shared" si="22"/>
        <v>5.6000000000000001E-2</v>
      </c>
      <c r="AN23" s="117">
        <f t="shared" si="22"/>
        <v>5.6000000000000001E-2</v>
      </c>
      <c r="AO23" s="117">
        <f t="shared" si="22"/>
        <v>5.6000000000000001E-2</v>
      </c>
      <c r="AP23" s="117">
        <f t="shared" si="22"/>
        <v>5.6000000000000001E-2</v>
      </c>
      <c r="AQ23" s="117">
        <f t="shared" si="22"/>
        <v>5.6000000000000001E-2</v>
      </c>
      <c r="AR23" s="117">
        <f t="shared" si="22"/>
        <v>5.6000000000000001E-2</v>
      </c>
      <c r="AS23" s="117">
        <f t="shared" si="22"/>
        <v>5.6000000000000001E-2</v>
      </c>
      <c r="AT23" s="380"/>
      <c r="AU23" s="117"/>
      <c r="AV23" s="118"/>
      <c r="AW23" s="29"/>
      <c r="AX23" s="49"/>
      <c r="AY23" s="49"/>
      <c r="AZ23" s="42"/>
      <c r="BA23" s="49"/>
      <c r="BB23" s="49"/>
      <c r="BC23" s="39"/>
      <c r="BD23" s="39"/>
      <c r="BE23" s="39"/>
      <c r="BF23" s="49"/>
      <c r="BG23" s="49"/>
      <c r="BH23" s="49"/>
      <c r="BI23" s="49"/>
      <c r="BJ23" s="39"/>
      <c r="BK23" s="49"/>
      <c r="BL23" s="39"/>
      <c r="BM23" s="39"/>
      <c r="BN23" s="49"/>
      <c r="BO23" s="49"/>
      <c r="BP23" s="49"/>
      <c r="BQ23" s="49"/>
      <c r="BR23" s="49"/>
      <c r="BS23" s="49"/>
      <c r="BT23" s="49"/>
      <c r="BU23" s="49"/>
      <c r="BV23" s="49"/>
      <c r="BW23" s="49"/>
      <c r="BX23" s="49"/>
      <c r="BY23" s="49"/>
      <c r="BZ23" s="49"/>
      <c r="CA23" s="44"/>
      <c r="CB23" s="49"/>
      <c r="CC23" s="49"/>
      <c r="CD23" s="49"/>
      <c r="CE23" s="49"/>
      <c r="CF23" s="49"/>
      <c r="CG23" s="49"/>
      <c r="CH23" s="49"/>
      <c r="CI23" s="49"/>
      <c r="CJ23" s="49"/>
      <c r="CK23" s="49"/>
      <c r="CL23" s="49"/>
      <c r="CM23" s="49"/>
      <c r="CN23" s="49"/>
    </row>
    <row r="24" spans="1:92" ht="15.6" hidden="1">
      <c r="A24" s="1427" t="s">
        <v>1578</v>
      </c>
      <c r="B24" s="552" t="s">
        <v>725</v>
      </c>
      <c r="C24" s="437"/>
      <c r="D24" s="32"/>
      <c r="E24" s="40"/>
      <c r="F24" s="117">
        <f t="shared" ref="F24:AS24" si="23">IF(AND(Use_Class="c",F$4&gt;=Change_Age),tIRA2_Return2,tIRA2_Return)</f>
        <v>5.8999999999999997E-2</v>
      </c>
      <c r="G24" s="117">
        <f t="shared" si="23"/>
        <v>5.8999999999999997E-2</v>
      </c>
      <c r="H24" s="117">
        <f t="shared" si="23"/>
        <v>5.8999999999999997E-2</v>
      </c>
      <c r="I24" s="117">
        <f t="shared" si="23"/>
        <v>5.8999999999999997E-2</v>
      </c>
      <c r="J24" s="117">
        <f t="shared" si="23"/>
        <v>5.8999999999999997E-2</v>
      </c>
      <c r="K24" s="117">
        <f t="shared" si="23"/>
        <v>5.8999999999999997E-2</v>
      </c>
      <c r="L24" s="117">
        <f t="shared" si="23"/>
        <v>5.8999999999999997E-2</v>
      </c>
      <c r="M24" s="117">
        <f t="shared" si="23"/>
        <v>5.8999999999999997E-2</v>
      </c>
      <c r="N24" s="117">
        <f t="shared" si="23"/>
        <v>5.8999999999999997E-2</v>
      </c>
      <c r="O24" s="117">
        <f t="shared" si="23"/>
        <v>5.8999999999999997E-2</v>
      </c>
      <c r="P24" s="117">
        <f t="shared" si="23"/>
        <v>5.8999999999999997E-2</v>
      </c>
      <c r="Q24" s="117">
        <f t="shared" si="23"/>
        <v>5.8999999999999997E-2</v>
      </c>
      <c r="R24" s="117">
        <f t="shared" si="23"/>
        <v>5.8999999999999997E-2</v>
      </c>
      <c r="S24" s="117">
        <f t="shared" si="23"/>
        <v>5.8999999999999997E-2</v>
      </c>
      <c r="T24" s="117">
        <f t="shared" si="23"/>
        <v>5.8999999999999997E-2</v>
      </c>
      <c r="U24" s="117">
        <f t="shared" si="23"/>
        <v>5.8999999999999997E-2</v>
      </c>
      <c r="V24" s="117">
        <f t="shared" si="23"/>
        <v>5.8999999999999997E-2</v>
      </c>
      <c r="W24" s="117">
        <f t="shared" si="23"/>
        <v>5.8999999999999997E-2</v>
      </c>
      <c r="X24" s="117">
        <f t="shared" si="23"/>
        <v>5.2999999999999999E-2</v>
      </c>
      <c r="Y24" s="117">
        <f t="shared" si="23"/>
        <v>5.2999999999999999E-2</v>
      </c>
      <c r="Z24" s="117">
        <f t="shared" si="23"/>
        <v>5.2999999999999999E-2</v>
      </c>
      <c r="AA24" s="117">
        <f t="shared" si="23"/>
        <v>5.2999999999999999E-2</v>
      </c>
      <c r="AB24" s="117">
        <f t="shared" si="23"/>
        <v>5.2999999999999999E-2</v>
      </c>
      <c r="AC24" s="117">
        <f t="shared" si="23"/>
        <v>5.2999999999999999E-2</v>
      </c>
      <c r="AD24" s="117">
        <f t="shared" si="23"/>
        <v>5.2999999999999999E-2</v>
      </c>
      <c r="AE24" s="117">
        <f t="shared" si="23"/>
        <v>5.2999999999999999E-2</v>
      </c>
      <c r="AF24" s="117">
        <f t="shared" si="23"/>
        <v>5.2999999999999999E-2</v>
      </c>
      <c r="AG24" s="117">
        <f t="shared" si="23"/>
        <v>5.2999999999999999E-2</v>
      </c>
      <c r="AH24" s="117">
        <f t="shared" si="23"/>
        <v>5.2999999999999999E-2</v>
      </c>
      <c r="AI24" s="117">
        <f t="shared" si="23"/>
        <v>5.2999999999999999E-2</v>
      </c>
      <c r="AJ24" s="117">
        <f t="shared" si="23"/>
        <v>5.2999999999999999E-2</v>
      </c>
      <c r="AK24" s="117">
        <f t="shared" si="23"/>
        <v>5.2999999999999999E-2</v>
      </c>
      <c r="AL24" s="117">
        <f t="shared" si="23"/>
        <v>5.2999999999999999E-2</v>
      </c>
      <c r="AM24" s="117">
        <f t="shared" si="23"/>
        <v>5.2999999999999999E-2</v>
      </c>
      <c r="AN24" s="117">
        <f t="shared" si="23"/>
        <v>5.2999999999999999E-2</v>
      </c>
      <c r="AO24" s="117">
        <f t="shared" si="23"/>
        <v>5.2999999999999999E-2</v>
      </c>
      <c r="AP24" s="117">
        <f t="shared" si="23"/>
        <v>5.2999999999999999E-2</v>
      </c>
      <c r="AQ24" s="117">
        <f t="shared" si="23"/>
        <v>5.2999999999999999E-2</v>
      </c>
      <c r="AR24" s="117">
        <f t="shared" si="23"/>
        <v>5.2999999999999999E-2</v>
      </c>
      <c r="AS24" s="117">
        <f t="shared" si="23"/>
        <v>5.2999999999999999E-2</v>
      </c>
      <c r="AT24" s="380"/>
      <c r="AU24" s="117"/>
      <c r="AV24" s="118"/>
      <c r="AW24" s="29"/>
      <c r="AX24" s="49"/>
      <c r="AY24" s="49"/>
      <c r="AZ24" s="42"/>
      <c r="BA24" s="49"/>
      <c r="BB24" s="49"/>
      <c r="BC24" s="39"/>
      <c r="BD24" s="39"/>
      <c r="BE24" s="39"/>
      <c r="BF24" s="49"/>
      <c r="BG24" s="49"/>
      <c r="BH24" s="49"/>
      <c r="BI24" s="49"/>
      <c r="BJ24" s="39"/>
      <c r="BK24" s="49"/>
      <c r="BL24" s="39"/>
      <c r="BM24" s="39"/>
      <c r="BN24" s="49"/>
      <c r="BO24" s="49"/>
      <c r="BP24" s="49"/>
      <c r="BQ24" s="49"/>
      <c r="BR24" s="49"/>
      <c r="BS24" s="49"/>
      <c r="BT24" s="49"/>
      <c r="BU24" s="49"/>
      <c r="BV24" s="49"/>
      <c r="BW24" s="49"/>
      <c r="BX24" s="49"/>
      <c r="BY24" s="49"/>
      <c r="BZ24" s="49"/>
      <c r="CA24" s="44"/>
      <c r="CB24" s="49"/>
      <c r="CC24" s="49"/>
      <c r="CD24" s="49"/>
      <c r="CE24" s="49"/>
      <c r="CF24" s="49"/>
      <c r="CG24" s="49"/>
      <c r="CH24" s="49"/>
      <c r="CI24" s="49"/>
      <c r="CJ24" s="49"/>
      <c r="CK24" s="49"/>
      <c r="CL24" s="49"/>
      <c r="CM24" s="49"/>
      <c r="CN24" s="49"/>
    </row>
    <row r="25" spans="1:92" ht="15.6" hidden="1">
      <c r="A25" s="1427" t="s">
        <v>1578</v>
      </c>
      <c r="B25" s="1603" t="s">
        <v>760</v>
      </c>
      <c r="C25" s="437"/>
      <c r="D25" s="32"/>
      <c r="E25" s="29"/>
      <c r="F25" s="117">
        <f t="shared" ref="F25:AS25" si="24">IF(AND(Use_Class="c",F$4&gt;=Change_Age),Roth_Return2,Roth_Return)</f>
        <v>6.2E-2</v>
      </c>
      <c r="G25" s="117">
        <f t="shared" si="24"/>
        <v>6.2E-2</v>
      </c>
      <c r="H25" s="117">
        <f t="shared" si="24"/>
        <v>6.2E-2</v>
      </c>
      <c r="I25" s="117">
        <f t="shared" si="24"/>
        <v>6.2E-2</v>
      </c>
      <c r="J25" s="117">
        <f t="shared" si="24"/>
        <v>6.2E-2</v>
      </c>
      <c r="K25" s="117">
        <f t="shared" si="24"/>
        <v>6.2E-2</v>
      </c>
      <c r="L25" s="117">
        <f t="shared" si="24"/>
        <v>6.2E-2</v>
      </c>
      <c r="M25" s="117">
        <f t="shared" si="24"/>
        <v>6.2E-2</v>
      </c>
      <c r="N25" s="117">
        <f t="shared" si="24"/>
        <v>6.2E-2</v>
      </c>
      <c r="O25" s="117">
        <f t="shared" si="24"/>
        <v>6.2E-2</v>
      </c>
      <c r="P25" s="117">
        <f t="shared" si="24"/>
        <v>6.2E-2</v>
      </c>
      <c r="Q25" s="117">
        <f t="shared" si="24"/>
        <v>6.2E-2</v>
      </c>
      <c r="R25" s="117">
        <f t="shared" si="24"/>
        <v>6.2E-2</v>
      </c>
      <c r="S25" s="117">
        <f t="shared" si="24"/>
        <v>6.2E-2</v>
      </c>
      <c r="T25" s="117">
        <f t="shared" si="24"/>
        <v>6.2E-2</v>
      </c>
      <c r="U25" s="117">
        <f t="shared" si="24"/>
        <v>6.2E-2</v>
      </c>
      <c r="V25" s="117">
        <f t="shared" si="24"/>
        <v>6.2E-2</v>
      </c>
      <c r="W25" s="117">
        <f t="shared" si="24"/>
        <v>6.2E-2</v>
      </c>
      <c r="X25" s="117">
        <f t="shared" si="24"/>
        <v>5.2999999999999999E-2</v>
      </c>
      <c r="Y25" s="117">
        <f t="shared" si="24"/>
        <v>5.2999999999999999E-2</v>
      </c>
      <c r="Z25" s="117">
        <f t="shared" si="24"/>
        <v>5.2999999999999999E-2</v>
      </c>
      <c r="AA25" s="117">
        <f t="shared" si="24"/>
        <v>5.2999999999999999E-2</v>
      </c>
      <c r="AB25" s="117">
        <f t="shared" si="24"/>
        <v>5.2999999999999999E-2</v>
      </c>
      <c r="AC25" s="117">
        <f t="shared" si="24"/>
        <v>5.2999999999999999E-2</v>
      </c>
      <c r="AD25" s="117">
        <f t="shared" si="24"/>
        <v>5.2999999999999999E-2</v>
      </c>
      <c r="AE25" s="117">
        <f t="shared" si="24"/>
        <v>5.2999999999999999E-2</v>
      </c>
      <c r="AF25" s="117">
        <f t="shared" si="24"/>
        <v>5.2999999999999999E-2</v>
      </c>
      <c r="AG25" s="117">
        <f t="shared" si="24"/>
        <v>5.2999999999999999E-2</v>
      </c>
      <c r="AH25" s="117">
        <f t="shared" si="24"/>
        <v>5.2999999999999999E-2</v>
      </c>
      <c r="AI25" s="117">
        <f t="shared" si="24"/>
        <v>5.2999999999999999E-2</v>
      </c>
      <c r="AJ25" s="117">
        <f t="shared" si="24"/>
        <v>5.2999999999999999E-2</v>
      </c>
      <c r="AK25" s="117">
        <f t="shared" si="24"/>
        <v>5.2999999999999999E-2</v>
      </c>
      <c r="AL25" s="117">
        <f t="shared" si="24"/>
        <v>5.2999999999999999E-2</v>
      </c>
      <c r="AM25" s="117">
        <f t="shared" si="24"/>
        <v>5.2999999999999999E-2</v>
      </c>
      <c r="AN25" s="117">
        <f t="shared" si="24"/>
        <v>5.2999999999999999E-2</v>
      </c>
      <c r="AO25" s="117">
        <f t="shared" si="24"/>
        <v>5.2999999999999999E-2</v>
      </c>
      <c r="AP25" s="117">
        <f t="shared" si="24"/>
        <v>5.2999999999999999E-2</v>
      </c>
      <c r="AQ25" s="117">
        <f t="shared" si="24"/>
        <v>5.2999999999999999E-2</v>
      </c>
      <c r="AR25" s="117">
        <f t="shared" si="24"/>
        <v>5.2999999999999999E-2</v>
      </c>
      <c r="AS25" s="117">
        <f t="shared" si="24"/>
        <v>5.2999999999999999E-2</v>
      </c>
      <c r="AT25" s="380"/>
      <c r="AU25" s="117"/>
      <c r="AV25" s="118"/>
      <c r="AW25" s="29"/>
      <c r="AX25" s="49"/>
      <c r="AY25" s="49"/>
      <c r="AZ25" s="42"/>
      <c r="BA25" s="49"/>
      <c r="BB25" s="49"/>
      <c r="BC25" s="39"/>
      <c r="BD25" s="39"/>
      <c r="BE25" s="39"/>
      <c r="BF25" s="49"/>
      <c r="BG25" s="49"/>
      <c r="BH25" s="49"/>
      <c r="BI25" s="49"/>
      <c r="BJ25" s="39"/>
      <c r="BK25" s="49"/>
      <c r="BL25" s="39"/>
      <c r="BM25" s="39"/>
      <c r="BN25" s="49"/>
      <c r="BO25" s="49"/>
      <c r="BP25" s="49"/>
      <c r="BQ25" s="49"/>
      <c r="BR25" s="49"/>
      <c r="BS25" s="49"/>
      <c r="BT25" s="49"/>
      <c r="BU25" s="49"/>
      <c r="BV25" s="49"/>
      <c r="BW25" s="49"/>
      <c r="BX25" s="49"/>
      <c r="BY25" s="49"/>
      <c r="BZ25" s="49"/>
      <c r="CA25" s="44"/>
      <c r="CB25" s="49"/>
      <c r="CC25" s="49"/>
      <c r="CD25" s="49"/>
      <c r="CE25" s="49"/>
      <c r="CF25" s="49"/>
      <c r="CG25" s="49"/>
      <c r="CH25" s="49"/>
      <c r="CI25" s="49"/>
      <c r="CJ25" s="49"/>
      <c r="CK25" s="49"/>
      <c r="CL25" s="49"/>
      <c r="CM25" s="49"/>
      <c r="CN25" s="49"/>
    </row>
    <row r="26" spans="1:92" ht="15.6" hidden="1">
      <c r="A26" s="1427" t="s">
        <v>1578</v>
      </c>
      <c r="B26" s="1603" t="s">
        <v>761</v>
      </c>
      <c r="C26" s="437"/>
      <c r="D26" s="32"/>
      <c r="E26" s="1443" t="s">
        <v>2027</v>
      </c>
      <c r="F26" s="117">
        <f t="shared" ref="F26:AS26" si="25">IF(AND(Use_Class="c",F$4&gt;=Change_Age),Roth2_Return2,Roth2_Return)</f>
        <v>5.7000000000000002E-2</v>
      </c>
      <c r="G26" s="117">
        <f t="shared" si="25"/>
        <v>5.7000000000000002E-2</v>
      </c>
      <c r="H26" s="117">
        <f t="shared" si="25"/>
        <v>5.7000000000000002E-2</v>
      </c>
      <c r="I26" s="117">
        <f t="shared" si="25"/>
        <v>5.7000000000000002E-2</v>
      </c>
      <c r="J26" s="117">
        <f t="shared" si="25"/>
        <v>5.7000000000000002E-2</v>
      </c>
      <c r="K26" s="117">
        <f t="shared" si="25"/>
        <v>5.7000000000000002E-2</v>
      </c>
      <c r="L26" s="117">
        <f t="shared" si="25"/>
        <v>5.7000000000000002E-2</v>
      </c>
      <c r="M26" s="117">
        <f t="shared" si="25"/>
        <v>5.7000000000000002E-2</v>
      </c>
      <c r="N26" s="117">
        <f t="shared" si="25"/>
        <v>5.7000000000000002E-2</v>
      </c>
      <c r="O26" s="117">
        <f t="shared" si="25"/>
        <v>5.7000000000000002E-2</v>
      </c>
      <c r="P26" s="117">
        <f t="shared" si="25"/>
        <v>5.7000000000000002E-2</v>
      </c>
      <c r="Q26" s="117">
        <f t="shared" si="25"/>
        <v>5.7000000000000002E-2</v>
      </c>
      <c r="R26" s="117">
        <f t="shared" si="25"/>
        <v>5.7000000000000002E-2</v>
      </c>
      <c r="S26" s="117">
        <f t="shared" si="25"/>
        <v>5.7000000000000002E-2</v>
      </c>
      <c r="T26" s="117">
        <f t="shared" si="25"/>
        <v>5.7000000000000002E-2</v>
      </c>
      <c r="U26" s="117">
        <f t="shared" si="25"/>
        <v>5.7000000000000002E-2</v>
      </c>
      <c r="V26" s="117">
        <f t="shared" si="25"/>
        <v>5.7000000000000002E-2</v>
      </c>
      <c r="W26" s="117">
        <f t="shared" si="25"/>
        <v>5.7000000000000002E-2</v>
      </c>
      <c r="X26" s="117">
        <f t="shared" si="25"/>
        <v>5.2999999999999999E-2</v>
      </c>
      <c r="Y26" s="117">
        <f t="shared" si="25"/>
        <v>5.2999999999999999E-2</v>
      </c>
      <c r="Z26" s="117">
        <f t="shared" si="25"/>
        <v>5.2999999999999999E-2</v>
      </c>
      <c r="AA26" s="117">
        <f t="shared" si="25"/>
        <v>5.2999999999999999E-2</v>
      </c>
      <c r="AB26" s="117">
        <f t="shared" si="25"/>
        <v>5.2999999999999999E-2</v>
      </c>
      <c r="AC26" s="117">
        <f t="shared" si="25"/>
        <v>5.2999999999999999E-2</v>
      </c>
      <c r="AD26" s="117">
        <f t="shared" si="25"/>
        <v>5.2999999999999999E-2</v>
      </c>
      <c r="AE26" s="117">
        <f t="shared" si="25"/>
        <v>5.2999999999999999E-2</v>
      </c>
      <c r="AF26" s="117">
        <f t="shared" si="25"/>
        <v>5.2999999999999999E-2</v>
      </c>
      <c r="AG26" s="117">
        <f t="shared" si="25"/>
        <v>5.2999999999999999E-2</v>
      </c>
      <c r="AH26" s="117">
        <f t="shared" si="25"/>
        <v>5.2999999999999999E-2</v>
      </c>
      <c r="AI26" s="117">
        <f t="shared" si="25"/>
        <v>5.2999999999999999E-2</v>
      </c>
      <c r="AJ26" s="117">
        <f t="shared" si="25"/>
        <v>5.2999999999999999E-2</v>
      </c>
      <c r="AK26" s="117">
        <f t="shared" si="25"/>
        <v>5.2999999999999999E-2</v>
      </c>
      <c r="AL26" s="117">
        <f t="shared" si="25"/>
        <v>5.2999999999999999E-2</v>
      </c>
      <c r="AM26" s="117">
        <f t="shared" si="25"/>
        <v>5.2999999999999999E-2</v>
      </c>
      <c r="AN26" s="117">
        <f t="shared" si="25"/>
        <v>5.2999999999999999E-2</v>
      </c>
      <c r="AO26" s="117">
        <f t="shared" si="25"/>
        <v>5.2999999999999999E-2</v>
      </c>
      <c r="AP26" s="117">
        <f t="shared" si="25"/>
        <v>5.2999999999999999E-2</v>
      </c>
      <c r="AQ26" s="117">
        <f t="shared" si="25"/>
        <v>5.2999999999999999E-2</v>
      </c>
      <c r="AR26" s="117">
        <f t="shared" si="25"/>
        <v>5.2999999999999999E-2</v>
      </c>
      <c r="AS26" s="117">
        <f t="shared" si="25"/>
        <v>5.2999999999999999E-2</v>
      </c>
      <c r="AT26" s="380"/>
      <c r="AU26" s="117"/>
      <c r="AV26" s="118"/>
      <c r="AW26" s="29"/>
      <c r="AX26" s="49"/>
      <c r="AY26" s="49"/>
      <c r="AZ26" s="42"/>
      <c r="BA26" s="49"/>
      <c r="BB26" s="49"/>
      <c r="BC26" s="39"/>
      <c r="BD26" s="39"/>
      <c r="BE26" s="39"/>
      <c r="BF26" s="49"/>
      <c r="BG26" s="49"/>
      <c r="BH26" s="49"/>
      <c r="BI26" s="49"/>
      <c r="BJ26" s="39"/>
      <c r="BK26" s="49"/>
      <c r="BL26" s="39"/>
      <c r="BM26" s="39"/>
      <c r="BN26" s="49"/>
      <c r="BO26" s="49"/>
      <c r="BP26" s="49"/>
      <c r="BQ26" s="49"/>
      <c r="BR26" s="49"/>
      <c r="BS26" s="49"/>
      <c r="BT26" s="49"/>
      <c r="BU26" s="49"/>
      <c r="BV26" s="49"/>
      <c r="BW26" s="49"/>
      <c r="BX26" s="49"/>
      <c r="BY26" s="49"/>
      <c r="BZ26" s="49"/>
      <c r="CA26" s="44"/>
      <c r="CB26" s="49"/>
      <c r="CC26" s="49"/>
      <c r="CD26" s="49"/>
      <c r="CE26" s="49"/>
      <c r="CF26" s="49"/>
      <c r="CG26" s="49"/>
      <c r="CH26" s="49"/>
      <c r="CI26" s="49"/>
      <c r="CJ26" s="49"/>
      <c r="CK26" s="49"/>
      <c r="CL26" s="49"/>
      <c r="CM26" s="49"/>
      <c r="CN26" s="49"/>
    </row>
    <row r="27" spans="1:92" ht="15.6" hidden="1">
      <c r="A27" s="1427" t="s">
        <v>1578</v>
      </c>
      <c r="B27" s="1603" t="s">
        <v>1504</v>
      </c>
      <c r="C27" s="437"/>
      <c r="D27" s="32"/>
      <c r="E27" s="1443" t="s">
        <v>2027</v>
      </c>
      <c r="F27" s="117">
        <f t="shared" ref="F27:AS27" si="26">IF(AND(Use_Class="c",F$4&gt;=Change_Age),RothConv_Return2,RothConv_Return)</f>
        <v>6.3E-2</v>
      </c>
      <c r="G27" s="117">
        <f t="shared" si="26"/>
        <v>6.3E-2</v>
      </c>
      <c r="H27" s="117">
        <f t="shared" si="26"/>
        <v>6.3E-2</v>
      </c>
      <c r="I27" s="117">
        <f t="shared" si="26"/>
        <v>6.3E-2</v>
      </c>
      <c r="J27" s="117">
        <f t="shared" si="26"/>
        <v>6.3E-2</v>
      </c>
      <c r="K27" s="117">
        <f t="shared" si="26"/>
        <v>6.3E-2</v>
      </c>
      <c r="L27" s="117">
        <f t="shared" si="26"/>
        <v>6.3E-2</v>
      </c>
      <c r="M27" s="117">
        <f t="shared" si="26"/>
        <v>6.3E-2</v>
      </c>
      <c r="N27" s="117">
        <f t="shared" si="26"/>
        <v>6.3E-2</v>
      </c>
      <c r="O27" s="117">
        <f t="shared" si="26"/>
        <v>6.3E-2</v>
      </c>
      <c r="P27" s="117">
        <f t="shared" si="26"/>
        <v>6.3E-2</v>
      </c>
      <c r="Q27" s="117">
        <f t="shared" si="26"/>
        <v>6.3E-2</v>
      </c>
      <c r="R27" s="117">
        <f t="shared" si="26"/>
        <v>6.3E-2</v>
      </c>
      <c r="S27" s="117">
        <f t="shared" si="26"/>
        <v>6.3E-2</v>
      </c>
      <c r="T27" s="117">
        <f t="shared" si="26"/>
        <v>6.3E-2</v>
      </c>
      <c r="U27" s="117">
        <f t="shared" si="26"/>
        <v>6.3E-2</v>
      </c>
      <c r="V27" s="117">
        <f t="shared" si="26"/>
        <v>6.3E-2</v>
      </c>
      <c r="W27" s="117">
        <f t="shared" si="26"/>
        <v>6.3E-2</v>
      </c>
      <c r="X27" s="117">
        <f t="shared" si="26"/>
        <v>5.2999999999999999E-2</v>
      </c>
      <c r="Y27" s="117">
        <f t="shared" si="26"/>
        <v>5.2999999999999999E-2</v>
      </c>
      <c r="Z27" s="117">
        <f t="shared" si="26"/>
        <v>5.2999999999999999E-2</v>
      </c>
      <c r="AA27" s="117">
        <f t="shared" si="26"/>
        <v>5.2999999999999999E-2</v>
      </c>
      <c r="AB27" s="117">
        <f t="shared" si="26"/>
        <v>5.2999999999999999E-2</v>
      </c>
      <c r="AC27" s="117">
        <f t="shared" si="26"/>
        <v>5.2999999999999999E-2</v>
      </c>
      <c r="AD27" s="117">
        <f t="shared" si="26"/>
        <v>5.2999999999999999E-2</v>
      </c>
      <c r="AE27" s="117">
        <f t="shared" si="26"/>
        <v>5.2999999999999999E-2</v>
      </c>
      <c r="AF27" s="117">
        <f t="shared" si="26"/>
        <v>5.2999999999999999E-2</v>
      </c>
      <c r="AG27" s="117">
        <f t="shared" si="26"/>
        <v>5.2999999999999999E-2</v>
      </c>
      <c r="AH27" s="117">
        <f t="shared" si="26"/>
        <v>5.2999999999999999E-2</v>
      </c>
      <c r="AI27" s="117">
        <f t="shared" si="26"/>
        <v>5.2999999999999999E-2</v>
      </c>
      <c r="AJ27" s="117">
        <f t="shared" si="26"/>
        <v>5.2999999999999999E-2</v>
      </c>
      <c r="AK27" s="117">
        <f t="shared" si="26"/>
        <v>5.2999999999999999E-2</v>
      </c>
      <c r="AL27" s="117">
        <f t="shared" si="26"/>
        <v>5.2999999999999999E-2</v>
      </c>
      <c r="AM27" s="117">
        <f t="shared" si="26"/>
        <v>5.2999999999999999E-2</v>
      </c>
      <c r="AN27" s="117">
        <f t="shared" si="26"/>
        <v>5.2999999999999999E-2</v>
      </c>
      <c r="AO27" s="117">
        <f t="shared" si="26"/>
        <v>5.2999999999999999E-2</v>
      </c>
      <c r="AP27" s="117">
        <f t="shared" si="26"/>
        <v>5.2999999999999999E-2</v>
      </c>
      <c r="AQ27" s="117">
        <f t="shared" si="26"/>
        <v>5.2999999999999999E-2</v>
      </c>
      <c r="AR27" s="117">
        <f t="shared" si="26"/>
        <v>5.2999999999999999E-2</v>
      </c>
      <c r="AS27" s="117">
        <f t="shared" si="26"/>
        <v>5.2999999999999999E-2</v>
      </c>
      <c r="AT27" s="380"/>
      <c r="AU27" s="117"/>
      <c r="AV27" s="118"/>
      <c r="AW27" s="29"/>
      <c r="AX27" s="49"/>
      <c r="AY27" s="49"/>
      <c r="AZ27" s="42"/>
      <c r="BA27" s="49"/>
      <c r="BB27" s="49"/>
      <c r="BC27" s="39"/>
      <c r="BD27" s="39"/>
      <c r="BE27" s="39"/>
      <c r="BF27" s="49"/>
      <c r="BG27" s="49"/>
      <c r="BH27" s="49"/>
      <c r="BI27" s="49"/>
      <c r="BJ27" s="39"/>
      <c r="BK27" s="49"/>
      <c r="BL27" s="39"/>
      <c r="BM27" s="39"/>
      <c r="BN27" s="49"/>
      <c r="BO27" s="49"/>
      <c r="BP27" s="49"/>
      <c r="BQ27" s="49"/>
      <c r="BR27" s="49"/>
      <c r="BS27" s="49"/>
      <c r="BT27" s="49"/>
      <c r="BU27" s="49"/>
      <c r="BV27" s="49"/>
      <c r="BW27" s="49"/>
      <c r="BX27" s="49"/>
      <c r="BY27" s="49"/>
      <c r="BZ27" s="49"/>
      <c r="CA27" s="44"/>
      <c r="CB27" s="49"/>
      <c r="CC27" s="49"/>
      <c r="CD27" s="49"/>
      <c r="CE27" s="49"/>
      <c r="CF27" s="49"/>
      <c r="CG27" s="49"/>
      <c r="CH27" s="49"/>
      <c r="CI27" s="49"/>
      <c r="CJ27" s="49"/>
      <c r="CK27" s="49"/>
      <c r="CL27" s="49"/>
      <c r="CM27" s="49"/>
      <c r="CN27" s="49"/>
    </row>
    <row r="28" spans="1:92" ht="18" customHeight="1">
      <c r="A28" s="1425"/>
      <c r="B28" s="717" t="s">
        <v>642</v>
      </c>
      <c r="C28" s="1013"/>
      <c r="D28" s="1369" t="str">
        <f>Taxable_Return*100 &amp; "%-" &amp; Taxable_Return2*100 &amp; "%"</f>
        <v>5%-4.1%</v>
      </c>
      <c r="E28" s="65">
        <f>SUM(F28:AS28)</f>
        <v>748900</v>
      </c>
      <c r="F28" s="1302">
        <f>ROUND(IF((+F8+F472)&lt;=0,0,(F8+(F8+F472))/2*F22)/Round_To,0)*Round_To</f>
        <v>9600</v>
      </c>
      <c r="G28" s="1124">
        <f t="shared" ref="G28:AS28" si="27">ROUND(IF(AND(F8=0,(+G8+G472)&lt;=0),0,(G8+(G8+G472))/2*G22)/Round_To,0)*Round_To</f>
        <v>9300</v>
      </c>
      <c r="H28" s="1124">
        <f t="shared" si="27"/>
        <v>8900</v>
      </c>
      <c r="I28" s="1124">
        <f t="shared" si="27"/>
        <v>8300</v>
      </c>
      <c r="J28" s="1124">
        <f t="shared" si="27"/>
        <v>7700</v>
      </c>
      <c r="K28" s="1124">
        <f t="shared" si="27"/>
        <v>7600</v>
      </c>
      <c r="L28" s="1124">
        <f t="shared" si="27"/>
        <v>8100</v>
      </c>
      <c r="M28" s="1124">
        <f t="shared" si="27"/>
        <v>8600</v>
      </c>
      <c r="N28" s="1124">
        <f t="shared" si="27"/>
        <v>9400</v>
      </c>
      <c r="O28" s="1124">
        <f t="shared" si="27"/>
        <v>10900</v>
      </c>
      <c r="P28" s="1124">
        <f t="shared" si="27"/>
        <v>10700</v>
      </c>
      <c r="Q28" s="1124">
        <f t="shared" si="27"/>
        <v>11500</v>
      </c>
      <c r="R28" s="1124">
        <f t="shared" si="27"/>
        <v>14000</v>
      </c>
      <c r="S28" s="1124">
        <f t="shared" si="27"/>
        <v>15800</v>
      </c>
      <c r="T28" s="1124">
        <f t="shared" si="27"/>
        <v>16000</v>
      </c>
      <c r="U28" s="1124">
        <f t="shared" si="27"/>
        <v>18000</v>
      </c>
      <c r="V28" s="1124">
        <f t="shared" si="27"/>
        <v>22400</v>
      </c>
      <c r="W28" s="1124">
        <f t="shared" si="27"/>
        <v>25200</v>
      </c>
      <c r="X28" s="1124">
        <f t="shared" si="27"/>
        <v>22700</v>
      </c>
      <c r="Y28" s="1124">
        <f t="shared" si="27"/>
        <v>24000</v>
      </c>
      <c r="Z28" s="1124">
        <f t="shared" si="27"/>
        <v>25500</v>
      </c>
      <c r="AA28" s="1124">
        <f t="shared" si="27"/>
        <v>27100</v>
      </c>
      <c r="AB28" s="1124">
        <f t="shared" si="27"/>
        <v>37000</v>
      </c>
      <c r="AC28" s="1124">
        <f t="shared" si="27"/>
        <v>47300</v>
      </c>
      <c r="AD28" s="1124">
        <f t="shared" si="27"/>
        <v>51500</v>
      </c>
      <c r="AE28" s="1124">
        <f t="shared" si="27"/>
        <v>55100</v>
      </c>
      <c r="AF28" s="1124">
        <f t="shared" si="27"/>
        <v>56800</v>
      </c>
      <c r="AG28" s="1124">
        <f t="shared" si="27"/>
        <v>58400</v>
      </c>
      <c r="AH28" s="1124">
        <f t="shared" si="27"/>
        <v>60000</v>
      </c>
      <c r="AI28" s="1124">
        <f t="shared" si="27"/>
        <v>61500</v>
      </c>
      <c r="AJ28" s="1124">
        <f t="shared" si="27"/>
        <v>0</v>
      </c>
      <c r="AK28" s="1124">
        <f t="shared" si="27"/>
        <v>0</v>
      </c>
      <c r="AL28" s="1124">
        <f t="shared" si="27"/>
        <v>0</v>
      </c>
      <c r="AM28" s="1124">
        <f t="shared" si="27"/>
        <v>0</v>
      </c>
      <c r="AN28" s="1124">
        <f t="shared" si="27"/>
        <v>0</v>
      </c>
      <c r="AO28" s="1124">
        <f t="shared" si="27"/>
        <v>0</v>
      </c>
      <c r="AP28" s="1124">
        <f t="shared" si="27"/>
        <v>0</v>
      </c>
      <c r="AQ28" s="1124">
        <f t="shared" si="27"/>
        <v>0</v>
      </c>
      <c r="AR28" s="1124">
        <f t="shared" si="27"/>
        <v>0</v>
      </c>
      <c r="AS28" s="1124">
        <f t="shared" si="27"/>
        <v>0</v>
      </c>
      <c r="AT28" s="42"/>
      <c r="AU28" s="78">
        <f>+Base!E28</f>
        <v>748900</v>
      </c>
      <c r="AV28" s="81">
        <f t="shared" ref="AV28:AV38" si="28">+E28-AU28</f>
        <v>0</v>
      </c>
      <c r="AW28" s="65"/>
      <c r="AX28" s="49"/>
      <c r="AY28" s="49"/>
      <c r="AZ28" s="42"/>
      <c r="BA28" s="49"/>
      <c r="BB28" s="49"/>
      <c r="BC28" s="39"/>
      <c r="BD28" s="39"/>
      <c r="BE28" s="39"/>
      <c r="BF28" s="49"/>
      <c r="BG28" s="49"/>
      <c r="BH28" s="49"/>
      <c r="BI28" s="49"/>
      <c r="BJ28" s="39"/>
      <c r="BK28" s="49"/>
      <c r="BL28" s="39"/>
      <c r="BM28" s="39"/>
      <c r="BN28" s="49"/>
      <c r="BO28" s="49"/>
      <c r="BP28" s="49"/>
      <c r="BQ28" s="49"/>
      <c r="BR28" s="49"/>
      <c r="BS28" s="49"/>
      <c r="BT28" s="49"/>
      <c r="BU28" s="49"/>
      <c r="BV28" s="49"/>
      <c r="BW28" s="49"/>
      <c r="BX28" s="49"/>
      <c r="BY28" s="49"/>
      <c r="BZ28" s="49"/>
      <c r="CA28" s="44"/>
      <c r="CB28" s="49"/>
      <c r="CC28" s="49"/>
      <c r="CD28" s="49"/>
      <c r="CE28" s="49"/>
      <c r="CF28" s="49"/>
      <c r="CG28" s="49"/>
      <c r="CH28" s="49"/>
      <c r="CI28" s="49"/>
      <c r="CJ28" s="49"/>
      <c r="CK28" s="49"/>
      <c r="CL28" s="49"/>
      <c r="CM28" s="49"/>
      <c r="CN28" s="49"/>
    </row>
    <row r="29" spans="1:92" ht="19.95" hidden="1" customHeight="1">
      <c r="A29" s="1427" t="s">
        <v>1578</v>
      </c>
      <c r="B29" s="1765" t="s">
        <v>1535</v>
      </c>
      <c r="C29" s="437"/>
      <c r="D29" s="1369" t="str">
        <f>tIRA_Return*100 &amp; "%-" &amp; tIRA_Return2*100 &amp; "%"</f>
        <v>6.5%-5.6%</v>
      </c>
      <c r="E29" s="29">
        <f>SUM(F29:AS29)</f>
        <v>727700</v>
      </c>
      <c r="F29" s="1302">
        <f>ROUND(IF((F9+F87+F91+F94+F96-F133)&lt;=0,0,+(F9+(F9+F87+F91+F94+F96-F133))/2*F23)/Round_To,0)*Round_To</f>
        <v>31200</v>
      </c>
      <c r="G29" s="1124">
        <f t="shared" ref="G29:AS29" si="29">ROUND(IF(OR(AND(F9=0,G9=0),(G9+G87+G91+G94+G96-G133)&lt;=0),0,+(G9+(G9+G87+G91+G94+G96-G133))/2*G23)/Round_To,0)*Round_To</f>
        <v>30600</v>
      </c>
      <c r="H29" s="1124">
        <f t="shared" si="29"/>
        <v>29900</v>
      </c>
      <c r="I29" s="1124">
        <f t="shared" si="29"/>
        <v>29000</v>
      </c>
      <c r="J29" s="1124">
        <f t="shared" si="29"/>
        <v>28000</v>
      </c>
      <c r="K29" s="1124">
        <f t="shared" si="29"/>
        <v>26900</v>
      </c>
      <c r="L29" s="1124">
        <f t="shared" si="29"/>
        <v>25500</v>
      </c>
      <c r="M29" s="1124">
        <f t="shared" si="29"/>
        <v>24100</v>
      </c>
      <c r="N29" s="1124">
        <f t="shared" si="29"/>
        <v>23700</v>
      </c>
      <c r="O29" s="1124">
        <f t="shared" si="29"/>
        <v>24100</v>
      </c>
      <c r="P29" s="1124">
        <f t="shared" si="29"/>
        <v>24200</v>
      </c>
      <c r="Q29" s="1124">
        <f t="shared" si="29"/>
        <v>24300</v>
      </c>
      <c r="R29" s="1124">
        <f t="shared" si="29"/>
        <v>24400</v>
      </c>
      <c r="S29" s="1124">
        <f t="shared" si="29"/>
        <v>24500</v>
      </c>
      <c r="T29" s="1124">
        <f t="shared" si="29"/>
        <v>24700</v>
      </c>
      <c r="U29" s="1124">
        <f t="shared" si="29"/>
        <v>25200</v>
      </c>
      <c r="V29" s="1124">
        <f t="shared" si="29"/>
        <v>25600</v>
      </c>
      <c r="W29" s="1124">
        <f t="shared" si="29"/>
        <v>25900</v>
      </c>
      <c r="X29" s="1124">
        <f t="shared" si="29"/>
        <v>22500</v>
      </c>
      <c r="Y29" s="1124">
        <f t="shared" si="29"/>
        <v>22500</v>
      </c>
      <c r="Z29" s="1124">
        <f t="shared" si="29"/>
        <v>22500</v>
      </c>
      <c r="AA29" s="1124">
        <f t="shared" si="29"/>
        <v>22400</v>
      </c>
      <c r="AB29" s="1124">
        <f t="shared" si="29"/>
        <v>22200</v>
      </c>
      <c r="AC29" s="1124">
        <f t="shared" si="29"/>
        <v>21900</v>
      </c>
      <c r="AD29" s="1124">
        <f t="shared" si="29"/>
        <v>21600</v>
      </c>
      <c r="AE29" s="1124">
        <f t="shared" si="29"/>
        <v>21200</v>
      </c>
      <c r="AF29" s="1124">
        <f t="shared" si="29"/>
        <v>20700</v>
      </c>
      <c r="AG29" s="1124">
        <f t="shared" si="29"/>
        <v>20100</v>
      </c>
      <c r="AH29" s="1124">
        <f t="shared" si="29"/>
        <v>19500</v>
      </c>
      <c r="AI29" s="1124">
        <f t="shared" si="29"/>
        <v>18800</v>
      </c>
      <c r="AJ29" s="1124">
        <f t="shared" si="29"/>
        <v>0</v>
      </c>
      <c r="AK29" s="1124">
        <f t="shared" si="29"/>
        <v>0</v>
      </c>
      <c r="AL29" s="1124">
        <f t="shared" si="29"/>
        <v>0</v>
      </c>
      <c r="AM29" s="1124">
        <f t="shared" si="29"/>
        <v>0</v>
      </c>
      <c r="AN29" s="1124">
        <f t="shared" si="29"/>
        <v>0</v>
      </c>
      <c r="AO29" s="1124">
        <f t="shared" si="29"/>
        <v>0</v>
      </c>
      <c r="AP29" s="1124">
        <f t="shared" si="29"/>
        <v>0</v>
      </c>
      <c r="AQ29" s="1124">
        <f t="shared" si="29"/>
        <v>0</v>
      </c>
      <c r="AR29" s="1124">
        <f t="shared" si="29"/>
        <v>0</v>
      </c>
      <c r="AS29" s="1124">
        <f t="shared" si="29"/>
        <v>0</v>
      </c>
      <c r="AT29" s="42"/>
      <c r="AU29" s="78">
        <f>+Base!E29</f>
        <v>727700</v>
      </c>
      <c r="AV29" s="81">
        <f t="shared" si="28"/>
        <v>0</v>
      </c>
      <c r="AW29" s="29"/>
      <c r="AX29" s="49"/>
      <c r="AY29" s="49"/>
      <c r="AZ29" s="42"/>
      <c r="BA29" s="49"/>
      <c r="BB29" s="49"/>
      <c r="BC29" s="39"/>
      <c r="BD29" s="39"/>
      <c r="BE29" s="39"/>
      <c r="BF29" s="49"/>
      <c r="BG29" s="49"/>
      <c r="BH29" s="49"/>
      <c r="BI29" s="49"/>
      <c r="BJ29" s="39"/>
      <c r="BK29" s="49"/>
      <c r="BL29" s="39"/>
      <c r="BM29" s="39"/>
      <c r="BN29" s="49"/>
      <c r="BO29" s="49"/>
      <c r="BP29" s="49"/>
      <c r="BQ29" s="49"/>
      <c r="BR29" s="49"/>
      <c r="BS29" s="49"/>
      <c r="BT29" s="49"/>
      <c r="BU29" s="49"/>
      <c r="BV29" s="49"/>
      <c r="BW29" s="49"/>
      <c r="BX29" s="49"/>
      <c r="BY29" s="49"/>
      <c r="BZ29" s="49"/>
      <c r="CA29" s="44"/>
      <c r="CB29" s="49"/>
      <c r="CC29" s="49"/>
      <c r="CD29" s="49"/>
      <c r="CE29" s="49"/>
      <c r="CF29" s="49"/>
      <c r="CG29" s="49"/>
      <c r="CH29" s="49"/>
      <c r="CI29" s="49"/>
      <c r="CJ29" s="49"/>
      <c r="CK29" s="49"/>
      <c r="CL29" s="49"/>
      <c r="CM29" s="49"/>
      <c r="CN29" s="49"/>
    </row>
    <row r="30" spans="1:92" ht="15.6" hidden="1">
      <c r="A30" s="1427" t="s">
        <v>1578</v>
      </c>
      <c r="B30" s="1765" t="s">
        <v>1536</v>
      </c>
      <c r="C30" s="437"/>
      <c r="D30" s="1369" t="str">
        <f>tIRA2_Return*100 &amp; "%-" &amp; tIRA2_Return2*100 &amp; "%"</f>
        <v>5.9%-5.3%</v>
      </c>
      <c r="E30" s="34">
        <f>SUM(F30:AS30)</f>
        <v>660000</v>
      </c>
      <c r="F30" s="1303">
        <f>ROUND(IF((F10+F98+F99+F102)&lt;=0,0,+(F10+(F10+F98+F99+F102))/2*F24)/Round_To,0)*Round_To</f>
        <v>12000</v>
      </c>
      <c r="G30" s="1125">
        <f t="shared" ref="G30:AS30" si="30">ROUND(IF(OR(AND(F10=0,G10=0),(G10+G98+G99+G102)&lt;=0),0,+(G10+(G10+G98+G99+G102))/2*G24)/Round_To,0)*Round_To</f>
        <v>13100</v>
      </c>
      <c r="H30" s="1125">
        <f t="shared" si="30"/>
        <v>14200</v>
      </c>
      <c r="I30" s="1125">
        <f t="shared" si="30"/>
        <v>15500</v>
      </c>
      <c r="J30" s="1125">
        <f t="shared" si="30"/>
        <v>16800</v>
      </c>
      <c r="K30" s="1125">
        <f t="shared" si="30"/>
        <v>18100</v>
      </c>
      <c r="L30" s="1125">
        <f t="shared" si="30"/>
        <v>19600</v>
      </c>
      <c r="M30" s="1125">
        <f t="shared" si="30"/>
        <v>21100</v>
      </c>
      <c r="N30" s="1125">
        <f t="shared" si="30"/>
        <v>22800</v>
      </c>
      <c r="O30" s="1125">
        <f t="shared" si="30"/>
        <v>23800</v>
      </c>
      <c r="P30" s="1125">
        <f t="shared" si="30"/>
        <v>24300</v>
      </c>
      <c r="Q30" s="1125">
        <f t="shared" si="30"/>
        <v>24800</v>
      </c>
      <c r="R30" s="1125">
        <f t="shared" si="30"/>
        <v>25300</v>
      </c>
      <c r="S30" s="1125">
        <f t="shared" si="30"/>
        <v>25700</v>
      </c>
      <c r="T30" s="1125">
        <f t="shared" si="30"/>
        <v>26100</v>
      </c>
      <c r="U30" s="1125">
        <f t="shared" si="30"/>
        <v>26400</v>
      </c>
      <c r="V30" s="1125">
        <f t="shared" si="30"/>
        <v>26700</v>
      </c>
      <c r="W30" s="1125">
        <f t="shared" si="30"/>
        <v>26900</v>
      </c>
      <c r="X30" s="1125">
        <f t="shared" si="30"/>
        <v>24400</v>
      </c>
      <c r="Y30" s="1125">
        <f t="shared" si="30"/>
        <v>24400</v>
      </c>
      <c r="Z30" s="1125">
        <f t="shared" si="30"/>
        <v>24300</v>
      </c>
      <c r="AA30" s="1125">
        <f t="shared" si="30"/>
        <v>24100</v>
      </c>
      <c r="AB30" s="1125">
        <f t="shared" si="30"/>
        <v>23900</v>
      </c>
      <c r="AC30" s="1125">
        <f t="shared" si="30"/>
        <v>23700</v>
      </c>
      <c r="AD30" s="1125">
        <f t="shared" si="30"/>
        <v>23300</v>
      </c>
      <c r="AE30" s="1125">
        <f t="shared" si="30"/>
        <v>22900</v>
      </c>
      <c r="AF30" s="1125">
        <f t="shared" si="30"/>
        <v>22400</v>
      </c>
      <c r="AG30" s="1125">
        <f t="shared" si="30"/>
        <v>21800</v>
      </c>
      <c r="AH30" s="1125">
        <f t="shared" si="30"/>
        <v>21200</v>
      </c>
      <c r="AI30" s="1125">
        <f t="shared" si="30"/>
        <v>20400</v>
      </c>
      <c r="AJ30" s="1125">
        <f t="shared" si="30"/>
        <v>0</v>
      </c>
      <c r="AK30" s="1125">
        <f t="shared" si="30"/>
        <v>0</v>
      </c>
      <c r="AL30" s="1125">
        <f t="shared" si="30"/>
        <v>0</v>
      </c>
      <c r="AM30" s="1125">
        <f t="shared" si="30"/>
        <v>0</v>
      </c>
      <c r="AN30" s="1125">
        <f t="shared" si="30"/>
        <v>0</v>
      </c>
      <c r="AO30" s="1125">
        <f t="shared" si="30"/>
        <v>0</v>
      </c>
      <c r="AP30" s="1125">
        <f t="shared" si="30"/>
        <v>0</v>
      </c>
      <c r="AQ30" s="1125">
        <f t="shared" si="30"/>
        <v>0</v>
      </c>
      <c r="AR30" s="1125">
        <f t="shared" si="30"/>
        <v>0</v>
      </c>
      <c r="AS30" s="1125">
        <f t="shared" si="30"/>
        <v>0</v>
      </c>
      <c r="AT30" s="42"/>
      <c r="AU30" s="82">
        <f>+Base!E30</f>
        <v>660000</v>
      </c>
      <c r="AV30" s="83">
        <f t="shared" si="28"/>
        <v>0</v>
      </c>
      <c r="AW30" s="102"/>
      <c r="AX30" s="49"/>
      <c r="AY30" s="49"/>
      <c r="AZ30" s="42"/>
      <c r="BA30" s="49"/>
      <c r="BB30" s="49"/>
      <c r="BC30" s="39"/>
      <c r="BD30" s="39"/>
      <c r="BE30" s="39"/>
      <c r="BF30" s="49"/>
      <c r="BG30" s="49"/>
      <c r="BH30" s="49"/>
      <c r="BI30" s="49"/>
      <c r="BJ30" s="39"/>
      <c r="BK30" s="49"/>
      <c r="BL30" s="39"/>
      <c r="BM30" s="39"/>
      <c r="BN30" s="49"/>
      <c r="BO30" s="49"/>
      <c r="BP30" s="49"/>
      <c r="BQ30" s="49"/>
      <c r="BR30" s="49"/>
      <c r="BS30" s="49"/>
      <c r="BT30" s="49"/>
      <c r="BU30" s="49"/>
      <c r="BV30" s="49"/>
      <c r="BW30" s="49"/>
      <c r="BX30" s="49"/>
      <c r="BY30" s="49"/>
      <c r="BZ30" s="49"/>
      <c r="CA30" s="44"/>
      <c r="CB30" s="49"/>
      <c r="CC30" s="49"/>
      <c r="CD30" s="49"/>
      <c r="CE30" s="49"/>
      <c r="CF30" s="49"/>
      <c r="CG30" s="49"/>
      <c r="CH30" s="49"/>
      <c r="CI30" s="49"/>
      <c r="CJ30" s="49"/>
      <c r="CK30" s="49"/>
      <c r="CL30" s="49"/>
      <c r="CM30" s="49"/>
      <c r="CN30" s="49"/>
    </row>
    <row r="31" spans="1:92" ht="15.6">
      <c r="A31" s="1425"/>
      <c r="B31" s="1767" t="s">
        <v>927</v>
      </c>
      <c r="C31" s="422"/>
      <c r="D31" s="1369" t="str">
        <f>"1: " &amp; tIRA_Return*100 &amp; "%-" &amp; tIRA_Return2*100 &amp; "%   2: " &amp; tIRA2_Return*100 &amp; "%-" &amp; tIRA2_Return2*100 &amp; "%"</f>
        <v>1: 6.5%-5.6%   2: 5.9%-5.3%</v>
      </c>
      <c r="E31" s="29">
        <f>SUM(F31:AS31)</f>
        <v>1387700</v>
      </c>
      <c r="F31" s="1124">
        <f t="shared" ref="F31:AS31" si="31">+F29+F30</f>
        <v>43200</v>
      </c>
      <c r="G31" s="1124">
        <f t="shared" si="31"/>
        <v>43700</v>
      </c>
      <c r="H31" s="1124">
        <f t="shared" si="31"/>
        <v>44100</v>
      </c>
      <c r="I31" s="1124">
        <f t="shared" si="31"/>
        <v>44500</v>
      </c>
      <c r="J31" s="1124">
        <f t="shared" si="31"/>
        <v>44800</v>
      </c>
      <c r="K31" s="1124">
        <f t="shared" si="31"/>
        <v>45000</v>
      </c>
      <c r="L31" s="1124">
        <f t="shared" si="31"/>
        <v>45100</v>
      </c>
      <c r="M31" s="1124">
        <f t="shared" si="31"/>
        <v>45200</v>
      </c>
      <c r="N31" s="1124">
        <f t="shared" si="31"/>
        <v>46500</v>
      </c>
      <c r="O31" s="1124">
        <f t="shared" si="31"/>
        <v>47900</v>
      </c>
      <c r="P31" s="1124">
        <f t="shared" si="31"/>
        <v>48500</v>
      </c>
      <c r="Q31" s="1124">
        <f t="shared" si="31"/>
        <v>49100</v>
      </c>
      <c r="R31" s="1124">
        <f t="shared" si="31"/>
        <v>49700</v>
      </c>
      <c r="S31" s="1124">
        <f t="shared" si="31"/>
        <v>50200</v>
      </c>
      <c r="T31" s="1124">
        <f t="shared" si="31"/>
        <v>50800</v>
      </c>
      <c r="U31" s="1124">
        <f t="shared" si="31"/>
        <v>51600</v>
      </c>
      <c r="V31" s="1124">
        <f t="shared" si="31"/>
        <v>52300</v>
      </c>
      <c r="W31" s="1124">
        <f t="shared" si="31"/>
        <v>52800</v>
      </c>
      <c r="X31" s="1124">
        <f t="shared" si="31"/>
        <v>46900</v>
      </c>
      <c r="Y31" s="1124">
        <f t="shared" si="31"/>
        <v>46900</v>
      </c>
      <c r="Z31" s="1124">
        <f t="shared" si="31"/>
        <v>46800</v>
      </c>
      <c r="AA31" s="1124">
        <f t="shared" si="31"/>
        <v>46500</v>
      </c>
      <c r="AB31" s="1124">
        <f t="shared" si="31"/>
        <v>46100</v>
      </c>
      <c r="AC31" s="1124">
        <f t="shared" si="31"/>
        <v>45600</v>
      </c>
      <c r="AD31" s="1124">
        <f t="shared" si="31"/>
        <v>44900</v>
      </c>
      <c r="AE31" s="1124">
        <f t="shared" si="31"/>
        <v>44100</v>
      </c>
      <c r="AF31" s="1124">
        <f t="shared" si="31"/>
        <v>43100</v>
      </c>
      <c r="AG31" s="1124">
        <f t="shared" si="31"/>
        <v>41900</v>
      </c>
      <c r="AH31" s="1124">
        <f t="shared" si="31"/>
        <v>40700</v>
      </c>
      <c r="AI31" s="1124">
        <f t="shared" si="31"/>
        <v>39200</v>
      </c>
      <c r="AJ31" s="1124">
        <f t="shared" si="31"/>
        <v>0</v>
      </c>
      <c r="AK31" s="1124">
        <f t="shared" si="31"/>
        <v>0</v>
      </c>
      <c r="AL31" s="1124">
        <f t="shared" si="31"/>
        <v>0</v>
      </c>
      <c r="AM31" s="1124">
        <f t="shared" si="31"/>
        <v>0</v>
      </c>
      <c r="AN31" s="1124">
        <f t="shared" si="31"/>
        <v>0</v>
      </c>
      <c r="AO31" s="1124">
        <f t="shared" si="31"/>
        <v>0</v>
      </c>
      <c r="AP31" s="1124">
        <f t="shared" si="31"/>
        <v>0</v>
      </c>
      <c r="AQ31" s="1124">
        <f t="shared" si="31"/>
        <v>0</v>
      </c>
      <c r="AR31" s="1124">
        <f t="shared" si="31"/>
        <v>0</v>
      </c>
      <c r="AS31" s="1124">
        <f t="shared" si="31"/>
        <v>0</v>
      </c>
      <c r="AT31" s="42"/>
      <c r="AU31" s="78">
        <f>+Base!E31</f>
        <v>1387700</v>
      </c>
      <c r="AV31" s="81">
        <f t="shared" si="28"/>
        <v>0</v>
      </c>
      <c r="AW31" s="102"/>
      <c r="AX31" s="49"/>
      <c r="AY31" s="49"/>
      <c r="AZ31" s="42"/>
      <c r="BA31" s="49"/>
      <c r="BB31" s="49"/>
      <c r="BC31" s="39"/>
      <c r="BD31" s="39"/>
      <c r="BE31" s="39"/>
      <c r="BF31" s="49"/>
      <c r="BG31" s="49"/>
      <c r="BH31" s="49"/>
      <c r="BI31" s="49"/>
      <c r="BJ31" s="39"/>
      <c r="BK31" s="49"/>
      <c r="BL31" s="39"/>
      <c r="BM31" s="39"/>
      <c r="BN31" s="49"/>
      <c r="BO31" s="49"/>
      <c r="BP31" s="49"/>
      <c r="BQ31" s="49"/>
      <c r="BR31" s="49"/>
      <c r="BS31" s="49"/>
      <c r="BT31" s="49"/>
      <c r="BU31" s="49"/>
      <c r="BV31" s="49"/>
      <c r="BW31" s="49"/>
      <c r="BX31" s="49"/>
      <c r="BY31" s="49"/>
      <c r="BZ31" s="49"/>
      <c r="CA31" s="44"/>
      <c r="CB31" s="49"/>
      <c r="CC31" s="49"/>
      <c r="CD31" s="49"/>
      <c r="CE31" s="49"/>
      <c r="CF31" s="49"/>
      <c r="CG31" s="49"/>
      <c r="CH31" s="49"/>
      <c r="CI31" s="49"/>
      <c r="CJ31" s="49"/>
      <c r="CK31" s="49"/>
      <c r="CL31" s="49"/>
      <c r="CM31" s="49"/>
      <c r="CN31" s="49"/>
    </row>
    <row r="32" spans="1:92" ht="19.95" hidden="1" customHeight="1">
      <c r="A32" s="1427" t="s">
        <v>1578</v>
      </c>
      <c r="B32" s="436" t="s">
        <v>925</v>
      </c>
      <c r="C32" s="422"/>
      <c r="D32" s="1369" t="str">
        <f>tIRA_Return*100 &amp; "%-" &amp; tIRA_Return2*100 &amp; "%"</f>
        <v>6.5%-5.6%</v>
      </c>
      <c r="E32" s="29">
        <f t="shared" ref="E32:E71" si="32">SUM(F32:AS32)</f>
        <v>12100</v>
      </c>
      <c r="F32" s="1103">
        <f>ROUND(IF((F12+F110&lt;=0),0,+(F12+(F12+F110))/2*F23)/Round_To,0)*Round_To</f>
        <v>0</v>
      </c>
      <c r="G32" s="1124">
        <f t="shared" ref="G32:AS32" si="33">ROUND(IF(OR(AND(F12=0,G12=0),(G12+G110)&lt;=0),0,+(G12+(G12+G110))/2*G23)/Round_To,0)*Round_To</f>
        <v>0</v>
      </c>
      <c r="H32" s="1124">
        <f t="shared" si="33"/>
        <v>0</v>
      </c>
      <c r="I32" s="1124">
        <f t="shared" si="33"/>
        <v>0</v>
      </c>
      <c r="J32" s="1124">
        <f t="shared" si="33"/>
        <v>0</v>
      </c>
      <c r="K32" s="1124">
        <f t="shared" si="33"/>
        <v>0</v>
      </c>
      <c r="L32" s="1124">
        <f t="shared" si="33"/>
        <v>0</v>
      </c>
      <c r="M32" s="1124">
        <f t="shared" si="33"/>
        <v>0</v>
      </c>
      <c r="N32" s="1124">
        <f t="shared" si="33"/>
        <v>0</v>
      </c>
      <c r="O32" s="1124">
        <f t="shared" si="33"/>
        <v>0</v>
      </c>
      <c r="P32" s="1124">
        <f t="shared" si="33"/>
        <v>0</v>
      </c>
      <c r="Q32" s="1124">
        <f t="shared" si="33"/>
        <v>0</v>
      </c>
      <c r="R32" s="1124">
        <f t="shared" si="33"/>
        <v>0</v>
      </c>
      <c r="S32" s="1124">
        <f t="shared" si="33"/>
        <v>0</v>
      </c>
      <c r="T32" s="1124">
        <f t="shared" si="33"/>
        <v>0</v>
      </c>
      <c r="U32" s="1124">
        <f t="shared" si="33"/>
        <v>0</v>
      </c>
      <c r="V32" s="1124">
        <f t="shared" si="33"/>
        <v>2200</v>
      </c>
      <c r="W32" s="1124">
        <f t="shared" si="33"/>
        <v>1900</v>
      </c>
      <c r="X32" s="1124">
        <f t="shared" si="33"/>
        <v>1400</v>
      </c>
      <c r="Y32" s="1124">
        <f t="shared" si="33"/>
        <v>1300</v>
      </c>
      <c r="Z32" s="1124">
        <f t="shared" si="33"/>
        <v>1200</v>
      </c>
      <c r="AA32" s="1124">
        <f t="shared" si="33"/>
        <v>1100</v>
      </c>
      <c r="AB32" s="1124">
        <f t="shared" si="33"/>
        <v>1000</v>
      </c>
      <c r="AC32" s="1124">
        <f t="shared" si="33"/>
        <v>800</v>
      </c>
      <c r="AD32" s="1124">
        <f t="shared" si="33"/>
        <v>600</v>
      </c>
      <c r="AE32" s="1124">
        <f t="shared" si="33"/>
        <v>400</v>
      </c>
      <c r="AF32" s="1124">
        <f t="shared" si="33"/>
        <v>200</v>
      </c>
      <c r="AG32" s="1124">
        <f t="shared" si="33"/>
        <v>0</v>
      </c>
      <c r="AH32" s="1124">
        <f t="shared" si="33"/>
        <v>0</v>
      </c>
      <c r="AI32" s="1124">
        <f t="shared" si="33"/>
        <v>0</v>
      </c>
      <c r="AJ32" s="1124">
        <f t="shared" si="33"/>
        <v>0</v>
      </c>
      <c r="AK32" s="1124">
        <f t="shared" si="33"/>
        <v>0</v>
      </c>
      <c r="AL32" s="1124">
        <f t="shared" si="33"/>
        <v>0</v>
      </c>
      <c r="AM32" s="1124">
        <f t="shared" si="33"/>
        <v>0</v>
      </c>
      <c r="AN32" s="1124">
        <f t="shared" si="33"/>
        <v>0</v>
      </c>
      <c r="AO32" s="1124">
        <f t="shared" si="33"/>
        <v>0</v>
      </c>
      <c r="AP32" s="1124">
        <f t="shared" si="33"/>
        <v>0</v>
      </c>
      <c r="AQ32" s="1124">
        <f t="shared" si="33"/>
        <v>0</v>
      </c>
      <c r="AR32" s="1124">
        <f t="shared" si="33"/>
        <v>0</v>
      </c>
      <c r="AS32" s="1124">
        <f t="shared" si="33"/>
        <v>0</v>
      </c>
      <c r="AT32" s="42"/>
      <c r="AU32" s="78">
        <f>+Base!E32</f>
        <v>12100</v>
      </c>
      <c r="AV32" s="81">
        <f t="shared" si="28"/>
        <v>0</v>
      </c>
      <c r="AW32" s="102"/>
      <c r="AX32" s="49"/>
      <c r="AY32" s="49"/>
      <c r="AZ32" s="42"/>
      <c r="BA32" s="49"/>
      <c r="BB32" s="49"/>
      <c r="BC32" s="39"/>
      <c r="BD32" s="39"/>
      <c r="BE32" s="39"/>
      <c r="BF32" s="49"/>
      <c r="BG32" s="49"/>
      <c r="BH32" s="49"/>
      <c r="BI32" s="49"/>
      <c r="BJ32" s="39"/>
      <c r="BK32" s="49"/>
      <c r="BL32" s="39"/>
      <c r="BM32" s="39"/>
      <c r="BN32" s="49"/>
      <c r="BO32" s="49"/>
      <c r="BP32" s="49"/>
      <c r="BQ32" s="49"/>
      <c r="BR32" s="49"/>
      <c r="BS32" s="49"/>
      <c r="BT32" s="49"/>
      <c r="BU32" s="49"/>
      <c r="BV32" s="49"/>
      <c r="BW32" s="49"/>
      <c r="BX32" s="49"/>
      <c r="BY32" s="49"/>
      <c r="BZ32" s="49"/>
      <c r="CA32" s="44"/>
      <c r="CB32" s="49"/>
      <c r="CC32" s="49"/>
      <c r="CD32" s="49"/>
      <c r="CE32" s="49"/>
      <c r="CF32" s="49"/>
      <c r="CG32" s="49"/>
      <c r="CH32" s="49"/>
      <c r="CI32" s="49"/>
      <c r="CJ32" s="49"/>
      <c r="CK32" s="49"/>
      <c r="CL32" s="49"/>
      <c r="CM32" s="49"/>
      <c r="CN32" s="49"/>
    </row>
    <row r="33" spans="1:92" ht="15.75" hidden="1" customHeight="1">
      <c r="A33" s="1427" t="s">
        <v>1578</v>
      </c>
      <c r="B33" s="436" t="s">
        <v>926</v>
      </c>
      <c r="C33" s="422"/>
      <c r="D33" s="1369" t="str">
        <f>tIRA2_Return*100 &amp; "%-" &amp; tIRA2_Return2*100 &amp; "%"</f>
        <v>5.9%-5.3%</v>
      </c>
      <c r="E33" s="34">
        <f t="shared" si="32"/>
        <v>31900</v>
      </c>
      <c r="F33" s="1104">
        <f>ROUND(IF((F13+F111&lt;=0),0,+(F13+(F13+F111))/2*F24)/Round_To,0)*Round_To</f>
        <v>0</v>
      </c>
      <c r="G33" s="1125">
        <f t="shared" ref="G33:AS33" si="34">ROUND(IF(OR(AND(F13=0,G13=0),(G13+G111)&lt;=0),0,+(G13+(G13+G111))/2*G24)/Round_To,0)*Round_To</f>
        <v>0</v>
      </c>
      <c r="H33" s="1125">
        <f t="shared" si="34"/>
        <v>0</v>
      </c>
      <c r="I33" s="1125">
        <f t="shared" si="34"/>
        <v>0</v>
      </c>
      <c r="J33" s="1125">
        <f t="shared" si="34"/>
        <v>0</v>
      </c>
      <c r="K33" s="1125">
        <f t="shared" si="34"/>
        <v>0</v>
      </c>
      <c r="L33" s="1125">
        <f t="shared" si="34"/>
        <v>0</v>
      </c>
      <c r="M33" s="1125">
        <f t="shared" si="34"/>
        <v>0</v>
      </c>
      <c r="N33" s="1125">
        <f t="shared" si="34"/>
        <v>0</v>
      </c>
      <c r="O33" s="1125">
        <f t="shared" si="34"/>
        <v>0</v>
      </c>
      <c r="P33" s="1125">
        <f t="shared" si="34"/>
        <v>0</v>
      </c>
      <c r="Q33" s="1125">
        <f t="shared" si="34"/>
        <v>0</v>
      </c>
      <c r="R33" s="1125">
        <f t="shared" si="34"/>
        <v>3400</v>
      </c>
      <c r="S33" s="1125">
        <f t="shared" si="34"/>
        <v>3400</v>
      </c>
      <c r="T33" s="1125">
        <f t="shared" si="34"/>
        <v>3300</v>
      </c>
      <c r="U33" s="1125">
        <f t="shared" si="34"/>
        <v>3200</v>
      </c>
      <c r="V33" s="1125">
        <f t="shared" si="34"/>
        <v>3100</v>
      </c>
      <c r="W33" s="1125">
        <f t="shared" si="34"/>
        <v>2900</v>
      </c>
      <c r="X33" s="1125">
        <f t="shared" si="34"/>
        <v>2400</v>
      </c>
      <c r="Y33" s="1125">
        <f t="shared" si="34"/>
        <v>2200</v>
      </c>
      <c r="Z33" s="1125">
        <f t="shared" si="34"/>
        <v>2000</v>
      </c>
      <c r="AA33" s="1125">
        <f t="shared" si="34"/>
        <v>1800</v>
      </c>
      <c r="AB33" s="1125">
        <f t="shared" si="34"/>
        <v>1500</v>
      </c>
      <c r="AC33" s="1125">
        <f t="shared" si="34"/>
        <v>1200</v>
      </c>
      <c r="AD33" s="1125">
        <f t="shared" si="34"/>
        <v>900</v>
      </c>
      <c r="AE33" s="1125">
        <f t="shared" si="34"/>
        <v>600</v>
      </c>
      <c r="AF33" s="1125">
        <f t="shared" si="34"/>
        <v>0</v>
      </c>
      <c r="AG33" s="1125">
        <f t="shared" si="34"/>
        <v>0</v>
      </c>
      <c r="AH33" s="1125">
        <f t="shared" si="34"/>
        <v>0</v>
      </c>
      <c r="AI33" s="1125">
        <f t="shared" si="34"/>
        <v>0</v>
      </c>
      <c r="AJ33" s="1125">
        <f t="shared" si="34"/>
        <v>0</v>
      </c>
      <c r="AK33" s="1125">
        <f t="shared" si="34"/>
        <v>0</v>
      </c>
      <c r="AL33" s="1125">
        <f t="shared" si="34"/>
        <v>0</v>
      </c>
      <c r="AM33" s="1125">
        <f t="shared" si="34"/>
        <v>0</v>
      </c>
      <c r="AN33" s="1125">
        <f t="shared" si="34"/>
        <v>0</v>
      </c>
      <c r="AO33" s="1125">
        <f t="shared" si="34"/>
        <v>0</v>
      </c>
      <c r="AP33" s="1125">
        <f t="shared" si="34"/>
        <v>0</v>
      </c>
      <c r="AQ33" s="1125">
        <f t="shared" si="34"/>
        <v>0</v>
      </c>
      <c r="AR33" s="1125">
        <f t="shared" si="34"/>
        <v>0</v>
      </c>
      <c r="AS33" s="1125">
        <f t="shared" si="34"/>
        <v>0</v>
      </c>
      <c r="AT33" s="42"/>
      <c r="AU33" s="82">
        <f>+Base!E33</f>
        <v>31900</v>
      </c>
      <c r="AV33" s="83">
        <f t="shared" si="28"/>
        <v>0</v>
      </c>
      <c r="AW33" s="102"/>
      <c r="AX33" s="49"/>
      <c r="AY33" s="49"/>
      <c r="AZ33" s="42"/>
      <c r="BA33" s="49"/>
      <c r="BB33" s="49"/>
      <c r="BC33" s="39"/>
      <c r="BD33" s="39"/>
      <c r="BE33" s="39"/>
      <c r="BF33" s="49"/>
      <c r="BG33" s="49"/>
      <c r="BH33" s="49"/>
      <c r="BI33" s="49"/>
      <c r="BJ33" s="39"/>
      <c r="BK33" s="49"/>
      <c r="BL33" s="39"/>
      <c r="BM33" s="39"/>
      <c r="BN33" s="49"/>
      <c r="BO33" s="49"/>
      <c r="BP33" s="49"/>
      <c r="BQ33" s="49"/>
      <c r="BR33" s="49"/>
      <c r="BS33" s="49"/>
      <c r="BT33" s="49"/>
      <c r="BU33" s="49"/>
      <c r="BV33" s="49"/>
      <c r="BW33" s="49"/>
      <c r="BX33" s="49"/>
      <c r="BY33" s="49"/>
      <c r="BZ33" s="49"/>
      <c r="CA33" s="44"/>
      <c r="CB33" s="49"/>
      <c r="CC33" s="49"/>
      <c r="CD33" s="49"/>
      <c r="CE33" s="49"/>
      <c r="CF33" s="49"/>
      <c r="CG33" s="49"/>
      <c r="CH33" s="49"/>
      <c r="CI33" s="49"/>
      <c r="CJ33" s="49"/>
      <c r="CK33" s="49"/>
      <c r="CL33" s="49"/>
      <c r="CM33" s="49"/>
      <c r="CN33" s="49"/>
    </row>
    <row r="34" spans="1:92" ht="15.6">
      <c r="A34" s="1425"/>
      <c r="B34" s="381" t="s">
        <v>602</v>
      </c>
      <c r="C34" s="422"/>
      <c r="D34" s="1369" t="str">
        <f>"1: " &amp; tIRA_Return*100 &amp; "%-" &amp; tIRA_Return2*100 &amp; "%   2: " &amp; tIRA2_Return*100 &amp; "%-" &amp; tIRA2_Return2*100 &amp; "%"</f>
        <v>1: 6.5%-5.6%   2: 5.9%-5.3%</v>
      </c>
      <c r="E34" s="29">
        <f t="shared" si="32"/>
        <v>44000</v>
      </c>
      <c r="F34" s="447">
        <f>+F32+F33</f>
        <v>0</v>
      </c>
      <c r="G34" s="1124">
        <f t="shared" ref="G34:AS34" si="35">+G32+G33</f>
        <v>0</v>
      </c>
      <c r="H34" s="1124">
        <f t="shared" si="35"/>
        <v>0</v>
      </c>
      <c r="I34" s="1124">
        <f t="shared" si="35"/>
        <v>0</v>
      </c>
      <c r="J34" s="1124">
        <f t="shared" si="35"/>
        <v>0</v>
      </c>
      <c r="K34" s="1124">
        <f t="shared" si="35"/>
        <v>0</v>
      </c>
      <c r="L34" s="1124">
        <f t="shared" si="35"/>
        <v>0</v>
      </c>
      <c r="M34" s="1124">
        <f t="shared" si="35"/>
        <v>0</v>
      </c>
      <c r="N34" s="1124">
        <f t="shared" si="35"/>
        <v>0</v>
      </c>
      <c r="O34" s="1124">
        <f t="shared" si="35"/>
        <v>0</v>
      </c>
      <c r="P34" s="1124">
        <f t="shared" si="35"/>
        <v>0</v>
      </c>
      <c r="Q34" s="1124">
        <f t="shared" si="35"/>
        <v>0</v>
      </c>
      <c r="R34" s="1124">
        <f t="shared" si="35"/>
        <v>3400</v>
      </c>
      <c r="S34" s="1124">
        <f t="shared" si="35"/>
        <v>3400</v>
      </c>
      <c r="T34" s="1124">
        <f t="shared" si="35"/>
        <v>3300</v>
      </c>
      <c r="U34" s="1124">
        <f t="shared" si="35"/>
        <v>3200</v>
      </c>
      <c r="V34" s="1124">
        <f t="shared" si="35"/>
        <v>5300</v>
      </c>
      <c r="W34" s="1124">
        <f t="shared" si="35"/>
        <v>4800</v>
      </c>
      <c r="X34" s="1124">
        <f t="shared" si="35"/>
        <v>3800</v>
      </c>
      <c r="Y34" s="1124">
        <f t="shared" si="35"/>
        <v>3500</v>
      </c>
      <c r="Z34" s="1124">
        <f t="shared" si="35"/>
        <v>3200</v>
      </c>
      <c r="AA34" s="1124">
        <f t="shared" si="35"/>
        <v>2900</v>
      </c>
      <c r="AB34" s="1124">
        <f t="shared" si="35"/>
        <v>2500</v>
      </c>
      <c r="AC34" s="1124">
        <f t="shared" si="35"/>
        <v>2000</v>
      </c>
      <c r="AD34" s="1124">
        <f t="shared" si="35"/>
        <v>1500</v>
      </c>
      <c r="AE34" s="1124">
        <f t="shared" si="35"/>
        <v>1000</v>
      </c>
      <c r="AF34" s="1124">
        <f t="shared" si="35"/>
        <v>200</v>
      </c>
      <c r="AG34" s="1124">
        <f t="shared" si="35"/>
        <v>0</v>
      </c>
      <c r="AH34" s="1124">
        <f t="shared" si="35"/>
        <v>0</v>
      </c>
      <c r="AI34" s="1124">
        <f t="shared" si="35"/>
        <v>0</v>
      </c>
      <c r="AJ34" s="1124">
        <f t="shared" si="35"/>
        <v>0</v>
      </c>
      <c r="AK34" s="1124">
        <f t="shared" si="35"/>
        <v>0</v>
      </c>
      <c r="AL34" s="1124">
        <f t="shared" si="35"/>
        <v>0</v>
      </c>
      <c r="AM34" s="1124">
        <f t="shared" si="35"/>
        <v>0</v>
      </c>
      <c r="AN34" s="1124">
        <f t="shared" si="35"/>
        <v>0</v>
      </c>
      <c r="AO34" s="1124">
        <f t="shared" si="35"/>
        <v>0</v>
      </c>
      <c r="AP34" s="1124">
        <f t="shared" si="35"/>
        <v>0</v>
      </c>
      <c r="AQ34" s="1124">
        <f t="shared" si="35"/>
        <v>0</v>
      </c>
      <c r="AR34" s="1124">
        <f t="shared" si="35"/>
        <v>0</v>
      </c>
      <c r="AS34" s="1124">
        <f t="shared" si="35"/>
        <v>0</v>
      </c>
      <c r="AT34" s="42"/>
      <c r="AU34" s="78">
        <f>+Base!E34</f>
        <v>44000</v>
      </c>
      <c r="AV34" s="81">
        <f t="shared" si="28"/>
        <v>0</v>
      </c>
      <c r="AW34" s="102"/>
      <c r="AX34" s="49"/>
      <c r="AY34" s="49"/>
      <c r="AZ34" s="42"/>
      <c r="BA34" s="49"/>
      <c r="BB34" s="49"/>
      <c r="BC34" s="39"/>
      <c r="BD34" s="39"/>
      <c r="BE34" s="39"/>
      <c r="BF34" s="49"/>
      <c r="BG34" s="49"/>
      <c r="BH34" s="49"/>
      <c r="BI34" s="49"/>
      <c r="BJ34" s="39"/>
      <c r="BK34" s="49"/>
      <c r="BL34" s="39"/>
      <c r="BM34" s="39"/>
      <c r="BN34" s="49"/>
      <c r="BO34" s="49"/>
      <c r="BP34" s="49"/>
      <c r="BQ34" s="49"/>
      <c r="BR34" s="49"/>
      <c r="BS34" s="49"/>
      <c r="BT34" s="49"/>
      <c r="BU34" s="49"/>
      <c r="BV34" s="49"/>
      <c r="BW34" s="49"/>
      <c r="BX34" s="49"/>
      <c r="BY34" s="49"/>
      <c r="BZ34" s="49"/>
      <c r="CA34" s="44"/>
      <c r="CB34" s="49"/>
      <c r="CC34" s="49"/>
      <c r="CD34" s="49"/>
      <c r="CE34" s="49"/>
      <c r="CF34" s="49"/>
      <c r="CG34" s="49"/>
      <c r="CH34" s="49"/>
      <c r="CI34" s="49"/>
      <c r="CJ34" s="49"/>
      <c r="CK34" s="49"/>
      <c r="CL34" s="49"/>
      <c r="CM34" s="49"/>
      <c r="CN34" s="49"/>
    </row>
    <row r="35" spans="1:92" ht="19.95" hidden="1" customHeight="1">
      <c r="A35" s="1427" t="s">
        <v>1578</v>
      </c>
      <c r="B35" s="451" t="s">
        <v>760</v>
      </c>
      <c r="C35" s="1418" t="s">
        <v>2303</v>
      </c>
      <c r="D35" s="1369" t="str">
        <f xml:space="preserve"> Roth_Return*100 &amp; "%-" &amp; Roth_Return2*100 &amp; "%"</f>
        <v>6.2%-5.3%</v>
      </c>
      <c r="E35" s="29">
        <f t="shared" si="32"/>
        <v>349000</v>
      </c>
      <c r="F35" s="1302">
        <f>ROUND(IF((F15+F120+F123)&lt;=0,0,+(F15+(F15+F120+F123))/2*F$25)/Round_To,0)*Round_To</f>
        <v>4700</v>
      </c>
      <c r="G35" s="1124">
        <f t="shared" ref="G35:AS35" si="36">ROUND(IF(OR(AND(F15=0,G15=0),(G15+G120+G123)&lt;=0),0,+(G15+(G15+G120+G123))/2*G$25)/Round_To,0)*Round_To</f>
        <v>5000</v>
      </c>
      <c r="H35" s="1124">
        <f t="shared" si="36"/>
        <v>5400</v>
      </c>
      <c r="I35" s="1124">
        <f t="shared" si="36"/>
        <v>5800</v>
      </c>
      <c r="J35" s="1124">
        <f t="shared" si="36"/>
        <v>6200</v>
      </c>
      <c r="K35" s="1124">
        <f t="shared" si="36"/>
        <v>6600</v>
      </c>
      <c r="L35" s="1124">
        <f t="shared" si="36"/>
        <v>7000</v>
      </c>
      <c r="M35" s="1124">
        <f t="shared" si="36"/>
        <v>7500</v>
      </c>
      <c r="N35" s="1124">
        <f t="shared" si="36"/>
        <v>7900</v>
      </c>
      <c r="O35" s="1124">
        <f t="shared" si="36"/>
        <v>8400</v>
      </c>
      <c r="P35" s="1124">
        <f t="shared" si="36"/>
        <v>8900</v>
      </c>
      <c r="Q35" s="1124">
        <f t="shared" si="36"/>
        <v>9500</v>
      </c>
      <c r="R35" s="1124">
        <f t="shared" si="36"/>
        <v>10100</v>
      </c>
      <c r="S35" s="1124">
        <f t="shared" si="36"/>
        <v>10700</v>
      </c>
      <c r="T35" s="1124">
        <f t="shared" si="36"/>
        <v>11400</v>
      </c>
      <c r="U35" s="1124">
        <f t="shared" si="36"/>
        <v>12100</v>
      </c>
      <c r="V35" s="1124">
        <f t="shared" si="36"/>
        <v>12800</v>
      </c>
      <c r="W35" s="1124">
        <f t="shared" si="36"/>
        <v>13600</v>
      </c>
      <c r="X35" s="1124">
        <f t="shared" si="36"/>
        <v>12300</v>
      </c>
      <c r="Y35" s="1124">
        <f t="shared" si="36"/>
        <v>12900</v>
      </c>
      <c r="Z35" s="1124">
        <f t="shared" si="36"/>
        <v>13600</v>
      </c>
      <c r="AA35" s="1124">
        <f t="shared" si="36"/>
        <v>14200</v>
      </c>
      <c r="AB35" s="1124">
        <f t="shared" si="36"/>
        <v>14900</v>
      </c>
      <c r="AC35" s="1124">
        <f t="shared" si="36"/>
        <v>15700</v>
      </c>
      <c r="AD35" s="1124">
        <f t="shared" si="36"/>
        <v>16400</v>
      </c>
      <c r="AE35" s="1124">
        <f t="shared" si="36"/>
        <v>17300</v>
      </c>
      <c r="AF35" s="1124">
        <f t="shared" si="36"/>
        <v>18100</v>
      </c>
      <c r="AG35" s="1124">
        <f t="shared" si="36"/>
        <v>19000</v>
      </c>
      <c r="AH35" s="1124">
        <f t="shared" si="36"/>
        <v>20000</v>
      </c>
      <c r="AI35" s="1124">
        <f t="shared" si="36"/>
        <v>21000</v>
      </c>
      <c r="AJ35" s="1124">
        <f t="shared" si="36"/>
        <v>0</v>
      </c>
      <c r="AK35" s="1124">
        <f t="shared" si="36"/>
        <v>0</v>
      </c>
      <c r="AL35" s="1124">
        <f t="shared" si="36"/>
        <v>0</v>
      </c>
      <c r="AM35" s="1124">
        <f t="shared" si="36"/>
        <v>0</v>
      </c>
      <c r="AN35" s="1124">
        <f t="shared" si="36"/>
        <v>0</v>
      </c>
      <c r="AO35" s="1124">
        <f t="shared" si="36"/>
        <v>0</v>
      </c>
      <c r="AP35" s="1124">
        <f t="shared" si="36"/>
        <v>0</v>
      </c>
      <c r="AQ35" s="1124">
        <f t="shared" si="36"/>
        <v>0</v>
      </c>
      <c r="AR35" s="1124">
        <f t="shared" si="36"/>
        <v>0</v>
      </c>
      <c r="AS35" s="1124">
        <f t="shared" si="36"/>
        <v>0</v>
      </c>
      <c r="AT35" s="42"/>
      <c r="AU35" s="78">
        <f>+Base!E35</f>
        <v>349000</v>
      </c>
      <c r="AV35" s="81">
        <f>+E35-AU35</f>
        <v>0</v>
      </c>
      <c r="AW35" s="29"/>
      <c r="AX35" s="49"/>
      <c r="AY35" s="49"/>
      <c r="AZ35" s="42"/>
      <c r="BA35" s="49"/>
      <c r="BB35" s="49"/>
      <c r="BC35" s="39"/>
      <c r="BD35" s="39"/>
      <c r="BE35" s="39"/>
      <c r="BF35" s="49"/>
      <c r="BG35" s="49"/>
      <c r="BH35" s="49"/>
      <c r="BI35" s="49"/>
      <c r="BJ35" s="39"/>
      <c r="BK35" s="49"/>
      <c r="BL35" s="39"/>
      <c r="BM35" s="39"/>
      <c r="BN35" s="49"/>
      <c r="BO35" s="49"/>
      <c r="BP35" s="49"/>
      <c r="BQ35" s="49"/>
      <c r="BR35" s="49"/>
      <c r="BS35" s="49"/>
      <c r="BT35" s="49"/>
      <c r="BU35" s="49"/>
      <c r="BV35" s="49"/>
      <c r="BW35" s="49"/>
      <c r="BX35" s="49"/>
      <c r="BY35" s="49"/>
      <c r="BZ35" s="49"/>
      <c r="CA35" s="44"/>
      <c r="CB35" s="49"/>
      <c r="CC35" s="49"/>
      <c r="CD35" s="49"/>
      <c r="CE35" s="49"/>
      <c r="CF35" s="49"/>
      <c r="CG35" s="49"/>
      <c r="CH35" s="49"/>
      <c r="CI35" s="49"/>
      <c r="CJ35" s="49"/>
      <c r="CK35" s="49"/>
      <c r="CL35" s="49"/>
      <c r="CM35" s="49"/>
      <c r="CN35" s="49"/>
    </row>
    <row r="36" spans="1:92" ht="15.6" hidden="1">
      <c r="A36" s="1427" t="s">
        <v>1578</v>
      </c>
      <c r="B36" s="992" t="s">
        <v>761</v>
      </c>
      <c r="C36" s="1418" t="s">
        <v>2028</v>
      </c>
      <c r="D36" s="1369" t="str">
        <f xml:space="preserve"> Roth2_Return*100 &amp; "%-" &amp; Roth2_Return2*100 &amp; "%"</f>
        <v>5.7%-5.3%</v>
      </c>
      <c r="E36" s="34">
        <f t="shared" si="32"/>
        <v>34900</v>
      </c>
      <c r="F36" s="1303">
        <f>ROUND(IF((F16+F124)&lt;=0,0,+(F16+(F16+F124))/2*F$26)/Round_To,0)*Round_To</f>
        <v>1400</v>
      </c>
      <c r="G36" s="1125">
        <f t="shared" ref="G36:AS36" si="37">ROUND(IF(OR(AND(F16=0,G16=0),(G16+G124)&lt;=0),0,+(G16+(G16+G124))/2*G$26)/Round_To,0)*Round_To</f>
        <v>1500</v>
      </c>
      <c r="H36" s="1125">
        <f t="shared" si="37"/>
        <v>1600</v>
      </c>
      <c r="I36" s="1125">
        <f t="shared" si="37"/>
        <v>1700</v>
      </c>
      <c r="J36" s="1125">
        <f t="shared" si="37"/>
        <v>1800</v>
      </c>
      <c r="K36" s="1125">
        <f t="shared" si="37"/>
        <v>1900</v>
      </c>
      <c r="L36" s="1125">
        <f t="shared" si="37"/>
        <v>2000</v>
      </c>
      <c r="M36" s="1125">
        <f t="shared" si="37"/>
        <v>2100</v>
      </c>
      <c r="N36" s="1125">
        <f t="shared" si="37"/>
        <v>2100</v>
      </c>
      <c r="O36" s="1125">
        <f t="shared" si="37"/>
        <v>1900</v>
      </c>
      <c r="P36" s="1125">
        <f t="shared" si="37"/>
        <v>1700</v>
      </c>
      <c r="Q36" s="1125">
        <f t="shared" si="37"/>
        <v>1400</v>
      </c>
      <c r="R36" s="1125">
        <f t="shared" si="37"/>
        <v>1100</v>
      </c>
      <c r="S36" s="1125">
        <f t="shared" si="37"/>
        <v>700</v>
      </c>
      <c r="T36" s="1125">
        <f t="shared" si="37"/>
        <v>500</v>
      </c>
      <c r="U36" s="1125">
        <f t="shared" si="37"/>
        <v>500</v>
      </c>
      <c r="V36" s="1125">
        <f t="shared" si="37"/>
        <v>600</v>
      </c>
      <c r="W36" s="1125">
        <f t="shared" si="37"/>
        <v>600</v>
      </c>
      <c r="X36" s="1125">
        <f t="shared" si="37"/>
        <v>600</v>
      </c>
      <c r="Y36" s="1125">
        <f t="shared" si="37"/>
        <v>600</v>
      </c>
      <c r="Z36" s="1125">
        <f t="shared" si="37"/>
        <v>700</v>
      </c>
      <c r="AA36" s="1125">
        <f t="shared" si="37"/>
        <v>700</v>
      </c>
      <c r="AB36" s="1125">
        <f t="shared" si="37"/>
        <v>700</v>
      </c>
      <c r="AC36" s="1125">
        <f t="shared" si="37"/>
        <v>800</v>
      </c>
      <c r="AD36" s="1125">
        <f t="shared" si="37"/>
        <v>800</v>
      </c>
      <c r="AE36" s="1125">
        <f t="shared" si="37"/>
        <v>900</v>
      </c>
      <c r="AF36" s="1125">
        <f t="shared" si="37"/>
        <v>900</v>
      </c>
      <c r="AG36" s="1125">
        <f t="shared" si="37"/>
        <v>1000</v>
      </c>
      <c r="AH36" s="1125">
        <f t="shared" si="37"/>
        <v>1000</v>
      </c>
      <c r="AI36" s="1125">
        <f t="shared" si="37"/>
        <v>1100</v>
      </c>
      <c r="AJ36" s="1125">
        <f t="shared" si="37"/>
        <v>0</v>
      </c>
      <c r="AK36" s="1125">
        <f t="shared" si="37"/>
        <v>0</v>
      </c>
      <c r="AL36" s="1125">
        <f t="shared" si="37"/>
        <v>0</v>
      </c>
      <c r="AM36" s="1125">
        <f t="shared" si="37"/>
        <v>0</v>
      </c>
      <c r="AN36" s="1125">
        <f t="shared" si="37"/>
        <v>0</v>
      </c>
      <c r="AO36" s="1125">
        <f t="shared" si="37"/>
        <v>0</v>
      </c>
      <c r="AP36" s="1125">
        <f t="shared" si="37"/>
        <v>0</v>
      </c>
      <c r="AQ36" s="1125">
        <f t="shared" si="37"/>
        <v>0</v>
      </c>
      <c r="AR36" s="1125">
        <f t="shared" si="37"/>
        <v>0</v>
      </c>
      <c r="AS36" s="1125">
        <f t="shared" si="37"/>
        <v>0</v>
      </c>
      <c r="AT36" s="42"/>
      <c r="AU36" s="82">
        <f>+Base!E36</f>
        <v>34900</v>
      </c>
      <c r="AV36" s="83">
        <f>+E36-AU36</f>
        <v>0</v>
      </c>
      <c r="AW36" s="29"/>
      <c r="AX36" s="49"/>
      <c r="AY36" s="49"/>
      <c r="AZ36" s="42"/>
      <c r="BA36" s="49"/>
      <c r="BB36" s="49"/>
      <c r="BC36" s="39"/>
      <c r="BD36" s="39"/>
      <c r="BE36" s="39"/>
      <c r="BF36" s="49"/>
      <c r="BG36" s="49"/>
      <c r="BH36" s="49"/>
      <c r="BI36" s="49"/>
      <c r="BJ36" s="39"/>
      <c r="BK36" s="49"/>
      <c r="BL36" s="39"/>
      <c r="BM36" s="39"/>
      <c r="BN36" s="49"/>
      <c r="BO36" s="49"/>
      <c r="BP36" s="49"/>
      <c r="BQ36" s="49"/>
      <c r="BR36" s="49"/>
      <c r="BS36" s="49"/>
      <c r="BT36" s="49"/>
      <c r="BU36" s="49"/>
      <c r="BV36" s="49"/>
      <c r="BW36" s="49"/>
      <c r="BX36" s="49"/>
      <c r="BY36" s="49"/>
      <c r="BZ36" s="49"/>
      <c r="CA36" s="44"/>
      <c r="CB36" s="49"/>
      <c r="CC36" s="49"/>
      <c r="CD36" s="49"/>
      <c r="CE36" s="49"/>
      <c r="CF36" s="49"/>
      <c r="CG36" s="49"/>
      <c r="CH36" s="49"/>
      <c r="CI36" s="49"/>
      <c r="CJ36" s="49"/>
      <c r="CK36" s="49"/>
      <c r="CL36" s="49"/>
      <c r="CM36" s="49"/>
      <c r="CN36" s="49"/>
    </row>
    <row r="37" spans="1:92" ht="15.6">
      <c r="A37" s="1425"/>
      <c r="B37" s="718" t="s">
        <v>601</v>
      </c>
      <c r="C37" s="32"/>
      <c r="D37" s="1369" t="str">
        <f>"1: " &amp; Roth_Return*100 &amp; "%-" &amp; Roth_Return2*100 &amp; "%   2: " &amp; Roth2_Return*100 &amp; "%-" &amp; Roth2_Return2*100 &amp; "%"</f>
        <v>1: 6.2%-5.3%   2: 5.7%-5.3%</v>
      </c>
      <c r="E37" s="29">
        <f t="shared" si="32"/>
        <v>383900</v>
      </c>
      <c r="F37" s="1124">
        <f>+F35+F36</f>
        <v>6100</v>
      </c>
      <c r="G37" s="1124">
        <f t="shared" ref="G37:AS37" si="38">+G35+G36</f>
        <v>6500</v>
      </c>
      <c r="H37" s="1124">
        <f t="shared" si="38"/>
        <v>7000</v>
      </c>
      <c r="I37" s="1124">
        <f t="shared" si="38"/>
        <v>7500</v>
      </c>
      <c r="J37" s="1124">
        <f t="shared" si="38"/>
        <v>8000</v>
      </c>
      <c r="K37" s="1124">
        <f t="shared" si="38"/>
        <v>8500</v>
      </c>
      <c r="L37" s="1124">
        <f t="shared" si="38"/>
        <v>9000</v>
      </c>
      <c r="M37" s="1124">
        <f t="shared" si="38"/>
        <v>9600</v>
      </c>
      <c r="N37" s="1124">
        <f t="shared" si="38"/>
        <v>10000</v>
      </c>
      <c r="O37" s="1124">
        <f t="shared" si="38"/>
        <v>10300</v>
      </c>
      <c r="P37" s="1124">
        <f t="shared" si="38"/>
        <v>10600</v>
      </c>
      <c r="Q37" s="1124">
        <f t="shared" si="38"/>
        <v>10900</v>
      </c>
      <c r="R37" s="1124">
        <f t="shared" si="38"/>
        <v>11200</v>
      </c>
      <c r="S37" s="1124">
        <f t="shared" si="38"/>
        <v>11400</v>
      </c>
      <c r="T37" s="1124">
        <f t="shared" si="38"/>
        <v>11900</v>
      </c>
      <c r="U37" s="1124">
        <f t="shared" si="38"/>
        <v>12600</v>
      </c>
      <c r="V37" s="1124">
        <f t="shared" si="38"/>
        <v>13400</v>
      </c>
      <c r="W37" s="1124">
        <f t="shared" si="38"/>
        <v>14200</v>
      </c>
      <c r="X37" s="1124">
        <f t="shared" si="38"/>
        <v>12900</v>
      </c>
      <c r="Y37" s="1124">
        <f t="shared" si="38"/>
        <v>13500</v>
      </c>
      <c r="Z37" s="1124">
        <f t="shared" si="38"/>
        <v>14300</v>
      </c>
      <c r="AA37" s="1124">
        <f t="shared" si="38"/>
        <v>14900</v>
      </c>
      <c r="AB37" s="1124">
        <f t="shared" si="38"/>
        <v>15600</v>
      </c>
      <c r="AC37" s="1124">
        <f t="shared" si="38"/>
        <v>16500</v>
      </c>
      <c r="AD37" s="1124">
        <f t="shared" si="38"/>
        <v>17200</v>
      </c>
      <c r="AE37" s="1124">
        <f t="shared" si="38"/>
        <v>18200</v>
      </c>
      <c r="AF37" s="1124">
        <f t="shared" si="38"/>
        <v>19000</v>
      </c>
      <c r="AG37" s="1124">
        <f t="shared" si="38"/>
        <v>20000</v>
      </c>
      <c r="AH37" s="1124">
        <f t="shared" si="38"/>
        <v>21000</v>
      </c>
      <c r="AI37" s="1124">
        <f t="shared" si="38"/>
        <v>22100</v>
      </c>
      <c r="AJ37" s="1124">
        <f t="shared" si="38"/>
        <v>0</v>
      </c>
      <c r="AK37" s="1124">
        <f t="shared" si="38"/>
        <v>0</v>
      </c>
      <c r="AL37" s="1124">
        <f t="shared" si="38"/>
        <v>0</v>
      </c>
      <c r="AM37" s="1124">
        <f t="shared" si="38"/>
        <v>0</v>
      </c>
      <c r="AN37" s="1124">
        <f t="shared" si="38"/>
        <v>0</v>
      </c>
      <c r="AO37" s="1124">
        <f t="shared" si="38"/>
        <v>0</v>
      </c>
      <c r="AP37" s="1124">
        <f t="shared" si="38"/>
        <v>0</v>
      </c>
      <c r="AQ37" s="1124">
        <f t="shared" si="38"/>
        <v>0</v>
      </c>
      <c r="AR37" s="1124">
        <f t="shared" si="38"/>
        <v>0</v>
      </c>
      <c r="AS37" s="1124">
        <f t="shared" si="38"/>
        <v>0</v>
      </c>
      <c r="AT37" s="42"/>
      <c r="AU37" s="78">
        <f>+Base!E37</f>
        <v>383900</v>
      </c>
      <c r="AV37" s="81">
        <f t="shared" si="28"/>
        <v>0</v>
      </c>
      <c r="AW37" s="29"/>
      <c r="AX37" s="49"/>
      <c r="AY37" s="49"/>
      <c r="AZ37" s="42"/>
      <c r="BA37" s="49"/>
      <c r="BB37" s="49"/>
      <c r="BC37" s="39"/>
      <c r="BD37" s="39"/>
      <c r="BE37" s="39"/>
      <c r="BF37" s="49"/>
      <c r="BG37" s="49"/>
      <c r="BH37" s="49"/>
      <c r="BI37" s="49"/>
      <c r="BJ37" s="39"/>
      <c r="BK37" s="49"/>
      <c r="BL37" s="39"/>
      <c r="BM37" s="39"/>
      <c r="BN37" s="49"/>
      <c r="BO37" s="49"/>
      <c r="BP37" s="49"/>
      <c r="BQ37" s="49"/>
      <c r="BR37" s="49"/>
      <c r="BS37" s="49"/>
      <c r="BT37" s="49"/>
      <c r="BU37" s="49"/>
      <c r="BV37" s="49"/>
      <c r="BW37" s="49"/>
      <c r="BX37" s="49"/>
      <c r="BY37" s="49"/>
      <c r="BZ37" s="49"/>
      <c r="CA37" s="44"/>
      <c r="CB37" s="49"/>
      <c r="CC37" s="49"/>
      <c r="CD37" s="49"/>
      <c r="CE37" s="49"/>
      <c r="CF37" s="49"/>
      <c r="CG37" s="49"/>
      <c r="CH37" s="49"/>
      <c r="CI37" s="49"/>
      <c r="CJ37" s="49"/>
      <c r="CK37" s="49"/>
      <c r="CL37" s="49"/>
      <c r="CM37" s="49"/>
      <c r="CN37" s="49"/>
    </row>
    <row r="38" spans="1:92" ht="15.6">
      <c r="A38" s="1425"/>
      <c r="B38" s="719" t="s">
        <v>921</v>
      </c>
      <c r="C38" s="1418" t="s">
        <v>2028</v>
      </c>
      <c r="D38" s="1369" t="str">
        <f xml:space="preserve"> RothConv_Return*100 &amp; "%-" &amp; RothConv_Return2*100 &amp; "%"</f>
        <v>6.3%-5.3%</v>
      </c>
      <c r="E38" s="29">
        <f t="shared" si="32"/>
        <v>0</v>
      </c>
      <c r="F38" s="1124">
        <f t="shared" ref="F38:AS38" si="39">ROUND(IF((F18+F133+F134)&lt;=0,0,+(F18+(F18+F133+F134))/2*F27)/Round_To,0)*Round_To</f>
        <v>0</v>
      </c>
      <c r="G38" s="1124">
        <f t="shared" si="39"/>
        <v>0</v>
      </c>
      <c r="H38" s="1124">
        <f t="shared" si="39"/>
        <v>0</v>
      </c>
      <c r="I38" s="1124">
        <f t="shared" si="39"/>
        <v>0</v>
      </c>
      <c r="J38" s="1124">
        <f t="shared" si="39"/>
        <v>0</v>
      </c>
      <c r="K38" s="1124">
        <f t="shared" si="39"/>
        <v>0</v>
      </c>
      <c r="L38" s="1124">
        <f t="shared" si="39"/>
        <v>0</v>
      </c>
      <c r="M38" s="1124">
        <f t="shared" si="39"/>
        <v>0</v>
      </c>
      <c r="N38" s="1124">
        <f t="shared" si="39"/>
        <v>0</v>
      </c>
      <c r="O38" s="1124">
        <f t="shared" si="39"/>
        <v>0</v>
      </c>
      <c r="P38" s="1124">
        <f t="shared" si="39"/>
        <v>0</v>
      </c>
      <c r="Q38" s="1124">
        <f t="shared" si="39"/>
        <v>0</v>
      </c>
      <c r="R38" s="1124">
        <f t="shared" si="39"/>
        <v>0</v>
      </c>
      <c r="S38" s="1124">
        <f t="shared" si="39"/>
        <v>0</v>
      </c>
      <c r="T38" s="1124">
        <f t="shared" si="39"/>
        <v>0</v>
      </c>
      <c r="U38" s="1124">
        <f t="shared" si="39"/>
        <v>0</v>
      </c>
      <c r="V38" s="1124">
        <f t="shared" si="39"/>
        <v>0</v>
      </c>
      <c r="W38" s="1124">
        <f t="shared" si="39"/>
        <v>0</v>
      </c>
      <c r="X38" s="1124">
        <f t="shared" si="39"/>
        <v>0</v>
      </c>
      <c r="Y38" s="1124">
        <f t="shared" si="39"/>
        <v>0</v>
      </c>
      <c r="Z38" s="1124">
        <f t="shared" si="39"/>
        <v>0</v>
      </c>
      <c r="AA38" s="1124">
        <f t="shared" si="39"/>
        <v>0</v>
      </c>
      <c r="AB38" s="1124">
        <f t="shared" si="39"/>
        <v>0</v>
      </c>
      <c r="AC38" s="1124">
        <f t="shared" si="39"/>
        <v>0</v>
      </c>
      <c r="AD38" s="1124">
        <f t="shared" si="39"/>
        <v>0</v>
      </c>
      <c r="AE38" s="1124">
        <f t="shared" si="39"/>
        <v>0</v>
      </c>
      <c r="AF38" s="1124">
        <f t="shared" si="39"/>
        <v>0</v>
      </c>
      <c r="AG38" s="1124">
        <f t="shared" si="39"/>
        <v>0</v>
      </c>
      <c r="AH38" s="1124">
        <f t="shared" si="39"/>
        <v>0</v>
      </c>
      <c r="AI38" s="1124">
        <f t="shared" si="39"/>
        <v>0</v>
      </c>
      <c r="AJ38" s="1124">
        <f t="shared" si="39"/>
        <v>0</v>
      </c>
      <c r="AK38" s="1124">
        <f t="shared" si="39"/>
        <v>0</v>
      </c>
      <c r="AL38" s="1124">
        <f t="shared" si="39"/>
        <v>0</v>
      </c>
      <c r="AM38" s="1124">
        <f t="shared" si="39"/>
        <v>0</v>
      </c>
      <c r="AN38" s="1124">
        <f t="shared" si="39"/>
        <v>0</v>
      </c>
      <c r="AO38" s="1124">
        <f t="shared" si="39"/>
        <v>0</v>
      </c>
      <c r="AP38" s="1124">
        <f t="shared" si="39"/>
        <v>0</v>
      </c>
      <c r="AQ38" s="1124">
        <f t="shared" si="39"/>
        <v>0</v>
      </c>
      <c r="AR38" s="1124">
        <f t="shared" si="39"/>
        <v>0</v>
      </c>
      <c r="AS38" s="1124">
        <f t="shared" si="39"/>
        <v>0</v>
      </c>
      <c r="AT38" s="42"/>
      <c r="AU38" s="78">
        <f>+Base!E38</f>
        <v>0</v>
      </c>
      <c r="AV38" s="81">
        <f t="shared" si="28"/>
        <v>0</v>
      </c>
      <c r="AW38" s="29"/>
      <c r="AX38" s="49"/>
      <c r="AY38" s="49"/>
      <c r="AZ38" s="42"/>
      <c r="BA38" s="49"/>
      <c r="BB38" s="49"/>
      <c r="BC38" s="39"/>
      <c r="BD38" s="39"/>
      <c r="BE38" s="39"/>
      <c r="BF38" s="49"/>
      <c r="BG38" s="49"/>
      <c r="BH38" s="49"/>
      <c r="BI38" s="49"/>
      <c r="BJ38" s="39"/>
      <c r="BK38" s="49"/>
      <c r="BL38" s="39"/>
      <c r="BM38" s="39"/>
      <c r="BN38" s="49"/>
      <c r="BO38" s="49"/>
      <c r="BP38" s="49"/>
      <c r="BQ38" s="49"/>
      <c r="BR38" s="49"/>
      <c r="BS38" s="49"/>
      <c r="BT38" s="49"/>
      <c r="BU38" s="49"/>
      <c r="BV38" s="49"/>
      <c r="BW38" s="49"/>
      <c r="BX38" s="49"/>
      <c r="BY38" s="49"/>
      <c r="BZ38" s="49"/>
      <c r="CA38" s="44"/>
      <c r="CB38" s="49"/>
      <c r="CC38" s="49"/>
      <c r="CD38" s="49"/>
      <c r="CE38" s="49"/>
      <c r="CF38" s="49"/>
      <c r="CG38" s="49"/>
      <c r="CH38" s="49"/>
      <c r="CI38" s="49"/>
      <c r="CJ38" s="49"/>
      <c r="CK38" s="49"/>
      <c r="CL38" s="49"/>
      <c r="CM38" s="49"/>
      <c r="CN38" s="49"/>
    </row>
    <row r="39" spans="1:92" ht="19.95" hidden="1" customHeight="1">
      <c r="A39" s="1427" t="s">
        <v>1578</v>
      </c>
      <c r="B39" s="1764" t="s">
        <v>1690</v>
      </c>
      <c r="C39" s="1314">
        <f>Your_SS_Start</f>
        <v>70</v>
      </c>
      <c r="D39" s="1314">
        <f>Your_SS_CA</f>
        <v>46400</v>
      </c>
      <c r="E39" s="29">
        <f t="shared" ref="E39:E47" si="40">SUM(F39:AS39)</f>
        <v>1065900</v>
      </c>
      <c r="F39" s="553">
        <f>ROUND(IF(Your_SS_Start=F$4,Your_SS_Calc,0)/Round_To,0)*Round_To</f>
        <v>0</v>
      </c>
      <c r="G39" s="1124">
        <f t="shared" ref="G39:AS39" si="41">ROUND((IF(Your_SS_Start=G$4,Your_SS_Calc,0)+IF(AND(OR(G$5&lt;=Your_SS_End,Your_SS_End=0),Final_Year&gt;=G$7,F39&gt;0),F39*(1+SS_COLA),0))*IF(AND(SS_re_yr=G7,SS_re_pc&gt;0),(1-SS_re_pc),1)/Round_To,0)*Round_To</f>
        <v>0</v>
      </c>
      <c r="H39" s="1124">
        <f t="shared" si="41"/>
        <v>0</v>
      </c>
      <c r="I39" s="1124">
        <f t="shared" si="41"/>
        <v>0</v>
      </c>
      <c r="J39" s="1124">
        <f t="shared" si="41"/>
        <v>0</v>
      </c>
      <c r="K39" s="1124">
        <f t="shared" si="41"/>
        <v>0</v>
      </c>
      <c r="L39" s="1124">
        <f t="shared" si="41"/>
        <v>0</v>
      </c>
      <c r="M39" s="1124">
        <f t="shared" si="41"/>
        <v>0</v>
      </c>
      <c r="N39" s="1124">
        <f t="shared" si="41"/>
        <v>46400</v>
      </c>
      <c r="O39" s="1124">
        <f t="shared" si="41"/>
        <v>47300</v>
      </c>
      <c r="P39" s="1124">
        <f t="shared" si="41"/>
        <v>48200</v>
      </c>
      <c r="Q39" s="1124">
        <f t="shared" si="41"/>
        <v>49200</v>
      </c>
      <c r="R39" s="1124">
        <f t="shared" si="41"/>
        <v>50200</v>
      </c>
      <c r="S39" s="1124">
        <f t="shared" si="41"/>
        <v>51200</v>
      </c>
      <c r="T39" s="1124">
        <f t="shared" si="41"/>
        <v>52200</v>
      </c>
      <c r="U39" s="1124">
        <f t="shared" si="41"/>
        <v>53200</v>
      </c>
      <c r="V39" s="1124">
        <f t="shared" si="41"/>
        <v>41800</v>
      </c>
      <c r="W39" s="1124">
        <f t="shared" si="41"/>
        <v>42600</v>
      </c>
      <c r="X39" s="1124">
        <f t="shared" si="41"/>
        <v>43500</v>
      </c>
      <c r="Y39" s="1124">
        <f t="shared" si="41"/>
        <v>44400</v>
      </c>
      <c r="Z39" s="1124">
        <f t="shared" si="41"/>
        <v>45300</v>
      </c>
      <c r="AA39" s="1124">
        <f t="shared" si="41"/>
        <v>46200</v>
      </c>
      <c r="AB39" s="1124">
        <f t="shared" si="41"/>
        <v>47100</v>
      </c>
      <c r="AC39" s="1124">
        <f t="shared" si="41"/>
        <v>48000</v>
      </c>
      <c r="AD39" s="1124">
        <f t="shared" si="41"/>
        <v>49000</v>
      </c>
      <c r="AE39" s="1124">
        <f t="shared" si="41"/>
        <v>50000</v>
      </c>
      <c r="AF39" s="1124">
        <f t="shared" si="41"/>
        <v>51000</v>
      </c>
      <c r="AG39" s="1124">
        <f t="shared" si="41"/>
        <v>52000</v>
      </c>
      <c r="AH39" s="1124">
        <f t="shared" si="41"/>
        <v>53000</v>
      </c>
      <c r="AI39" s="1124">
        <f t="shared" si="41"/>
        <v>54100</v>
      </c>
      <c r="AJ39" s="1124">
        <f t="shared" si="41"/>
        <v>0</v>
      </c>
      <c r="AK39" s="1124">
        <f t="shared" si="41"/>
        <v>0</v>
      </c>
      <c r="AL39" s="1124">
        <f t="shared" si="41"/>
        <v>0</v>
      </c>
      <c r="AM39" s="1124">
        <f t="shared" si="41"/>
        <v>0</v>
      </c>
      <c r="AN39" s="1124">
        <f t="shared" si="41"/>
        <v>0</v>
      </c>
      <c r="AO39" s="1124">
        <f t="shared" si="41"/>
        <v>0</v>
      </c>
      <c r="AP39" s="1124">
        <f t="shared" si="41"/>
        <v>0</v>
      </c>
      <c r="AQ39" s="1124">
        <f t="shared" si="41"/>
        <v>0</v>
      </c>
      <c r="AR39" s="1124">
        <f t="shared" si="41"/>
        <v>0</v>
      </c>
      <c r="AS39" s="1124">
        <f t="shared" si="41"/>
        <v>0</v>
      </c>
      <c r="AT39" s="42"/>
      <c r="AU39" s="15">
        <f>+Base!E39</f>
        <v>1065900</v>
      </c>
      <c r="AV39" s="81">
        <f t="shared" ref="AV39:AV58" si="42">+E39-AU39</f>
        <v>0</v>
      </c>
      <c r="AW39" s="29"/>
      <c r="AX39" s="49"/>
      <c r="AY39" s="49"/>
      <c r="AZ39" s="42"/>
      <c r="BA39" s="49"/>
      <c r="BB39" s="49"/>
      <c r="BC39" s="39"/>
      <c r="BD39" s="39"/>
      <c r="BE39" s="39"/>
      <c r="BF39" s="49"/>
      <c r="BG39" s="49"/>
      <c r="BH39" s="49"/>
      <c r="BI39" s="49"/>
      <c r="BJ39" s="39"/>
      <c r="BK39" s="49"/>
      <c r="BL39" s="39"/>
      <c r="BM39" s="39"/>
      <c r="BN39" s="49"/>
      <c r="BO39" s="49"/>
      <c r="BP39" s="49"/>
      <c r="BQ39" s="49"/>
      <c r="BR39" s="49"/>
      <c r="BS39" s="49"/>
      <c r="BT39" s="49"/>
      <c r="BU39" s="49"/>
      <c r="BV39" s="49"/>
      <c r="BW39" s="49"/>
      <c r="BX39" s="49"/>
      <c r="BY39" s="49"/>
      <c r="BZ39" s="49"/>
      <c r="CA39" s="44"/>
      <c r="CB39" s="49"/>
      <c r="CC39" s="49"/>
      <c r="CD39" s="49"/>
      <c r="CE39" s="49"/>
      <c r="CF39" s="49"/>
      <c r="CG39" s="49"/>
      <c r="CH39" s="49"/>
      <c r="CI39" s="49"/>
      <c r="CJ39" s="49"/>
      <c r="CK39" s="49"/>
      <c r="CL39" s="49"/>
      <c r="CM39" s="49"/>
      <c r="CN39" s="49"/>
    </row>
    <row r="40" spans="1:92" hidden="1">
      <c r="A40" s="1427" t="s">
        <v>1578</v>
      </c>
      <c r="B40" s="1764" t="s">
        <v>841</v>
      </c>
      <c r="C40" s="1314" t="str">
        <f>Your_SB</f>
        <v>self - 2027</v>
      </c>
      <c r="E40" s="29">
        <f t="shared" si="40"/>
        <v>265600</v>
      </c>
      <c r="F40" s="553">
        <f>ROUND(IF(Your_SS_Start=F$4,Your_Spousal,0)/Round_To,0)*Round_To</f>
        <v>0</v>
      </c>
      <c r="G40" s="1124">
        <f t="shared" ref="G40:AS40" si="43">ROUND((IF(Your_SS_Start=G$4,Your_Spousal,0)+IF(AND(OR(G$5&lt;=Your_SS_End,Your_SS_End=0),Final_Year&gt;=G$7),F40*(1+SS_COLA),0))*IF(AND(SS_re_yr=G7,SS_re_pc&gt;0),(1-SS_re_pc),1)/Round_To,0)*Round_To</f>
        <v>0</v>
      </c>
      <c r="H40" s="1124">
        <f t="shared" si="43"/>
        <v>0</v>
      </c>
      <c r="I40" s="1124">
        <f t="shared" si="43"/>
        <v>0</v>
      </c>
      <c r="J40" s="1124">
        <f t="shared" si="43"/>
        <v>0</v>
      </c>
      <c r="K40" s="1124">
        <f t="shared" si="43"/>
        <v>0</v>
      </c>
      <c r="L40" s="1124">
        <f t="shared" si="43"/>
        <v>0</v>
      </c>
      <c r="M40" s="1124">
        <f t="shared" si="43"/>
        <v>0</v>
      </c>
      <c r="N40" s="1124">
        <f t="shared" si="43"/>
        <v>11700</v>
      </c>
      <c r="O40" s="1124">
        <f t="shared" si="43"/>
        <v>11900</v>
      </c>
      <c r="P40" s="1124">
        <f t="shared" si="43"/>
        <v>12100</v>
      </c>
      <c r="Q40" s="1124">
        <f t="shared" si="43"/>
        <v>12300</v>
      </c>
      <c r="R40" s="1124">
        <f t="shared" si="43"/>
        <v>12500</v>
      </c>
      <c r="S40" s="1124">
        <f t="shared" si="43"/>
        <v>12800</v>
      </c>
      <c r="T40" s="1124">
        <f t="shared" si="43"/>
        <v>13100</v>
      </c>
      <c r="U40" s="1124">
        <f t="shared" si="43"/>
        <v>13400</v>
      </c>
      <c r="V40" s="1124">
        <f t="shared" si="43"/>
        <v>10500</v>
      </c>
      <c r="W40" s="1124">
        <f t="shared" si="43"/>
        <v>10700</v>
      </c>
      <c r="X40" s="1124">
        <f t="shared" si="43"/>
        <v>10900</v>
      </c>
      <c r="Y40" s="1124">
        <f t="shared" si="43"/>
        <v>11100</v>
      </c>
      <c r="Z40" s="1124">
        <f t="shared" si="43"/>
        <v>11300</v>
      </c>
      <c r="AA40" s="1124">
        <f t="shared" si="43"/>
        <v>11500</v>
      </c>
      <c r="AB40" s="1124">
        <f t="shared" si="43"/>
        <v>11700</v>
      </c>
      <c r="AC40" s="1124">
        <f t="shared" si="43"/>
        <v>11900</v>
      </c>
      <c r="AD40" s="1124">
        <f t="shared" si="43"/>
        <v>12100</v>
      </c>
      <c r="AE40" s="1124">
        <f t="shared" si="43"/>
        <v>12300</v>
      </c>
      <c r="AF40" s="1124">
        <f t="shared" si="43"/>
        <v>12500</v>
      </c>
      <c r="AG40" s="1124">
        <f t="shared" si="43"/>
        <v>12800</v>
      </c>
      <c r="AH40" s="1124">
        <f t="shared" si="43"/>
        <v>13100</v>
      </c>
      <c r="AI40" s="1124">
        <f t="shared" si="43"/>
        <v>13400</v>
      </c>
      <c r="AJ40" s="1124">
        <f t="shared" si="43"/>
        <v>0</v>
      </c>
      <c r="AK40" s="1124">
        <f t="shared" si="43"/>
        <v>0</v>
      </c>
      <c r="AL40" s="1124">
        <f t="shared" si="43"/>
        <v>0</v>
      </c>
      <c r="AM40" s="1124">
        <f t="shared" si="43"/>
        <v>0</v>
      </c>
      <c r="AN40" s="1124">
        <f t="shared" si="43"/>
        <v>0</v>
      </c>
      <c r="AO40" s="1124">
        <f t="shared" si="43"/>
        <v>0</v>
      </c>
      <c r="AP40" s="1124">
        <f t="shared" si="43"/>
        <v>0</v>
      </c>
      <c r="AQ40" s="1124">
        <f t="shared" si="43"/>
        <v>0</v>
      </c>
      <c r="AR40" s="1124">
        <f t="shared" si="43"/>
        <v>0</v>
      </c>
      <c r="AS40" s="1124">
        <f t="shared" si="43"/>
        <v>0</v>
      </c>
      <c r="AT40" s="42"/>
      <c r="AU40" s="15">
        <f>+Base!E40</f>
        <v>265600</v>
      </c>
      <c r="AV40" s="81">
        <f t="shared" si="42"/>
        <v>0</v>
      </c>
      <c r="AW40" s="29"/>
      <c r="AX40" s="49"/>
      <c r="AY40" s="49"/>
      <c r="AZ40" s="42"/>
      <c r="BA40" s="49"/>
      <c r="BB40" s="49"/>
      <c r="BC40" s="39"/>
      <c r="BD40" s="39"/>
      <c r="BE40" s="39"/>
      <c r="BF40" s="49"/>
      <c r="BG40" s="49"/>
      <c r="BH40" s="49"/>
      <c r="BI40" s="49"/>
      <c r="BJ40" s="39"/>
      <c r="BK40" s="49"/>
      <c r="BL40" s="39"/>
      <c r="BM40" s="39"/>
      <c r="BN40" s="49"/>
      <c r="BO40" s="49"/>
      <c r="BP40" s="49"/>
      <c r="BQ40" s="49"/>
      <c r="BR40" s="49"/>
      <c r="BS40" s="49"/>
      <c r="BT40" s="49"/>
      <c r="BU40" s="49"/>
      <c r="BV40" s="49"/>
      <c r="BW40" s="49"/>
      <c r="BX40" s="49"/>
      <c r="BY40" s="49"/>
      <c r="BZ40" s="49"/>
      <c r="CA40" s="44"/>
      <c r="CB40" s="49"/>
      <c r="CC40" s="49"/>
      <c r="CD40" s="49"/>
      <c r="CE40" s="49"/>
      <c r="CF40" s="49"/>
      <c r="CG40" s="49"/>
      <c r="CH40" s="49"/>
      <c r="CI40" s="49"/>
      <c r="CJ40" s="49"/>
      <c r="CK40" s="49"/>
      <c r="CL40" s="49"/>
      <c r="CM40" s="49"/>
      <c r="CN40" s="49"/>
    </row>
    <row r="41" spans="1:92" ht="15.6" hidden="1">
      <c r="A41" s="1427" t="s">
        <v>1578</v>
      </c>
      <c r="B41" s="1768" t="s">
        <v>1405</v>
      </c>
      <c r="C41" s="380"/>
      <c r="D41" s="678"/>
      <c r="E41" s="29">
        <f t="shared" si="40"/>
        <v>1065900</v>
      </c>
      <c r="F41" s="554">
        <f t="shared" ref="F41:AS41" si="44">IF(AND(Auto_Spousal="y",Your_SB&lt;&gt;"self"),IF(F40&gt;F39,F40,F39),F39)*IF(F$4&lt;Your_SS_Start,0,1)</f>
        <v>0</v>
      </c>
      <c r="G41" s="1124">
        <f t="shared" si="44"/>
        <v>0</v>
      </c>
      <c r="H41" s="1124">
        <f t="shared" si="44"/>
        <v>0</v>
      </c>
      <c r="I41" s="1124">
        <f t="shared" si="44"/>
        <v>0</v>
      </c>
      <c r="J41" s="1124">
        <f t="shared" si="44"/>
        <v>0</v>
      </c>
      <c r="K41" s="1124">
        <f t="shared" si="44"/>
        <v>0</v>
      </c>
      <c r="L41" s="1124">
        <f t="shared" si="44"/>
        <v>0</v>
      </c>
      <c r="M41" s="1124">
        <f t="shared" si="44"/>
        <v>0</v>
      </c>
      <c r="N41" s="1124">
        <f t="shared" si="44"/>
        <v>46400</v>
      </c>
      <c r="O41" s="1124">
        <f t="shared" si="44"/>
        <v>47300</v>
      </c>
      <c r="P41" s="1124">
        <f t="shared" si="44"/>
        <v>48200</v>
      </c>
      <c r="Q41" s="1124">
        <f t="shared" si="44"/>
        <v>49200</v>
      </c>
      <c r="R41" s="1124">
        <f t="shared" si="44"/>
        <v>50200</v>
      </c>
      <c r="S41" s="1124">
        <f t="shared" si="44"/>
        <v>51200</v>
      </c>
      <c r="T41" s="1124">
        <f t="shared" si="44"/>
        <v>52200</v>
      </c>
      <c r="U41" s="1124">
        <f t="shared" si="44"/>
        <v>53200</v>
      </c>
      <c r="V41" s="1124">
        <f t="shared" si="44"/>
        <v>41800</v>
      </c>
      <c r="W41" s="1124">
        <f t="shared" si="44"/>
        <v>42600</v>
      </c>
      <c r="X41" s="1124">
        <f t="shared" si="44"/>
        <v>43500</v>
      </c>
      <c r="Y41" s="1124">
        <f t="shared" si="44"/>
        <v>44400</v>
      </c>
      <c r="Z41" s="1124">
        <f t="shared" si="44"/>
        <v>45300</v>
      </c>
      <c r="AA41" s="1124">
        <f t="shared" si="44"/>
        <v>46200</v>
      </c>
      <c r="AB41" s="1124">
        <f t="shared" si="44"/>
        <v>47100</v>
      </c>
      <c r="AC41" s="1124">
        <f t="shared" si="44"/>
        <v>48000</v>
      </c>
      <c r="AD41" s="1124">
        <f t="shared" si="44"/>
        <v>49000</v>
      </c>
      <c r="AE41" s="1124">
        <f t="shared" si="44"/>
        <v>50000</v>
      </c>
      <c r="AF41" s="1124">
        <f t="shared" si="44"/>
        <v>51000</v>
      </c>
      <c r="AG41" s="1124">
        <f t="shared" si="44"/>
        <v>52000</v>
      </c>
      <c r="AH41" s="1124">
        <f t="shared" si="44"/>
        <v>53000</v>
      </c>
      <c r="AI41" s="1124">
        <f t="shared" si="44"/>
        <v>54100</v>
      </c>
      <c r="AJ41" s="1124">
        <f t="shared" si="44"/>
        <v>0</v>
      </c>
      <c r="AK41" s="1124">
        <f t="shared" si="44"/>
        <v>0</v>
      </c>
      <c r="AL41" s="1124">
        <f t="shared" si="44"/>
        <v>0</v>
      </c>
      <c r="AM41" s="1124">
        <f t="shared" si="44"/>
        <v>0</v>
      </c>
      <c r="AN41" s="1124">
        <f t="shared" si="44"/>
        <v>0</v>
      </c>
      <c r="AO41" s="1124">
        <f t="shared" si="44"/>
        <v>0</v>
      </c>
      <c r="AP41" s="1124">
        <f t="shared" si="44"/>
        <v>0</v>
      </c>
      <c r="AQ41" s="1124">
        <f t="shared" si="44"/>
        <v>0</v>
      </c>
      <c r="AR41" s="1124">
        <f t="shared" si="44"/>
        <v>0</v>
      </c>
      <c r="AS41" s="1124">
        <f t="shared" si="44"/>
        <v>0</v>
      </c>
      <c r="AT41" s="42"/>
      <c r="AU41" s="15">
        <f>+Base!E41</f>
        <v>1065900</v>
      </c>
      <c r="AV41" s="81">
        <f>+E41-AU41</f>
        <v>0</v>
      </c>
      <c r="AW41" s="29"/>
      <c r="AX41" s="49"/>
      <c r="AY41" s="49"/>
      <c r="AZ41" s="42"/>
      <c r="BA41" s="49"/>
      <c r="BB41" s="49"/>
      <c r="BC41" s="39"/>
      <c r="BD41" s="39"/>
      <c r="BE41" s="39"/>
      <c r="BF41" s="49"/>
      <c r="BG41" s="49"/>
      <c r="BH41" s="49"/>
      <c r="BI41" s="49"/>
      <c r="BJ41" s="39"/>
      <c r="BK41" s="49"/>
      <c r="BL41" s="39"/>
      <c r="BM41" s="39"/>
      <c r="BN41" s="49"/>
      <c r="BO41" s="49"/>
      <c r="BP41" s="49"/>
      <c r="BQ41" s="49"/>
      <c r="BR41" s="49"/>
      <c r="BS41" s="49"/>
      <c r="BT41" s="49"/>
      <c r="BU41" s="49"/>
      <c r="BV41" s="49"/>
      <c r="BW41" s="49"/>
      <c r="BX41" s="49"/>
      <c r="BY41" s="49"/>
      <c r="BZ41" s="49"/>
      <c r="CA41" s="44"/>
      <c r="CB41" s="49"/>
      <c r="CC41" s="49"/>
      <c r="CD41" s="49"/>
      <c r="CE41" s="49"/>
      <c r="CF41" s="49"/>
      <c r="CG41" s="49"/>
      <c r="CH41" s="49"/>
      <c r="CI41" s="49"/>
      <c r="CJ41" s="49"/>
      <c r="CK41" s="49"/>
      <c r="CL41" s="49"/>
      <c r="CM41" s="49"/>
      <c r="CN41" s="49"/>
    </row>
    <row r="42" spans="1:92" hidden="1">
      <c r="A42" s="1427" t="s">
        <v>1578</v>
      </c>
      <c r="B42" s="1764" t="s">
        <v>1404</v>
      </c>
      <c r="C42" s="380"/>
      <c r="D42" s="677"/>
      <c r="E42" s="29">
        <f t="shared" si="40"/>
        <v>0</v>
      </c>
      <c r="F42" s="553">
        <f>ROUND(IF(SS_Add_Start=F$4,Your_SS_Add,0)/Round_To,0)*Round_To</f>
        <v>0</v>
      </c>
      <c r="G42" s="1124">
        <f t="shared" ref="G42:AS42" si="45">ROUND(IF(SS_Add_Start=G$4,Your_SS_Add,IF(AND(SS_Add_Start&lt;G$4,SS_Add_End&gt;=G$4),F42*(1+SS_COLA),0))/Round_To,0)*Round_To</f>
        <v>0</v>
      </c>
      <c r="H42" s="1124">
        <f t="shared" si="45"/>
        <v>0</v>
      </c>
      <c r="I42" s="1124">
        <f t="shared" si="45"/>
        <v>0</v>
      </c>
      <c r="J42" s="1124">
        <f t="shared" si="45"/>
        <v>0</v>
      </c>
      <c r="K42" s="1124">
        <f t="shared" si="45"/>
        <v>0</v>
      </c>
      <c r="L42" s="1124">
        <f t="shared" si="45"/>
        <v>0</v>
      </c>
      <c r="M42" s="1124">
        <f t="shared" si="45"/>
        <v>0</v>
      </c>
      <c r="N42" s="1124">
        <f t="shared" si="45"/>
        <v>0</v>
      </c>
      <c r="O42" s="1124">
        <f t="shared" si="45"/>
        <v>0</v>
      </c>
      <c r="P42" s="1124">
        <f t="shared" si="45"/>
        <v>0</v>
      </c>
      <c r="Q42" s="1124">
        <f t="shared" si="45"/>
        <v>0</v>
      </c>
      <c r="R42" s="1124">
        <f t="shared" si="45"/>
        <v>0</v>
      </c>
      <c r="S42" s="1124">
        <f t="shared" si="45"/>
        <v>0</v>
      </c>
      <c r="T42" s="1124">
        <f t="shared" si="45"/>
        <v>0</v>
      </c>
      <c r="U42" s="1124">
        <f t="shared" si="45"/>
        <v>0</v>
      </c>
      <c r="V42" s="1124">
        <f t="shared" si="45"/>
        <v>0</v>
      </c>
      <c r="W42" s="1124">
        <f t="shared" si="45"/>
        <v>0</v>
      </c>
      <c r="X42" s="1124">
        <f t="shared" si="45"/>
        <v>0</v>
      </c>
      <c r="Y42" s="1124">
        <f t="shared" si="45"/>
        <v>0</v>
      </c>
      <c r="Z42" s="1124">
        <f t="shared" si="45"/>
        <v>0</v>
      </c>
      <c r="AA42" s="1124">
        <f t="shared" si="45"/>
        <v>0</v>
      </c>
      <c r="AB42" s="1124">
        <f t="shared" si="45"/>
        <v>0</v>
      </c>
      <c r="AC42" s="1124">
        <f t="shared" si="45"/>
        <v>0</v>
      </c>
      <c r="AD42" s="1124">
        <f t="shared" si="45"/>
        <v>0</v>
      </c>
      <c r="AE42" s="1124">
        <f t="shared" si="45"/>
        <v>0</v>
      </c>
      <c r="AF42" s="1124">
        <f t="shared" si="45"/>
        <v>0</v>
      </c>
      <c r="AG42" s="1124">
        <f t="shared" si="45"/>
        <v>0</v>
      </c>
      <c r="AH42" s="1124">
        <f t="shared" si="45"/>
        <v>0</v>
      </c>
      <c r="AI42" s="1124">
        <f t="shared" si="45"/>
        <v>0</v>
      </c>
      <c r="AJ42" s="1124">
        <f t="shared" si="45"/>
        <v>0</v>
      </c>
      <c r="AK42" s="1124">
        <f t="shared" si="45"/>
        <v>0</v>
      </c>
      <c r="AL42" s="1124">
        <f t="shared" si="45"/>
        <v>0</v>
      </c>
      <c r="AM42" s="1124">
        <f t="shared" si="45"/>
        <v>0</v>
      </c>
      <c r="AN42" s="1124">
        <f t="shared" si="45"/>
        <v>0</v>
      </c>
      <c r="AO42" s="1124">
        <f t="shared" si="45"/>
        <v>0</v>
      </c>
      <c r="AP42" s="1124">
        <f t="shared" si="45"/>
        <v>0</v>
      </c>
      <c r="AQ42" s="1124">
        <f t="shared" si="45"/>
        <v>0</v>
      </c>
      <c r="AR42" s="1124">
        <f t="shared" si="45"/>
        <v>0</v>
      </c>
      <c r="AS42" s="1124">
        <f t="shared" si="45"/>
        <v>0</v>
      </c>
      <c r="AT42" s="42"/>
      <c r="AU42" s="15">
        <f>+Base!E42</f>
        <v>0</v>
      </c>
      <c r="AV42" s="81">
        <f t="shared" si="42"/>
        <v>0</v>
      </c>
      <c r="AW42" s="29"/>
      <c r="AX42" s="49"/>
      <c r="AY42" s="49"/>
      <c r="AZ42" s="42"/>
      <c r="BA42" s="49"/>
      <c r="BB42" s="49"/>
      <c r="BC42" s="39"/>
      <c r="BD42" s="39"/>
      <c r="BE42" s="39"/>
      <c r="BF42" s="49"/>
      <c r="BG42" s="49"/>
      <c r="BH42" s="49"/>
      <c r="BI42" s="49"/>
      <c r="BJ42" s="39"/>
      <c r="BK42" s="49"/>
      <c r="BL42" s="39"/>
      <c r="BM42" s="39"/>
      <c r="BN42" s="49"/>
      <c r="BO42" s="49"/>
      <c r="BP42" s="49"/>
      <c r="BQ42" s="49"/>
      <c r="BR42" s="49"/>
      <c r="BS42" s="49"/>
      <c r="BT42" s="49"/>
      <c r="BU42" s="49"/>
      <c r="BV42" s="49"/>
      <c r="BW42" s="49"/>
      <c r="BX42" s="49"/>
      <c r="BY42" s="49"/>
      <c r="BZ42" s="49"/>
      <c r="CA42" s="44"/>
      <c r="CB42" s="49"/>
      <c r="CC42" s="49"/>
      <c r="CD42" s="49"/>
      <c r="CE42" s="49"/>
      <c r="CF42" s="49"/>
      <c r="CG42" s="49"/>
      <c r="CH42" s="49"/>
      <c r="CI42" s="49"/>
      <c r="CJ42" s="49"/>
      <c r="CK42" s="49"/>
      <c r="CL42" s="49"/>
      <c r="CM42" s="49"/>
      <c r="CN42" s="49"/>
    </row>
    <row r="43" spans="1:92" ht="15.6" hidden="1">
      <c r="A43" s="1427" t="s">
        <v>1578</v>
      </c>
      <c r="B43" s="1766" t="s">
        <v>1227</v>
      </c>
      <c r="D43" s="199"/>
      <c r="E43" s="535">
        <f>SUM(F43:AS43)</f>
        <v>1065900</v>
      </c>
      <c r="F43" s="665">
        <f>+F41+F42</f>
        <v>0</v>
      </c>
      <c r="G43" s="1127">
        <f t="shared" ref="G43:AS43" si="46">+G41+G42</f>
        <v>0</v>
      </c>
      <c r="H43" s="1127">
        <f t="shared" si="46"/>
        <v>0</v>
      </c>
      <c r="I43" s="1127">
        <f t="shared" si="46"/>
        <v>0</v>
      </c>
      <c r="J43" s="1127">
        <f t="shared" si="46"/>
        <v>0</v>
      </c>
      <c r="K43" s="1127">
        <f t="shared" si="46"/>
        <v>0</v>
      </c>
      <c r="L43" s="1127">
        <f t="shared" si="46"/>
        <v>0</v>
      </c>
      <c r="M43" s="1127">
        <f t="shared" si="46"/>
        <v>0</v>
      </c>
      <c r="N43" s="1127">
        <f t="shared" si="46"/>
        <v>46400</v>
      </c>
      <c r="O43" s="1127">
        <f t="shared" si="46"/>
        <v>47300</v>
      </c>
      <c r="P43" s="1127">
        <f t="shared" si="46"/>
        <v>48200</v>
      </c>
      <c r="Q43" s="1127">
        <f t="shared" si="46"/>
        <v>49200</v>
      </c>
      <c r="R43" s="1127">
        <f t="shared" si="46"/>
        <v>50200</v>
      </c>
      <c r="S43" s="1127">
        <f t="shared" si="46"/>
        <v>51200</v>
      </c>
      <c r="T43" s="1127">
        <f t="shared" si="46"/>
        <v>52200</v>
      </c>
      <c r="U43" s="1127">
        <f t="shared" si="46"/>
        <v>53200</v>
      </c>
      <c r="V43" s="1127">
        <f t="shared" si="46"/>
        <v>41800</v>
      </c>
      <c r="W43" s="1127">
        <f t="shared" si="46"/>
        <v>42600</v>
      </c>
      <c r="X43" s="1127">
        <f t="shared" si="46"/>
        <v>43500</v>
      </c>
      <c r="Y43" s="1127">
        <f t="shared" si="46"/>
        <v>44400</v>
      </c>
      <c r="Z43" s="1127">
        <f t="shared" si="46"/>
        <v>45300</v>
      </c>
      <c r="AA43" s="1127">
        <f t="shared" si="46"/>
        <v>46200</v>
      </c>
      <c r="AB43" s="1127">
        <f t="shared" si="46"/>
        <v>47100</v>
      </c>
      <c r="AC43" s="1127">
        <f t="shared" si="46"/>
        <v>48000</v>
      </c>
      <c r="AD43" s="1127">
        <f t="shared" si="46"/>
        <v>49000</v>
      </c>
      <c r="AE43" s="1127">
        <f t="shared" si="46"/>
        <v>50000</v>
      </c>
      <c r="AF43" s="1127">
        <f t="shared" si="46"/>
        <v>51000</v>
      </c>
      <c r="AG43" s="1127">
        <f t="shared" si="46"/>
        <v>52000</v>
      </c>
      <c r="AH43" s="1127">
        <f t="shared" si="46"/>
        <v>53000</v>
      </c>
      <c r="AI43" s="1127">
        <f t="shared" si="46"/>
        <v>54100</v>
      </c>
      <c r="AJ43" s="1127">
        <f t="shared" si="46"/>
        <v>0</v>
      </c>
      <c r="AK43" s="1127">
        <f t="shared" si="46"/>
        <v>0</v>
      </c>
      <c r="AL43" s="1127">
        <f t="shared" si="46"/>
        <v>0</v>
      </c>
      <c r="AM43" s="1127">
        <f t="shared" si="46"/>
        <v>0</v>
      </c>
      <c r="AN43" s="1127">
        <f t="shared" si="46"/>
        <v>0</v>
      </c>
      <c r="AO43" s="1127">
        <f t="shared" si="46"/>
        <v>0</v>
      </c>
      <c r="AP43" s="1127">
        <f t="shared" si="46"/>
        <v>0</v>
      </c>
      <c r="AQ43" s="1127">
        <f t="shared" si="46"/>
        <v>0</v>
      </c>
      <c r="AR43" s="1127">
        <f t="shared" si="46"/>
        <v>0</v>
      </c>
      <c r="AS43" s="1127">
        <f t="shared" si="46"/>
        <v>0</v>
      </c>
      <c r="AT43" s="111"/>
      <c r="AU43" s="15">
        <f>+Base!E43</f>
        <v>1065900</v>
      </c>
      <c r="AV43" s="81">
        <f>+E43-AU43</f>
        <v>0</v>
      </c>
      <c r="AW43" s="29"/>
      <c r="AX43" s="49"/>
      <c r="AY43" s="49"/>
      <c r="AZ43" s="42"/>
      <c r="BA43" s="49"/>
      <c r="BB43" s="49"/>
      <c r="BC43" s="39"/>
      <c r="BD43" s="39"/>
      <c r="BE43" s="39"/>
      <c r="BF43" s="49"/>
      <c r="BG43" s="49"/>
      <c r="BH43" s="49"/>
      <c r="BI43" s="49"/>
      <c r="BJ43" s="39"/>
      <c r="BK43" s="49"/>
      <c r="BL43" s="39"/>
      <c r="BM43" s="39"/>
      <c r="BN43" s="49"/>
      <c r="BO43" s="49"/>
      <c r="BP43" s="49"/>
      <c r="BQ43" s="49"/>
      <c r="BR43" s="49"/>
      <c r="BS43" s="49"/>
      <c r="BT43" s="49"/>
      <c r="BU43" s="49"/>
      <c r="BV43" s="49"/>
      <c r="BW43" s="49"/>
      <c r="BX43" s="49"/>
      <c r="BY43" s="49"/>
      <c r="BZ43" s="49"/>
      <c r="CA43" s="44"/>
      <c r="CB43" s="49"/>
      <c r="CC43" s="49"/>
      <c r="CD43" s="49"/>
      <c r="CE43" s="49"/>
      <c r="CF43" s="49"/>
      <c r="CG43" s="49"/>
      <c r="CH43" s="49"/>
      <c r="CI43" s="49"/>
      <c r="CJ43" s="49"/>
      <c r="CK43" s="49"/>
      <c r="CL43" s="49"/>
      <c r="CM43" s="49"/>
      <c r="CN43" s="49"/>
    </row>
    <row r="44" spans="1:92" ht="19.95" hidden="1" customHeight="1">
      <c r="A44" s="1427" t="s">
        <v>1578</v>
      </c>
      <c r="B44" s="563" t="s">
        <v>1691</v>
      </c>
      <c r="C44" s="1314">
        <f>Your_SS_Start_Alt</f>
        <v>62</v>
      </c>
      <c r="D44" s="1314">
        <f>Your_SS_CA_Alt</f>
        <v>22500</v>
      </c>
      <c r="E44" s="29">
        <f t="shared" si="40"/>
        <v>805100</v>
      </c>
      <c r="F44" s="914">
        <f>ROUND(IF(Your_SS_Start_Alt=F$4,Your_SS_Calc_Alt,0)/Round_To,0)*Round_To</f>
        <v>22500</v>
      </c>
      <c r="G44" s="1124">
        <f t="shared" ref="G44:AS44" si="47">ROUND((IF(Your_SS_Start_Alt=G$4,Your_SS_Calc_Alt,0)+IF(AND(OR(G$5&lt;=Your_SS_End_Alt,Your_SS_End_Alt=0),Final_Year&gt;=G$7,F44&gt;0),F44*(1+SS_COLA_Alt),0))*IF(AND(SS_re_yr_alt=G7,SS_re_pc_alt&gt;0),(1-SS_re_pc_alt),1)/Round_To,0)*Round_To</f>
        <v>23000</v>
      </c>
      <c r="H44" s="1124">
        <f t="shared" si="47"/>
        <v>23500</v>
      </c>
      <c r="I44" s="1124">
        <f t="shared" si="47"/>
        <v>24000</v>
      </c>
      <c r="J44" s="1124">
        <f t="shared" si="47"/>
        <v>24500</v>
      </c>
      <c r="K44" s="1124">
        <f t="shared" si="47"/>
        <v>25000</v>
      </c>
      <c r="L44" s="1124">
        <f t="shared" si="47"/>
        <v>25500</v>
      </c>
      <c r="M44" s="1124">
        <f t="shared" si="47"/>
        <v>26000</v>
      </c>
      <c r="N44" s="1124">
        <f t="shared" si="47"/>
        <v>26500</v>
      </c>
      <c r="O44" s="1124">
        <f t="shared" si="47"/>
        <v>27000</v>
      </c>
      <c r="P44" s="1124">
        <f t="shared" si="47"/>
        <v>27500</v>
      </c>
      <c r="Q44" s="1124">
        <f t="shared" si="47"/>
        <v>28100</v>
      </c>
      <c r="R44" s="1124">
        <f t="shared" si="47"/>
        <v>28700</v>
      </c>
      <c r="S44" s="1124">
        <f t="shared" si="47"/>
        <v>29300</v>
      </c>
      <c r="T44" s="1124">
        <f t="shared" si="47"/>
        <v>29900</v>
      </c>
      <c r="U44" s="1124">
        <f t="shared" si="47"/>
        <v>30500</v>
      </c>
      <c r="V44" s="1124">
        <f t="shared" si="47"/>
        <v>24000</v>
      </c>
      <c r="W44" s="1124">
        <f t="shared" si="47"/>
        <v>24500</v>
      </c>
      <c r="X44" s="1124">
        <f t="shared" si="47"/>
        <v>25000</v>
      </c>
      <c r="Y44" s="1124">
        <f t="shared" si="47"/>
        <v>25500</v>
      </c>
      <c r="Z44" s="1124">
        <f t="shared" si="47"/>
        <v>26000</v>
      </c>
      <c r="AA44" s="1124">
        <f t="shared" si="47"/>
        <v>26500</v>
      </c>
      <c r="AB44" s="1124">
        <f t="shared" si="47"/>
        <v>27000</v>
      </c>
      <c r="AC44" s="1124">
        <f t="shared" si="47"/>
        <v>27500</v>
      </c>
      <c r="AD44" s="1124">
        <f t="shared" si="47"/>
        <v>28100</v>
      </c>
      <c r="AE44" s="1124">
        <f t="shared" si="47"/>
        <v>28700</v>
      </c>
      <c r="AF44" s="1124">
        <f t="shared" si="47"/>
        <v>29300</v>
      </c>
      <c r="AG44" s="1124">
        <f t="shared" si="47"/>
        <v>29900</v>
      </c>
      <c r="AH44" s="1124">
        <f t="shared" si="47"/>
        <v>30500</v>
      </c>
      <c r="AI44" s="1124">
        <f t="shared" si="47"/>
        <v>31100</v>
      </c>
      <c r="AJ44" s="1124">
        <f t="shared" si="47"/>
        <v>0</v>
      </c>
      <c r="AK44" s="1124">
        <f t="shared" si="47"/>
        <v>0</v>
      </c>
      <c r="AL44" s="1124">
        <f t="shared" si="47"/>
        <v>0</v>
      </c>
      <c r="AM44" s="1124">
        <f t="shared" si="47"/>
        <v>0</v>
      </c>
      <c r="AN44" s="1124">
        <f t="shared" si="47"/>
        <v>0</v>
      </c>
      <c r="AO44" s="1124">
        <f t="shared" si="47"/>
        <v>0</v>
      </c>
      <c r="AP44" s="1124">
        <f t="shared" si="47"/>
        <v>0</v>
      </c>
      <c r="AQ44" s="1124">
        <f t="shared" si="47"/>
        <v>0</v>
      </c>
      <c r="AR44" s="1124">
        <f t="shared" si="47"/>
        <v>0</v>
      </c>
      <c r="AS44" s="1124">
        <f t="shared" si="47"/>
        <v>0</v>
      </c>
      <c r="AT44" s="42"/>
      <c r="AU44" s="15">
        <f>+Base!E44</f>
        <v>0</v>
      </c>
      <c r="AV44" s="81">
        <f t="shared" si="42"/>
        <v>805100</v>
      </c>
      <c r="AW44" s="29"/>
      <c r="AX44" s="49"/>
      <c r="AY44" s="49"/>
      <c r="AZ44" s="42"/>
      <c r="BA44" s="49"/>
      <c r="BB44" s="49"/>
      <c r="BC44" s="39"/>
      <c r="BD44" s="39"/>
      <c r="BE44" s="39"/>
      <c r="BF44" s="49"/>
      <c r="BG44" s="49"/>
      <c r="BH44" s="49"/>
      <c r="BI44" s="49"/>
      <c r="BJ44" s="39"/>
      <c r="BK44" s="49"/>
      <c r="BL44" s="39"/>
      <c r="BM44" s="39"/>
      <c r="BN44" s="49"/>
      <c r="BO44" s="49"/>
      <c r="BP44" s="49"/>
      <c r="BQ44" s="49"/>
      <c r="BR44" s="49"/>
      <c r="BS44" s="49"/>
      <c r="BT44" s="49"/>
      <c r="BU44" s="49"/>
      <c r="BV44" s="49"/>
      <c r="BW44" s="49"/>
      <c r="BX44" s="49"/>
      <c r="BY44" s="49"/>
      <c r="BZ44" s="49"/>
      <c r="CA44" s="44"/>
      <c r="CB44" s="49"/>
      <c r="CC44" s="49"/>
      <c r="CD44" s="49"/>
      <c r="CE44" s="49"/>
      <c r="CF44" s="49"/>
      <c r="CG44" s="49"/>
      <c r="CH44" s="49"/>
      <c r="CI44" s="49"/>
      <c r="CJ44" s="49"/>
      <c r="CK44" s="49"/>
      <c r="CL44" s="49"/>
      <c r="CM44" s="49"/>
      <c r="CN44" s="49"/>
    </row>
    <row r="45" spans="1:92" ht="15.6" hidden="1">
      <c r="A45" s="1427" t="s">
        <v>1578</v>
      </c>
      <c r="B45" s="563" t="s">
        <v>842</v>
      </c>
      <c r="C45" s="1314" t="str">
        <f>Your_SB_Alt</f>
        <v>self - 2019</v>
      </c>
      <c r="D45" s="558"/>
      <c r="E45" s="29">
        <f t="shared" si="40"/>
        <v>252700</v>
      </c>
      <c r="F45" s="914">
        <f>ROUND(IF(Your_SS_Start_Alt=F$4,Your_Spousal_Alt,0)/Round_To,0)*Round_To</f>
        <v>7000</v>
      </c>
      <c r="G45" s="1124">
        <f t="shared" ref="G45:AS45" si="48">ROUND((IF(Your_SS_Start_Alt=G$4,Your_Spousal_Alt,0)+IF(AND(OR(G$5&lt;=Your_SS_End_Alt,Your_SS_End_Alt=0),Final_Year&gt;=G$7),F45*(1+SS_COLA_Alt),0))*IF(AND(SS_re_yr_alt=G7,SS_re_pc_alt&gt;0),(1-SS_re_pc_alt),1)/Round_To,0)*Round_To</f>
        <v>7100</v>
      </c>
      <c r="H45" s="1124">
        <f t="shared" si="48"/>
        <v>7200</v>
      </c>
      <c r="I45" s="1124">
        <f t="shared" si="48"/>
        <v>7300</v>
      </c>
      <c r="J45" s="1124">
        <f t="shared" si="48"/>
        <v>7400</v>
      </c>
      <c r="K45" s="1124">
        <f t="shared" si="48"/>
        <v>7500</v>
      </c>
      <c r="L45" s="1124">
        <f t="shared" si="48"/>
        <v>7700</v>
      </c>
      <c r="M45" s="1124">
        <f t="shared" si="48"/>
        <v>7900</v>
      </c>
      <c r="N45" s="1124">
        <f t="shared" si="48"/>
        <v>8100</v>
      </c>
      <c r="O45" s="1124">
        <f t="shared" si="48"/>
        <v>8300</v>
      </c>
      <c r="P45" s="1124">
        <f t="shared" si="48"/>
        <v>8500</v>
      </c>
      <c r="Q45" s="1124">
        <f t="shared" si="48"/>
        <v>8700</v>
      </c>
      <c r="R45" s="1124">
        <f t="shared" si="48"/>
        <v>8900</v>
      </c>
      <c r="S45" s="1124">
        <f t="shared" si="48"/>
        <v>9100</v>
      </c>
      <c r="T45" s="1124">
        <f t="shared" si="48"/>
        <v>9300</v>
      </c>
      <c r="U45" s="1124">
        <f t="shared" si="48"/>
        <v>9500</v>
      </c>
      <c r="V45" s="1124">
        <f t="shared" si="48"/>
        <v>7500</v>
      </c>
      <c r="W45" s="1124">
        <f t="shared" si="48"/>
        <v>7700</v>
      </c>
      <c r="X45" s="1124">
        <f t="shared" si="48"/>
        <v>7900</v>
      </c>
      <c r="Y45" s="1124">
        <f t="shared" si="48"/>
        <v>8100</v>
      </c>
      <c r="Z45" s="1124">
        <f t="shared" si="48"/>
        <v>8300</v>
      </c>
      <c r="AA45" s="1124">
        <f t="shared" si="48"/>
        <v>8500</v>
      </c>
      <c r="AB45" s="1124">
        <f t="shared" si="48"/>
        <v>8700</v>
      </c>
      <c r="AC45" s="1124">
        <f t="shared" si="48"/>
        <v>8900</v>
      </c>
      <c r="AD45" s="1124">
        <f t="shared" si="48"/>
        <v>9100</v>
      </c>
      <c r="AE45" s="1124">
        <f t="shared" si="48"/>
        <v>9300</v>
      </c>
      <c r="AF45" s="1124">
        <f t="shared" si="48"/>
        <v>9500</v>
      </c>
      <c r="AG45" s="1124">
        <f t="shared" si="48"/>
        <v>9700</v>
      </c>
      <c r="AH45" s="1124">
        <f t="shared" si="48"/>
        <v>9900</v>
      </c>
      <c r="AI45" s="1124">
        <f t="shared" si="48"/>
        <v>10100</v>
      </c>
      <c r="AJ45" s="1124">
        <f t="shared" si="48"/>
        <v>0</v>
      </c>
      <c r="AK45" s="1124">
        <f t="shared" si="48"/>
        <v>0</v>
      </c>
      <c r="AL45" s="1124">
        <f t="shared" si="48"/>
        <v>0</v>
      </c>
      <c r="AM45" s="1124">
        <f t="shared" si="48"/>
        <v>0</v>
      </c>
      <c r="AN45" s="1124">
        <f t="shared" si="48"/>
        <v>0</v>
      </c>
      <c r="AO45" s="1124">
        <f t="shared" si="48"/>
        <v>0</v>
      </c>
      <c r="AP45" s="1124">
        <f t="shared" si="48"/>
        <v>0</v>
      </c>
      <c r="AQ45" s="1124">
        <f t="shared" si="48"/>
        <v>0</v>
      </c>
      <c r="AR45" s="1124">
        <f t="shared" si="48"/>
        <v>0</v>
      </c>
      <c r="AS45" s="1124">
        <f t="shared" si="48"/>
        <v>0</v>
      </c>
      <c r="AT45" s="42"/>
      <c r="AU45" s="15">
        <f>+Base!E45</f>
        <v>0</v>
      </c>
      <c r="AV45" s="81">
        <f t="shared" si="42"/>
        <v>252700</v>
      </c>
      <c r="AW45" s="29"/>
      <c r="AX45" s="49"/>
      <c r="AY45" s="49"/>
      <c r="AZ45" s="42"/>
      <c r="BA45" s="49"/>
      <c r="BB45" s="49"/>
      <c r="BC45" s="39"/>
      <c r="BD45" s="39"/>
      <c r="BE45" s="39"/>
      <c r="BF45" s="49"/>
      <c r="BG45" s="49"/>
      <c r="BH45" s="49"/>
      <c r="BI45" s="49"/>
      <c r="BJ45" s="39"/>
      <c r="BK45" s="49"/>
      <c r="BL45" s="39"/>
      <c r="BM45" s="39"/>
      <c r="BN45" s="49"/>
      <c r="BO45" s="49"/>
      <c r="BP45" s="49"/>
      <c r="BQ45" s="49"/>
      <c r="BR45" s="49"/>
      <c r="BS45" s="49"/>
      <c r="BT45" s="49"/>
      <c r="BU45" s="49"/>
      <c r="BV45" s="49"/>
      <c r="BW45" s="49"/>
      <c r="BX45" s="49"/>
      <c r="BY45" s="49"/>
      <c r="BZ45" s="49"/>
      <c r="CA45" s="44"/>
      <c r="CB45" s="49"/>
      <c r="CC45" s="49"/>
      <c r="CD45" s="49"/>
      <c r="CE45" s="49"/>
      <c r="CF45" s="49"/>
      <c r="CG45" s="49"/>
      <c r="CH45" s="49"/>
      <c r="CI45" s="49"/>
      <c r="CJ45" s="49"/>
      <c r="CK45" s="49"/>
      <c r="CL45" s="49"/>
      <c r="CM45" s="49"/>
      <c r="CN45" s="49"/>
    </row>
    <row r="46" spans="1:92" ht="15.6" hidden="1">
      <c r="A46" s="1427" t="s">
        <v>1578</v>
      </c>
      <c r="B46" s="563" t="s">
        <v>1405</v>
      </c>
      <c r="C46" s="380"/>
      <c r="D46" s="678"/>
      <c r="E46" s="29">
        <f t="shared" si="40"/>
        <v>805100</v>
      </c>
      <c r="F46" s="554">
        <f t="shared" ref="F46:AS46" si="49">IF(AND(Auto_Spousal_Alt="y",Your_SB_Alt&lt;&gt;"self"),IF(F45&gt;F44,F45,F44),F44)*IF(F$4&lt;Your_SS_Start_Alt,0,1)</f>
        <v>22500</v>
      </c>
      <c r="G46" s="1124">
        <f t="shared" si="49"/>
        <v>23000</v>
      </c>
      <c r="H46" s="1124">
        <f t="shared" si="49"/>
        <v>23500</v>
      </c>
      <c r="I46" s="1124">
        <f t="shared" si="49"/>
        <v>24000</v>
      </c>
      <c r="J46" s="1124">
        <f t="shared" si="49"/>
        <v>24500</v>
      </c>
      <c r="K46" s="1124">
        <f t="shared" si="49"/>
        <v>25000</v>
      </c>
      <c r="L46" s="1124">
        <f t="shared" si="49"/>
        <v>25500</v>
      </c>
      <c r="M46" s="1124">
        <f t="shared" si="49"/>
        <v>26000</v>
      </c>
      <c r="N46" s="1124">
        <f t="shared" si="49"/>
        <v>26500</v>
      </c>
      <c r="O46" s="1124">
        <f t="shared" si="49"/>
        <v>27000</v>
      </c>
      <c r="P46" s="1124">
        <f t="shared" si="49"/>
        <v>27500</v>
      </c>
      <c r="Q46" s="1124">
        <f t="shared" si="49"/>
        <v>28100</v>
      </c>
      <c r="R46" s="1124">
        <f t="shared" si="49"/>
        <v>28700</v>
      </c>
      <c r="S46" s="1124">
        <f t="shared" si="49"/>
        <v>29300</v>
      </c>
      <c r="T46" s="1124">
        <f t="shared" si="49"/>
        <v>29900</v>
      </c>
      <c r="U46" s="1124">
        <f t="shared" si="49"/>
        <v>30500</v>
      </c>
      <c r="V46" s="1124">
        <f t="shared" si="49"/>
        <v>24000</v>
      </c>
      <c r="W46" s="1124">
        <f t="shared" si="49"/>
        <v>24500</v>
      </c>
      <c r="X46" s="1124">
        <f t="shared" si="49"/>
        <v>25000</v>
      </c>
      <c r="Y46" s="1124">
        <f t="shared" si="49"/>
        <v>25500</v>
      </c>
      <c r="Z46" s="1124">
        <f t="shared" si="49"/>
        <v>26000</v>
      </c>
      <c r="AA46" s="1124">
        <f t="shared" si="49"/>
        <v>26500</v>
      </c>
      <c r="AB46" s="1124">
        <f t="shared" si="49"/>
        <v>27000</v>
      </c>
      <c r="AC46" s="1124">
        <f t="shared" si="49"/>
        <v>27500</v>
      </c>
      <c r="AD46" s="1124">
        <f t="shared" si="49"/>
        <v>28100</v>
      </c>
      <c r="AE46" s="1124">
        <f t="shared" si="49"/>
        <v>28700</v>
      </c>
      <c r="AF46" s="1124">
        <f t="shared" si="49"/>
        <v>29300</v>
      </c>
      <c r="AG46" s="1124">
        <f t="shared" si="49"/>
        <v>29900</v>
      </c>
      <c r="AH46" s="1124">
        <f t="shared" si="49"/>
        <v>30500</v>
      </c>
      <c r="AI46" s="1124">
        <f t="shared" si="49"/>
        <v>31100</v>
      </c>
      <c r="AJ46" s="1124">
        <f t="shared" si="49"/>
        <v>0</v>
      </c>
      <c r="AK46" s="1124">
        <f t="shared" si="49"/>
        <v>0</v>
      </c>
      <c r="AL46" s="1124">
        <f t="shared" si="49"/>
        <v>0</v>
      </c>
      <c r="AM46" s="1124">
        <f t="shared" si="49"/>
        <v>0</v>
      </c>
      <c r="AN46" s="1124">
        <f t="shared" si="49"/>
        <v>0</v>
      </c>
      <c r="AO46" s="1124">
        <f t="shared" si="49"/>
        <v>0</v>
      </c>
      <c r="AP46" s="1124">
        <f t="shared" si="49"/>
        <v>0</v>
      </c>
      <c r="AQ46" s="1124">
        <f t="shared" si="49"/>
        <v>0</v>
      </c>
      <c r="AR46" s="1124">
        <f t="shared" si="49"/>
        <v>0</v>
      </c>
      <c r="AS46" s="1124">
        <f t="shared" si="49"/>
        <v>0</v>
      </c>
      <c r="AT46" s="440"/>
      <c r="AU46" s="15">
        <f>+Base!E46</f>
        <v>0</v>
      </c>
      <c r="AV46" s="81">
        <f>+E46-AU46</f>
        <v>805100</v>
      </c>
      <c r="AW46" s="29"/>
      <c r="AX46" s="49"/>
      <c r="AY46" s="49"/>
      <c r="AZ46" s="42"/>
      <c r="BA46" s="49"/>
      <c r="BB46" s="49"/>
      <c r="BC46" s="39"/>
      <c r="BD46" s="39"/>
      <c r="BE46" s="39"/>
      <c r="BF46" s="49"/>
      <c r="BG46" s="49"/>
      <c r="BH46" s="49"/>
      <c r="BI46" s="49"/>
      <c r="BJ46" s="39"/>
      <c r="BK46" s="49"/>
      <c r="BL46" s="39"/>
      <c r="BM46" s="39"/>
      <c r="BN46" s="49"/>
      <c r="BO46" s="49"/>
      <c r="BP46" s="49"/>
      <c r="BQ46" s="49"/>
      <c r="BR46" s="49"/>
      <c r="BS46" s="49"/>
      <c r="BT46" s="49"/>
      <c r="BU46" s="49"/>
      <c r="BV46" s="49"/>
      <c r="BW46" s="49"/>
      <c r="BX46" s="49"/>
      <c r="BY46" s="49"/>
      <c r="BZ46" s="49"/>
      <c r="CA46" s="44"/>
      <c r="CB46" s="49"/>
      <c r="CC46" s="49"/>
      <c r="CD46" s="49"/>
      <c r="CE46" s="49"/>
      <c r="CF46" s="49"/>
      <c r="CG46" s="49"/>
      <c r="CH46" s="49"/>
      <c r="CI46" s="49"/>
      <c r="CJ46" s="49"/>
      <c r="CK46" s="49"/>
      <c r="CL46" s="49"/>
      <c r="CM46" s="49"/>
      <c r="CN46" s="49"/>
    </row>
    <row r="47" spans="1:92" ht="15.6" hidden="1">
      <c r="A47" s="1427" t="s">
        <v>1578</v>
      </c>
      <c r="B47" s="563" t="s">
        <v>1404</v>
      </c>
      <c r="C47" s="380"/>
      <c r="D47" s="677"/>
      <c r="E47" s="29">
        <f t="shared" si="40"/>
        <v>42800</v>
      </c>
      <c r="F47" s="914">
        <f>ROUND(IF(SS_Add_Start_Alt=F$4,Your_SS_Add_Alt,0)/Round_To,0)*Round_To</f>
        <v>5000</v>
      </c>
      <c r="G47" s="1124">
        <f t="shared" ref="G47:AS47" si="50">ROUND(IF(SS_Add_Start_Alt=G$4,Your_SS_Add_Alt,IF(AND(SS_Add_Start_Alt&lt;G$4,SS_Add_End_Alt&gt;=G$4),F47*(1+SS_COLA),0))/Round_To,0)*Round_To</f>
        <v>5100</v>
      </c>
      <c r="H47" s="1124">
        <f t="shared" si="50"/>
        <v>5200</v>
      </c>
      <c r="I47" s="1124">
        <f t="shared" si="50"/>
        <v>5300</v>
      </c>
      <c r="J47" s="1124">
        <f t="shared" si="50"/>
        <v>5400</v>
      </c>
      <c r="K47" s="1124">
        <f t="shared" si="50"/>
        <v>5500</v>
      </c>
      <c r="L47" s="1124">
        <f t="shared" si="50"/>
        <v>5600</v>
      </c>
      <c r="M47" s="1124">
        <f t="shared" si="50"/>
        <v>5700</v>
      </c>
      <c r="N47" s="1124">
        <f t="shared" si="50"/>
        <v>0</v>
      </c>
      <c r="O47" s="1124">
        <f t="shared" si="50"/>
        <v>0</v>
      </c>
      <c r="P47" s="1124">
        <f t="shared" si="50"/>
        <v>0</v>
      </c>
      <c r="Q47" s="1124">
        <f t="shared" si="50"/>
        <v>0</v>
      </c>
      <c r="R47" s="1124">
        <f t="shared" si="50"/>
        <v>0</v>
      </c>
      <c r="S47" s="1124">
        <f t="shared" si="50"/>
        <v>0</v>
      </c>
      <c r="T47" s="1124">
        <f t="shared" si="50"/>
        <v>0</v>
      </c>
      <c r="U47" s="1124">
        <f t="shared" si="50"/>
        <v>0</v>
      </c>
      <c r="V47" s="1124">
        <f t="shared" si="50"/>
        <v>0</v>
      </c>
      <c r="W47" s="1124">
        <f t="shared" si="50"/>
        <v>0</v>
      </c>
      <c r="X47" s="1124">
        <f t="shared" si="50"/>
        <v>0</v>
      </c>
      <c r="Y47" s="1124">
        <f t="shared" si="50"/>
        <v>0</v>
      </c>
      <c r="Z47" s="1124">
        <f t="shared" si="50"/>
        <v>0</v>
      </c>
      <c r="AA47" s="1124">
        <f t="shared" si="50"/>
        <v>0</v>
      </c>
      <c r="AB47" s="1124">
        <f t="shared" si="50"/>
        <v>0</v>
      </c>
      <c r="AC47" s="1124">
        <f t="shared" si="50"/>
        <v>0</v>
      </c>
      <c r="AD47" s="1124">
        <f t="shared" si="50"/>
        <v>0</v>
      </c>
      <c r="AE47" s="1124">
        <f t="shared" si="50"/>
        <v>0</v>
      </c>
      <c r="AF47" s="1124">
        <f t="shared" si="50"/>
        <v>0</v>
      </c>
      <c r="AG47" s="1124">
        <f t="shared" si="50"/>
        <v>0</v>
      </c>
      <c r="AH47" s="1124">
        <f t="shared" si="50"/>
        <v>0</v>
      </c>
      <c r="AI47" s="1124">
        <f t="shared" si="50"/>
        <v>0</v>
      </c>
      <c r="AJ47" s="1124">
        <f t="shared" si="50"/>
        <v>0</v>
      </c>
      <c r="AK47" s="1124">
        <f t="shared" si="50"/>
        <v>0</v>
      </c>
      <c r="AL47" s="1124">
        <f t="shared" si="50"/>
        <v>0</v>
      </c>
      <c r="AM47" s="1124">
        <f t="shared" si="50"/>
        <v>0</v>
      </c>
      <c r="AN47" s="1124">
        <f t="shared" si="50"/>
        <v>0</v>
      </c>
      <c r="AO47" s="1124">
        <f t="shared" si="50"/>
        <v>0</v>
      </c>
      <c r="AP47" s="1124">
        <f t="shared" si="50"/>
        <v>0</v>
      </c>
      <c r="AQ47" s="1124">
        <f t="shared" si="50"/>
        <v>0</v>
      </c>
      <c r="AR47" s="1124">
        <f t="shared" si="50"/>
        <v>0</v>
      </c>
      <c r="AS47" s="1124">
        <f t="shared" si="50"/>
        <v>0</v>
      </c>
      <c r="AT47" s="42"/>
      <c r="AU47" s="15">
        <f>+Base!E47</f>
        <v>0</v>
      </c>
      <c r="AV47" s="81">
        <f t="shared" si="42"/>
        <v>42800</v>
      </c>
      <c r="AW47" s="29"/>
      <c r="AX47" s="49"/>
      <c r="AY47" s="49"/>
      <c r="AZ47" s="42"/>
      <c r="BA47" s="49"/>
      <c r="BB47" s="49"/>
      <c r="BC47" s="39"/>
      <c r="BD47" s="39"/>
      <c r="BE47" s="39"/>
      <c r="BF47" s="49"/>
      <c r="BG47" s="49"/>
      <c r="BH47" s="49"/>
      <c r="BI47" s="49"/>
      <c r="BJ47" s="39"/>
      <c r="BK47" s="49"/>
      <c r="BL47" s="39"/>
      <c r="BM47" s="39"/>
      <c r="BN47" s="49"/>
      <c r="BO47" s="49"/>
      <c r="BP47" s="49"/>
      <c r="BQ47" s="49"/>
      <c r="BR47" s="49"/>
      <c r="BS47" s="49"/>
      <c r="BT47" s="49"/>
      <c r="BU47" s="49"/>
      <c r="BV47" s="49"/>
      <c r="BW47" s="49"/>
      <c r="BX47" s="49"/>
      <c r="BY47" s="49"/>
      <c r="BZ47" s="49"/>
      <c r="CA47" s="44"/>
      <c r="CB47" s="49"/>
      <c r="CC47" s="49"/>
      <c r="CD47" s="49"/>
      <c r="CE47" s="49"/>
      <c r="CF47" s="49"/>
      <c r="CG47" s="49"/>
      <c r="CH47" s="49"/>
      <c r="CI47" s="49"/>
      <c r="CJ47" s="49"/>
      <c r="CK47" s="49"/>
      <c r="CL47" s="49"/>
      <c r="CM47" s="49"/>
      <c r="CN47" s="49"/>
    </row>
    <row r="48" spans="1:92" ht="15.6" hidden="1">
      <c r="A48" s="1427" t="s">
        <v>1578</v>
      </c>
      <c r="B48" s="1766" t="s">
        <v>189</v>
      </c>
      <c r="D48" s="1495" t="str">
        <f>IF(SS_Comparison="y","using","not using")</f>
        <v>not using</v>
      </c>
      <c r="E48" s="535">
        <f t="shared" si="32"/>
        <v>847900</v>
      </c>
      <c r="F48" s="665">
        <f>+F46+F47</f>
        <v>27500</v>
      </c>
      <c r="G48" s="1127">
        <f t="shared" ref="G48:AS48" si="51">+G46+G47</f>
        <v>28100</v>
      </c>
      <c r="H48" s="1127">
        <f t="shared" si="51"/>
        <v>28700</v>
      </c>
      <c r="I48" s="1127">
        <f t="shared" si="51"/>
        <v>29300</v>
      </c>
      <c r="J48" s="1127">
        <f t="shared" si="51"/>
        <v>29900</v>
      </c>
      <c r="K48" s="1127">
        <f t="shared" si="51"/>
        <v>30500</v>
      </c>
      <c r="L48" s="1127">
        <f t="shared" si="51"/>
        <v>31100</v>
      </c>
      <c r="M48" s="1127">
        <f t="shared" si="51"/>
        <v>31700</v>
      </c>
      <c r="N48" s="1127">
        <f t="shared" si="51"/>
        <v>26500</v>
      </c>
      <c r="O48" s="1127">
        <f t="shared" si="51"/>
        <v>27000</v>
      </c>
      <c r="P48" s="1127">
        <f t="shared" si="51"/>
        <v>27500</v>
      </c>
      <c r="Q48" s="1127">
        <f t="shared" si="51"/>
        <v>28100</v>
      </c>
      <c r="R48" s="1127">
        <f t="shared" si="51"/>
        <v>28700</v>
      </c>
      <c r="S48" s="1127">
        <f t="shared" si="51"/>
        <v>29300</v>
      </c>
      <c r="T48" s="1127">
        <f t="shared" si="51"/>
        <v>29900</v>
      </c>
      <c r="U48" s="1127">
        <f t="shared" si="51"/>
        <v>30500</v>
      </c>
      <c r="V48" s="1127">
        <f t="shared" si="51"/>
        <v>24000</v>
      </c>
      <c r="W48" s="1127">
        <f t="shared" si="51"/>
        <v>24500</v>
      </c>
      <c r="X48" s="1127">
        <f t="shared" si="51"/>
        <v>25000</v>
      </c>
      <c r="Y48" s="1127">
        <f t="shared" si="51"/>
        <v>25500</v>
      </c>
      <c r="Z48" s="1127">
        <f t="shared" si="51"/>
        <v>26000</v>
      </c>
      <c r="AA48" s="1127">
        <f t="shared" si="51"/>
        <v>26500</v>
      </c>
      <c r="AB48" s="1127">
        <f t="shared" si="51"/>
        <v>27000</v>
      </c>
      <c r="AC48" s="1127">
        <f t="shared" si="51"/>
        <v>27500</v>
      </c>
      <c r="AD48" s="1127">
        <f t="shared" si="51"/>
        <v>28100</v>
      </c>
      <c r="AE48" s="1127">
        <f t="shared" si="51"/>
        <v>28700</v>
      </c>
      <c r="AF48" s="1127">
        <f t="shared" si="51"/>
        <v>29300</v>
      </c>
      <c r="AG48" s="1127">
        <f t="shared" si="51"/>
        <v>29900</v>
      </c>
      <c r="AH48" s="1127">
        <f t="shared" si="51"/>
        <v>30500</v>
      </c>
      <c r="AI48" s="1127">
        <f t="shared" si="51"/>
        <v>31100</v>
      </c>
      <c r="AJ48" s="1127">
        <f t="shared" si="51"/>
        <v>0</v>
      </c>
      <c r="AK48" s="1127">
        <f t="shared" si="51"/>
        <v>0</v>
      </c>
      <c r="AL48" s="1127">
        <f t="shared" si="51"/>
        <v>0</v>
      </c>
      <c r="AM48" s="1127">
        <f t="shared" si="51"/>
        <v>0</v>
      </c>
      <c r="AN48" s="1127">
        <f t="shared" si="51"/>
        <v>0</v>
      </c>
      <c r="AO48" s="1127">
        <f t="shared" si="51"/>
        <v>0</v>
      </c>
      <c r="AP48" s="1127">
        <f t="shared" si="51"/>
        <v>0</v>
      </c>
      <c r="AQ48" s="1127">
        <f t="shared" si="51"/>
        <v>0</v>
      </c>
      <c r="AR48" s="1127">
        <f t="shared" si="51"/>
        <v>0</v>
      </c>
      <c r="AS48" s="1127">
        <f t="shared" si="51"/>
        <v>0</v>
      </c>
      <c r="AT48" s="111"/>
      <c r="AU48" s="15">
        <f>+Base!E48</f>
        <v>0</v>
      </c>
      <c r="AV48" s="81">
        <f>+E48-AU48</f>
        <v>847900</v>
      </c>
      <c r="AW48" s="29"/>
      <c r="AX48" s="49"/>
      <c r="AY48" s="49"/>
      <c r="AZ48" s="42"/>
      <c r="BA48" s="49"/>
      <c r="BB48" s="49"/>
      <c r="BC48" s="39"/>
      <c r="BD48" s="39"/>
      <c r="BE48" s="39"/>
      <c r="BF48" s="49"/>
      <c r="BG48" s="49"/>
      <c r="BH48" s="49"/>
      <c r="BI48" s="49"/>
      <c r="BJ48" s="39"/>
      <c r="BK48" s="49"/>
      <c r="BL48" s="39"/>
      <c r="BM48" s="39"/>
      <c r="BN48" s="49"/>
      <c r="BO48" s="49"/>
      <c r="BP48" s="49"/>
      <c r="BQ48" s="49"/>
      <c r="BR48" s="49"/>
      <c r="BS48" s="49"/>
      <c r="BT48" s="49"/>
      <c r="BU48" s="49"/>
      <c r="BV48" s="49"/>
      <c r="BW48" s="49"/>
      <c r="BX48" s="49"/>
      <c r="BY48" s="49"/>
      <c r="BZ48" s="49"/>
      <c r="CA48" s="44"/>
      <c r="CB48" s="49"/>
      <c r="CC48" s="49"/>
      <c r="CD48" s="49"/>
      <c r="CE48" s="49"/>
      <c r="CF48" s="49"/>
      <c r="CG48" s="49"/>
      <c r="CH48" s="49"/>
      <c r="CI48" s="49"/>
      <c r="CJ48" s="49"/>
      <c r="CK48" s="49"/>
      <c r="CL48" s="49"/>
      <c r="CM48" s="49"/>
      <c r="CN48" s="49"/>
    </row>
    <row r="49" spans="1:92" s="22" customFormat="1" ht="18" customHeight="1">
      <c r="A49" s="1429"/>
      <c r="B49" s="1766" t="s">
        <v>2240</v>
      </c>
      <c r="C49" s="1496" t="str">
        <f>IF(SS_Comparison="y","Alternative benfits in use",".")</f>
        <v>.</v>
      </c>
      <c r="D49" s="676"/>
      <c r="E49" s="29">
        <f t="shared" si="32"/>
        <v>1065900</v>
      </c>
      <c r="F49" s="554">
        <f t="shared" ref="F49:AS49" si="52">IF(SS_Comparison="n",F43,F48)</f>
        <v>0</v>
      </c>
      <c r="G49" s="1124">
        <f t="shared" si="52"/>
        <v>0</v>
      </c>
      <c r="H49" s="1124">
        <f t="shared" si="52"/>
        <v>0</v>
      </c>
      <c r="I49" s="1124">
        <f t="shared" si="52"/>
        <v>0</v>
      </c>
      <c r="J49" s="1124">
        <f t="shared" si="52"/>
        <v>0</v>
      </c>
      <c r="K49" s="1124">
        <f t="shared" si="52"/>
        <v>0</v>
      </c>
      <c r="L49" s="1124">
        <f t="shared" si="52"/>
        <v>0</v>
      </c>
      <c r="M49" s="1124">
        <f t="shared" si="52"/>
        <v>0</v>
      </c>
      <c r="N49" s="1124">
        <f t="shared" si="52"/>
        <v>46400</v>
      </c>
      <c r="O49" s="1124">
        <f t="shared" si="52"/>
        <v>47300</v>
      </c>
      <c r="P49" s="1124">
        <f t="shared" si="52"/>
        <v>48200</v>
      </c>
      <c r="Q49" s="1124">
        <f t="shared" si="52"/>
        <v>49200</v>
      </c>
      <c r="R49" s="1124">
        <f t="shared" si="52"/>
        <v>50200</v>
      </c>
      <c r="S49" s="1124">
        <f t="shared" si="52"/>
        <v>51200</v>
      </c>
      <c r="T49" s="1124">
        <f t="shared" si="52"/>
        <v>52200</v>
      </c>
      <c r="U49" s="1124">
        <f t="shared" si="52"/>
        <v>53200</v>
      </c>
      <c r="V49" s="1124">
        <f t="shared" si="52"/>
        <v>41800</v>
      </c>
      <c r="W49" s="1124">
        <f t="shared" si="52"/>
        <v>42600</v>
      </c>
      <c r="X49" s="1124">
        <f t="shared" si="52"/>
        <v>43500</v>
      </c>
      <c r="Y49" s="1124">
        <f t="shared" si="52"/>
        <v>44400</v>
      </c>
      <c r="Z49" s="1124">
        <f t="shared" si="52"/>
        <v>45300</v>
      </c>
      <c r="AA49" s="1124">
        <f t="shared" si="52"/>
        <v>46200</v>
      </c>
      <c r="AB49" s="1124">
        <f t="shared" si="52"/>
        <v>47100</v>
      </c>
      <c r="AC49" s="1124">
        <f t="shared" si="52"/>
        <v>48000</v>
      </c>
      <c r="AD49" s="1124">
        <f t="shared" si="52"/>
        <v>49000</v>
      </c>
      <c r="AE49" s="1124">
        <f t="shared" si="52"/>
        <v>50000</v>
      </c>
      <c r="AF49" s="1124">
        <f t="shared" si="52"/>
        <v>51000</v>
      </c>
      <c r="AG49" s="1124">
        <f t="shared" si="52"/>
        <v>52000</v>
      </c>
      <c r="AH49" s="1124">
        <f t="shared" si="52"/>
        <v>53000</v>
      </c>
      <c r="AI49" s="1124">
        <f t="shared" si="52"/>
        <v>54100</v>
      </c>
      <c r="AJ49" s="1124">
        <f t="shared" si="52"/>
        <v>0</v>
      </c>
      <c r="AK49" s="1124">
        <f t="shared" si="52"/>
        <v>0</v>
      </c>
      <c r="AL49" s="1124">
        <f t="shared" si="52"/>
        <v>0</v>
      </c>
      <c r="AM49" s="1124">
        <f t="shared" si="52"/>
        <v>0</v>
      </c>
      <c r="AN49" s="1124">
        <f t="shared" si="52"/>
        <v>0</v>
      </c>
      <c r="AO49" s="1124">
        <f t="shared" si="52"/>
        <v>0</v>
      </c>
      <c r="AP49" s="1124">
        <f t="shared" si="52"/>
        <v>0</v>
      </c>
      <c r="AQ49" s="1124">
        <f t="shared" si="52"/>
        <v>0</v>
      </c>
      <c r="AR49" s="1124">
        <f t="shared" si="52"/>
        <v>0</v>
      </c>
      <c r="AS49" s="1124">
        <f t="shared" si="52"/>
        <v>0</v>
      </c>
      <c r="AT49" s="440"/>
      <c r="AU49" s="15">
        <f>+Base!E49</f>
        <v>1065900</v>
      </c>
      <c r="AV49" s="78">
        <f t="shared" si="42"/>
        <v>0</v>
      </c>
      <c r="AW49" s="535"/>
      <c r="AX49" s="667"/>
      <c r="AY49" s="667"/>
      <c r="AZ49" s="669"/>
      <c r="BA49" s="667"/>
      <c r="BB49" s="667"/>
      <c r="BC49" s="667"/>
      <c r="BD49" s="667"/>
      <c r="BE49" s="667"/>
      <c r="BF49" s="667"/>
      <c r="BG49" s="667"/>
      <c r="BH49" s="667"/>
      <c r="BI49" s="667"/>
      <c r="BJ49" s="667"/>
      <c r="BK49" s="667"/>
      <c r="BL49" s="667"/>
      <c r="BM49" s="667"/>
      <c r="BN49" s="667"/>
      <c r="BO49" s="667"/>
      <c r="BP49" s="667"/>
      <c r="BQ49" s="667"/>
      <c r="BR49" s="667"/>
      <c r="BS49" s="667"/>
      <c r="BT49" s="667"/>
      <c r="BU49" s="667"/>
      <c r="BV49" s="667"/>
      <c r="BW49" s="667"/>
      <c r="BX49" s="667"/>
      <c r="BY49" s="667"/>
      <c r="BZ49" s="667"/>
      <c r="CA49" s="132"/>
      <c r="CB49" s="667"/>
      <c r="CC49" s="667"/>
      <c r="CD49" s="667"/>
      <c r="CE49" s="667"/>
      <c r="CF49" s="667"/>
      <c r="CG49" s="667"/>
      <c r="CH49" s="667"/>
      <c r="CI49" s="667"/>
      <c r="CJ49" s="667"/>
      <c r="CK49" s="667"/>
      <c r="CL49" s="667"/>
      <c r="CM49" s="667"/>
      <c r="CN49" s="667"/>
    </row>
    <row r="50" spans="1:92" ht="19.95" hidden="1" customHeight="1">
      <c r="A50" s="1427" t="s">
        <v>1578</v>
      </c>
      <c r="B50" s="1764" t="s">
        <v>1692</v>
      </c>
      <c r="C50" s="1314">
        <f>Spouse_SS_Start</f>
        <v>66</v>
      </c>
      <c r="D50" s="1314">
        <f>Spouse_SS_CA</f>
        <v>22100</v>
      </c>
      <c r="E50" s="29">
        <f t="shared" si="32"/>
        <v>451000</v>
      </c>
      <c r="F50" s="914">
        <f>ROUND(IF(Spouse_SS_Start=F$5,Spouse_SS_Calc,0)/Round_To,0)*Round_To</f>
        <v>0</v>
      </c>
      <c r="G50" s="1124">
        <f t="shared" ref="G50:AS50" si="53">ROUND((IF(Spouse_SS_Start=G$5,+Spouse_SS_Calc,0)+IF(AND(OR(G$4&lt;=Spouse_SS_End,Spouse_SS_End=0),Final_Year&gt;=G$7,F50&gt;0),F50*(1+SS_COLA),0))*IF(AND(SS_re_yr=G7,SS_re_pc&gt;0),(1-SS_re_pc),1)/Round_To,0)*Round_To</f>
        <v>0</v>
      </c>
      <c r="H50" s="1124">
        <f t="shared" si="53"/>
        <v>0</v>
      </c>
      <c r="I50" s="1124">
        <f t="shared" si="53"/>
        <v>0</v>
      </c>
      <c r="J50" s="1124">
        <f t="shared" si="53"/>
        <v>0</v>
      </c>
      <c r="K50" s="1124">
        <f t="shared" si="53"/>
        <v>22100</v>
      </c>
      <c r="L50" s="1124">
        <f t="shared" si="53"/>
        <v>22500</v>
      </c>
      <c r="M50" s="1124">
        <f t="shared" si="53"/>
        <v>23000</v>
      </c>
      <c r="N50" s="1124">
        <f t="shared" si="53"/>
        <v>23500</v>
      </c>
      <c r="O50" s="1124">
        <f t="shared" si="53"/>
        <v>24000</v>
      </c>
      <c r="P50" s="1124">
        <f t="shared" si="53"/>
        <v>24500</v>
      </c>
      <c r="Q50" s="1124">
        <f t="shared" si="53"/>
        <v>25000</v>
      </c>
      <c r="R50" s="1124">
        <f t="shared" si="53"/>
        <v>25500</v>
      </c>
      <c r="S50" s="1124">
        <f t="shared" si="53"/>
        <v>26000</v>
      </c>
      <c r="T50" s="1124">
        <f t="shared" si="53"/>
        <v>26500</v>
      </c>
      <c r="U50" s="1124">
        <f t="shared" si="53"/>
        <v>27000</v>
      </c>
      <c r="V50" s="1124">
        <f t="shared" si="53"/>
        <v>21200</v>
      </c>
      <c r="W50" s="1124">
        <f t="shared" si="53"/>
        <v>21600</v>
      </c>
      <c r="X50" s="1124">
        <f t="shared" si="53"/>
        <v>22000</v>
      </c>
      <c r="Y50" s="1124">
        <f t="shared" si="53"/>
        <v>22400</v>
      </c>
      <c r="Z50" s="1124">
        <f t="shared" si="53"/>
        <v>22800</v>
      </c>
      <c r="AA50" s="1124">
        <f t="shared" si="53"/>
        <v>23300</v>
      </c>
      <c r="AB50" s="1124">
        <f t="shared" si="53"/>
        <v>23800</v>
      </c>
      <c r="AC50" s="1124">
        <f t="shared" si="53"/>
        <v>24300</v>
      </c>
      <c r="AD50" s="1124">
        <f t="shared" si="53"/>
        <v>0</v>
      </c>
      <c r="AE50" s="1124">
        <f t="shared" si="53"/>
        <v>0</v>
      </c>
      <c r="AF50" s="1124">
        <f t="shared" si="53"/>
        <v>0</v>
      </c>
      <c r="AG50" s="1124">
        <f t="shared" si="53"/>
        <v>0</v>
      </c>
      <c r="AH50" s="1124">
        <f t="shared" si="53"/>
        <v>0</v>
      </c>
      <c r="AI50" s="1124">
        <f t="shared" si="53"/>
        <v>0</v>
      </c>
      <c r="AJ50" s="1124">
        <f t="shared" si="53"/>
        <v>0</v>
      </c>
      <c r="AK50" s="1124">
        <f t="shared" si="53"/>
        <v>0</v>
      </c>
      <c r="AL50" s="1124">
        <f t="shared" si="53"/>
        <v>0</v>
      </c>
      <c r="AM50" s="1124">
        <f t="shared" si="53"/>
        <v>0</v>
      </c>
      <c r="AN50" s="1124">
        <f t="shared" si="53"/>
        <v>0</v>
      </c>
      <c r="AO50" s="1124">
        <f t="shared" si="53"/>
        <v>0</v>
      </c>
      <c r="AP50" s="1124">
        <f t="shared" si="53"/>
        <v>0</v>
      </c>
      <c r="AQ50" s="1124">
        <f t="shared" si="53"/>
        <v>0</v>
      </c>
      <c r="AR50" s="1124">
        <f t="shared" si="53"/>
        <v>0</v>
      </c>
      <c r="AS50" s="1124">
        <f t="shared" si="53"/>
        <v>0</v>
      </c>
      <c r="AT50" s="42"/>
      <c r="AU50" s="15">
        <f>+Base!E50</f>
        <v>451000</v>
      </c>
      <c r="AV50" s="81">
        <f t="shared" si="42"/>
        <v>0</v>
      </c>
      <c r="AW50" s="29"/>
      <c r="AX50" s="49"/>
      <c r="AY50" s="49"/>
      <c r="AZ50" s="42"/>
      <c r="BA50" s="49"/>
      <c r="BB50" s="49"/>
      <c r="BC50" s="39"/>
      <c r="BD50" s="39"/>
      <c r="BE50" s="39"/>
      <c r="BF50" s="49"/>
      <c r="BG50" s="49"/>
      <c r="BH50" s="49"/>
      <c r="BI50" s="49"/>
      <c r="BJ50" s="39"/>
      <c r="BK50" s="49"/>
      <c r="BL50" s="39"/>
      <c r="BM50" s="39"/>
      <c r="BN50" s="49"/>
      <c r="BO50" s="49"/>
      <c r="BP50" s="49"/>
      <c r="BQ50" s="49"/>
      <c r="BR50" s="49"/>
      <c r="BS50" s="49"/>
      <c r="BT50" s="49"/>
      <c r="BU50" s="49"/>
      <c r="BV50" s="49"/>
      <c r="BW50" s="49"/>
      <c r="BX50" s="49"/>
      <c r="BY50" s="49"/>
      <c r="BZ50" s="49"/>
      <c r="CA50" s="44"/>
      <c r="CB50" s="49"/>
      <c r="CC50" s="49"/>
      <c r="CD50" s="49"/>
      <c r="CE50" s="49"/>
      <c r="CF50" s="49"/>
      <c r="CG50" s="49"/>
      <c r="CH50" s="49"/>
      <c r="CI50" s="49"/>
      <c r="CJ50" s="49"/>
      <c r="CK50" s="49"/>
      <c r="CL50" s="49"/>
      <c r="CM50" s="49"/>
      <c r="CN50" s="49"/>
    </row>
    <row r="51" spans="1:92" ht="15" hidden="1" customHeight="1">
      <c r="A51" s="1427" t="s">
        <v>1578</v>
      </c>
      <c r="B51" s="1764" t="s">
        <v>843</v>
      </c>
      <c r="C51" s="1314" t="str">
        <f>Spouse_SB</f>
        <v>self - 2024</v>
      </c>
      <c r="D51" s="558"/>
      <c r="E51" s="29">
        <f t="shared" si="32"/>
        <v>337600</v>
      </c>
      <c r="F51" s="914">
        <f>ROUND(IF(Spouse_SS_Start=F$5,+Spouse_Spousal,0)/Round_To,0)*Round_To</f>
        <v>0</v>
      </c>
      <c r="G51" s="1124">
        <f t="shared" ref="G51:AS51" si="54">ROUND((IF(Spouse_SS_Start=G$5,+Spouse_Spousal,0)+IF(AND(OR(G$4&lt;=Spouse_SS_End,Spouse_SS_End=0),Final_Year&gt;=G$7),F51*(1+SS_COLA),0))*IF(AND(SS_re_yr=G7,SS_re_pc&gt;0),(1-SS_re_pc),1)/Round_To,0)*Round_To</f>
        <v>0</v>
      </c>
      <c r="H51" s="1124">
        <f t="shared" si="54"/>
        <v>0</v>
      </c>
      <c r="I51" s="1124">
        <f t="shared" si="54"/>
        <v>0</v>
      </c>
      <c r="J51" s="1124">
        <f t="shared" si="54"/>
        <v>0</v>
      </c>
      <c r="K51" s="1124">
        <f t="shared" si="54"/>
        <v>16600</v>
      </c>
      <c r="L51" s="1124">
        <f t="shared" si="54"/>
        <v>16900</v>
      </c>
      <c r="M51" s="1124">
        <f t="shared" si="54"/>
        <v>17200</v>
      </c>
      <c r="N51" s="1124">
        <f t="shared" si="54"/>
        <v>17500</v>
      </c>
      <c r="O51" s="1124">
        <f t="shared" si="54"/>
        <v>17900</v>
      </c>
      <c r="P51" s="1124">
        <f t="shared" si="54"/>
        <v>18300</v>
      </c>
      <c r="Q51" s="1124">
        <f t="shared" si="54"/>
        <v>18700</v>
      </c>
      <c r="R51" s="1124">
        <f t="shared" si="54"/>
        <v>19100</v>
      </c>
      <c r="S51" s="1124">
        <f t="shared" si="54"/>
        <v>19500</v>
      </c>
      <c r="T51" s="1124">
        <f t="shared" si="54"/>
        <v>19900</v>
      </c>
      <c r="U51" s="1124">
        <f t="shared" si="54"/>
        <v>20300</v>
      </c>
      <c r="V51" s="1124">
        <f t="shared" si="54"/>
        <v>15900</v>
      </c>
      <c r="W51" s="1124">
        <f t="shared" si="54"/>
        <v>16200</v>
      </c>
      <c r="X51" s="1124">
        <f t="shared" si="54"/>
        <v>16500</v>
      </c>
      <c r="Y51" s="1124">
        <f t="shared" si="54"/>
        <v>16800</v>
      </c>
      <c r="Z51" s="1124">
        <f t="shared" si="54"/>
        <v>17100</v>
      </c>
      <c r="AA51" s="1124">
        <f t="shared" si="54"/>
        <v>17400</v>
      </c>
      <c r="AB51" s="1124">
        <f t="shared" si="54"/>
        <v>17700</v>
      </c>
      <c r="AC51" s="1124">
        <f t="shared" si="54"/>
        <v>18100</v>
      </c>
      <c r="AD51" s="1124">
        <f t="shared" si="54"/>
        <v>0</v>
      </c>
      <c r="AE51" s="1124">
        <f t="shared" si="54"/>
        <v>0</v>
      </c>
      <c r="AF51" s="1124">
        <f t="shared" si="54"/>
        <v>0</v>
      </c>
      <c r="AG51" s="1124">
        <f t="shared" si="54"/>
        <v>0</v>
      </c>
      <c r="AH51" s="1124">
        <f t="shared" si="54"/>
        <v>0</v>
      </c>
      <c r="AI51" s="1124">
        <f t="shared" si="54"/>
        <v>0</v>
      </c>
      <c r="AJ51" s="1124">
        <f t="shared" si="54"/>
        <v>0</v>
      </c>
      <c r="AK51" s="1124">
        <f t="shared" si="54"/>
        <v>0</v>
      </c>
      <c r="AL51" s="1124">
        <f t="shared" si="54"/>
        <v>0</v>
      </c>
      <c r="AM51" s="1124">
        <f t="shared" si="54"/>
        <v>0</v>
      </c>
      <c r="AN51" s="1124">
        <f t="shared" si="54"/>
        <v>0</v>
      </c>
      <c r="AO51" s="1124">
        <f t="shared" si="54"/>
        <v>0</v>
      </c>
      <c r="AP51" s="1124">
        <f t="shared" si="54"/>
        <v>0</v>
      </c>
      <c r="AQ51" s="1124">
        <f t="shared" si="54"/>
        <v>0</v>
      </c>
      <c r="AR51" s="1124">
        <f t="shared" si="54"/>
        <v>0</v>
      </c>
      <c r="AS51" s="1124">
        <f t="shared" si="54"/>
        <v>0</v>
      </c>
      <c r="AT51" s="42"/>
      <c r="AU51" s="15">
        <f>+Base!E51</f>
        <v>337600</v>
      </c>
      <c r="AV51" s="81">
        <f t="shared" si="42"/>
        <v>0</v>
      </c>
      <c r="AW51" s="29"/>
      <c r="AX51" s="49"/>
      <c r="AY51" s="49"/>
      <c r="AZ51" s="42"/>
      <c r="BA51" s="49"/>
      <c r="BB51" s="49"/>
      <c r="BC51" s="39"/>
      <c r="BD51" s="39"/>
      <c r="BE51" s="39"/>
      <c r="BF51" s="49"/>
      <c r="BG51" s="49"/>
      <c r="BH51" s="49"/>
      <c r="BI51" s="49"/>
      <c r="BJ51" s="39"/>
      <c r="BK51" s="49"/>
      <c r="BL51" s="39"/>
      <c r="BM51" s="39"/>
      <c r="BN51" s="49"/>
      <c r="BO51" s="49"/>
      <c r="BP51" s="49"/>
      <c r="BQ51" s="49"/>
      <c r="BR51" s="49"/>
      <c r="BS51" s="49"/>
      <c r="BT51" s="49"/>
      <c r="BU51" s="49"/>
      <c r="BV51" s="49"/>
      <c r="BW51" s="49"/>
      <c r="BX51" s="49"/>
      <c r="BY51" s="49"/>
      <c r="BZ51" s="49"/>
      <c r="CA51" s="44"/>
      <c r="CB51" s="49"/>
      <c r="CC51" s="49"/>
      <c r="CD51" s="49"/>
      <c r="CE51" s="49"/>
      <c r="CF51" s="49"/>
      <c r="CG51" s="49"/>
      <c r="CH51" s="49"/>
      <c r="CI51" s="49"/>
      <c r="CJ51" s="49"/>
      <c r="CK51" s="49"/>
      <c r="CL51" s="49"/>
      <c r="CM51" s="49"/>
      <c r="CN51" s="49"/>
    </row>
    <row r="52" spans="1:92" ht="15" hidden="1" customHeight="1">
      <c r="A52" s="1427" t="s">
        <v>1578</v>
      </c>
      <c r="B52" s="1768" t="s">
        <v>459</v>
      </c>
      <c r="C52" s="380"/>
      <c r="D52" s="678"/>
      <c r="E52" s="29">
        <f t="shared" si="32"/>
        <v>451000</v>
      </c>
      <c r="F52" s="554">
        <f t="shared" ref="F52:AS52" si="55">IF(AND(Auto_Spousal="y",Spouse_SB&lt;&gt;"self"),IF(F51&gt;F50,F51,F50),F50)*IF(F$5&lt;Spouse_SS_Start,0,1)</f>
        <v>0</v>
      </c>
      <c r="G52" s="1124">
        <f t="shared" si="55"/>
        <v>0</v>
      </c>
      <c r="H52" s="1124">
        <f t="shared" si="55"/>
        <v>0</v>
      </c>
      <c r="I52" s="1124">
        <f t="shared" si="55"/>
        <v>0</v>
      </c>
      <c r="J52" s="1124">
        <f t="shared" si="55"/>
        <v>0</v>
      </c>
      <c r="K52" s="1124">
        <f t="shared" si="55"/>
        <v>22100</v>
      </c>
      <c r="L52" s="1124">
        <f t="shared" si="55"/>
        <v>22500</v>
      </c>
      <c r="M52" s="1124">
        <f t="shared" si="55"/>
        <v>23000</v>
      </c>
      <c r="N52" s="1124">
        <f t="shared" si="55"/>
        <v>23500</v>
      </c>
      <c r="O52" s="1124">
        <f t="shared" si="55"/>
        <v>24000</v>
      </c>
      <c r="P52" s="1124">
        <f t="shared" si="55"/>
        <v>24500</v>
      </c>
      <c r="Q52" s="1124">
        <f t="shared" si="55"/>
        <v>25000</v>
      </c>
      <c r="R52" s="1124">
        <f t="shared" si="55"/>
        <v>25500</v>
      </c>
      <c r="S52" s="1124">
        <f t="shared" si="55"/>
        <v>26000</v>
      </c>
      <c r="T52" s="1124">
        <f t="shared" si="55"/>
        <v>26500</v>
      </c>
      <c r="U52" s="1124">
        <f t="shared" si="55"/>
        <v>27000</v>
      </c>
      <c r="V52" s="1124">
        <f t="shared" si="55"/>
        <v>21200</v>
      </c>
      <c r="W52" s="1124">
        <f t="shared" si="55"/>
        <v>21600</v>
      </c>
      <c r="X52" s="1124">
        <f t="shared" si="55"/>
        <v>22000</v>
      </c>
      <c r="Y52" s="1124">
        <f t="shared" si="55"/>
        <v>22400</v>
      </c>
      <c r="Z52" s="1124">
        <f t="shared" si="55"/>
        <v>22800</v>
      </c>
      <c r="AA52" s="1124">
        <f t="shared" si="55"/>
        <v>23300</v>
      </c>
      <c r="AB52" s="1124">
        <f t="shared" si="55"/>
        <v>23800</v>
      </c>
      <c r="AC52" s="1124">
        <f t="shared" si="55"/>
        <v>24300</v>
      </c>
      <c r="AD52" s="1124">
        <f t="shared" si="55"/>
        <v>0</v>
      </c>
      <c r="AE52" s="1124">
        <f t="shared" si="55"/>
        <v>0</v>
      </c>
      <c r="AF52" s="1124">
        <f t="shared" si="55"/>
        <v>0</v>
      </c>
      <c r="AG52" s="1124">
        <f t="shared" si="55"/>
        <v>0</v>
      </c>
      <c r="AH52" s="1124">
        <f t="shared" si="55"/>
        <v>0</v>
      </c>
      <c r="AI52" s="1124">
        <f t="shared" si="55"/>
        <v>0</v>
      </c>
      <c r="AJ52" s="1124">
        <f t="shared" si="55"/>
        <v>0</v>
      </c>
      <c r="AK52" s="1124">
        <f t="shared" si="55"/>
        <v>0</v>
      </c>
      <c r="AL52" s="1124">
        <f t="shared" si="55"/>
        <v>0</v>
      </c>
      <c r="AM52" s="1124">
        <f t="shared" si="55"/>
        <v>0</v>
      </c>
      <c r="AN52" s="1124">
        <f t="shared" si="55"/>
        <v>0</v>
      </c>
      <c r="AO52" s="1124">
        <f t="shared" si="55"/>
        <v>0</v>
      </c>
      <c r="AP52" s="1124">
        <f t="shared" si="55"/>
        <v>0</v>
      </c>
      <c r="AQ52" s="1124">
        <f t="shared" si="55"/>
        <v>0</v>
      </c>
      <c r="AR52" s="1124">
        <f t="shared" si="55"/>
        <v>0</v>
      </c>
      <c r="AS52" s="1124">
        <f t="shared" si="55"/>
        <v>0</v>
      </c>
      <c r="AT52" s="440"/>
      <c r="AU52" s="15">
        <f>+Base!E52</f>
        <v>451000</v>
      </c>
      <c r="AV52" s="81">
        <f>+E52-AU52</f>
        <v>0</v>
      </c>
      <c r="AW52" s="29"/>
      <c r="AX52" s="49"/>
      <c r="AY52" s="49"/>
      <c r="AZ52" s="42"/>
      <c r="BA52" s="49"/>
      <c r="BB52" s="49"/>
      <c r="BC52" s="39"/>
      <c r="BD52" s="39"/>
      <c r="BE52" s="39"/>
      <c r="BF52" s="49"/>
      <c r="BG52" s="49"/>
      <c r="BH52" s="49"/>
      <c r="BI52" s="49"/>
      <c r="BJ52" s="39"/>
      <c r="BK52" s="49"/>
      <c r="BL52" s="39"/>
      <c r="BM52" s="39"/>
      <c r="BN52" s="49"/>
      <c r="BO52" s="49"/>
      <c r="BP52" s="49"/>
      <c r="BQ52" s="49"/>
      <c r="BR52" s="49"/>
      <c r="BS52" s="49"/>
      <c r="BT52" s="49"/>
      <c r="BU52" s="49"/>
      <c r="BV52" s="49"/>
      <c r="BW52" s="49"/>
      <c r="BX52" s="49"/>
      <c r="BY52" s="49"/>
      <c r="BZ52" s="49"/>
      <c r="CA52" s="44"/>
      <c r="CB52" s="49"/>
      <c r="CC52" s="49"/>
      <c r="CD52" s="49"/>
      <c r="CE52" s="49"/>
      <c r="CF52" s="49"/>
      <c r="CG52" s="49"/>
      <c r="CH52" s="49"/>
      <c r="CI52" s="49"/>
      <c r="CJ52" s="49"/>
      <c r="CK52" s="49"/>
      <c r="CL52" s="49"/>
      <c r="CM52" s="49"/>
      <c r="CN52" s="49"/>
    </row>
    <row r="53" spans="1:92" ht="15" hidden="1" customHeight="1">
      <c r="A53" s="1427" t="s">
        <v>1578</v>
      </c>
      <c r="B53" s="1764" t="s">
        <v>1341</v>
      </c>
      <c r="C53" s="380"/>
      <c r="D53" s="677"/>
      <c r="E53" s="29">
        <f t="shared" si="32"/>
        <v>0</v>
      </c>
      <c r="F53" s="914">
        <f>ROUND(IF(SS_Add_Start_Sp=F$5,Spouse_SS_Add,0)/Round_To,0)*Round_To</f>
        <v>0</v>
      </c>
      <c r="G53" s="1124">
        <f t="shared" ref="G53:AS53" si="56">ROUND(IF(SS_Add_Start_Sp=G$5,Spouse_SS_Add,IF(AND(SS_Add_Start_Sp&lt;G$5,SS_Add_End_Sp&gt;=G$5),F53*(1+SS_COLA),0))/Round_To,0)*Round_To</f>
        <v>0</v>
      </c>
      <c r="H53" s="1124">
        <f t="shared" si="56"/>
        <v>0</v>
      </c>
      <c r="I53" s="1124">
        <f t="shared" si="56"/>
        <v>0</v>
      </c>
      <c r="J53" s="1124">
        <f t="shared" si="56"/>
        <v>0</v>
      </c>
      <c r="K53" s="1124">
        <f t="shared" si="56"/>
        <v>0</v>
      </c>
      <c r="L53" s="1124">
        <f t="shared" si="56"/>
        <v>0</v>
      </c>
      <c r="M53" s="1124">
        <f t="shared" si="56"/>
        <v>0</v>
      </c>
      <c r="N53" s="1124">
        <f t="shared" si="56"/>
        <v>0</v>
      </c>
      <c r="O53" s="1124">
        <f t="shared" si="56"/>
        <v>0</v>
      </c>
      <c r="P53" s="1124">
        <f t="shared" si="56"/>
        <v>0</v>
      </c>
      <c r="Q53" s="1124">
        <f t="shared" si="56"/>
        <v>0</v>
      </c>
      <c r="R53" s="1124">
        <f t="shared" si="56"/>
        <v>0</v>
      </c>
      <c r="S53" s="1124">
        <f t="shared" si="56"/>
        <v>0</v>
      </c>
      <c r="T53" s="1124">
        <f t="shared" si="56"/>
        <v>0</v>
      </c>
      <c r="U53" s="1124">
        <f t="shared" si="56"/>
        <v>0</v>
      </c>
      <c r="V53" s="1124">
        <f t="shared" si="56"/>
        <v>0</v>
      </c>
      <c r="W53" s="1124">
        <f t="shared" si="56"/>
        <v>0</v>
      </c>
      <c r="X53" s="1124">
        <f t="shared" si="56"/>
        <v>0</v>
      </c>
      <c r="Y53" s="1124">
        <f t="shared" si="56"/>
        <v>0</v>
      </c>
      <c r="Z53" s="1124">
        <f t="shared" si="56"/>
        <v>0</v>
      </c>
      <c r="AA53" s="1124">
        <f t="shared" si="56"/>
        <v>0</v>
      </c>
      <c r="AB53" s="1124">
        <f t="shared" si="56"/>
        <v>0</v>
      </c>
      <c r="AC53" s="1124">
        <f t="shared" si="56"/>
        <v>0</v>
      </c>
      <c r="AD53" s="1124">
        <f t="shared" si="56"/>
        <v>0</v>
      </c>
      <c r="AE53" s="1124">
        <f t="shared" si="56"/>
        <v>0</v>
      </c>
      <c r="AF53" s="1124">
        <f t="shared" si="56"/>
        <v>0</v>
      </c>
      <c r="AG53" s="1124">
        <f t="shared" si="56"/>
        <v>0</v>
      </c>
      <c r="AH53" s="1124">
        <f t="shared" si="56"/>
        <v>0</v>
      </c>
      <c r="AI53" s="1124">
        <f t="shared" si="56"/>
        <v>0</v>
      </c>
      <c r="AJ53" s="1124">
        <f t="shared" si="56"/>
        <v>0</v>
      </c>
      <c r="AK53" s="1124">
        <f t="shared" si="56"/>
        <v>0</v>
      </c>
      <c r="AL53" s="1124">
        <f t="shared" si="56"/>
        <v>0</v>
      </c>
      <c r="AM53" s="1124">
        <f t="shared" si="56"/>
        <v>0</v>
      </c>
      <c r="AN53" s="1124">
        <f t="shared" si="56"/>
        <v>0</v>
      </c>
      <c r="AO53" s="1124">
        <f t="shared" si="56"/>
        <v>0</v>
      </c>
      <c r="AP53" s="1124">
        <f t="shared" si="56"/>
        <v>0</v>
      </c>
      <c r="AQ53" s="1124">
        <f t="shared" si="56"/>
        <v>0</v>
      </c>
      <c r="AR53" s="1124">
        <f t="shared" si="56"/>
        <v>0</v>
      </c>
      <c r="AS53" s="1124">
        <f t="shared" si="56"/>
        <v>0</v>
      </c>
      <c r="AT53" s="42"/>
      <c r="AU53" s="15">
        <f>+Base!E53</f>
        <v>0</v>
      </c>
      <c r="AV53" s="81">
        <f t="shared" si="42"/>
        <v>0</v>
      </c>
      <c r="AW53" s="29"/>
      <c r="AX53" s="49"/>
      <c r="AY53" s="49"/>
      <c r="AZ53" s="42"/>
      <c r="BA53" s="49"/>
      <c r="BB53" s="49"/>
      <c r="BC53" s="39"/>
      <c r="BD53" s="39"/>
      <c r="BE53" s="39"/>
      <c r="BF53" s="49"/>
      <c r="BG53" s="49"/>
      <c r="BH53" s="49"/>
      <c r="BI53" s="49"/>
      <c r="BJ53" s="39"/>
      <c r="BK53" s="49"/>
      <c r="BL53" s="39"/>
      <c r="BM53" s="39"/>
      <c r="BN53" s="49"/>
      <c r="BO53" s="49"/>
      <c r="BP53" s="49"/>
      <c r="BQ53" s="49"/>
      <c r="BR53" s="49"/>
      <c r="BS53" s="49"/>
      <c r="BT53" s="49"/>
      <c r="BU53" s="49"/>
      <c r="BV53" s="49"/>
      <c r="BW53" s="49"/>
      <c r="BX53" s="49"/>
      <c r="BY53" s="49"/>
      <c r="BZ53" s="49"/>
      <c r="CA53" s="44"/>
      <c r="CB53" s="49"/>
      <c r="CC53" s="49"/>
      <c r="CD53" s="49"/>
      <c r="CE53" s="49"/>
      <c r="CF53" s="49"/>
      <c r="CG53" s="49"/>
      <c r="CH53" s="49"/>
      <c r="CI53" s="49"/>
      <c r="CJ53" s="49"/>
      <c r="CK53" s="49"/>
      <c r="CL53" s="49"/>
      <c r="CM53" s="49"/>
      <c r="CN53" s="49"/>
    </row>
    <row r="54" spans="1:92" ht="15" hidden="1" customHeight="1">
      <c r="A54" s="1427" t="s">
        <v>1578</v>
      </c>
      <c r="B54" s="1766" t="s">
        <v>1226</v>
      </c>
      <c r="C54" s="380"/>
      <c r="D54" s="199"/>
      <c r="E54" s="535">
        <f>SUM(F54:AS54)</f>
        <v>451000</v>
      </c>
      <c r="F54" s="665">
        <f>+F52+F53</f>
        <v>0</v>
      </c>
      <c r="G54" s="1127">
        <f t="shared" ref="G54:AS54" si="57">+G52+G53</f>
        <v>0</v>
      </c>
      <c r="H54" s="1127">
        <f t="shared" si="57"/>
        <v>0</v>
      </c>
      <c r="I54" s="1127">
        <f t="shared" si="57"/>
        <v>0</v>
      </c>
      <c r="J54" s="1127">
        <f t="shared" si="57"/>
        <v>0</v>
      </c>
      <c r="K54" s="1127">
        <f t="shared" si="57"/>
        <v>22100</v>
      </c>
      <c r="L54" s="1127">
        <f t="shared" si="57"/>
        <v>22500</v>
      </c>
      <c r="M54" s="1127">
        <f t="shared" si="57"/>
        <v>23000</v>
      </c>
      <c r="N54" s="1127">
        <f t="shared" si="57"/>
        <v>23500</v>
      </c>
      <c r="O54" s="1127">
        <f t="shared" si="57"/>
        <v>24000</v>
      </c>
      <c r="P54" s="1127">
        <f t="shared" si="57"/>
        <v>24500</v>
      </c>
      <c r="Q54" s="1127">
        <f t="shared" si="57"/>
        <v>25000</v>
      </c>
      <c r="R54" s="1127">
        <f t="shared" si="57"/>
        <v>25500</v>
      </c>
      <c r="S54" s="1127">
        <f t="shared" si="57"/>
        <v>26000</v>
      </c>
      <c r="T54" s="1127">
        <f t="shared" si="57"/>
        <v>26500</v>
      </c>
      <c r="U54" s="1127">
        <f t="shared" si="57"/>
        <v>27000</v>
      </c>
      <c r="V54" s="1127">
        <f t="shared" si="57"/>
        <v>21200</v>
      </c>
      <c r="W54" s="1127">
        <f t="shared" si="57"/>
        <v>21600</v>
      </c>
      <c r="X54" s="1127">
        <f t="shared" si="57"/>
        <v>22000</v>
      </c>
      <c r="Y54" s="1127">
        <f t="shared" si="57"/>
        <v>22400</v>
      </c>
      <c r="Z54" s="1127">
        <f t="shared" si="57"/>
        <v>22800</v>
      </c>
      <c r="AA54" s="1127">
        <f t="shared" si="57"/>
        <v>23300</v>
      </c>
      <c r="AB54" s="1127">
        <f t="shared" si="57"/>
        <v>23800</v>
      </c>
      <c r="AC54" s="1127">
        <f t="shared" si="57"/>
        <v>24300</v>
      </c>
      <c r="AD54" s="1127">
        <f t="shared" si="57"/>
        <v>0</v>
      </c>
      <c r="AE54" s="1127">
        <f t="shared" si="57"/>
        <v>0</v>
      </c>
      <c r="AF54" s="1127">
        <f t="shared" si="57"/>
        <v>0</v>
      </c>
      <c r="AG54" s="1127">
        <f t="shared" si="57"/>
        <v>0</v>
      </c>
      <c r="AH54" s="1127">
        <f t="shared" si="57"/>
        <v>0</v>
      </c>
      <c r="AI54" s="1127">
        <f t="shared" si="57"/>
        <v>0</v>
      </c>
      <c r="AJ54" s="1127">
        <f t="shared" si="57"/>
        <v>0</v>
      </c>
      <c r="AK54" s="1127">
        <f t="shared" si="57"/>
        <v>0</v>
      </c>
      <c r="AL54" s="1127">
        <f t="shared" si="57"/>
        <v>0</v>
      </c>
      <c r="AM54" s="1127">
        <f t="shared" si="57"/>
        <v>0</v>
      </c>
      <c r="AN54" s="1127">
        <f t="shared" si="57"/>
        <v>0</v>
      </c>
      <c r="AO54" s="1127">
        <f t="shared" si="57"/>
        <v>0</v>
      </c>
      <c r="AP54" s="1127">
        <f t="shared" si="57"/>
        <v>0</v>
      </c>
      <c r="AQ54" s="1127">
        <f t="shared" si="57"/>
        <v>0</v>
      </c>
      <c r="AR54" s="1127">
        <f t="shared" si="57"/>
        <v>0</v>
      </c>
      <c r="AS54" s="1127">
        <f t="shared" si="57"/>
        <v>0</v>
      </c>
      <c r="AT54" s="111"/>
      <c r="AU54" s="15">
        <f>+Base!E54</f>
        <v>451000</v>
      </c>
      <c r="AV54" s="81">
        <f>+E54-AU54</f>
        <v>0</v>
      </c>
      <c r="AW54" s="29"/>
      <c r="AX54" s="49"/>
      <c r="AY54" s="49"/>
      <c r="AZ54" s="42"/>
      <c r="BA54" s="49"/>
      <c r="BB54" s="49"/>
      <c r="BC54" s="39"/>
      <c r="BD54" s="39"/>
      <c r="BE54" s="39"/>
      <c r="BF54" s="49"/>
      <c r="BG54" s="49"/>
      <c r="BH54" s="49"/>
      <c r="BI54" s="49"/>
      <c r="BJ54" s="39"/>
      <c r="BK54" s="49"/>
      <c r="BL54" s="39"/>
      <c r="BM54" s="39"/>
      <c r="BN54" s="49"/>
      <c r="BO54" s="49"/>
      <c r="BP54" s="49"/>
      <c r="BQ54" s="49"/>
      <c r="BR54" s="49"/>
      <c r="BS54" s="49"/>
      <c r="BT54" s="49"/>
      <c r="BU54" s="49"/>
      <c r="BV54" s="49"/>
      <c r="BW54" s="49"/>
      <c r="BX54" s="49"/>
      <c r="BY54" s="49"/>
      <c r="BZ54" s="49"/>
      <c r="CA54" s="44"/>
      <c r="CB54" s="49"/>
      <c r="CC54" s="49"/>
      <c r="CD54" s="49"/>
      <c r="CE54" s="49"/>
      <c r="CF54" s="49"/>
      <c r="CG54" s="49"/>
      <c r="CH54" s="49"/>
      <c r="CI54" s="49"/>
      <c r="CJ54" s="49"/>
      <c r="CK54" s="49"/>
      <c r="CL54" s="49"/>
      <c r="CM54" s="49"/>
      <c r="CN54" s="49"/>
    </row>
    <row r="55" spans="1:92" ht="19.95" hidden="1" customHeight="1">
      <c r="A55" s="1427" t="s">
        <v>1578</v>
      </c>
      <c r="B55" s="563" t="s">
        <v>1693</v>
      </c>
      <c r="C55" s="1314">
        <f>Spouse_SS_Start_Alt</f>
        <v>62</v>
      </c>
      <c r="D55" s="1314">
        <f>Spouse_SS_CA_Alt</f>
        <v>15300</v>
      </c>
      <c r="E55" s="29">
        <f t="shared" si="32"/>
        <v>398000</v>
      </c>
      <c r="F55" s="914">
        <f>ROUND(IF(Spouse_SS_Start_Alt=F$5,Spouse_SS_Calc_Alt,0)/Round_To,0)*Round_To</f>
        <v>0</v>
      </c>
      <c r="G55" s="1124">
        <f t="shared" ref="G55:AS55" si="58">ROUND((IF(Spouse_SS_Start_Alt=G$5,+Spouse_SS_Calc_Alt,0)+IF(AND(OR(G$4&lt;=Spouse_SS_End_Alt,Spouse_SS_End_Alt=0),Final_Year&gt;=G$7,F55&gt;0),F55*(1+SS_COLA_Alt),0))*IF(AND(SS_re_yr_alt=G7,SS_re_pc_alt&gt;0),(1-SS_re_pc_alt),1)/Round_To,0)*Round_To</f>
        <v>15300</v>
      </c>
      <c r="H55" s="1124">
        <f t="shared" si="58"/>
        <v>15600</v>
      </c>
      <c r="I55" s="1124">
        <f t="shared" si="58"/>
        <v>15900</v>
      </c>
      <c r="J55" s="1124">
        <f t="shared" si="58"/>
        <v>16200</v>
      </c>
      <c r="K55" s="1124">
        <f t="shared" si="58"/>
        <v>16500</v>
      </c>
      <c r="L55" s="1124">
        <f t="shared" si="58"/>
        <v>16800</v>
      </c>
      <c r="M55" s="1124">
        <f t="shared" si="58"/>
        <v>17100</v>
      </c>
      <c r="N55" s="1124">
        <f t="shared" si="58"/>
        <v>17400</v>
      </c>
      <c r="O55" s="1124">
        <f t="shared" si="58"/>
        <v>17700</v>
      </c>
      <c r="P55" s="1124">
        <f t="shared" si="58"/>
        <v>18100</v>
      </c>
      <c r="Q55" s="1124">
        <f t="shared" si="58"/>
        <v>18500</v>
      </c>
      <c r="R55" s="1124">
        <f t="shared" si="58"/>
        <v>18900</v>
      </c>
      <c r="S55" s="1124">
        <f t="shared" si="58"/>
        <v>19300</v>
      </c>
      <c r="T55" s="1124">
        <f t="shared" si="58"/>
        <v>19700</v>
      </c>
      <c r="U55" s="1124">
        <f t="shared" si="58"/>
        <v>20100</v>
      </c>
      <c r="V55" s="1124">
        <f t="shared" si="58"/>
        <v>15800</v>
      </c>
      <c r="W55" s="1124">
        <f t="shared" si="58"/>
        <v>16100</v>
      </c>
      <c r="X55" s="1124">
        <f t="shared" si="58"/>
        <v>16400</v>
      </c>
      <c r="Y55" s="1124">
        <f t="shared" si="58"/>
        <v>16700</v>
      </c>
      <c r="Z55" s="1124">
        <f t="shared" si="58"/>
        <v>17000</v>
      </c>
      <c r="AA55" s="1124">
        <f t="shared" si="58"/>
        <v>17300</v>
      </c>
      <c r="AB55" s="1124">
        <f t="shared" si="58"/>
        <v>17600</v>
      </c>
      <c r="AC55" s="1124">
        <f t="shared" si="58"/>
        <v>18000</v>
      </c>
      <c r="AD55" s="1124">
        <f t="shared" si="58"/>
        <v>0</v>
      </c>
      <c r="AE55" s="1124">
        <f t="shared" si="58"/>
        <v>0</v>
      </c>
      <c r="AF55" s="1124">
        <f t="shared" si="58"/>
        <v>0</v>
      </c>
      <c r="AG55" s="1124">
        <f t="shared" si="58"/>
        <v>0</v>
      </c>
      <c r="AH55" s="1124">
        <f t="shared" si="58"/>
        <v>0</v>
      </c>
      <c r="AI55" s="1124">
        <f t="shared" si="58"/>
        <v>0</v>
      </c>
      <c r="AJ55" s="1124">
        <f t="shared" si="58"/>
        <v>0</v>
      </c>
      <c r="AK55" s="1124">
        <f t="shared" si="58"/>
        <v>0</v>
      </c>
      <c r="AL55" s="1124">
        <f t="shared" si="58"/>
        <v>0</v>
      </c>
      <c r="AM55" s="1124">
        <f t="shared" si="58"/>
        <v>0</v>
      </c>
      <c r="AN55" s="1124">
        <f t="shared" si="58"/>
        <v>0</v>
      </c>
      <c r="AO55" s="1124">
        <f t="shared" si="58"/>
        <v>0</v>
      </c>
      <c r="AP55" s="1124">
        <f t="shared" si="58"/>
        <v>0</v>
      </c>
      <c r="AQ55" s="1124">
        <f t="shared" si="58"/>
        <v>0</v>
      </c>
      <c r="AR55" s="1124">
        <f t="shared" si="58"/>
        <v>0</v>
      </c>
      <c r="AS55" s="1124">
        <f t="shared" si="58"/>
        <v>0</v>
      </c>
      <c r="AT55" s="42"/>
      <c r="AU55" s="15">
        <f>+Base!E55</f>
        <v>0</v>
      </c>
      <c r="AV55" s="81">
        <f t="shared" si="42"/>
        <v>398000</v>
      </c>
      <c r="AW55" s="29"/>
      <c r="AX55" s="49"/>
      <c r="AY55" s="49"/>
      <c r="AZ55" s="42"/>
      <c r="BA55" s="49"/>
      <c r="BB55" s="49"/>
      <c r="BC55" s="39"/>
      <c r="BD55" s="39"/>
      <c r="BE55" s="39"/>
      <c r="BF55" s="49"/>
      <c r="BG55" s="49"/>
      <c r="BH55" s="49"/>
      <c r="BI55" s="49"/>
      <c r="BJ55" s="39"/>
      <c r="BK55" s="49"/>
      <c r="BL55" s="39"/>
      <c r="BM55" s="39"/>
      <c r="BN55" s="49"/>
      <c r="BO55" s="49"/>
      <c r="BP55" s="49"/>
      <c r="BQ55" s="49"/>
      <c r="BR55" s="49"/>
      <c r="BS55" s="49"/>
      <c r="BT55" s="49"/>
      <c r="BU55" s="49"/>
      <c r="BV55" s="49"/>
      <c r="BW55" s="49"/>
      <c r="BX55" s="49"/>
      <c r="BY55" s="49"/>
      <c r="BZ55" s="49"/>
      <c r="CA55" s="44"/>
      <c r="CB55" s="49"/>
      <c r="CC55" s="49"/>
      <c r="CD55" s="49"/>
      <c r="CE55" s="49"/>
      <c r="CF55" s="49"/>
      <c r="CG55" s="49"/>
      <c r="CH55" s="49"/>
      <c r="CI55" s="49"/>
      <c r="CJ55" s="49"/>
      <c r="CK55" s="49"/>
      <c r="CL55" s="49"/>
      <c r="CM55" s="49"/>
      <c r="CN55" s="49"/>
    </row>
    <row r="56" spans="1:92" ht="15" hidden="1" customHeight="1">
      <c r="A56" s="1427" t="s">
        <v>1578</v>
      </c>
      <c r="B56" s="563" t="s">
        <v>428</v>
      </c>
      <c r="C56" s="1314" t="str">
        <f>Spouse_SB_Alt</f>
        <v>self - 2020</v>
      </c>
      <c r="D56" s="558"/>
      <c r="E56" s="29">
        <f t="shared" si="32"/>
        <v>276600</v>
      </c>
      <c r="F56" s="914">
        <f>ROUND(IF(Spouse_SS_Start_Alt=F$5,Spouse_Spousal_Alt,0)/Round_To,0)*Round_To</f>
        <v>0</v>
      </c>
      <c r="G56" s="1124">
        <f t="shared" ref="G56:AS56" si="59">ROUND((IF(Spouse_SS_Start_Alt=G$5,+Spouse_Spousal_Alt,0)+IF(AND(OR(G$4&lt;=Spouse_SS_End_Alt,Spouse_SS_End_Alt=0),Final_Year&gt;=G$7),F56*(1+SS_COLA_Alt),0))*IF(AND(SS_re_yr_alt=G7,SS_re_pc_alt&gt;0),(1-SS_re_pc_alt),1)/Round_To,0)*Round_To</f>
        <v>10700</v>
      </c>
      <c r="H56" s="1124">
        <f t="shared" si="59"/>
        <v>10900</v>
      </c>
      <c r="I56" s="1124">
        <f t="shared" si="59"/>
        <v>11100</v>
      </c>
      <c r="J56" s="1124">
        <f t="shared" si="59"/>
        <v>11300</v>
      </c>
      <c r="K56" s="1124">
        <f t="shared" si="59"/>
        <v>11500</v>
      </c>
      <c r="L56" s="1124">
        <f t="shared" si="59"/>
        <v>11700</v>
      </c>
      <c r="M56" s="1124">
        <f t="shared" si="59"/>
        <v>11900</v>
      </c>
      <c r="N56" s="1124">
        <f t="shared" si="59"/>
        <v>12100</v>
      </c>
      <c r="O56" s="1124">
        <f t="shared" si="59"/>
        <v>12300</v>
      </c>
      <c r="P56" s="1124">
        <f t="shared" si="59"/>
        <v>12500</v>
      </c>
      <c r="Q56" s="1124">
        <f t="shared" si="59"/>
        <v>12800</v>
      </c>
      <c r="R56" s="1124">
        <f t="shared" si="59"/>
        <v>13100</v>
      </c>
      <c r="S56" s="1124">
        <f t="shared" si="59"/>
        <v>13400</v>
      </c>
      <c r="T56" s="1124">
        <f t="shared" si="59"/>
        <v>13700</v>
      </c>
      <c r="U56" s="1124">
        <f t="shared" si="59"/>
        <v>14000</v>
      </c>
      <c r="V56" s="1124">
        <f t="shared" si="59"/>
        <v>11000</v>
      </c>
      <c r="W56" s="1124">
        <f t="shared" si="59"/>
        <v>11200</v>
      </c>
      <c r="X56" s="1124">
        <f t="shared" si="59"/>
        <v>11400</v>
      </c>
      <c r="Y56" s="1124">
        <f t="shared" si="59"/>
        <v>11600</v>
      </c>
      <c r="Z56" s="1124">
        <f t="shared" si="59"/>
        <v>11800</v>
      </c>
      <c r="AA56" s="1124">
        <f t="shared" si="59"/>
        <v>12000</v>
      </c>
      <c r="AB56" s="1124">
        <f t="shared" si="59"/>
        <v>12200</v>
      </c>
      <c r="AC56" s="1124">
        <f t="shared" si="59"/>
        <v>12400</v>
      </c>
      <c r="AD56" s="1124">
        <f t="shared" si="59"/>
        <v>0</v>
      </c>
      <c r="AE56" s="1124">
        <f t="shared" si="59"/>
        <v>0</v>
      </c>
      <c r="AF56" s="1124">
        <f t="shared" si="59"/>
        <v>0</v>
      </c>
      <c r="AG56" s="1124">
        <f t="shared" si="59"/>
        <v>0</v>
      </c>
      <c r="AH56" s="1124">
        <f t="shared" si="59"/>
        <v>0</v>
      </c>
      <c r="AI56" s="1124">
        <f t="shared" si="59"/>
        <v>0</v>
      </c>
      <c r="AJ56" s="1124">
        <f t="shared" si="59"/>
        <v>0</v>
      </c>
      <c r="AK56" s="1124">
        <f t="shared" si="59"/>
        <v>0</v>
      </c>
      <c r="AL56" s="1124">
        <f t="shared" si="59"/>
        <v>0</v>
      </c>
      <c r="AM56" s="1124">
        <f t="shared" si="59"/>
        <v>0</v>
      </c>
      <c r="AN56" s="1124">
        <f t="shared" si="59"/>
        <v>0</v>
      </c>
      <c r="AO56" s="1124">
        <f t="shared" si="59"/>
        <v>0</v>
      </c>
      <c r="AP56" s="1124">
        <f t="shared" si="59"/>
        <v>0</v>
      </c>
      <c r="AQ56" s="1124">
        <f t="shared" si="59"/>
        <v>0</v>
      </c>
      <c r="AR56" s="1124">
        <f t="shared" si="59"/>
        <v>0</v>
      </c>
      <c r="AS56" s="1124">
        <f t="shared" si="59"/>
        <v>0</v>
      </c>
      <c r="AT56" s="42"/>
      <c r="AU56" s="15">
        <f>+Base!E56</f>
        <v>0</v>
      </c>
      <c r="AV56" s="81">
        <f t="shared" si="42"/>
        <v>276600</v>
      </c>
      <c r="AW56" s="29"/>
      <c r="AX56" s="49"/>
      <c r="AY56" s="49"/>
      <c r="AZ56" s="42"/>
      <c r="BA56" s="49"/>
      <c r="BB56" s="49"/>
      <c r="BC56" s="39"/>
      <c r="BD56" s="39"/>
      <c r="BE56" s="39"/>
      <c r="BF56" s="49"/>
      <c r="BG56" s="49"/>
      <c r="BH56" s="49"/>
      <c r="BI56" s="49"/>
      <c r="BJ56" s="39"/>
      <c r="BK56" s="49"/>
      <c r="BL56" s="39"/>
      <c r="BM56" s="39"/>
      <c r="BN56" s="49"/>
      <c r="BO56" s="49"/>
      <c r="BP56" s="49"/>
      <c r="BQ56" s="49"/>
      <c r="BR56" s="49"/>
      <c r="BS56" s="49"/>
      <c r="BT56" s="49"/>
      <c r="BU56" s="49"/>
      <c r="BV56" s="49"/>
      <c r="BW56" s="49"/>
      <c r="BX56" s="49"/>
      <c r="BY56" s="49"/>
      <c r="BZ56" s="49"/>
      <c r="CA56" s="44"/>
      <c r="CB56" s="49"/>
      <c r="CC56" s="49"/>
      <c r="CD56" s="49"/>
      <c r="CE56" s="49"/>
      <c r="CF56" s="49"/>
      <c r="CG56" s="49"/>
      <c r="CH56" s="49"/>
      <c r="CI56" s="49"/>
      <c r="CJ56" s="49"/>
      <c r="CK56" s="49"/>
      <c r="CL56" s="49"/>
      <c r="CM56" s="49"/>
      <c r="CN56" s="49"/>
    </row>
    <row r="57" spans="1:92" ht="15" hidden="1" customHeight="1">
      <c r="A57" s="1427" t="s">
        <v>1578</v>
      </c>
      <c r="B57" s="563" t="s">
        <v>459</v>
      </c>
      <c r="C57" s="380"/>
      <c r="D57" s="678"/>
      <c r="E57" s="29">
        <f t="shared" si="32"/>
        <v>398000</v>
      </c>
      <c r="F57" s="554">
        <f t="shared" ref="F57:AS57" si="60">IF(AND(Auto_Spousal_Alt="y",Spouse_SB_Alt&lt;&gt;"self"),IF(F56&gt;F55,F56,F55),F55)*IF(F$5&lt;Spouse_SS_Start_Alt,0,1)</f>
        <v>0</v>
      </c>
      <c r="G57" s="1124">
        <f t="shared" si="60"/>
        <v>15300</v>
      </c>
      <c r="H57" s="1124">
        <f t="shared" si="60"/>
        <v>15600</v>
      </c>
      <c r="I57" s="1124">
        <f t="shared" si="60"/>
        <v>15900</v>
      </c>
      <c r="J57" s="1124">
        <f t="shared" si="60"/>
        <v>16200</v>
      </c>
      <c r="K57" s="1124">
        <f t="shared" si="60"/>
        <v>16500</v>
      </c>
      <c r="L57" s="1124">
        <f t="shared" si="60"/>
        <v>16800</v>
      </c>
      <c r="M57" s="1124">
        <f t="shared" si="60"/>
        <v>17100</v>
      </c>
      <c r="N57" s="1124">
        <f t="shared" si="60"/>
        <v>17400</v>
      </c>
      <c r="O57" s="1124">
        <f t="shared" si="60"/>
        <v>17700</v>
      </c>
      <c r="P57" s="1124">
        <f t="shared" si="60"/>
        <v>18100</v>
      </c>
      <c r="Q57" s="1124">
        <f t="shared" si="60"/>
        <v>18500</v>
      </c>
      <c r="R57" s="1124">
        <f t="shared" si="60"/>
        <v>18900</v>
      </c>
      <c r="S57" s="1124">
        <f t="shared" si="60"/>
        <v>19300</v>
      </c>
      <c r="T57" s="1124">
        <f t="shared" si="60"/>
        <v>19700</v>
      </c>
      <c r="U57" s="1124">
        <f t="shared" si="60"/>
        <v>20100</v>
      </c>
      <c r="V57" s="1124">
        <f t="shared" si="60"/>
        <v>15800</v>
      </c>
      <c r="W57" s="1124">
        <f t="shared" si="60"/>
        <v>16100</v>
      </c>
      <c r="X57" s="1124">
        <f t="shared" si="60"/>
        <v>16400</v>
      </c>
      <c r="Y57" s="1124">
        <f t="shared" si="60"/>
        <v>16700</v>
      </c>
      <c r="Z57" s="1124">
        <f t="shared" si="60"/>
        <v>17000</v>
      </c>
      <c r="AA57" s="1124">
        <f t="shared" si="60"/>
        <v>17300</v>
      </c>
      <c r="AB57" s="1124">
        <f t="shared" si="60"/>
        <v>17600</v>
      </c>
      <c r="AC57" s="1124">
        <f t="shared" si="60"/>
        <v>18000</v>
      </c>
      <c r="AD57" s="1124">
        <f t="shared" si="60"/>
        <v>0</v>
      </c>
      <c r="AE57" s="1124">
        <f t="shared" si="60"/>
        <v>0</v>
      </c>
      <c r="AF57" s="1124">
        <f t="shared" si="60"/>
        <v>0</v>
      </c>
      <c r="AG57" s="1124">
        <f t="shared" si="60"/>
        <v>0</v>
      </c>
      <c r="AH57" s="1124">
        <f t="shared" si="60"/>
        <v>0</v>
      </c>
      <c r="AI57" s="1124">
        <f t="shared" si="60"/>
        <v>0</v>
      </c>
      <c r="AJ57" s="1124">
        <f t="shared" si="60"/>
        <v>0</v>
      </c>
      <c r="AK57" s="1124">
        <f t="shared" si="60"/>
        <v>0</v>
      </c>
      <c r="AL57" s="1124">
        <f t="shared" si="60"/>
        <v>0</v>
      </c>
      <c r="AM57" s="1124">
        <f t="shared" si="60"/>
        <v>0</v>
      </c>
      <c r="AN57" s="1124">
        <f t="shared" si="60"/>
        <v>0</v>
      </c>
      <c r="AO57" s="1124">
        <f t="shared" si="60"/>
        <v>0</v>
      </c>
      <c r="AP57" s="1124">
        <f t="shared" si="60"/>
        <v>0</v>
      </c>
      <c r="AQ57" s="1124">
        <f t="shared" si="60"/>
        <v>0</v>
      </c>
      <c r="AR57" s="1124">
        <f t="shared" si="60"/>
        <v>0</v>
      </c>
      <c r="AS57" s="1124">
        <f t="shared" si="60"/>
        <v>0</v>
      </c>
      <c r="AT57" s="440"/>
      <c r="AU57" s="15">
        <f>+Base!E57</f>
        <v>0</v>
      </c>
      <c r="AV57" s="81">
        <f>+E57-AU57</f>
        <v>398000</v>
      </c>
      <c r="AW57" s="29"/>
      <c r="AX57" s="49"/>
      <c r="AY57" s="49"/>
      <c r="AZ57" s="42"/>
      <c r="BA57" s="49"/>
      <c r="BB57" s="49"/>
      <c r="BC57" s="39"/>
      <c r="BD57" s="39"/>
      <c r="BE57" s="39"/>
      <c r="BF57" s="49"/>
      <c r="BG57" s="49"/>
      <c r="BH57" s="49"/>
      <c r="BI57" s="49"/>
      <c r="BJ57" s="39"/>
      <c r="BK57" s="49"/>
      <c r="BL57" s="39"/>
      <c r="BM57" s="39"/>
      <c r="BN57" s="49"/>
      <c r="BO57" s="49"/>
      <c r="BP57" s="49"/>
      <c r="BQ57" s="49"/>
      <c r="BR57" s="49"/>
      <c r="BS57" s="49"/>
      <c r="BT57" s="49"/>
      <c r="BU57" s="49"/>
      <c r="BV57" s="49"/>
      <c r="BW57" s="49"/>
      <c r="BX57" s="49"/>
      <c r="BY57" s="49"/>
      <c r="BZ57" s="49"/>
      <c r="CA57" s="44"/>
      <c r="CB57" s="49"/>
      <c r="CC57" s="49"/>
      <c r="CD57" s="49"/>
      <c r="CE57" s="49"/>
      <c r="CF57" s="49"/>
      <c r="CG57" s="49"/>
      <c r="CH57" s="49"/>
      <c r="CI57" s="49"/>
      <c r="CJ57" s="49"/>
      <c r="CK57" s="49"/>
      <c r="CL57" s="49"/>
      <c r="CM57" s="49"/>
      <c r="CN57" s="49"/>
    </row>
    <row r="58" spans="1:92" ht="15" hidden="1" customHeight="1">
      <c r="A58" s="1427" t="s">
        <v>1578</v>
      </c>
      <c r="B58" s="234" t="s">
        <v>1341</v>
      </c>
      <c r="C58" s="380"/>
      <c r="D58" s="677"/>
      <c r="E58" s="29">
        <f t="shared" si="32"/>
        <v>0</v>
      </c>
      <c r="F58" s="914">
        <f>ROUND(IF(SS_Add_Start_Alt_Sp=F$5,Spouse_SS_Add_Alt,0)/Round_To,0)*Round_To</f>
        <v>0</v>
      </c>
      <c r="G58" s="1124">
        <f t="shared" ref="G58:AS58" si="61">ROUND(IF(SS_Add_Start_Alt_Sp=G$5,Spouse_SS_Add_Alt,IF(AND(SS_Add_Start_Alt_Sp&lt;G$5,SS_Add_End_Alt_Sp&gt;=G$5),F58*(1+SS_COLA),0))/Round_To,0)*Round_To</f>
        <v>0</v>
      </c>
      <c r="H58" s="1124">
        <f t="shared" si="61"/>
        <v>0</v>
      </c>
      <c r="I58" s="1124">
        <f t="shared" si="61"/>
        <v>0</v>
      </c>
      <c r="J58" s="1124">
        <f t="shared" si="61"/>
        <v>0</v>
      </c>
      <c r="K58" s="1124">
        <f t="shared" si="61"/>
        <v>0</v>
      </c>
      <c r="L58" s="1124">
        <f t="shared" si="61"/>
        <v>0</v>
      </c>
      <c r="M58" s="1124">
        <f t="shared" si="61"/>
        <v>0</v>
      </c>
      <c r="N58" s="1124">
        <f t="shared" si="61"/>
        <v>0</v>
      </c>
      <c r="O58" s="1124">
        <f t="shared" si="61"/>
        <v>0</v>
      </c>
      <c r="P58" s="1124">
        <f t="shared" si="61"/>
        <v>0</v>
      </c>
      <c r="Q58" s="1124">
        <f t="shared" si="61"/>
        <v>0</v>
      </c>
      <c r="R58" s="1124">
        <f t="shared" si="61"/>
        <v>0</v>
      </c>
      <c r="S58" s="1124">
        <f t="shared" si="61"/>
        <v>0</v>
      </c>
      <c r="T58" s="1124">
        <f t="shared" si="61"/>
        <v>0</v>
      </c>
      <c r="U58" s="1124">
        <f t="shared" si="61"/>
        <v>0</v>
      </c>
      <c r="V58" s="1124">
        <f t="shared" si="61"/>
        <v>0</v>
      </c>
      <c r="W58" s="1124">
        <f t="shared" si="61"/>
        <v>0</v>
      </c>
      <c r="X58" s="1124">
        <f t="shared" si="61"/>
        <v>0</v>
      </c>
      <c r="Y58" s="1124">
        <f t="shared" si="61"/>
        <v>0</v>
      </c>
      <c r="Z58" s="1124">
        <f t="shared" si="61"/>
        <v>0</v>
      </c>
      <c r="AA58" s="1124">
        <f t="shared" si="61"/>
        <v>0</v>
      </c>
      <c r="AB58" s="1124">
        <f t="shared" si="61"/>
        <v>0</v>
      </c>
      <c r="AC58" s="1124">
        <f t="shared" si="61"/>
        <v>0</v>
      </c>
      <c r="AD58" s="1124">
        <f t="shared" si="61"/>
        <v>0</v>
      </c>
      <c r="AE58" s="1124">
        <f t="shared" si="61"/>
        <v>0</v>
      </c>
      <c r="AF58" s="1124">
        <f t="shared" si="61"/>
        <v>0</v>
      </c>
      <c r="AG58" s="1124">
        <f t="shared" si="61"/>
        <v>0</v>
      </c>
      <c r="AH58" s="1124">
        <f t="shared" si="61"/>
        <v>0</v>
      </c>
      <c r="AI58" s="1124">
        <f t="shared" si="61"/>
        <v>0</v>
      </c>
      <c r="AJ58" s="1124">
        <f t="shared" si="61"/>
        <v>0</v>
      </c>
      <c r="AK58" s="1124">
        <f t="shared" si="61"/>
        <v>0</v>
      </c>
      <c r="AL58" s="1124">
        <f t="shared" si="61"/>
        <v>0</v>
      </c>
      <c r="AM58" s="1124">
        <f t="shared" si="61"/>
        <v>0</v>
      </c>
      <c r="AN58" s="1124">
        <f t="shared" si="61"/>
        <v>0</v>
      </c>
      <c r="AO58" s="1124">
        <f t="shared" si="61"/>
        <v>0</v>
      </c>
      <c r="AP58" s="1124">
        <f t="shared" si="61"/>
        <v>0</v>
      </c>
      <c r="AQ58" s="1124">
        <f t="shared" si="61"/>
        <v>0</v>
      </c>
      <c r="AR58" s="1124">
        <f t="shared" si="61"/>
        <v>0</v>
      </c>
      <c r="AS58" s="1124">
        <f t="shared" si="61"/>
        <v>0</v>
      </c>
      <c r="AT58" s="42"/>
      <c r="AU58" s="15">
        <f>+Base!E58</f>
        <v>0</v>
      </c>
      <c r="AV58" s="81">
        <f t="shared" si="42"/>
        <v>0</v>
      </c>
      <c r="AW58" s="29"/>
      <c r="AX58" s="49"/>
      <c r="AY58" s="49"/>
      <c r="AZ58" s="42"/>
      <c r="BA58" s="49"/>
      <c r="BB58" s="49"/>
      <c r="BC58" s="39"/>
      <c r="BD58" s="39"/>
      <c r="BE58" s="39"/>
      <c r="BF58" s="49"/>
      <c r="BG58" s="49"/>
      <c r="BH58" s="49"/>
      <c r="BI58" s="49"/>
      <c r="BJ58" s="39"/>
      <c r="BK58" s="49"/>
      <c r="BL58" s="39"/>
      <c r="BM58" s="39"/>
      <c r="BN58" s="49"/>
      <c r="BO58" s="49"/>
      <c r="BP58" s="49"/>
      <c r="BQ58" s="49"/>
      <c r="BR58" s="49"/>
      <c r="BS58" s="49"/>
      <c r="BT58" s="49"/>
      <c r="BU58" s="49"/>
      <c r="BV58" s="49"/>
      <c r="BW58" s="49"/>
      <c r="BX58" s="49"/>
      <c r="BY58" s="49"/>
      <c r="BZ58" s="49"/>
      <c r="CA58" s="44"/>
      <c r="CB58" s="49"/>
      <c r="CC58" s="49"/>
      <c r="CD58" s="49"/>
      <c r="CE58" s="49"/>
      <c r="CF58" s="49"/>
      <c r="CG58" s="49"/>
      <c r="CH58" s="49"/>
      <c r="CI58" s="49"/>
      <c r="CJ58" s="49"/>
      <c r="CK58" s="49"/>
      <c r="CL58" s="49"/>
      <c r="CM58" s="49"/>
      <c r="CN58" s="49"/>
    </row>
    <row r="59" spans="1:92" ht="15.6" hidden="1">
      <c r="A59" s="1427" t="s">
        <v>1578</v>
      </c>
      <c r="B59" s="1766" t="s">
        <v>190</v>
      </c>
      <c r="C59" s="558"/>
      <c r="D59" s="1495" t="str">
        <f>IF(SS_Comparison="y","using","not using")</f>
        <v>not using</v>
      </c>
      <c r="E59" s="204">
        <f t="shared" si="32"/>
        <v>398000</v>
      </c>
      <c r="F59" s="665">
        <f>+F57+F58</f>
        <v>0</v>
      </c>
      <c r="G59" s="1127">
        <f t="shared" ref="G59:AS59" si="62">+G57+G58</f>
        <v>15300</v>
      </c>
      <c r="H59" s="1127">
        <f t="shared" si="62"/>
        <v>15600</v>
      </c>
      <c r="I59" s="1127">
        <f t="shared" si="62"/>
        <v>15900</v>
      </c>
      <c r="J59" s="1127">
        <f t="shared" si="62"/>
        <v>16200</v>
      </c>
      <c r="K59" s="1127">
        <f t="shared" si="62"/>
        <v>16500</v>
      </c>
      <c r="L59" s="1127">
        <f t="shared" si="62"/>
        <v>16800</v>
      </c>
      <c r="M59" s="1127">
        <f t="shared" si="62"/>
        <v>17100</v>
      </c>
      <c r="N59" s="1127">
        <f t="shared" si="62"/>
        <v>17400</v>
      </c>
      <c r="O59" s="1127">
        <f t="shared" si="62"/>
        <v>17700</v>
      </c>
      <c r="P59" s="1127">
        <f t="shared" si="62"/>
        <v>18100</v>
      </c>
      <c r="Q59" s="1127">
        <f t="shared" si="62"/>
        <v>18500</v>
      </c>
      <c r="R59" s="1127">
        <f t="shared" si="62"/>
        <v>18900</v>
      </c>
      <c r="S59" s="1127">
        <f t="shared" si="62"/>
        <v>19300</v>
      </c>
      <c r="T59" s="1127">
        <f t="shared" si="62"/>
        <v>19700</v>
      </c>
      <c r="U59" s="1127">
        <f t="shared" si="62"/>
        <v>20100</v>
      </c>
      <c r="V59" s="1127">
        <f t="shared" si="62"/>
        <v>15800</v>
      </c>
      <c r="W59" s="1127">
        <f t="shared" si="62"/>
        <v>16100</v>
      </c>
      <c r="X59" s="1127">
        <f t="shared" si="62"/>
        <v>16400</v>
      </c>
      <c r="Y59" s="1127">
        <f t="shared" si="62"/>
        <v>16700</v>
      </c>
      <c r="Z59" s="1127">
        <f t="shared" si="62"/>
        <v>17000</v>
      </c>
      <c r="AA59" s="1127">
        <f t="shared" si="62"/>
        <v>17300</v>
      </c>
      <c r="AB59" s="1127">
        <f t="shared" si="62"/>
        <v>17600</v>
      </c>
      <c r="AC59" s="1127">
        <f t="shared" si="62"/>
        <v>18000</v>
      </c>
      <c r="AD59" s="1127">
        <f t="shared" si="62"/>
        <v>0</v>
      </c>
      <c r="AE59" s="1127">
        <f t="shared" si="62"/>
        <v>0</v>
      </c>
      <c r="AF59" s="1127">
        <f t="shared" si="62"/>
        <v>0</v>
      </c>
      <c r="AG59" s="1127">
        <f t="shared" si="62"/>
        <v>0</v>
      </c>
      <c r="AH59" s="1127">
        <f t="shared" si="62"/>
        <v>0</v>
      </c>
      <c r="AI59" s="1127">
        <f t="shared" si="62"/>
        <v>0</v>
      </c>
      <c r="AJ59" s="1127">
        <f t="shared" si="62"/>
        <v>0</v>
      </c>
      <c r="AK59" s="1127">
        <f t="shared" si="62"/>
        <v>0</v>
      </c>
      <c r="AL59" s="1127">
        <f t="shared" si="62"/>
        <v>0</v>
      </c>
      <c r="AM59" s="1127">
        <f t="shared" si="62"/>
        <v>0</v>
      </c>
      <c r="AN59" s="1127">
        <f t="shared" si="62"/>
        <v>0</v>
      </c>
      <c r="AO59" s="1127">
        <f t="shared" si="62"/>
        <v>0</v>
      </c>
      <c r="AP59" s="1127">
        <f t="shared" si="62"/>
        <v>0</v>
      </c>
      <c r="AQ59" s="1127">
        <f t="shared" si="62"/>
        <v>0</v>
      </c>
      <c r="AR59" s="1127">
        <f t="shared" si="62"/>
        <v>0</v>
      </c>
      <c r="AS59" s="1127">
        <f t="shared" si="62"/>
        <v>0</v>
      </c>
      <c r="AT59" s="111"/>
      <c r="AU59" s="15">
        <f>+Base!E59</f>
        <v>0</v>
      </c>
      <c r="AV59" s="81">
        <f>+E59-AU59</f>
        <v>398000</v>
      </c>
      <c r="AW59" s="29"/>
      <c r="AX59" s="49"/>
      <c r="AY59" s="49"/>
      <c r="AZ59" s="42"/>
      <c r="BA59" s="49"/>
      <c r="BB59" s="49"/>
      <c r="BC59" s="39"/>
      <c r="BD59" s="39"/>
      <c r="BE59" s="39"/>
      <c r="BF59" s="49"/>
      <c r="BG59" s="49"/>
      <c r="BH59" s="49"/>
      <c r="BI59" s="49"/>
      <c r="BJ59" s="39"/>
      <c r="BK59" s="49"/>
      <c r="BL59" s="39"/>
      <c r="BM59" s="39"/>
      <c r="BN59" s="49"/>
      <c r="BO59" s="49"/>
      <c r="BP59" s="49"/>
      <c r="BQ59" s="49"/>
      <c r="BR59" s="49"/>
      <c r="BS59" s="49"/>
      <c r="BT59" s="49"/>
      <c r="BU59" s="49"/>
      <c r="BV59" s="49"/>
      <c r="BW59" s="49"/>
      <c r="BX59" s="49"/>
      <c r="BY59" s="49"/>
      <c r="BZ59" s="49"/>
      <c r="CA59" s="44"/>
      <c r="CB59" s="49"/>
      <c r="CC59" s="49"/>
      <c r="CD59" s="49"/>
      <c r="CE59" s="49"/>
      <c r="CF59" s="49"/>
      <c r="CG59" s="49"/>
      <c r="CH59" s="49"/>
      <c r="CI59" s="49"/>
      <c r="CJ59" s="49"/>
      <c r="CK59" s="49"/>
      <c r="CL59" s="49"/>
      <c r="CM59" s="49"/>
      <c r="CN59" s="49"/>
    </row>
    <row r="60" spans="1:92" s="22" customFormat="1" ht="15.6">
      <c r="A60" s="1429"/>
      <c r="B60" s="1766" t="s">
        <v>2239</v>
      </c>
      <c r="C60" s="670"/>
      <c r="D60" s="676"/>
      <c r="E60" s="29">
        <f t="shared" si="32"/>
        <v>451000</v>
      </c>
      <c r="F60" s="554">
        <f t="shared" ref="F60:AS60" si="63">IF(SS_Comparison="n",F54,F59)</f>
        <v>0</v>
      </c>
      <c r="G60" s="1124">
        <f t="shared" si="63"/>
        <v>0</v>
      </c>
      <c r="H60" s="1124">
        <f t="shared" si="63"/>
        <v>0</v>
      </c>
      <c r="I60" s="1124">
        <f t="shared" si="63"/>
        <v>0</v>
      </c>
      <c r="J60" s="1124">
        <f t="shared" si="63"/>
        <v>0</v>
      </c>
      <c r="K60" s="1124">
        <f t="shared" si="63"/>
        <v>22100</v>
      </c>
      <c r="L60" s="1124">
        <f t="shared" si="63"/>
        <v>22500</v>
      </c>
      <c r="M60" s="1124">
        <f t="shared" si="63"/>
        <v>23000</v>
      </c>
      <c r="N60" s="1124">
        <f t="shared" si="63"/>
        <v>23500</v>
      </c>
      <c r="O60" s="1124">
        <f t="shared" si="63"/>
        <v>24000</v>
      </c>
      <c r="P60" s="1124">
        <f t="shared" si="63"/>
        <v>24500</v>
      </c>
      <c r="Q60" s="1124">
        <f t="shared" si="63"/>
        <v>25000</v>
      </c>
      <c r="R60" s="1124">
        <f t="shared" si="63"/>
        <v>25500</v>
      </c>
      <c r="S60" s="1124">
        <f t="shared" si="63"/>
        <v>26000</v>
      </c>
      <c r="T60" s="1124">
        <f t="shared" si="63"/>
        <v>26500</v>
      </c>
      <c r="U60" s="1124">
        <f t="shared" si="63"/>
        <v>27000</v>
      </c>
      <c r="V60" s="1124">
        <f t="shared" si="63"/>
        <v>21200</v>
      </c>
      <c r="W60" s="1124">
        <f t="shared" si="63"/>
        <v>21600</v>
      </c>
      <c r="X60" s="1124">
        <f t="shared" si="63"/>
        <v>22000</v>
      </c>
      <c r="Y60" s="1124">
        <f t="shared" si="63"/>
        <v>22400</v>
      </c>
      <c r="Z60" s="1124">
        <f t="shared" si="63"/>
        <v>22800</v>
      </c>
      <c r="AA60" s="1124">
        <f t="shared" si="63"/>
        <v>23300</v>
      </c>
      <c r="AB60" s="1124">
        <f t="shared" si="63"/>
        <v>23800</v>
      </c>
      <c r="AC60" s="1124">
        <f t="shared" si="63"/>
        <v>24300</v>
      </c>
      <c r="AD60" s="1124">
        <f t="shared" si="63"/>
        <v>0</v>
      </c>
      <c r="AE60" s="1124">
        <f t="shared" si="63"/>
        <v>0</v>
      </c>
      <c r="AF60" s="1124">
        <f t="shared" si="63"/>
        <v>0</v>
      </c>
      <c r="AG60" s="1124">
        <f t="shared" si="63"/>
        <v>0</v>
      </c>
      <c r="AH60" s="1124">
        <f t="shared" si="63"/>
        <v>0</v>
      </c>
      <c r="AI60" s="1124">
        <f t="shared" si="63"/>
        <v>0</v>
      </c>
      <c r="AJ60" s="1124">
        <f t="shared" si="63"/>
        <v>0</v>
      </c>
      <c r="AK60" s="1124">
        <f t="shared" si="63"/>
        <v>0</v>
      </c>
      <c r="AL60" s="1124">
        <f t="shared" si="63"/>
        <v>0</v>
      </c>
      <c r="AM60" s="1124">
        <f t="shared" si="63"/>
        <v>0</v>
      </c>
      <c r="AN60" s="1124">
        <f t="shared" si="63"/>
        <v>0</v>
      </c>
      <c r="AO60" s="1124">
        <f t="shared" si="63"/>
        <v>0</v>
      </c>
      <c r="AP60" s="1124">
        <f t="shared" si="63"/>
        <v>0</v>
      </c>
      <c r="AQ60" s="1124">
        <f t="shared" si="63"/>
        <v>0</v>
      </c>
      <c r="AR60" s="1124">
        <f t="shared" si="63"/>
        <v>0</v>
      </c>
      <c r="AS60" s="1124">
        <f t="shared" si="63"/>
        <v>0</v>
      </c>
      <c r="AT60" s="723"/>
      <c r="AU60" s="15">
        <f>+Base!E60</f>
        <v>451000</v>
      </c>
      <c r="AV60" s="15">
        <f>+E60-AU60</f>
        <v>0</v>
      </c>
      <c r="AW60" s="204"/>
      <c r="AX60" s="667"/>
      <c r="AY60" s="667"/>
      <c r="AZ60" s="669"/>
      <c r="BA60" s="667"/>
      <c r="BB60" s="667"/>
      <c r="BC60" s="667"/>
      <c r="BD60" s="667"/>
      <c r="BE60" s="667"/>
      <c r="BF60" s="667"/>
      <c r="BG60" s="667"/>
      <c r="BH60" s="667"/>
      <c r="BI60" s="667"/>
      <c r="BJ60" s="667"/>
      <c r="BK60" s="667"/>
      <c r="BL60" s="667"/>
      <c r="BM60" s="667"/>
      <c r="BN60" s="667"/>
      <c r="BO60" s="667"/>
      <c r="BP60" s="667"/>
      <c r="BQ60" s="667"/>
      <c r="BR60" s="667"/>
      <c r="BS60" s="667"/>
      <c r="BT60" s="667"/>
      <c r="BU60" s="667"/>
      <c r="BV60" s="667"/>
      <c r="BW60" s="667"/>
      <c r="BX60" s="667"/>
      <c r="BY60" s="667"/>
      <c r="BZ60" s="667"/>
      <c r="CA60" s="132"/>
      <c r="CB60" s="667"/>
      <c r="CC60" s="667"/>
      <c r="CD60" s="667"/>
      <c r="CE60" s="667"/>
      <c r="CF60" s="667"/>
      <c r="CG60" s="667"/>
      <c r="CH60" s="667"/>
      <c r="CI60" s="667"/>
      <c r="CJ60" s="667"/>
      <c r="CK60" s="667"/>
      <c r="CL60" s="667"/>
      <c r="CM60" s="667"/>
      <c r="CN60" s="667"/>
    </row>
    <row r="61" spans="1:92" ht="15.6">
      <c r="A61" s="1425"/>
      <c r="B61" s="1766" t="s">
        <v>482</v>
      </c>
      <c r="C61" s="1496" t="str">
        <f>IF(OR(SS_re_pc=0,SS_re_yr=0),".","Reduction of " &amp; (SS_re_pc*100) &amp; "% in " &amp; SS_re_yr)</f>
        <v>Reduction of 23% in 2035</v>
      </c>
      <c r="D61" s="1315"/>
      <c r="E61" s="29">
        <f t="shared" si="32"/>
        <v>1516900</v>
      </c>
      <c r="F61" s="29">
        <f t="shared" ref="F61:AS61" si="64">+F49+F60</f>
        <v>0</v>
      </c>
      <c r="G61" s="1124">
        <f t="shared" si="64"/>
        <v>0</v>
      </c>
      <c r="H61" s="1124">
        <f t="shared" si="64"/>
        <v>0</v>
      </c>
      <c r="I61" s="1124">
        <f t="shared" si="64"/>
        <v>0</v>
      </c>
      <c r="J61" s="1124">
        <f t="shared" si="64"/>
        <v>0</v>
      </c>
      <c r="K61" s="1124">
        <f t="shared" si="64"/>
        <v>22100</v>
      </c>
      <c r="L61" s="1124">
        <f t="shared" si="64"/>
        <v>22500</v>
      </c>
      <c r="M61" s="1124">
        <f t="shared" si="64"/>
        <v>23000</v>
      </c>
      <c r="N61" s="1124">
        <f t="shared" si="64"/>
        <v>69900</v>
      </c>
      <c r="O61" s="1124">
        <f t="shared" si="64"/>
        <v>71300</v>
      </c>
      <c r="P61" s="1124">
        <f t="shared" si="64"/>
        <v>72700</v>
      </c>
      <c r="Q61" s="1124">
        <f t="shared" si="64"/>
        <v>74200</v>
      </c>
      <c r="R61" s="1124">
        <f t="shared" si="64"/>
        <v>75700</v>
      </c>
      <c r="S61" s="1124">
        <f t="shared" si="64"/>
        <v>77200</v>
      </c>
      <c r="T61" s="1124">
        <f t="shared" si="64"/>
        <v>78700</v>
      </c>
      <c r="U61" s="1124">
        <f t="shared" si="64"/>
        <v>80200</v>
      </c>
      <c r="V61" s="1124">
        <f t="shared" si="64"/>
        <v>63000</v>
      </c>
      <c r="W61" s="1124">
        <f t="shared" si="64"/>
        <v>64200</v>
      </c>
      <c r="X61" s="1124">
        <f t="shared" si="64"/>
        <v>65500</v>
      </c>
      <c r="Y61" s="1124">
        <f t="shared" si="64"/>
        <v>66800</v>
      </c>
      <c r="Z61" s="1124">
        <f t="shared" si="64"/>
        <v>68100</v>
      </c>
      <c r="AA61" s="1124">
        <f t="shared" si="64"/>
        <v>69500</v>
      </c>
      <c r="AB61" s="1124">
        <f t="shared" si="64"/>
        <v>70900</v>
      </c>
      <c r="AC61" s="1124">
        <f t="shared" si="64"/>
        <v>72300</v>
      </c>
      <c r="AD61" s="1124">
        <f t="shared" si="64"/>
        <v>49000</v>
      </c>
      <c r="AE61" s="1124">
        <f t="shared" si="64"/>
        <v>50000</v>
      </c>
      <c r="AF61" s="1124">
        <f t="shared" si="64"/>
        <v>51000</v>
      </c>
      <c r="AG61" s="1124">
        <f t="shared" si="64"/>
        <v>52000</v>
      </c>
      <c r="AH61" s="1124">
        <f t="shared" si="64"/>
        <v>53000</v>
      </c>
      <c r="AI61" s="1124">
        <f t="shared" si="64"/>
        <v>54100</v>
      </c>
      <c r="AJ61" s="1124">
        <f t="shared" si="64"/>
        <v>0</v>
      </c>
      <c r="AK61" s="1124">
        <f t="shared" si="64"/>
        <v>0</v>
      </c>
      <c r="AL61" s="1124">
        <f t="shared" si="64"/>
        <v>0</v>
      </c>
      <c r="AM61" s="1124">
        <f t="shared" si="64"/>
        <v>0</v>
      </c>
      <c r="AN61" s="1124">
        <f t="shared" si="64"/>
        <v>0</v>
      </c>
      <c r="AO61" s="1124">
        <f t="shared" si="64"/>
        <v>0</v>
      </c>
      <c r="AP61" s="1124">
        <f t="shared" si="64"/>
        <v>0</v>
      </c>
      <c r="AQ61" s="1124">
        <f t="shared" si="64"/>
        <v>0</v>
      </c>
      <c r="AR61" s="1124">
        <f t="shared" si="64"/>
        <v>0</v>
      </c>
      <c r="AS61" s="1124">
        <f t="shared" si="64"/>
        <v>0</v>
      </c>
      <c r="AT61" s="42"/>
      <c r="AU61" s="78">
        <f>+Base!E61</f>
        <v>1516900</v>
      </c>
      <c r="AV61" s="81">
        <f>+E61-AU61</f>
        <v>0</v>
      </c>
      <c r="AW61" s="29"/>
      <c r="AX61" s="49"/>
      <c r="AY61" s="49"/>
      <c r="AZ61" s="42"/>
      <c r="BA61" s="49"/>
      <c r="BB61" s="49"/>
      <c r="BC61" s="39"/>
      <c r="BD61" s="39"/>
      <c r="BE61" s="39"/>
      <c r="BF61" s="49"/>
      <c r="BG61" s="49"/>
      <c r="BH61" s="49"/>
      <c r="BI61" s="49"/>
      <c r="BJ61" s="39"/>
      <c r="BK61" s="49"/>
      <c r="BL61" s="39"/>
      <c r="BM61" s="39"/>
      <c r="BN61" s="49"/>
      <c r="BO61" s="49"/>
      <c r="BP61" s="49"/>
      <c r="BQ61" s="49"/>
      <c r="BR61" s="49"/>
      <c r="BS61" s="49"/>
      <c r="BT61" s="49"/>
      <c r="BU61" s="49"/>
      <c r="BV61" s="49"/>
      <c r="BW61" s="49"/>
      <c r="BX61" s="49"/>
      <c r="BY61" s="49"/>
      <c r="BZ61" s="49"/>
      <c r="CA61" s="44"/>
      <c r="CB61" s="49"/>
      <c r="CC61" s="49"/>
      <c r="CD61" s="49"/>
      <c r="CE61" s="49"/>
      <c r="CF61" s="49"/>
      <c r="CG61" s="49"/>
      <c r="CH61" s="49"/>
      <c r="CI61" s="49"/>
      <c r="CJ61" s="49"/>
      <c r="CK61" s="49"/>
      <c r="CL61" s="49"/>
      <c r="CM61" s="49"/>
      <c r="CN61" s="49"/>
    </row>
    <row r="62" spans="1:92" ht="19.95" hidden="1" customHeight="1">
      <c r="A62" s="1427" t="s">
        <v>1578</v>
      </c>
      <c r="B62" s="511" t="s">
        <v>1077</v>
      </c>
      <c r="C62" s="437"/>
      <c r="D62" s="37"/>
      <c r="E62" s="102">
        <f>SUM(F62:AS62)</f>
        <v>144000</v>
      </c>
      <c r="F62" s="4">
        <f>IF(SPIA_From="t",IF(OR(SPIA_Amt=0,SPIA_Age=0),0,ROUND(IF(SPIA_Start&lt;=F$4,SPIA_Income,0)/Round_To,0)*Round_To),0)</f>
        <v>0</v>
      </c>
      <c r="G62" s="1124">
        <f t="shared" ref="G62:AS62" si="65">IF(SPIA_From="t",IF(OR(SPIA_Amt=0,SPIA_Age=0),0,ROUND(IF(OR(AND(SPIA_End&lt;G$4,SPIA_End&lt;&gt;""),OR(SPIA_Income=0,SPIA_Start&gt;G$4,Your_Age_End&lt;G$4)),0,IF(SPIA_Start=G$4,SPIA_Income,IF(F62&gt;0,(+F62*(1+SPIA_Esc)))))/Round_To,0)*Round_To),0)</f>
        <v>0</v>
      </c>
      <c r="H62" s="1124">
        <f t="shared" si="65"/>
        <v>0</v>
      </c>
      <c r="I62" s="1124">
        <f t="shared" si="65"/>
        <v>0</v>
      </c>
      <c r="J62" s="1124">
        <f t="shared" si="65"/>
        <v>0</v>
      </c>
      <c r="K62" s="1124">
        <f t="shared" si="65"/>
        <v>0</v>
      </c>
      <c r="L62" s="1124">
        <f t="shared" si="65"/>
        <v>0</v>
      </c>
      <c r="M62" s="1124">
        <f t="shared" si="65"/>
        <v>0</v>
      </c>
      <c r="N62" s="1124">
        <f t="shared" si="65"/>
        <v>0</v>
      </c>
      <c r="O62" s="1124">
        <f t="shared" si="65"/>
        <v>0</v>
      </c>
      <c r="P62" s="1124">
        <f t="shared" si="65"/>
        <v>0</v>
      </c>
      <c r="Q62" s="1124">
        <f t="shared" si="65"/>
        <v>0</v>
      </c>
      <c r="R62" s="1124">
        <f t="shared" si="65"/>
        <v>0</v>
      </c>
      <c r="S62" s="1124">
        <f t="shared" si="65"/>
        <v>0</v>
      </c>
      <c r="T62" s="1124">
        <f t="shared" si="65"/>
        <v>9000</v>
      </c>
      <c r="U62" s="1124">
        <f t="shared" si="65"/>
        <v>9000</v>
      </c>
      <c r="V62" s="1124">
        <f t="shared" si="65"/>
        <v>9000</v>
      </c>
      <c r="W62" s="1124">
        <f t="shared" si="65"/>
        <v>9000</v>
      </c>
      <c r="X62" s="1124">
        <f t="shared" si="65"/>
        <v>9000</v>
      </c>
      <c r="Y62" s="1124">
        <f t="shared" si="65"/>
        <v>9000</v>
      </c>
      <c r="Z62" s="1124">
        <f t="shared" si="65"/>
        <v>9000</v>
      </c>
      <c r="AA62" s="1124">
        <f t="shared" si="65"/>
        <v>9000</v>
      </c>
      <c r="AB62" s="1124">
        <f t="shared" si="65"/>
        <v>9000</v>
      </c>
      <c r="AC62" s="1124">
        <f t="shared" si="65"/>
        <v>9000</v>
      </c>
      <c r="AD62" s="1124">
        <f t="shared" si="65"/>
        <v>9000</v>
      </c>
      <c r="AE62" s="1124">
        <f t="shared" si="65"/>
        <v>9000</v>
      </c>
      <c r="AF62" s="1124">
        <f t="shared" si="65"/>
        <v>9000</v>
      </c>
      <c r="AG62" s="1124">
        <f t="shared" si="65"/>
        <v>9000</v>
      </c>
      <c r="AH62" s="1124">
        <f t="shared" si="65"/>
        <v>9000</v>
      </c>
      <c r="AI62" s="1124">
        <f t="shared" si="65"/>
        <v>9000</v>
      </c>
      <c r="AJ62" s="1124">
        <f t="shared" si="65"/>
        <v>0</v>
      </c>
      <c r="AK62" s="1124">
        <f t="shared" si="65"/>
        <v>0</v>
      </c>
      <c r="AL62" s="1124">
        <f t="shared" si="65"/>
        <v>0</v>
      </c>
      <c r="AM62" s="1124">
        <f t="shared" si="65"/>
        <v>0</v>
      </c>
      <c r="AN62" s="1124">
        <f t="shared" si="65"/>
        <v>0</v>
      </c>
      <c r="AO62" s="1124">
        <f t="shared" si="65"/>
        <v>0</v>
      </c>
      <c r="AP62" s="1124">
        <f t="shared" si="65"/>
        <v>0</v>
      </c>
      <c r="AQ62" s="1124">
        <f t="shared" si="65"/>
        <v>0</v>
      </c>
      <c r="AR62" s="1124">
        <f t="shared" si="65"/>
        <v>0</v>
      </c>
      <c r="AS62" s="1124">
        <f t="shared" si="65"/>
        <v>0</v>
      </c>
      <c r="AT62" s="111"/>
      <c r="AU62" s="15">
        <f>+Base!E62</f>
        <v>144000</v>
      </c>
      <c r="AV62" s="103">
        <f t="shared" ref="AV62:AV68" si="66">+E62-AU62</f>
        <v>0</v>
      </c>
      <c r="AW62" s="102"/>
      <c r="AX62" s="49"/>
      <c r="AY62" s="49"/>
      <c r="AZ62" s="42"/>
      <c r="BA62" s="49"/>
      <c r="BB62" s="49"/>
      <c r="BC62" s="39"/>
      <c r="BD62" s="39"/>
      <c r="BE62" s="39"/>
      <c r="BF62" s="49"/>
      <c r="BG62" s="49"/>
      <c r="BH62" s="49"/>
      <c r="BI62" s="49"/>
      <c r="BJ62" s="39"/>
      <c r="BK62" s="49"/>
      <c r="BL62" s="39"/>
      <c r="BM62" s="39"/>
      <c r="BN62" s="49"/>
      <c r="BO62" s="49"/>
      <c r="BP62" s="49"/>
      <c r="BQ62" s="49"/>
      <c r="BR62" s="49"/>
      <c r="BS62" s="49"/>
      <c r="BT62" s="49"/>
      <c r="BU62" s="49"/>
      <c r="BV62" s="49"/>
      <c r="BW62" s="49"/>
      <c r="BX62" s="49"/>
      <c r="BY62" s="49"/>
      <c r="BZ62" s="49"/>
      <c r="CA62" s="44"/>
      <c r="CB62" s="49"/>
      <c r="CC62" s="49"/>
      <c r="CD62" s="49"/>
      <c r="CE62" s="49"/>
      <c r="CF62" s="49"/>
      <c r="CG62" s="49"/>
      <c r="CH62" s="49"/>
      <c r="CI62" s="49"/>
      <c r="CJ62" s="49"/>
      <c r="CK62" s="49"/>
      <c r="CL62" s="49"/>
      <c r="CM62" s="49"/>
      <c r="CN62" s="49"/>
    </row>
    <row r="63" spans="1:92" ht="15.75" hidden="1" customHeight="1">
      <c r="A63" s="1427" t="s">
        <v>1578</v>
      </c>
      <c r="B63" s="1765" t="s">
        <v>1079</v>
      </c>
      <c r="C63" s="437"/>
      <c r="D63" s="37"/>
      <c r="E63" s="29">
        <f>SUM(F63:AS63)</f>
        <v>0</v>
      </c>
      <c r="F63" s="4">
        <f>IF(SPIA_From="i",IF(OR(SPIA_Amt=0,SPIA_Age=0),0,ROUND(IF(SPIA_Start&lt;=F$4,SPIA_Income,0)/Round_To,0)*Round_To),0)</f>
        <v>0</v>
      </c>
      <c r="G63" s="1124">
        <f t="shared" ref="G63:AS63" si="67">IF(SPIA_From="i",IF(OR(SPIA_Amt=0,SPIA_Age=0),0,ROUND(IF(OR(AND(SPIA_End&lt;G$4,SPIA_End&lt;&gt;""),OR(SPIA_Income=0,SPIA_Start&gt;G$4,Your_Age_End&lt;G$4)),0,IF(SPIA_Start=G$4,SPIA_Income,IF(F63&gt;0,(+F63*(1+SPIA_Esc)))))/Round_To,0)*Round_To),0)</f>
        <v>0</v>
      </c>
      <c r="H63" s="1124">
        <f t="shared" si="67"/>
        <v>0</v>
      </c>
      <c r="I63" s="1124">
        <f t="shared" si="67"/>
        <v>0</v>
      </c>
      <c r="J63" s="1124">
        <f t="shared" si="67"/>
        <v>0</v>
      </c>
      <c r="K63" s="1124">
        <f t="shared" si="67"/>
        <v>0</v>
      </c>
      <c r="L63" s="1124">
        <f t="shared" si="67"/>
        <v>0</v>
      </c>
      <c r="M63" s="1124">
        <f t="shared" si="67"/>
        <v>0</v>
      </c>
      <c r="N63" s="1124">
        <f t="shared" si="67"/>
        <v>0</v>
      </c>
      <c r="O63" s="1124">
        <f t="shared" si="67"/>
        <v>0</v>
      </c>
      <c r="P63" s="1124">
        <f t="shared" si="67"/>
        <v>0</v>
      </c>
      <c r="Q63" s="1124">
        <f t="shared" si="67"/>
        <v>0</v>
      </c>
      <c r="R63" s="1124">
        <f t="shared" si="67"/>
        <v>0</v>
      </c>
      <c r="S63" s="1124">
        <f t="shared" si="67"/>
        <v>0</v>
      </c>
      <c r="T63" s="1124">
        <f t="shared" si="67"/>
        <v>0</v>
      </c>
      <c r="U63" s="1124">
        <f t="shared" si="67"/>
        <v>0</v>
      </c>
      <c r="V63" s="1124">
        <f t="shared" si="67"/>
        <v>0</v>
      </c>
      <c r="W63" s="1124">
        <f t="shared" si="67"/>
        <v>0</v>
      </c>
      <c r="X63" s="1124">
        <f t="shared" si="67"/>
        <v>0</v>
      </c>
      <c r="Y63" s="1124">
        <f t="shared" si="67"/>
        <v>0</v>
      </c>
      <c r="Z63" s="1124">
        <f t="shared" si="67"/>
        <v>0</v>
      </c>
      <c r="AA63" s="1124">
        <f t="shared" si="67"/>
        <v>0</v>
      </c>
      <c r="AB63" s="1124">
        <f t="shared" si="67"/>
        <v>0</v>
      </c>
      <c r="AC63" s="1124">
        <f t="shared" si="67"/>
        <v>0</v>
      </c>
      <c r="AD63" s="1124">
        <f t="shared" si="67"/>
        <v>0</v>
      </c>
      <c r="AE63" s="1124">
        <f t="shared" si="67"/>
        <v>0</v>
      </c>
      <c r="AF63" s="1124">
        <f t="shared" si="67"/>
        <v>0</v>
      </c>
      <c r="AG63" s="1124">
        <f t="shared" si="67"/>
        <v>0</v>
      </c>
      <c r="AH63" s="1124">
        <f t="shared" si="67"/>
        <v>0</v>
      </c>
      <c r="AI63" s="1124">
        <f t="shared" si="67"/>
        <v>0</v>
      </c>
      <c r="AJ63" s="1124">
        <f t="shared" si="67"/>
        <v>0</v>
      </c>
      <c r="AK63" s="1124">
        <f t="shared" si="67"/>
        <v>0</v>
      </c>
      <c r="AL63" s="1124">
        <f t="shared" si="67"/>
        <v>0</v>
      </c>
      <c r="AM63" s="1124">
        <f t="shared" si="67"/>
        <v>0</v>
      </c>
      <c r="AN63" s="1124">
        <f t="shared" si="67"/>
        <v>0</v>
      </c>
      <c r="AO63" s="1124">
        <f t="shared" si="67"/>
        <v>0</v>
      </c>
      <c r="AP63" s="1124">
        <f t="shared" si="67"/>
        <v>0</v>
      </c>
      <c r="AQ63" s="1124">
        <f t="shared" si="67"/>
        <v>0</v>
      </c>
      <c r="AR63" s="1124">
        <f t="shared" si="67"/>
        <v>0</v>
      </c>
      <c r="AS63" s="1124">
        <f t="shared" si="67"/>
        <v>0</v>
      </c>
      <c r="AT63" s="42"/>
      <c r="AU63" s="78">
        <f>+Base!E63</f>
        <v>0</v>
      </c>
      <c r="AV63" s="81">
        <f t="shared" si="66"/>
        <v>0</v>
      </c>
      <c r="AW63" s="29"/>
      <c r="AX63" s="49"/>
      <c r="AY63" s="49"/>
      <c r="AZ63" s="42"/>
      <c r="BA63" s="49"/>
      <c r="BB63" s="49"/>
      <c r="BC63" s="39"/>
      <c r="BD63" s="39"/>
      <c r="BE63" s="39"/>
      <c r="BF63" s="49"/>
      <c r="BG63" s="49"/>
      <c r="BH63" s="49"/>
      <c r="BI63" s="49"/>
      <c r="BJ63" s="39"/>
      <c r="BK63" s="49"/>
      <c r="BL63" s="39"/>
      <c r="BM63" s="39"/>
      <c r="BN63" s="49"/>
      <c r="BO63" s="49"/>
      <c r="BP63" s="49"/>
      <c r="BQ63" s="49"/>
      <c r="BR63" s="49"/>
      <c r="BS63" s="49"/>
      <c r="BT63" s="49"/>
      <c r="BU63" s="49"/>
      <c r="BV63" s="49"/>
      <c r="BW63" s="49"/>
      <c r="BX63" s="49"/>
      <c r="BY63" s="49"/>
      <c r="BZ63" s="49"/>
      <c r="CA63" s="44"/>
      <c r="CB63" s="49"/>
      <c r="CC63" s="49"/>
      <c r="CD63" s="49"/>
      <c r="CE63" s="49"/>
      <c r="CF63" s="49"/>
      <c r="CG63" s="49"/>
      <c r="CH63" s="49"/>
      <c r="CI63" s="49"/>
      <c r="CJ63" s="49"/>
      <c r="CK63" s="49"/>
      <c r="CL63" s="49"/>
      <c r="CM63" s="49"/>
      <c r="CN63" s="49"/>
    </row>
    <row r="64" spans="1:92" ht="15.6" hidden="1">
      <c r="A64" s="1427" t="s">
        <v>1578</v>
      </c>
      <c r="B64" s="436" t="s">
        <v>762</v>
      </c>
      <c r="C64" s="437"/>
      <c r="D64" s="37"/>
      <c r="E64" s="34">
        <f>SUM(F64:AS64)</f>
        <v>0</v>
      </c>
      <c r="F64" s="1304">
        <f>IF(SPIA_From="r",IF(OR(SPIA_Amt=0,SPIA_Age=0),0,ROUND(IF(SPIA_Start&lt;=F$4,SPIA_Income,0)/Round_To,0)*Round_To),0)</f>
        <v>0</v>
      </c>
      <c r="G64" s="1125">
        <f t="shared" ref="G64:AS64" si="68">IF(SPIA_From="r",IF(OR(SPIA_Amt=0,SPIA_Age=0),0,ROUND(IF(OR(AND(SPIA_End&lt;G$4,SPIA_End&lt;&gt;""),OR(SPIA_Income=0,SPIA_Start&gt;G$4,Your_Age_End&lt;G$4)),0,IF(SPIA_Start=G$4,SPIA_Income,IF(F64&gt;0,(+F64*(1+SPIA_Esc)))))/Round_To,0)*Round_To),0)</f>
        <v>0</v>
      </c>
      <c r="H64" s="1125">
        <f t="shared" si="68"/>
        <v>0</v>
      </c>
      <c r="I64" s="1125">
        <f t="shared" si="68"/>
        <v>0</v>
      </c>
      <c r="J64" s="1125">
        <f t="shared" si="68"/>
        <v>0</v>
      </c>
      <c r="K64" s="1125">
        <f t="shared" si="68"/>
        <v>0</v>
      </c>
      <c r="L64" s="1125">
        <f t="shared" si="68"/>
        <v>0</v>
      </c>
      <c r="M64" s="1125">
        <f t="shared" si="68"/>
        <v>0</v>
      </c>
      <c r="N64" s="1125">
        <f t="shared" si="68"/>
        <v>0</v>
      </c>
      <c r="O64" s="1125">
        <f t="shared" si="68"/>
        <v>0</v>
      </c>
      <c r="P64" s="1125">
        <f t="shared" si="68"/>
        <v>0</v>
      </c>
      <c r="Q64" s="1125">
        <f t="shared" si="68"/>
        <v>0</v>
      </c>
      <c r="R64" s="1125">
        <f t="shared" si="68"/>
        <v>0</v>
      </c>
      <c r="S64" s="1125">
        <f t="shared" si="68"/>
        <v>0</v>
      </c>
      <c r="T64" s="1125">
        <f t="shared" si="68"/>
        <v>0</v>
      </c>
      <c r="U64" s="1125">
        <f t="shared" si="68"/>
        <v>0</v>
      </c>
      <c r="V64" s="1125">
        <f t="shared" si="68"/>
        <v>0</v>
      </c>
      <c r="W64" s="1125">
        <f t="shared" si="68"/>
        <v>0</v>
      </c>
      <c r="X64" s="1125">
        <f t="shared" si="68"/>
        <v>0</v>
      </c>
      <c r="Y64" s="1125">
        <f t="shared" si="68"/>
        <v>0</v>
      </c>
      <c r="Z64" s="1125">
        <f t="shared" si="68"/>
        <v>0</v>
      </c>
      <c r="AA64" s="1125">
        <f t="shared" si="68"/>
        <v>0</v>
      </c>
      <c r="AB64" s="1125">
        <f t="shared" si="68"/>
        <v>0</v>
      </c>
      <c r="AC64" s="1125">
        <f t="shared" si="68"/>
        <v>0</v>
      </c>
      <c r="AD64" s="1125">
        <f t="shared" si="68"/>
        <v>0</v>
      </c>
      <c r="AE64" s="1125">
        <f t="shared" si="68"/>
        <v>0</v>
      </c>
      <c r="AF64" s="1125">
        <f t="shared" si="68"/>
        <v>0</v>
      </c>
      <c r="AG64" s="1125">
        <f t="shared" si="68"/>
        <v>0</v>
      </c>
      <c r="AH64" s="1125">
        <f t="shared" si="68"/>
        <v>0</v>
      </c>
      <c r="AI64" s="1125">
        <f t="shared" si="68"/>
        <v>0</v>
      </c>
      <c r="AJ64" s="1125">
        <f t="shared" si="68"/>
        <v>0</v>
      </c>
      <c r="AK64" s="1125">
        <f t="shared" si="68"/>
        <v>0</v>
      </c>
      <c r="AL64" s="1125">
        <f t="shared" si="68"/>
        <v>0</v>
      </c>
      <c r="AM64" s="1125">
        <f t="shared" si="68"/>
        <v>0</v>
      </c>
      <c r="AN64" s="1125">
        <f t="shared" si="68"/>
        <v>0</v>
      </c>
      <c r="AO64" s="1125">
        <f t="shared" si="68"/>
        <v>0</v>
      </c>
      <c r="AP64" s="1125">
        <f t="shared" si="68"/>
        <v>0</v>
      </c>
      <c r="AQ64" s="1125">
        <f t="shared" si="68"/>
        <v>0</v>
      </c>
      <c r="AR64" s="1125">
        <f t="shared" si="68"/>
        <v>0</v>
      </c>
      <c r="AS64" s="1125">
        <f t="shared" si="68"/>
        <v>0</v>
      </c>
      <c r="AT64" s="42"/>
      <c r="AU64" s="82">
        <f>+Base!E64</f>
        <v>0</v>
      </c>
      <c r="AV64" s="83">
        <f t="shared" si="66"/>
        <v>0</v>
      </c>
      <c r="AW64" s="102"/>
      <c r="AX64" s="49"/>
      <c r="AY64" s="49"/>
      <c r="AZ64" s="42"/>
      <c r="BA64" s="49"/>
      <c r="BB64" s="49"/>
      <c r="BC64" s="39"/>
      <c r="BD64" s="39"/>
      <c r="BE64" s="39"/>
      <c r="BF64" s="49"/>
      <c r="BG64" s="49"/>
      <c r="BH64" s="49"/>
      <c r="BI64" s="49"/>
      <c r="BJ64" s="39"/>
      <c r="BK64" s="49"/>
      <c r="BL64" s="39"/>
      <c r="BM64" s="39"/>
      <c r="BN64" s="49"/>
      <c r="BO64" s="49"/>
      <c r="BP64" s="49"/>
      <c r="BQ64" s="49"/>
      <c r="BR64" s="49"/>
      <c r="BS64" s="49"/>
      <c r="BT64" s="49"/>
      <c r="BU64" s="49"/>
      <c r="BV64" s="49"/>
      <c r="BW64" s="49"/>
      <c r="BX64" s="49"/>
      <c r="BY64" s="49"/>
      <c r="BZ64" s="49"/>
      <c r="CA64" s="44"/>
      <c r="CB64" s="49"/>
      <c r="CC64" s="49"/>
      <c r="CD64" s="49"/>
      <c r="CE64" s="49"/>
      <c r="CF64" s="49"/>
      <c r="CG64" s="49"/>
      <c r="CH64" s="49"/>
      <c r="CI64" s="49"/>
      <c r="CJ64" s="49"/>
      <c r="CK64" s="49"/>
      <c r="CL64" s="49"/>
      <c r="CM64" s="49"/>
      <c r="CN64" s="49"/>
    </row>
    <row r="65" spans="1:92" ht="18" customHeight="1">
      <c r="A65" s="1425"/>
      <c r="B65" s="720" t="s">
        <v>603</v>
      </c>
      <c r="C65" s="437"/>
      <c r="D65" s="969" t="str">
        <f>"using " &amp; IF(SPIA_From="t","Taxable",IF(SPIA_From="I","Traditional IRA","Roth IRA")) &amp; " account"</f>
        <v>using Taxable account</v>
      </c>
      <c r="E65" s="29">
        <f>SUM(F65:AS65)</f>
        <v>144000</v>
      </c>
      <c r="F65" s="29">
        <f>+F62+F63+F64</f>
        <v>0</v>
      </c>
      <c r="G65" s="1124">
        <f t="shared" ref="G65:AS65" si="69">+G62+G63+G64</f>
        <v>0</v>
      </c>
      <c r="H65" s="1124">
        <f t="shared" si="69"/>
        <v>0</v>
      </c>
      <c r="I65" s="1124">
        <f t="shared" si="69"/>
        <v>0</v>
      </c>
      <c r="J65" s="1124">
        <f t="shared" si="69"/>
        <v>0</v>
      </c>
      <c r="K65" s="1124">
        <f t="shared" si="69"/>
        <v>0</v>
      </c>
      <c r="L65" s="1124">
        <f t="shared" si="69"/>
        <v>0</v>
      </c>
      <c r="M65" s="1124">
        <f t="shared" si="69"/>
        <v>0</v>
      </c>
      <c r="N65" s="1124">
        <f t="shared" si="69"/>
        <v>0</v>
      </c>
      <c r="O65" s="1124">
        <f t="shared" si="69"/>
        <v>0</v>
      </c>
      <c r="P65" s="1124">
        <f t="shared" si="69"/>
        <v>0</v>
      </c>
      <c r="Q65" s="1124">
        <f t="shared" si="69"/>
        <v>0</v>
      </c>
      <c r="R65" s="1124">
        <f t="shared" si="69"/>
        <v>0</v>
      </c>
      <c r="S65" s="1124">
        <f t="shared" si="69"/>
        <v>0</v>
      </c>
      <c r="T65" s="1124">
        <f t="shared" si="69"/>
        <v>9000</v>
      </c>
      <c r="U65" s="1124">
        <f t="shared" si="69"/>
        <v>9000</v>
      </c>
      <c r="V65" s="1124">
        <f t="shared" si="69"/>
        <v>9000</v>
      </c>
      <c r="W65" s="1124">
        <f t="shared" si="69"/>
        <v>9000</v>
      </c>
      <c r="X65" s="1124">
        <f t="shared" si="69"/>
        <v>9000</v>
      </c>
      <c r="Y65" s="1124">
        <f t="shared" si="69"/>
        <v>9000</v>
      </c>
      <c r="Z65" s="1124">
        <f t="shared" si="69"/>
        <v>9000</v>
      </c>
      <c r="AA65" s="1124">
        <f t="shared" si="69"/>
        <v>9000</v>
      </c>
      <c r="AB65" s="1124">
        <f t="shared" si="69"/>
        <v>9000</v>
      </c>
      <c r="AC65" s="1124">
        <f t="shared" si="69"/>
        <v>9000</v>
      </c>
      <c r="AD65" s="1124">
        <f t="shared" si="69"/>
        <v>9000</v>
      </c>
      <c r="AE65" s="1124">
        <f t="shared" si="69"/>
        <v>9000</v>
      </c>
      <c r="AF65" s="1124">
        <f t="shared" si="69"/>
        <v>9000</v>
      </c>
      <c r="AG65" s="1124">
        <f t="shared" si="69"/>
        <v>9000</v>
      </c>
      <c r="AH65" s="1124">
        <f t="shared" si="69"/>
        <v>9000</v>
      </c>
      <c r="AI65" s="1124">
        <f t="shared" si="69"/>
        <v>9000</v>
      </c>
      <c r="AJ65" s="1124">
        <f t="shared" si="69"/>
        <v>0</v>
      </c>
      <c r="AK65" s="1124">
        <f t="shared" si="69"/>
        <v>0</v>
      </c>
      <c r="AL65" s="1124">
        <f t="shared" si="69"/>
        <v>0</v>
      </c>
      <c r="AM65" s="1124">
        <f t="shared" si="69"/>
        <v>0</v>
      </c>
      <c r="AN65" s="1124">
        <f t="shared" si="69"/>
        <v>0</v>
      </c>
      <c r="AO65" s="1124">
        <f t="shared" si="69"/>
        <v>0</v>
      </c>
      <c r="AP65" s="1124">
        <f t="shared" si="69"/>
        <v>0</v>
      </c>
      <c r="AQ65" s="1124">
        <f t="shared" si="69"/>
        <v>0</v>
      </c>
      <c r="AR65" s="1124">
        <f t="shared" si="69"/>
        <v>0</v>
      </c>
      <c r="AS65" s="1124">
        <f t="shared" si="69"/>
        <v>0</v>
      </c>
      <c r="AT65" s="42"/>
      <c r="AU65" s="78">
        <f>+Base!E65</f>
        <v>144000</v>
      </c>
      <c r="AV65" s="81">
        <f t="shared" si="66"/>
        <v>0</v>
      </c>
      <c r="AW65" s="29"/>
      <c r="AX65" s="49"/>
      <c r="AY65" s="49"/>
      <c r="AZ65" s="42"/>
      <c r="BA65" s="49"/>
      <c r="BB65" s="49"/>
      <c r="BC65" s="39"/>
      <c r="BD65" s="39"/>
      <c r="BE65" s="39"/>
      <c r="BF65" s="49"/>
      <c r="BG65" s="49"/>
      <c r="BH65" s="49"/>
      <c r="BI65" s="49"/>
      <c r="BJ65" s="39"/>
      <c r="BK65" s="49"/>
      <c r="BL65" s="39"/>
      <c r="BM65" s="39"/>
      <c r="BN65" s="49"/>
      <c r="BO65" s="49"/>
      <c r="BP65" s="49"/>
      <c r="BQ65" s="49"/>
      <c r="BR65" s="49"/>
      <c r="BS65" s="49"/>
      <c r="BT65" s="49"/>
      <c r="BU65" s="49"/>
      <c r="BV65" s="49"/>
      <c r="BW65" s="49"/>
      <c r="BX65" s="49"/>
      <c r="BY65" s="49"/>
      <c r="BZ65" s="49"/>
      <c r="CA65" s="44"/>
      <c r="CB65" s="49"/>
      <c r="CC65" s="49"/>
      <c r="CD65" s="49"/>
      <c r="CE65" s="49"/>
      <c r="CF65" s="49"/>
      <c r="CG65" s="49"/>
      <c r="CH65" s="49"/>
      <c r="CI65" s="49"/>
      <c r="CJ65" s="49"/>
      <c r="CK65" s="49"/>
      <c r="CL65" s="49"/>
      <c r="CM65" s="49"/>
      <c r="CN65" s="49"/>
    </row>
    <row r="66" spans="1:92" ht="19.95" hidden="1" customHeight="1">
      <c r="A66" s="1427" t="s">
        <v>1578</v>
      </c>
      <c r="B66" s="275" t="s">
        <v>964</v>
      </c>
      <c r="C66" s="437"/>
      <c r="D66" s="1370">
        <f>Esc_OInc_Long</f>
        <v>0.03</v>
      </c>
      <c r="E66" s="29">
        <f t="shared" si="32"/>
        <v>381200</v>
      </c>
      <c r="F66" s="16">
        <f>ROUND(IF(Start_OInc_Long&lt;=F$4,Income_OInc_Long,0)/Round_To,0)*Round_To</f>
        <v>8000</v>
      </c>
      <c r="G66" s="1124">
        <f t="shared" ref="G66:AS66" si="70">ROUND(IF(OR(AND(End_OInc_Long&lt;G$4,End_OInc_Long&lt;&gt;""),OR(Income_OInc_Long=0,Start_OInc_Long&gt;G$4,Your_Age_End&lt;G$4)),0,IF(Start_OInc_Long=G$4,Income_OInc_Long,IF(F66&gt;0,(+F66*(1+Esc_OInc_Long)))))/Round_To,0)*Round_To</f>
        <v>8200</v>
      </c>
      <c r="H66" s="1124">
        <f t="shared" si="70"/>
        <v>8400</v>
      </c>
      <c r="I66" s="1124">
        <f t="shared" si="70"/>
        <v>8700</v>
      </c>
      <c r="J66" s="1124">
        <f t="shared" si="70"/>
        <v>9000</v>
      </c>
      <c r="K66" s="1124">
        <f t="shared" si="70"/>
        <v>9300</v>
      </c>
      <c r="L66" s="1124">
        <f t="shared" si="70"/>
        <v>9600</v>
      </c>
      <c r="M66" s="1124">
        <f t="shared" si="70"/>
        <v>9900</v>
      </c>
      <c r="N66" s="1124">
        <f t="shared" si="70"/>
        <v>10200</v>
      </c>
      <c r="O66" s="1124">
        <f t="shared" si="70"/>
        <v>10500</v>
      </c>
      <c r="P66" s="1124">
        <f t="shared" si="70"/>
        <v>10800</v>
      </c>
      <c r="Q66" s="1124">
        <f t="shared" si="70"/>
        <v>11100</v>
      </c>
      <c r="R66" s="1124">
        <f t="shared" si="70"/>
        <v>11400</v>
      </c>
      <c r="S66" s="1124">
        <f t="shared" si="70"/>
        <v>11700</v>
      </c>
      <c r="T66" s="1124">
        <f t="shared" si="70"/>
        <v>12100</v>
      </c>
      <c r="U66" s="1124">
        <f t="shared" si="70"/>
        <v>12500</v>
      </c>
      <c r="V66" s="1124">
        <f t="shared" si="70"/>
        <v>12900</v>
      </c>
      <c r="W66" s="1124">
        <f t="shared" si="70"/>
        <v>13300</v>
      </c>
      <c r="X66" s="1124">
        <f t="shared" si="70"/>
        <v>13700</v>
      </c>
      <c r="Y66" s="1124">
        <f t="shared" si="70"/>
        <v>14100</v>
      </c>
      <c r="Z66" s="1124">
        <f t="shared" si="70"/>
        <v>14500</v>
      </c>
      <c r="AA66" s="1124">
        <f t="shared" si="70"/>
        <v>14900</v>
      </c>
      <c r="AB66" s="1124">
        <f t="shared" si="70"/>
        <v>15300</v>
      </c>
      <c r="AC66" s="1124">
        <f t="shared" si="70"/>
        <v>15800</v>
      </c>
      <c r="AD66" s="1124">
        <f t="shared" si="70"/>
        <v>16300</v>
      </c>
      <c r="AE66" s="1124">
        <f t="shared" si="70"/>
        <v>16800</v>
      </c>
      <c r="AF66" s="1124">
        <f t="shared" si="70"/>
        <v>17300</v>
      </c>
      <c r="AG66" s="1124">
        <f t="shared" si="70"/>
        <v>17800</v>
      </c>
      <c r="AH66" s="1124">
        <f t="shared" si="70"/>
        <v>18300</v>
      </c>
      <c r="AI66" s="1124">
        <f t="shared" si="70"/>
        <v>18800</v>
      </c>
      <c r="AJ66" s="1124">
        <f t="shared" si="70"/>
        <v>0</v>
      </c>
      <c r="AK66" s="1124">
        <f t="shared" si="70"/>
        <v>0</v>
      </c>
      <c r="AL66" s="1124">
        <f t="shared" si="70"/>
        <v>0</v>
      </c>
      <c r="AM66" s="1124">
        <f t="shared" si="70"/>
        <v>0</v>
      </c>
      <c r="AN66" s="1124">
        <f t="shared" si="70"/>
        <v>0</v>
      </c>
      <c r="AO66" s="1124">
        <f t="shared" si="70"/>
        <v>0</v>
      </c>
      <c r="AP66" s="1124">
        <f t="shared" si="70"/>
        <v>0</v>
      </c>
      <c r="AQ66" s="1124">
        <f t="shared" si="70"/>
        <v>0</v>
      </c>
      <c r="AR66" s="1124">
        <f t="shared" si="70"/>
        <v>0</v>
      </c>
      <c r="AS66" s="1124">
        <f t="shared" si="70"/>
        <v>0</v>
      </c>
      <c r="AT66" s="42"/>
      <c r="AU66" s="78">
        <f>+Base!E66</f>
        <v>381200</v>
      </c>
      <c r="AV66" s="81">
        <f t="shared" si="66"/>
        <v>0</v>
      </c>
      <c r="AW66" s="29"/>
      <c r="AX66" s="49"/>
      <c r="AY66" s="49"/>
      <c r="AZ66" s="42"/>
      <c r="BA66" s="49"/>
      <c r="BB66" s="49"/>
      <c r="BC66" s="39"/>
      <c r="BD66" s="39"/>
      <c r="BE66" s="39"/>
      <c r="BF66" s="49"/>
      <c r="BG66" s="49"/>
      <c r="BH66" s="49"/>
      <c r="BI66" s="49"/>
      <c r="BJ66" s="39"/>
      <c r="BK66" s="49"/>
      <c r="BL66" s="39"/>
      <c r="BM66" s="39"/>
      <c r="BN66" s="49"/>
      <c r="BO66" s="49"/>
      <c r="BP66" s="49"/>
      <c r="BQ66" s="49"/>
      <c r="BR66" s="49"/>
      <c r="BS66" s="49"/>
      <c r="BT66" s="49"/>
      <c r="BU66" s="49"/>
      <c r="BV66" s="49"/>
      <c r="BW66" s="49"/>
      <c r="BX66" s="49"/>
      <c r="BY66" s="49"/>
      <c r="BZ66" s="49"/>
      <c r="CA66" s="44"/>
      <c r="CB66" s="49"/>
      <c r="CC66" s="49"/>
      <c r="CD66" s="49"/>
      <c r="CE66" s="49"/>
      <c r="CF66" s="49"/>
      <c r="CG66" s="49"/>
      <c r="CH66" s="49"/>
      <c r="CI66" s="49"/>
      <c r="CJ66" s="49"/>
      <c r="CK66" s="49"/>
      <c r="CL66" s="49"/>
      <c r="CM66" s="49"/>
      <c r="CN66" s="49"/>
    </row>
    <row r="67" spans="1:92" ht="15.75" hidden="1" customHeight="1">
      <c r="A67" s="1427" t="s">
        <v>1578</v>
      </c>
      <c r="B67" s="275" t="s">
        <v>965</v>
      </c>
      <c r="C67" s="437"/>
      <c r="D67" s="1370">
        <f>Esc_OInc_Long2</f>
        <v>0</v>
      </c>
      <c r="E67" s="29">
        <f t="shared" si="32"/>
        <v>48000</v>
      </c>
      <c r="F67" s="16">
        <f>ROUND(IF(Start_OInc_Long2&lt;=F$4,Income_OInc_Long2,0)/Round_To,0)*Round_To</f>
        <v>2000</v>
      </c>
      <c r="G67" s="1124">
        <f t="shared" ref="G67:AS67" si="71">ROUND(IF(OR(AND(End_OInc_Long2&lt;G$4,End_OInc_Long2&lt;&gt;""),OR(Income_OInc_Long2=0,Start_OInc_Long2&gt;G$4,Your_Age_End&lt;G$4)),0,IF(Start_OInc_Long2=G$4,Income_OInc_Long2,IF(F67&gt;0,(+F67*(1+Esc_OInc_Long2)))))/Round_To,0)*Round_To</f>
        <v>2000</v>
      </c>
      <c r="H67" s="1124">
        <f t="shared" si="71"/>
        <v>2000</v>
      </c>
      <c r="I67" s="1124">
        <f t="shared" si="71"/>
        <v>2000</v>
      </c>
      <c r="J67" s="1124">
        <f t="shared" si="71"/>
        <v>2000</v>
      </c>
      <c r="K67" s="1124">
        <f t="shared" si="71"/>
        <v>2000</v>
      </c>
      <c r="L67" s="1124">
        <f t="shared" si="71"/>
        <v>2000</v>
      </c>
      <c r="M67" s="1124">
        <f t="shared" si="71"/>
        <v>2000</v>
      </c>
      <c r="N67" s="1124">
        <f t="shared" si="71"/>
        <v>2000</v>
      </c>
      <c r="O67" s="1124">
        <f t="shared" si="71"/>
        <v>2000</v>
      </c>
      <c r="P67" s="1124">
        <f t="shared" si="71"/>
        <v>2000</v>
      </c>
      <c r="Q67" s="1124">
        <f t="shared" si="71"/>
        <v>2000</v>
      </c>
      <c r="R67" s="1124">
        <f t="shared" si="71"/>
        <v>2000</v>
      </c>
      <c r="S67" s="1124">
        <f t="shared" si="71"/>
        <v>2000</v>
      </c>
      <c r="T67" s="1124">
        <f t="shared" si="71"/>
        <v>2000</v>
      </c>
      <c r="U67" s="1124">
        <f t="shared" si="71"/>
        <v>2000</v>
      </c>
      <c r="V67" s="1124">
        <f t="shared" si="71"/>
        <v>2000</v>
      </c>
      <c r="W67" s="1124">
        <f t="shared" si="71"/>
        <v>2000</v>
      </c>
      <c r="X67" s="1124">
        <f t="shared" si="71"/>
        <v>2000</v>
      </c>
      <c r="Y67" s="1124">
        <f t="shared" si="71"/>
        <v>2000</v>
      </c>
      <c r="Z67" s="1124">
        <f t="shared" si="71"/>
        <v>2000</v>
      </c>
      <c r="AA67" s="1124">
        <f t="shared" si="71"/>
        <v>2000</v>
      </c>
      <c r="AB67" s="1124">
        <f t="shared" si="71"/>
        <v>2000</v>
      </c>
      <c r="AC67" s="1124">
        <f t="shared" si="71"/>
        <v>2000</v>
      </c>
      <c r="AD67" s="1124">
        <f t="shared" si="71"/>
        <v>0</v>
      </c>
      <c r="AE67" s="1124">
        <f t="shared" si="71"/>
        <v>0</v>
      </c>
      <c r="AF67" s="1124">
        <f t="shared" si="71"/>
        <v>0</v>
      </c>
      <c r="AG67" s="1124">
        <f t="shared" si="71"/>
        <v>0</v>
      </c>
      <c r="AH67" s="1124">
        <f t="shared" si="71"/>
        <v>0</v>
      </c>
      <c r="AI67" s="1124">
        <f t="shared" si="71"/>
        <v>0</v>
      </c>
      <c r="AJ67" s="1124">
        <f t="shared" si="71"/>
        <v>0</v>
      </c>
      <c r="AK67" s="1124">
        <f t="shared" si="71"/>
        <v>0</v>
      </c>
      <c r="AL67" s="1124">
        <f t="shared" si="71"/>
        <v>0</v>
      </c>
      <c r="AM67" s="1124">
        <f t="shared" si="71"/>
        <v>0</v>
      </c>
      <c r="AN67" s="1124">
        <f t="shared" si="71"/>
        <v>0</v>
      </c>
      <c r="AO67" s="1124">
        <f t="shared" si="71"/>
        <v>0</v>
      </c>
      <c r="AP67" s="1124">
        <f t="shared" si="71"/>
        <v>0</v>
      </c>
      <c r="AQ67" s="1124">
        <f t="shared" si="71"/>
        <v>0</v>
      </c>
      <c r="AR67" s="1124">
        <f t="shared" si="71"/>
        <v>0</v>
      </c>
      <c r="AS67" s="1124">
        <f t="shared" si="71"/>
        <v>0</v>
      </c>
      <c r="AT67" s="42"/>
      <c r="AU67" s="78">
        <f>+Base!E67</f>
        <v>48000</v>
      </c>
      <c r="AV67" s="81">
        <f>+E67-AU67</f>
        <v>0</v>
      </c>
      <c r="AW67" s="29"/>
      <c r="AX67" s="49"/>
      <c r="AY67" s="49"/>
      <c r="AZ67" s="42"/>
      <c r="BA67" s="49"/>
      <c r="BB67" s="49"/>
      <c r="BC67" s="39"/>
      <c r="BD67" s="39"/>
      <c r="BE67" s="39"/>
      <c r="BF67" s="49"/>
      <c r="BG67" s="49"/>
      <c r="BH67" s="49"/>
      <c r="BI67" s="49"/>
      <c r="BJ67" s="39"/>
      <c r="BK67" s="49"/>
      <c r="BL67" s="39"/>
      <c r="BM67" s="39"/>
      <c r="BN67" s="49"/>
      <c r="BO67" s="49"/>
      <c r="BP67" s="49"/>
      <c r="BQ67" s="49"/>
      <c r="BR67" s="49"/>
      <c r="BS67" s="49"/>
      <c r="BT67" s="49"/>
      <c r="BU67" s="49"/>
      <c r="BV67" s="49"/>
      <c r="BW67" s="49"/>
      <c r="BX67" s="49"/>
      <c r="BY67" s="49"/>
      <c r="BZ67" s="49"/>
      <c r="CA67" s="44"/>
      <c r="CB67" s="49"/>
      <c r="CC67" s="49"/>
      <c r="CD67" s="49"/>
      <c r="CE67" s="49"/>
      <c r="CF67" s="49"/>
      <c r="CG67" s="49"/>
      <c r="CH67" s="49"/>
      <c r="CI67" s="49"/>
      <c r="CJ67" s="49"/>
      <c r="CK67" s="49"/>
      <c r="CL67" s="49"/>
      <c r="CM67" s="49"/>
      <c r="CN67" s="49"/>
    </row>
    <row r="68" spans="1:92" ht="15.6" hidden="1">
      <c r="A68" s="1427" t="s">
        <v>1578</v>
      </c>
      <c r="B68" s="275" t="s">
        <v>1723</v>
      </c>
      <c r="C68" s="437"/>
      <c r="D68" s="1370">
        <f>Esc_OInc_Temp</f>
        <v>0.04</v>
      </c>
      <c r="E68" s="29">
        <f t="shared" si="32"/>
        <v>105400</v>
      </c>
      <c r="F68" s="4">
        <f>ROUND(IF(Start_OInc_Temp&lt;=F$4,Income_OInc_Temp,0)/Round_To,0)*Round_To</f>
        <v>10000</v>
      </c>
      <c r="G68" s="1124">
        <f t="shared" ref="G68:AS68" si="72">ROUND(IF(OR(AND(End_OInc_Temp&lt;G$4,End_OInc_Temp&lt;&gt;""),OR(Income_OInc_Temp=0,Start_OInc_Temp&gt;G$4,Your_Age_End&lt;G$4)),0,IF(Start_OInc_Temp=G$4,Income_OInc_Temp,IF(F68&gt;0,(+F68*(1+Esc_OInc_Temp)))))/Round_To,0)*Round_To</f>
        <v>10400</v>
      </c>
      <c r="H68" s="1124">
        <f t="shared" si="72"/>
        <v>10800</v>
      </c>
      <c r="I68" s="1124">
        <f t="shared" si="72"/>
        <v>11200</v>
      </c>
      <c r="J68" s="1124">
        <f t="shared" si="72"/>
        <v>11600</v>
      </c>
      <c r="K68" s="1124">
        <f t="shared" si="72"/>
        <v>12100</v>
      </c>
      <c r="L68" s="1124">
        <f t="shared" si="72"/>
        <v>12600</v>
      </c>
      <c r="M68" s="1124">
        <f t="shared" si="72"/>
        <v>13100</v>
      </c>
      <c r="N68" s="1124">
        <f t="shared" si="72"/>
        <v>13600</v>
      </c>
      <c r="O68" s="1124">
        <f t="shared" si="72"/>
        <v>0</v>
      </c>
      <c r="P68" s="1124">
        <f t="shared" si="72"/>
        <v>0</v>
      </c>
      <c r="Q68" s="1124">
        <f t="shared" si="72"/>
        <v>0</v>
      </c>
      <c r="R68" s="1124">
        <f t="shared" si="72"/>
        <v>0</v>
      </c>
      <c r="S68" s="1124">
        <f t="shared" si="72"/>
        <v>0</v>
      </c>
      <c r="T68" s="1124">
        <f t="shared" si="72"/>
        <v>0</v>
      </c>
      <c r="U68" s="1124">
        <f t="shared" si="72"/>
        <v>0</v>
      </c>
      <c r="V68" s="1124">
        <f t="shared" si="72"/>
        <v>0</v>
      </c>
      <c r="W68" s="1124">
        <f t="shared" si="72"/>
        <v>0</v>
      </c>
      <c r="X68" s="1124">
        <f t="shared" si="72"/>
        <v>0</v>
      </c>
      <c r="Y68" s="1124">
        <f t="shared" si="72"/>
        <v>0</v>
      </c>
      <c r="Z68" s="1124">
        <f t="shared" si="72"/>
        <v>0</v>
      </c>
      <c r="AA68" s="1124">
        <f t="shared" si="72"/>
        <v>0</v>
      </c>
      <c r="AB68" s="1124">
        <f t="shared" si="72"/>
        <v>0</v>
      </c>
      <c r="AC68" s="1124">
        <f t="shared" si="72"/>
        <v>0</v>
      </c>
      <c r="AD68" s="1124">
        <f t="shared" si="72"/>
        <v>0</v>
      </c>
      <c r="AE68" s="1124">
        <f t="shared" si="72"/>
        <v>0</v>
      </c>
      <c r="AF68" s="1124">
        <f t="shared" si="72"/>
        <v>0</v>
      </c>
      <c r="AG68" s="1124">
        <f t="shared" si="72"/>
        <v>0</v>
      </c>
      <c r="AH68" s="1124">
        <f t="shared" si="72"/>
        <v>0</v>
      </c>
      <c r="AI68" s="1124">
        <f t="shared" si="72"/>
        <v>0</v>
      </c>
      <c r="AJ68" s="1124">
        <f t="shared" si="72"/>
        <v>0</v>
      </c>
      <c r="AK68" s="1124">
        <f t="shared" si="72"/>
        <v>0</v>
      </c>
      <c r="AL68" s="1124">
        <f t="shared" si="72"/>
        <v>0</v>
      </c>
      <c r="AM68" s="1124">
        <f t="shared" si="72"/>
        <v>0</v>
      </c>
      <c r="AN68" s="1124">
        <f t="shared" si="72"/>
        <v>0</v>
      </c>
      <c r="AO68" s="1124">
        <f t="shared" si="72"/>
        <v>0</v>
      </c>
      <c r="AP68" s="1124">
        <f t="shared" si="72"/>
        <v>0</v>
      </c>
      <c r="AQ68" s="1124">
        <f t="shared" si="72"/>
        <v>0</v>
      </c>
      <c r="AR68" s="1124">
        <f t="shared" si="72"/>
        <v>0</v>
      </c>
      <c r="AS68" s="1124">
        <f t="shared" si="72"/>
        <v>0</v>
      </c>
      <c r="AT68" s="111"/>
      <c r="AU68" s="15">
        <f>+Base!E68</f>
        <v>105400</v>
      </c>
      <c r="AV68" s="103">
        <f t="shared" si="66"/>
        <v>0</v>
      </c>
      <c r="AW68" s="102"/>
      <c r="AX68" s="49"/>
      <c r="AY68" s="49"/>
      <c r="AZ68" s="42"/>
      <c r="BA68" s="49"/>
      <c r="BB68" s="49"/>
      <c r="BC68" s="39"/>
      <c r="BD68" s="39"/>
      <c r="BE68" s="39"/>
      <c r="BF68" s="49"/>
      <c r="BG68" s="49"/>
      <c r="BH68" s="49"/>
      <c r="BI68" s="49"/>
      <c r="BJ68" s="39"/>
      <c r="BK68" s="49"/>
      <c r="BL68" s="39"/>
      <c r="BM68" s="39"/>
      <c r="BN68" s="49"/>
      <c r="BO68" s="49"/>
      <c r="BP68" s="49"/>
      <c r="BQ68" s="49"/>
      <c r="BR68" s="49"/>
      <c r="BS68" s="49"/>
      <c r="BT68" s="49"/>
      <c r="BU68" s="49"/>
      <c r="BV68" s="49"/>
      <c r="BW68" s="49"/>
      <c r="BX68" s="49"/>
      <c r="BY68" s="49"/>
      <c r="BZ68" s="49"/>
      <c r="CA68" s="44"/>
      <c r="CB68" s="49"/>
      <c r="CC68" s="49"/>
      <c r="CD68" s="49"/>
      <c r="CE68" s="49"/>
      <c r="CF68" s="49"/>
      <c r="CG68" s="49"/>
      <c r="CH68" s="49"/>
      <c r="CI68" s="49"/>
      <c r="CJ68" s="49"/>
      <c r="CK68" s="49"/>
      <c r="CL68" s="49"/>
      <c r="CM68" s="49"/>
      <c r="CN68" s="49"/>
    </row>
    <row r="69" spans="1:92" ht="15.6" hidden="1">
      <c r="A69" s="1427" t="s">
        <v>1578</v>
      </c>
      <c r="B69" s="275" t="s">
        <v>1724</v>
      </c>
      <c r="C69" s="437"/>
      <c r="D69" s="1370">
        <f>Esc_OInc_Temp2</f>
        <v>0</v>
      </c>
      <c r="E69" s="102">
        <f t="shared" si="32"/>
        <v>15000</v>
      </c>
      <c r="F69" s="4">
        <f>ROUND(IF(Start_OInc_Temp2&lt;=F$4,Income_OInc_Temp2,0)/Round_To,0)*Round_To</f>
        <v>0</v>
      </c>
      <c r="G69" s="1147">
        <f t="shared" ref="G69:AS69" si="73">ROUND(IF(OR(AND(End_OInc_Temp2&lt;G$4,End_OInc_Temp2&lt;&gt;""),OR(Income_OInc_Temp2=0,Start_OInc_Temp2&gt;G$4,Your_Age_End&lt;G$4)),0,IF(Start_OInc_Temp2=G$4,Income_OInc_Temp2,IF(F69&gt;0,(+F69*(1+Esc_OInc_Temp2)))))/Round_To,0)*Round_To</f>
        <v>15000</v>
      </c>
      <c r="H69" s="1147">
        <f t="shared" si="73"/>
        <v>0</v>
      </c>
      <c r="I69" s="1147">
        <f t="shared" si="73"/>
        <v>0</v>
      </c>
      <c r="J69" s="1147">
        <f t="shared" si="73"/>
        <v>0</v>
      </c>
      <c r="K69" s="1147">
        <f t="shared" si="73"/>
        <v>0</v>
      </c>
      <c r="L69" s="1147">
        <f t="shared" si="73"/>
        <v>0</v>
      </c>
      <c r="M69" s="1147">
        <f t="shared" si="73"/>
        <v>0</v>
      </c>
      <c r="N69" s="1147">
        <f t="shared" si="73"/>
        <v>0</v>
      </c>
      <c r="O69" s="1147">
        <f t="shared" si="73"/>
        <v>0</v>
      </c>
      <c r="P69" s="1147">
        <f t="shared" si="73"/>
        <v>0</v>
      </c>
      <c r="Q69" s="1147">
        <f t="shared" si="73"/>
        <v>0</v>
      </c>
      <c r="R69" s="1147">
        <f t="shared" si="73"/>
        <v>0</v>
      </c>
      <c r="S69" s="1147">
        <f t="shared" si="73"/>
        <v>0</v>
      </c>
      <c r="T69" s="1147">
        <f t="shared" si="73"/>
        <v>0</v>
      </c>
      <c r="U69" s="1147">
        <f t="shared" si="73"/>
        <v>0</v>
      </c>
      <c r="V69" s="1147">
        <f t="shared" si="73"/>
        <v>0</v>
      </c>
      <c r="W69" s="1147">
        <f t="shared" si="73"/>
        <v>0</v>
      </c>
      <c r="X69" s="1147">
        <f t="shared" si="73"/>
        <v>0</v>
      </c>
      <c r="Y69" s="1147">
        <f t="shared" si="73"/>
        <v>0</v>
      </c>
      <c r="Z69" s="1147">
        <f t="shared" si="73"/>
        <v>0</v>
      </c>
      <c r="AA69" s="1147">
        <f t="shared" si="73"/>
        <v>0</v>
      </c>
      <c r="AB69" s="1147">
        <f t="shared" si="73"/>
        <v>0</v>
      </c>
      <c r="AC69" s="1147">
        <f t="shared" si="73"/>
        <v>0</v>
      </c>
      <c r="AD69" s="1147">
        <f t="shared" si="73"/>
        <v>0</v>
      </c>
      <c r="AE69" s="1147">
        <f t="shared" si="73"/>
        <v>0</v>
      </c>
      <c r="AF69" s="1147">
        <f t="shared" si="73"/>
        <v>0</v>
      </c>
      <c r="AG69" s="1147">
        <f t="shared" si="73"/>
        <v>0</v>
      </c>
      <c r="AH69" s="1147">
        <f t="shared" si="73"/>
        <v>0</v>
      </c>
      <c r="AI69" s="1147">
        <f t="shared" si="73"/>
        <v>0</v>
      </c>
      <c r="AJ69" s="1147">
        <f t="shared" si="73"/>
        <v>0</v>
      </c>
      <c r="AK69" s="1147">
        <f t="shared" si="73"/>
        <v>0</v>
      </c>
      <c r="AL69" s="1147">
        <f t="shared" si="73"/>
        <v>0</v>
      </c>
      <c r="AM69" s="1147">
        <f t="shared" si="73"/>
        <v>0</v>
      </c>
      <c r="AN69" s="1147">
        <f t="shared" si="73"/>
        <v>0</v>
      </c>
      <c r="AO69" s="1147">
        <f t="shared" si="73"/>
        <v>0</v>
      </c>
      <c r="AP69" s="1147">
        <f t="shared" si="73"/>
        <v>0</v>
      </c>
      <c r="AQ69" s="1147">
        <f t="shared" si="73"/>
        <v>0</v>
      </c>
      <c r="AR69" s="1147">
        <f t="shared" si="73"/>
        <v>0</v>
      </c>
      <c r="AS69" s="1147">
        <f t="shared" si="73"/>
        <v>0</v>
      </c>
      <c r="AT69" s="111"/>
      <c r="AU69" s="15">
        <f>+Base!E69</f>
        <v>15000</v>
      </c>
      <c r="AV69" s="103">
        <f>+E69-AU69</f>
        <v>0</v>
      </c>
      <c r="AW69" s="102"/>
      <c r="AX69" s="49"/>
      <c r="AY69" s="49"/>
      <c r="AZ69" s="42"/>
      <c r="BA69" s="49"/>
      <c r="BB69" s="49"/>
      <c r="BC69" s="39"/>
      <c r="BD69" s="39"/>
      <c r="BE69" s="39"/>
      <c r="BF69" s="49"/>
      <c r="BG69" s="49"/>
      <c r="BH69" s="49"/>
      <c r="BI69" s="49"/>
      <c r="BJ69" s="39"/>
      <c r="BK69" s="49"/>
      <c r="BL69" s="39"/>
      <c r="BM69" s="39"/>
      <c r="BN69" s="49"/>
      <c r="BO69" s="49"/>
      <c r="BP69" s="49"/>
      <c r="BQ69" s="49"/>
      <c r="BR69" s="49"/>
      <c r="BS69" s="49"/>
      <c r="BT69" s="49"/>
      <c r="BU69" s="49"/>
      <c r="BV69" s="49"/>
      <c r="BW69" s="49"/>
      <c r="BX69" s="49"/>
      <c r="BY69" s="49"/>
      <c r="BZ69" s="49"/>
      <c r="CA69" s="44"/>
      <c r="CB69" s="49"/>
      <c r="CC69" s="49"/>
      <c r="CD69" s="49"/>
      <c r="CE69" s="49"/>
      <c r="CF69" s="49"/>
      <c r="CG69" s="49"/>
      <c r="CH69" s="49"/>
      <c r="CI69" s="49"/>
      <c r="CJ69" s="49"/>
      <c r="CK69" s="49"/>
      <c r="CL69" s="49"/>
      <c r="CM69" s="49"/>
      <c r="CN69" s="49"/>
    </row>
    <row r="70" spans="1:92" ht="15.75" customHeight="1">
      <c r="A70" s="1425"/>
      <c r="B70" s="426" t="s">
        <v>604</v>
      </c>
      <c r="C70" s="1001"/>
      <c r="D70" s="95"/>
      <c r="E70" s="34">
        <f t="shared" si="32"/>
        <v>549600</v>
      </c>
      <c r="F70" s="34">
        <f>+F66+F67+F68+F69</f>
        <v>20000</v>
      </c>
      <c r="G70" s="1125">
        <f t="shared" ref="G70:AR70" si="74">+G66+G67+G68+G69</f>
        <v>35600</v>
      </c>
      <c r="H70" s="1125">
        <f t="shared" si="74"/>
        <v>21200</v>
      </c>
      <c r="I70" s="1125">
        <f t="shared" si="74"/>
        <v>21900</v>
      </c>
      <c r="J70" s="1125">
        <f t="shared" si="74"/>
        <v>22600</v>
      </c>
      <c r="K70" s="1125">
        <f t="shared" si="74"/>
        <v>23400</v>
      </c>
      <c r="L70" s="1125">
        <f t="shared" si="74"/>
        <v>24200</v>
      </c>
      <c r="M70" s="1125">
        <f t="shared" si="74"/>
        <v>25000</v>
      </c>
      <c r="N70" s="1125">
        <f t="shared" si="74"/>
        <v>25800</v>
      </c>
      <c r="O70" s="1125">
        <f t="shared" si="74"/>
        <v>12500</v>
      </c>
      <c r="P70" s="1125">
        <f t="shared" si="74"/>
        <v>12800</v>
      </c>
      <c r="Q70" s="1125">
        <f t="shared" si="74"/>
        <v>13100</v>
      </c>
      <c r="R70" s="1125">
        <f t="shared" si="74"/>
        <v>13400</v>
      </c>
      <c r="S70" s="1125">
        <f t="shared" si="74"/>
        <v>13700</v>
      </c>
      <c r="T70" s="1125">
        <f t="shared" si="74"/>
        <v>14100</v>
      </c>
      <c r="U70" s="1125">
        <f t="shared" si="74"/>
        <v>14500</v>
      </c>
      <c r="V70" s="1125">
        <f t="shared" si="74"/>
        <v>14900</v>
      </c>
      <c r="W70" s="1125">
        <f t="shared" si="74"/>
        <v>15300</v>
      </c>
      <c r="X70" s="1125">
        <f t="shared" si="74"/>
        <v>15700</v>
      </c>
      <c r="Y70" s="1125">
        <f t="shared" si="74"/>
        <v>16100</v>
      </c>
      <c r="Z70" s="1125">
        <f t="shared" si="74"/>
        <v>16500</v>
      </c>
      <c r="AA70" s="1125">
        <f t="shared" si="74"/>
        <v>16900</v>
      </c>
      <c r="AB70" s="1125">
        <f t="shared" si="74"/>
        <v>17300</v>
      </c>
      <c r="AC70" s="1125">
        <f t="shared" si="74"/>
        <v>17800</v>
      </c>
      <c r="AD70" s="1125">
        <f t="shared" si="74"/>
        <v>16300</v>
      </c>
      <c r="AE70" s="1125">
        <f t="shared" si="74"/>
        <v>16800</v>
      </c>
      <c r="AF70" s="1125">
        <f t="shared" si="74"/>
        <v>17300</v>
      </c>
      <c r="AG70" s="1125">
        <f t="shared" si="74"/>
        <v>17800</v>
      </c>
      <c r="AH70" s="1125">
        <f t="shared" si="74"/>
        <v>18300</v>
      </c>
      <c r="AI70" s="1125">
        <f t="shared" si="74"/>
        <v>18800</v>
      </c>
      <c r="AJ70" s="1125">
        <f t="shared" si="74"/>
        <v>0</v>
      </c>
      <c r="AK70" s="1125">
        <f t="shared" si="74"/>
        <v>0</v>
      </c>
      <c r="AL70" s="1125">
        <f t="shared" si="74"/>
        <v>0</v>
      </c>
      <c r="AM70" s="1125">
        <f t="shared" si="74"/>
        <v>0</v>
      </c>
      <c r="AN70" s="1125">
        <f t="shared" si="74"/>
        <v>0</v>
      </c>
      <c r="AO70" s="1125">
        <f t="shared" si="74"/>
        <v>0</v>
      </c>
      <c r="AP70" s="1125">
        <f t="shared" si="74"/>
        <v>0</v>
      </c>
      <c r="AQ70" s="1125">
        <f t="shared" si="74"/>
        <v>0</v>
      </c>
      <c r="AR70" s="1125">
        <f t="shared" si="74"/>
        <v>0</v>
      </c>
      <c r="AS70" s="1125">
        <f>+AS66+AS67+AS68+AS69</f>
        <v>0</v>
      </c>
      <c r="AT70" s="42"/>
      <c r="AU70" s="82">
        <f>+Base!E70</f>
        <v>549600</v>
      </c>
      <c r="AV70" s="83">
        <f>+E70-AU70</f>
        <v>0</v>
      </c>
      <c r="AW70" s="102"/>
      <c r="AX70" s="49"/>
      <c r="AY70" s="49"/>
      <c r="AZ70" s="42"/>
      <c r="BA70" s="49"/>
      <c r="BB70" s="49"/>
      <c r="BC70" s="39"/>
      <c r="BD70" s="39"/>
      <c r="BE70" s="39"/>
      <c r="BF70" s="49"/>
      <c r="BG70" s="49"/>
      <c r="BH70" s="49"/>
      <c r="BI70" s="49"/>
      <c r="BJ70" s="39"/>
      <c r="BK70" s="49"/>
      <c r="BL70" s="39"/>
      <c r="BM70" s="39"/>
      <c r="BN70" s="49"/>
      <c r="BO70" s="49"/>
      <c r="BP70" s="49"/>
      <c r="BQ70" s="49"/>
      <c r="BR70" s="49"/>
      <c r="BS70" s="49"/>
      <c r="BT70" s="49"/>
      <c r="BU70" s="49"/>
      <c r="BV70" s="49"/>
      <c r="BW70" s="49"/>
      <c r="BX70" s="49"/>
      <c r="BY70" s="49"/>
      <c r="BZ70" s="49"/>
      <c r="CA70" s="44"/>
      <c r="CB70" s="49"/>
      <c r="CC70" s="49"/>
      <c r="CD70" s="49"/>
      <c r="CE70" s="49"/>
      <c r="CF70" s="49"/>
      <c r="CG70" s="49"/>
      <c r="CH70" s="49"/>
      <c r="CI70" s="49"/>
      <c r="CJ70" s="49"/>
      <c r="CK70" s="49"/>
      <c r="CL70" s="49"/>
      <c r="CM70" s="49"/>
      <c r="CN70" s="49"/>
    </row>
    <row r="71" spans="1:92" ht="15.6">
      <c r="A71" s="1425"/>
      <c r="B71" s="28" t="s">
        <v>1729</v>
      </c>
      <c r="C71" s="437"/>
      <c r="D71" s="10"/>
      <c r="E71" s="29">
        <f t="shared" si="32"/>
        <v>4775000</v>
      </c>
      <c r="F71" s="31">
        <f t="shared" ref="F71:AS71" si="75">+F28+F31+F63+F34+F37+F38+F61+F65+F70</f>
        <v>78900</v>
      </c>
      <c r="G71" s="1124">
        <f t="shared" si="75"/>
        <v>95100</v>
      </c>
      <c r="H71" s="1124">
        <f t="shared" si="75"/>
        <v>81200</v>
      </c>
      <c r="I71" s="1124">
        <f t="shared" si="75"/>
        <v>82200</v>
      </c>
      <c r="J71" s="1124">
        <f t="shared" si="75"/>
        <v>83100</v>
      </c>
      <c r="K71" s="1124">
        <f t="shared" si="75"/>
        <v>106600</v>
      </c>
      <c r="L71" s="1124">
        <f t="shared" si="75"/>
        <v>108900</v>
      </c>
      <c r="M71" s="1124">
        <f t="shared" si="75"/>
        <v>111400</v>
      </c>
      <c r="N71" s="1124">
        <f t="shared" si="75"/>
        <v>161600</v>
      </c>
      <c r="O71" s="1124">
        <f t="shared" si="75"/>
        <v>152900</v>
      </c>
      <c r="P71" s="1124">
        <f t="shared" si="75"/>
        <v>155300</v>
      </c>
      <c r="Q71" s="1124">
        <f t="shared" si="75"/>
        <v>158800</v>
      </c>
      <c r="R71" s="1124">
        <f t="shared" si="75"/>
        <v>167400</v>
      </c>
      <c r="S71" s="1124">
        <f t="shared" si="75"/>
        <v>171700</v>
      </c>
      <c r="T71" s="1124">
        <f t="shared" si="75"/>
        <v>183800</v>
      </c>
      <c r="U71" s="1124">
        <f t="shared" si="75"/>
        <v>189100</v>
      </c>
      <c r="V71" s="1124">
        <f t="shared" si="75"/>
        <v>180300</v>
      </c>
      <c r="W71" s="1124">
        <f t="shared" si="75"/>
        <v>185500</v>
      </c>
      <c r="X71" s="1124">
        <f t="shared" si="75"/>
        <v>176500</v>
      </c>
      <c r="Y71" s="1124">
        <f t="shared" si="75"/>
        <v>179800</v>
      </c>
      <c r="Z71" s="1124">
        <f t="shared" si="75"/>
        <v>183400</v>
      </c>
      <c r="AA71" s="1124">
        <f t="shared" si="75"/>
        <v>186800</v>
      </c>
      <c r="AB71" s="1124">
        <f t="shared" si="75"/>
        <v>198400</v>
      </c>
      <c r="AC71" s="1124">
        <f t="shared" si="75"/>
        <v>210500</v>
      </c>
      <c r="AD71" s="1124">
        <f t="shared" si="75"/>
        <v>189400</v>
      </c>
      <c r="AE71" s="1124">
        <f t="shared" si="75"/>
        <v>194200</v>
      </c>
      <c r="AF71" s="1124">
        <f t="shared" si="75"/>
        <v>196400</v>
      </c>
      <c r="AG71" s="1124">
        <f t="shared" si="75"/>
        <v>199100</v>
      </c>
      <c r="AH71" s="1124">
        <f t="shared" si="75"/>
        <v>202000</v>
      </c>
      <c r="AI71" s="1124">
        <f t="shared" si="75"/>
        <v>204700</v>
      </c>
      <c r="AJ71" s="1124">
        <f t="shared" si="75"/>
        <v>0</v>
      </c>
      <c r="AK71" s="1124">
        <f t="shared" si="75"/>
        <v>0</v>
      </c>
      <c r="AL71" s="1124">
        <f t="shared" si="75"/>
        <v>0</v>
      </c>
      <c r="AM71" s="1124">
        <f t="shared" si="75"/>
        <v>0</v>
      </c>
      <c r="AN71" s="1124">
        <f t="shared" si="75"/>
        <v>0</v>
      </c>
      <c r="AO71" s="1124">
        <f t="shared" si="75"/>
        <v>0</v>
      </c>
      <c r="AP71" s="1124">
        <f t="shared" si="75"/>
        <v>0</v>
      </c>
      <c r="AQ71" s="1124">
        <f t="shared" si="75"/>
        <v>0</v>
      </c>
      <c r="AR71" s="1124">
        <f t="shared" si="75"/>
        <v>0</v>
      </c>
      <c r="AS71" s="1124">
        <f t="shared" si="75"/>
        <v>0</v>
      </c>
      <c r="AT71" s="42"/>
      <c r="AU71" s="78">
        <f>+Base!E71</f>
        <v>4775000</v>
      </c>
      <c r="AV71" s="81">
        <f>+E71-AU71</f>
        <v>0</v>
      </c>
      <c r="AW71" s="88"/>
      <c r="AX71" s="49"/>
      <c r="AY71" s="49"/>
      <c r="AZ71" s="42"/>
      <c r="BA71" s="49"/>
      <c r="BB71" s="49"/>
      <c r="BC71" s="39"/>
      <c r="BD71" s="39"/>
      <c r="BE71" s="39"/>
      <c r="BF71" s="49"/>
      <c r="BG71" s="49"/>
      <c r="BH71" s="49"/>
      <c r="BI71" s="49"/>
      <c r="BJ71" s="39"/>
      <c r="BK71" s="49"/>
      <c r="BL71" s="39"/>
      <c r="BM71" s="39"/>
      <c r="BN71" s="49"/>
      <c r="BO71" s="49"/>
      <c r="BP71" s="49"/>
      <c r="BQ71" s="49"/>
      <c r="BR71" s="49"/>
      <c r="BS71" s="49"/>
      <c r="BT71" s="49"/>
      <c r="BU71" s="49"/>
      <c r="BV71" s="49"/>
      <c r="BW71" s="49"/>
      <c r="BX71" s="49"/>
      <c r="BY71" s="49"/>
      <c r="BZ71" s="49"/>
      <c r="CA71" s="44"/>
      <c r="CB71" s="49"/>
      <c r="CC71" s="49"/>
      <c r="CD71" s="49"/>
      <c r="CE71" s="49"/>
      <c r="CF71" s="49"/>
      <c r="CG71" s="49"/>
      <c r="CH71" s="49"/>
      <c r="CI71" s="49"/>
      <c r="CJ71" s="49"/>
      <c r="CK71" s="49"/>
      <c r="CL71" s="49"/>
      <c r="CM71" s="49"/>
      <c r="CN71" s="49"/>
    </row>
    <row r="72" spans="1:92" ht="6" customHeight="1">
      <c r="A72" s="1425"/>
      <c r="B72" s="28"/>
      <c r="C72" s="437"/>
      <c r="D72" s="10"/>
      <c r="E72" s="29"/>
      <c r="F72" s="31"/>
      <c r="G72" s="31"/>
      <c r="H72" s="31"/>
      <c r="I72" s="31"/>
      <c r="J72" s="31"/>
      <c r="K72" s="31"/>
      <c r="L72" s="31"/>
      <c r="M72" s="31"/>
      <c r="N72" s="31"/>
      <c r="O72" s="31"/>
      <c r="P72" s="31"/>
      <c r="Q72" s="31"/>
      <c r="R72" s="31"/>
      <c r="S72" s="31"/>
      <c r="T72" s="31"/>
      <c r="U72" s="31"/>
      <c r="V72" s="31"/>
      <c r="W72" s="31"/>
      <c r="X72" s="31"/>
      <c r="Y72" s="31"/>
      <c r="Z72" s="31"/>
      <c r="AA72" s="31"/>
      <c r="AB72" s="31"/>
      <c r="AC72" s="31"/>
      <c r="AD72" s="31"/>
      <c r="AE72" s="31"/>
      <c r="AF72" s="31"/>
      <c r="AG72" s="31"/>
      <c r="AH72" s="31"/>
      <c r="AI72" s="31"/>
      <c r="AJ72" s="31"/>
      <c r="AK72" s="31"/>
      <c r="AL72" s="31"/>
      <c r="AM72" s="31"/>
      <c r="AN72" s="31"/>
      <c r="AO72" s="31"/>
      <c r="AP72" s="31"/>
      <c r="AQ72" s="31"/>
      <c r="AR72" s="31"/>
      <c r="AS72" s="31"/>
      <c r="AT72" s="42"/>
      <c r="AU72" s="47"/>
      <c r="AV72" s="48"/>
      <c r="AW72" s="29"/>
      <c r="AX72" s="49"/>
      <c r="AY72" s="49"/>
      <c r="AZ72" s="42"/>
      <c r="BA72" s="49"/>
      <c r="BB72" s="49"/>
      <c r="BC72" s="39"/>
      <c r="BD72" s="39"/>
      <c r="BE72" s="39"/>
      <c r="BF72" s="49"/>
      <c r="BG72" s="49"/>
      <c r="BH72" s="49"/>
      <c r="BI72" s="49"/>
      <c r="BJ72" s="39"/>
      <c r="BK72" s="49"/>
      <c r="BL72" s="39"/>
      <c r="BM72" s="39"/>
      <c r="BN72" s="49"/>
      <c r="BO72" s="49"/>
      <c r="BP72" s="49"/>
      <c r="BQ72" s="49"/>
      <c r="BR72" s="49"/>
      <c r="BS72" s="49"/>
      <c r="BT72" s="49"/>
      <c r="BU72" s="49"/>
      <c r="BV72" s="49"/>
      <c r="BW72" s="49"/>
      <c r="BX72" s="49"/>
      <c r="BY72" s="49"/>
      <c r="BZ72" s="49"/>
      <c r="CA72" s="44"/>
      <c r="CB72" s="49"/>
      <c r="CC72" s="49"/>
      <c r="CD72" s="49"/>
      <c r="CE72" s="49"/>
      <c r="CF72" s="49"/>
      <c r="CG72" s="49"/>
      <c r="CH72" s="49"/>
      <c r="CI72" s="49"/>
      <c r="CJ72" s="49"/>
      <c r="CK72" s="49"/>
      <c r="CL72" s="49"/>
      <c r="CM72" s="49"/>
      <c r="CN72" s="49"/>
    </row>
    <row r="73" spans="1:92" ht="17.399999999999999">
      <c r="A73" s="1425"/>
      <c r="B73" s="1025" t="s">
        <v>636</v>
      </c>
      <c r="C73" s="437"/>
      <c r="D73" s="10"/>
      <c r="E73" s="29"/>
      <c r="F73" s="31"/>
      <c r="G73" s="31"/>
      <c r="H73" s="31"/>
      <c r="I73" s="31"/>
      <c r="J73" s="31"/>
      <c r="K73" s="31"/>
      <c r="L73" s="31"/>
      <c r="M73" s="31"/>
      <c r="N73" s="31"/>
      <c r="O73" s="31"/>
      <c r="P73" s="31"/>
      <c r="Q73" s="31"/>
      <c r="R73" s="31"/>
      <c r="S73" s="31"/>
      <c r="T73" s="31"/>
      <c r="U73" s="31"/>
      <c r="V73" s="31"/>
      <c r="W73" s="31"/>
      <c r="X73" s="31"/>
      <c r="Y73" s="31"/>
      <c r="Z73" s="31"/>
      <c r="AA73" s="31"/>
      <c r="AB73" s="31"/>
      <c r="AC73" s="31"/>
      <c r="AD73" s="31"/>
      <c r="AE73" s="31"/>
      <c r="AF73" s="31"/>
      <c r="AG73" s="31"/>
      <c r="AH73" s="31"/>
      <c r="AI73" s="31"/>
      <c r="AJ73" s="31"/>
      <c r="AK73" s="31"/>
      <c r="AL73" s="31"/>
      <c r="AM73" s="31"/>
      <c r="AN73" s="31"/>
      <c r="AO73" s="31"/>
      <c r="AP73" s="31"/>
      <c r="AQ73" s="31"/>
      <c r="AR73" s="31"/>
      <c r="AS73" s="31"/>
      <c r="AT73" s="42"/>
      <c r="AU73" s="47"/>
      <c r="AV73" s="48"/>
      <c r="AW73" s="29"/>
      <c r="AX73" s="49"/>
      <c r="AY73" s="49"/>
      <c r="AZ73" s="42"/>
      <c r="BA73" s="49"/>
      <c r="BB73" s="49"/>
      <c r="BC73" s="39"/>
      <c r="BD73" s="39"/>
      <c r="BE73" s="39"/>
      <c r="BF73" s="49"/>
      <c r="BG73" s="49"/>
      <c r="BH73" s="49"/>
      <c r="BI73" s="49"/>
      <c r="BJ73" s="39"/>
      <c r="BK73" s="49"/>
      <c r="BL73" s="39"/>
      <c r="BM73" s="39"/>
      <c r="BN73" s="49"/>
      <c r="BO73" s="49"/>
      <c r="BP73" s="49"/>
      <c r="BQ73" s="49"/>
      <c r="BR73" s="49"/>
      <c r="BS73" s="49"/>
      <c r="BT73" s="49"/>
      <c r="BU73" s="49"/>
      <c r="BV73" s="49"/>
      <c r="BW73" s="49"/>
      <c r="BX73" s="49"/>
      <c r="BY73" s="49"/>
      <c r="BZ73" s="49"/>
      <c r="CA73" s="44"/>
      <c r="CB73" s="49"/>
      <c r="CC73" s="49"/>
      <c r="CD73" s="49"/>
      <c r="CE73" s="49"/>
      <c r="CF73" s="49"/>
      <c r="CG73" s="49"/>
      <c r="CH73" s="49"/>
      <c r="CI73" s="49"/>
      <c r="CJ73" s="49"/>
      <c r="CK73" s="49"/>
      <c r="CL73" s="49"/>
      <c r="CM73" s="49"/>
      <c r="CN73" s="49"/>
    </row>
    <row r="74" spans="1:92" ht="15" hidden="1" customHeight="1">
      <c r="A74" s="1427" t="s">
        <v>1578</v>
      </c>
      <c r="B74" s="648" t="s">
        <v>1829</v>
      </c>
      <c r="C74" s="437"/>
      <c r="D74" s="10"/>
      <c r="E74" s="29">
        <f>SUM(F74:AS74)</f>
        <v>0</v>
      </c>
      <c r="F74" s="31">
        <f>-F87</f>
        <v>0</v>
      </c>
      <c r="G74" s="1124">
        <f>-G87</f>
        <v>0</v>
      </c>
      <c r="H74" s="1124">
        <f t="shared" ref="H74:AS74" si="76">-H87</f>
        <v>0</v>
      </c>
      <c r="I74" s="1124">
        <f t="shared" si="76"/>
        <v>0</v>
      </c>
      <c r="J74" s="1124">
        <f t="shared" si="76"/>
        <v>0</v>
      </c>
      <c r="K74" s="1124">
        <f t="shared" si="76"/>
        <v>0</v>
      </c>
      <c r="L74" s="1124">
        <f t="shared" si="76"/>
        <v>0</v>
      </c>
      <c r="M74" s="1124">
        <f t="shared" si="76"/>
        <v>0</v>
      </c>
      <c r="N74" s="1124">
        <f t="shared" si="76"/>
        <v>0</v>
      </c>
      <c r="O74" s="1124">
        <f t="shared" si="76"/>
        <v>0</v>
      </c>
      <c r="P74" s="1124">
        <f t="shared" si="76"/>
        <v>0</v>
      </c>
      <c r="Q74" s="1124">
        <f t="shared" si="76"/>
        <v>0</v>
      </c>
      <c r="R74" s="1124">
        <f t="shared" si="76"/>
        <v>0</v>
      </c>
      <c r="S74" s="1124">
        <f t="shared" si="76"/>
        <v>0</v>
      </c>
      <c r="T74" s="1124">
        <f t="shared" si="76"/>
        <v>0</v>
      </c>
      <c r="U74" s="1124">
        <f t="shared" si="76"/>
        <v>0</v>
      </c>
      <c r="V74" s="1124">
        <f t="shared" si="76"/>
        <v>0</v>
      </c>
      <c r="W74" s="1124">
        <f t="shared" si="76"/>
        <v>0</v>
      </c>
      <c r="X74" s="1124">
        <f t="shared" si="76"/>
        <v>0</v>
      </c>
      <c r="Y74" s="1124">
        <f t="shared" si="76"/>
        <v>0</v>
      </c>
      <c r="Z74" s="1124">
        <f t="shared" si="76"/>
        <v>0</v>
      </c>
      <c r="AA74" s="1124">
        <f t="shared" si="76"/>
        <v>0</v>
      </c>
      <c r="AB74" s="1124">
        <f t="shared" si="76"/>
        <v>0</v>
      </c>
      <c r="AC74" s="1124">
        <f t="shared" si="76"/>
        <v>0</v>
      </c>
      <c r="AD74" s="1124">
        <f t="shared" si="76"/>
        <v>0</v>
      </c>
      <c r="AE74" s="1124">
        <f t="shared" si="76"/>
        <v>0</v>
      </c>
      <c r="AF74" s="1124">
        <f t="shared" si="76"/>
        <v>0</v>
      </c>
      <c r="AG74" s="1124">
        <f t="shared" si="76"/>
        <v>0</v>
      </c>
      <c r="AH74" s="1124">
        <f t="shared" si="76"/>
        <v>0</v>
      </c>
      <c r="AI74" s="1124">
        <f t="shared" si="76"/>
        <v>0</v>
      </c>
      <c r="AJ74" s="1124">
        <f t="shared" si="76"/>
        <v>0</v>
      </c>
      <c r="AK74" s="1124">
        <f t="shared" si="76"/>
        <v>0</v>
      </c>
      <c r="AL74" s="1124">
        <f t="shared" si="76"/>
        <v>0</v>
      </c>
      <c r="AM74" s="1124">
        <f t="shared" si="76"/>
        <v>0</v>
      </c>
      <c r="AN74" s="1124">
        <f t="shared" si="76"/>
        <v>0</v>
      </c>
      <c r="AO74" s="1124">
        <f t="shared" si="76"/>
        <v>0</v>
      </c>
      <c r="AP74" s="1124">
        <f t="shared" si="76"/>
        <v>0</v>
      </c>
      <c r="AQ74" s="1124">
        <f t="shared" si="76"/>
        <v>0</v>
      </c>
      <c r="AR74" s="1124">
        <f t="shared" si="76"/>
        <v>0</v>
      </c>
      <c r="AS74" s="1124">
        <f t="shared" si="76"/>
        <v>0</v>
      </c>
      <c r="AT74" s="42"/>
      <c r="AU74" s="78">
        <f>+Base!E74</f>
        <v>0</v>
      </c>
      <c r="AV74" s="81">
        <f>+E74-AU74</f>
        <v>0</v>
      </c>
      <c r="AW74" s="29"/>
      <c r="AX74" s="49"/>
      <c r="AY74" s="49"/>
      <c r="AZ74" s="42"/>
      <c r="BA74" s="49"/>
      <c r="BB74" s="49"/>
      <c r="BC74" s="39"/>
      <c r="BD74" s="39"/>
      <c r="BE74" s="39"/>
      <c r="BF74" s="49"/>
      <c r="BG74" s="49"/>
      <c r="BH74" s="49"/>
      <c r="BI74" s="49"/>
      <c r="BJ74" s="39"/>
      <c r="BK74" s="49"/>
      <c r="BL74" s="39"/>
      <c r="BM74" s="39"/>
      <c r="BN74" s="49"/>
      <c r="BO74" s="49"/>
      <c r="BP74" s="49"/>
      <c r="BQ74" s="49"/>
      <c r="BR74" s="49"/>
      <c r="BS74" s="49"/>
      <c r="BT74" s="49"/>
      <c r="BU74" s="49"/>
      <c r="BV74" s="49"/>
      <c r="BW74" s="49"/>
      <c r="BX74" s="49"/>
      <c r="BY74" s="49"/>
      <c r="BZ74" s="49"/>
      <c r="CA74" s="44"/>
      <c r="CB74" s="49"/>
      <c r="CC74" s="49"/>
      <c r="CD74" s="49"/>
      <c r="CE74" s="49"/>
      <c r="CF74" s="49"/>
      <c r="CG74" s="49"/>
      <c r="CH74" s="49"/>
      <c r="CI74" s="49"/>
      <c r="CJ74" s="49"/>
      <c r="CK74" s="49"/>
      <c r="CL74" s="49"/>
      <c r="CM74" s="49"/>
      <c r="CN74" s="49"/>
    </row>
    <row r="75" spans="1:92" ht="15" hidden="1" customHeight="1">
      <c r="A75" s="1427" t="s">
        <v>1578</v>
      </c>
      <c r="B75" s="648" t="s">
        <v>1830</v>
      </c>
      <c r="C75" s="437"/>
      <c r="D75" s="10"/>
      <c r="E75" s="102">
        <f>SUM(F75:AS75)</f>
        <v>-58500</v>
      </c>
      <c r="F75" s="88">
        <f>-F98</f>
        <v>-6500</v>
      </c>
      <c r="G75" s="1147">
        <f>-G98</f>
        <v>-6500</v>
      </c>
      <c r="H75" s="1147">
        <f t="shared" ref="H75:AS75" si="77">-H98</f>
        <v>-6500</v>
      </c>
      <c r="I75" s="1147">
        <f t="shared" si="77"/>
        <v>-6500</v>
      </c>
      <c r="J75" s="1147">
        <f t="shared" si="77"/>
        <v>-6500</v>
      </c>
      <c r="K75" s="1147">
        <f t="shared" si="77"/>
        <v>-6500</v>
      </c>
      <c r="L75" s="1147">
        <f t="shared" si="77"/>
        <v>-6500</v>
      </c>
      <c r="M75" s="1147">
        <f t="shared" si="77"/>
        <v>-6500</v>
      </c>
      <c r="N75" s="1147">
        <f t="shared" si="77"/>
        <v>-6500</v>
      </c>
      <c r="O75" s="1147">
        <f t="shared" si="77"/>
        <v>0</v>
      </c>
      <c r="P75" s="1147">
        <f t="shared" si="77"/>
        <v>0</v>
      </c>
      <c r="Q75" s="1147">
        <f t="shared" si="77"/>
        <v>0</v>
      </c>
      <c r="R75" s="1147">
        <f t="shared" si="77"/>
        <v>0</v>
      </c>
      <c r="S75" s="1147">
        <f t="shared" si="77"/>
        <v>0</v>
      </c>
      <c r="T75" s="1147">
        <f t="shared" si="77"/>
        <v>0</v>
      </c>
      <c r="U75" s="1147">
        <f t="shared" si="77"/>
        <v>0</v>
      </c>
      <c r="V75" s="1147">
        <f t="shared" si="77"/>
        <v>0</v>
      </c>
      <c r="W75" s="1147">
        <f t="shared" si="77"/>
        <v>0</v>
      </c>
      <c r="X75" s="1147">
        <f t="shared" si="77"/>
        <v>0</v>
      </c>
      <c r="Y75" s="1147">
        <f t="shared" si="77"/>
        <v>0</v>
      </c>
      <c r="Z75" s="1147">
        <f t="shared" si="77"/>
        <v>0</v>
      </c>
      <c r="AA75" s="1147">
        <f t="shared" si="77"/>
        <v>0</v>
      </c>
      <c r="AB75" s="1147">
        <f t="shared" si="77"/>
        <v>0</v>
      </c>
      <c r="AC75" s="1147">
        <f t="shared" si="77"/>
        <v>0</v>
      </c>
      <c r="AD75" s="1147">
        <f t="shared" si="77"/>
        <v>0</v>
      </c>
      <c r="AE75" s="1147">
        <f t="shared" si="77"/>
        <v>0</v>
      </c>
      <c r="AF75" s="1147">
        <f t="shared" si="77"/>
        <v>0</v>
      </c>
      <c r="AG75" s="1147">
        <f t="shared" si="77"/>
        <v>0</v>
      </c>
      <c r="AH75" s="1147">
        <f t="shared" si="77"/>
        <v>0</v>
      </c>
      <c r="AI75" s="1147">
        <f t="shared" si="77"/>
        <v>0</v>
      </c>
      <c r="AJ75" s="1147">
        <f t="shared" si="77"/>
        <v>0</v>
      </c>
      <c r="AK75" s="1147">
        <f t="shared" si="77"/>
        <v>0</v>
      </c>
      <c r="AL75" s="1147">
        <f t="shared" si="77"/>
        <v>0</v>
      </c>
      <c r="AM75" s="1147">
        <f t="shared" si="77"/>
        <v>0</v>
      </c>
      <c r="AN75" s="1147">
        <f t="shared" si="77"/>
        <v>0</v>
      </c>
      <c r="AO75" s="1147">
        <f t="shared" si="77"/>
        <v>0</v>
      </c>
      <c r="AP75" s="1147">
        <f t="shared" si="77"/>
        <v>0</v>
      </c>
      <c r="AQ75" s="1147">
        <f t="shared" si="77"/>
        <v>0</v>
      </c>
      <c r="AR75" s="1147">
        <f t="shared" si="77"/>
        <v>0</v>
      </c>
      <c r="AS75" s="1147">
        <f t="shared" si="77"/>
        <v>0</v>
      </c>
      <c r="AT75" s="42"/>
      <c r="AU75" s="15">
        <f>+Base!E75</f>
        <v>-58500</v>
      </c>
      <c r="AV75" s="103">
        <f>+E75-AU75</f>
        <v>0</v>
      </c>
      <c r="AW75" s="29"/>
      <c r="AX75" s="49"/>
      <c r="AY75" s="49"/>
      <c r="AZ75" s="42"/>
      <c r="BA75" s="49"/>
      <c r="BB75" s="49"/>
      <c r="BC75" s="39"/>
      <c r="BD75" s="39"/>
      <c r="BE75" s="39"/>
      <c r="BF75" s="49"/>
      <c r="BG75" s="49"/>
      <c r="BH75" s="49"/>
      <c r="BI75" s="49"/>
      <c r="BJ75" s="39"/>
      <c r="BK75" s="49"/>
      <c r="BL75" s="39"/>
      <c r="BM75" s="39"/>
      <c r="BN75" s="49"/>
      <c r="BO75" s="49"/>
      <c r="BP75" s="49"/>
      <c r="BQ75" s="49"/>
      <c r="BR75" s="49"/>
      <c r="BS75" s="49"/>
      <c r="BT75" s="49"/>
      <c r="BU75" s="49"/>
      <c r="BV75" s="49"/>
      <c r="BW75" s="49"/>
      <c r="BX75" s="49"/>
      <c r="BY75" s="49"/>
      <c r="BZ75" s="49"/>
      <c r="CA75" s="44"/>
      <c r="CB75" s="49"/>
      <c r="CC75" s="49"/>
      <c r="CD75" s="49"/>
      <c r="CE75" s="49"/>
      <c r="CF75" s="49"/>
      <c r="CG75" s="49"/>
      <c r="CH75" s="49"/>
      <c r="CI75" s="49"/>
      <c r="CJ75" s="49"/>
      <c r="CK75" s="49"/>
      <c r="CL75" s="49"/>
      <c r="CM75" s="49"/>
      <c r="CN75" s="49"/>
    </row>
    <row r="76" spans="1:92" ht="15" hidden="1" customHeight="1">
      <c r="A76" s="1427" t="s">
        <v>1578</v>
      </c>
      <c r="B76" s="648" t="s">
        <v>2302</v>
      </c>
      <c r="C76" s="1418" t="s">
        <v>2268</v>
      </c>
      <c r="D76" s="10"/>
      <c r="E76" s="34">
        <f>SUM(F76:AS76)</f>
        <v>-4600</v>
      </c>
      <c r="F76" s="38">
        <f>-F120</f>
        <v>-1000</v>
      </c>
      <c r="G76" s="1125">
        <f t="shared" ref="G76:AS76" si="78">-G120</f>
        <v>-1100</v>
      </c>
      <c r="H76" s="1125">
        <f t="shared" si="78"/>
        <v>-1200</v>
      </c>
      <c r="I76" s="1125">
        <f t="shared" si="78"/>
        <v>-1300</v>
      </c>
      <c r="J76" s="1125">
        <f t="shared" si="78"/>
        <v>0</v>
      </c>
      <c r="K76" s="1125">
        <f t="shared" si="78"/>
        <v>0</v>
      </c>
      <c r="L76" s="1125">
        <f t="shared" si="78"/>
        <v>0</v>
      </c>
      <c r="M76" s="1125">
        <f t="shared" si="78"/>
        <v>0</v>
      </c>
      <c r="N76" s="1125">
        <f t="shared" si="78"/>
        <v>0</v>
      </c>
      <c r="O76" s="1125">
        <f t="shared" si="78"/>
        <v>0</v>
      </c>
      <c r="P76" s="1125">
        <f t="shared" si="78"/>
        <v>0</v>
      </c>
      <c r="Q76" s="1125">
        <f t="shared" si="78"/>
        <v>0</v>
      </c>
      <c r="R76" s="1125">
        <f t="shared" si="78"/>
        <v>0</v>
      </c>
      <c r="S76" s="1125">
        <f t="shared" si="78"/>
        <v>0</v>
      </c>
      <c r="T76" s="1125">
        <f t="shared" si="78"/>
        <v>0</v>
      </c>
      <c r="U76" s="1125">
        <f t="shared" si="78"/>
        <v>0</v>
      </c>
      <c r="V76" s="1125">
        <f t="shared" si="78"/>
        <v>0</v>
      </c>
      <c r="W76" s="1125">
        <f t="shared" si="78"/>
        <v>0</v>
      </c>
      <c r="X76" s="1125">
        <f t="shared" si="78"/>
        <v>0</v>
      </c>
      <c r="Y76" s="1125">
        <f t="shared" si="78"/>
        <v>0</v>
      </c>
      <c r="Z76" s="1125">
        <f t="shared" si="78"/>
        <v>0</v>
      </c>
      <c r="AA76" s="1125">
        <f t="shared" si="78"/>
        <v>0</v>
      </c>
      <c r="AB76" s="1125">
        <f t="shared" si="78"/>
        <v>0</v>
      </c>
      <c r="AC76" s="1125">
        <f t="shared" si="78"/>
        <v>0</v>
      </c>
      <c r="AD76" s="1125">
        <f t="shared" si="78"/>
        <v>0</v>
      </c>
      <c r="AE76" s="1125">
        <f t="shared" si="78"/>
        <v>0</v>
      </c>
      <c r="AF76" s="1125">
        <f t="shared" si="78"/>
        <v>0</v>
      </c>
      <c r="AG76" s="1125">
        <f t="shared" si="78"/>
        <v>0</v>
      </c>
      <c r="AH76" s="1125">
        <f t="shared" si="78"/>
        <v>0</v>
      </c>
      <c r="AI76" s="1125">
        <f t="shared" si="78"/>
        <v>0</v>
      </c>
      <c r="AJ76" s="1125">
        <f t="shared" si="78"/>
        <v>0</v>
      </c>
      <c r="AK76" s="1125">
        <f t="shared" si="78"/>
        <v>0</v>
      </c>
      <c r="AL76" s="1125">
        <f t="shared" si="78"/>
        <v>0</v>
      </c>
      <c r="AM76" s="1125">
        <f t="shared" si="78"/>
        <v>0</v>
      </c>
      <c r="AN76" s="1125">
        <f t="shared" si="78"/>
        <v>0</v>
      </c>
      <c r="AO76" s="1125">
        <f t="shared" si="78"/>
        <v>0</v>
      </c>
      <c r="AP76" s="1125">
        <f t="shared" si="78"/>
        <v>0</v>
      </c>
      <c r="AQ76" s="1125">
        <f t="shared" si="78"/>
        <v>0</v>
      </c>
      <c r="AR76" s="1125">
        <f t="shared" si="78"/>
        <v>0</v>
      </c>
      <c r="AS76" s="1125">
        <f t="shared" si="78"/>
        <v>0</v>
      </c>
      <c r="AT76" s="88"/>
      <c r="AU76" s="82">
        <f>+Base!E76</f>
        <v>-4600</v>
      </c>
      <c r="AV76" s="83">
        <f>+E76-AU76</f>
        <v>0</v>
      </c>
      <c r="AW76" s="29"/>
      <c r="AX76" s="49"/>
      <c r="AY76" s="49"/>
      <c r="AZ76" s="42"/>
      <c r="BA76" s="49"/>
      <c r="BB76" s="49"/>
      <c r="BC76" s="39"/>
      <c r="BD76" s="39"/>
      <c r="BE76" s="39"/>
      <c r="BF76" s="49"/>
      <c r="BG76" s="49"/>
      <c r="BH76" s="49"/>
      <c r="BI76" s="49"/>
      <c r="BJ76" s="39"/>
      <c r="BK76" s="49"/>
      <c r="BL76" s="39"/>
      <c r="BM76" s="39"/>
      <c r="BN76" s="49"/>
      <c r="BO76" s="49"/>
      <c r="BP76" s="49"/>
      <c r="BQ76" s="49"/>
      <c r="BR76" s="49"/>
      <c r="BS76" s="49"/>
      <c r="BT76" s="49"/>
      <c r="BU76" s="49"/>
      <c r="BV76" s="49"/>
      <c r="BW76" s="49"/>
      <c r="BX76" s="49"/>
      <c r="BY76" s="49"/>
      <c r="BZ76" s="49"/>
      <c r="CA76" s="44"/>
      <c r="CB76" s="49"/>
      <c r="CC76" s="49"/>
      <c r="CD76" s="49"/>
      <c r="CE76" s="49"/>
      <c r="CF76" s="49"/>
      <c r="CG76" s="49"/>
      <c r="CH76" s="49"/>
      <c r="CI76" s="49"/>
      <c r="CJ76" s="49"/>
      <c r="CK76" s="49"/>
      <c r="CL76" s="49"/>
      <c r="CM76" s="49"/>
      <c r="CN76" s="49"/>
    </row>
    <row r="77" spans="1:92" ht="15" customHeight="1">
      <c r="A77" s="1425"/>
      <c r="B77" s="648" t="s">
        <v>2325</v>
      </c>
      <c r="C77" s="437"/>
      <c r="D77" s="10"/>
      <c r="E77" s="29">
        <f>SUM(F77:AS77)</f>
        <v>-63100</v>
      </c>
      <c r="F77" s="31">
        <f>+F74+F75+F76</f>
        <v>-7500</v>
      </c>
      <c r="G77" s="1124">
        <f>+G74+G75+G76</f>
        <v>-7600</v>
      </c>
      <c r="H77" s="1124">
        <f t="shared" ref="H77:AS77" si="79">+H74+H75+H76</f>
        <v>-7700</v>
      </c>
      <c r="I77" s="1124">
        <f t="shared" si="79"/>
        <v>-7800</v>
      </c>
      <c r="J77" s="1124">
        <f t="shared" si="79"/>
        <v>-6500</v>
      </c>
      <c r="K77" s="1124">
        <f t="shared" si="79"/>
        <v>-6500</v>
      </c>
      <c r="L77" s="1124">
        <f t="shared" si="79"/>
        <v>-6500</v>
      </c>
      <c r="M77" s="1124">
        <f t="shared" si="79"/>
        <v>-6500</v>
      </c>
      <c r="N77" s="1124">
        <f t="shared" si="79"/>
        <v>-6500</v>
      </c>
      <c r="O77" s="1124">
        <f t="shared" si="79"/>
        <v>0</v>
      </c>
      <c r="P77" s="1124">
        <f t="shared" si="79"/>
        <v>0</v>
      </c>
      <c r="Q77" s="1124">
        <f t="shared" si="79"/>
        <v>0</v>
      </c>
      <c r="R77" s="1124">
        <f t="shared" si="79"/>
        <v>0</v>
      </c>
      <c r="S77" s="1124">
        <f t="shared" si="79"/>
        <v>0</v>
      </c>
      <c r="T77" s="1124">
        <f t="shared" si="79"/>
        <v>0</v>
      </c>
      <c r="U77" s="1124">
        <f t="shared" si="79"/>
        <v>0</v>
      </c>
      <c r="V77" s="1124">
        <f t="shared" si="79"/>
        <v>0</v>
      </c>
      <c r="W77" s="1124">
        <f t="shared" si="79"/>
        <v>0</v>
      </c>
      <c r="X77" s="1124">
        <f t="shared" si="79"/>
        <v>0</v>
      </c>
      <c r="Y77" s="1124">
        <f t="shared" si="79"/>
        <v>0</v>
      </c>
      <c r="Z77" s="1124">
        <f t="shared" si="79"/>
        <v>0</v>
      </c>
      <c r="AA77" s="1124">
        <f t="shared" si="79"/>
        <v>0</v>
      </c>
      <c r="AB77" s="1124">
        <f t="shared" si="79"/>
        <v>0</v>
      </c>
      <c r="AC77" s="1124">
        <f t="shared" si="79"/>
        <v>0</v>
      </c>
      <c r="AD77" s="1124">
        <f t="shared" si="79"/>
        <v>0</v>
      </c>
      <c r="AE77" s="1124">
        <f t="shared" si="79"/>
        <v>0</v>
      </c>
      <c r="AF77" s="1124">
        <f t="shared" si="79"/>
        <v>0</v>
      </c>
      <c r="AG77" s="1124">
        <f t="shared" si="79"/>
        <v>0</v>
      </c>
      <c r="AH77" s="1124">
        <f t="shared" si="79"/>
        <v>0</v>
      </c>
      <c r="AI77" s="1124">
        <f t="shared" si="79"/>
        <v>0</v>
      </c>
      <c r="AJ77" s="1124">
        <f t="shared" si="79"/>
        <v>0</v>
      </c>
      <c r="AK77" s="1124">
        <f t="shared" si="79"/>
        <v>0</v>
      </c>
      <c r="AL77" s="1124">
        <f t="shared" si="79"/>
        <v>0</v>
      </c>
      <c r="AM77" s="1124">
        <f t="shared" si="79"/>
        <v>0</v>
      </c>
      <c r="AN77" s="1124">
        <f t="shared" si="79"/>
        <v>0</v>
      </c>
      <c r="AO77" s="1124">
        <f t="shared" si="79"/>
        <v>0</v>
      </c>
      <c r="AP77" s="1124">
        <f t="shared" si="79"/>
        <v>0</v>
      </c>
      <c r="AQ77" s="1124">
        <f t="shared" si="79"/>
        <v>0</v>
      </c>
      <c r="AR77" s="1124">
        <f t="shared" si="79"/>
        <v>0</v>
      </c>
      <c r="AS77" s="1124">
        <f t="shared" si="79"/>
        <v>0</v>
      </c>
      <c r="AT77" s="42"/>
      <c r="AU77" s="78">
        <f>+Base!E77</f>
        <v>-63100</v>
      </c>
      <c r="AV77" s="81">
        <f>+E77-AU77</f>
        <v>0</v>
      </c>
      <c r="AW77" s="29"/>
      <c r="AX77" s="49"/>
      <c r="AY77" s="49"/>
      <c r="AZ77" s="42"/>
      <c r="BA77" s="49"/>
      <c r="BB77" s="49"/>
      <c r="BC77" s="39"/>
      <c r="BD77" s="39"/>
      <c r="BE77" s="39"/>
      <c r="BF77" s="49"/>
      <c r="BG77" s="49"/>
      <c r="BH77" s="49"/>
      <c r="BI77" s="49"/>
      <c r="BJ77" s="39"/>
      <c r="BK77" s="49"/>
      <c r="BL77" s="39"/>
      <c r="BM77" s="39"/>
      <c r="BN77" s="49"/>
      <c r="BO77" s="49"/>
      <c r="BP77" s="49"/>
      <c r="BQ77" s="49"/>
      <c r="BR77" s="49"/>
      <c r="BS77" s="49"/>
      <c r="BT77" s="49"/>
      <c r="BU77" s="49"/>
      <c r="BV77" s="49"/>
      <c r="BW77" s="49"/>
      <c r="BX77" s="49"/>
      <c r="BY77" s="49"/>
      <c r="BZ77" s="49"/>
      <c r="CA77" s="44"/>
      <c r="CB77" s="49"/>
      <c r="CC77" s="49"/>
      <c r="CD77" s="49"/>
      <c r="CE77" s="49"/>
      <c r="CF77" s="49"/>
      <c r="CG77" s="49"/>
      <c r="CH77" s="49"/>
      <c r="CI77" s="49"/>
      <c r="CJ77" s="49"/>
      <c r="CK77" s="49"/>
      <c r="CL77" s="49"/>
      <c r="CM77" s="49"/>
      <c r="CN77" s="49"/>
    </row>
    <row r="78" spans="1:92" ht="19.95" hidden="1" customHeight="1">
      <c r="A78" s="1427" t="s">
        <v>1578</v>
      </c>
      <c r="B78" s="648" t="s">
        <v>1197</v>
      </c>
      <c r="C78" s="1002"/>
      <c r="D78" s="37"/>
      <c r="E78" s="29">
        <f t="shared" ref="E78:E137" si="80">SUM(F78:AS78)</f>
        <v>60000</v>
      </c>
      <c r="F78" s="29">
        <f t="shared" ref="F78:AS78" si="81">IF(AND(Inheritance="y",IF(Inheritor="y",Inherit_Age=F$4,Inherit_Age=F$5)),Inherit_Taxable,0)</f>
        <v>0</v>
      </c>
      <c r="G78" s="1124">
        <f t="shared" si="81"/>
        <v>0</v>
      </c>
      <c r="H78" s="1124">
        <f t="shared" si="81"/>
        <v>0</v>
      </c>
      <c r="I78" s="1124">
        <f t="shared" si="81"/>
        <v>0</v>
      </c>
      <c r="J78" s="1124">
        <f t="shared" si="81"/>
        <v>0</v>
      </c>
      <c r="K78" s="1124">
        <f t="shared" si="81"/>
        <v>0</v>
      </c>
      <c r="L78" s="1124">
        <f t="shared" si="81"/>
        <v>0</v>
      </c>
      <c r="M78" s="1124">
        <f t="shared" si="81"/>
        <v>0</v>
      </c>
      <c r="N78" s="1124">
        <f t="shared" si="81"/>
        <v>0</v>
      </c>
      <c r="O78" s="1124">
        <f t="shared" si="81"/>
        <v>0</v>
      </c>
      <c r="P78" s="1124">
        <f t="shared" si="81"/>
        <v>0</v>
      </c>
      <c r="Q78" s="1124">
        <f t="shared" si="81"/>
        <v>0</v>
      </c>
      <c r="R78" s="1124">
        <f t="shared" si="81"/>
        <v>0</v>
      </c>
      <c r="S78" s="1124">
        <f t="shared" si="81"/>
        <v>0</v>
      </c>
      <c r="T78" s="1124">
        <f t="shared" si="81"/>
        <v>0</v>
      </c>
      <c r="U78" s="1124">
        <f t="shared" si="81"/>
        <v>60000</v>
      </c>
      <c r="V78" s="1124">
        <f t="shared" si="81"/>
        <v>0</v>
      </c>
      <c r="W78" s="1124">
        <f t="shared" si="81"/>
        <v>0</v>
      </c>
      <c r="X78" s="1124">
        <f t="shared" si="81"/>
        <v>0</v>
      </c>
      <c r="Y78" s="1124">
        <f t="shared" si="81"/>
        <v>0</v>
      </c>
      <c r="Z78" s="1124">
        <f t="shared" si="81"/>
        <v>0</v>
      </c>
      <c r="AA78" s="1124">
        <f t="shared" si="81"/>
        <v>0</v>
      </c>
      <c r="AB78" s="1124">
        <f t="shared" si="81"/>
        <v>0</v>
      </c>
      <c r="AC78" s="1124">
        <f t="shared" si="81"/>
        <v>0</v>
      </c>
      <c r="AD78" s="1124">
        <f t="shared" si="81"/>
        <v>0</v>
      </c>
      <c r="AE78" s="1124">
        <f t="shared" si="81"/>
        <v>0</v>
      </c>
      <c r="AF78" s="1124">
        <f t="shared" si="81"/>
        <v>0</v>
      </c>
      <c r="AG78" s="1124">
        <f t="shared" si="81"/>
        <v>0</v>
      </c>
      <c r="AH78" s="1124">
        <f t="shared" si="81"/>
        <v>0</v>
      </c>
      <c r="AI78" s="1124">
        <f t="shared" si="81"/>
        <v>0</v>
      </c>
      <c r="AJ78" s="1124">
        <f t="shared" si="81"/>
        <v>0</v>
      </c>
      <c r="AK78" s="1124">
        <f t="shared" si="81"/>
        <v>0</v>
      </c>
      <c r="AL78" s="1124">
        <f t="shared" si="81"/>
        <v>0</v>
      </c>
      <c r="AM78" s="1124">
        <f t="shared" si="81"/>
        <v>0</v>
      </c>
      <c r="AN78" s="1124">
        <f t="shared" si="81"/>
        <v>0</v>
      </c>
      <c r="AO78" s="1124">
        <f t="shared" si="81"/>
        <v>0</v>
      </c>
      <c r="AP78" s="1124">
        <f t="shared" si="81"/>
        <v>0</v>
      </c>
      <c r="AQ78" s="1124">
        <f t="shared" si="81"/>
        <v>0</v>
      </c>
      <c r="AR78" s="1124">
        <f t="shared" si="81"/>
        <v>0</v>
      </c>
      <c r="AS78" s="1124">
        <f t="shared" si="81"/>
        <v>0</v>
      </c>
      <c r="AT78" s="42"/>
      <c r="AU78" s="78">
        <f>+Base!E78</f>
        <v>60000</v>
      </c>
      <c r="AV78" s="81">
        <f>+E78-AU78</f>
        <v>0</v>
      </c>
      <c r="AW78" s="29"/>
      <c r="AX78" s="49"/>
      <c r="AY78" s="49"/>
      <c r="AZ78" s="42"/>
      <c r="BA78" s="49"/>
      <c r="BB78" s="49"/>
      <c r="BC78" s="39"/>
      <c r="BD78" s="39"/>
      <c r="BE78" s="39"/>
      <c r="BF78" s="49"/>
      <c r="BG78" s="49"/>
      <c r="BH78" s="49"/>
      <c r="BI78" s="49"/>
      <c r="BJ78" s="39"/>
      <c r="BK78" s="49"/>
      <c r="BL78" s="39"/>
      <c r="BM78" s="39"/>
      <c r="BN78" s="49"/>
      <c r="BO78" s="49"/>
      <c r="BP78" s="49"/>
      <c r="BQ78" s="49"/>
      <c r="BR78" s="49"/>
      <c r="BS78" s="49"/>
      <c r="BT78" s="49"/>
      <c r="BU78" s="49"/>
      <c r="BV78" s="49"/>
      <c r="BW78" s="49"/>
      <c r="BX78" s="49"/>
      <c r="BY78" s="49"/>
      <c r="BZ78" s="49"/>
      <c r="CA78" s="44"/>
      <c r="CB78" s="49"/>
      <c r="CC78" s="49"/>
      <c r="CD78" s="49"/>
      <c r="CE78" s="49"/>
      <c r="CF78" s="49"/>
      <c r="CG78" s="49"/>
      <c r="CH78" s="49"/>
      <c r="CI78" s="49"/>
      <c r="CJ78" s="49"/>
      <c r="CK78" s="49"/>
      <c r="CL78" s="49"/>
      <c r="CM78" s="49"/>
      <c r="CN78" s="49"/>
    </row>
    <row r="79" spans="1:92" hidden="1">
      <c r="A79" s="1427" t="s">
        <v>1578</v>
      </c>
      <c r="B79" s="648" t="s">
        <v>116</v>
      </c>
      <c r="C79" s="1002"/>
      <c r="D79" s="37"/>
      <c r="E79" s="29">
        <f t="shared" si="80"/>
        <v>40000</v>
      </c>
      <c r="F79" s="29">
        <f t="shared" ref="F79:AS79" si="82">IF(AND(Inheritance2="y",IF(Inheritor2="y",Inherit_Age2=F$4,Inherit_Age2=F$5)),Inherit_Taxable2,0)</f>
        <v>0</v>
      </c>
      <c r="G79" s="1124">
        <f t="shared" si="82"/>
        <v>0</v>
      </c>
      <c r="H79" s="1124">
        <f t="shared" si="82"/>
        <v>0</v>
      </c>
      <c r="I79" s="1124">
        <f t="shared" si="82"/>
        <v>0</v>
      </c>
      <c r="J79" s="1124">
        <f t="shared" si="82"/>
        <v>0</v>
      </c>
      <c r="K79" s="1124">
        <f t="shared" si="82"/>
        <v>0</v>
      </c>
      <c r="L79" s="1124">
        <f t="shared" si="82"/>
        <v>0</v>
      </c>
      <c r="M79" s="1124">
        <f t="shared" si="82"/>
        <v>0</v>
      </c>
      <c r="N79" s="1124">
        <f t="shared" si="82"/>
        <v>0</v>
      </c>
      <c r="O79" s="1124">
        <f t="shared" si="82"/>
        <v>0</v>
      </c>
      <c r="P79" s="1124">
        <f t="shared" si="82"/>
        <v>0</v>
      </c>
      <c r="Q79" s="1124">
        <f t="shared" si="82"/>
        <v>40000</v>
      </c>
      <c r="R79" s="1124">
        <f t="shared" si="82"/>
        <v>0</v>
      </c>
      <c r="S79" s="1124">
        <f t="shared" si="82"/>
        <v>0</v>
      </c>
      <c r="T79" s="1124">
        <f t="shared" si="82"/>
        <v>0</v>
      </c>
      <c r="U79" s="1124">
        <f t="shared" si="82"/>
        <v>0</v>
      </c>
      <c r="V79" s="1124">
        <f t="shared" si="82"/>
        <v>0</v>
      </c>
      <c r="W79" s="1124">
        <f t="shared" si="82"/>
        <v>0</v>
      </c>
      <c r="X79" s="1124">
        <f t="shared" si="82"/>
        <v>0</v>
      </c>
      <c r="Y79" s="1124">
        <f t="shared" si="82"/>
        <v>0</v>
      </c>
      <c r="Z79" s="1124">
        <f t="shared" si="82"/>
        <v>0</v>
      </c>
      <c r="AA79" s="1124">
        <f t="shared" si="82"/>
        <v>0</v>
      </c>
      <c r="AB79" s="1124">
        <f t="shared" si="82"/>
        <v>0</v>
      </c>
      <c r="AC79" s="1124">
        <f t="shared" si="82"/>
        <v>0</v>
      </c>
      <c r="AD79" s="1124">
        <f t="shared" si="82"/>
        <v>0</v>
      </c>
      <c r="AE79" s="1124">
        <f t="shared" si="82"/>
        <v>0</v>
      </c>
      <c r="AF79" s="1124">
        <f t="shared" si="82"/>
        <v>0</v>
      </c>
      <c r="AG79" s="1124">
        <f t="shared" si="82"/>
        <v>0</v>
      </c>
      <c r="AH79" s="1124">
        <f t="shared" si="82"/>
        <v>0</v>
      </c>
      <c r="AI79" s="1124">
        <f t="shared" si="82"/>
        <v>0</v>
      </c>
      <c r="AJ79" s="1124">
        <f t="shared" si="82"/>
        <v>0</v>
      </c>
      <c r="AK79" s="1124">
        <f t="shared" si="82"/>
        <v>0</v>
      </c>
      <c r="AL79" s="1124">
        <f t="shared" si="82"/>
        <v>0</v>
      </c>
      <c r="AM79" s="1124">
        <f t="shared" si="82"/>
        <v>0</v>
      </c>
      <c r="AN79" s="1124">
        <f t="shared" si="82"/>
        <v>0</v>
      </c>
      <c r="AO79" s="1124">
        <f t="shared" si="82"/>
        <v>0</v>
      </c>
      <c r="AP79" s="1124">
        <f t="shared" si="82"/>
        <v>0</v>
      </c>
      <c r="AQ79" s="1124">
        <f t="shared" si="82"/>
        <v>0</v>
      </c>
      <c r="AR79" s="1124">
        <f t="shared" si="82"/>
        <v>0</v>
      </c>
      <c r="AS79" s="1124">
        <f t="shared" si="82"/>
        <v>0</v>
      </c>
      <c r="AT79" s="42"/>
      <c r="AU79" s="78">
        <f>+Base!E79</f>
        <v>40000</v>
      </c>
      <c r="AV79" s="81">
        <f t="shared" ref="AV79:AV84" si="83">+E79-AU79</f>
        <v>0</v>
      </c>
      <c r="AW79" s="29"/>
      <c r="AX79" s="49"/>
      <c r="AY79" s="49"/>
      <c r="AZ79" s="42"/>
      <c r="BA79" s="49"/>
      <c r="BB79" s="49"/>
      <c r="BC79" s="39"/>
      <c r="BD79" s="39"/>
      <c r="BE79" s="39"/>
      <c r="BF79" s="49"/>
      <c r="BG79" s="49"/>
      <c r="BH79" s="49"/>
      <c r="BI79" s="49"/>
      <c r="BJ79" s="39"/>
      <c r="BK79" s="49"/>
      <c r="BL79" s="39"/>
      <c r="BM79" s="39"/>
      <c r="BN79" s="49"/>
      <c r="BO79" s="49"/>
      <c r="BP79" s="49"/>
      <c r="BQ79" s="49"/>
      <c r="BR79" s="49"/>
      <c r="BS79" s="49"/>
      <c r="BT79" s="49"/>
      <c r="BU79" s="49"/>
      <c r="BV79" s="49"/>
      <c r="BW79" s="49"/>
      <c r="BX79" s="49"/>
      <c r="BY79" s="49"/>
      <c r="BZ79" s="49"/>
      <c r="CA79" s="44"/>
      <c r="CB79" s="49"/>
      <c r="CC79" s="49"/>
      <c r="CD79" s="49"/>
      <c r="CE79" s="49"/>
      <c r="CF79" s="49"/>
      <c r="CG79" s="49"/>
      <c r="CH79" s="49"/>
      <c r="CI79" s="49"/>
      <c r="CJ79" s="49"/>
      <c r="CK79" s="49"/>
      <c r="CL79" s="49"/>
      <c r="CM79" s="49"/>
      <c r="CN79" s="49"/>
    </row>
    <row r="80" spans="1:92" hidden="1">
      <c r="A80" s="1427" t="s">
        <v>1578</v>
      </c>
      <c r="B80" s="648" t="s">
        <v>117</v>
      </c>
      <c r="C80" s="1002"/>
      <c r="D80" s="37"/>
      <c r="E80" s="29">
        <f t="shared" si="80"/>
        <v>100000</v>
      </c>
      <c r="F80" s="29">
        <f t="shared" ref="F80:AS80" si="84">IF(AND(Asset_Sale="y",Asset_Sale_Age=F$4),Asset_Sale_Amt,0)</f>
        <v>0</v>
      </c>
      <c r="G80" s="1124">
        <f t="shared" si="84"/>
        <v>0</v>
      </c>
      <c r="H80" s="1124">
        <f t="shared" si="84"/>
        <v>0</v>
      </c>
      <c r="I80" s="1124">
        <f t="shared" si="84"/>
        <v>0</v>
      </c>
      <c r="J80" s="1124">
        <f t="shared" si="84"/>
        <v>0</v>
      </c>
      <c r="K80" s="1124">
        <f t="shared" si="84"/>
        <v>0</v>
      </c>
      <c r="L80" s="1124">
        <f t="shared" si="84"/>
        <v>0</v>
      </c>
      <c r="M80" s="1124">
        <f t="shared" si="84"/>
        <v>0</v>
      </c>
      <c r="N80" s="1124">
        <f t="shared" si="84"/>
        <v>0</v>
      </c>
      <c r="O80" s="1124">
        <f t="shared" si="84"/>
        <v>0</v>
      </c>
      <c r="P80" s="1124">
        <f t="shared" si="84"/>
        <v>0</v>
      </c>
      <c r="Q80" s="1124">
        <f t="shared" si="84"/>
        <v>0</v>
      </c>
      <c r="R80" s="1124">
        <f t="shared" si="84"/>
        <v>0</v>
      </c>
      <c r="S80" s="1124">
        <f t="shared" si="84"/>
        <v>0</v>
      </c>
      <c r="T80" s="1124">
        <f t="shared" si="84"/>
        <v>0</v>
      </c>
      <c r="U80" s="1124">
        <f t="shared" si="84"/>
        <v>0</v>
      </c>
      <c r="V80" s="1124">
        <f t="shared" si="84"/>
        <v>0</v>
      </c>
      <c r="W80" s="1124">
        <f t="shared" si="84"/>
        <v>0</v>
      </c>
      <c r="X80" s="1124">
        <f t="shared" si="84"/>
        <v>0</v>
      </c>
      <c r="Y80" s="1124">
        <f t="shared" si="84"/>
        <v>0</v>
      </c>
      <c r="Z80" s="1124">
        <f t="shared" si="84"/>
        <v>0</v>
      </c>
      <c r="AA80" s="1124">
        <f t="shared" si="84"/>
        <v>0</v>
      </c>
      <c r="AB80" s="1124">
        <f t="shared" si="84"/>
        <v>0</v>
      </c>
      <c r="AC80" s="1124">
        <f t="shared" si="84"/>
        <v>0</v>
      </c>
      <c r="AD80" s="1124">
        <f t="shared" si="84"/>
        <v>100000</v>
      </c>
      <c r="AE80" s="1124">
        <f t="shared" si="84"/>
        <v>0</v>
      </c>
      <c r="AF80" s="1124">
        <f t="shared" si="84"/>
        <v>0</v>
      </c>
      <c r="AG80" s="1124">
        <f t="shared" si="84"/>
        <v>0</v>
      </c>
      <c r="AH80" s="1124">
        <f t="shared" si="84"/>
        <v>0</v>
      </c>
      <c r="AI80" s="1124">
        <f t="shared" si="84"/>
        <v>0</v>
      </c>
      <c r="AJ80" s="1124">
        <f t="shared" si="84"/>
        <v>0</v>
      </c>
      <c r="AK80" s="1124">
        <f t="shared" si="84"/>
        <v>0</v>
      </c>
      <c r="AL80" s="1124">
        <f t="shared" si="84"/>
        <v>0</v>
      </c>
      <c r="AM80" s="1124">
        <f t="shared" si="84"/>
        <v>0</v>
      </c>
      <c r="AN80" s="1124">
        <f t="shared" si="84"/>
        <v>0</v>
      </c>
      <c r="AO80" s="1124">
        <f t="shared" si="84"/>
        <v>0</v>
      </c>
      <c r="AP80" s="1124">
        <f t="shared" si="84"/>
        <v>0</v>
      </c>
      <c r="AQ80" s="1124">
        <f t="shared" si="84"/>
        <v>0</v>
      </c>
      <c r="AR80" s="1124">
        <f t="shared" si="84"/>
        <v>0</v>
      </c>
      <c r="AS80" s="1124">
        <f t="shared" si="84"/>
        <v>0</v>
      </c>
      <c r="AT80" s="42"/>
      <c r="AU80" s="78">
        <f>+Base!E80</f>
        <v>100000</v>
      </c>
      <c r="AV80" s="81">
        <f t="shared" si="83"/>
        <v>0</v>
      </c>
      <c r="AW80" s="29"/>
      <c r="AX80" s="49"/>
      <c r="AY80" s="49"/>
      <c r="AZ80" s="42"/>
      <c r="BA80" s="49"/>
      <c r="BB80" s="49"/>
      <c r="BC80" s="39"/>
      <c r="BD80" s="39"/>
      <c r="BE80" s="39"/>
      <c r="BF80" s="49"/>
      <c r="BG80" s="49"/>
      <c r="BH80" s="49"/>
      <c r="BI80" s="49"/>
      <c r="BJ80" s="39"/>
      <c r="BK80" s="49"/>
      <c r="BL80" s="39"/>
      <c r="BM80" s="39"/>
      <c r="BN80" s="49"/>
      <c r="BO80" s="49"/>
      <c r="BP80" s="49"/>
      <c r="BQ80" s="49"/>
      <c r="BR80" s="49"/>
      <c r="BS80" s="49"/>
      <c r="BT80" s="49"/>
      <c r="BU80" s="49"/>
      <c r="BV80" s="49"/>
      <c r="BW80" s="49"/>
      <c r="BX80" s="49"/>
      <c r="BY80" s="49"/>
      <c r="BZ80" s="49"/>
      <c r="CA80" s="44"/>
      <c r="CB80" s="49"/>
      <c r="CC80" s="49"/>
      <c r="CD80" s="49"/>
      <c r="CE80" s="49"/>
      <c r="CF80" s="49"/>
      <c r="CG80" s="49"/>
      <c r="CH80" s="49"/>
      <c r="CI80" s="49"/>
      <c r="CJ80" s="49"/>
      <c r="CK80" s="49"/>
      <c r="CL80" s="49"/>
      <c r="CM80" s="49"/>
      <c r="CN80" s="49"/>
    </row>
    <row r="81" spans="1:92" hidden="1">
      <c r="A81" s="1427" t="s">
        <v>1578</v>
      </c>
      <c r="B81" s="648" t="s">
        <v>118</v>
      </c>
      <c r="C81" s="1002"/>
      <c r="D81" s="37"/>
      <c r="E81" s="29">
        <f t="shared" si="80"/>
        <v>400000</v>
      </c>
      <c r="F81" s="29">
        <f t="shared" ref="F81:AS81" si="85">IF(AND(Asset_Sale2="y",Asset_Sale_Age2=F$4),Asset_Sale_Amt2,0)</f>
        <v>0</v>
      </c>
      <c r="G81" s="1124">
        <f t="shared" si="85"/>
        <v>0</v>
      </c>
      <c r="H81" s="1124">
        <f t="shared" si="85"/>
        <v>0</v>
      </c>
      <c r="I81" s="1124">
        <f t="shared" si="85"/>
        <v>0</v>
      </c>
      <c r="J81" s="1124">
        <f t="shared" si="85"/>
        <v>0</v>
      </c>
      <c r="K81" s="1124">
        <f t="shared" si="85"/>
        <v>0</v>
      </c>
      <c r="L81" s="1124">
        <f t="shared" si="85"/>
        <v>0</v>
      </c>
      <c r="M81" s="1124">
        <f t="shared" si="85"/>
        <v>0</v>
      </c>
      <c r="N81" s="1124">
        <f t="shared" si="85"/>
        <v>0</v>
      </c>
      <c r="O81" s="1124">
        <f t="shared" si="85"/>
        <v>0</v>
      </c>
      <c r="P81" s="1124">
        <f t="shared" si="85"/>
        <v>0</v>
      </c>
      <c r="Q81" s="1124">
        <f t="shared" si="85"/>
        <v>0</v>
      </c>
      <c r="R81" s="1124">
        <f t="shared" si="85"/>
        <v>0</v>
      </c>
      <c r="S81" s="1124">
        <f t="shared" si="85"/>
        <v>0</v>
      </c>
      <c r="T81" s="1124">
        <f t="shared" si="85"/>
        <v>0</v>
      </c>
      <c r="U81" s="1124">
        <f t="shared" si="85"/>
        <v>0</v>
      </c>
      <c r="V81" s="1124">
        <f t="shared" si="85"/>
        <v>0</v>
      </c>
      <c r="W81" s="1124">
        <f t="shared" si="85"/>
        <v>0</v>
      </c>
      <c r="X81" s="1124">
        <f t="shared" si="85"/>
        <v>0</v>
      </c>
      <c r="Y81" s="1124">
        <f t="shared" si="85"/>
        <v>0</v>
      </c>
      <c r="Z81" s="1124">
        <f t="shared" si="85"/>
        <v>0</v>
      </c>
      <c r="AA81" s="1124">
        <f t="shared" si="85"/>
        <v>0</v>
      </c>
      <c r="AB81" s="1124">
        <f t="shared" si="85"/>
        <v>400000</v>
      </c>
      <c r="AC81" s="1124">
        <f t="shared" si="85"/>
        <v>0</v>
      </c>
      <c r="AD81" s="1124">
        <f t="shared" si="85"/>
        <v>0</v>
      </c>
      <c r="AE81" s="1124">
        <f t="shared" si="85"/>
        <v>0</v>
      </c>
      <c r="AF81" s="1124">
        <f t="shared" si="85"/>
        <v>0</v>
      </c>
      <c r="AG81" s="1124">
        <f t="shared" si="85"/>
        <v>0</v>
      </c>
      <c r="AH81" s="1124">
        <f t="shared" si="85"/>
        <v>0</v>
      </c>
      <c r="AI81" s="1124">
        <f t="shared" si="85"/>
        <v>0</v>
      </c>
      <c r="AJ81" s="1124">
        <f t="shared" si="85"/>
        <v>0</v>
      </c>
      <c r="AK81" s="1124">
        <f t="shared" si="85"/>
        <v>0</v>
      </c>
      <c r="AL81" s="1124">
        <f t="shared" si="85"/>
        <v>0</v>
      </c>
      <c r="AM81" s="1124">
        <f t="shared" si="85"/>
        <v>0</v>
      </c>
      <c r="AN81" s="1124">
        <f t="shared" si="85"/>
        <v>0</v>
      </c>
      <c r="AO81" s="1124">
        <f t="shared" si="85"/>
        <v>0</v>
      </c>
      <c r="AP81" s="1124">
        <f t="shared" si="85"/>
        <v>0</v>
      </c>
      <c r="AQ81" s="1124">
        <f t="shared" si="85"/>
        <v>0</v>
      </c>
      <c r="AR81" s="1124">
        <f t="shared" si="85"/>
        <v>0</v>
      </c>
      <c r="AS81" s="1124">
        <f t="shared" si="85"/>
        <v>0</v>
      </c>
      <c r="AT81" s="42"/>
      <c r="AU81" s="78">
        <f>+Base!E81</f>
        <v>400000</v>
      </c>
      <c r="AV81" s="81">
        <f t="shared" si="83"/>
        <v>0</v>
      </c>
      <c r="AW81" s="29"/>
      <c r="AX81" s="49"/>
      <c r="AY81" s="49"/>
      <c r="AZ81" s="42"/>
      <c r="BA81" s="49"/>
      <c r="BB81" s="49"/>
      <c r="BC81" s="39"/>
      <c r="BD81" s="39"/>
      <c r="BE81" s="39"/>
      <c r="BF81" s="49"/>
      <c r="BG81" s="49"/>
      <c r="BH81" s="49"/>
      <c r="BI81" s="49"/>
      <c r="BJ81" s="39"/>
      <c r="BK81" s="49"/>
      <c r="BL81" s="39"/>
      <c r="BM81" s="39"/>
      <c r="BN81" s="49"/>
      <c r="BO81" s="49"/>
      <c r="BP81" s="49"/>
      <c r="BQ81" s="49"/>
      <c r="BR81" s="49"/>
      <c r="BS81" s="49"/>
      <c r="BT81" s="49"/>
      <c r="BU81" s="49"/>
      <c r="BV81" s="49"/>
      <c r="BW81" s="49"/>
      <c r="BX81" s="49"/>
      <c r="BY81" s="49"/>
      <c r="BZ81" s="49"/>
      <c r="CA81" s="44"/>
      <c r="CB81" s="49"/>
      <c r="CC81" s="49"/>
      <c r="CD81" s="49"/>
      <c r="CE81" s="49"/>
      <c r="CF81" s="49"/>
      <c r="CG81" s="49"/>
      <c r="CH81" s="49"/>
      <c r="CI81" s="49"/>
      <c r="CJ81" s="49"/>
      <c r="CK81" s="49"/>
      <c r="CL81" s="49"/>
      <c r="CM81" s="49"/>
      <c r="CN81" s="49"/>
    </row>
    <row r="82" spans="1:92" hidden="1">
      <c r="A82" s="1427" t="s">
        <v>1578</v>
      </c>
      <c r="B82" s="648" t="s">
        <v>119</v>
      </c>
      <c r="C82" s="1002"/>
      <c r="D82" s="37"/>
      <c r="E82" s="29">
        <f t="shared" si="80"/>
        <v>-80000</v>
      </c>
      <c r="F82" s="102">
        <f t="shared" ref="F82:AS82" si="86">IF(AND(Expenditure="y",Expenditure_Age=F$4),-Expenditure_Amt,0)</f>
        <v>0</v>
      </c>
      <c r="G82" s="1124">
        <f t="shared" si="86"/>
        <v>0</v>
      </c>
      <c r="H82" s="1124">
        <f t="shared" si="86"/>
        <v>0</v>
      </c>
      <c r="I82" s="1124">
        <f t="shared" si="86"/>
        <v>0</v>
      </c>
      <c r="J82" s="1124">
        <f t="shared" si="86"/>
        <v>0</v>
      </c>
      <c r="K82" s="1124">
        <f t="shared" si="86"/>
        <v>0</v>
      </c>
      <c r="L82" s="1124">
        <f t="shared" si="86"/>
        <v>0</v>
      </c>
      <c r="M82" s="1124">
        <f t="shared" si="86"/>
        <v>0</v>
      </c>
      <c r="N82" s="1124">
        <f t="shared" si="86"/>
        <v>0</v>
      </c>
      <c r="O82" s="1124">
        <f t="shared" si="86"/>
        <v>0</v>
      </c>
      <c r="P82" s="1124">
        <f t="shared" si="86"/>
        <v>-80000</v>
      </c>
      <c r="Q82" s="1124">
        <f t="shared" si="86"/>
        <v>0</v>
      </c>
      <c r="R82" s="1124">
        <f t="shared" si="86"/>
        <v>0</v>
      </c>
      <c r="S82" s="1124">
        <f t="shared" si="86"/>
        <v>0</v>
      </c>
      <c r="T82" s="1124">
        <f t="shared" si="86"/>
        <v>0</v>
      </c>
      <c r="U82" s="1124">
        <f t="shared" si="86"/>
        <v>0</v>
      </c>
      <c r="V82" s="1124">
        <f t="shared" si="86"/>
        <v>0</v>
      </c>
      <c r="W82" s="1124">
        <f t="shared" si="86"/>
        <v>0</v>
      </c>
      <c r="X82" s="1124">
        <f t="shared" si="86"/>
        <v>0</v>
      </c>
      <c r="Y82" s="1124">
        <f t="shared" si="86"/>
        <v>0</v>
      </c>
      <c r="Z82" s="1124">
        <f t="shared" si="86"/>
        <v>0</v>
      </c>
      <c r="AA82" s="1124">
        <f t="shared" si="86"/>
        <v>0</v>
      </c>
      <c r="AB82" s="1124">
        <f t="shared" si="86"/>
        <v>0</v>
      </c>
      <c r="AC82" s="1124">
        <f t="shared" si="86"/>
        <v>0</v>
      </c>
      <c r="AD82" s="1124">
        <f t="shared" si="86"/>
        <v>0</v>
      </c>
      <c r="AE82" s="1124">
        <f t="shared" si="86"/>
        <v>0</v>
      </c>
      <c r="AF82" s="1124">
        <f t="shared" si="86"/>
        <v>0</v>
      </c>
      <c r="AG82" s="1124">
        <f t="shared" si="86"/>
        <v>0</v>
      </c>
      <c r="AH82" s="1124">
        <f t="shared" si="86"/>
        <v>0</v>
      </c>
      <c r="AI82" s="1124">
        <f t="shared" si="86"/>
        <v>0</v>
      </c>
      <c r="AJ82" s="1124">
        <f t="shared" si="86"/>
        <v>0</v>
      </c>
      <c r="AK82" s="1124">
        <f t="shared" si="86"/>
        <v>0</v>
      </c>
      <c r="AL82" s="1124">
        <f t="shared" si="86"/>
        <v>0</v>
      </c>
      <c r="AM82" s="1124">
        <f t="shared" si="86"/>
        <v>0</v>
      </c>
      <c r="AN82" s="1124">
        <f t="shared" si="86"/>
        <v>0</v>
      </c>
      <c r="AO82" s="1124">
        <f t="shared" si="86"/>
        <v>0</v>
      </c>
      <c r="AP82" s="1124">
        <f t="shared" si="86"/>
        <v>0</v>
      </c>
      <c r="AQ82" s="1124">
        <f t="shared" si="86"/>
        <v>0</v>
      </c>
      <c r="AR82" s="1124">
        <f t="shared" si="86"/>
        <v>0</v>
      </c>
      <c r="AS82" s="1124">
        <f t="shared" si="86"/>
        <v>0</v>
      </c>
      <c r="AT82" s="111"/>
      <c r="AU82" s="78">
        <f>+Base!E82</f>
        <v>-80000</v>
      </c>
      <c r="AV82" s="81">
        <f t="shared" si="83"/>
        <v>0</v>
      </c>
      <c r="AW82" s="29"/>
      <c r="AX82" s="49"/>
      <c r="AY82" s="49"/>
      <c r="AZ82" s="42"/>
      <c r="BA82" s="49"/>
      <c r="BB82" s="49"/>
      <c r="BC82" s="39"/>
      <c r="BD82" s="39"/>
      <c r="BE82" s="39"/>
      <c r="BF82" s="49"/>
      <c r="BG82" s="49"/>
      <c r="BH82" s="49"/>
      <c r="BI82" s="49"/>
      <c r="BJ82" s="39"/>
      <c r="BK82" s="49"/>
      <c r="BL82" s="39"/>
      <c r="BM82" s="39"/>
      <c r="BN82" s="49"/>
      <c r="BO82" s="49"/>
      <c r="BP82" s="49"/>
      <c r="BQ82" s="49"/>
      <c r="BR82" s="49"/>
      <c r="BS82" s="49"/>
      <c r="BT82" s="49"/>
      <c r="BU82" s="49"/>
      <c r="BV82" s="49"/>
      <c r="BW82" s="49"/>
      <c r="BX82" s="49"/>
      <c r="BY82" s="49"/>
      <c r="BZ82" s="49"/>
      <c r="CA82" s="44"/>
      <c r="CB82" s="49"/>
      <c r="CC82" s="49"/>
      <c r="CD82" s="49"/>
      <c r="CE82" s="49"/>
      <c r="CF82" s="49"/>
      <c r="CG82" s="49"/>
      <c r="CH82" s="49"/>
      <c r="CI82" s="49"/>
      <c r="CJ82" s="49"/>
      <c r="CK82" s="49"/>
      <c r="CL82" s="49"/>
      <c r="CM82" s="49"/>
      <c r="CN82" s="49"/>
    </row>
    <row r="83" spans="1:92" hidden="1">
      <c r="A83" s="1427" t="s">
        <v>1578</v>
      </c>
      <c r="B83" s="648" t="s">
        <v>120</v>
      </c>
      <c r="C83" s="1002"/>
      <c r="D83" s="37"/>
      <c r="E83" s="29">
        <f t="shared" si="80"/>
        <v>-20000</v>
      </c>
      <c r="F83" s="102">
        <f t="shared" ref="F83:AS83" si="87">IF(AND(Expenditure2="y",Expenditure_Age2=F$4),-Expenditure_Amt2,0)</f>
        <v>0</v>
      </c>
      <c r="G83" s="1124">
        <f t="shared" si="87"/>
        <v>0</v>
      </c>
      <c r="H83" s="1124">
        <f t="shared" si="87"/>
        <v>0</v>
      </c>
      <c r="I83" s="1124">
        <f t="shared" si="87"/>
        <v>0</v>
      </c>
      <c r="J83" s="1124">
        <f t="shared" si="87"/>
        <v>0</v>
      </c>
      <c r="K83" s="1124">
        <f t="shared" si="87"/>
        <v>0</v>
      </c>
      <c r="L83" s="1124">
        <f t="shared" si="87"/>
        <v>0</v>
      </c>
      <c r="M83" s="1124">
        <f t="shared" si="87"/>
        <v>0</v>
      </c>
      <c r="N83" s="1124">
        <f t="shared" si="87"/>
        <v>0</v>
      </c>
      <c r="O83" s="1124">
        <f t="shared" si="87"/>
        <v>0</v>
      </c>
      <c r="P83" s="1124">
        <f t="shared" si="87"/>
        <v>0</v>
      </c>
      <c r="Q83" s="1124">
        <f t="shared" si="87"/>
        <v>0</v>
      </c>
      <c r="R83" s="1124">
        <f t="shared" si="87"/>
        <v>-20000</v>
      </c>
      <c r="S83" s="1124">
        <f t="shared" si="87"/>
        <v>0</v>
      </c>
      <c r="T83" s="1124">
        <f t="shared" si="87"/>
        <v>0</v>
      </c>
      <c r="U83" s="1124">
        <f t="shared" si="87"/>
        <v>0</v>
      </c>
      <c r="V83" s="1124">
        <f t="shared" si="87"/>
        <v>0</v>
      </c>
      <c r="W83" s="1124">
        <f t="shared" si="87"/>
        <v>0</v>
      </c>
      <c r="X83" s="1124">
        <f t="shared" si="87"/>
        <v>0</v>
      </c>
      <c r="Y83" s="1124">
        <f t="shared" si="87"/>
        <v>0</v>
      </c>
      <c r="Z83" s="1124">
        <f t="shared" si="87"/>
        <v>0</v>
      </c>
      <c r="AA83" s="1124">
        <f t="shared" si="87"/>
        <v>0</v>
      </c>
      <c r="AB83" s="1124">
        <f t="shared" si="87"/>
        <v>0</v>
      </c>
      <c r="AC83" s="1124">
        <f t="shared" si="87"/>
        <v>0</v>
      </c>
      <c r="AD83" s="1124">
        <f t="shared" si="87"/>
        <v>0</v>
      </c>
      <c r="AE83" s="1124">
        <f t="shared" si="87"/>
        <v>0</v>
      </c>
      <c r="AF83" s="1124">
        <f t="shared" si="87"/>
        <v>0</v>
      </c>
      <c r="AG83" s="1124">
        <f t="shared" si="87"/>
        <v>0</v>
      </c>
      <c r="AH83" s="1124">
        <f t="shared" si="87"/>
        <v>0</v>
      </c>
      <c r="AI83" s="1124">
        <f t="shared" si="87"/>
        <v>0</v>
      </c>
      <c r="AJ83" s="1124">
        <f t="shared" si="87"/>
        <v>0</v>
      </c>
      <c r="AK83" s="1124">
        <f t="shared" si="87"/>
        <v>0</v>
      </c>
      <c r="AL83" s="1124">
        <f t="shared" si="87"/>
        <v>0</v>
      </c>
      <c r="AM83" s="1124">
        <f t="shared" si="87"/>
        <v>0</v>
      </c>
      <c r="AN83" s="1124">
        <f t="shared" si="87"/>
        <v>0</v>
      </c>
      <c r="AO83" s="1124">
        <f t="shared" si="87"/>
        <v>0</v>
      </c>
      <c r="AP83" s="1124">
        <f t="shared" si="87"/>
        <v>0</v>
      </c>
      <c r="AQ83" s="1124">
        <f t="shared" si="87"/>
        <v>0</v>
      </c>
      <c r="AR83" s="1124">
        <f t="shared" si="87"/>
        <v>0</v>
      </c>
      <c r="AS83" s="1124">
        <f t="shared" si="87"/>
        <v>0</v>
      </c>
      <c r="AT83" s="42"/>
      <c r="AU83" s="78">
        <f>+Base!E83</f>
        <v>-20000</v>
      </c>
      <c r="AV83" s="81">
        <f t="shared" si="83"/>
        <v>0</v>
      </c>
      <c r="AW83" s="29"/>
      <c r="AX83" s="49"/>
      <c r="AY83" s="49"/>
      <c r="AZ83" s="42"/>
      <c r="BA83" s="49"/>
      <c r="BB83" s="49"/>
      <c r="BC83" s="39"/>
      <c r="BD83" s="39"/>
      <c r="BE83" s="39"/>
      <c r="BF83" s="49"/>
      <c r="BG83" s="49"/>
      <c r="BH83" s="49"/>
      <c r="BI83" s="49"/>
      <c r="BJ83" s="39"/>
      <c r="BK83" s="49"/>
      <c r="BL83" s="39"/>
      <c r="BM83" s="39"/>
      <c r="BN83" s="49"/>
      <c r="BO83" s="49"/>
      <c r="BP83" s="49"/>
      <c r="BQ83" s="49"/>
      <c r="BR83" s="49"/>
      <c r="BS83" s="49"/>
      <c r="BT83" s="49"/>
      <c r="BU83" s="49"/>
      <c r="BV83" s="49"/>
      <c r="BW83" s="49"/>
      <c r="BX83" s="49"/>
      <c r="BY83" s="49"/>
      <c r="BZ83" s="49"/>
      <c r="CA83" s="44"/>
      <c r="CB83" s="49"/>
      <c r="CC83" s="49"/>
      <c r="CD83" s="49"/>
      <c r="CE83" s="49"/>
      <c r="CF83" s="49"/>
      <c r="CG83" s="49"/>
      <c r="CH83" s="49"/>
      <c r="CI83" s="49"/>
      <c r="CJ83" s="49"/>
      <c r="CK83" s="49"/>
      <c r="CL83" s="49"/>
      <c r="CM83" s="49"/>
      <c r="CN83" s="49"/>
    </row>
    <row r="84" spans="1:92" hidden="1">
      <c r="A84" s="1427" t="s">
        <v>1578</v>
      </c>
      <c r="B84" s="648" t="s">
        <v>1531</v>
      </c>
      <c r="C84" s="1002"/>
      <c r="D84" s="37"/>
      <c r="E84" s="34">
        <f t="shared" si="80"/>
        <v>-100000</v>
      </c>
      <c r="F84" s="34">
        <f t="shared" ref="F84:AS84" si="88">IF(SPIA_From="t",IF(SPIA_Age=F$4,-SPIA_Amt,0),0)*IF(SPIA_Amt&gt;F8,0,1)</f>
        <v>0</v>
      </c>
      <c r="G84" s="1125">
        <f t="shared" si="88"/>
        <v>0</v>
      </c>
      <c r="H84" s="1125">
        <f t="shared" si="88"/>
        <v>0</v>
      </c>
      <c r="I84" s="1125">
        <f t="shared" si="88"/>
        <v>0</v>
      </c>
      <c r="J84" s="1125">
        <f t="shared" si="88"/>
        <v>0</v>
      </c>
      <c r="K84" s="1125">
        <f t="shared" si="88"/>
        <v>0</v>
      </c>
      <c r="L84" s="1125">
        <f t="shared" si="88"/>
        <v>0</v>
      </c>
      <c r="M84" s="1125">
        <f t="shared" si="88"/>
        <v>0</v>
      </c>
      <c r="N84" s="1125">
        <f t="shared" si="88"/>
        <v>0</v>
      </c>
      <c r="O84" s="1125">
        <f t="shared" si="88"/>
        <v>0</v>
      </c>
      <c r="P84" s="1125">
        <f t="shared" si="88"/>
        <v>0</v>
      </c>
      <c r="Q84" s="1125">
        <f t="shared" si="88"/>
        <v>0</v>
      </c>
      <c r="R84" s="1125">
        <f t="shared" si="88"/>
        <v>0</v>
      </c>
      <c r="S84" s="1125">
        <f t="shared" si="88"/>
        <v>0</v>
      </c>
      <c r="T84" s="1125">
        <f t="shared" si="88"/>
        <v>-100000</v>
      </c>
      <c r="U84" s="1125">
        <f t="shared" si="88"/>
        <v>0</v>
      </c>
      <c r="V84" s="1125">
        <f t="shared" si="88"/>
        <v>0</v>
      </c>
      <c r="W84" s="1125">
        <f t="shared" si="88"/>
        <v>0</v>
      </c>
      <c r="X84" s="1125">
        <f t="shared" si="88"/>
        <v>0</v>
      </c>
      <c r="Y84" s="1125">
        <f t="shared" si="88"/>
        <v>0</v>
      </c>
      <c r="Z84" s="1125">
        <f t="shared" si="88"/>
        <v>0</v>
      </c>
      <c r="AA84" s="1125">
        <f t="shared" si="88"/>
        <v>0</v>
      </c>
      <c r="AB84" s="1125">
        <f t="shared" si="88"/>
        <v>0</v>
      </c>
      <c r="AC84" s="1125">
        <f t="shared" si="88"/>
        <v>0</v>
      </c>
      <c r="AD84" s="1125">
        <f t="shared" si="88"/>
        <v>0</v>
      </c>
      <c r="AE84" s="1125">
        <f t="shared" si="88"/>
        <v>0</v>
      </c>
      <c r="AF84" s="1125">
        <f t="shared" si="88"/>
        <v>0</v>
      </c>
      <c r="AG84" s="1125">
        <f t="shared" si="88"/>
        <v>0</v>
      </c>
      <c r="AH84" s="1125">
        <f t="shared" si="88"/>
        <v>0</v>
      </c>
      <c r="AI84" s="1125">
        <f t="shared" si="88"/>
        <v>0</v>
      </c>
      <c r="AJ84" s="1125">
        <f t="shared" si="88"/>
        <v>0</v>
      </c>
      <c r="AK84" s="1125">
        <f t="shared" si="88"/>
        <v>0</v>
      </c>
      <c r="AL84" s="1125">
        <f t="shared" si="88"/>
        <v>0</v>
      </c>
      <c r="AM84" s="1125">
        <f t="shared" si="88"/>
        <v>0</v>
      </c>
      <c r="AN84" s="1125">
        <f t="shared" si="88"/>
        <v>0</v>
      </c>
      <c r="AO84" s="1125">
        <f t="shared" si="88"/>
        <v>0</v>
      </c>
      <c r="AP84" s="1125">
        <f t="shared" si="88"/>
        <v>0</v>
      </c>
      <c r="AQ84" s="1125">
        <f t="shared" si="88"/>
        <v>0</v>
      </c>
      <c r="AR84" s="1125">
        <f t="shared" si="88"/>
        <v>0</v>
      </c>
      <c r="AS84" s="1125">
        <f t="shared" si="88"/>
        <v>0</v>
      </c>
      <c r="AT84" s="42"/>
      <c r="AU84" s="82">
        <f>+Base!E84</f>
        <v>-100000</v>
      </c>
      <c r="AV84" s="83">
        <f t="shared" si="83"/>
        <v>0</v>
      </c>
      <c r="AW84" s="34"/>
      <c r="AX84" s="49"/>
      <c r="AY84" s="49"/>
      <c r="AZ84" s="42"/>
      <c r="BA84" s="49"/>
      <c r="BB84" s="49"/>
      <c r="BC84" s="39"/>
      <c r="BD84" s="39"/>
      <c r="BE84" s="39"/>
      <c r="BF84" s="49"/>
      <c r="BG84" s="49"/>
      <c r="BH84" s="49"/>
      <c r="BI84" s="49"/>
      <c r="BJ84" s="39"/>
      <c r="BK84" s="49"/>
      <c r="BL84" s="39"/>
      <c r="BM84" s="39"/>
      <c r="BN84" s="49"/>
      <c r="BO84" s="49"/>
      <c r="BP84" s="49"/>
      <c r="BQ84" s="49"/>
      <c r="BR84" s="49"/>
      <c r="BS84" s="49"/>
      <c r="BT84" s="49"/>
      <c r="BU84" s="49"/>
      <c r="BV84" s="49"/>
      <c r="BW84" s="49"/>
      <c r="BX84" s="49"/>
      <c r="BY84" s="49"/>
      <c r="BZ84" s="49"/>
      <c r="CA84" s="44"/>
      <c r="CB84" s="49"/>
      <c r="CC84" s="49"/>
      <c r="CD84" s="49"/>
      <c r="CE84" s="49"/>
      <c r="CF84" s="49"/>
      <c r="CG84" s="49"/>
      <c r="CH84" s="49"/>
      <c r="CI84" s="49"/>
      <c r="CJ84" s="49"/>
      <c r="CK84" s="49"/>
      <c r="CL84" s="49"/>
      <c r="CM84" s="49"/>
      <c r="CN84" s="49"/>
    </row>
    <row r="85" spans="1:92">
      <c r="A85" s="1425"/>
      <c r="B85" s="457" t="s">
        <v>1286</v>
      </c>
      <c r="C85" s="457"/>
      <c r="D85" s="457"/>
      <c r="E85" s="29">
        <f t="shared" si="80"/>
        <v>400000</v>
      </c>
      <c r="F85" s="29">
        <f>+F78+F79+F80+F81+F82+F83+F84</f>
        <v>0</v>
      </c>
      <c r="G85" s="1124">
        <f t="shared" ref="G85:AS85" si="89">+G78+G79+G80+G81+G82+G83+G84</f>
        <v>0</v>
      </c>
      <c r="H85" s="1124">
        <f t="shared" si="89"/>
        <v>0</v>
      </c>
      <c r="I85" s="1124">
        <f t="shared" si="89"/>
        <v>0</v>
      </c>
      <c r="J85" s="1124">
        <f t="shared" si="89"/>
        <v>0</v>
      </c>
      <c r="K85" s="1124">
        <f t="shared" si="89"/>
        <v>0</v>
      </c>
      <c r="L85" s="1124">
        <f t="shared" si="89"/>
        <v>0</v>
      </c>
      <c r="M85" s="1124">
        <f t="shared" si="89"/>
        <v>0</v>
      </c>
      <c r="N85" s="1124">
        <f t="shared" si="89"/>
        <v>0</v>
      </c>
      <c r="O85" s="1124">
        <f t="shared" si="89"/>
        <v>0</v>
      </c>
      <c r="P85" s="1124">
        <f t="shared" si="89"/>
        <v>-80000</v>
      </c>
      <c r="Q85" s="1124">
        <f t="shared" si="89"/>
        <v>40000</v>
      </c>
      <c r="R85" s="1124">
        <f t="shared" si="89"/>
        <v>-20000</v>
      </c>
      <c r="S85" s="1124">
        <f t="shared" si="89"/>
        <v>0</v>
      </c>
      <c r="T85" s="1124">
        <f t="shared" si="89"/>
        <v>-100000</v>
      </c>
      <c r="U85" s="1124">
        <f t="shared" si="89"/>
        <v>60000</v>
      </c>
      <c r="V85" s="1124">
        <f t="shared" si="89"/>
        <v>0</v>
      </c>
      <c r="W85" s="1124">
        <f t="shared" si="89"/>
        <v>0</v>
      </c>
      <c r="X85" s="1124">
        <f t="shared" si="89"/>
        <v>0</v>
      </c>
      <c r="Y85" s="1124">
        <f t="shared" si="89"/>
        <v>0</v>
      </c>
      <c r="Z85" s="1124">
        <f t="shared" si="89"/>
        <v>0</v>
      </c>
      <c r="AA85" s="1124">
        <f t="shared" si="89"/>
        <v>0</v>
      </c>
      <c r="AB85" s="1124">
        <f t="shared" si="89"/>
        <v>400000</v>
      </c>
      <c r="AC85" s="1124">
        <f t="shared" si="89"/>
        <v>0</v>
      </c>
      <c r="AD85" s="1124">
        <f t="shared" si="89"/>
        <v>100000</v>
      </c>
      <c r="AE85" s="1124">
        <f t="shared" si="89"/>
        <v>0</v>
      </c>
      <c r="AF85" s="1124">
        <f t="shared" si="89"/>
        <v>0</v>
      </c>
      <c r="AG85" s="1124">
        <f t="shared" si="89"/>
        <v>0</v>
      </c>
      <c r="AH85" s="1124">
        <f t="shared" si="89"/>
        <v>0</v>
      </c>
      <c r="AI85" s="1124">
        <f t="shared" si="89"/>
        <v>0</v>
      </c>
      <c r="AJ85" s="1124">
        <f t="shared" si="89"/>
        <v>0</v>
      </c>
      <c r="AK85" s="1124">
        <f t="shared" si="89"/>
        <v>0</v>
      </c>
      <c r="AL85" s="1124">
        <f t="shared" si="89"/>
        <v>0</v>
      </c>
      <c r="AM85" s="1124">
        <f t="shared" si="89"/>
        <v>0</v>
      </c>
      <c r="AN85" s="1124">
        <f t="shared" si="89"/>
        <v>0</v>
      </c>
      <c r="AO85" s="1124">
        <f t="shared" si="89"/>
        <v>0</v>
      </c>
      <c r="AP85" s="1124">
        <f t="shared" si="89"/>
        <v>0</v>
      </c>
      <c r="AQ85" s="1124">
        <f t="shared" si="89"/>
        <v>0</v>
      </c>
      <c r="AR85" s="1124">
        <f t="shared" si="89"/>
        <v>0</v>
      </c>
      <c r="AS85" s="1124">
        <f t="shared" si="89"/>
        <v>0</v>
      </c>
      <c r="AT85" s="42"/>
      <c r="AU85" s="78">
        <f>+Base!E85</f>
        <v>400000</v>
      </c>
      <c r="AV85" s="81">
        <f>+E85-AU85</f>
        <v>0</v>
      </c>
      <c r="AW85" s="29"/>
      <c r="AX85" s="49"/>
      <c r="AY85" s="49"/>
      <c r="AZ85" s="42"/>
      <c r="BA85" s="49"/>
      <c r="BB85" s="49"/>
      <c r="BC85" s="39"/>
      <c r="BD85" s="39"/>
      <c r="BE85" s="39"/>
      <c r="BF85" s="49"/>
      <c r="BG85" s="49"/>
      <c r="BH85" s="49"/>
      <c r="BI85" s="49"/>
      <c r="BJ85" s="39"/>
      <c r="BK85" s="49"/>
      <c r="BL85" s="39"/>
      <c r="BM85" s="39"/>
      <c r="BN85" s="49"/>
      <c r="BO85" s="49"/>
      <c r="BP85" s="49"/>
      <c r="BQ85" s="49"/>
      <c r="BR85" s="49"/>
      <c r="BS85" s="49"/>
      <c r="BT85" s="49"/>
      <c r="BU85" s="49"/>
      <c r="BV85" s="49"/>
      <c r="BW85" s="49"/>
      <c r="BX85" s="49"/>
      <c r="BY85" s="49"/>
      <c r="BZ85" s="49"/>
      <c r="CA85" s="44"/>
      <c r="CB85" s="49"/>
      <c r="CC85" s="49"/>
      <c r="CD85" s="49"/>
      <c r="CE85" s="49"/>
      <c r="CF85" s="49"/>
      <c r="CG85" s="49"/>
      <c r="CH85" s="49"/>
      <c r="CI85" s="49"/>
      <c r="CJ85" s="49"/>
      <c r="CK85" s="49"/>
      <c r="CL85" s="49"/>
      <c r="CM85" s="49"/>
      <c r="CN85" s="49"/>
    </row>
    <row r="86" spans="1:92" ht="4.2" customHeight="1">
      <c r="A86" s="1425"/>
      <c r="C86" s="3"/>
      <c r="G86" s="1124"/>
      <c r="H86" s="1124"/>
      <c r="I86" s="1124"/>
      <c r="J86" s="1124"/>
      <c r="K86" s="1124"/>
      <c r="L86" s="1124"/>
      <c r="M86" s="1124"/>
      <c r="N86" s="1124"/>
      <c r="O86" s="1124"/>
      <c r="P86" s="1124"/>
      <c r="Q86" s="1124"/>
      <c r="R86" s="1124"/>
      <c r="S86" s="1124"/>
      <c r="T86" s="1124"/>
      <c r="U86" s="1124"/>
      <c r="V86" s="1124"/>
      <c r="W86" s="1124"/>
      <c r="X86" s="1124"/>
      <c r="Y86" s="1124"/>
      <c r="Z86" s="1124"/>
      <c r="AA86" s="1124"/>
      <c r="AB86" s="1124"/>
      <c r="AC86" s="1124"/>
      <c r="AD86" s="1124"/>
      <c r="AE86" s="1124"/>
      <c r="AF86" s="1124"/>
      <c r="AG86" s="1124"/>
      <c r="AH86" s="1124"/>
      <c r="AI86" s="1124"/>
      <c r="AJ86" s="1124"/>
      <c r="AK86" s="1124"/>
      <c r="AL86" s="1124"/>
      <c r="AM86" s="1124"/>
      <c r="AN86" s="1124"/>
      <c r="AO86" s="1124"/>
      <c r="AP86" s="1124"/>
      <c r="AQ86" s="1124"/>
      <c r="AR86" s="1124"/>
      <c r="AS86" s="1124"/>
      <c r="AT86" s="3"/>
      <c r="AX86" s="49"/>
      <c r="AY86" s="49"/>
      <c r="AZ86" s="42"/>
      <c r="BA86" s="49"/>
      <c r="BB86" s="49"/>
      <c r="BC86" s="39"/>
      <c r="BD86" s="39"/>
      <c r="BE86" s="39"/>
      <c r="BF86" s="49"/>
      <c r="BG86" s="49"/>
      <c r="BH86" s="49"/>
      <c r="BI86" s="49"/>
      <c r="BJ86" s="39"/>
      <c r="BK86" s="49"/>
      <c r="BL86" s="39"/>
      <c r="BM86" s="39"/>
      <c r="BN86" s="49"/>
      <c r="BO86" s="49"/>
      <c r="BP86" s="49"/>
      <c r="BQ86" s="49"/>
      <c r="BR86" s="49"/>
      <c r="BS86" s="49"/>
      <c r="BT86" s="49"/>
      <c r="BU86" s="49"/>
      <c r="BV86" s="49"/>
      <c r="BW86" s="49"/>
      <c r="BX86" s="49"/>
      <c r="BY86" s="49"/>
      <c r="BZ86" s="49"/>
      <c r="CA86" s="44"/>
      <c r="CB86" s="49"/>
      <c r="CC86" s="49"/>
      <c r="CD86" s="49"/>
      <c r="CE86" s="49"/>
      <c r="CF86" s="49"/>
      <c r="CG86" s="49"/>
      <c r="CH86" s="49"/>
      <c r="CI86" s="49"/>
      <c r="CJ86" s="49"/>
      <c r="CK86" s="49"/>
      <c r="CL86" s="49"/>
      <c r="CM86" s="49"/>
      <c r="CN86" s="49"/>
    </row>
    <row r="87" spans="1:92" ht="19.95" customHeight="1">
      <c r="A87" s="1425"/>
      <c r="B87" s="1764" t="s">
        <v>1813</v>
      </c>
      <c r="C87" s="1743" t="str">
        <f>tIRA1_Start &amp; "-" &amp; tIRA1_End</f>
        <v>-</v>
      </c>
      <c r="D87" s="1757">
        <f>tIRA1_Esc</f>
        <v>0</v>
      </c>
      <c r="E87" s="65">
        <f t="shared" si="80"/>
        <v>0</v>
      </c>
      <c r="F87" s="1305">
        <f>ROUND(IF(tIRA1_Start=F$4,tIRA1_Add,0)/Round_To,0)*Round_To</f>
        <v>0</v>
      </c>
      <c r="G87" s="1124">
        <f t="shared" ref="G87:AS87" si="90">ROUND(IF(AND(F87&gt;0,OR(tIRA1_End&gt;=G$4,tIRA1_End&gt;="")),F87*(1+tIRA1_Esc),IF(tIRA1_Start=G$4,tIRA1_Add,0))/Round_To,0)*Round_To*G$264</f>
        <v>0</v>
      </c>
      <c r="H87" s="1124">
        <f t="shared" si="90"/>
        <v>0</v>
      </c>
      <c r="I87" s="1124">
        <f t="shared" si="90"/>
        <v>0</v>
      </c>
      <c r="J87" s="1124">
        <f t="shared" si="90"/>
        <v>0</v>
      </c>
      <c r="K87" s="1124">
        <f t="shared" si="90"/>
        <v>0</v>
      </c>
      <c r="L87" s="1124">
        <f t="shared" si="90"/>
        <v>0</v>
      </c>
      <c r="M87" s="1124">
        <f t="shared" si="90"/>
        <v>0</v>
      </c>
      <c r="N87" s="1124">
        <f t="shared" si="90"/>
        <v>0</v>
      </c>
      <c r="O87" s="1124">
        <f t="shared" si="90"/>
        <v>0</v>
      </c>
      <c r="P87" s="1124">
        <f t="shared" si="90"/>
        <v>0</v>
      </c>
      <c r="Q87" s="1124">
        <f t="shared" si="90"/>
        <v>0</v>
      </c>
      <c r="R87" s="1124">
        <f t="shared" si="90"/>
        <v>0</v>
      </c>
      <c r="S87" s="1124">
        <f t="shared" si="90"/>
        <v>0</v>
      </c>
      <c r="T87" s="1124">
        <f t="shared" si="90"/>
        <v>0</v>
      </c>
      <c r="U87" s="1124">
        <f t="shared" si="90"/>
        <v>0</v>
      </c>
      <c r="V87" s="1124">
        <f t="shared" si="90"/>
        <v>0</v>
      </c>
      <c r="W87" s="1124">
        <f t="shared" si="90"/>
        <v>0</v>
      </c>
      <c r="X87" s="1124">
        <f t="shared" si="90"/>
        <v>0</v>
      </c>
      <c r="Y87" s="1124">
        <f t="shared" si="90"/>
        <v>0</v>
      </c>
      <c r="Z87" s="1124">
        <f t="shared" si="90"/>
        <v>0</v>
      </c>
      <c r="AA87" s="1124">
        <f t="shared" si="90"/>
        <v>0</v>
      </c>
      <c r="AB87" s="1124">
        <f t="shared" si="90"/>
        <v>0</v>
      </c>
      <c r="AC87" s="1124">
        <f t="shared" si="90"/>
        <v>0</v>
      </c>
      <c r="AD87" s="1124">
        <f t="shared" si="90"/>
        <v>0</v>
      </c>
      <c r="AE87" s="1124">
        <f t="shared" si="90"/>
        <v>0</v>
      </c>
      <c r="AF87" s="1124">
        <f t="shared" si="90"/>
        <v>0</v>
      </c>
      <c r="AG87" s="1124">
        <f t="shared" si="90"/>
        <v>0</v>
      </c>
      <c r="AH87" s="1124">
        <f t="shared" si="90"/>
        <v>0</v>
      </c>
      <c r="AI87" s="1124">
        <f t="shared" si="90"/>
        <v>0</v>
      </c>
      <c r="AJ87" s="1124">
        <f t="shared" si="90"/>
        <v>0</v>
      </c>
      <c r="AK87" s="1124">
        <f t="shared" si="90"/>
        <v>0</v>
      </c>
      <c r="AL87" s="1124">
        <f t="shared" si="90"/>
        <v>0</v>
      </c>
      <c r="AM87" s="1124">
        <f t="shared" si="90"/>
        <v>0</v>
      </c>
      <c r="AN87" s="1124">
        <f t="shared" si="90"/>
        <v>0</v>
      </c>
      <c r="AO87" s="1124">
        <f t="shared" si="90"/>
        <v>0</v>
      </c>
      <c r="AP87" s="1124">
        <f t="shared" si="90"/>
        <v>0</v>
      </c>
      <c r="AQ87" s="1124">
        <f t="shared" si="90"/>
        <v>0</v>
      </c>
      <c r="AR87" s="1124">
        <f t="shared" si="90"/>
        <v>0</v>
      </c>
      <c r="AS87" s="1124">
        <f t="shared" si="90"/>
        <v>0</v>
      </c>
      <c r="AT87" s="3"/>
      <c r="AU87" s="439">
        <f>+Base!E87</f>
        <v>0</v>
      </c>
      <c r="AV87" s="434">
        <f>+E87-AU87</f>
        <v>0</v>
      </c>
      <c r="AX87" s="49"/>
      <c r="AY87" s="49"/>
      <c r="AZ87" s="42"/>
      <c r="BA87" s="49"/>
      <c r="BB87" s="49"/>
      <c r="BC87" s="39"/>
      <c r="BD87" s="39"/>
      <c r="BE87" s="39"/>
      <c r="BF87" s="49"/>
      <c r="BG87" s="49"/>
      <c r="BH87" s="49"/>
      <c r="BI87" s="49"/>
      <c r="BJ87" s="39"/>
      <c r="BK87" s="49"/>
      <c r="BL87" s="39"/>
      <c r="BM87" s="39"/>
      <c r="BN87" s="49"/>
      <c r="BO87" s="49"/>
      <c r="BP87" s="49"/>
      <c r="BQ87" s="49"/>
      <c r="BR87" s="49"/>
      <c r="BS87" s="49"/>
      <c r="BT87" s="49"/>
      <c r="BU87" s="49"/>
      <c r="BV87" s="49"/>
      <c r="BW87" s="49"/>
      <c r="BX87" s="49"/>
      <c r="BY87" s="49"/>
      <c r="BZ87" s="49"/>
      <c r="CA87" s="44"/>
      <c r="CB87" s="49"/>
      <c r="CC87" s="49"/>
      <c r="CD87" s="49"/>
      <c r="CE87" s="49"/>
      <c r="CF87" s="49"/>
      <c r="CG87" s="49"/>
      <c r="CH87" s="49"/>
      <c r="CI87" s="49"/>
      <c r="CJ87" s="49"/>
      <c r="CK87" s="49"/>
      <c r="CL87" s="49"/>
      <c r="CM87" s="49"/>
      <c r="CN87" s="49"/>
    </row>
    <row r="88" spans="1:92" s="3" customFormat="1" ht="19.95" hidden="1" customHeight="1">
      <c r="A88" s="1427" t="s">
        <v>1578</v>
      </c>
      <c r="B88" s="1764" t="s">
        <v>258</v>
      </c>
      <c r="C88" s="1743" t="str">
        <f>Start_Compare1 &amp; "-" &amp; End_Compare1</f>
        <v>62-69</v>
      </c>
      <c r="D88" s="1757">
        <f>Esc_Compare1</f>
        <v>0.03</v>
      </c>
      <c r="E88" s="65">
        <f t="shared" si="80"/>
        <v>-355700</v>
      </c>
      <c r="F88" s="1305">
        <f>ROUND(IF(AND(tIRA_Begin&gt;0,Start_Compare1&lt;=F$4),-tIRA_Withdr_Compare1,0)/Round_To,0)*Round_To</f>
        <v>-40000</v>
      </c>
      <c r="G88" s="1124">
        <f t="shared" ref="G88:AS88" si="91">ROUND(IF(F88&lt;0,IF(-G311&gt;+F88*(1+Esc_Compare1),-G311,+F88*(1+Esc_Compare1)),IF(Start_Compare1&lt;=G$4,IF(-G311&gt;-tIRA_Withdr_Compare1,-G311,-tIRA_Withdr_Compare1),0))/Round_To,0)*Round_To</f>
        <v>-41200</v>
      </c>
      <c r="H88" s="1124">
        <f t="shared" si="91"/>
        <v>-42400</v>
      </c>
      <c r="I88" s="1124">
        <f t="shared" si="91"/>
        <v>-43700</v>
      </c>
      <c r="J88" s="1124">
        <f t="shared" si="91"/>
        <v>-45000</v>
      </c>
      <c r="K88" s="1124">
        <f t="shared" si="91"/>
        <v>-46400</v>
      </c>
      <c r="L88" s="1124">
        <f t="shared" si="91"/>
        <v>-47800</v>
      </c>
      <c r="M88" s="1124">
        <f t="shared" si="91"/>
        <v>-49200</v>
      </c>
      <c r="N88" s="1124">
        <f t="shared" si="91"/>
        <v>0</v>
      </c>
      <c r="O88" s="1124">
        <f t="shared" si="91"/>
        <v>0</v>
      </c>
      <c r="P88" s="1124">
        <f t="shared" si="91"/>
        <v>0</v>
      </c>
      <c r="Q88" s="1124">
        <f t="shared" si="91"/>
        <v>0</v>
      </c>
      <c r="R88" s="1124">
        <f t="shared" si="91"/>
        <v>0</v>
      </c>
      <c r="S88" s="1124">
        <f t="shared" si="91"/>
        <v>0</v>
      </c>
      <c r="T88" s="1124">
        <f t="shared" si="91"/>
        <v>0</v>
      </c>
      <c r="U88" s="1124">
        <f t="shared" si="91"/>
        <v>0</v>
      </c>
      <c r="V88" s="1124">
        <f t="shared" si="91"/>
        <v>0</v>
      </c>
      <c r="W88" s="1124">
        <f t="shared" si="91"/>
        <v>0</v>
      </c>
      <c r="X88" s="1124">
        <f t="shared" si="91"/>
        <v>0</v>
      </c>
      <c r="Y88" s="1124">
        <f t="shared" si="91"/>
        <v>0</v>
      </c>
      <c r="Z88" s="1124">
        <f t="shared" si="91"/>
        <v>0</v>
      </c>
      <c r="AA88" s="1124">
        <f t="shared" si="91"/>
        <v>0</v>
      </c>
      <c r="AB88" s="1124">
        <f t="shared" si="91"/>
        <v>0</v>
      </c>
      <c r="AC88" s="1124">
        <f t="shared" si="91"/>
        <v>0</v>
      </c>
      <c r="AD88" s="1124">
        <f t="shared" si="91"/>
        <v>0</v>
      </c>
      <c r="AE88" s="1124">
        <f t="shared" si="91"/>
        <v>0</v>
      </c>
      <c r="AF88" s="1124">
        <f t="shared" si="91"/>
        <v>0</v>
      </c>
      <c r="AG88" s="1124">
        <f t="shared" si="91"/>
        <v>0</v>
      </c>
      <c r="AH88" s="1124">
        <f t="shared" si="91"/>
        <v>0</v>
      </c>
      <c r="AI88" s="1124">
        <f t="shared" si="91"/>
        <v>0</v>
      </c>
      <c r="AJ88" s="1124">
        <f t="shared" si="91"/>
        <v>0</v>
      </c>
      <c r="AK88" s="1124">
        <f t="shared" si="91"/>
        <v>0</v>
      </c>
      <c r="AL88" s="1124">
        <f t="shared" si="91"/>
        <v>0</v>
      </c>
      <c r="AM88" s="1124">
        <f t="shared" si="91"/>
        <v>0</v>
      </c>
      <c r="AN88" s="1124">
        <f t="shared" si="91"/>
        <v>0</v>
      </c>
      <c r="AO88" s="1124">
        <f t="shared" si="91"/>
        <v>0</v>
      </c>
      <c r="AP88" s="1124">
        <f t="shared" si="91"/>
        <v>0</v>
      </c>
      <c r="AQ88" s="1124">
        <f t="shared" si="91"/>
        <v>0</v>
      </c>
      <c r="AR88" s="1124">
        <f t="shared" si="91"/>
        <v>0</v>
      </c>
      <c r="AS88" s="1124">
        <f t="shared" si="91"/>
        <v>0</v>
      </c>
      <c r="AT88" s="42"/>
      <c r="AU88" s="439">
        <f>+Base!E88</f>
        <v>-355700</v>
      </c>
      <c r="AV88" s="434">
        <f>+E88-AU88</f>
        <v>0</v>
      </c>
      <c r="AW88" s="65"/>
      <c r="AX88" s="42"/>
      <c r="AY88" s="42"/>
      <c r="AZ88" s="42"/>
      <c r="BA88" s="42"/>
      <c r="BB88" s="42"/>
      <c r="BC88" s="440"/>
      <c r="BD88" s="440"/>
      <c r="BE88" s="440"/>
      <c r="BF88" s="42"/>
      <c r="BG88" s="42"/>
      <c r="BH88" s="42"/>
      <c r="BI88" s="42"/>
      <c r="BJ88" s="440"/>
      <c r="BK88" s="42"/>
      <c r="BL88" s="440"/>
      <c r="BM88" s="440"/>
      <c r="BN88" s="42"/>
      <c r="BO88" s="42"/>
      <c r="BP88" s="42"/>
      <c r="BQ88" s="42"/>
      <c r="BR88" s="42"/>
      <c r="BS88" s="42"/>
      <c r="BT88" s="42"/>
      <c r="BU88" s="42"/>
      <c r="BV88" s="42"/>
      <c r="BW88" s="42"/>
      <c r="BX88" s="42"/>
      <c r="BY88" s="42"/>
      <c r="BZ88" s="42"/>
      <c r="CA88" s="328"/>
      <c r="CB88" s="42"/>
      <c r="CC88" s="42"/>
      <c r="CD88" s="42"/>
      <c r="CE88" s="42"/>
      <c r="CF88" s="42"/>
      <c r="CG88" s="42"/>
      <c r="CH88" s="42"/>
      <c r="CI88" s="42"/>
      <c r="CJ88" s="42"/>
      <c r="CK88" s="42"/>
      <c r="CL88" s="42"/>
      <c r="CM88" s="42"/>
      <c r="CN88" s="42"/>
    </row>
    <row r="89" spans="1:92" s="3" customFormat="1" hidden="1">
      <c r="A89" s="1427" t="s">
        <v>1578</v>
      </c>
      <c r="B89" s="1764" t="s">
        <v>1258</v>
      </c>
      <c r="C89" s="1743" t="str">
        <f>Start_Compare2 &amp; "-" &amp; End_Compare2</f>
        <v>70-75</v>
      </c>
      <c r="D89" s="1757">
        <f>Esc_Compare2</f>
        <v>-0.1</v>
      </c>
      <c r="E89" s="65">
        <f t="shared" si="80"/>
        <v>-46900</v>
      </c>
      <c r="F89" s="1305">
        <f>ROUND(IF(AND(tIRA_Begin&gt;0,Start_Compare2&lt;=F$4),-tIRA_Withdr_Compare2,0)/Round_To,0)*Round_To</f>
        <v>0</v>
      </c>
      <c r="G89" s="1124">
        <f t="shared" ref="G89:AS89" si="92">ROUND(IF(F89&lt;0,IF(-G315&gt;+F89*(1+Esc_Compare2),-G315,+F89*(1+Esc_Compare2)),IF(Start_Compare2&lt;=G$4,IF(-G315&gt;-tIRA_Withdr_Compare2,-G315,-tIRA_Withdr_Compare2),0))/Round_To,0)*Round_To</f>
        <v>0</v>
      </c>
      <c r="H89" s="1124">
        <f t="shared" si="92"/>
        <v>0</v>
      </c>
      <c r="I89" s="1124">
        <f t="shared" si="92"/>
        <v>0</v>
      </c>
      <c r="J89" s="1124">
        <f t="shared" si="92"/>
        <v>0</v>
      </c>
      <c r="K89" s="1124">
        <f t="shared" si="92"/>
        <v>0</v>
      </c>
      <c r="L89" s="1124">
        <f t="shared" si="92"/>
        <v>0</v>
      </c>
      <c r="M89" s="1124">
        <f t="shared" si="92"/>
        <v>0</v>
      </c>
      <c r="N89" s="1124">
        <f t="shared" si="92"/>
        <v>-10000</v>
      </c>
      <c r="O89" s="1124">
        <f t="shared" si="92"/>
        <v>-9000</v>
      </c>
      <c r="P89" s="1124">
        <f t="shared" si="92"/>
        <v>-8100</v>
      </c>
      <c r="Q89" s="1124">
        <f t="shared" si="92"/>
        <v>-7300</v>
      </c>
      <c r="R89" s="1124">
        <f t="shared" si="92"/>
        <v>-6600</v>
      </c>
      <c r="S89" s="1124">
        <f t="shared" si="92"/>
        <v>-5900</v>
      </c>
      <c r="T89" s="1124">
        <f t="shared" si="92"/>
        <v>0</v>
      </c>
      <c r="U89" s="1124">
        <f t="shared" si="92"/>
        <v>0</v>
      </c>
      <c r="V89" s="1124">
        <f t="shared" si="92"/>
        <v>0</v>
      </c>
      <c r="W89" s="1124">
        <f t="shared" si="92"/>
        <v>0</v>
      </c>
      <c r="X89" s="1124">
        <f t="shared" si="92"/>
        <v>0</v>
      </c>
      <c r="Y89" s="1124">
        <f t="shared" si="92"/>
        <v>0</v>
      </c>
      <c r="Z89" s="1124">
        <f t="shared" si="92"/>
        <v>0</v>
      </c>
      <c r="AA89" s="1124">
        <f t="shared" si="92"/>
        <v>0</v>
      </c>
      <c r="AB89" s="1124">
        <f t="shared" si="92"/>
        <v>0</v>
      </c>
      <c r="AC89" s="1124">
        <f t="shared" si="92"/>
        <v>0</v>
      </c>
      <c r="AD89" s="1124">
        <f t="shared" si="92"/>
        <v>0</v>
      </c>
      <c r="AE89" s="1124">
        <f t="shared" si="92"/>
        <v>0</v>
      </c>
      <c r="AF89" s="1124">
        <f t="shared" si="92"/>
        <v>0</v>
      </c>
      <c r="AG89" s="1124">
        <f t="shared" si="92"/>
        <v>0</v>
      </c>
      <c r="AH89" s="1124">
        <f t="shared" si="92"/>
        <v>0</v>
      </c>
      <c r="AI89" s="1124">
        <f t="shared" si="92"/>
        <v>0</v>
      </c>
      <c r="AJ89" s="1124">
        <f t="shared" si="92"/>
        <v>0</v>
      </c>
      <c r="AK89" s="1124">
        <f t="shared" si="92"/>
        <v>0</v>
      </c>
      <c r="AL89" s="1124">
        <f t="shared" si="92"/>
        <v>0</v>
      </c>
      <c r="AM89" s="1124">
        <f t="shared" si="92"/>
        <v>0</v>
      </c>
      <c r="AN89" s="1124">
        <f t="shared" si="92"/>
        <v>0</v>
      </c>
      <c r="AO89" s="1124">
        <f t="shared" si="92"/>
        <v>0</v>
      </c>
      <c r="AP89" s="1124">
        <f t="shared" si="92"/>
        <v>0</v>
      </c>
      <c r="AQ89" s="1124">
        <f t="shared" si="92"/>
        <v>0</v>
      </c>
      <c r="AR89" s="1124">
        <f t="shared" si="92"/>
        <v>0</v>
      </c>
      <c r="AS89" s="1124">
        <f t="shared" si="92"/>
        <v>0</v>
      </c>
      <c r="AT89" s="42"/>
      <c r="AU89" s="439">
        <f>+Base!E89</f>
        <v>-46900</v>
      </c>
      <c r="AV89" s="434">
        <f>+E89-AU89</f>
        <v>0</v>
      </c>
      <c r="AW89" s="65"/>
      <c r="AX89" s="42"/>
      <c r="AY89" s="42"/>
      <c r="AZ89" s="42"/>
      <c r="BA89" s="42"/>
      <c r="BB89" s="42"/>
      <c r="BC89" s="440"/>
      <c r="BD89" s="440"/>
      <c r="BE89" s="440"/>
      <c r="BF89" s="42"/>
      <c r="BG89" s="42"/>
      <c r="BH89" s="42"/>
      <c r="BI89" s="42"/>
      <c r="BJ89" s="440"/>
      <c r="BK89" s="42"/>
      <c r="BL89" s="440"/>
      <c r="BM89" s="440"/>
      <c r="BN89" s="42"/>
      <c r="BO89" s="42"/>
      <c r="BP89" s="42"/>
      <c r="BQ89" s="42"/>
      <c r="BR89" s="42"/>
      <c r="BS89" s="42"/>
      <c r="BT89" s="42"/>
      <c r="BU89" s="42"/>
      <c r="BV89" s="42"/>
      <c r="BW89" s="42"/>
      <c r="BX89" s="42"/>
      <c r="BY89" s="42"/>
      <c r="BZ89" s="42"/>
      <c r="CA89" s="328"/>
      <c r="CB89" s="42"/>
      <c r="CC89" s="42"/>
      <c r="CD89" s="42"/>
      <c r="CE89" s="42"/>
      <c r="CF89" s="42"/>
      <c r="CG89" s="42"/>
      <c r="CH89" s="42"/>
      <c r="CI89" s="42"/>
      <c r="CJ89" s="42"/>
      <c r="CK89" s="42"/>
      <c r="CL89" s="42"/>
      <c r="CM89" s="42"/>
      <c r="CN89" s="42"/>
    </row>
    <row r="90" spans="1:92" ht="4.2" customHeight="1">
      <c r="A90" s="1425"/>
      <c r="B90" s="1764"/>
      <c r="C90" s="380"/>
      <c r="D90" s="1744"/>
      <c r="E90" s="102"/>
      <c r="F90" s="110"/>
      <c r="G90" s="1124"/>
      <c r="H90" s="1124"/>
      <c r="I90" s="1124"/>
      <c r="J90" s="1124"/>
      <c r="K90" s="1124"/>
      <c r="L90" s="1124"/>
      <c r="M90" s="1124"/>
      <c r="N90" s="1124"/>
      <c r="O90" s="1124"/>
      <c r="P90" s="1124"/>
      <c r="Q90" s="1124"/>
      <c r="R90" s="1124"/>
      <c r="S90" s="1124"/>
      <c r="T90" s="1124"/>
      <c r="U90" s="1124"/>
      <c r="V90" s="1124"/>
      <c r="W90" s="1124"/>
      <c r="X90" s="1124"/>
      <c r="Y90" s="1124"/>
      <c r="Z90" s="1124"/>
      <c r="AA90" s="1124"/>
      <c r="AB90" s="1124"/>
      <c r="AC90" s="1124"/>
      <c r="AD90" s="1124"/>
      <c r="AE90" s="1124"/>
      <c r="AF90" s="1124"/>
      <c r="AG90" s="1124"/>
      <c r="AH90" s="1124"/>
      <c r="AI90" s="1124"/>
      <c r="AJ90" s="1124"/>
      <c r="AK90" s="1124"/>
      <c r="AL90" s="1124"/>
      <c r="AM90" s="1124"/>
      <c r="AN90" s="1124"/>
      <c r="AO90" s="1124"/>
      <c r="AP90" s="1124"/>
      <c r="AQ90" s="1124"/>
      <c r="AR90" s="1124"/>
      <c r="AS90" s="1124"/>
      <c r="AT90" s="42"/>
      <c r="AU90" s="78"/>
      <c r="AV90" s="81"/>
      <c r="AW90" s="102"/>
      <c r="AX90" s="49"/>
      <c r="AY90" s="49"/>
      <c r="AZ90" s="42"/>
      <c r="BA90" s="49"/>
      <c r="BB90" s="49"/>
      <c r="BC90" s="39"/>
      <c r="BD90" s="39"/>
      <c r="BE90" s="39"/>
      <c r="BF90" s="49"/>
      <c r="BG90" s="49"/>
      <c r="BH90" s="49"/>
      <c r="BI90" s="49"/>
      <c r="BJ90" s="39"/>
      <c r="BK90" s="49"/>
      <c r="BL90" s="39"/>
      <c r="BM90" s="39"/>
      <c r="BN90" s="49"/>
      <c r="BO90" s="49"/>
      <c r="BP90" s="49"/>
      <c r="BQ90" s="49"/>
      <c r="BR90" s="49"/>
      <c r="BS90" s="49"/>
      <c r="BT90" s="49"/>
      <c r="BU90" s="49"/>
      <c r="BV90" s="49"/>
      <c r="BW90" s="49"/>
      <c r="BX90" s="49"/>
      <c r="BY90" s="49"/>
      <c r="BZ90" s="49"/>
      <c r="CA90" s="44"/>
      <c r="CB90" s="49"/>
      <c r="CC90" s="49"/>
      <c r="CD90" s="49"/>
      <c r="CE90" s="49"/>
      <c r="CF90" s="49"/>
      <c r="CG90" s="49"/>
      <c r="CH90" s="49"/>
      <c r="CI90" s="49"/>
      <c r="CJ90" s="49"/>
      <c r="CK90" s="49"/>
      <c r="CL90" s="49"/>
      <c r="CM90" s="49"/>
      <c r="CN90" s="49"/>
    </row>
    <row r="91" spans="1:92">
      <c r="A91" s="1425"/>
      <c r="B91" s="1765" t="s">
        <v>2241</v>
      </c>
      <c r="C91" s="1743" t="str">
        <f>IF(OR(tIRA_Withdr_Base1,tIRA_Withdr_Base2&lt;&gt;0),"Differs from Base","Same as Base")</f>
        <v>Same as Base</v>
      </c>
      <c r="D91" s="1745"/>
      <c r="E91" s="29">
        <f t="shared" si="80"/>
        <v>-402600</v>
      </c>
      <c r="F91" s="1124">
        <f>+F88+F89</f>
        <v>-40000</v>
      </c>
      <c r="G91" s="1124">
        <f>+G88+G89</f>
        <v>-41200</v>
      </c>
      <c r="H91" s="1124">
        <f t="shared" ref="H91:AS91" si="93">+H88+H89</f>
        <v>-42400</v>
      </c>
      <c r="I91" s="1124">
        <f t="shared" si="93"/>
        <v>-43700</v>
      </c>
      <c r="J91" s="1124">
        <f t="shared" si="93"/>
        <v>-45000</v>
      </c>
      <c r="K91" s="1124">
        <f t="shared" si="93"/>
        <v>-46400</v>
      </c>
      <c r="L91" s="1124">
        <f t="shared" si="93"/>
        <v>-47800</v>
      </c>
      <c r="M91" s="1124">
        <f t="shared" si="93"/>
        <v>-49200</v>
      </c>
      <c r="N91" s="1124">
        <f t="shared" si="93"/>
        <v>-10000</v>
      </c>
      <c r="O91" s="1124">
        <f t="shared" si="93"/>
        <v>-9000</v>
      </c>
      <c r="P91" s="1124">
        <f t="shared" si="93"/>
        <v>-8100</v>
      </c>
      <c r="Q91" s="1124">
        <f t="shared" si="93"/>
        <v>-7300</v>
      </c>
      <c r="R91" s="1124">
        <f t="shared" si="93"/>
        <v>-6600</v>
      </c>
      <c r="S91" s="1124">
        <f t="shared" si="93"/>
        <v>-5900</v>
      </c>
      <c r="T91" s="1124">
        <f t="shared" si="93"/>
        <v>0</v>
      </c>
      <c r="U91" s="1124">
        <f t="shared" si="93"/>
        <v>0</v>
      </c>
      <c r="V91" s="1124">
        <f t="shared" si="93"/>
        <v>0</v>
      </c>
      <c r="W91" s="1124">
        <f t="shared" si="93"/>
        <v>0</v>
      </c>
      <c r="X91" s="1124">
        <f t="shared" si="93"/>
        <v>0</v>
      </c>
      <c r="Y91" s="1124">
        <f t="shared" si="93"/>
        <v>0</v>
      </c>
      <c r="Z91" s="1124">
        <f t="shared" si="93"/>
        <v>0</v>
      </c>
      <c r="AA91" s="1124">
        <f t="shared" si="93"/>
        <v>0</v>
      </c>
      <c r="AB91" s="1124">
        <f t="shared" si="93"/>
        <v>0</v>
      </c>
      <c r="AC91" s="1124">
        <f t="shared" si="93"/>
        <v>0</v>
      </c>
      <c r="AD91" s="1124">
        <f t="shared" si="93"/>
        <v>0</v>
      </c>
      <c r="AE91" s="1124">
        <f t="shared" si="93"/>
        <v>0</v>
      </c>
      <c r="AF91" s="1124">
        <f t="shared" si="93"/>
        <v>0</v>
      </c>
      <c r="AG91" s="1124">
        <f t="shared" si="93"/>
        <v>0</v>
      </c>
      <c r="AH91" s="1124">
        <f t="shared" si="93"/>
        <v>0</v>
      </c>
      <c r="AI91" s="1124">
        <f t="shared" si="93"/>
        <v>0</v>
      </c>
      <c r="AJ91" s="1124">
        <f t="shared" si="93"/>
        <v>0</v>
      </c>
      <c r="AK91" s="1124">
        <f t="shared" si="93"/>
        <v>0</v>
      </c>
      <c r="AL91" s="1124">
        <f t="shared" si="93"/>
        <v>0</v>
      </c>
      <c r="AM91" s="1124">
        <f t="shared" si="93"/>
        <v>0</v>
      </c>
      <c r="AN91" s="1124">
        <f t="shared" si="93"/>
        <v>0</v>
      </c>
      <c r="AO91" s="1124">
        <f t="shared" si="93"/>
        <v>0</v>
      </c>
      <c r="AP91" s="1124">
        <f t="shared" si="93"/>
        <v>0</v>
      </c>
      <c r="AQ91" s="1124">
        <f t="shared" si="93"/>
        <v>0</v>
      </c>
      <c r="AR91" s="1124">
        <f t="shared" si="93"/>
        <v>0</v>
      </c>
      <c r="AS91" s="1124">
        <f t="shared" si="93"/>
        <v>0</v>
      </c>
      <c r="AT91" s="42"/>
      <c r="AU91" s="78">
        <f>+Base!E91</f>
        <v>-402600</v>
      </c>
      <c r="AV91" s="81">
        <f t="shared" ref="AV91:AV103" si="94">+E91-AU91</f>
        <v>0</v>
      </c>
      <c r="AW91" s="29"/>
      <c r="AX91" s="49"/>
      <c r="AY91" s="49"/>
      <c r="AZ91" s="42"/>
      <c r="BA91" s="49"/>
      <c r="BB91" s="49"/>
      <c r="BC91" s="39"/>
      <c r="BD91" s="39"/>
      <c r="BE91" s="39"/>
      <c r="BF91" s="49"/>
      <c r="BG91" s="49"/>
      <c r="BH91" s="49"/>
      <c r="BI91" s="49"/>
      <c r="BJ91" s="39"/>
      <c r="BK91" s="49"/>
      <c r="BL91" s="39"/>
      <c r="BM91" s="39"/>
      <c r="BN91" s="49"/>
      <c r="BO91" s="49"/>
      <c r="BP91" s="49"/>
      <c r="BQ91" s="49"/>
      <c r="BR91" s="49"/>
      <c r="BS91" s="49"/>
      <c r="BT91" s="49"/>
      <c r="BU91" s="49"/>
      <c r="BV91" s="49"/>
      <c r="BW91" s="49"/>
      <c r="BX91" s="49"/>
      <c r="BY91" s="49"/>
      <c r="BZ91" s="49"/>
      <c r="CA91" s="44"/>
      <c r="CB91" s="49"/>
      <c r="CC91" s="49"/>
      <c r="CD91" s="49"/>
      <c r="CE91" s="49"/>
      <c r="CF91" s="49"/>
      <c r="CG91" s="49"/>
      <c r="CH91" s="49"/>
      <c r="CI91" s="49"/>
      <c r="CJ91" s="49"/>
      <c r="CK91" s="49"/>
      <c r="CL91" s="49"/>
      <c r="CM91" s="49"/>
      <c r="CN91" s="49"/>
    </row>
    <row r="92" spans="1:92" hidden="1">
      <c r="A92" s="1427" t="s">
        <v>1578</v>
      </c>
      <c r="B92" s="1765" t="s">
        <v>1259</v>
      </c>
      <c r="C92" s="1743" t="str">
        <f>IF(IRA1_Owner="y","Yours:","Spouse:") &amp; " start " &amp; IRA_RMD_Age</f>
        <v>Yours: start 71</v>
      </c>
      <c r="D92" s="1746" t="str">
        <f>"end at " &amp; IF(IRA1_Owner="y",Your_End,Spouse_End)</f>
        <v>end at 85</v>
      </c>
      <c r="E92" s="29">
        <f t="shared" si="80"/>
        <v>-303900</v>
      </c>
      <c r="F92" s="533">
        <f>ROUND(IF(IRA_RMD_Age=0,0,IF(IRA1_Owner="y",IF(IRA_RMD_Age&lt;=F$4,-F9/VLOOKUP(F$4,'Tax Tables'!$G$338:$I$398,2),0),IF(IRA_RMD_Age&lt;=F$5,-F9/VLOOKUP(F$5,'Tax Tables'!$G$338:$I$398,2),0)))/Round_To,0)*Round_To</f>
        <v>0</v>
      </c>
      <c r="G92" s="1128">
        <f>ROUND(IF(IRA_RMD_Age=0,0,IF(F9+F91+F94&lt;=0,0,IF(IRA1_Owner="y",IF(AND(IRA_RMD_Age&lt;=G$4,Your_End&gt;=G$4),-G9/VLOOKUP(G$4,'Tax Tables'!$G$338:$I$398,2),0),IF(AND(IRA_RMD_Age&lt;=G$5,Spouse_End&gt;=G$5),-G9/VLOOKUP(G$5,'Tax Tables'!$G$338:$I$398,2),0))))/Round_To,0)*Round_To</f>
        <v>0</v>
      </c>
      <c r="H92" s="1124">
        <f>ROUND(IF(IRA_RMD_Age=0,0,IF(G9+G91+G94&lt;=0,0,IF(IRA1_Owner="y",IF(AND(IRA_RMD_Age&lt;=H$4,Your_End&gt;=H$4),-H9/VLOOKUP(H$4,'Tax Tables'!$G$338:$I$398,2),0),IF(AND(IRA_RMD_Age&lt;=H$5,Spouse_End&gt;=H$5),-H9/VLOOKUP(H$5,'Tax Tables'!$G$338:$I$398,2),0))))/Round_To,0)*Round_To</f>
        <v>0</v>
      </c>
      <c r="I92" s="1124">
        <f>ROUND(IF(IRA_RMD_Age=0,0,IF(H9+H91+H94&lt;=0,0,IF(IRA1_Owner="y",IF(AND(IRA_RMD_Age&lt;=I$4,Your_End&gt;=I$4),-I9/VLOOKUP(I$4,'Tax Tables'!$G$338:$I$398,2),0),IF(AND(IRA_RMD_Age&lt;=I$5,Spouse_End&gt;=I$5),-I9/VLOOKUP(I$5,'Tax Tables'!$G$338:$I$398,2),0))))/Round_To,0)*Round_To</f>
        <v>0</v>
      </c>
      <c r="J92" s="1124">
        <f>ROUND(IF(IRA_RMD_Age=0,0,IF(I9+I91+I94&lt;=0,0,IF(IRA1_Owner="y",IF(AND(IRA_RMD_Age&lt;=J$4,Your_End&gt;=J$4),-J9/VLOOKUP(J$4,'Tax Tables'!$G$338:$I$398,2),0),IF(AND(IRA_RMD_Age&lt;=J$5,Spouse_End&gt;=J$5),-J9/VLOOKUP(J$5,'Tax Tables'!$G$338:$I$398,2),0))))/Round_To,0)*Round_To</f>
        <v>0</v>
      </c>
      <c r="K92" s="1124">
        <f>ROUND(IF(IRA_RMD_Age=0,0,IF(J9+J91+J94&lt;=0,0,IF(IRA1_Owner="y",IF(AND(IRA_RMD_Age&lt;=K$4,Your_End&gt;=K$4),-K9/VLOOKUP(K$4,'Tax Tables'!$G$338:$I$398,2),0),IF(AND(IRA_RMD_Age&lt;=K$5,Spouse_End&gt;=K$5),-K9/VLOOKUP(K$5,'Tax Tables'!$G$338:$I$398,2),0))))/Round_To,0)*Round_To</f>
        <v>0</v>
      </c>
      <c r="L92" s="1124">
        <f>ROUND(IF(IRA_RMD_Age=0,0,IF(K9+K91+K94&lt;=0,0,IF(IRA1_Owner="y",IF(AND(IRA_RMD_Age&lt;=L$4,Your_End&gt;=L$4),-L9/VLOOKUP(L$4,'Tax Tables'!$G$338:$I$398,2),0),IF(AND(IRA_RMD_Age&lt;=L$5,Spouse_End&gt;=L$5),-L9/VLOOKUP(L$5,'Tax Tables'!$G$338:$I$398,2),0))))/Round_To,0)*Round_To</f>
        <v>0</v>
      </c>
      <c r="M92" s="1124">
        <f>ROUND(IF(IRA_RMD_Age=0,0,IF(L9+L91+L94&lt;=0,0,IF(IRA1_Owner="y",IF(AND(IRA_RMD_Age&lt;=M$4,Your_End&gt;=M$4),-M9/VLOOKUP(M$4,'Tax Tables'!$G$338:$I$398,2),0),IF(AND(IRA_RMD_Age&lt;=M$5,Spouse_End&gt;=M$5),-M9/VLOOKUP(M$5,'Tax Tables'!$G$338:$I$398,2),0))))/Round_To,0)*Round_To</f>
        <v>0</v>
      </c>
      <c r="N92" s="1124">
        <f>ROUND(IF(IRA_RMD_Age=0,0,IF(M9+M91+M94&lt;=0,0,IF(IRA1_Owner="y",IF(AND(IRA_RMD_Age&lt;=N$4,Your_End&gt;=N$4),-N9/VLOOKUP(N$4,'Tax Tables'!$G$338:$I$398,2),0),IF(AND(IRA_RMD_Age&lt;=N$5,Spouse_End&gt;=N$5),-N9/VLOOKUP(N$5,'Tax Tables'!$G$338:$I$398,2),0))))/Round_To,0)*Round_To</f>
        <v>0</v>
      </c>
      <c r="O92" s="1124">
        <f>ROUND(IF(IRA_RMD_Age=0,0,IF(N9+N91+N94&lt;=0,0,IF(IRA1_Owner="y",IF(AND(IRA_RMD_Age&lt;=O$4,Your_End&gt;=O$4),-O9/VLOOKUP(O$4,'Tax Tables'!$G$338:$I$398,2),0),IF(AND(IRA_RMD_Age&lt;=O$5,Spouse_End&gt;=O$5),-O9/VLOOKUP(O$5,'Tax Tables'!$G$338:$I$398,2),0))))/Round_To,0)*Round_To</f>
        <v>-14500</v>
      </c>
      <c r="P92" s="1124">
        <f>ROUND(IF(IRA_RMD_Age=0,0,IF(O9+O91+O94&lt;=0,0,IF(IRA1_Owner="y",IF(AND(IRA_RMD_Age&lt;=P$4,Your_End&gt;=P$4),-P9/VLOOKUP(P$4,'Tax Tables'!$G$338:$I$398,2),0),IF(AND(IRA_RMD_Age&lt;=P$5,Spouse_End&gt;=P$5),-P9/VLOOKUP(P$5,'Tax Tables'!$G$338:$I$398,2),0))))/Round_To,0)*Round_To</f>
        <v>-15000</v>
      </c>
      <c r="Q92" s="1124">
        <f>ROUND(IF(IRA_RMD_Age=0,0,IF(P9+P91+P94&lt;=0,0,IF(IRA1_Owner="y",IF(AND(IRA_RMD_Age&lt;=Q$4,Your_End&gt;=Q$4),-Q9/VLOOKUP(Q$4,'Tax Tables'!$G$338:$I$398,2),0),IF(AND(IRA_RMD_Age&lt;=Q$5,Spouse_End&gt;=Q$5),-Q9/VLOOKUP(Q$5,'Tax Tables'!$G$338:$I$398,2),0))))/Round_To,0)*Round_To</f>
        <v>-15600</v>
      </c>
      <c r="R92" s="1124">
        <f>ROUND(IF(IRA_RMD_Age=0,0,IF(Q9+Q91+Q94&lt;=0,0,IF(IRA1_Owner="y",IF(AND(IRA_RMD_Age&lt;=R$4,Your_End&gt;=R$4),-R9/VLOOKUP(R$4,'Tax Tables'!$G$338:$I$398,2),0),IF(AND(IRA_RMD_Age&lt;=R$5,Spouse_End&gt;=R$5),-R9/VLOOKUP(R$5,'Tax Tables'!$G$338:$I$398,2),0))))/Round_To,0)*Round_To</f>
        <v>-16200</v>
      </c>
      <c r="S92" s="1124">
        <f>ROUND(IF(IRA_RMD_Age=0,0,IF(R9+R91+R94&lt;=0,0,IF(IRA1_Owner="y",IF(AND(IRA_RMD_Age&lt;=S$4,Your_End&gt;=S$4),-S9/VLOOKUP(S$4,'Tax Tables'!$G$338:$I$398,2),0),IF(AND(IRA_RMD_Age&lt;=S$5,Spouse_End&gt;=S$5),-S9/VLOOKUP(S$5,'Tax Tables'!$G$338:$I$398,2),0))))/Round_To,0)*Round_To</f>
        <v>-16900</v>
      </c>
      <c r="T92" s="1124">
        <f>ROUND(IF(IRA_RMD_Age=0,0,IF(S9+S91+S94&lt;=0,0,IF(IRA1_Owner="y",IF(AND(IRA_RMD_Age&lt;=T$4,Your_End&gt;=T$4),-T9/VLOOKUP(T$4,'Tax Tables'!$G$338:$I$398,2),0),IF(AND(IRA_RMD_Age&lt;=T$5,Spouse_End&gt;=T$5),-T9/VLOOKUP(T$5,'Tax Tables'!$G$338:$I$398,2),0))))/Round_To,0)*Round_To</f>
        <v>-17700</v>
      </c>
      <c r="U92" s="1124">
        <f>ROUND(IF(IRA_RMD_Age=0,0,IF(T9+T91+T94&lt;=0,0,IF(IRA1_Owner="y",IF(AND(IRA_RMD_Age&lt;=U$4,Your_End&gt;=U$4),-U9/VLOOKUP(U$4,'Tax Tables'!$G$338:$I$398,2),0),IF(AND(IRA_RMD_Age&lt;=U$5,Spouse_End&gt;=U$5),-U9/VLOOKUP(U$5,'Tax Tables'!$G$338:$I$398,2),0))))/Round_To,0)*Round_To</f>
        <v>-18700</v>
      </c>
      <c r="V92" s="1124">
        <f>ROUND(IF(IRA_RMD_Age=0,0,IF(U9+U91+U94&lt;=0,0,IF(IRA1_Owner="y",IF(AND(IRA_RMD_Age&lt;=V$4,Your_End&gt;=V$4),-V9/VLOOKUP(V$4,'Tax Tables'!$G$338:$I$398,2),0),IF(AND(IRA_RMD_Age&lt;=V$5,Spouse_End&gt;=V$5),-V9/VLOOKUP(V$5,'Tax Tables'!$G$338:$I$398,2),0))))/Round_To,0)*Round_To</f>
        <v>-19900</v>
      </c>
      <c r="W92" s="1124">
        <f>ROUND(IF(IRA_RMD_Age=0,0,IF(V9+V91+V94&lt;=0,0,IF(IRA1_Owner="y",IF(AND(IRA_RMD_Age&lt;=W$4,Your_End&gt;=W$4),-W9/VLOOKUP(W$4,'Tax Tables'!$G$338:$I$398,2),0),IF(AND(IRA_RMD_Age&lt;=W$5,Spouse_End&gt;=W$5),-W9/VLOOKUP(W$5,'Tax Tables'!$G$338:$I$398,2),0))))/Round_To,0)*Round_To</f>
        <v>-21000</v>
      </c>
      <c r="X92" s="1124">
        <f>ROUND(IF(IRA_RMD_Age=0,0,IF(W9+W91+W94&lt;=0,0,IF(IRA1_Owner="y",IF(AND(IRA_RMD_Age&lt;=X$4,Your_End&gt;=X$4),-X9/VLOOKUP(X$4,'Tax Tables'!$G$338:$I$398,2),0),IF(AND(IRA_RMD_Age&lt;=X$5,Spouse_End&gt;=X$5),-X9/VLOOKUP(X$5,'Tax Tables'!$G$338:$I$398,2),0))))/Round_To,0)*Round_To</f>
        <v>-22100</v>
      </c>
      <c r="Y92" s="1124">
        <f>ROUND(IF(IRA_RMD_Age=0,0,IF(X9+X91+X94&lt;=0,0,IF(IRA1_Owner="y",IF(AND(IRA_RMD_Age&lt;=Y$4,Your_End&gt;=Y$4),-Y9/VLOOKUP(Y$4,'Tax Tables'!$G$338:$I$398,2),0),IF(AND(IRA_RMD_Age&lt;=Y$5,Spouse_End&gt;=Y$5),-Y9/VLOOKUP(Y$5,'Tax Tables'!$G$338:$I$398,2),0))))/Round_To,0)*Round_To</f>
        <v>-23100</v>
      </c>
      <c r="Z92" s="1124">
        <f>ROUND(IF(IRA_RMD_Age=0,0,IF(Y9+Y91+Y94&lt;=0,0,IF(IRA1_Owner="y",IF(AND(IRA_RMD_Age&lt;=Z$4,Your_End&gt;=Z$4),-Z9/VLOOKUP(Z$4,'Tax Tables'!$G$338:$I$398,2),0),IF(AND(IRA_RMD_Age&lt;=Z$5,Spouse_End&gt;=Z$5),-Z9/VLOOKUP(Z$5,'Tax Tables'!$G$338:$I$398,2),0))))/Round_To,0)*Round_To</f>
        <v>-24200</v>
      </c>
      <c r="AA92" s="1124">
        <f>ROUND(IF(IRA_RMD_Age=0,0,IF(Z9+Z91+Z94&lt;=0,0,IF(IRA1_Owner="y",IF(AND(IRA_RMD_Age&lt;=AA$4,Your_End&gt;=AA$4),-AA9/VLOOKUP(AA$4,'Tax Tables'!$G$338:$I$398,2),0),IF(AND(IRA_RMD_Age&lt;=AA$5,Spouse_End&gt;=AA$5),-AA9/VLOOKUP(AA$5,'Tax Tables'!$G$338:$I$398,2),0))))/Round_To,0)*Round_To</f>
        <v>-25300</v>
      </c>
      <c r="AB92" s="1124">
        <f>ROUND(IF(IRA_RMD_Age=0,0,IF(AA9+AA91+AA94&lt;=0,0,IF(IRA1_Owner="y",IF(AND(IRA_RMD_Age&lt;=AB$4,Your_End&gt;=AB$4),-AB9/VLOOKUP(AB$4,'Tax Tables'!$G$338:$I$398,2),0),IF(AND(IRA_RMD_Age&lt;=AB$5,Spouse_End&gt;=AB$5),-AB9/VLOOKUP(AB$5,'Tax Tables'!$G$338:$I$398,2),0))))/Round_To,0)*Round_To</f>
        <v>-26400</v>
      </c>
      <c r="AC92" s="1124">
        <f>ROUND(IF(IRA_RMD_Age=0,0,IF(AB9+AB91+AB94&lt;=0,0,IF(IRA1_Owner="y",IF(AND(IRA_RMD_Age&lt;=AC$4,Your_End&gt;=AC$4),-AC9/VLOOKUP(AC$4,'Tax Tables'!$G$338:$I$398,2),0),IF(AND(IRA_RMD_Age&lt;=AC$5,Spouse_End&gt;=AC$5),-AC9/VLOOKUP(AC$5,'Tax Tables'!$G$338:$I$398,2),0))))/Round_To,0)*Round_To</f>
        <v>-27300</v>
      </c>
      <c r="AD92" s="1124">
        <f>ROUND(IF(IRA_RMD_Age=0,0,IF(AC9+AC91+AC94&lt;=0,0,IF(IRA1_Owner="y",IF(AND(IRA_RMD_Age&lt;=AD$4,Your_End&gt;=AD$4),-AD9/VLOOKUP(AD$4,'Tax Tables'!$G$338:$I$398,2),0),IF(AND(IRA_RMD_Age&lt;=AD$5,Spouse_End&gt;=AD$5),-AD9/VLOOKUP(AD$5,'Tax Tables'!$G$338:$I$398,2),0))))/Round_To,0)*Round_To</f>
        <v>0</v>
      </c>
      <c r="AE92" s="1124">
        <f>ROUND(IF(IRA_RMD_Age=0,0,IF(AD9+AD91+AD94&lt;=0,0,IF(IRA1_Owner="y",IF(AND(IRA_RMD_Age&lt;=AE$4,Your_End&gt;=AE$4),-AE9/VLOOKUP(AE$4,'Tax Tables'!$G$338:$I$398,2),0),IF(AND(IRA_RMD_Age&lt;=AE$5,Spouse_End&gt;=AE$5),-AE9/VLOOKUP(AE$5,'Tax Tables'!$G$338:$I$398,2),0))))/Round_To,0)*Round_To</f>
        <v>0</v>
      </c>
      <c r="AF92" s="1124">
        <f>ROUND(IF(IRA_RMD_Age=0,0,IF(AE9+AE91+AE94&lt;=0,0,IF(IRA1_Owner="y",IF(AND(IRA_RMD_Age&lt;=AF$4,Your_End&gt;=AF$4),-AF9/VLOOKUP(AF$4,'Tax Tables'!$G$338:$I$398,2),0),IF(AND(IRA_RMD_Age&lt;=AF$5,Spouse_End&gt;=AF$5),-AF9/VLOOKUP(AF$5,'Tax Tables'!$G$338:$I$398,2),0))))/Round_To,0)*Round_To</f>
        <v>0</v>
      </c>
      <c r="AG92" s="1124">
        <f>ROUND(IF(IRA_RMD_Age=0,0,IF(AF9+AF91+AF94&lt;=0,0,IF(IRA1_Owner="y",IF(AND(IRA_RMD_Age&lt;=AG$4,Your_End&gt;=AG$4),-AG9/VLOOKUP(AG$4,'Tax Tables'!$G$338:$I$398,2),0),IF(AND(IRA_RMD_Age&lt;=AG$5,Spouse_End&gt;=AG$5),-AG9/VLOOKUP(AG$5,'Tax Tables'!$G$338:$I$398,2),0))))/Round_To,0)*Round_To</f>
        <v>0</v>
      </c>
      <c r="AH92" s="1124">
        <f>ROUND(IF(IRA_RMD_Age=0,0,IF(AG9+AG91+AG94&lt;=0,0,IF(IRA1_Owner="y",IF(AND(IRA_RMD_Age&lt;=AH$4,Your_End&gt;=AH$4),-AH9/VLOOKUP(AH$4,'Tax Tables'!$G$338:$I$398,2),0),IF(AND(IRA_RMD_Age&lt;=AH$5,Spouse_End&gt;=AH$5),-AH9/VLOOKUP(AH$5,'Tax Tables'!$G$338:$I$398,2),0))))/Round_To,0)*Round_To</f>
        <v>0</v>
      </c>
      <c r="AI92" s="1124">
        <f>ROUND(IF(IRA_RMD_Age=0,0,IF(AH9+AH91+AH94&lt;=0,0,IF(IRA1_Owner="y",IF(AND(IRA_RMD_Age&lt;=AI$4,Your_End&gt;=AI$4),-AI9/VLOOKUP(AI$4,'Tax Tables'!$G$338:$I$398,2),0),IF(AND(IRA_RMD_Age&lt;=AI$5,Spouse_End&gt;=AI$5),-AI9/VLOOKUP(AI$5,'Tax Tables'!$G$338:$I$398,2),0))))/Round_To,0)*Round_To</f>
        <v>0</v>
      </c>
      <c r="AJ92" s="1124">
        <f>ROUND(IF(IRA_RMD_Age=0,0,IF(AI9+AI91+AI94&lt;=0,0,IF(IRA1_Owner="y",IF(AND(IRA_RMD_Age&lt;=AJ$4,Your_End&gt;=AJ$4),-AJ9/VLOOKUP(AJ$4,'Tax Tables'!$G$338:$I$398,2),0),IF(AND(IRA_RMD_Age&lt;=AJ$5,Spouse_End&gt;=AJ$5),-AJ9/VLOOKUP(AJ$5,'Tax Tables'!$G$338:$I$398,2),0))))/Round_To,0)*Round_To</f>
        <v>0</v>
      </c>
      <c r="AK92" s="1124">
        <f>ROUND(IF(IRA_RMD_Age=0,0,IF(AJ9+AJ91+AJ94&lt;=0,0,IF(IRA1_Owner="y",IF(AND(IRA_RMD_Age&lt;=AK$4,Your_End&gt;=AK$4),-AK9/VLOOKUP(AK$4,'Tax Tables'!$G$338:$I$398,2),0),IF(AND(IRA_RMD_Age&lt;=AK$5,Spouse_End&gt;=AK$5),-AK9/VLOOKUP(AK$5,'Tax Tables'!$G$338:$I$398,2),0))))/Round_To,0)*Round_To</f>
        <v>0</v>
      </c>
      <c r="AL92" s="1124">
        <f>ROUND(IF(IRA_RMD_Age=0,0,IF(AK9+AK91+AK94&lt;=0,0,IF(IRA1_Owner="y",IF(AND(IRA_RMD_Age&lt;=AL$4,Your_End&gt;=AL$4),-AL9/VLOOKUP(AL$4,'Tax Tables'!$G$338:$I$398,2),0),IF(AND(IRA_RMD_Age&lt;=AL$5,Spouse_End&gt;=AL$5),-AL9/VLOOKUP(AL$5,'Tax Tables'!$G$338:$I$398,2),0))))/Round_To,0)*Round_To</f>
        <v>0</v>
      </c>
      <c r="AM92" s="1124">
        <f>ROUND(IF(IRA_RMD_Age=0,0,IF(AL9+AL91+AL94&lt;=0,0,IF(IRA1_Owner="y",IF(AND(IRA_RMD_Age&lt;=AM$4,Your_End&gt;=AM$4),-AM9/VLOOKUP(AM$4,'Tax Tables'!$G$338:$I$398,2),0),IF(AND(IRA_RMD_Age&lt;=AM$5,Spouse_End&gt;=AM$5),-AM9/VLOOKUP(AM$5,'Tax Tables'!$G$338:$I$398,2),0))))/Round_To,0)*Round_To</f>
        <v>0</v>
      </c>
      <c r="AN92" s="1124">
        <f>ROUND(IF(IRA_RMD_Age=0,0,IF(AM9+AM91+AM94&lt;=0,0,IF(IRA1_Owner="y",IF(AND(IRA_RMD_Age&lt;=AN$4,Your_End&gt;=AN$4),-AN9/VLOOKUP(AN$4,'Tax Tables'!$G$338:$I$398,2),0),IF(AND(IRA_RMD_Age&lt;=AN$5,Spouse_End&gt;=AN$5),-AN9/VLOOKUP(AN$5,'Tax Tables'!$G$338:$I$398,2),0))))/Round_To,0)*Round_To</f>
        <v>0</v>
      </c>
      <c r="AO92" s="1124">
        <f>ROUND(IF(IRA_RMD_Age=0,0,IF(AN9+AN91+AN94&lt;=0,0,IF(IRA1_Owner="y",IF(AND(IRA_RMD_Age&lt;=AO$4,Your_End&gt;=AO$4),-AO9/VLOOKUP(AO$4,'Tax Tables'!$G$338:$I$398,2),0),IF(AND(IRA_RMD_Age&lt;=AO$5,Spouse_End&gt;=AO$5),-AO9/VLOOKUP(AO$5,'Tax Tables'!$G$338:$I$398,2),0))))/Round_To,0)*Round_To</f>
        <v>0</v>
      </c>
      <c r="AP92" s="1124">
        <f>ROUND(IF(IRA_RMD_Age=0,0,IF(AO9+AO91+AO94&lt;=0,0,IF(IRA1_Owner="y",IF(AND(IRA_RMD_Age&lt;=AP$4,Your_End&gt;=AP$4),-AP9/VLOOKUP(AP$4,'Tax Tables'!$G$338:$I$398,2),0),IF(AND(IRA_RMD_Age&lt;=AP$5,Spouse_End&gt;=AP$5),-AP9/VLOOKUP(AP$5,'Tax Tables'!$G$338:$I$398,2),0))))/Round_To,0)*Round_To</f>
        <v>0</v>
      </c>
      <c r="AQ92" s="1124">
        <f>ROUND(IF(IRA_RMD_Age=0,0,IF(AP9+AP91+AP94&lt;=0,0,IF(IRA1_Owner="y",IF(AND(IRA_RMD_Age&lt;=AQ$4,Your_End&gt;=AQ$4),-AQ9/VLOOKUP(AQ$4,'Tax Tables'!$G$338:$I$398,2),0),IF(AND(IRA_RMD_Age&lt;=AQ$5,Spouse_End&gt;=AQ$5),-AQ9/VLOOKUP(AQ$5,'Tax Tables'!$G$338:$I$398,2),0))))/Round_To,0)*Round_To</f>
        <v>0</v>
      </c>
      <c r="AR92" s="1124">
        <f>ROUND(IF(IRA_RMD_Age=0,0,IF(AQ9+AQ91+AQ94&lt;=0,0,IF(IRA1_Owner="y",IF(AND(IRA_RMD_Age&lt;=AR$4,Your_End&gt;=AR$4),-AR9/VLOOKUP(AR$4,'Tax Tables'!$G$338:$I$398,2),0),IF(AND(IRA_RMD_Age&lt;=AR$5,Spouse_End&gt;=AR$5),-AR9/VLOOKUP(AR$5,'Tax Tables'!$G$338:$I$398,2),0))))/Round_To,0)*Round_To</f>
        <v>0</v>
      </c>
      <c r="AS92" s="1124">
        <f>ROUND(IF(IRA_RMD_Age=0,0,IF(AR9+AR91+AR94&lt;=0,0,IF(IRA1_Owner="y",IF(AND(IRA_RMD_Age&lt;=AS$4,Your_End&gt;=AS$4),-AS9/VLOOKUP(AS$4,'Tax Tables'!$G$338:$I$398,2),0),IF(AND(IRA_RMD_Age&lt;=AS$5,Spouse_End&gt;=AS$5),-AS9/VLOOKUP(AS$5,'Tax Tables'!$G$338:$I$398,2),0))))/Round_To,0)*Round_To</f>
        <v>0</v>
      </c>
      <c r="AT92" s="42"/>
      <c r="AU92" s="78">
        <f>+Base!E92</f>
        <v>-303900</v>
      </c>
      <c r="AV92" s="81">
        <f>+E92-AU92</f>
        <v>0</v>
      </c>
      <c r="AW92" s="29"/>
      <c r="AX92" s="49"/>
      <c r="AY92" s="49"/>
      <c r="AZ92" s="42"/>
      <c r="BA92" s="49"/>
      <c r="BB92" s="49"/>
      <c r="BC92" s="39"/>
      <c r="BD92" s="39"/>
      <c r="BE92" s="39"/>
      <c r="BF92" s="49"/>
      <c r="BG92" s="49"/>
      <c r="BH92" s="49"/>
      <c r="BI92" s="49"/>
      <c r="BJ92" s="39"/>
      <c r="BK92" s="49"/>
      <c r="BL92" s="39"/>
      <c r="BM92" s="39"/>
      <c r="BN92" s="49"/>
      <c r="BO92" s="49"/>
      <c r="BP92" s="49"/>
      <c r="BQ92" s="49"/>
      <c r="BR92" s="49"/>
      <c r="BS92" s="49"/>
      <c r="BT92" s="49"/>
      <c r="BU92" s="49"/>
      <c r="BV92" s="49"/>
      <c r="BW92" s="49"/>
      <c r="BX92" s="49"/>
      <c r="BY92" s="49"/>
      <c r="BZ92" s="49"/>
      <c r="CA92" s="44"/>
      <c r="CB92" s="49"/>
      <c r="CC92" s="49"/>
      <c r="CD92" s="49"/>
      <c r="CE92" s="49"/>
      <c r="CF92" s="49"/>
      <c r="CG92" s="49"/>
      <c r="CH92" s="49"/>
      <c r="CI92" s="49"/>
      <c r="CJ92" s="49"/>
      <c r="CK92" s="49"/>
      <c r="CL92" s="49"/>
      <c r="CM92" s="49"/>
      <c r="CN92" s="49"/>
    </row>
    <row r="93" spans="1:92" hidden="1">
      <c r="A93" s="1427" t="s">
        <v>1578</v>
      </c>
      <c r="B93" s="1765" t="s">
        <v>1260</v>
      </c>
      <c r="C93" s="1743"/>
      <c r="D93" s="1746" t="str">
        <f>IF(IRA1_Owner="s",Spouse_End_Input +1,Your_End_Input+1) &amp; " - " &amp; IF(IRA1_Owner="s",Your_End,Spouse_End)</f>
        <v>86 - 90</v>
      </c>
      <c r="E93" s="34">
        <f t="shared" si="80"/>
        <v>-183500</v>
      </c>
      <c r="F93" s="35"/>
      <c r="G93" s="1125">
        <f>ROUND(IF(F9+F91+F94&lt;=0,0,IF(IRA1_Owner="s",IF(AND(Your_End&gt;=G$4,Spouse_End&lt;G$5),-G9/VLOOKUP(G$5,'Tax Tables'!$G$338:$I$398,2),0),IF(AND(Spouse_End&gt;=G$5,Your_End&lt;G$4),-G9/VLOOKUP(G$4,'Tax Tables'!$G$338:$I$398,2),0)))/Round_To,0)*Round_To</f>
        <v>0</v>
      </c>
      <c r="H93" s="1125">
        <f>ROUND(IF(G9+G91+G94&lt;=0,0,IF(IRA1_Owner="s",IF(AND(Your_End&gt;=H$4,Spouse_End&lt;H$5),-H9/VLOOKUP(H$5,'Tax Tables'!$G$338:$I$398,2),0),IF(AND(Spouse_End&gt;=H$5,Your_End&lt;H$4),-H9/VLOOKUP(H$4,'Tax Tables'!$G$338:$I$398,2),0)))/Round_To,0)*Round_To</f>
        <v>0</v>
      </c>
      <c r="I93" s="1125">
        <f>ROUND(IF(H9+H91+H94&lt;=0,0,IF(IRA1_Owner="s",IF(AND(Your_End&gt;=I$4,Spouse_End&lt;I$5),-I9/VLOOKUP(I$5,'Tax Tables'!$G$338:$I$398,2),0),IF(AND(Spouse_End&gt;=I$5,Your_End&lt;I$4),-I9/VLOOKUP(I$4,'Tax Tables'!$G$338:$I$398,2),0)))/Round_To,0)*Round_To</f>
        <v>0</v>
      </c>
      <c r="J93" s="1125">
        <f>ROUND(IF(I9+I91+I94&lt;=0,0,IF(IRA1_Owner="s",IF(AND(Your_End&gt;=J$4,Spouse_End&lt;J$5),-J9/VLOOKUP(J$5,'Tax Tables'!$G$338:$I$398,2),0),IF(AND(Spouse_End&gt;=J$5,Your_End&lt;J$4),-J9/VLOOKUP(J$4,'Tax Tables'!$G$338:$I$398,2),0)))/Round_To,0)*Round_To</f>
        <v>0</v>
      </c>
      <c r="K93" s="1125">
        <f>ROUND(IF(J9+J91+J94&lt;=0,0,IF(IRA1_Owner="s",IF(AND(Your_End&gt;=K$4,Spouse_End&lt;K$5),-K9/VLOOKUP(K$5,'Tax Tables'!$G$338:$I$398,2),0),IF(AND(Spouse_End&gt;=K$5,Your_End&lt;K$4),-K9/VLOOKUP(K$4,'Tax Tables'!$G$338:$I$398,2),0)))/Round_To,0)*Round_To</f>
        <v>0</v>
      </c>
      <c r="L93" s="1125">
        <f>ROUND(IF(K9+K91+K94&lt;=0,0,IF(IRA1_Owner="s",IF(AND(Your_End&gt;=L$4,Spouse_End&lt;L$5),-L9/VLOOKUP(L$5,'Tax Tables'!$G$338:$I$398,2),0),IF(AND(Spouse_End&gt;=L$5,Your_End&lt;L$4),-L9/VLOOKUP(L$4,'Tax Tables'!$G$338:$I$398,2),0)))/Round_To,0)*Round_To</f>
        <v>0</v>
      </c>
      <c r="M93" s="1125">
        <f>ROUND(IF(L9+L91+L94&lt;=0,0,IF(IRA1_Owner="s",IF(AND(Your_End&gt;=M$4,Spouse_End&lt;M$5),-M9/VLOOKUP(M$5,'Tax Tables'!$G$338:$I$398,2),0),IF(AND(Spouse_End&gt;=M$5,Your_End&lt;M$4),-M9/VLOOKUP(M$4,'Tax Tables'!$G$338:$I$398,2),0)))/Round_To,0)*Round_To</f>
        <v>0</v>
      </c>
      <c r="N93" s="1125">
        <f>ROUND(IF(M9+M91+M94&lt;=0,0,IF(IRA1_Owner="s",IF(AND(Your_End&gt;=N$4,Spouse_End&lt;N$5),-N9/VLOOKUP(N$5,'Tax Tables'!$G$338:$I$398,2),0),IF(AND(Spouse_End&gt;=N$5,Your_End&lt;N$4),-N9/VLOOKUP(N$4,'Tax Tables'!$G$338:$I$398,2),0)))/Round_To,0)*Round_To</f>
        <v>0</v>
      </c>
      <c r="O93" s="1125">
        <f>ROUND(IF(N9+N91+N94&lt;=0,0,IF(IRA1_Owner="s",IF(AND(Your_End&gt;=O$4,Spouse_End&lt;O$5),-O9/VLOOKUP(O$5,'Tax Tables'!$G$338:$I$398,2),0),IF(AND(Spouse_End&gt;=O$5,Your_End&lt;O$4),-O9/VLOOKUP(O$4,'Tax Tables'!$G$338:$I$398,2),0)))/Round_To,0)*Round_To</f>
        <v>0</v>
      </c>
      <c r="P93" s="1125">
        <f>ROUND(IF(O9+O91+O94&lt;=0,0,IF(IRA1_Owner="s",IF(AND(Your_End&gt;=P$4,Spouse_End&lt;P$5),-P9/VLOOKUP(P$5,'Tax Tables'!$G$338:$I$398,2),0),IF(AND(Spouse_End&gt;=P$5,Your_End&lt;P$4),-P9/VLOOKUP(P$4,'Tax Tables'!$G$338:$I$398,2),0)))/Round_To,0)*Round_To</f>
        <v>0</v>
      </c>
      <c r="Q93" s="1125">
        <f>ROUND(IF(P9+P91+P94&lt;=0,0,IF(IRA1_Owner="s",IF(AND(Your_End&gt;=Q$4,Spouse_End&lt;Q$5),-Q9/VLOOKUP(Q$5,'Tax Tables'!$G$338:$I$398,2),0),IF(AND(Spouse_End&gt;=Q$5,Your_End&lt;Q$4),-Q9/VLOOKUP(Q$4,'Tax Tables'!$G$338:$I$398,2),0)))/Round_To,0)*Round_To</f>
        <v>0</v>
      </c>
      <c r="R93" s="1125">
        <f>ROUND(IF(Q9+Q91+Q94&lt;=0,0,IF(IRA1_Owner="s",IF(AND(Your_End&gt;=R$4,Spouse_End&lt;R$5),-R9/VLOOKUP(R$5,'Tax Tables'!$G$338:$I$398,2),0),IF(AND(Spouse_End&gt;=R$5,Your_End&lt;R$4),-R9/VLOOKUP(R$4,'Tax Tables'!$G$338:$I$398,2),0)))/Round_To,0)*Round_To</f>
        <v>0</v>
      </c>
      <c r="S93" s="1125">
        <f>ROUND(IF(R9+R91+R94&lt;=0,0,IF(IRA1_Owner="s",IF(AND(Your_End&gt;=S$4,Spouse_End&lt;S$5),-S9/VLOOKUP(S$5,'Tax Tables'!$G$338:$I$398,2),0),IF(AND(Spouse_End&gt;=S$5,Your_End&lt;S$4),-S9/VLOOKUP(S$4,'Tax Tables'!$G$338:$I$398,2),0)))/Round_To,0)*Round_To</f>
        <v>0</v>
      </c>
      <c r="T93" s="1125">
        <f>ROUND(IF(S9+S91+S94&lt;=0,0,IF(IRA1_Owner="s",IF(AND(Your_End&gt;=T$4,Spouse_End&lt;T$5),-T9/VLOOKUP(T$5,'Tax Tables'!$G$338:$I$398,2),0),IF(AND(Spouse_End&gt;=T$5,Your_End&lt;T$4),-T9/VLOOKUP(T$4,'Tax Tables'!$G$338:$I$398,2),0)))/Round_To,0)*Round_To</f>
        <v>0</v>
      </c>
      <c r="U93" s="1125">
        <f>ROUND(IF(T9+T91+T94&lt;=0,0,IF(IRA1_Owner="s",IF(AND(Your_End&gt;=U$4,Spouse_End&lt;U$5),-U9/VLOOKUP(U$5,'Tax Tables'!$G$338:$I$398,2),0),IF(AND(Spouse_End&gt;=U$5,Your_End&lt;U$4),-U9/VLOOKUP(U$4,'Tax Tables'!$G$338:$I$398,2),0)))/Round_To,0)*Round_To</f>
        <v>0</v>
      </c>
      <c r="V93" s="1125">
        <f>ROUND(IF(U9+U91+U94&lt;=0,0,IF(IRA1_Owner="s",IF(AND(Your_End&gt;=V$4,Spouse_End&lt;V$5),-V9/VLOOKUP(V$5,'Tax Tables'!$G$338:$I$398,2),0),IF(AND(Spouse_End&gt;=V$5,Your_End&lt;V$4),-V9/VLOOKUP(V$4,'Tax Tables'!$G$338:$I$398,2),0)))/Round_To,0)*Round_To</f>
        <v>0</v>
      </c>
      <c r="W93" s="1125">
        <f>ROUND(IF(V9+V91+V94&lt;=0,0,IF(IRA1_Owner="s",IF(AND(Your_End&gt;=W$4,Spouse_End&lt;W$5),-W9/VLOOKUP(W$5,'Tax Tables'!$G$338:$I$398,2),0),IF(AND(Spouse_End&gt;=W$5,Your_End&lt;W$4),-W9/VLOOKUP(W$4,'Tax Tables'!$G$338:$I$398,2),0)))/Round_To,0)*Round_To</f>
        <v>0</v>
      </c>
      <c r="X93" s="1125">
        <f>ROUND(IF(W9+W91+W94&lt;=0,0,IF(IRA1_Owner="s",IF(AND(Your_End&gt;=X$4,Spouse_End&lt;X$5),-X9/VLOOKUP(X$5,'Tax Tables'!$G$338:$I$398,2),0),IF(AND(Spouse_End&gt;=X$5,Your_End&lt;X$4),-X9/VLOOKUP(X$4,'Tax Tables'!$G$338:$I$398,2),0)))/Round_To,0)*Round_To</f>
        <v>0</v>
      </c>
      <c r="Y93" s="1125">
        <f>ROUND(IF(X9+X91+X94&lt;=0,0,IF(IRA1_Owner="s",IF(AND(Your_End&gt;=Y$4,Spouse_End&lt;Y$5),-Y9/VLOOKUP(Y$5,'Tax Tables'!$G$338:$I$398,2),0),IF(AND(Spouse_End&gt;=Y$5,Your_End&lt;Y$4),-Y9/VLOOKUP(Y$4,'Tax Tables'!$G$338:$I$398,2),0)))/Round_To,0)*Round_To</f>
        <v>0</v>
      </c>
      <c r="Z93" s="1125">
        <f>ROUND(IF(Y9+Y91+Y94&lt;=0,0,IF(IRA1_Owner="s",IF(AND(Your_End&gt;=Z$4,Spouse_End&lt;Z$5),-Z9/VLOOKUP(Z$5,'Tax Tables'!$G$338:$I$398,2),0),IF(AND(Spouse_End&gt;=Z$5,Your_End&lt;Z$4),-Z9/VLOOKUP(Z$4,'Tax Tables'!$G$338:$I$398,2),0)))/Round_To,0)*Round_To</f>
        <v>0</v>
      </c>
      <c r="AA93" s="1125">
        <f>ROUND(IF(Z9+Z91+Z94&lt;=0,0,IF(IRA1_Owner="s",IF(AND(Your_End&gt;=AA$4,Spouse_End&lt;AA$5),-AA9/VLOOKUP(AA$5,'Tax Tables'!$G$338:$I$398,2),0),IF(AND(Spouse_End&gt;=AA$5,Your_End&lt;AA$4),-AA9/VLOOKUP(AA$4,'Tax Tables'!$G$338:$I$398,2),0)))/Round_To,0)*Round_To</f>
        <v>0</v>
      </c>
      <c r="AB93" s="1125">
        <f>ROUND(IF(AA9+AA91+AA94&lt;=0,0,IF(IRA1_Owner="s",IF(AND(Your_End&gt;=AB$4,Spouse_End&lt;AB$5),-AB9/VLOOKUP(AB$5,'Tax Tables'!$G$338:$I$398,2),0),IF(AND(Spouse_End&gt;=AB$5,Your_End&lt;AB$4),-AB9/VLOOKUP(AB$4,'Tax Tables'!$G$338:$I$398,2),0)))/Round_To,0)*Round_To</f>
        <v>0</v>
      </c>
      <c r="AC93" s="1125">
        <f>ROUND(IF(AB9+AB91+AB94&lt;=0,0,IF(IRA1_Owner="s",IF(AND(Your_End&gt;=AC$4,Spouse_End&lt;AC$5),-AC9/VLOOKUP(AC$5,'Tax Tables'!$G$338:$I$398,2),0),IF(AND(Spouse_End&gt;=AC$5,Your_End&lt;AC$4),-AC9/VLOOKUP(AC$4,'Tax Tables'!$G$338:$I$398,2),0)))/Round_To,0)*Round_To</f>
        <v>0</v>
      </c>
      <c r="AD93" s="1125">
        <f>ROUND(IF(AC9+AC91+AC94&lt;=0,0,IF(IRA1_Owner="s",IF(AND(Your_End&gt;=AD$4,Spouse_End&lt;AD$5),-AD9/VLOOKUP(AD$5,'Tax Tables'!$G$338:$I$398,2),0),IF(AND(Spouse_End&gt;=AD$5,Your_End&lt;AD$4),-AD9/VLOOKUP(AD$4,'Tax Tables'!$G$338:$I$398,2),0)))/Round_To,0)*Round_To</f>
        <v>-28300</v>
      </c>
      <c r="AE93" s="1125">
        <f>ROUND(IF(AD9+AD91+AD94&lt;=0,0,IF(IRA1_Owner="s",IF(AND(Your_End&gt;=AE$4,Spouse_End&lt;AE$5),-AE9/VLOOKUP(AE$5,'Tax Tables'!$G$338:$I$398,2),0),IF(AND(Spouse_End&gt;=AE$5,Your_End&lt;AE$4),-AE9/VLOOKUP(AE$4,'Tax Tables'!$G$338:$I$398,2),0)))/Round_To,0)*Round_To</f>
        <v>-29300</v>
      </c>
      <c r="AF93" s="1125">
        <f>ROUND(IF(AE9+AE91+AE94&lt;=0,0,IF(IRA1_Owner="s",IF(AND(Your_End&gt;=AF$4,Spouse_End&lt;AF$5),-AF9/VLOOKUP(AF$5,'Tax Tables'!$G$338:$I$398,2),0),IF(AND(Spouse_End&gt;=AF$5,Your_End&lt;AF$4),-AF9/VLOOKUP(AF$4,'Tax Tables'!$G$338:$I$398,2),0)))/Round_To,0)*Round_To</f>
        <v>-30300</v>
      </c>
      <c r="AG93" s="1125">
        <f>ROUND(IF(AF9+AF91+AF94&lt;=0,0,IF(IRA1_Owner="s",IF(AND(Your_End&gt;=AG$4,Spouse_End&lt;AG$5),-AG9/VLOOKUP(AG$5,'Tax Tables'!$G$338:$I$398,2),0),IF(AND(Spouse_End&gt;=AG$5,Your_End&lt;AG$4),-AG9/VLOOKUP(AG$4,'Tax Tables'!$G$338:$I$398,2),0)))/Round_To,0)*Round_To</f>
        <v>-31200</v>
      </c>
      <c r="AH93" s="1125">
        <f>ROUND(IF(AG9+AG91+AG94&lt;=0,0,IF(IRA1_Owner="s",IF(AND(Your_End&gt;=AH$4,Spouse_End&lt;AH$5),-AH9/VLOOKUP(AH$5,'Tax Tables'!$G$338:$I$398,2),0),IF(AND(Spouse_End&gt;=AH$5,Your_End&lt;AH$4),-AH9/VLOOKUP(AH$4,'Tax Tables'!$G$338:$I$398,2),0)))/Round_To,0)*Round_To</f>
        <v>-31900</v>
      </c>
      <c r="AI93" s="1125">
        <f>ROUND(IF(AH9+AH91+AH94&lt;=0,0,IF(IRA1_Owner="s",IF(AND(Your_End&gt;=AI$4,Spouse_End&lt;AI$5),-AI9/VLOOKUP(AI$5,'Tax Tables'!$G$338:$I$398,2),0),IF(AND(Spouse_End&gt;=AI$5,Your_End&lt;AI$4),-AI9/VLOOKUP(AI$4,'Tax Tables'!$G$338:$I$398,2),0)))/Round_To,0)*Round_To</f>
        <v>-32500</v>
      </c>
      <c r="AJ93" s="1125">
        <f>ROUND(IF(AI9+AI91+AI94&lt;=0,0,IF(IRA1_Owner="s",IF(AND(Your_End&gt;=AJ$4,Spouse_End&lt;AJ$5),-AJ9/VLOOKUP(AJ$5,'Tax Tables'!$G$338:$I$398,2),0),IF(AND(Spouse_End&gt;=AJ$5,Your_End&lt;AJ$4),-AJ9/VLOOKUP(AJ$4,'Tax Tables'!$G$338:$I$398,2),0)))/Round_To,0)*Round_To</f>
        <v>0</v>
      </c>
      <c r="AK93" s="1125">
        <f>ROUND(IF(AJ9+AJ91+AJ94&lt;=0,0,IF(IRA1_Owner="s",IF(AND(Your_End&gt;=AK$4,Spouse_End&lt;AK$5),-AK9/VLOOKUP(AK$5,'Tax Tables'!$G$338:$I$398,2),0),IF(AND(Spouse_End&gt;=AK$5,Your_End&lt;AK$4),-AK9/VLOOKUP(AK$4,'Tax Tables'!$G$338:$I$398,2),0)))/Round_To,0)*Round_To</f>
        <v>0</v>
      </c>
      <c r="AL93" s="1125">
        <f>ROUND(IF(AK9+AK91+AK94&lt;=0,0,IF(IRA1_Owner="s",IF(AND(Your_End&gt;=AL$4,Spouse_End&lt;AL$5),-AL9/VLOOKUP(AL$5,'Tax Tables'!$G$338:$I$398,2),0),IF(AND(Spouse_End&gt;=AL$5,Your_End&lt;AL$4),-AL9/VLOOKUP(AL$4,'Tax Tables'!$G$338:$I$398,2),0)))/Round_To,0)*Round_To</f>
        <v>0</v>
      </c>
      <c r="AM93" s="1125">
        <f>ROUND(IF(AL9+AL91+AL94&lt;=0,0,IF(IRA1_Owner="s",IF(AND(Your_End&gt;=AM$4,Spouse_End&lt;AM$5),-AM9/VLOOKUP(AM$5,'Tax Tables'!$G$338:$I$398,2),0),IF(AND(Spouse_End&gt;=AM$5,Your_End&lt;AM$4),-AM9/VLOOKUP(AM$4,'Tax Tables'!$G$338:$I$398,2),0)))/Round_To,0)*Round_To</f>
        <v>0</v>
      </c>
      <c r="AN93" s="1125">
        <f>ROUND(IF(AM9+AM91+AM94&lt;=0,0,IF(IRA1_Owner="s",IF(AND(Your_End&gt;=AN$4,Spouse_End&lt;AN$5),-AN9/VLOOKUP(AN$5,'Tax Tables'!$G$338:$I$398,2),0),IF(AND(Spouse_End&gt;=AN$5,Your_End&lt;AN$4),-AN9/VLOOKUP(AN$4,'Tax Tables'!$G$338:$I$398,2),0)))/Round_To,0)*Round_To</f>
        <v>0</v>
      </c>
      <c r="AO93" s="1125">
        <f>ROUND(IF(AN9+AN91+AN94&lt;=0,0,IF(IRA1_Owner="s",IF(AND(Your_End&gt;=AO$4,Spouse_End&lt;AO$5),-AO9/VLOOKUP(AO$5,'Tax Tables'!$G$338:$I$398,2),0),IF(AND(Spouse_End&gt;=AO$5,Your_End&lt;AO$4),-AO9/VLOOKUP(AO$4,'Tax Tables'!$G$338:$I$398,2),0)))/Round_To,0)*Round_To</f>
        <v>0</v>
      </c>
      <c r="AP93" s="1125">
        <f>ROUND(IF(AO9+AO91+AO94&lt;=0,0,IF(IRA1_Owner="s",IF(AND(Your_End&gt;=AP$4,Spouse_End&lt;AP$5),-AP9/VLOOKUP(AP$5,'Tax Tables'!$G$338:$I$398,2),0),IF(AND(Spouse_End&gt;=AP$5,Your_End&lt;AP$4),-AP9/VLOOKUP(AP$4,'Tax Tables'!$G$338:$I$398,2),0)))/Round_To,0)*Round_To</f>
        <v>0</v>
      </c>
      <c r="AQ93" s="1125">
        <f>ROUND(IF(AP9+AP91+AP94&lt;=0,0,IF(IRA1_Owner="s",IF(AND(Your_End&gt;=AQ$4,Spouse_End&lt;AQ$5),-AQ9/VLOOKUP(AQ$5,'Tax Tables'!$G$338:$I$398,2),0),IF(AND(Spouse_End&gt;=AQ$5,Your_End&lt;AQ$4),-AQ9/VLOOKUP(AQ$4,'Tax Tables'!$G$338:$I$398,2),0)))/Round_To,0)*Round_To</f>
        <v>0</v>
      </c>
      <c r="AR93" s="1125">
        <f>ROUND(IF(AQ9+AQ91+AQ94&lt;=0,0,IF(IRA1_Owner="s",IF(AND(Your_End&gt;=AR$4,Spouse_End&lt;AR$5),-AR9/VLOOKUP(AR$5,'Tax Tables'!$G$338:$I$398,2),0),IF(AND(Spouse_End&gt;=AR$5,Your_End&lt;AR$4),-AR9/VLOOKUP(AR$4,'Tax Tables'!$G$338:$I$398,2),0)))/Round_To,0)*Round_To</f>
        <v>0</v>
      </c>
      <c r="AS93" s="1125">
        <f>ROUND(IF(AR9+AR91+AR94&lt;=0,0,IF(IRA1_Owner="s",IF(AND(Your_End&gt;=AS$4,Spouse_End&lt;AS$5),-AS9/VLOOKUP(AS$5,'Tax Tables'!$G$338:$I$398,2),0),IF(AND(Spouse_End&gt;=AS$5,Your_End&lt;AS$4),-AS9/VLOOKUP(AS$4,'Tax Tables'!$G$338:$I$398,2),0)))/Round_To,0)*Round_To</f>
        <v>0</v>
      </c>
      <c r="AT93" s="42"/>
      <c r="AU93" s="82">
        <f>+Base!E93</f>
        <v>-183500</v>
      </c>
      <c r="AV93" s="83">
        <f>+E93-AU93</f>
        <v>0</v>
      </c>
      <c r="AW93" s="102"/>
      <c r="AX93" s="49"/>
      <c r="AY93" s="49"/>
      <c r="AZ93" s="42"/>
      <c r="BA93" s="49"/>
      <c r="BB93" s="49"/>
      <c r="BC93" s="39"/>
      <c r="BD93" s="39"/>
      <c r="BE93" s="39"/>
      <c r="BF93" s="49"/>
      <c r="BG93" s="49"/>
      <c r="BH93" s="49"/>
      <c r="BI93" s="49"/>
      <c r="BJ93" s="39"/>
      <c r="BK93" s="49"/>
      <c r="BL93" s="39"/>
      <c r="BM93" s="39"/>
      <c r="BN93" s="49"/>
      <c r="BO93" s="49"/>
      <c r="BP93" s="49"/>
      <c r="BQ93" s="49"/>
      <c r="BR93" s="49"/>
      <c r="BS93" s="49"/>
      <c r="BT93" s="49"/>
      <c r="BU93" s="49"/>
      <c r="BV93" s="49"/>
      <c r="BW93" s="49"/>
      <c r="BX93" s="49"/>
      <c r="BY93" s="49"/>
      <c r="BZ93" s="49"/>
      <c r="CA93" s="44"/>
      <c r="CB93" s="49"/>
      <c r="CC93" s="49"/>
      <c r="CD93" s="49"/>
      <c r="CE93" s="49"/>
      <c r="CF93" s="49"/>
      <c r="CG93" s="49"/>
      <c r="CH93" s="49"/>
      <c r="CI93" s="49"/>
      <c r="CJ93" s="49"/>
      <c r="CK93" s="49"/>
      <c r="CL93" s="49"/>
      <c r="CM93" s="49"/>
      <c r="CN93" s="49"/>
    </row>
    <row r="94" spans="1:92">
      <c r="A94" s="1425"/>
      <c r="B94" s="1765" t="s">
        <v>1641</v>
      </c>
      <c r="C94" s="1743" t="str">
        <f>IF(IRA1_Owner="y","Yours:","Spouse:") &amp; " start " &amp; IRA_RMD_Age</f>
        <v>Yours: start 71</v>
      </c>
      <c r="D94" s="1743" t="str">
        <f>VLOOKUP(IRA_RMD_Age,'Tax Tables'!$G$338:$I$398,2)&amp;" yrs life"</f>
        <v>26.5 yrs life</v>
      </c>
      <c r="E94" s="29">
        <f t="shared" si="80"/>
        <v>-487400</v>
      </c>
      <c r="F94" s="191">
        <f>+F92+F93</f>
        <v>0</v>
      </c>
      <c r="G94" s="1124">
        <f>+G92+G93</f>
        <v>0</v>
      </c>
      <c r="H94" s="1124">
        <f t="shared" ref="H94:AS94" si="95">+H92+H93</f>
        <v>0</v>
      </c>
      <c r="I94" s="1124">
        <f t="shared" si="95"/>
        <v>0</v>
      </c>
      <c r="J94" s="1124">
        <f t="shared" si="95"/>
        <v>0</v>
      </c>
      <c r="K94" s="1124">
        <f t="shared" si="95"/>
        <v>0</v>
      </c>
      <c r="L94" s="1124">
        <f t="shared" si="95"/>
        <v>0</v>
      </c>
      <c r="M94" s="1124">
        <f t="shared" si="95"/>
        <v>0</v>
      </c>
      <c r="N94" s="1124">
        <f t="shared" si="95"/>
        <v>0</v>
      </c>
      <c r="O94" s="1124">
        <f t="shared" si="95"/>
        <v>-14500</v>
      </c>
      <c r="P94" s="1124">
        <f t="shared" si="95"/>
        <v>-15000</v>
      </c>
      <c r="Q94" s="1124">
        <f t="shared" si="95"/>
        <v>-15600</v>
      </c>
      <c r="R94" s="1124">
        <f t="shared" si="95"/>
        <v>-16200</v>
      </c>
      <c r="S94" s="1124">
        <f t="shared" si="95"/>
        <v>-16900</v>
      </c>
      <c r="T94" s="1124">
        <f t="shared" si="95"/>
        <v>-17700</v>
      </c>
      <c r="U94" s="1124">
        <f t="shared" si="95"/>
        <v>-18700</v>
      </c>
      <c r="V94" s="1124">
        <f t="shared" si="95"/>
        <v>-19900</v>
      </c>
      <c r="W94" s="1124">
        <f t="shared" si="95"/>
        <v>-21000</v>
      </c>
      <c r="X94" s="1124">
        <f t="shared" si="95"/>
        <v>-22100</v>
      </c>
      <c r="Y94" s="1124">
        <f t="shared" si="95"/>
        <v>-23100</v>
      </c>
      <c r="Z94" s="1124">
        <f t="shared" si="95"/>
        <v>-24200</v>
      </c>
      <c r="AA94" s="1124">
        <f t="shared" si="95"/>
        <v>-25300</v>
      </c>
      <c r="AB94" s="1124">
        <f t="shared" si="95"/>
        <v>-26400</v>
      </c>
      <c r="AC94" s="1124">
        <f t="shared" si="95"/>
        <v>-27300</v>
      </c>
      <c r="AD94" s="1124">
        <f t="shared" si="95"/>
        <v>-28300</v>
      </c>
      <c r="AE94" s="1124">
        <f t="shared" si="95"/>
        <v>-29300</v>
      </c>
      <c r="AF94" s="1124">
        <f t="shared" si="95"/>
        <v>-30300</v>
      </c>
      <c r="AG94" s="1124">
        <f t="shared" si="95"/>
        <v>-31200</v>
      </c>
      <c r="AH94" s="1124">
        <f t="shared" si="95"/>
        <v>-31900</v>
      </c>
      <c r="AI94" s="1124">
        <f t="shared" si="95"/>
        <v>-32500</v>
      </c>
      <c r="AJ94" s="1124">
        <f t="shared" si="95"/>
        <v>0</v>
      </c>
      <c r="AK94" s="1124">
        <f t="shared" si="95"/>
        <v>0</v>
      </c>
      <c r="AL94" s="1124">
        <f t="shared" si="95"/>
        <v>0</v>
      </c>
      <c r="AM94" s="1124">
        <f t="shared" si="95"/>
        <v>0</v>
      </c>
      <c r="AN94" s="1124">
        <f t="shared" si="95"/>
        <v>0</v>
      </c>
      <c r="AO94" s="1124">
        <f t="shared" si="95"/>
        <v>0</v>
      </c>
      <c r="AP94" s="1124">
        <f t="shared" si="95"/>
        <v>0</v>
      </c>
      <c r="AQ94" s="1124">
        <f t="shared" si="95"/>
        <v>0</v>
      </c>
      <c r="AR94" s="1124">
        <f t="shared" si="95"/>
        <v>0</v>
      </c>
      <c r="AS94" s="1124">
        <f t="shared" si="95"/>
        <v>0</v>
      </c>
      <c r="AT94" s="42"/>
      <c r="AU94" s="78">
        <f>+Base!E94</f>
        <v>-487400</v>
      </c>
      <c r="AV94" s="81">
        <f t="shared" si="94"/>
        <v>0</v>
      </c>
      <c r="AW94" s="102"/>
      <c r="AX94" s="49"/>
      <c r="AY94" s="49"/>
      <c r="AZ94" s="42"/>
      <c r="BA94" s="49"/>
      <c r="BB94" s="49"/>
      <c r="BC94" s="39"/>
      <c r="BD94" s="39"/>
      <c r="BE94" s="39"/>
      <c r="BF94" s="49"/>
      <c r="BG94" s="49"/>
      <c r="BH94" s="49"/>
      <c r="BI94" s="49"/>
      <c r="BJ94" s="39"/>
      <c r="BK94" s="49"/>
      <c r="BL94" s="39"/>
      <c r="BM94" s="39"/>
      <c r="BN94" s="49"/>
      <c r="BO94" s="49"/>
      <c r="BP94" s="49"/>
      <c r="BQ94" s="49"/>
      <c r="BR94" s="49"/>
      <c r="BS94" s="49"/>
      <c r="BT94" s="49"/>
      <c r="BU94" s="49"/>
      <c r="BV94" s="49"/>
      <c r="BW94" s="49"/>
      <c r="BX94" s="49"/>
      <c r="BY94" s="49"/>
      <c r="BZ94" s="49"/>
      <c r="CA94" s="44"/>
      <c r="CB94" s="49"/>
      <c r="CC94" s="49"/>
      <c r="CD94" s="49"/>
      <c r="CE94" s="49"/>
      <c r="CF94" s="49"/>
      <c r="CG94" s="49"/>
      <c r="CH94" s="49"/>
      <c r="CI94" s="49"/>
      <c r="CJ94" s="49"/>
      <c r="CK94" s="49"/>
      <c r="CL94" s="49"/>
      <c r="CM94" s="49"/>
      <c r="CN94" s="49"/>
    </row>
    <row r="95" spans="1:92" ht="15.6">
      <c r="A95" s="1425"/>
      <c r="B95" s="1764" t="s">
        <v>1275</v>
      </c>
      <c r="C95" s="437"/>
      <c r="D95" s="256"/>
      <c r="E95" s="65">
        <f t="shared" si="80"/>
        <v>0</v>
      </c>
      <c r="F95" s="449">
        <f t="shared" ref="F95:AS95" si="96">ROUND(IF(F8-Taxable_Min+F303&lt;0,IF(F319&gt;0,IF(F8-Taxable_Min+F303&lt;-F319,-F319,F8+F303-Taxable_Min),0),0)/Round_To,0)*Round_To*IF(Automate="y",1,0)</f>
        <v>0</v>
      </c>
      <c r="G95" s="1124">
        <f t="shared" si="96"/>
        <v>0</v>
      </c>
      <c r="H95" s="1124">
        <f t="shared" si="96"/>
        <v>0</v>
      </c>
      <c r="I95" s="1124">
        <f t="shared" si="96"/>
        <v>0</v>
      </c>
      <c r="J95" s="1124">
        <f t="shared" si="96"/>
        <v>0</v>
      </c>
      <c r="K95" s="1124">
        <f t="shared" si="96"/>
        <v>0</v>
      </c>
      <c r="L95" s="1124">
        <f t="shared" si="96"/>
        <v>0</v>
      </c>
      <c r="M95" s="1124">
        <f t="shared" si="96"/>
        <v>0</v>
      </c>
      <c r="N95" s="1124">
        <f t="shared" si="96"/>
        <v>0</v>
      </c>
      <c r="O95" s="1124">
        <f t="shared" si="96"/>
        <v>0</v>
      </c>
      <c r="P95" s="1124">
        <f t="shared" si="96"/>
        <v>0</v>
      </c>
      <c r="Q95" s="1124">
        <f t="shared" si="96"/>
        <v>0</v>
      </c>
      <c r="R95" s="1124">
        <f t="shared" si="96"/>
        <v>0</v>
      </c>
      <c r="S95" s="1124">
        <f t="shared" si="96"/>
        <v>0</v>
      </c>
      <c r="T95" s="1124">
        <f t="shared" si="96"/>
        <v>0</v>
      </c>
      <c r="U95" s="1124">
        <f t="shared" si="96"/>
        <v>0</v>
      </c>
      <c r="V95" s="1124">
        <f t="shared" si="96"/>
        <v>0</v>
      </c>
      <c r="W95" s="1124">
        <f t="shared" si="96"/>
        <v>0</v>
      </c>
      <c r="X95" s="1124">
        <f t="shared" si="96"/>
        <v>0</v>
      </c>
      <c r="Y95" s="1124">
        <f t="shared" si="96"/>
        <v>0</v>
      </c>
      <c r="Z95" s="1124">
        <f t="shared" si="96"/>
        <v>0</v>
      </c>
      <c r="AA95" s="1124">
        <f t="shared" si="96"/>
        <v>0</v>
      </c>
      <c r="AB95" s="1124">
        <f t="shared" si="96"/>
        <v>0</v>
      </c>
      <c r="AC95" s="1124">
        <f t="shared" si="96"/>
        <v>0</v>
      </c>
      <c r="AD95" s="1124">
        <f t="shared" si="96"/>
        <v>0</v>
      </c>
      <c r="AE95" s="1124">
        <f t="shared" si="96"/>
        <v>0</v>
      </c>
      <c r="AF95" s="1124">
        <f t="shared" si="96"/>
        <v>0</v>
      </c>
      <c r="AG95" s="1124">
        <f t="shared" si="96"/>
        <v>0</v>
      </c>
      <c r="AH95" s="1124">
        <f t="shared" si="96"/>
        <v>0</v>
      </c>
      <c r="AI95" s="1124">
        <f t="shared" si="96"/>
        <v>0</v>
      </c>
      <c r="AJ95" s="1124">
        <f t="shared" si="96"/>
        <v>0</v>
      </c>
      <c r="AK95" s="1124">
        <f t="shared" si="96"/>
        <v>0</v>
      </c>
      <c r="AL95" s="1124">
        <f t="shared" si="96"/>
        <v>0</v>
      </c>
      <c r="AM95" s="1124">
        <f t="shared" si="96"/>
        <v>0</v>
      </c>
      <c r="AN95" s="1124">
        <f t="shared" si="96"/>
        <v>0</v>
      </c>
      <c r="AO95" s="1124">
        <f t="shared" si="96"/>
        <v>0</v>
      </c>
      <c r="AP95" s="1124">
        <f t="shared" si="96"/>
        <v>0</v>
      </c>
      <c r="AQ95" s="1124">
        <f t="shared" si="96"/>
        <v>0</v>
      </c>
      <c r="AR95" s="1124">
        <f t="shared" si="96"/>
        <v>0</v>
      </c>
      <c r="AS95" s="1124">
        <f t="shared" si="96"/>
        <v>0</v>
      </c>
      <c r="AT95" s="42"/>
      <c r="AU95" s="78">
        <f>+Base!E95</f>
        <v>0</v>
      </c>
      <c r="AV95" s="81">
        <f t="shared" si="94"/>
        <v>0</v>
      </c>
      <c r="AW95" s="191"/>
      <c r="AX95" s="49"/>
      <c r="AY95" s="49"/>
      <c r="AZ95" s="42"/>
      <c r="BA95" s="49"/>
      <c r="BB95" s="49"/>
      <c r="BC95" s="39"/>
      <c r="BD95" s="39"/>
      <c r="BE95" s="39"/>
      <c r="BF95" s="49"/>
      <c r="BG95" s="49"/>
      <c r="BH95" s="49"/>
      <c r="BI95" s="49"/>
      <c r="BJ95" s="39"/>
      <c r="BK95" s="49"/>
      <c r="BL95" s="39"/>
      <c r="BM95" s="39"/>
      <c r="BN95" s="49"/>
      <c r="BO95" s="49"/>
      <c r="BP95" s="49"/>
      <c r="BQ95" s="49"/>
      <c r="BR95" s="49"/>
      <c r="BS95" s="49"/>
      <c r="BT95" s="49"/>
      <c r="BU95" s="49"/>
      <c r="BV95" s="49"/>
      <c r="BW95" s="49"/>
      <c r="BX95" s="49"/>
      <c r="BY95" s="49"/>
      <c r="BZ95" s="49"/>
      <c r="CA95" s="44"/>
      <c r="CB95" s="49"/>
      <c r="CC95" s="49"/>
      <c r="CD95" s="49"/>
      <c r="CE95" s="49"/>
      <c r="CF95" s="49"/>
      <c r="CG95" s="49"/>
      <c r="CH95" s="49"/>
      <c r="CI95" s="49"/>
      <c r="CJ95" s="49"/>
      <c r="CK95" s="49"/>
      <c r="CL95" s="49"/>
      <c r="CM95" s="49"/>
      <c r="CN95" s="49"/>
    </row>
    <row r="96" spans="1:92" ht="15.6">
      <c r="A96" s="1425"/>
      <c r="B96" s="1764" t="s">
        <v>1276</v>
      </c>
      <c r="C96" s="437"/>
      <c r="D96" s="256"/>
      <c r="E96" s="65">
        <f t="shared" si="80"/>
        <v>0</v>
      </c>
      <c r="F96" s="102">
        <f t="shared" ref="F96:AS96" si="97">IF(SPIA_From="i",IF(SPIA_Age=F$4,-SPIA_Amt,0),0)*IF(SPIA_Amt&gt;F9,0,1)</f>
        <v>0</v>
      </c>
      <c r="G96" s="1124">
        <f t="shared" si="97"/>
        <v>0</v>
      </c>
      <c r="H96" s="1124">
        <f t="shared" si="97"/>
        <v>0</v>
      </c>
      <c r="I96" s="1124">
        <f t="shared" si="97"/>
        <v>0</v>
      </c>
      <c r="J96" s="1124">
        <f t="shared" si="97"/>
        <v>0</v>
      </c>
      <c r="K96" s="1124">
        <f t="shared" si="97"/>
        <v>0</v>
      </c>
      <c r="L96" s="1124">
        <f t="shared" si="97"/>
        <v>0</v>
      </c>
      <c r="M96" s="1124">
        <f t="shared" si="97"/>
        <v>0</v>
      </c>
      <c r="N96" s="1124">
        <f t="shared" si="97"/>
        <v>0</v>
      </c>
      <c r="O96" s="1124">
        <f t="shared" si="97"/>
        <v>0</v>
      </c>
      <c r="P96" s="1124">
        <f t="shared" si="97"/>
        <v>0</v>
      </c>
      <c r="Q96" s="1124">
        <f t="shared" si="97"/>
        <v>0</v>
      </c>
      <c r="R96" s="1124">
        <f t="shared" si="97"/>
        <v>0</v>
      </c>
      <c r="S96" s="1124">
        <f t="shared" si="97"/>
        <v>0</v>
      </c>
      <c r="T96" s="1124">
        <f t="shared" si="97"/>
        <v>0</v>
      </c>
      <c r="U96" s="1124">
        <f t="shared" si="97"/>
        <v>0</v>
      </c>
      <c r="V96" s="1124">
        <f t="shared" si="97"/>
        <v>0</v>
      </c>
      <c r="W96" s="1124">
        <f t="shared" si="97"/>
        <v>0</v>
      </c>
      <c r="X96" s="1124">
        <f t="shared" si="97"/>
        <v>0</v>
      </c>
      <c r="Y96" s="1124">
        <f t="shared" si="97"/>
        <v>0</v>
      </c>
      <c r="Z96" s="1124">
        <f t="shared" si="97"/>
        <v>0</v>
      </c>
      <c r="AA96" s="1124">
        <f t="shared" si="97"/>
        <v>0</v>
      </c>
      <c r="AB96" s="1124">
        <f t="shared" si="97"/>
        <v>0</v>
      </c>
      <c r="AC96" s="1124">
        <f t="shared" si="97"/>
        <v>0</v>
      </c>
      <c r="AD96" s="1124">
        <f t="shared" si="97"/>
        <v>0</v>
      </c>
      <c r="AE96" s="1124">
        <f t="shared" si="97"/>
        <v>0</v>
      </c>
      <c r="AF96" s="1124">
        <f t="shared" si="97"/>
        <v>0</v>
      </c>
      <c r="AG96" s="1124">
        <f t="shared" si="97"/>
        <v>0</v>
      </c>
      <c r="AH96" s="1124">
        <f t="shared" si="97"/>
        <v>0</v>
      </c>
      <c r="AI96" s="1124">
        <f t="shared" si="97"/>
        <v>0</v>
      </c>
      <c r="AJ96" s="1124">
        <f t="shared" si="97"/>
        <v>0</v>
      </c>
      <c r="AK96" s="1124">
        <f t="shared" si="97"/>
        <v>0</v>
      </c>
      <c r="AL96" s="1124">
        <f t="shared" si="97"/>
        <v>0</v>
      </c>
      <c r="AM96" s="1124">
        <f t="shared" si="97"/>
        <v>0</v>
      </c>
      <c r="AN96" s="1124">
        <f t="shared" si="97"/>
        <v>0</v>
      </c>
      <c r="AO96" s="1124">
        <f t="shared" si="97"/>
        <v>0</v>
      </c>
      <c r="AP96" s="1124">
        <f t="shared" si="97"/>
        <v>0</v>
      </c>
      <c r="AQ96" s="1124">
        <f t="shared" si="97"/>
        <v>0</v>
      </c>
      <c r="AR96" s="1124">
        <f t="shared" si="97"/>
        <v>0</v>
      </c>
      <c r="AS96" s="1124">
        <f t="shared" si="97"/>
        <v>0</v>
      </c>
      <c r="AT96" s="42"/>
      <c r="AU96" s="78">
        <f>+Base!E96</f>
        <v>0</v>
      </c>
      <c r="AV96" s="81">
        <f t="shared" si="94"/>
        <v>0</v>
      </c>
      <c r="AW96" s="191"/>
      <c r="AX96" s="49"/>
      <c r="AY96" s="49"/>
      <c r="AZ96" s="42"/>
      <c r="BA96" s="49"/>
      <c r="BB96" s="49"/>
      <c r="BC96" s="39"/>
      <c r="BD96" s="39"/>
      <c r="BE96" s="39"/>
      <c r="BF96" s="49"/>
      <c r="BG96" s="49"/>
      <c r="BH96" s="49"/>
      <c r="BI96" s="49"/>
      <c r="BJ96" s="39"/>
      <c r="BK96" s="49"/>
      <c r="BL96" s="39"/>
      <c r="BM96" s="39"/>
      <c r="BN96" s="49"/>
      <c r="BO96" s="49"/>
      <c r="BP96" s="49"/>
      <c r="BQ96" s="49"/>
      <c r="BR96" s="49"/>
      <c r="BS96" s="49"/>
      <c r="BT96" s="49"/>
      <c r="BU96" s="49"/>
      <c r="BV96" s="49"/>
      <c r="BW96" s="49"/>
      <c r="BX96" s="49"/>
      <c r="BY96" s="49"/>
      <c r="BZ96" s="49"/>
      <c r="CA96" s="44"/>
      <c r="CB96" s="49"/>
      <c r="CC96" s="49"/>
      <c r="CD96" s="49"/>
      <c r="CE96" s="49"/>
      <c r="CF96" s="49"/>
      <c r="CG96" s="49"/>
      <c r="CH96" s="49"/>
      <c r="CI96" s="49"/>
      <c r="CJ96" s="49"/>
      <c r="CK96" s="49"/>
      <c r="CL96" s="49"/>
      <c r="CM96" s="49"/>
      <c r="CN96" s="49"/>
    </row>
    <row r="97" spans="1:92" ht="10.199999999999999" customHeight="1">
      <c r="A97" s="1425"/>
      <c r="B97" s="1764"/>
      <c r="C97" s="437"/>
      <c r="D97" s="256"/>
      <c r="E97" s="65"/>
      <c r="F97" s="102"/>
      <c r="G97" s="1124"/>
      <c r="H97" s="1124"/>
      <c r="I97" s="1124"/>
      <c r="J97" s="1124"/>
      <c r="K97" s="1124"/>
      <c r="L97" s="1124"/>
      <c r="M97" s="1124"/>
      <c r="N97" s="1124"/>
      <c r="O97" s="1124"/>
      <c r="P97" s="1124"/>
      <c r="Q97" s="1124"/>
      <c r="R97" s="1124"/>
      <c r="S97" s="1124"/>
      <c r="T97" s="1124"/>
      <c r="U97" s="1124"/>
      <c r="V97" s="1124"/>
      <c r="W97" s="1124"/>
      <c r="X97" s="1124"/>
      <c r="Y97" s="1124"/>
      <c r="Z97" s="1124"/>
      <c r="AA97" s="1124"/>
      <c r="AB97" s="1124"/>
      <c r="AC97" s="1124"/>
      <c r="AD97" s="1124"/>
      <c r="AE97" s="1124"/>
      <c r="AF97" s="1124"/>
      <c r="AG97" s="1124"/>
      <c r="AH97" s="1124"/>
      <c r="AI97" s="1124"/>
      <c r="AJ97" s="1124"/>
      <c r="AK97" s="1124"/>
      <c r="AL97" s="1124"/>
      <c r="AM97" s="1124"/>
      <c r="AN97" s="1124"/>
      <c r="AO97" s="1124"/>
      <c r="AP97" s="1124"/>
      <c r="AQ97" s="1124"/>
      <c r="AR97" s="1124"/>
      <c r="AS97" s="1124"/>
      <c r="AT97" s="42"/>
      <c r="AU97" s="78"/>
      <c r="AV97" s="81"/>
      <c r="AW97" s="191"/>
      <c r="AX97" s="49"/>
      <c r="AY97" s="49"/>
      <c r="AZ97" s="42"/>
      <c r="BA97" s="49"/>
      <c r="BB97" s="49"/>
      <c r="BC97" s="39"/>
      <c r="BD97" s="39"/>
      <c r="BE97" s="39"/>
      <c r="BF97" s="49"/>
      <c r="BG97" s="49"/>
      <c r="BH97" s="49"/>
      <c r="BI97" s="49"/>
      <c r="BJ97" s="39"/>
      <c r="BK97" s="49"/>
      <c r="BL97" s="39"/>
      <c r="BM97" s="39"/>
      <c r="BN97" s="49"/>
      <c r="BO97" s="49"/>
      <c r="BP97" s="49"/>
      <c r="BQ97" s="49"/>
      <c r="BR97" s="49"/>
      <c r="BS97" s="49"/>
      <c r="BT97" s="49"/>
      <c r="BU97" s="49"/>
      <c r="BV97" s="49"/>
      <c r="BW97" s="49"/>
      <c r="BX97" s="49"/>
      <c r="BY97" s="49"/>
      <c r="BZ97" s="49"/>
      <c r="CA97" s="44"/>
      <c r="CB97" s="49"/>
      <c r="CC97" s="49"/>
      <c r="CD97" s="49"/>
      <c r="CE97" s="49"/>
      <c r="CF97" s="49"/>
      <c r="CG97" s="49"/>
      <c r="CH97" s="49"/>
      <c r="CI97" s="49"/>
      <c r="CJ97" s="49"/>
      <c r="CK97" s="49"/>
      <c r="CL97" s="49"/>
      <c r="CM97" s="49"/>
      <c r="CN97" s="49"/>
    </row>
    <row r="98" spans="1:92" ht="19.95" customHeight="1">
      <c r="A98" s="1425"/>
      <c r="B98" s="1764" t="s">
        <v>1816</v>
      </c>
      <c r="C98" s="1743" t="str">
        <f>tIRA2_Start &amp; "-" &amp; tIRA2_End</f>
        <v>62-70</v>
      </c>
      <c r="D98" s="1757">
        <f>tIRA2_Esc</f>
        <v>0</v>
      </c>
      <c r="E98" s="65">
        <f t="shared" si="80"/>
        <v>58500</v>
      </c>
      <c r="F98" s="1305">
        <f>ROUND(IF(tIRA2_Start=F$4,tIRA2_Add,0)/Round_To,0)*Round_To</f>
        <v>6500</v>
      </c>
      <c r="G98" s="1124">
        <f t="shared" ref="G98:AS98" si="98">ROUND(IF(AND(F98&gt;0,OR(tIRA2_End&gt;=G$4,tIRA2_End&gt;="")),F98*(1+tIRA2_Esc),IF(tIRA2_Start=G$4,tIRA2_Add,0))/Round_To,0)*Round_To*G$264</f>
        <v>6500</v>
      </c>
      <c r="H98" s="1124">
        <f t="shared" si="98"/>
        <v>6500</v>
      </c>
      <c r="I98" s="1124">
        <f t="shared" si="98"/>
        <v>6500</v>
      </c>
      <c r="J98" s="1124">
        <f t="shared" si="98"/>
        <v>6500</v>
      </c>
      <c r="K98" s="1124">
        <f t="shared" si="98"/>
        <v>6500</v>
      </c>
      <c r="L98" s="1124">
        <f t="shared" si="98"/>
        <v>6500</v>
      </c>
      <c r="M98" s="1124">
        <f t="shared" si="98"/>
        <v>6500</v>
      </c>
      <c r="N98" s="1124">
        <f t="shared" si="98"/>
        <v>6500</v>
      </c>
      <c r="O98" s="1124">
        <f t="shared" si="98"/>
        <v>0</v>
      </c>
      <c r="P98" s="1124">
        <f t="shared" si="98"/>
        <v>0</v>
      </c>
      <c r="Q98" s="1124">
        <f t="shared" si="98"/>
        <v>0</v>
      </c>
      <c r="R98" s="1124">
        <f t="shared" si="98"/>
        <v>0</v>
      </c>
      <c r="S98" s="1124">
        <f t="shared" si="98"/>
        <v>0</v>
      </c>
      <c r="T98" s="1124">
        <f t="shared" si="98"/>
        <v>0</v>
      </c>
      <c r="U98" s="1124">
        <f t="shared" si="98"/>
        <v>0</v>
      </c>
      <c r="V98" s="1124">
        <f t="shared" si="98"/>
        <v>0</v>
      </c>
      <c r="W98" s="1124">
        <f t="shared" si="98"/>
        <v>0</v>
      </c>
      <c r="X98" s="1124">
        <f t="shared" si="98"/>
        <v>0</v>
      </c>
      <c r="Y98" s="1124">
        <f t="shared" si="98"/>
        <v>0</v>
      </c>
      <c r="Z98" s="1124">
        <f t="shared" si="98"/>
        <v>0</v>
      </c>
      <c r="AA98" s="1124">
        <f t="shared" si="98"/>
        <v>0</v>
      </c>
      <c r="AB98" s="1124">
        <f t="shared" si="98"/>
        <v>0</v>
      </c>
      <c r="AC98" s="1124">
        <f t="shared" si="98"/>
        <v>0</v>
      </c>
      <c r="AD98" s="1124">
        <f t="shared" si="98"/>
        <v>0</v>
      </c>
      <c r="AE98" s="1124">
        <f t="shared" si="98"/>
        <v>0</v>
      </c>
      <c r="AF98" s="1124">
        <f t="shared" si="98"/>
        <v>0</v>
      </c>
      <c r="AG98" s="1124">
        <f t="shared" si="98"/>
        <v>0</v>
      </c>
      <c r="AH98" s="1124">
        <f t="shared" si="98"/>
        <v>0</v>
      </c>
      <c r="AI98" s="1124">
        <f t="shared" si="98"/>
        <v>0</v>
      </c>
      <c r="AJ98" s="1124">
        <f t="shared" si="98"/>
        <v>0</v>
      </c>
      <c r="AK98" s="1124">
        <f t="shared" si="98"/>
        <v>0</v>
      </c>
      <c r="AL98" s="1124">
        <f t="shared" si="98"/>
        <v>0</v>
      </c>
      <c r="AM98" s="1124">
        <f t="shared" si="98"/>
        <v>0</v>
      </c>
      <c r="AN98" s="1124">
        <f t="shared" si="98"/>
        <v>0</v>
      </c>
      <c r="AO98" s="1124">
        <f t="shared" si="98"/>
        <v>0</v>
      </c>
      <c r="AP98" s="1124">
        <f t="shared" si="98"/>
        <v>0</v>
      </c>
      <c r="AQ98" s="1124">
        <f t="shared" si="98"/>
        <v>0</v>
      </c>
      <c r="AR98" s="1124">
        <f t="shared" si="98"/>
        <v>0</v>
      </c>
      <c r="AS98" s="1124">
        <f t="shared" si="98"/>
        <v>0</v>
      </c>
      <c r="AT98" s="42"/>
      <c r="AU98" s="78">
        <f>+Base!E98</f>
        <v>58500</v>
      </c>
      <c r="AV98" s="81">
        <f>+E98-AU98</f>
        <v>0</v>
      </c>
      <c r="AW98" s="191"/>
      <c r="AX98" s="49"/>
      <c r="AY98" s="49"/>
      <c r="AZ98" s="42"/>
      <c r="BA98" s="49"/>
      <c r="BB98" s="49"/>
      <c r="BC98" s="39"/>
      <c r="BD98" s="39"/>
      <c r="BE98" s="39"/>
      <c r="BF98" s="49"/>
      <c r="BG98" s="49"/>
      <c r="BH98" s="49"/>
      <c r="BI98" s="49"/>
      <c r="BJ98" s="39"/>
      <c r="BK98" s="49"/>
      <c r="BL98" s="39"/>
      <c r="BM98" s="39"/>
      <c r="BN98" s="49"/>
      <c r="BO98" s="49"/>
      <c r="BP98" s="49"/>
      <c r="BQ98" s="49"/>
      <c r="BR98" s="49"/>
      <c r="BS98" s="49"/>
      <c r="BT98" s="49"/>
      <c r="BU98" s="49"/>
      <c r="BV98" s="49"/>
      <c r="BW98" s="49"/>
      <c r="BX98" s="49"/>
      <c r="BY98" s="49"/>
      <c r="BZ98" s="49"/>
      <c r="CA98" s="44"/>
      <c r="CB98" s="49"/>
      <c r="CC98" s="49"/>
      <c r="CD98" s="49"/>
      <c r="CE98" s="49"/>
      <c r="CF98" s="49"/>
      <c r="CG98" s="49"/>
      <c r="CH98" s="49"/>
      <c r="CI98" s="49"/>
      <c r="CJ98" s="49"/>
      <c r="CK98" s="49"/>
      <c r="CL98" s="49"/>
      <c r="CM98" s="49"/>
      <c r="CN98" s="49"/>
    </row>
    <row r="99" spans="1:92" s="3" customFormat="1">
      <c r="A99" s="1430"/>
      <c r="B99" s="1765" t="s">
        <v>2242</v>
      </c>
      <c r="C99" s="1743" t="str">
        <f>IF(tIRA_Withdr_Base3&lt;&gt;0,"Differs from Base","Same as Base")</f>
        <v>Same as Base</v>
      </c>
      <c r="D99" s="1743" t="str">
        <f>IF(AV99&lt;&gt;0,"Differs: " &amp; Start_Compare3 &amp; "-" &amp; End_Compare3,"Same: " &amp; Start_Compare3 &amp; "-" &amp; End_Compare3)</f>
        <v>Same: -</v>
      </c>
      <c r="E99" s="65">
        <f t="shared" si="80"/>
        <v>0</v>
      </c>
      <c r="F99" s="1287">
        <f>ROUND(IF(AND(tIRA_Begin2&gt;0,Start_Compare3&lt;=F$4),-tIRA_Withdr_Compare3,0)/Round_To,0)*Round_To</f>
        <v>0</v>
      </c>
      <c r="G99" s="1124">
        <f t="shared" ref="G99:AS99" si="99">ROUND(IF(F99&lt;0,IF(-G327&gt;+F99*(1+Esc_Compare3),-G327,+F99*(1+Esc_Compare3)),IF(Start_Compare3&lt;=G$4,IF(-G327&gt;-tIRA_Withdr_Compare3,-G327,-tIRA_Withdr_Compare3),0))/Round_To,0)*Round_To</f>
        <v>0</v>
      </c>
      <c r="H99" s="1124">
        <f t="shared" si="99"/>
        <v>0</v>
      </c>
      <c r="I99" s="1124">
        <f t="shared" si="99"/>
        <v>0</v>
      </c>
      <c r="J99" s="1124">
        <f t="shared" si="99"/>
        <v>0</v>
      </c>
      <c r="K99" s="1124">
        <f t="shared" si="99"/>
        <v>0</v>
      </c>
      <c r="L99" s="1124">
        <f t="shared" si="99"/>
        <v>0</v>
      </c>
      <c r="M99" s="1124">
        <f t="shared" si="99"/>
        <v>0</v>
      </c>
      <c r="N99" s="1124">
        <f t="shared" si="99"/>
        <v>0</v>
      </c>
      <c r="O99" s="1124">
        <f t="shared" si="99"/>
        <v>0</v>
      </c>
      <c r="P99" s="1124">
        <f t="shared" si="99"/>
        <v>0</v>
      </c>
      <c r="Q99" s="1124">
        <f t="shared" si="99"/>
        <v>0</v>
      </c>
      <c r="R99" s="1124">
        <f t="shared" si="99"/>
        <v>0</v>
      </c>
      <c r="S99" s="1124">
        <f t="shared" si="99"/>
        <v>0</v>
      </c>
      <c r="T99" s="1124">
        <f t="shared" si="99"/>
        <v>0</v>
      </c>
      <c r="U99" s="1124">
        <f t="shared" si="99"/>
        <v>0</v>
      </c>
      <c r="V99" s="1124">
        <f t="shared" si="99"/>
        <v>0</v>
      </c>
      <c r="W99" s="1124">
        <f t="shared" si="99"/>
        <v>0</v>
      </c>
      <c r="X99" s="1124">
        <f t="shared" si="99"/>
        <v>0</v>
      </c>
      <c r="Y99" s="1124">
        <f t="shared" si="99"/>
        <v>0</v>
      </c>
      <c r="Z99" s="1124">
        <f t="shared" si="99"/>
        <v>0</v>
      </c>
      <c r="AA99" s="1124">
        <f t="shared" si="99"/>
        <v>0</v>
      </c>
      <c r="AB99" s="1124">
        <f t="shared" si="99"/>
        <v>0</v>
      </c>
      <c r="AC99" s="1124">
        <f t="shared" si="99"/>
        <v>0</v>
      </c>
      <c r="AD99" s="1124">
        <f t="shared" si="99"/>
        <v>0</v>
      </c>
      <c r="AE99" s="1124">
        <f t="shared" si="99"/>
        <v>0</v>
      </c>
      <c r="AF99" s="1124">
        <f t="shared" si="99"/>
        <v>0</v>
      </c>
      <c r="AG99" s="1124">
        <f t="shared" si="99"/>
        <v>0</v>
      </c>
      <c r="AH99" s="1124">
        <f t="shared" si="99"/>
        <v>0</v>
      </c>
      <c r="AI99" s="1124">
        <f t="shared" si="99"/>
        <v>0</v>
      </c>
      <c r="AJ99" s="1124">
        <f t="shared" si="99"/>
        <v>0</v>
      </c>
      <c r="AK99" s="1124">
        <f t="shared" si="99"/>
        <v>0</v>
      </c>
      <c r="AL99" s="1124">
        <f t="shared" si="99"/>
        <v>0</v>
      </c>
      <c r="AM99" s="1124">
        <f t="shared" si="99"/>
        <v>0</v>
      </c>
      <c r="AN99" s="1124">
        <f t="shared" si="99"/>
        <v>0</v>
      </c>
      <c r="AO99" s="1124">
        <f t="shared" si="99"/>
        <v>0</v>
      </c>
      <c r="AP99" s="1124">
        <f t="shared" si="99"/>
        <v>0</v>
      </c>
      <c r="AQ99" s="1124">
        <f t="shared" si="99"/>
        <v>0</v>
      </c>
      <c r="AR99" s="1124">
        <f t="shared" si="99"/>
        <v>0</v>
      </c>
      <c r="AS99" s="1124">
        <f t="shared" si="99"/>
        <v>0</v>
      </c>
      <c r="AT99" s="42"/>
      <c r="AU99" s="78">
        <f>+Base!E99</f>
        <v>0</v>
      </c>
      <c r="AV99" s="81">
        <f t="shared" si="94"/>
        <v>0</v>
      </c>
      <c r="AW99" s="191"/>
      <c r="AX99" s="42"/>
      <c r="AY99" s="42"/>
      <c r="AZ99" s="42"/>
      <c r="BA99" s="42"/>
      <c r="BB99" s="42"/>
      <c r="BC99" s="440"/>
      <c r="BD99" s="440"/>
      <c r="BE99" s="440"/>
      <c r="BF99" s="42"/>
      <c r="BG99" s="42"/>
      <c r="BH99" s="42"/>
      <c r="BI99" s="42"/>
      <c r="BJ99" s="440"/>
      <c r="BK99" s="42"/>
      <c r="BL99" s="440"/>
      <c r="BM99" s="440"/>
      <c r="BN99" s="42"/>
      <c r="BO99" s="42"/>
      <c r="BP99" s="42"/>
      <c r="BQ99" s="42"/>
      <c r="BR99" s="42"/>
      <c r="BS99" s="42"/>
      <c r="BT99" s="42"/>
      <c r="BU99" s="42"/>
      <c r="BV99" s="42"/>
      <c r="BW99" s="42"/>
      <c r="BX99" s="42"/>
      <c r="BY99" s="42"/>
      <c r="BZ99" s="42"/>
      <c r="CA99" s="328"/>
      <c r="CB99" s="42"/>
      <c r="CC99" s="42"/>
      <c r="CD99" s="42"/>
      <c r="CE99" s="42"/>
      <c r="CF99" s="42"/>
      <c r="CG99" s="42"/>
      <c r="CH99" s="42"/>
      <c r="CI99" s="42"/>
      <c r="CJ99" s="42"/>
      <c r="CK99" s="42"/>
      <c r="CL99" s="42"/>
      <c r="CM99" s="42"/>
      <c r="CN99" s="42"/>
    </row>
    <row r="100" spans="1:92" s="3" customFormat="1" hidden="1">
      <c r="A100" s="1427" t="s">
        <v>1578</v>
      </c>
      <c r="B100" s="1765" t="s">
        <v>347</v>
      </c>
      <c r="C100" s="1743" t="str">
        <f>IF(IRA2_Owner="y","Yours:","Spouse:") &amp; " start " &amp; IRA_RMD_Age2</f>
        <v>Spouse: start 70</v>
      </c>
      <c r="D100" s="1746" t="str">
        <f>"end at " &amp; IF(IRA2_Owner="y",Your_End,Spouse_End)</f>
        <v>end at 90</v>
      </c>
      <c r="E100" s="29">
        <f t="shared" si="80"/>
        <v>-530400</v>
      </c>
      <c r="F100" s="1287">
        <f>ROUND(IF(IRA_RMD_Age2=0,0,IF(IRA2_Owner="y",IF(IRA_RMD_Age2&lt;=F$4,-F10/VLOOKUP(F$4,'Tax Tables'!$G$338:$I$398,2),0),IF(IRA_RMD_Age2&lt;=F$5,-F10/VLOOKUP(F$5,'Tax Tables'!$G$338:$I$398,2),0)))/Round_To,0)*Round_To</f>
        <v>0</v>
      </c>
      <c r="G100" s="1124">
        <f>ROUND(IF(OR(F10+F99+F102&lt;=0,IRA_RMD_Age2=0),0,IF(IRA2_Owner="y",IF(AND(IRA_RMD_Age2&lt;=G$4,Your_End&gt;=G$4),-G10/VLOOKUP(G$4,'Tax Tables'!$G$338:$I$398,2),0),IF(AND(IRA_RMD_Age2&lt;=G$5,Spouse_End&gt;=G$5),-G10/VLOOKUP(G$5,'Tax Tables'!$G$338:$I$398,2),0)))/Round_To,0)*Round_To</f>
        <v>0</v>
      </c>
      <c r="H100" s="1124">
        <f>ROUND(IF(OR(G10+G99+G102&lt;=0,IRA_RMD_Age2=0),0,IF(IRA2_Owner="y",IF(AND(IRA_RMD_Age2&lt;=H$4,Your_End&gt;=H$4),-H10/VLOOKUP(H$4,'Tax Tables'!$G$338:$I$398,2),0),IF(AND(IRA_RMD_Age2&lt;=H$5,Spouse_End&gt;=H$5),-H10/VLOOKUP(H$5,'Tax Tables'!$G$338:$I$398,2),0)))/Round_To,0)*Round_To</f>
        <v>0</v>
      </c>
      <c r="I100" s="1124">
        <f>ROUND(IF(OR(H10+H99+H102&lt;=0,IRA_RMD_Age2=0),0,IF(IRA2_Owner="y",IF(AND(IRA_RMD_Age2&lt;=I$4,Your_End&gt;=I$4),-I10/VLOOKUP(I$4,'Tax Tables'!$G$338:$I$398,2),0),IF(AND(IRA_RMD_Age2&lt;=I$5,Spouse_End&gt;=I$5),-I10/VLOOKUP(I$5,'Tax Tables'!$G$338:$I$398,2),0)))/Round_To,0)*Round_To</f>
        <v>0</v>
      </c>
      <c r="J100" s="1124">
        <f>ROUND(IF(OR(I10+I99+I102&lt;=0,IRA_RMD_Age2=0),0,IF(IRA2_Owner="y",IF(AND(IRA_RMD_Age2&lt;=J$4,Your_End&gt;=J$4),-J10/VLOOKUP(J$4,'Tax Tables'!$G$338:$I$398,2),0),IF(AND(IRA_RMD_Age2&lt;=J$5,Spouse_End&gt;=J$5),-J10/VLOOKUP(J$5,'Tax Tables'!$G$338:$I$398,2),0)))/Round_To,0)*Round_To</f>
        <v>0</v>
      </c>
      <c r="K100" s="1124">
        <f>ROUND(IF(OR(J10+J99+J102&lt;=0,IRA_RMD_Age2=0),0,IF(IRA2_Owner="y",IF(AND(IRA_RMD_Age2&lt;=K$4,Your_End&gt;=K$4),-K10/VLOOKUP(K$4,'Tax Tables'!$G$338:$I$398,2),0),IF(AND(IRA_RMD_Age2&lt;=K$5,Spouse_End&gt;=K$5),-K10/VLOOKUP(K$5,'Tax Tables'!$G$338:$I$398,2),0)))/Round_To,0)*Round_To</f>
        <v>0</v>
      </c>
      <c r="L100" s="1124">
        <f>ROUND(IF(OR(K10+K99+K102&lt;=0,IRA_RMD_Age2=0),0,IF(IRA2_Owner="y",IF(AND(IRA_RMD_Age2&lt;=L$4,Your_End&gt;=L$4),-L10/VLOOKUP(L$4,'Tax Tables'!$G$338:$I$398,2),0),IF(AND(IRA_RMD_Age2&lt;=L$5,Spouse_End&gt;=L$5),-L10/VLOOKUP(L$5,'Tax Tables'!$G$338:$I$398,2),0)))/Round_To,0)*Round_To</f>
        <v>0</v>
      </c>
      <c r="M100" s="1124">
        <f>ROUND(IF(OR(L10+L99+L102&lt;=0,IRA_RMD_Age2=0),0,IF(IRA2_Owner="y",IF(AND(IRA_RMD_Age2&lt;=M$4,Your_End&gt;=M$4),-M10/VLOOKUP(M$4,'Tax Tables'!$G$338:$I$398,2),0),IF(AND(IRA_RMD_Age2&lt;=M$5,Spouse_End&gt;=M$5),-M10/VLOOKUP(M$5,'Tax Tables'!$G$338:$I$398,2),0)))/Round_To,0)*Round_To</f>
        <v>0</v>
      </c>
      <c r="N100" s="1124">
        <f>ROUND(IF(OR(M10+M99+M102&lt;=0,IRA_RMD_Age2=0),0,IF(IRA2_Owner="y",IF(AND(IRA_RMD_Age2&lt;=N$4,Your_End&gt;=N$4),-N10/VLOOKUP(N$4,'Tax Tables'!$G$338:$I$398,2),0),IF(AND(IRA_RMD_Age2&lt;=N$5,Spouse_End&gt;=N$5),-N10/VLOOKUP(N$5,'Tax Tables'!$G$338:$I$398,2),0)))/Round_To,0)*Round_To</f>
        <v>0</v>
      </c>
      <c r="O100" s="1124">
        <f>ROUND(IF(OR(N10+N99+N102&lt;=0,IRA_RMD_Age2=0),0,IF(IRA2_Owner="y",IF(AND(IRA_RMD_Age2&lt;=O$4,Your_End&gt;=O$4),-O10/VLOOKUP(O$4,'Tax Tables'!$G$338:$I$398,2),0),IF(AND(IRA_RMD_Age2&lt;=O$5,Spouse_End&gt;=O$5),-O10/VLOOKUP(O$5,'Tax Tables'!$G$338:$I$398,2),0)))/Round_To,0)*Round_To</f>
        <v>-15000</v>
      </c>
      <c r="P100" s="1124">
        <f>ROUND(IF(OR(O10+O99+O102&lt;=0,IRA_RMD_Age2=0),0,IF(IRA2_Owner="y",IF(AND(IRA_RMD_Age2&lt;=P$4,Your_End&gt;=P$4),-P10/VLOOKUP(P$4,'Tax Tables'!$G$338:$I$398,2),0),IF(AND(IRA_RMD_Age2&lt;=P$5,Spouse_End&gt;=P$5),-P10/VLOOKUP(P$5,'Tax Tables'!$G$338:$I$398,2),0)))/Round_To,0)*Round_To</f>
        <v>-15900</v>
      </c>
      <c r="Q100" s="1124">
        <f>ROUND(IF(OR(P10+P99+P102&lt;=0,IRA_RMD_Age2=0),0,IF(IRA2_Owner="y",IF(AND(IRA_RMD_Age2&lt;=Q$4,Your_End&gt;=Q$4),-Q10/VLOOKUP(Q$4,'Tax Tables'!$G$338:$I$398,2),0),IF(AND(IRA_RMD_Age2&lt;=Q$5,Spouse_End&gt;=Q$5),-Q10/VLOOKUP(Q$5,'Tax Tables'!$G$338:$I$398,2),0)))/Round_To,0)*Round_To</f>
        <v>-16800</v>
      </c>
      <c r="R100" s="1124">
        <f>ROUND(IF(OR(Q10+Q99+Q102&lt;=0,IRA_RMD_Age2=0),0,IF(IRA2_Owner="y",IF(AND(IRA_RMD_Age2&lt;=R$4,Your_End&gt;=R$4),-R10/VLOOKUP(R$4,'Tax Tables'!$G$338:$I$398,2),0),IF(AND(IRA_RMD_Age2&lt;=R$5,Spouse_End&gt;=R$5),-R10/VLOOKUP(R$5,'Tax Tables'!$G$338:$I$398,2),0)))/Round_To,0)*Round_To</f>
        <v>-17700</v>
      </c>
      <c r="S100" s="1124">
        <f>ROUND(IF(OR(R10+R99+R102&lt;=0,IRA_RMD_Age2=0),0,IF(IRA2_Owner="y",IF(AND(IRA_RMD_Age2&lt;=S$4,Your_End&gt;=S$4),-S10/VLOOKUP(S$4,'Tax Tables'!$G$338:$I$398,2),0),IF(AND(IRA_RMD_Age2&lt;=S$5,Spouse_End&gt;=S$5),-S10/VLOOKUP(S$5,'Tax Tables'!$G$338:$I$398,2),0)))/Round_To,0)*Round_To</f>
        <v>-18700</v>
      </c>
      <c r="T100" s="1124">
        <f>ROUND(IF(OR(S10+S99+S102&lt;=0,IRA_RMD_Age2=0),0,IF(IRA2_Owner="y",IF(AND(IRA_RMD_Age2&lt;=T$4,Your_End&gt;=T$4),-T10/VLOOKUP(T$4,'Tax Tables'!$G$338:$I$398,2),0),IF(AND(IRA_RMD_Age2&lt;=T$5,Spouse_End&gt;=T$5),-T10/VLOOKUP(T$5,'Tax Tables'!$G$338:$I$398,2),0)))/Round_To,0)*Round_To</f>
        <v>-19700</v>
      </c>
      <c r="U100" s="1124">
        <f>ROUND(IF(OR(T10+T99+T102&lt;=0,IRA_RMD_Age2=0),0,IF(IRA2_Owner="y",IF(AND(IRA_RMD_Age2&lt;=U$4,Your_End&gt;=U$4),-U10/VLOOKUP(U$4,'Tax Tables'!$G$338:$I$398,2),0),IF(AND(IRA_RMD_Age2&lt;=U$5,Spouse_End&gt;=U$5),-U10/VLOOKUP(U$5,'Tax Tables'!$G$338:$I$398,2),0)))/Round_To,0)*Round_To</f>
        <v>-20800</v>
      </c>
      <c r="V100" s="1124">
        <f>ROUND(IF(OR(U10+U99+U102&lt;=0,IRA_RMD_Age2=0),0,IF(IRA2_Owner="y",IF(AND(IRA_RMD_Age2&lt;=V$4,Your_End&gt;=V$4),-V10/VLOOKUP(V$4,'Tax Tables'!$G$338:$I$398,2),0),IF(AND(IRA_RMD_Age2&lt;=V$5,Spouse_End&gt;=V$5),-V10/VLOOKUP(V$5,'Tax Tables'!$G$338:$I$398,2),0)))/Round_To,0)*Round_To</f>
        <v>-21900</v>
      </c>
      <c r="W100" s="1124">
        <f>ROUND(IF(OR(V10+V99+V102&lt;=0,IRA_RMD_Age2=0),0,IF(IRA2_Owner="y",IF(AND(IRA_RMD_Age2&lt;=W$4,Your_End&gt;=W$4),-W10/VLOOKUP(W$4,'Tax Tables'!$G$338:$I$398,2),0),IF(AND(IRA_RMD_Age2&lt;=W$5,Spouse_End&gt;=W$5),-W10/VLOOKUP(W$5,'Tax Tables'!$G$338:$I$398,2),0)))/Round_To,0)*Round_To</f>
        <v>-23100</v>
      </c>
      <c r="X100" s="1124">
        <f>ROUND(IF(OR(W10+W99+W102&lt;=0,IRA_RMD_Age2=0),0,IF(IRA2_Owner="y",IF(AND(IRA_RMD_Age2&lt;=X$4,Your_End&gt;=X$4),-X10/VLOOKUP(X$4,'Tax Tables'!$G$338:$I$398,2),0),IF(AND(IRA_RMD_Age2&lt;=X$5,Spouse_End&gt;=X$5),-X10/VLOOKUP(X$5,'Tax Tables'!$G$338:$I$398,2),0)))/Round_To,0)*Round_To</f>
        <v>-24200</v>
      </c>
      <c r="Y100" s="1124">
        <f>ROUND(IF(OR(X10+X99+X102&lt;=0,IRA_RMD_Age2=0),0,IF(IRA2_Owner="y",IF(AND(IRA_RMD_Age2&lt;=Y$4,Your_End&gt;=Y$4),-Y10/VLOOKUP(Y$4,'Tax Tables'!$G$338:$I$398,2),0),IF(AND(IRA_RMD_Age2&lt;=Y$5,Spouse_End&gt;=Y$5),-Y10/VLOOKUP(Y$5,'Tax Tables'!$G$338:$I$398,2),0)))/Round_To,0)*Round_To</f>
        <v>-25300</v>
      </c>
      <c r="Z100" s="1124">
        <f>ROUND(IF(OR(Y10+Y99+Y102&lt;=0,IRA_RMD_Age2=0),0,IF(IRA2_Owner="y",IF(AND(IRA_RMD_Age2&lt;=Z$4,Your_End&gt;=Z$4),-Z10/VLOOKUP(Z$4,'Tax Tables'!$G$338:$I$398,2),0),IF(AND(IRA_RMD_Age2&lt;=Z$5,Spouse_End&gt;=Z$5),-Z10/VLOOKUP(Z$5,'Tax Tables'!$G$338:$I$398,2),0)))/Round_To,0)*Round_To</f>
        <v>-26300</v>
      </c>
      <c r="AA100" s="1124">
        <f>ROUND(IF(OR(Z10+Z99+Z102&lt;=0,IRA_RMD_Age2=0),0,IF(IRA2_Owner="y",IF(AND(IRA_RMD_Age2&lt;=AA$4,Your_End&gt;=AA$4),-AA10/VLOOKUP(AA$4,'Tax Tables'!$G$338:$I$398,2),0),IF(AND(IRA_RMD_Age2&lt;=AA$5,Spouse_End&gt;=AA$5),-AA10/VLOOKUP(AA$5,'Tax Tables'!$G$338:$I$398,2),0)))/Round_To,0)*Round_To</f>
        <v>-27500</v>
      </c>
      <c r="AB100" s="1124">
        <f>ROUND(IF(OR(AA10+AA99+AA102&lt;=0,IRA_RMD_Age2=0),0,IF(IRA2_Owner="y",IF(AND(IRA_RMD_Age2&lt;=AB$4,Your_End&gt;=AB$4),-AB10/VLOOKUP(AB$4,'Tax Tables'!$G$338:$I$398,2),0),IF(AND(IRA_RMD_Age2&lt;=AB$5,Spouse_End&gt;=AB$5),-AB10/VLOOKUP(AB$5,'Tax Tables'!$G$338:$I$398,2),0)))/Round_To,0)*Round_To</f>
        <v>-28600</v>
      </c>
      <c r="AC100" s="1124">
        <f>ROUND(IF(OR(AB10+AB99+AB102&lt;=0,IRA_RMD_Age2=0),0,IF(IRA2_Owner="y",IF(AND(IRA_RMD_Age2&lt;=AC$4,Your_End&gt;=AC$4),-AC10/VLOOKUP(AC$4,'Tax Tables'!$G$338:$I$398,2),0),IF(AND(IRA_RMD_Age2&lt;=AC$5,Spouse_End&gt;=AC$5),-AC10/VLOOKUP(AC$5,'Tax Tables'!$G$338:$I$398,2),0)))/Round_To,0)*Round_To</f>
        <v>-29800</v>
      </c>
      <c r="AD100" s="1124">
        <f>ROUND(IF(OR(AC10+AC99+AC102&lt;=0,IRA_RMD_Age2=0),0,IF(IRA2_Owner="y",IF(AND(IRA_RMD_Age2&lt;=AD$4,Your_End&gt;=AD$4),-AD10/VLOOKUP(AD$4,'Tax Tables'!$G$338:$I$398,2),0),IF(AND(IRA_RMD_Age2&lt;=AD$5,Spouse_End&gt;=AD$5),-AD10/VLOOKUP(AD$5,'Tax Tables'!$G$338:$I$398,2),0)))/Round_To,0)*Round_To</f>
        <v>-30800</v>
      </c>
      <c r="AE100" s="1124">
        <f>ROUND(IF(OR(AD10+AD99+AD102&lt;=0,IRA_RMD_Age2=0),0,IF(IRA2_Owner="y",IF(AND(IRA_RMD_Age2&lt;=AE$4,Your_End&gt;=AE$4),-AE10/VLOOKUP(AE$4,'Tax Tables'!$G$338:$I$398,2),0),IF(AND(IRA_RMD_Age2&lt;=AE$5,Spouse_End&gt;=AE$5),-AE10/VLOOKUP(AE$5,'Tax Tables'!$G$338:$I$398,2),0)))/Round_To,0)*Round_To</f>
        <v>-31800</v>
      </c>
      <c r="AF100" s="1124">
        <f>ROUND(IF(OR(AE10+AE99+AE102&lt;=0,IRA_RMD_Age2=0),0,IF(IRA2_Owner="y",IF(AND(IRA_RMD_Age2&lt;=AF$4,Your_End&gt;=AF$4),-AF10/VLOOKUP(AF$4,'Tax Tables'!$G$338:$I$398,2),0),IF(AND(IRA_RMD_Age2&lt;=AF$5,Spouse_End&gt;=AF$5),-AF10/VLOOKUP(AF$5,'Tax Tables'!$G$338:$I$398,2),0)))/Round_To,0)*Round_To</f>
        <v>-32700</v>
      </c>
      <c r="AG100" s="1124">
        <f>ROUND(IF(OR(AF10+AF99+AF102&lt;=0,IRA_RMD_Age2=0),0,IF(IRA2_Owner="y",IF(AND(IRA_RMD_Age2&lt;=AG$4,Your_End&gt;=AG$4),-AG10/VLOOKUP(AG$4,'Tax Tables'!$G$338:$I$398,2),0),IF(AND(IRA_RMD_Age2&lt;=AG$5,Spouse_End&gt;=AG$5),-AG10/VLOOKUP(AG$5,'Tax Tables'!$G$338:$I$398,2),0)))/Round_To,0)*Round_To</f>
        <v>-33700</v>
      </c>
      <c r="AH100" s="1124">
        <f>ROUND(IF(OR(AG10+AG99+AG102&lt;=0,IRA_RMD_Age2=0),0,IF(IRA2_Owner="y",IF(AND(IRA_RMD_Age2&lt;=AH$4,Your_End&gt;=AH$4),-AH10/VLOOKUP(AH$4,'Tax Tables'!$G$338:$I$398,2),0),IF(AND(IRA_RMD_Age2&lt;=AH$5,Spouse_End&gt;=AH$5),-AH10/VLOOKUP(AH$5,'Tax Tables'!$G$338:$I$398,2),0)))/Round_To,0)*Round_To</f>
        <v>-34700</v>
      </c>
      <c r="AI100" s="1124">
        <f>ROUND(IF(OR(AH10+AH99+AH102&lt;=0,IRA_RMD_Age2=0),0,IF(IRA2_Owner="y",IF(AND(IRA_RMD_Age2&lt;=AI$4,Your_End&gt;=AI$4),-AI10/VLOOKUP(AI$4,'Tax Tables'!$G$338:$I$398,2),0),IF(AND(IRA_RMD_Age2&lt;=AI$5,Spouse_End&gt;=AI$5),-AI10/VLOOKUP(AI$5,'Tax Tables'!$G$338:$I$398,2),0)))/Round_To,0)*Round_To</f>
        <v>-35400</v>
      </c>
      <c r="AJ100" s="1124">
        <f>ROUND(IF(OR(AI10+AI99+AI102&lt;=0,IRA_RMD_Age2=0),0,IF(IRA2_Owner="y",IF(AND(IRA_RMD_Age2&lt;=AJ$4,Your_End&gt;=AJ$4),-AJ10/VLOOKUP(AJ$4,'Tax Tables'!$G$338:$I$398,2),0),IF(AND(IRA_RMD_Age2&lt;=AJ$5,Spouse_End&gt;=AJ$5),-AJ10/VLOOKUP(AJ$5,'Tax Tables'!$G$338:$I$398,2),0)))/Round_To,0)*Round_To</f>
        <v>0</v>
      </c>
      <c r="AK100" s="1124">
        <f>ROUND(IF(OR(AJ10+AJ99+AJ102&lt;=0,IRA_RMD_Age2=0),0,IF(IRA2_Owner="y",IF(AND(IRA_RMD_Age2&lt;=AK$4,Your_End&gt;=AK$4),-AK10/VLOOKUP(AK$4,'Tax Tables'!$G$338:$I$398,2),0),IF(AND(IRA_RMD_Age2&lt;=AK$5,Spouse_End&gt;=AK$5),-AK10/VLOOKUP(AK$5,'Tax Tables'!$G$338:$I$398,2),0)))/Round_To,0)*Round_To</f>
        <v>0</v>
      </c>
      <c r="AL100" s="1124">
        <f>ROUND(IF(OR(AK10+AK99+AK102&lt;=0,IRA_RMD_Age2=0),0,IF(IRA2_Owner="y",IF(AND(IRA_RMD_Age2&lt;=AL$4,Your_End&gt;=AL$4),-AL10/VLOOKUP(AL$4,'Tax Tables'!$G$338:$I$398,2),0),IF(AND(IRA_RMD_Age2&lt;=AL$5,Spouse_End&gt;=AL$5),-AL10/VLOOKUP(AL$5,'Tax Tables'!$G$338:$I$398,2),0)))/Round_To,0)*Round_To</f>
        <v>0</v>
      </c>
      <c r="AM100" s="1124">
        <f>ROUND(IF(OR(AL10+AL99+AL102&lt;=0,IRA_RMD_Age2=0),0,IF(IRA2_Owner="y",IF(AND(IRA_RMD_Age2&lt;=AM$4,Your_End&gt;=AM$4),-AM10/VLOOKUP(AM$4,'Tax Tables'!$G$338:$I$398,2),0),IF(AND(IRA_RMD_Age2&lt;=AM$5,Spouse_End&gt;=AM$5),-AM10/VLOOKUP(AM$5,'Tax Tables'!$G$338:$I$398,2),0)))/Round_To,0)*Round_To</f>
        <v>0</v>
      </c>
      <c r="AN100" s="1124">
        <f>ROUND(IF(OR(AM10+AM99+AM102&lt;=0,IRA_RMD_Age2=0),0,IF(IRA2_Owner="y",IF(AND(IRA_RMD_Age2&lt;=AN$4,Your_End&gt;=AN$4),-AN10/VLOOKUP(AN$4,'Tax Tables'!$G$338:$I$398,2),0),IF(AND(IRA_RMD_Age2&lt;=AN$5,Spouse_End&gt;=AN$5),-AN10/VLOOKUP(AN$5,'Tax Tables'!$G$338:$I$398,2),0)))/Round_To,0)*Round_To</f>
        <v>0</v>
      </c>
      <c r="AO100" s="1124">
        <f>ROUND(IF(OR(AN10+AN99+AN102&lt;=0,IRA_RMD_Age2=0),0,IF(IRA2_Owner="y",IF(AND(IRA_RMD_Age2&lt;=AO$4,Your_End&gt;=AO$4),-AO10/VLOOKUP(AO$4,'Tax Tables'!$G$338:$I$398,2),0),IF(AND(IRA_RMD_Age2&lt;=AO$5,Spouse_End&gt;=AO$5),-AO10/VLOOKUP(AO$5,'Tax Tables'!$G$338:$I$398,2),0)))/Round_To,0)*Round_To</f>
        <v>0</v>
      </c>
      <c r="AP100" s="1124">
        <f>ROUND(IF(OR(AO10+AO99+AO102&lt;=0,IRA_RMD_Age2=0),0,IF(IRA2_Owner="y",IF(AND(IRA_RMD_Age2&lt;=AP$4,Your_End&gt;=AP$4),-AP10/VLOOKUP(AP$4,'Tax Tables'!$G$338:$I$398,2),0),IF(AND(IRA_RMD_Age2&lt;=AP$5,Spouse_End&gt;=AP$5),-AP10/VLOOKUP(AP$5,'Tax Tables'!$G$338:$I$398,2),0)))/Round_To,0)*Round_To</f>
        <v>0</v>
      </c>
      <c r="AQ100" s="1124">
        <f>ROUND(IF(OR(AP10+AP99+AP102&lt;=0,IRA_RMD_Age2=0),0,IF(IRA2_Owner="y",IF(AND(IRA_RMD_Age2&lt;=AQ$4,Your_End&gt;=AQ$4),-AQ10/VLOOKUP(AQ$4,'Tax Tables'!$G$338:$I$398,2),0),IF(AND(IRA_RMD_Age2&lt;=AQ$5,Spouse_End&gt;=AQ$5),-AQ10/VLOOKUP(AQ$5,'Tax Tables'!$G$338:$I$398,2),0)))/Round_To,0)*Round_To</f>
        <v>0</v>
      </c>
      <c r="AR100" s="1124">
        <f>ROUND(IF(OR(AQ10+AQ99+AQ102&lt;=0,IRA_RMD_Age2=0),0,IF(IRA2_Owner="y",IF(AND(IRA_RMD_Age2&lt;=AR$4,Your_End&gt;=AR$4),-AR10/VLOOKUP(AR$4,'Tax Tables'!$G$338:$I$398,2),0),IF(AND(IRA_RMD_Age2&lt;=AR$5,Spouse_End&gt;=AR$5),-AR10/VLOOKUP(AR$5,'Tax Tables'!$G$338:$I$398,2),0)))/Round_To,0)*Round_To</f>
        <v>0</v>
      </c>
      <c r="AS100" s="1124">
        <f>ROUND(IF(OR(AR10+AR99+AR102&lt;=0,IRA_RMD_Age2=0),0,IF(IRA2_Owner="y",IF(AND(IRA_RMD_Age2&lt;=AS$4,Your_End&gt;=AS$4),-AS10/VLOOKUP(AS$4,'Tax Tables'!$G$338:$I$398,2),0),IF(AND(IRA_RMD_Age2&lt;=AS$5,Spouse_End&gt;=AS$5),-AS10/VLOOKUP(AS$5,'Tax Tables'!$G$338:$I$398,2),0)))/Round_To,0)*Round_To</f>
        <v>0</v>
      </c>
      <c r="AT100" s="42"/>
      <c r="AU100" s="78">
        <f>+Base!E100</f>
        <v>-530400</v>
      </c>
      <c r="AV100" s="81">
        <f>+E100-AU100</f>
        <v>0</v>
      </c>
      <c r="AW100" s="102"/>
      <c r="AX100" s="42"/>
      <c r="AY100" s="42"/>
      <c r="AZ100" s="42"/>
      <c r="BA100" s="42"/>
      <c r="BB100" s="42"/>
      <c r="BC100" s="440"/>
      <c r="BD100" s="440"/>
      <c r="BE100" s="440"/>
      <c r="BF100" s="42"/>
      <c r="BG100" s="42"/>
      <c r="BH100" s="42"/>
      <c r="BI100" s="42"/>
      <c r="BJ100" s="440"/>
      <c r="BK100" s="42"/>
      <c r="BL100" s="440"/>
      <c r="BM100" s="440"/>
      <c r="BN100" s="42"/>
      <c r="BO100" s="42"/>
      <c r="BP100" s="42"/>
      <c r="BQ100" s="42"/>
      <c r="BR100" s="42"/>
      <c r="BS100" s="42"/>
      <c r="BT100" s="42"/>
      <c r="BU100" s="42"/>
      <c r="BV100" s="42"/>
      <c r="BW100" s="42"/>
      <c r="BX100" s="42"/>
      <c r="BY100" s="42"/>
      <c r="BZ100" s="42"/>
      <c r="CA100" s="328"/>
      <c r="CB100" s="42"/>
      <c r="CC100" s="42"/>
      <c r="CD100" s="42"/>
      <c r="CE100" s="42"/>
      <c r="CF100" s="42"/>
      <c r="CG100" s="42"/>
      <c r="CH100" s="42"/>
      <c r="CI100" s="42"/>
      <c r="CJ100" s="42"/>
      <c r="CK100" s="42"/>
      <c r="CL100" s="42"/>
      <c r="CM100" s="42"/>
      <c r="CN100" s="42"/>
    </row>
    <row r="101" spans="1:92" s="3" customFormat="1" hidden="1">
      <c r="A101" s="1427" t="s">
        <v>1578</v>
      </c>
      <c r="B101" s="1765" t="s">
        <v>348</v>
      </c>
      <c r="C101" s="1743"/>
      <c r="D101" s="1746" t="str">
        <f>IF(IRA2_Owner="s",Spouse_End_Input +1,Your_End_Input+1) &amp; " - " &amp; IF(IRA2_Owner="s",Your_End,Spouse_End)</f>
        <v>1 - 85</v>
      </c>
      <c r="E101" s="34">
        <f t="shared" si="80"/>
        <v>0</v>
      </c>
      <c r="F101" s="35"/>
      <c r="G101" s="1125">
        <f>ROUND(IF(F10+F99+F102&lt;=0,0,IF(IRA2_Owner="s",IF(AND(Your_End&gt;=G$4,Spouse_End&lt;G$5),-G10/VLOOKUP(G$5,'Tax Tables'!$G$338:$I$398,2),0),IF(AND(Spouse_End&gt;=G$5,Your_End&lt;G$4),-G10/VLOOKUP(G$4,'Tax Tables'!$G$338:$I$398,2),0)))/Round_To,0)*Round_To</f>
        <v>0</v>
      </c>
      <c r="H101" s="1125">
        <f>ROUND(IF(G10+G99+G102&lt;=0,0,IF(IRA2_Owner="s",IF(AND(Your_End&gt;=H$4,Spouse_End&lt;H$5),-H10/VLOOKUP(H$5,'Tax Tables'!$G$338:$I$398,2),0),IF(AND(Spouse_End&gt;=H$5,Your_End&lt;H$4),-H10/VLOOKUP(H$4,'Tax Tables'!$G$338:$I$398,2),0)))/Round_To,0)*Round_To</f>
        <v>0</v>
      </c>
      <c r="I101" s="1125">
        <f>ROUND(IF(H10+H99+H102&lt;=0,0,IF(IRA2_Owner="s",IF(AND(Your_End&gt;=I$4,Spouse_End&lt;I$5),-I10/VLOOKUP(I$5,'Tax Tables'!$G$338:$I$398,2),0),IF(AND(Spouse_End&gt;=I$5,Your_End&lt;I$4),-I10/VLOOKUP(I$4,'Tax Tables'!$G$338:$I$398,2),0)))/Round_To,0)*Round_To</f>
        <v>0</v>
      </c>
      <c r="J101" s="1125">
        <f>ROUND(IF(I10+I99+I102&lt;=0,0,IF(IRA2_Owner="s",IF(AND(Your_End&gt;=J$4,Spouse_End&lt;J$5),-J10/VLOOKUP(J$5,'Tax Tables'!$G$338:$I$398,2),0),IF(AND(Spouse_End&gt;=J$5,Your_End&lt;J$4),-J10/VLOOKUP(J$4,'Tax Tables'!$G$338:$I$398,2),0)))/Round_To,0)*Round_To</f>
        <v>0</v>
      </c>
      <c r="K101" s="1125">
        <f>ROUND(IF(J10+J99+J102&lt;=0,0,IF(IRA2_Owner="s",IF(AND(Your_End&gt;=K$4,Spouse_End&lt;K$5),-K10/VLOOKUP(K$5,'Tax Tables'!$G$338:$I$398,2),0),IF(AND(Spouse_End&gt;=K$5,Your_End&lt;K$4),-K10/VLOOKUP(K$4,'Tax Tables'!$G$338:$I$398,2),0)))/Round_To,0)*Round_To</f>
        <v>0</v>
      </c>
      <c r="L101" s="1125">
        <f>ROUND(IF(K10+K99+K102&lt;=0,0,IF(IRA2_Owner="s",IF(AND(Your_End&gt;=L$4,Spouse_End&lt;L$5),-L10/VLOOKUP(L$5,'Tax Tables'!$G$338:$I$398,2),0),IF(AND(Spouse_End&gt;=L$5,Your_End&lt;L$4),-L10/VLOOKUP(L$4,'Tax Tables'!$G$338:$I$398,2),0)))/Round_To,0)*Round_To</f>
        <v>0</v>
      </c>
      <c r="M101" s="1125">
        <f>ROUND(IF(L10+L99+L102&lt;=0,0,IF(IRA2_Owner="s",IF(AND(Your_End&gt;=M$4,Spouse_End&lt;M$5),-M10/VLOOKUP(M$5,'Tax Tables'!$G$338:$I$398,2),0),IF(AND(Spouse_End&gt;=M$5,Your_End&lt;M$4),-M10/VLOOKUP(M$4,'Tax Tables'!$G$338:$I$398,2),0)))/Round_To,0)*Round_To</f>
        <v>0</v>
      </c>
      <c r="N101" s="1125">
        <f>ROUND(IF(M10+M99+M102&lt;=0,0,IF(IRA2_Owner="s",IF(AND(Your_End&gt;=N$4,Spouse_End&lt;N$5),-N10/VLOOKUP(N$5,'Tax Tables'!$G$338:$I$398,2),0),IF(AND(Spouse_End&gt;=N$5,Your_End&lt;N$4),-N10/VLOOKUP(N$4,'Tax Tables'!$G$338:$I$398,2),0)))/Round_To,0)*Round_To</f>
        <v>0</v>
      </c>
      <c r="O101" s="1125">
        <f>ROUND(IF(N10+N99+N102&lt;=0,0,IF(IRA2_Owner="s",IF(AND(Your_End&gt;=O$4,Spouse_End&lt;O$5),-O10/VLOOKUP(O$5,'Tax Tables'!$G$338:$I$398,2),0),IF(AND(Spouse_End&gt;=O$5,Your_End&lt;O$4),-O10/VLOOKUP(O$4,'Tax Tables'!$G$338:$I$398,2),0)))/Round_To,0)*Round_To</f>
        <v>0</v>
      </c>
      <c r="P101" s="1125">
        <f>ROUND(IF(O10+O99+O102&lt;=0,0,IF(IRA2_Owner="s",IF(AND(Your_End&gt;=P$4,Spouse_End&lt;P$5),-P10/VLOOKUP(P$5,'Tax Tables'!$G$338:$I$398,2),0),IF(AND(Spouse_End&gt;=P$5,Your_End&lt;P$4),-P10/VLOOKUP(P$4,'Tax Tables'!$G$338:$I$398,2),0)))/Round_To,0)*Round_To</f>
        <v>0</v>
      </c>
      <c r="Q101" s="1125">
        <f>ROUND(IF(P10+P99+P102&lt;=0,0,IF(IRA2_Owner="s",IF(AND(Your_End&gt;=Q$4,Spouse_End&lt;Q$5),-Q10/VLOOKUP(Q$5,'Tax Tables'!$G$338:$I$398,2),0),IF(AND(Spouse_End&gt;=Q$5,Your_End&lt;Q$4),-Q10/VLOOKUP(Q$4,'Tax Tables'!$G$338:$I$398,2),0)))/Round_To,0)*Round_To</f>
        <v>0</v>
      </c>
      <c r="R101" s="1125">
        <f>ROUND(IF(Q10+Q99+Q102&lt;=0,0,IF(IRA2_Owner="s",IF(AND(Your_End&gt;=R$4,Spouse_End&lt;R$5),-R10/VLOOKUP(R$5,'Tax Tables'!$G$338:$I$398,2),0),IF(AND(Spouse_End&gt;=R$5,Your_End&lt;R$4),-R10/VLOOKUP(R$4,'Tax Tables'!$G$338:$I$398,2),0)))/Round_To,0)*Round_To</f>
        <v>0</v>
      </c>
      <c r="S101" s="1125">
        <f>ROUND(IF(R10+R99+R102&lt;=0,0,IF(IRA2_Owner="s",IF(AND(Your_End&gt;=S$4,Spouse_End&lt;S$5),-S10/VLOOKUP(S$5,'Tax Tables'!$G$338:$I$398,2),0),IF(AND(Spouse_End&gt;=S$5,Your_End&lt;S$4),-S10/VLOOKUP(S$4,'Tax Tables'!$G$338:$I$398,2),0)))/Round_To,0)*Round_To</f>
        <v>0</v>
      </c>
      <c r="T101" s="1125">
        <f>ROUND(IF(S10+S99+S102&lt;=0,0,IF(IRA2_Owner="s",IF(AND(Your_End&gt;=T$4,Spouse_End&lt;T$5),-T10/VLOOKUP(T$5,'Tax Tables'!$G$338:$I$398,2),0),IF(AND(Spouse_End&gt;=T$5,Your_End&lt;T$4),-T10/VLOOKUP(T$4,'Tax Tables'!$G$338:$I$398,2),0)))/Round_To,0)*Round_To</f>
        <v>0</v>
      </c>
      <c r="U101" s="1125">
        <f>ROUND(IF(T10+T99+T102&lt;=0,0,IF(IRA2_Owner="s",IF(AND(Your_End&gt;=U$4,Spouse_End&lt;U$5),-U10/VLOOKUP(U$5,'Tax Tables'!$G$338:$I$398,2),0),IF(AND(Spouse_End&gt;=U$5,Your_End&lt;U$4),-U10/VLOOKUP(U$4,'Tax Tables'!$G$338:$I$398,2),0)))/Round_To,0)*Round_To</f>
        <v>0</v>
      </c>
      <c r="V101" s="1125">
        <f>ROUND(IF(U10+U99+U102&lt;=0,0,IF(IRA2_Owner="s",IF(AND(Your_End&gt;=V$4,Spouse_End&lt;V$5),-V10/VLOOKUP(V$5,'Tax Tables'!$G$338:$I$398,2),0),IF(AND(Spouse_End&gt;=V$5,Your_End&lt;V$4),-V10/VLOOKUP(V$4,'Tax Tables'!$G$338:$I$398,2),0)))/Round_To,0)*Round_To</f>
        <v>0</v>
      </c>
      <c r="W101" s="1125">
        <f>ROUND(IF(V10+V99+V102&lt;=0,0,IF(IRA2_Owner="s",IF(AND(Your_End&gt;=W$4,Spouse_End&lt;W$5),-W10/VLOOKUP(W$5,'Tax Tables'!$G$338:$I$398,2),0),IF(AND(Spouse_End&gt;=W$5,Your_End&lt;W$4),-W10/VLOOKUP(W$4,'Tax Tables'!$G$338:$I$398,2),0)))/Round_To,0)*Round_To</f>
        <v>0</v>
      </c>
      <c r="X101" s="1125">
        <f>ROUND(IF(W10+W99+W102&lt;=0,0,IF(IRA2_Owner="s",IF(AND(Your_End&gt;=X$4,Spouse_End&lt;X$5),-X10/VLOOKUP(X$5,'Tax Tables'!$G$338:$I$398,2),0),IF(AND(Spouse_End&gt;=X$5,Your_End&lt;X$4),-X10/VLOOKUP(X$4,'Tax Tables'!$G$338:$I$398,2),0)))/Round_To,0)*Round_To</f>
        <v>0</v>
      </c>
      <c r="Y101" s="1125">
        <f>ROUND(IF(X10+X99+X102&lt;=0,0,IF(IRA2_Owner="s",IF(AND(Your_End&gt;=Y$4,Spouse_End&lt;Y$5),-Y10/VLOOKUP(Y$5,'Tax Tables'!$G$338:$I$398,2),0),IF(AND(Spouse_End&gt;=Y$5,Your_End&lt;Y$4),-Y10/VLOOKUP(Y$4,'Tax Tables'!$G$338:$I$398,2),0)))/Round_To,0)*Round_To</f>
        <v>0</v>
      </c>
      <c r="Z101" s="1125">
        <f>ROUND(IF(Y10+Y99+Y102&lt;=0,0,IF(IRA2_Owner="s",IF(AND(Your_End&gt;=Z$4,Spouse_End&lt;Z$5),-Z10/VLOOKUP(Z$5,'Tax Tables'!$G$338:$I$398,2),0),IF(AND(Spouse_End&gt;=Z$5,Your_End&lt;Z$4),-Z10/VLOOKUP(Z$4,'Tax Tables'!$G$338:$I$398,2),0)))/Round_To,0)*Round_To</f>
        <v>0</v>
      </c>
      <c r="AA101" s="1125">
        <f>ROUND(IF(Z10+Z99+Z102&lt;=0,0,IF(IRA2_Owner="s",IF(AND(Your_End&gt;=AA$4,Spouse_End&lt;AA$5),-AA10/VLOOKUP(AA$5,'Tax Tables'!$G$338:$I$398,2),0),IF(AND(Spouse_End&gt;=AA$5,Your_End&lt;AA$4),-AA10/VLOOKUP(AA$4,'Tax Tables'!$G$338:$I$398,2),0)))/Round_To,0)*Round_To</f>
        <v>0</v>
      </c>
      <c r="AB101" s="1125">
        <f>ROUND(IF(AA10+AA99+AA102&lt;=0,0,IF(IRA2_Owner="s",IF(AND(Your_End&gt;=AB$4,Spouse_End&lt;AB$5),-AB10/VLOOKUP(AB$5,'Tax Tables'!$G$338:$I$398,2),0),IF(AND(Spouse_End&gt;=AB$5,Your_End&lt;AB$4),-AB10/VLOOKUP(AB$4,'Tax Tables'!$G$338:$I$398,2),0)))/Round_To,0)*Round_To</f>
        <v>0</v>
      </c>
      <c r="AC101" s="1125">
        <f>ROUND(IF(AB10+AB99+AB102&lt;=0,0,IF(IRA2_Owner="s",IF(AND(Your_End&gt;=AC$4,Spouse_End&lt;AC$5),-AC10/VLOOKUP(AC$5,'Tax Tables'!$G$338:$I$398,2),0),IF(AND(Spouse_End&gt;=AC$5,Your_End&lt;AC$4),-AC10/VLOOKUP(AC$4,'Tax Tables'!$G$338:$I$398,2),0)))/Round_To,0)*Round_To</f>
        <v>0</v>
      </c>
      <c r="AD101" s="1125">
        <f>ROUND(IF(AC10+AC99+AC102&lt;=0,0,IF(IRA2_Owner="s",IF(AND(Your_End&gt;=AD$4,Spouse_End&lt;AD$5),-AD10/VLOOKUP(AD$5,'Tax Tables'!$G$338:$I$398,2),0),IF(AND(Spouse_End&gt;=AD$5,Your_End&lt;AD$4),-AD10/VLOOKUP(AD$4,'Tax Tables'!$G$338:$I$398,2),0)))/Round_To,0)*Round_To</f>
        <v>0</v>
      </c>
      <c r="AE101" s="1125">
        <f>ROUND(IF(AD10+AD99+AD102&lt;=0,0,IF(IRA2_Owner="s",IF(AND(Your_End&gt;=AE$4,Spouse_End&lt;AE$5),-AE10/VLOOKUP(AE$5,'Tax Tables'!$G$338:$I$398,2),0),IF(AND(Spouse_End&gt;=AE$5,Your_End&lt;AE$4),-AE10/VLOOKUP(AE$4,'Tax Tables'!$G$338:$I$398,2),0)))/Round_To,0)*Round_To</f>
        <v>0</v>
      </c>
      <c r="AF101" s="1125">
        <f>ROUND(IF(AE10+AE99+AE102&lt;=0,0,IF(IRA2_Owner="s",IF(AND(Your_End&gt;=AF$4,Spouse_End&lt;AF$5),-AF10/VLOOKUP(AF$5,'Tax Tables'!$G$338:$I$398,2),0),IF(AND(Spouse_End&gt;=AF$5,Your_End&lt;AF$4),-AF10/VLOOKUP(AF$4,'Tax Tables'!$G$338:$I$398,2),0)))/Round_To,0)*Round_To</f>
        <v>0</v>
      </c>
      <c r="AG101" s="1125">
        <f>ROUND(IF(AF10+AF99+AF102&lt;=0,0,IF(IRA2_Owner="s",IF(AND(Your_End&gt;=AG$4,Spouse_End&lt;AG$5),-AG10/VLOOKUP(AG$5,'Tax Tables'!$G$338:$I$398,2),0),IF(AND(Spouse_End&gt;=AG$5,Your_End&lt;AG$4),-AG10/VLOOKUP(AG$4,'Tax Tables'!$G$338:$I$398,2),0)))/Round_To,0)*Round_To</f>
        <v>0</v>
      </c>
      <c r="AH101" s="1125">
        <f>ROUND(IF(AG10+AG99+AG102&lt;=0,0,IF(IRA2_Owner="s",IF(AND(Your_End&gt;=AH$4,Spouse_End&lt;AH$5),-AH10/VLOOKUP(AH$5,'Tax Tables'!$G$338:$I$398,2),0),IF(AND(Spouse_End&gt;=AH$5,Your_End&lt;AH$4),-AH10/VLOOKUP(AH$4,'Tax Tables'!$G$338:$I$398,2),0)))/Round_To,0)*Round_To</f>
        <v>0</v>
      </c>
      <c r="AI101" s="1125">
        <f>ROUND(IF(AH10+AH99+AH102&lt;=0,0,IF(IRA2_Owner="s",IF(AND(Your_End&gt;=AI$4,Spouse_End&lt;AI$5),-AI10/VLOOKUP(AI$5,'Tax Tables'!$G$338:$I$398,2),0),IF(AND(Spouse_End&gt;=AI$5,Your_End&lt;AI$4),-AI10/VLOOKUP(AI$4,'Tax Tables'!$G$338:$I$398,2),0)))/Round_To,0)*Round_To</f>
        <v>0</v>
      </c>
      <c r="AJ101" s="1125">
        <f>ROUND(IF(AI10+AI99+AI102&lt;=0,0,IF(IRA2_Owner="s",IF(AND(Your_End&gt;=AJ$4,Spouse_End&lt;AJ$5),-AJ10/VLOOKUP(AJ$5,'Tax Tables'!$G$338:$I$398,2),0),IF(AND(Spouse_End&gt;=AJ$5,Your_End&lt;AJ$4),-AJ10/VLOOKUP(AJ$4,'Tax Tables'!$G$338:$I$398,2),0)))/Round_To,0)*Round_To</f>
        <v>0</v>
      </c>
      <c r="AK101" s="1125">
        <f>ROUND(IF(AJ10+AJ99+AJ102&lt;=0,0,IF(IRA2_Owner="s",IF(AND(Your_End&gt;=AK$4,Spouse_End&lt;AK$5),-AK10/VLOOKUP(AK$5,'Tax Tables'!$G$338:$I$398,2),0),IF(AND(Spouse_End&gt;=AK$5,Your_End&lt;AK$4),-AK10/VLOOKUP(AK$4,'Tax Tables'!$G$338:$I$398,2),0)))/Round_To,0)*Round_To</f>
        <v>0</v>
      </c>
      <c r="AL101" s="1125">
        <f>ROUND(IF(AK10+AK99+AK102&lt;=0,0,IF(IRA2_Owner="s",IF(AND(Your_End&gt;=AL$4,Spouse_End&lt;AL$5),-AL10/VLOOKUP(AL$5,'Tax Tables'!$G$338:$I$398,2),0),IF(AND(Spouse_End&gt;=AL$5,Your_End&lt;AL$4),-AL10/VLOOKUP(AL$4,'Tax Tables'!$G$338:$I$398,2),0)))/Round_To,0)*Round_To</f>
        <v>0</v>
      </c>
      <c r="AM101" s="1125">
        <f>ROUND(IF(AL10+AL99+AL102&lt;=0,0,IF(IRA2_Owner="s",IF(AND(Your_End&gt;=AM$4,Spouse_End&lt;AM$5),-AM10/VLOOKUP(AM$5,'Tax Tables'!$G$338:$I$398,2),0),IF(AND(Spouse_End&gt;=AM$5,Your_End&lt;AM$4),-AM10/VLOOKUP(AM$4,'Tax Tables'!$G$338:$I$398,2),0)))/Round_To,0)*Round_To</f>
        <v>0</v>
      </c>
      <c r="AN101" s="1125">
        <f>ROUND(IF(AM10+AM99+AM102&lt;=0,0,IF(IRA2_Owner="s",IF(AND(Your_End&gt;=AN$4,Spouse_End&lt;AN$5),-AN10/VLOOKUP(AN$5,'Tax Tables'!$G$338:$I$398,2),0),IF(AND(Spouse_End&gt;=AN$5,Your_End&lt;AN$4),-AN10/VLOOKUP(AN$4,'Tax Tables'!$G$338:$I$398,2),0)))/Round_To,0)*Round_To</f>
        <v>0</v>
      </c>
      <c r="AO101" s="1125">
        <f>ROUND(IF(AN10+AN99+AN102&lt;=0,0,IF(IRA2_Owner="s",IF(AND(Your_End&gt;=AO$4,Spouse_End&lt;AO$5),-AO10/VLOOKUP(AO$5,'Tax Tables'!$G$338:$I$398,2),0),IF(AND(Spouse_End&gt;=AO$5,Your_End&lt;AO$4),-AO10/VLOOKUP(AO$4,'Tax Tables'!$G$338:$I$398,2),0)))/Round_To,0)*Round_To</f>
        <v>0</v>
      </c>
      <c r="AP101" s="1125">
        <f>ROUND(IF(AO10+AO99+AO102&lt;=0,0,IF(IRA2_Owner="s",IF(AND(Your_End&gt;=AP$4,Spouse_End&lt;AP$5),-AP10/VLOOKUP(AP$5,'Tax Tables'!$G$338:$I$398,2),0),IF(AND(Spouse_End&gt;=AP$5,Your_End&lt;AP$4),-AP10/VLOOKUP(AP$4,'Tax Tables'!$G$338:$I$398,2),0)))/Round_To,0)*Round_To</f>
        <v>0</v>
      </c>
      <c r="AQ101" s="1125">
        <f>ROUND(IF(AP10+AP99+AP102&lt;=0,0,IF(IRA2_Owner="s",IF(AND(Your_End&gt;=AQ$4,Spouse_End&lt;AQ$5),-AQ10/VLOOKUP(AQ$5,'Tax Tables'!$G$338:$I$398,2),0),IF(AND(Spouse_End&gt;=AQ$5,Your_End&lt;AQ$4),-AQ10/VLOOKUP(AQ$4,'Tax Tables'!$G$338:$I$398,2),0)))/Round_To,0)*Round_To</f>
        <v>0</v>
      </c>
      <c r="AR101" s="1125">
        <f>ROUND(IF(AQ10+AQ99+AQ102&lt;=0,0,IF(IRA2_Owner="s",IF(AND(Your_End&gt;=AR$4,Spouse_End&lt;AR$5),-AR10/VLOOKUP(AR$5,'Tax Tables'!$G$338:$I$398,2),0),IF(AND(Spouse_End&gt;=AR$5,Your_End&lt;AR$4),-AR10/VLOOKUP(AR$4,'Tax Tables'!$G$338:$I$398,2),0)))/Round_To,0)*Round_To</f>
        <v>0</v>
      </c>
      <c r="AS101" s="1125">
        <f>ROUND(IF(AR10+AR99+AR102&lt;=0,0,IF(IRA2_Owner="s",IF(AND(Your_End&gt;=AS$4,Spouse_End&lt;AS$5),-AS10/VLOOKUP(AS$5,'Tax Tables'!$G$338:$I$398,2),0),IF(AND(Spouse_End&gt;=AS$5,Your_End&lt;AS$4),-AS10/VLOOKUP(AS$4,'Tax Tables'!$G$338:$I$398,2),0)))/Round_To,0)*Round_To</f>
        <v>0</v>
      </c>
      <c r="AT101" s="42"/>
      <c r="AU101" s="82">
        <f>+Base!E101</f>
        <v>0</v>
      </c>
      <c r="AV101" s="83">
        <f>+E101-AU101</f>
        <v>0</v>
      </c>
      <c r="AW101" s="102"/>
      <c r="AX101" s="42"/>
      <c r="AY101" s="42"/>
      <c r="AZ101" s="42"/>
      <c r="BA101" s="42"/>
      <c r="BB101" s="42"/>
      <c r="BC101" s="440"/>
      <c r="BD101" s="440"/>
      <c r="BE101" s="440"/>
      <c r="BF101" s="42"/>
      <c r="BG101" s="42"/>
      <c r="BH101" s="42"/>
      <c r="BI101" s="42"/>
      <c r="BJ101" s="440"/>
      <c r="BK101" s="42"/>
      <c r="BL101" s="440"/>
      <c r="BM101" s="440"/>
      <c r="BN101" s="42"/>
      <c r="BO101" s="42"/>
      <c r="BP101" s="42"/>
      <c r="BQ101" s="42"/>
      <c r="BR101" s="42"/>
      <c r="BS101" s="42"/>
      <c r="BT101" s="42"/>
      <c r="BU101" s="42"/>
      <c r="BV101" s="42"/>
      <c r="BW101" s="42"/>
      <c r="BX101" s="42"/>
      <c r="BY101" s="42"/>
      <c r="BZ101" s="42"/>
      <c r="CA101" s="328"/>
      <c r="CB101" s="42"/>
      <c r="CC101" s="42"/>
      <c r="CD101" s="42"/>
      <c r="CE101" s="42"/>
      <c r="CF101" s="42"/>
      <c r="CG101" s="42"/>
      <c r="CH101" s="42"/>
      <c r="CI101" s="42"/>
      <c r="CJ101" s="42"/>
      <c r="CK101" s="42"/>
      <c r="CL101" s="42"/>
      <c r="CM101" s="42"/>
      <c r="CN101" s="42"/>
    </row>
    <row r="102" spans="1:92">
      <c r="A102" s="1425"/>
      <c r="B102" s="1765" t="s">
        <v>349</v>
      </c>
      <c r="C102" s="1743" t="str">
        <f>IF(IRA2_Owner="y","Yours:","Spouse:") &amp; " start " &amp; IRA_RMD_Age2</f>
        <v>Spouse: start 70</v>
      </c>
      <c r="D102" s="1743" t="str">
        <f>VLOOKUP(IRA_RMD_Age2,'Tax Tables'!$G$338:$I$398,2)&amp;" yrs life"</f>
        <v>27.4 yrs life</v>
      </c>
      <c r="E102" s="29">
        <f t="shared" si="80"/>
        <v>-530400</v>
      </c>
      <c r="F102" s="449">
        <f>+F100+F101</f>
        <v>0</v>
      </c>
      <c r="G102" s="1124">
        <f>+G100+G101</f>
        <v>0</v>
      </c>
      <c r="H102" s="1124">
        <f t="shared" ref="H102:AS102" si="100">+H100+H101</f>
        <v>0</v>
      </c>
      <c r="I102" s="1124">
        <f t="shared" si="100"/>
        <v>0</v>
      </c>
      <c r="J102" s="1124">
        <f t="shared" si="100"/>
        <v>0</v>
      </c>
      <c r="K102" s="1124">
        <f t="shared" si="100"/>
        <v>0</v>
      </c>
      <c r="L102" s="1124">
        <f t="shared" si="100"/>
        <v>0</v>
      </c>
      <c r="M102" s="1124">
        <f t="shared" si="100"/>
        <v>0</v>
      </c>
      <c r="N102" s="1124">
        <f t="shared" si="100"/>
        <v>0</v>
      </c>
      <c r="O102" s="1124">
        <f t="shared" si="100"/>
        <v>-15000</v>
      </c>
      <c r="P102" s="1124">
        <f t="shared" si="100"/>
        <v>-15900</v>
      </c>
      <c r="Q102" s="1124">
        <f t="shared" si="100"/>
        <v>-16800</v>
      </c>
      <c r="R102" s="1124">
        <f t="shared" si="100"/>
        <v>-17700</v>
      </c>
      <c r="S102" s="1124">
        <f t="shared" si="100"/>
        <v>-18700</v>
      </c>
      <c r="T102" s="1124">
        <f t="shared" si="100"/>
        <v>-19700</v>
      </c>
      <c r="U102" s="1124">
        <f t="shared" si="100"/>
        <v>-20800</v>
      </c>
      <c r="V102" s="1124">
        <f t="shared" si="100"/>
        <v>-21900</v>
      </c>
      <c r="W102" s="1124">
        <f t="shared" si="100"/>
        <v>-23100</v>
      </c>
      <c r="X102" s="1124">
        <f t="shared" si="100"/>
        <v>-24200</v>
      </c>
      <c r="Y102" s="1124">
        <f t="shared" si="100"/>
        <v>-25300</v>
      </c>
      <c r="Z102" s="1124">
        <f t="shared" si="100"/>
        <v>-26300</v>
      </c>
      <c r="AA102" s="1124">
        <f t="shared" si="100"/>
        <v>-27500</v>
      </c>
      <c r="AB102" s="1124">
        <f t="shared" si="100"/>
        <v>-28600</v>
      </c>
      <c r="AC102" s="1124">
        <f t="shared" si="100"/>
        <v>-29800</v>
      </c>
      <c r="AD102" s="1124">
        <f t="shared" si="100"/>
        <v>-30800</v>
      </c>
      <c r="AE102" s="1124">
        <f t="shared" si="100"/>
        <v>-31800</v>
      </c>
      <c r="AF102" s="1124">
        <f t="shared" si="100"/>
        <v>-32700</v>
      </c>
      <c r="AG102" s="1124">
        <f t="shared" si="100"/>
        <v>-33700</v>
      </c>
      <c r="AH102" s="1124">
        <f t="shared" si="100"/>
        <v>-34700</v>
      </c>
      <c r="AI102" s="1124">
        <f t="shared" si="100"/>
        <v>-35400</v>
      </c>
      <c r="AJ102" s="1124">
        <f t="shared" si="100"/>
        <v>0</v>
      </c>
      <c r="AK102" s="1124">
        <f t="shared" si="100"/>
        <v>0</v>
      </c>
      <c r="AL102" s="1124">
        <f t="shared" si="100"/>
        <v>0</v>
      </c>
      <c r="AM102" s="1124">
        <f t="shared" si="100"/>
        <v>0</v>
      </c>
      <c r="AN102" s="1124">
        <f t="shared" si="100"/>
        <v>0</v>
      </c>
      <c r="AO102" s="1124">
        <f t="shared" si="100"/>
        <v>0</v>
      </c>
      <c r="AP102" s="1124">
        <f t="shared" si="100"/>
        <v>0</v>
      </c>
      <c r="AQ102" s="1124">
        <f t="shared" si="100"/>
        <v>0</v>
      </c>
      <c r="AR102" s="1124">
        <f t="shared" si="100"/>
        <v>0</v>
      </c>
      <c r="AS102" s="1124">
        <f t="shared" si="100"/>
        <v>0</v>
      </c>
      <c r="AT102" s="42"/>
      <c r="AU102" s="78">
        <f>+Base!E102</f>
        <v>-530400</v>
      </c>
      <c r="AV102" s="81">
        <f t="shared" si="94"/>
        <v>0</v>
      </c>
      <c r="AW102" s="102"/>
      <c r="AX102" s="49"/>
      <c r="AY102" s="49"/>
      <c r="AZ102" s="42"/>
      <c r="BA102" s="49"/>
      <c r="BB102" s="49"/>
      <c r="BC102" s="39"/>
      <c r="BD102" s="39"/>
      <c r="BE102" s="39"/>
      <c r="BF102" s="49"/>
      <c r="BG102" s="49"/>
      <c r="BH102" s="49"/>
      <c r="BI102" s="49"/>
      <c r="BJ102" s="39"/>
      <c r="BK102" s="49"/>
      <c r="BL102" s="39"/>
      <c r="BM102" s="39"/>
      <c r="BN102" s="49"/>
      <c r="BO102" s="49"/>
      <c r="BP102" s="49"/>
      <c r="BQ102" s="49"/>
      <c r="BR102" s="49"/>
      <c r="BS102" s="49"/>
      <c r="BT102" s="49"/>
      <c r="BU102" s="49"/>
      <c r="BV102" s="49"/>
      <c r="BW102" s="49"/>
      <c r="BX102" s="49"/>
      <c r="BY102" s="49"/>
      <c r="BZ102" s="49"/>
      <c r="CA102" s="44"/>
      <c r="CB102" s="49"/>
      <c r="CC102" s="49"/>
      <c r="CD102" s="49"/>
      <c r="CE102" s="49"/>
      <c r="CF102" s="49"/>
      <c r="CG102" s="49"/>
      <c r="CH102" s="49"/>
      <c r="CI102" s="49"/>
      <c r="CJ102" s="49"/>
      <c r="CK102" s="49"/>
      <c r="CL102" s="49"/>
      <c r="CM102" s="49"/>
      <c r="CN102" s="49"/>
    </row>
    <row r="103" spans="1:92" ht="15.6">
      <c r="A103" s="1425"/>
      <c r="B103" s="1764" t="s">
        <v>1277</v>
      </c>
      <c r="C103" s="437"/>
      <c r="D103" s="256"/>
      <c r="E103" s="65">
        <f t="shared" si="80"/>
        <v>0</v>
      </c>
      <c r="F103" s="449">
        <f t="shared" ref="F103:AS103" si="101">ROUND(IF(F8-Taxable_Min+F303-F95&lt;0,IF(F330&gt;0,IF(F8-Taxable_Min+F303-F95&lt;-F330,-F330,F8+F303-F95-Taxable_Min),0),0)/Round_To,0)*Round_To*IF(Automate="y",1,0)</f>
        <v>0</v>
      </c>
      <c r="G103" s="1124">
        <f t="shared" si="101"/>
        <v>0</v>
      </c>
      <c r="H103" s="1124">
        <f t="shared" si="101"/>
        <v>0</v>
      </c>
      <c r="I103" s="1124">
        <f t="shared" si="101"/>
        <v>0</v>
      </c>
      <c r="J103" s="1124">
        <f t="shared" si="101"/>
        <v>0</v>
      </c>
      <c r="K103" s="1124">
        <f t="shared" si="101"/>
        <v>0</v>
      </c>
      <c r="L103" s="1124">
        <f t="shared" si="101"/>
        <v>0</v>
      </c>
      <c r="M103" s="1124">
        <f t="shared" si="101"/>
        <v>0</v>
      </c>
      <c r="N103" s="1124">
        <f t="shared" si="101"/>
        <v>0</v>
      </c>
      <c r="O103" s="1124">
        <f t="shared" si="101"/>
        <v>0</v>
      </c>
      <c r="P103" s="1124">
        <f t="shared" si="101"/>
        <v>0</v>
      </c>
      <c r="Q103" s="1124">
        <f t="shared" si="101"/>
        <v>0</v>
      </c>
      <c r="R103" s="1124">
        <f t="shared" si="101"/>
        <v>0</v>
      </c>
      <c r="S103" s="1124">
        <f t="shared" si="101"/>
        <v>0</v>
      </c>
      <c r="T103" s="1124">
        <f t="shared" si="101"/>
        <v>0</v>
      </c>
      <c r="U103" s="1124">
        <f t="shared" si="101"/>
        <v>0</v>
      </c>
      <c r="V103" s="1124">
        <f t="shared" si="101"/>
        <v>0</v>
      </c>
      <c r="W103" s="1124">
        <f t="shared" si="101"/>
        <v>0</v>
      </c>
      <c r="X103" s="1124">
        <f t="shared" si="101"/>
        <v>0</v>
      </c>
      <c r="Y103" s="1124">
        <f t="shared" si="101"/>
        <v>0</v>
      </c>
      <c r="Z103" s="1124">
        <f t="shared" si="101"/>
        <v>0</v>
      </c>
      <c r="AA103" s="1124">
        <f t="shared" si="101"/>
        <v>0</v>
      </c>
      <c r="AB103" s="1124">
        <f t="shared" si="101"/>
        <v>0</v>
      </c>
      <c r="AC103" s="1124">
        <f t="shared" si="101"/>
        <v>0</v>
      </c>
      <c r="AD103" s="1124">
        <f t="shared" si="101"/>
        <v>0</v>
      </c>
      <c r="AE103" s="1124">
        <f t="shared" si="101"/>
        <v>0</v>
      </c>
      <c r="AF103" s="1124">
        <f t="shared" si="101"/>
        <v>0</v>
      </c>
      <c r="AG103" s="1124">
        <f t="shared" si="101"/>
        <v>0</v>
      </c>
      <c r="AH103" s="1124">
        <f t="shared" si="101"/>
        <v>0</v>
      </c>
      <c r="AI103" s="1124">
        <f t="shared" si="101"/>
        <v>0</v>
      </c>
      <c r="AJ103" s="1124">
        <f t="shared" si="101"/>
        <v>0</v>
      </c>
      <c r="AK103" s="1124">
        <f t="shared" si="101"/>
        <v>0</v>
      </c>
      <c r="AL103" s="1124">
        <f t="shared" si="101"/>
        <v>0</v>
      </c>
      <c r="AM103" s="1124">
        <f t="shared" si="101"/>
        <v>0</v>
      </c>
      <c r="AN103" s="1124">
        <f t="shared" si="101"/>
        <v>0</v>
      </c>
      <c r="AO103" s="1124">
        <f t="shared" si="101"/>
        <v>0</v>
      </c>
      <c r="AP103" s="1124">
        <f t="shared" si="101"/>
        <v>0</v>
      </c>
      <c r="AQ103" s="1124">
        <f t="shared" si="101"/>
        <v>0</v>
      </c>
      <c r="AR103" s="1124">
        <f t="shared" si="101"/>
        <v>0</v>
      </c>
      <c r="AS103" s="1124">
        <f t="shared" si="101"/>
        <v>0</v>
      </c>
      <c r="AT103" s="42"/>
      <c r="AU103" s="78">
        <f>+Base!E103</f>
        <v>0</v>
      </c>
      <c r="AV103" s="81">
        <f t="shared" si="94"/>
        <v>0</v>
      </c>
      <c r="AW103" s="65"/>
      <c r="AX103" s="49"/>
      <c r="AY103" s="49"/>
      <c r="AZ103" s="42"/>
      <c r="BA103" s="49"/>
      <c r="BB103" s="49"/>
      <c r="BC103" s="39"/>
      <c r="BD103" s="39"/>
      <c r="BE103" s="39"/>
      <c r="BF103" s="49"/>
      <c r="BG103" s="49"/>
      <c r="BH103" s="49"/>
      <c r="BI103" s="49"/>
      <c r="BJ103" s="39"/>
      <c r="BK103" s="49"/>
      <c r="BL103" s="39"/>
      <c r="BM103" s="39"/>
      <c r="BN103" s="49"/>
      <c r="BO103" s="49"/>
      <c r="BP103" s="49"/>
      <c r="BQ103" s="49"/>
      <c r="BR103" s="49"/>
      <c r="BS103" s="49"/>
      <c r="BT103" s="49"/>
      <c r="BU103" s="49"/>
      <c r="BV103" s="49"/>
      <c r="BW103" s="49"/>
      <c r="BX103" s="49"/>
      <c r="BY103" s="49"/>
      <c r="BZ103" s="49"/>
      <c r="CA103" s="44"/>
      <c r="CB103" s="49"/>
      <c r="CC103" s="49"/>
      <c r="CD103" s="49"/>
      <c r="CE103" s="49"/>
      <c r="CF103" s="49"/>
      <c r="CG103" s="49"/>
      <c r="CH103" s="49"/>
      <c r="CI103" s="49"/>
      <c r="CJ103" s="49"/>
      <c r="CK103" s="49"/>
      <c r="CL103" s="49"/>
      <c r="CM103" s="49"/>
      <c r="CN103" s="49"/>
    </row>
    <row r="104" spans="1:92" ht="7.95" customHeight="1">
      <c r="A104" s="1425"/>
      <c r="B104" s="368"/>
      <c r="C104" s="437"/>
      <c r="D104" s="256"/>
      <c r="E104" s="65"/>
      <c r="F104" s="191"/>
      <c r="G104" s="191"/>
      <c r="H104" s="191"/>
      <c r="I104" s="191"/>
      <c r="J104" s="191"/>
      <c r="K104" s="191"/>
      <c r="L104" s="191"/>
      <c r="M104" s="191"/>
      <c r="N104" s="191"/>
      <c r="O104" s="191"/>
      <c r="P104" s="191"/>
      <c r="Q104" s="191"/>
      <c r="R104" s="191"/>
      <c r="S104" s="191"/>
      <c r="T104" s="191"/>
      <c r="U104" s="191"/>
      <c r="V104" s="191"/>
      <c r="W104" s="191"/>
      <c r="X104" s="191"/>
      <c r="Y104" s="191"/>
      <c r="Z104" s="191"/>
      <c r="AA104" s="191"/>
      <c r="AB104" s="191"/>
      <c r="AC104" s="191"/>
      <c r="AD104" s="191"/>
      <c r="AE104" s="191"/>
      <c r="AF104" s="191"/>
      <c r="AG104" s="191"/>
      <c r="AH104" s="191"/>
      <c r="AI104" s="191"/>
      <c r="AJ104" s="191"/>
      <c r="AK104" s="191"/>
      <c r="AL104" s="191"/>
      <c r="AM104" s="191"/>
      <c r="AN104" s="191"/>
      <c r="AO104" s="191"/>
      <c r="AP104" s="191"/>
      <c r="AQ104" s="191"/>
      <c r="AR104" s="191"/>
      <c r="AS104" s="191"/>
      <c r="AT104" s="42"/>
      <c r="AU104" s="78"/>
      <c r="AV104" s="81"/>
      <c r="AW104" s="65"/>
      <c r="AX104" s="49"/>
      <c r="AY104" s="49"/>
      <c r="AZ104" s="42"/>
      <c r="BA104" s="49"/>
      <c r="BB104" s="49"/>
      <c r="BC104" s="39"/>
      <c r="BD104" s="39"/>
      <c r="BE104" s="39"/>
      <c r="BF104" s="49"/>
      <c r="BG104" s="49"/>
      <c r="BH104" s="49"/>
      <c r="BI104" s="49"/>
      <c r="BJ104" s="39"/>
      <c r="BK104" s="49"/>
      <c r="BL104" s="39"/>
      <c r="BM104" s="39"/>
      <c r="BN104" s="49"/>
      <c r="BO104" s="49"/>
      <c r="BP104" s="49"/>
      <c r="BQ104" s="49"/>
      <c r="BR104" s="49"/>
      <c r="BS104" s="49"/>
      <c r="BT104" s="49"/>
      <c r="BU104" s="49"/>
      <c r="BV104" s="49"/>
      <c r="BW104" s="49"/>
      <c r="BX104" s="49"/>
      <c r="BY104" s="49"/>
      <c r="BZ104" s="49"/>
      <c r="CA104" s="44"/>
      <c r="CB104" s="49"/>
      <c r="CC104" s="49"/>
      <c r="CD104" s="49"/>
      <c r="CE104" s="49"/>
      <c r="CF104" s="49"/>
      <c r="CG104" s="49"/>
      <c r="CH104" s="49"/>
      <c r="CI104" s="49"/>
      <c r="CJ104" s="49"/>
      <c r="CK104" s="49"/>
      <c r="CL104" s="49"/>
      <c r="CM104" s="49"/>
      <c r="CN104" s="49"/>
    </row>
    <row r="105" spans="1:92" ht="15.6" hidden="1">
      <c r="A105" s="1427" t="s">
        <v>1578</v>
      </c>
      <c r="B105" s="436" t="s">
        <v>1118</v>
      </c>
      <c r="C105" s="1727"/>
      <c r="D105" s="1747" t="str">
        <f>IF(Inheritor="y","You","Spouse")</f>
        <v>You</v>
      </c>
      <c r="E105" s="65">
        <f t="shared" ref="E105:E118" si="102">SUM(F105:AS105)</f>
        <v>40000</v>
      </c>
      <c r="F105" s="29">
        <f t="shared" ref="F105:AS105" si="103">IF(AND(Inheritance="y",IF(Inheritor="y",Inherit_Age=F$4,Inherit_Age=F$5)),Inherit_tIRA,0)</f>
        <v>0</v>
      </c>
      <c r="G105" s="1124">
        <f t="shared" si="103"/>
        <v>0</v>
      </c>
      <c r="H105" s="1124">
        <f t="shared" si="103"/>
        <v>0</v>
      </c>
      <c r="I105" s="1124">
        <f t="shared" si="103"/>
        <v>0</v>
      </c>
      <c r="J105" s="1124">
        <f t="shared" si="103"/>
        <v>0</v>
      </c>
      <c r="K105" s="1124">
        <f t="shared" si="103"/>
        <v>0</v>
      </c>
      <c r="L105" s="1124">
        <f t="shared" si="103"/>
        <v>0</v>
      </c>
      <c r="M105" s="1124">
        <f t="shared" si="103"/>
        <v>0</v>
      </c>
      <c r="N105" s="1124">
        <f t="shared" si="103"/>
        <v>0</v>
      </c>
      <c r="O105" s="1124">
        <f t="shared" si="103"/>
        <v>0</v>
      </c>
      <c r="P105" s="1124">
        <f t="shared" si="103"/>
        <v>0</v>
      </c>
      <c r="Q105" s="1124">
        <f t="shared" si="103"/>
        <v>0</v>
      </c>
      <c r="R105" s="1124">
        <f t="shared" si="103"/>
        <v>0</v>
      </c>
      <c r="S105" s="1124">
        <f t="shared" si="103"/>
        <v>0</v>
      </c>
      <c r="T105" s="1124">
        <f t="shared" si="103"/>
        <v>0</v>
      </c>
      <c r="U105" s="1124">
        <f t="shared" si="103"/>
        <v>40000</v>
      </c>
      <c r="V105" s="1124">
        <f t="shared" si="103"/>
        <v>0</v>
      </c>
      <c r="W105" s="1124">
        <f t="shared" si="103"/>
        <v>0</v>
      </c>
      <c r="X105" s="1124">
        <f t="shared" si="103"/>
        <v>0</v>
      </c>
      <c r="Y105" s="1124">
        <f t="shared" si="103"/>
        <v>0</v>
      </c>
      <c r="Z105" s="1124">
        <f t="shared" si="103"/>
        <v>0</v>
      </c>
      <c r="AA105" s="1124">
        <f t="shared" si="103"/>
        <v>0</v>
      </c>
      <c r="AB105" s="1124">
        <f t="shared" si="103"/>
        <v>0</v>
      </c>
      <c r="AC105" s="1124">
        <f t="shared" si="103"/>
        <v>0</v>
      </c>
      <c r="AD105" s="1124">
        <f t="shared" si="103"/>
        <v>0</v>
      </c>
      <c r="AE105" s="1124">
        <f t="shared" si="103"/>
        <v>0</v>
      </c>
      <c r="AF105" s="1124">
        <f t="shared" si="103"/>
        <v>0</v>
      </c>
      <c r="AG105" s="1124">
        <f t="shared" si="103"/>
        <v>0</v>
      </c>
      <c r="AH105" s="1124">
        <f t="shared" si="103"/>
        <v>0</v>
      </c>
      <c r="AI105" s="1124">
        <f t="shared" si="103"/>
        <v>0</v>
      </c>
      <c r="AJ105" s="1124">
        <f t="shared" si="103"/>
        <v>0</v>
      </c>
      <c r="AK105" s="1124">
        <f t="shared" si="103"/>
        <v>0</v>
      </c>
      <c r="AL105" s="1124">
        <f t="shared" si="103"/>
        <v>0</v>
      </c>
      <c r="AM105" s="1124">
        <f t="shared" si="103"/>
        <v>0</v>
      </c>
      <c r="AN105" s="1124">
        <f t="shared" si="103"/>
        <v>0</v>
      </c>
      <c r="AO105" s="1124">
        <f t="shared" si="103"/>
        <v>0</v>
      </c>
      <c r="AP105" s="1124">
        <f t="shared" si="103"/>
        <v>0</v>
      </c>
      <c r="AQ105" s="1124">
        <f t="shared" si="103"/>
        <v>0</v>
      </c>
      <c r="AR105" s="1124">
        <f t="shared" si="103"/>
        <v>0</v>
      </c>
      <c r="AS105" s="1124">
        <f t="shared" si="103"/>
        <v>0</v>
      </c>
      <c r="AT105" s="42"/>
      <c r="AU105" s="78">
        <f>+Base!E105</f>
        <v>40000</v>
      </c>
      <c r="AV105" s="81">
        <f>+E105-AU105</f>
        <v>0</v>
      </c>
      <c r="AW105" s="65"/>
      <c r="AX105" s="49"/>
      <c r="AY105" s="49"/>
      <c r="AZ105" s="42"/>
      <c r="BA105" s="49"/>
      <c r="BB105" s="49"/>
      <c r="BC105" s="39"/>
      <c r="BD105" s="39"/>
      <c r="BE105" s="39"/>
      <c r="BF105" s="49"/>
      <c r="BG105" s="49"/>
      <c r="BH105" s="49"/>
      <c r="BI105" s="49"/>
      <c r="BJ105" s="39"/>
      <c r="BK105" s="49"/>
      <c r="BL105" s="39"/>
      <c r="BM105" s="39"/>
      <c r="BN105" s="49"/>
      <c r="BO105" s="49"/>
      <c r="BP105" s="49"/>
      <c r="BQ105" s="49"/>
      <c r="BR105" s="49"/>
      <c r="BS105" s="49"/>
      <c r="BT105" s="49"/>
      <c r="BU105" s="49"/>
      <c r="BV105" s="49"/>
      <c r="BW105" s="49"/>
      <c r="BX105" s="49"/>
      <c r="BY105" s="49"/>
      <c r="BZ105" s="49"/>
      <c r="CA105" s="44"/>
      <c r="CB105" s="49"/>
      <c r="CC105" s="49"/>
      <c r="CD105" s="49"/>
      <c r="CE105" s="49"/>
      <c r="CF105" s="49"/>
      <c r="CG105" s="49"/>
      <c r="CH105" s="49"/>
      <c r="CI105" s="49"/>
      <c r="CJ105" s="49"/>
      <c r="CK105" s="49"/>
      <c r="CL105" s="49"/>
      <c r="CM105" s="49"/>
      <c r="CN105" s="49"/>
    </row>
    <row r="106" spans="1:92" ht="15.6" hidden="1">
      <c r="A106" s="1427" t="s">
        <v>1578</v>
      </c>
      <c r="B106" s="436" t="s">
        <v>1119</v>
      </c>
      <c r="C106" s="1727"/>
      <c r="D106" s="1747" t="str">
        <f>IF(Inheritor2="y","Your","Spouse")</f>
        <v>Spouse</v>
      </c>
      <c r="E106" s="65">
        <f t="shared" si="102"/>
        <v>60000</v>
      </c>
      <c r="F106" s="29">
        <f t="shared" ref="F106:AS106" si="104">IF(AND(Inheritance2="y",IF(Inheritor2="y",Inherit_Age2=F$4,Inherit_Age2=F$5)),Inherit_tIRA2,0)</f>
        <v>0</v>
      </c>
      <c r="G106" s="1124">
        <f t="shared" si="104"/>
        <v>0</v>
      </c>
      <c r="H106" s="1124">
        <f t="shared" si="104"/>
        <v>0</v>
      </c>
      <c r="I106" s="1124">
        <f t="shared" si="104"/>
        <v>0</v>
      </c>
      <c r="J106" s="1124">
        <f t="shared" si="104"/>
        <v>0</v>
      </c>
      <c r="K106" s="1124">
        <f t="shared" si="104"/>
        <v>0</v>
      </c>
      <c r="L106" s="1124">
        <f t="shared" si="104"/>
        <v>0</v>
      </c>
      <c r="M106" s="1124">
        <f t="shared" si="104"/>
        <v>0</v>
      </c>
      <c r="N106" s="1124">
        <f t="shared" si="104"/>
        <v>0</v>
      </c>
      <c r="O106" s="1124">
        <f t="shared" si="104"/>
        <v>0</v>
      </c>
      <c r="P106" s="1124">
        <f t="shared" si="104"/>
        <v>0</v>
      </c>
      <c r="Q106" s="1124">
        <f t="shared" si="104"/>
        <v>60000</v>
      </c>
      <c r="R106" s="1124">
        <f t="shared" si="104"/>
        <v>0</v>
      </c>
      <c r="S106" s="1124">
        <f t="shared" si="104"/>
        <v>0</v>
      </c>
      <c r="T106" s="1124">
        <f t="shared" si="104"/>
        <v>0</v>
      </c>
      <c r="U106" s="1124">
        <f t="shared" si="104"/>
        <v>0</v>
      </c>
      <c r="V106" s="1124">
        <f t="shared" si="104"/>
        <v>0</v>
      </c>
      <c r="W106" s="1124">
        <f t="shared" si="104"/>
        <v>0</v>
      </c>
      <c r="X106" s="1124">
        <f t="shared" si="104"/>
        <v>0</v>
      </c>
      <c r="Y106" s="1124">
        <f t="shared" si="104"/>
        <v>0</v>
      </c>
      <c r="Z106" s="1124">
        <f t="shared" si="104"/>
        <v>0</v>
      </c>
      <c r="AA106" s="1124">
        <f t="shared" si="104"/>
        <v>0</v>
      </c>
      <c r="AB106" s="1124">
        <f t="shared" si="104"/>
        <v>0</v>
      </c>
      <c r="AC106" s="1124">
        <f t="shared" si="104"/>
        <v>0</v>
      </c>
      <c r="AD106" s="1124">
        <f t="shared" si="104"/>
        <v>0</v>
      </c>
      <c r="AE106" s="1124">
        <f t="shared" si="104"/>
        <v>0</v>
      </c>
      <c r="AF106" s="1124">
        <f t="shared" si="104"/>
        <v>0</v>
      </c>
      <c r="AG106" s="1124">
        <f t="shared" si="104"/>
        <v>0</v>
      </c>
      <c r="AH106" s="1124">
        <f t="shared" si="104"/>
        <v>0</v>
      </c>
      <c r="AI106" s="1124">
        <f t="shared" si="104"/>
        <v>0</v>
      </c>
      <c r="AJ106" s="1124">
        <f t="shared" si="104"/>
        <v>0</v>
      </c>
      <c r="AK106" s="1124">
        <f t="shared" si="104"/>
        <v>0</v>
      </c>
      <c r="AL106" s="1124">
        <f t="shared" si="104"/>
        <v>0</v>
      </c>
      <c r="AM106" s="1124">
        <f t="shared" si="104"/>
        <v>0</v>
      </c>
      <c r="AN106" s="1124">
        <f t="shared" si="104"/>
        <v>0</v>
      </c>
      <c r="AO106" s="1124">
        <f t="shared" si="104"/>
        <v>0</v>
      </c>
      <c r="AP106" s="1124">
        <f t="shared" si="104"/>
        <v>0</v>
      </c>
      <c r="AQ106" s="1124">
        <f t="shared" si="104"/>
        <v>0</v>
      </c>
      <c r="AR106" s="1124">
        <f t="shared" si="104"/>
        <v>0</v>
      </c>
      <c r="AS106" s="1124">
        <f t="shared" si="104"/>
        <v>0</v>
      </c>
      <c r="AT106" s="42"/>
      <c r="AU106" s="78">
        <f>+Base!E106</f>
        <v>60000</v>
      </c>
      <c r="AV106" s="81">
        <f t="shared" ref="AV106:AV118" si="105">+E106-AU106</f>
        <v>0</v>
      </c>
      <c r="AW106" s="65"/>
      <c r="AX106" s="49"/>
      <c r="AY106" s="49"/>
      <c r="AZ106" s="42"/>
      <c r="BA106" s="49"/>
      <c r="BB106" s="49"/>
      <c r="BC106" s="39"/>
      <c r="BD106" s="39"/>
      <c r="BE106" s="39"/>
      <c r="BF106" s="49"/>
      <c r="BG106" s="49"/>
      <c r="BH106" s="49"/>
      <c r="BI106" s="49"/>
      <c r="BJ106" s="39"/>
      <c r="BK106" s="49"/>
      <c r="BL106" s="39"/>
      <c r="BM106" s="39"/>
      <c r="BN106" s="49"/>
      <c r="BO106" s="49"/>
      <c r="BP106" s="49"/>
      <c r="BQ106" s="49"/>
      <c r="BR106" s="49"/>
      <c r="BS106" s="49"/>
      <c r="BT106" s="49"/>
      <c r="BU106" s="49"/>
      <c r="BV106" s="49"/>
      <c r="BW106" s="49"/>
      <c r="BX106" s="49"/>
      <c r="BY106" s="49"/>
      <c r="BZ106" s="49"/>
      <c r="CA106" s="44"/>
      <c r="CB106" s="49"/>
      <c r="CC106" s="49"/>
      <c r="CD106" s="49"/>
      <c r="CE106" s="49"/>
      <c r="CF106" s="49"/>
      <c r="CG106" s="49"/>
      <c r="CH106" s="49"/>
      <c r="CI106" s="49"/>
      <c r="CJ106" s="49"/>
      <c r="CK106" s="49"/>
      <c r="CL106" s="49"/>
      <c r="CM106" s="49"/>
      <c r="CN106" s="49"/>
    </row>
    <row r="107" spans="1:92" ht="15.6">
      <c r="A107" s="1425"/>
      <c r="B107" s="436" t="s">
        <v>1278</v>
      </c>
      <c r="C107" s="380"/>
      <c r="D107" s="1748"/>
      <c r="E107" s="65">
        <f t="shared" si="102"/>
        <v>100000</v>
      </c>
      <c r="F107" s="29">
        <f>+F105+F106</f>
        <v>0</v>
      </c>
      <c r="G107" s="1124">
        <f t="shared" ref="G107:AS107" si="106">+G105+G106</f>
        <v>0</v>
      </c>
      <c r="H107" s="1124">
        <f t="shared" si="106"/>
        <v>0</v>
      </c>
      <c r="I107" s="1124">
        <f t="shared" si="106"/>
        <v>0</v>
      </c>
      <c r="J107" s="1124">
        <f t="shared" si="106"/>
        <v>0</v>
      </c>
      <c r="K107" s="1124">
        <f t="shared" si="106"/>
        <v>0</v>
      </c>
      <c r="L107" s="1124">
        <f t="shared" si="106"/>
        <v>0</v>
      </c>
      <c r="M107" s="1124">
        <f t="shared" si="106"/>
        <v>0</v>
      </c>
      <c r="N107" s="1124">
        <f t="shared" si="106"/>
        <v>0</v>
      </c>
      <c r="O107" s="1124">
        <f t="shared" si="106"/>
        <v>0</v>
      </c>
      <c r="P107" s="1124">
        <f t="shared" si="106"/>
        <v>0</v>
      </c>
      <c r="Q107" s="1124">
        <f t="shared" si="106"/>
        <v>60000</v>
      </c>
      <c r="R107" s="1124">
        <f t="shared" si="106"/>
        <v>0</v>
      </c>
      <c r="S107" s="1124">
        <f t="shared" si="106"/>
        <v>0</v>
      </c>
      <c r="T107" s="1124">
        <f t="shared" si="106"/>
        <v>0</v>
      </c>
      <c r="U107" s="1124">
        <f t="shared" si="106"/>
        <v>40000</v>
      </c>
      <c r="V107" s="1124">
        <f t="shared" si="106"/>
        <v>0</v>
      </c>
      <c r="W107" s="1124">
        <f t="shared" si="106"/>
        <v>0</v>
      </c>
      <c r="X107" s="1124">
        <f t="shared" si="106"/>
        <v>0</v>
      </c>
      <c r="Y107" s="1124">
        <f t="shared" si="106"/>
        <v>0</v>
      </c>
      <c r="Z107" s="1124">
        <f t="shared" si="106"/>
        <v>0</v>
      </c>
      <c r="AA107" s="1124">
        <f t="shared" si="106"/>
        <v>0</v>
      </c>
      <c r="AB107" s="1124">
        <f t="shared" si="106"/>
        <v>0</v>
      </c>
      <c r="AC107" s="1124">
        <f t="shared" si="106"/>
        <v>0</v>
      </c>
      <c r="AD107" s="1124">
        <f t="shared" si="106"/>
        <v>0</v>
      </c>
      <c r="AE107" s="1124">
        <f t="shared" si="106"/>
        <v>0</v>
      </c>
      <c r="AF107" s="1124">
        <f t="shared" si="106"/>
        <v>0</v>
      </c>
      <c r="AG107" s="1124">
        <f t="shared" si="106"/>
        <v>0</v>
      </c>
      <c r="AH107" s="1124">
        <f t="shared" si="106"/>
        <v>0</v>
      </c>
      <c r="AI107" s="1124">
        <f t="shared" si="106"/>
        <v>0</v>
      </c>
      <c r="AJ107" s="1124">
        <f t="shared" si="106"/>
        <v>0</v>
      </c>
      <c r="AK107" s="1124">
        <f t="shared" si="106"/>
        <v>0</v>
      </c>
      <c r="AL107" s="1124">
        <f t="shared" si="106"/>
        <v>0</v>
      </c>
      <c r="AM107" s="1124">
        <f t="shared" si="106"/>
        <v>0</v>
      </c>
      <c r="AN107" s="1124">
        <f t="shared" si="106"/>
        <v>0</v>
      </c>
      <c r="AO107" s="1124">
        <f t="shared" si="106"/>
        <v>0</v>
      </c>
      <c r="AP107" s="1124">
        <f t="shared" si="106"/>
        <v>0</v>
      </c>
      <c r="AQ107" s="1124">
        <f t="shared" si="106"/>
        <v>0</v>
      </c>
      <c r="AR107" s="1124">
        <f t="shared" si="106"/>
        <v>0</v>
      </c>
      <c r="AS107" s="1124">
        <f t="shared" si="106"/>
        <v>0</v>
      </c>
      <c r="AT107" s="42"/>
      <c r="AU107" s="78">
        <f>+Base!E107</f>
        <v>100000</v>
      </c>
      <c r="AV107" s="81">
        <f t="shared" si="105"/>
        <v>0</v>
      </c>
      <c r="AW107" s="65"/>
      <c r="AX107" s="49"/>
      <c r="AY107" s="49"/>
      <c r="AZ107" s="42"/>
      <c r="BA107" s="49"/>
      <c r="BB107" s="49"/>
      <c r="BC107" s="39"/>
      <c r="BD107" s="39"/>
      <c r="BE107" s="39"/>
      <c r="BF107" s="49"/>
      <c r="BG107" s="49"/>
      <c r="BH107" s="49"/>
      <c r="BI107" s="49"/>
      <c r="BJ107" s="39"/>
      <c r="BK107" s="49"/>
      <c r="BL107" s="39"/>
      <c r="BM107" s="39"/>
      <c r="BN107" s="49"/>
      <c r="BO107" s="49"/>
      <c r="BP107" s="49"/>
      <c r="BQ107" s="49"/>
      <c r="BR107" s="49"/>
      <c r="BS107" s="49"/>
      <c r="BT107" s="49"/>
      <c r="BU107" s="49"/>
      <c r="BV107" s="49"/>
      <c r="BW107" s="49"/>
      <c r="BX107" s="49"/>
      <c r="BY107" s="49"/>
      <c r="BZ107" s="49"/>
      <c r="CA107" s="44"/>
      <c r="CB107" s="49"/>
      <c r="CC107" s="49"/>
      <c r="CD107" s="49"/>
      <c r="CE107" s="49"/>
      <c r="CF107" s="49"/>
      <c r="CG107" s="49"/>
      <c r="CH107" s="49"/>
      <c r="CI107" s="49"/>
      <c r="CJ107" s="49"/>
      <c r="CK107" s="49"/>
      <c r="CL107" s="49"/>
      <c r="CM107" s="49"/>
      <c r="CN107" s="49"/>
    </row>
    <row r="108" spans="1:92" ht="15.6" hidden="1">
      <c r="A108" s="1427" t="s">
        <v>1578</v>
      </c>
      <c r="B108" s="436" t="s">
        <v>137</v>
      </c>
      <c r="C108" s="380"/>
      <c r="D108" s="1748"/>
      <c r="E108" s="65"/>
      <c r="F108" s="243">
        <f>IF(Inheritor="",0,IF(iIRA_RMD_Age=IF(Inheritor="y",F$4,F$5),VLOOKUP(IF(Inheritor="y",F$4,F$5),'Tax Tables'!$G$338:$I$398,3),IF(iIRA_RMD_Age&lt;IF(Inheritor="y",F$4,F$5),IF(E108-1&lt;0,0,E108-1),0)))</f>
        <v>0</v>
      </c>
      <c r="G108" s="243">
        <f>IF(Inheritor="",0,IF(iIRA_RMD_Age=IF(Inheritor="y",G$4,G$5),VLOOKUP(IF(Inheritor="y",G$4,G$5),'Tax Tables'!$G$338:$I$398,3),IF(iIRA_RMD_Age&lt;IF(Inheritor="y",G$4,G$5),IF(F108-1&lt;0,0,F108-1),0)))</f>
        <v>0</v>
      </c>
      <c r="H108" s="243">
        <f>IF(Inheritor="",0,IF(iIRA_RMD_Age=IF(Inheritor="y",H$4,H$5),VLOOKUP(IF(Inheritor="y",H$4,H$5),'Tax Tables'!$G$338:$I$398,3),IF(iIRA_RMD_Age&lt;IF(Inheritor="y",H$4,H$5),IF(G108-1&lt;0,0,G108-1),0)))</f>
        <v>0</v>
      </c>
      <c r="I108" s="243">
        <f>IF(Inheritor="",0,IF(iIRA_RMD_Age=IF(Inheritor="y",I$4,I$5),VLOOKUP(IF(Inheritor="y",I$4,I$5),'Tax Tables'!$G$338:$I$398,3),IF(iIRA_RMD_Age&lt;IF(Inheritor="y",I$4,I$5),IF(H108-1&lt;0,0,H108-1),0)))</f>
        <v>0</v>
      </c>
      <c r="J108" s="243">
        <f>IF(Inheritor="",0,IF(iIRA_RMD_Age=IF(Inheritor="y",J$4,J$5),VLOOKUP(IF(Inheritor="y",J$4,J$5),'Tax Tables'!$G$338:$I$398,3),IF(iIRA_RMD_Age&lt;IF(Inheritor="y",J$4,J$5),IF(I108-1&lt;0,0,I108-1),0)))</f>
        <v>0</v>
      </c>
      <c r="K108" s="243">
        <f>IF(Inheritor="",0,IF(iIRA_RMD_Age=IF(Inheritor="y",K$4,K$5),VLOOKUP(IF(Inheritor="y",K$4,K$5),'Tax Tables'!$G$338:$I$398,3),IF(iIRA_RMD_Age&lt;IF(Inheritor="y",K$4,K$5),IF(J108-1&lt;0,0,J108-1),0)))</f>
        <v>0</v>
      </c>
      <c r="L108" s="243">
        <f>IF(Inheritor="",0,IF(iIRA_RMD_Age=IF(Inheritor="y",L$4,L$5),VLOOKUP(IF(Inheritor="y",L$4,L$5),'Tax Tables'!$G$338:$I$398,3),IF(iIRA_RMD_Age&lt;IF(Inheritor="y",L$4,L$5),IF(K108-1&lt;0,0,K108-1),0)))</f>
        <v>0</v>
      </c>
      <c r="M108" s="243">
        <f>IF(Inheritor="",0,IF(iIRA_RMD_Age=IF(Inheritor="y",M$4,M$5),VLOOKUP(IF(Inheritor="y",M$4,M$5),'Tax Tables'!$G$338:$I$398,3),IF(iIRA_RMD_Age&lt;IF(Inheritor="y",M$4,M$5),IF(L108-1&lt;0,0,L108-1),0)))</f>
        <v>0</v>
      </c>
      <c r="N108" s="243">
        <f>IF(Inheritor="",0,IF(iIRA_RMD_Age=IF(Inheritor="y",N$4,N$5),VLOOKUP(IF(Inheritor="y",N$4,N$5),'Tax Tables'!$G$338:$I$398,3),IF(iIRA_RMD_Age&lt;IF(Inheritor="y",N$4,N$5),IF(M108-1&lt;0,0,M108-1),0)))</f>
        <v>0</v>
      </c>
      <c r="O108" s="243">
        <f>IF(Inheritor="",0,IF(iIRA_RMD_Age=IF(Inheritor="y",O$4,O$5),VLOOKUP(IF(Inheritor="y",O$4,O$5),'Tax Tables'!$G$338:$I$398,3),IF(iIRA_RMD_Age&lt;IF(Inheritor="y",O$4,O$5),IF(N108-1&lt;0,0,N108-1),0)))</f>
        <v>0</v>
      </c>
      <c r="P108" s="243">
        <f>IF(Inheritor="",0,IF(iIRA_RMD_Age=IF(Inheritor="y",P$4,P$5),VLOOKUP(IF(Inheritor="y",P$4,P$5),'Tax Tables'!$G$338:$I$398,3),IF(iIRA_RMD_Age&lt;IF(Inheritor="y",P$4,P$5),IF(O108-1&lt;0,0,O108-1),0)))</f>
        <v>0</v>
      </c>
      <c r="Q108" s="243">
        <f>IF(Inheritor="",0,IF(iIRA_RMD_Age=IF(Inheritor="y",Q$4,Q$5),VLOOKUP(IF(Inheritor="y",Q$4,Q$5),'Tax Tables'!$G$338:$I$398,3),IF(iIRA_RMD_Age&lt;IF(Inheritor="y",Q$4,Q$5),IF(P108-1&lt;0,0,P108-1),0)))</f>
        <v>0</v>
      </c>
      <c r="R108" s="243">
        <f>IF(Inheritor="",0,IF(iIRA_RMD_Age=IF(Inheritor="y",R$4,R$5),VLOOKUP(IF(Inheritor="y",R$4,R$5),'Tax Tables'!$G$338:$I$398,3),IF(iIRA_RMD_Age&lt;IF(Inheritor="y",R$4,R$5),IF(Q108-1&lt;0,0,Q108-1),0)))</f>
        <v>0</v>
      </c>
      <c r="S108" s="243">
        <f>IF(Inheritor="",0,IF(iIRA_RMD_Age=IF(Inheritor="y",S$4,S$5),VLOOKUP(IF(Inheritor="y",S$4,S$5),'Tax Tables'!$G$338:$I$398,3),IF(iIRA_RMD_Age&lt;IF(Inheritor="y",S$4,S$5),IF(R108-1&lt;0,0,R108-1),0)))</f>
        <v>0</v>
      </c>
      <c r="T108" s="243">
        <f>IF(Inheritor="",0,IF(iIRA_RMD_Age=IF(Inheritor="y",T$4,T$5),VLOOKUP(IF(Inheritor="y",T$4,T$5),'Tax Tables'!$G$338:$I$398,3),IF(iIRA_RMD_Age&lt;IF(Inheritor="y",T$4,T$5),IF(S108-1&lt;0,0,S108-1),0)))</f>
        <v>0</v>
      </c>
      <c r="U108" s="243">
        <f>IF(Inheritor="",0,IF(iIRA_RMD_Age=IF(Inheritor="y",U$4,U$5),VLOOKUP(IF(Inheritor="y",U$4,U$5),'Tax Tables'!$G$338:$I$398,3),IF(iIRA_RMD_Age&lt;IF(Inheritor="y",U$4,U$5),IF(T108-1&lt;0,0,T108-1),0)))</f>
        <v>0</v>
      </c>
      <c r="V108" s="243">
        <f>IF(Inheritor="",0,IF(iIRA_RMD_Age=IF(Inheritor="y",V$4,V$5),VLOOKUP(IF(Inheritor="y",V$4,V$5),'Tax Tables'!$G$338:$I$398,3),IF(iIRA_RMD_Age&lt;IF(Inheritor="y",V$4,V$5),IF(U108-1&lt;0,0,U108-1),0)))</f>
        <v>11.4</v>
      </c>
      <c r="W108" s="243">
        <f>IF(Inheritor="",0,IF(iIRA_RMD_Age=IF(Inheritor="y",W$4,W$5),VLOOKUP(IF(Inheritor="y",W$4,W$5),'Tax Tables'!$G$338:$I$398,3),IF(iIRA_RMD_Age&lt;IF(Inheritor="y",W$4,W$5),IF(V108-1&lt;0,0,V108-1),0)))</f>
        <v>10.4</v>
      </c>
      <c r="X108" s="243">
        <f>IF(Inheritor="",0,IF(iIRA_RMD_Age=IF(Inheritor="y",X$4,X$5),VLOOKUP(IF(Inheritor="y",X$4,X$5),'Tax Tables'!$G$338:$I$398,3),IF(iIRA_RMD_Age&lt;IF(Inheritor="y",X$4,X$5),IF(W108-1&lt;0,0,W108-1),0)))</f>
        <v>9.4</v>
      </c>
      <c r="Y108" s="243">
        <f>IF(Inheritor="",0,IF(iIRA_RMD_Age=IF(Inheritor="y",Y$4,Y$5),VLOOKUP(IF(Inheritor="y",Y$4,Y$5),'Tax Tables'!$G$338:$I$398,3),IF(iIRA_RMD_Age&lt;IF(Inheritor="y",Y$4,Y$5),IF(X108-1&lt;0,0,X108-1),0)))</f>
        <v>8.4</v>
      </c>
      <c r="Z108" s="243">
        <f>IF(Inheritor="",0,IF(iIRA_RMD_Age=IF(Inheritor="y",Z$4,Z$5),VLOOKUP(IF(Inheritor="y",Z$4,Z$5),'Tax Tables'!$G$338:$I$398,3),IF(iIRA_RMD_Age&lt;IF(Inheritor="y",Z$4,Z$5),IF(Y108-1&lt;0,0,Y108-1),0)))</f>
        <v>7.4</v>
      </c>
      <c r="AA108" s="243">
        <f>IF(Inheritor="",0,IF(iIRA_RMD_Age=IF(Inheritor="y",AA$4,AA$5),VLOOKUP(IF(Inheritor="y",AA$4,AA$5),'Tax Tables'!$G$338:$I$398,3),IF(iIRA_RMD_Age&lt;IF(Inheritor="y",AA$4,AA$5),IF(Z108-1&lt;0,0,Z108-1),0)))</f>
        <v>6.4</v>
      </c>
      <c r="AB108" s="243">
        <f>IF(Inheritor="",0,IF(iIRA_RMD_Age=IF(Inheritor="y",AB$4,AB$5),VLOOKUP(IF(Inheritor="y",AB$4,AB$5),'Tax Tables'!$G$338:$I$398,3),IF(iIRA_RMD_Age&lt;IF(Inheritor="y",AB$4,AB$5),IF(AA108-1&lt;0,0,AA108-1),0)))</f>
        <v>5.4</v>
      </c>
      <c r="AC108" s="243">
        <f>IF(Inheritor="",0,IF(iIRA_RMD_Age=IF(Inheritor="y",AC$4,AC$5),VLOOKUP(IF(Inheritor="y",AC$4,AC$5),'Tax Tables'!$G$338:$I$398,3),IF(iIRA_RMD_Age&lt;IF(Inheritor="y",AC$4,AC$5),IF(AB108-1&lt;0,0,AB108-1),0)))</f>
        <v>4.4000000000000004</v>
      </c>
      <c r="AD108" s="243">
        <f>IF(Inheritor="",0,IF(iIRA_RMD_Age=IF(Inheritor="y",AD$4,AD$5),VLOOKUP(IF(Inheritor="y",AD$4,AD$5),'Tax Tables'!$G$338:$I$398,3),IF(iIRA_RMD_Age&lt;IF(Inheritor="y",AD$4,AD$5),IF(AC108-1&lt;0,0,AC108-1),0)))</f>
        <v>3.4000000000000004</v>
      </c>
      <c r="AE108" s="243">
        <f>IF(Inheritor="",0,IF(iIRA_RMD_Age=IF(Inheritor="y",AE$4,AE$5),VLOOKUP(IF(Inheritor="y",AE$4,AE$5),'Tax Tables'!$G$338:$I$398,3),IF(iIRA_RMD_Age&lt;IF(Inheritor="y",AE$4,AE$5),IF(AD108-1&lt;0,0,AD108-1),0)))</f>
        <v>2.4000000000000004</v>
      </c>
      <c r="AF108" s="243">
        <f>IF(Inheritor="",0,IF(iIRA_RMD_Age=IF(Inheritor="y",AF$4,AF$5),VLOOKUP(IF(Inheritor="y",AF$4,AF$5),'Tax Tables'!$G$338:$I$398,3),IF(iIRA_RMD_Age&lt;IF(Inheritor="y",AF$4,AF$5),IF(AE108-1&lt;0,0,AE108-1),0)))</f>
        <v>1.4000000000000004</v>
      </c>
      <c r="AG108" s="243">
        <f>IF(Inheritor="",0,IF(iIRA_RMD_Age=IF(Inheritor="y",AG$4,AG$5),VLOOKUP(IF(Inheritor="y",AG$4,AG$5),'Tax Tables'!$G$338:$I$398,3),IF(iIRA_RMD_Age&lt;IF(Inheritor="y",AG$4,AG$5),IF(AF108-1&lt;0,0,AF108-1),0)))</f>
        <v>0.40000000000000036</v>
      </c>
      <c r="AH108" s="243">
        <f>IF(Inheritor="",0,IF(iIRA_RMD_Age=IF(Inheritor="y",AH$4,AH$5),VLOOKUP(IF(Inheritor="y",AH$4,AH$5),'Tax Tables'!$G$338:$I$398,3),IF(iIRA_RMD_Age&lt;IF(Inheritor="y",AH$4,AH$5),IF(AG108-1&lt;0,0,AG108-1),0)))</f>
        <v>0</v>
      </c>
      <c r="AI108" s="243">
        <f>IF(Inheritor="",0,IF(iIRA_RMD_Age=IF(Inheritor="y",AI$4,AI$5),VLOOKUP(IF(Inheritor="y",AI$4,AI$5),'Tax Tables'!$G$338:$I$398,3),IF(iIRA_RMD_Age&lt;IF(Inheritor="y",AI$4,AI$5),IF(AH108-1&lt;0,0,AH108-1),0)))</f>
        <v>0</v>
      </c>
      <c r="AJ108" s="243">
        <f>IF(Inheritor="",0,IF(iIRA_RMD_Age=IF(Inheritor="y",AJ$4,AJ$5),VLOOKUP(IF(Inheritor="y",AJ$4,AJ$5),'Tax Tables'!$G$338:$I$398,3),IF(iIRA_RMD_Age&lt;IF(Inheritor="y",AJ$4,AJ$5),IF(AI108-1&lt;0,0,AI108-1),0)))</f>
        <v>0</v>
      </c>
      <c r="AK108" s="243">
        <f>IF(Inheritor="",0,IF(iIRA_RMD_Age=IF(Inheritor="y",AK$4,AK$5),VLOOKUP(IF(Inheritor="y",AK$4,AK$5),'Tax Tables'!$G$338:$I$398,3),IF(iIRA_RMD_Age&lt;IF(Inheritor="y",AK$4,AK$5),IF(AJ108-1&lt;0,0,AJ108-1),0)))</f>
        <v>0</v>
      </c>
      <c r="AL108" s="243">
        <f>IF(Inheritor="",0,IF(iIRA_RMD_Age=IF(Inheritor="y",AL$4,AL$5),VLOOKUP(IF(Inheritor="y",AL$4,AL$5),'Tax Tables'!$G$338:$I$398,3),IF(iIRA_RMD_Age&lt;IF(Inheritor="y",AL$4,AL$5),IF(AK108-1&lt;0,0,AK108-1),0)))</f>
        <v>0</v>
      </c>
      <c r="AM108" s="243">
        <f>IF(Inheritor="",0,IF(iIRA_RMD_Age=IF(Inheritor="y",AM$4,AM$5),VLOOKUP(IF(Inheritor="y",AM$4,AM$5),'Tax Tables'!$G$338:$I$398,3),IF(iIRA_RMD_Age&lt;IF(Inheritor="y",AM$4,AM$5),IF(AL108-1&lt;0,0,AL108-1),0)))</f>
        <v>0</v>
      </c>
      <c r="AN108" s="243">
        <f>IF(Inheritor="",0,IF(iIRA_RMD_Age=IF(Inheritor="y",AN$4,AN$5),VLOOKUP(IF(Inheritor="y",AN$4,AN$5),'Tax Tables'!$G$338:$I$398,3),IF(iIRA_RMD_Age&lt;IF(Inheritor="y",AN$4,AN$5),IF(AM108-1&lt;0,0,AM108-1),0)))</f>
        <v>0</v>
      </c>
      <c r="AO108" s="243">
        <f>IF(Inheritor="",0,IF(iIRA_RMD_Age=IF(Inheritor="y",AO$4,AO$5),VLOOKUP(IF(Inheritor="y",AO$4,AO$5),'Tax Tables'!$G$338:$I$398,3),IF(iIRA_RMD_Age&lt;IF(Inheritor="y",AO$4,AO$5),IF(AN108-1&lt;0,0,AN108-1),0)))</f>
        <v>0</v>
      </c>
      <c r="AP108" s="243">
        <f>IF(Inheritor="",0,IF(iIRA_RMD_Age=IF(Inheritor="y",AP$4,AP$5),VLOOKUP(IF(Inheritor="y",AP$4,AP$5),'Tax Tables'!$G$338:$I$398,3),IF(iIRA_RMD_Age&lt;IF(Inheritor="y",AP$4,AP$5),IF(AO108-1&lt;0,0,AO108-1),0)))</f>
        <v>0</v>
      </c>
      <c r="AQ108" s="243">
        <f>IF(Inheritor="",0,IF(iIRA_RMD_Age=IF(Inheritor="y",AQ$4,AQ$5),VLOOKUP(IF(Inheritor="y",AQ$4,AQ$5),'Tax Tables'!$G$338:$I$398,3),IF(iIRA_RMD_Age&lt;IF(Inheritor="y",AQ$4,AQ$5),IF(AP108-1&lt;0,0,AP108-1),0)))</f>
        <v>0</v>
      </c>
      <c r="AR108" s="243">
        <f>IF(Inheritor="",0,IF(iIRA_RMD_Age=IF(Inheritor="y",AR$4,AR$5),VLOOKUP(IF(Inheritor="y",AR$4,AR$5),'Tax Tables'!$G$338:$I$398,3),IF(iIRA_RMD_Age&lt;IF(Inheritor="y",AR$4,AR$5),IF(AQ108-1&lt;0,0,AQ108-1),0)))</f>
        <v>0</v>
      </c>
      <c r="AS108" s="243">
        <f>IF(Inheritor="",0,IF(iIRA_RMD_Age=IF(Inheritor="y",AS$4,AS$5),VLOOKUP(IF(Inheritor="y",AS$4,AS$5),'Tax Tables'!$G$338:$I$398,3),IF(iIRA_RMD_Age&lt;IF(Inheritor="y",AS$4,AS$5),IF(AR108-1&lt;0,0,AR108-1),0)))</f>
        <v>0</v>
      </c>
      <c r="AT108" s="42"/>
      <c r="AU108" s="78">
        <f>+Base!E108</f>
        <v>0</v>
      </c>
      <c r="AV108" s="81">
        <f t="shared" si="105"/>
        <v>0</v>
      </c>
      <c r="AW108" s="65"/>
      <c r="AX108" s="49"/>
      <c r="AY108" s="49"/>
      <c r="AZ108" s="42"/>
      <c r="BA108" s="49"/>
      <c r="BB108" s="49"/>
      <c r="BC108" s="39"/>
      <c r="BD108" s="39"/>
      <c r="BE108" s="39"/>
      <c r="BF108" s="49"/>
      <c r="BG108" s="49"/>
      <c r="BH108" s="49"/>
      <c r="BI108" s="49"/>
      <c r="BJ108" s="39"/>
      <c r="BK108" s="49"/>
      <c r="BL108" s="39"/>
      <c r="BM108" s="39"/>
      <c r="BN108" s="49"/>
      <c r="BO108" s="49"/>
      <c r="BP108" s="49"/>
      <c r="BQ108" s="49"/>
      <c r="BR108" s="49"/>
      <c r="BS108" s="49"/>
      <c r="BT108" s="49"/>
      <c r="BU108" s="49"/>
      <c r="BV108" s="49"/>
      <c r="BW108" s="49"/>
      <c r="BX108" s="49"/>
      <c r="BY108" s="49"/>
      <c r="BZ108" s="49"/>
      <c r="CA108" s="44"/>
      <c r="CB108" s="49"/>
      <c r="CC108" s="49"/>
      <c r="CD108" s="49"/>
      <c r="CE108" s="49"/>
      <c r="CF108" s="49"/>
      <c r="CG108" s="49"/>
      <c r="CH108" s="49"/>
      <c r="CI108" s="49"/>
      <c r="CJ108" s="49"/>
      <c r="CK108" s="49"/>
      <c r="CL108" s="49"/>
      <c r="CM108" s="49"/>
      <c r="CN108" s="49"/>
    </row>
    <row r="109" spans="1:92" ht="15.6" hidden="1">
      <c r="A109" s="1427" t="s">
        <v>1578</v>
      </c>
      <c r="B109" s="436" t="s">
        <v>122</v>
      </c>
      <c r="C109" s="380"/>
      <c r="D109" s="1748"/>
      <c r="E109" s="65"/>
      <c r="F109" s="243">
        <f>IF(Inheritor2="",0,IF(iIRA_RMD_Age2=IF(Inheritor2="y",F$4,F$5),VLOOKUP(IF(Inheritor2="y",F$4,F$5),'Tax Tables'!$G$338:$I$398,3),IF(iIRA_RMD_Age2&lt;IF(Inheritor2="y",F$4,F$5),IF(E109-1&lt;0,0,E109-1),0)))</f>
        <v>0</v>
      </c>
      <c r="G109" s="243">
        <f>IF(Inheritor2="",0,IF(iIRA_RMD_Age2=IF(Inheritor2="y",G$4,G$5),VLOOKUP(IF(Inheritor2="y",G$4,G$5),'Tax Tables'!$G$338:$I$398,3),IF(iIRA_RMD_Age2&lt;IF(Inheritor2="y",G$4,G$5),IF(F109-1&lt;0,0,F109-1),0)))</f>
        <v>0</v>
      </c>
      <c r="H109" s="243">
        <f>IF(Inheritor2="",0,IF(iIRA_RMD_Age2=IF(Inheritor2="y",H$4,H$5),VLOOKUP(IF(Inheritor2="y",H$4,H$5),'Tax Tables'!$G$338:$I$398,3),IF(iIRA_RMD_Age2&lt;IF(Inheritor2="y",H$4,H$5),IF(G109-1&lt;0,0,G109-1),0)))</f>
        <v>0</v>
      </c>
      <c r="I109" s="243">
        <f>IF(Inheritor2="",0,IF(iIRA_RMD_Age2=IF(Inheritor2="y",I$4,I$5),VLOOKUP(IF(Inheritor2="y",I$4,I$5),'Tax Tables'!$G$338:$I$398,3),IF(iIRA_RMD_Age2&lt;IF(Inheritor2="y",I$4,I$5),IF(H109-1&lt;0,0,H109-1),0)))</f>
        <v>0</v>
      </c>
      <c r="J109" s="243">
        <f>IF(Inheritor2="",0,IF(iIRA_RMD_Age2=IF(Inheritor2="y",J$4,J$5),VLOOKUP(IF(Inheritor2="y",J$4,J$5),'Tax Tables'!$G$338:$I$398,3),IF(iIRA_RMD_Age2&lt;IF(Inheritor2="y",J$4,J$5),IF(I109-1&lt;0,0,I109-1),0)))</f>
        <v>0</v>
      </c>
      <c r="K109" s="243">
        <f>IF(Inheritor2="",0,IF(iIRA_RMD_Age2=IF(Inheritor2="y",K$4,K$5),VLOOKUP(IF(Inheritor2="y",K$4,K$5),'Tax Tables'!$G$338:$I$398,3),IF(iIRA_RMD_Age2&lt;IF(Inheritor2="y",K$4,K$5),IF(J109-1&lt;0,0,J109-1),0)))</f>
        <v>0</v>
      </c>
      <c r="L109" s="243">
        <f>IF(Inheritor2="",0,IF(iIRA_RMD_Age2=IF(Inheritor2="y",L$4,L$5),VLOOKUP(IF(Inheritor2="y",L$4,L$5),'Tax Tables'!$G$338:$I$398,3),IF(iIRA_RMD_Age2&lt;IF(Inheritor2="y",L$4,L$5),IF(K109-1&lt;0,0,K109-1),0)))</f>
        <v>0</v>
      </c>
      <c r="M109" s="243">
        <f>IF(Inheritor2="",0,IF(iIRA_RMD_Age2=IF(Inheritor2="y",M$4,M$5),VLOOKUP(IF(Inheritor2="y",M$4,M$5),'Tax Tables'!$G$338:$I$398,3),IF(iIRA_RMD_Age2&lt;IF(Inheritor2="y",M$4,M$5),IF(L109-1&lt;0,0,L109-1),0)))</f>
        <v>0</v>
      </c>
      <c r="N109" s="243">
        <f>IF(Inheritor2="",0,IF(iIRA_RMD_Age2=IF(Inheritor2="y",N$4,N$5),VLOOKUP(IF(Inheritor2="y",N$4,N$5),'Tax Tables'!$G$338:$I$398,3),IF(iIRA_RMD_Age2&lt;IF(Inheritor2="y",N$4,N$5),IF(M109-1&lt;0,0,M109-1),0)))</f>
        <v>0</v>
      </c>
      <c r="O109" s="243">
        <f>IF(Inheritor2="",0,IF(iIRA_RMD_Age2=IF(Inheritor2="y",O$4,O$5),VLOOKUP(IF(Inheritor2="y",O$4,O$5),'Tax Tables'!$G$338:$I$398,3),IF(iIRA_RMD_Age2&lt;IF(Inheritor2="y",O$4,O$5),IF(N109-1&lt;0,0,N109-1),0)))</f>
        <v>0</v>
      </c>
      <c r="P109" s="243">
        <f>IF(Inheritor2="",0,IF(iIRA_RMD_Age2=IF(Inheritor2="y",P$4,P$5),VLOOKUP(IF(Inheritor2="y",P$4,P$5),'Tax Tables'!$G$338:$I$398,3),IF(iIRA_RMD_Age2&lt;IF(Inheritor2="y",P$4,P$5),IF(O109-1&lt;0,0,O109-1),0)))</f>
        <v>0</v>
      </c>
      <c r="Q109" s="243">
        <f>IF(Inheritor2="",0,IF(iIRA_RMD_Age2=IF(Inheritor2="y",Q$4,Q$5),VLOOKUP(IF(Inheritor2="y",Q$4,Q$5),'Tax Tables'!$G$338:$I$398,3),IF(iIRA_RMD_Age2&lt;IF(Inheritor2="y",Q$4,Q$5),IF(P109-1&lt;0,0,P109-1),0)))</f>
        <v>0</v>
      </c>
      <c r="R109" s="243">
        <f>IF(Inheritor2="",0,IF(iIRA_RMD_Age2=IF(Inheritor2="y",R$4,R$5),VLOOKUP(IF(Inheritor2="y",R$4,R$5),'Tax Tables'!$G$338:$I$398,3),IF(iIRA_RMD_Age2&lt;IF(Inheritor2="y",R$4,R$5),IF(Q109-1&lt;0,0,Q109-1),0)))</f>
        <v>14.8</v>
      </c>
      <c r="S109" s="243">
        <f>IF(Inheritor2="",0,IF(iIRA_RMD_Age2=IF(Inheritor2="y",S$4,S$5),VLOOKUP(IF(Inheritor2="y",S$4,S$5),'Tax Tables'!$G$338:$I$398,3),IF(iIRA_RMD_Age2&lt;IF(Inheritor2="y",S$4,S$5),IF(R109-1&lt;0,0,R109-1),0)))</f>
        <v>13.8</v>
      </c>
      <c r="T109" s="243">
        <f>IF(Inheritor2="",0,IF(iIRA_RMD_Age2=IF(Inheritor2="y",T$4,T$5),VLOOKUP(IF(Inheritor2="y",T$4,T$5),'Tax Tables'!$G$338:$I$398,3),IF(iIRA_RMD_Age2&lt;IF(Inheritor2="y",T$4,T$5),IF(S109-1&lt;0,0,S109-1),0)))</f>
        <v>12.8</v>
      </c>
      <c r="U109" s="243">
        <f>IF(Inheritor2="",0,IF(iIRA_RMD_Age2=IF(Inheritor2="y",U$4,U$5),VLOOKUP(IF(Inheritor2="y",U$4,U$5),'Tax Tables'!$G$338:$I$398,3),IF(iIRA_RMD_Age2&lt;IF(Inheritor2="y",U$4,U$5),IF(T109-1&lt;0,0,T109-1),0)))</f>
        <v>11.8</v>
      </c>
      <c r="V109" s="243">
        <f>IF(Inheritor2="",0,IF(iIRA_RMD_Age2=IF(Inheritor2="y",V$4,V$5),VLOOKUP(IF(Inheritor2="y",V$4,V$5),'Tax Tables'!$G$338:$I$398,3),IF(iIRA_RMD_Age2&lt;IF(Inheritor2="y",V$4,V$5),IF(U109-1&lt;0,0,U109-1),0)))</f>
        <v>10.8</v>
      </c>
      <c r="W109" s="243">
        <f>IF(Inheritor2="",0,IF(iIRA_RMD_Age2=IF(Inheritor2="y",W$4,W$5),VLOOKUP(IF(Inheritor2="y",W$4,W$5),'Tax Tables'!$G$338:$I$398,3),IF(iIRA_RMD_Age2&lt;IF(Inheritor2="y",W$4,W$5),IF(V109-1&lt;0,0,V109-1),0)))</f>
        <v>9.8000000000000007</v>
      </c>
      <c r="X109" s="243">
        <f>IF(Inheritor2="",0,IF(iIRA_RMD_Age2=IF(Inheritor2="y",X$4,X$5),VLOOKUP(IF(Inheritor2="y",X$4,X$5),'Tax Tables'!$G$338:$I$398,3),IF(iIRA_RMD_Age2&lt;IF(Inheritor2="y",X$4,X$5),IF(W109-1&lt;0,0,W109-1),0)))</f>
        <v>8.8000000000000007</v>
      </c>
      <c r="Y109" s="243">
        <f>IF(Inheritor2="",0,IF(iIRA_RMD_Age2=IF(Inheritor2="y",Y$4,Y$5),VLOOKUP(IF(Inheritor2="y",Y$4,Y$5),'Tax Tables'!$G$338:$I$398,3),IF(iIRA_RMD_Age2&lt;IF(Inheritor2="y",Y$4,Y$5),IF(X109-1&lt;0,0,X109-1),0)))</f>
        <v>7.8000000000000007</v>
      </c>
      <c r="Z109" s="243">
        <f>IF(Inheritor2="",0,IF(iIRA_RMD_Age2=IF(Inheritor2="y",Z$4,Z$5),VLOOKUP(IF(Inheritor2="y",Z$4,Z$5),'Tax Tables'!$G$338:$I$398,3),IF(iIRA_RMD_Age2&lt;IF(Inheritor2="y",Z$4,Z$5),IF(Y109-1&lt;0,0,Y109-1),0)))</f>
        <v>6.8000000000000007</v>
      </c>
      <c r="AA109" s="243">
        <f>IF(Inheritor2="",0,IF(iIRA_RMD_Age2=IF(Inheritor2="y",AA$4,AA$5),VLOOKUP(IF(Inheritor2="y",AA$4,AA$5),'Tax Tables'!$G$338:$I$398,3),IF(iIRA_RMD_Age2&lt;IF(Inheritor2="y",AA$4,AA$5),IF(Z109-1&lt;0,0,Z109-1),0)))</f>
        <v>5.8000000000000007</v>
      </c>
      <c r="AB109" s="243">
        <f>IF(Inheritor2="",0,IF(iIRA_RMD_Age2=IF(Inheritor2="y",AB$4,AB$5),VLOOKUP(IF(Inheritor2="y",AB$4,AB$5),'Tax Tables'!$G$338:$I$398,3),IF(iIRA_RMD_Age2&lt;IF(Inheritor2="y",AB$4,AB$5),IF(AA109-1&lt;0,0,AA109-1),0)))</f>
        <v>4.8000000000000007</v>
      </c>
      <c r="AC109" s="243">
        <f>IF(Inheritor2="",0,IF(iIRA_RMD_Age2=IF(Inheritor2="y",AC$4,AC$5),VLOOKUP(IF(Inheritor2="y",AC$4,AC$5),'Tax Tables'!$G$338:$I$398,3),IF(iIRA_RMD_Age2&lt;IF(Inheritor2="y",AC$4,AC$5),IF(AB109-1&lt;0,0,AB109-1),0)))</f>
        <v>3.8000000000000007</v>
      </c>
      <c r="AD109" s="243">
        <f>IF(Inheritor2="",0,IF(iIRA_RMD_Age2=IF(Inheritor2="y",AD$4,AD$5),VLOOKUP(IF(Inheritor2="y",AD$4,AD$5),'Tax Tables'!$G$338:$I$398,3),IF(iIRA_RMD_Age2&lt;IF(Inheritor2="y",AD$4,AD$5),IF(AC109-1&lt;0,0,AC109-1),0)))</f>
        <v>2.8000000000000007</v>
      </c>
      <c r="AE109" s="243">
        <f>IF(Inheritor2="",0,IF(iIRA_RMD_Age2=IF(Inheritor2="y",AE$4,AE$5),VLOOKUP(IF(Inheritor2="y",AE$4,AE$5),'Tax Tables'!$G$338:$I$398,3),IF(iIRA_RMD_Age2&lt;IF(Inheritor2="y",AE$4,AE$5),IF(AD109-1&lt;0,0,AD109-1),0)))</f>
        <v>1.8000000000000007</v>
      </c>
      <c r="AF109" s="243">
        <f>IF(Inheritor2="",0,IF(iIRA_RMD_Age2=IF(Inheritor2="y",AF$4,AF$5),VLOOKUP(IF(Inheritor2="y",AF$4,AF$5),'Tax Tables'!$G$338:$I$398,3),IF(iIRA_RMD_Age2&lt;IF(Inheritor2="y",AF$4,AF$5),IF(AE109-1&lt;0,0,AE109-1),0)))</f>
        <v>0.80000000000000071</v>
      </c>
      <c r="AG109" s="243">
        <f>IF(Inheritor2="",0,IF(iIRA_RMD_Age2=IF(Inheritor2="y",AG$4,AG$5),VLOOKUP(IF(Inheritor2="y",AG$4,AG$5),'Tax Tables'!$G$338:$I$398,3),IF(iIRA_RMD_Age2&lt;IF(Inheritor2="y",AG$4,AG$5),IF(AF109-1&lt;0,0,AF109-1),0)))</f>
        <v>0</v>
      </c>
      <c r="AH109" s="243">
        <f>IF(Inheritor2="",0,IF(iIRA_RMD_Age2=IF(Inheritor2="y",AH$4,AH$5),VLOOKUP(IF(Inheritor2="y",AH$4,AH$5),'Tax Tables'!$G$338:$I$398,3),IF(iIRA_RMD_Age2&lt;IF(Inheritor2="y",AH$4,AH$5),IF(AG109-1&lt;0,0,AG109-1),0)))</f>
        <v>0</v>
      </c>
      <c r="AI109" s="243">
        <f>IF(Inheritor2="",0,IF(iIRA_RMD_Age2=IF(Inheritor2="y",AI$4,AI$5),VLOOKUP(IF(Inheritor2="y",AI$4,AI$5),'Tax Tables'!$G$338:$I$398,3),IF(iIRA_RMD_Age2&lt;IF(Inheritor2="y",AI$4,AI$5),IF(AH109-1&lt;0,0,AH109-1),0)))</f>
        <v>0</v>
      </c>
      <c r="AJ109" s="243">
        <f>IF(Inheritor2="",0,IF(iIRA_RMD_Age2=IF(Inheritor2="y",AJ$4,AJ$5),VLOOKUP(IF(Inheritor2="y",AJ$4,AJ$5),'Tax Tables'!$G$338:$I$398,3),IF(iIRA_RMD_Age2&lt;IF(Inheritor2="y",AJ$4,AJ$5),IF(AI109-1&lt;0,0,AI109-1),0)))</f>
        <v>0</v>
      </c>
      <c r="AK109" s="243">
        <f>IF(Inheritor2="",0,IF(iIRA_RMD_Age2=IF(Inheritor2="y",AK$4,AK$5),VLOOKUP(IF(Inheritor2="y",AK$4,AK$5),'Tax Tables'!$G$338:$I$398,3),IF(iIRA_RMD_Age2&lt;IF(Inheritor2="y",AK$4,AK$5),IF(AJ109-1&lt;0,0,AJ109-1),0)))</f>
        <v>0</v>
      </c>
      <c r="AL109" s="243">
        <f>IF(Inheritor2="",0,IF(iIRA_RMD_Age2=IF(Inheritor2="y",AL$4,AL$5),VLOOKUP(IF(Inheritor2="y",AL$4,AL$5),'Tax Tables'!$G$338:$I$398,3),IF(iIRA_RMD_Age2&lt;IF(Inheritor2="y",AL$4,AL$5),IF(AK109-1&lt;0,0,AK109-1),0)))</f>
        <v>0</v>
      </c>
      <c r="AM109" s="243">
        <f>IF(Inheritor2="",0,IF(iIRA_RMD_Age2=IF(Inheritor2="y",AM$4,AM$5),VLOOKUP(IF(Inheritor2="y",AM$4,AM$5),'Tax Tables'!$G$338:$I$398,3),IF(iIRA_RMD_Age2&lt;IF(Inheritor2="y",AM$4,AM$5),IF(AL109-1&lt;0,0,AL109-1),0)))</f>
        <v>0</v>
      </c>
      <c r="AN109" s="243">
        <f>IF(Inheritor2="",0,IF(iIRA_RMD_Age2=IF(Inheritor2="y",AN$4,AN$5),VLOOKUP(IF(Inheritor2="y",AN$4,AN$5),'Tax Tables'!$G$338:$I$398,3),IF(iIRA_RMD_Age2&lt;IF(Inheritor2="y",AN$4,AN$5),IF(AM109-1&lt;0,0,AM109-1),0)))</f>
        <v>0</v>
      </c>
      <c r="AO109" s="243">
        <f>IF(Inheritor2="",0,IF(iIRA_RMD_Age2=IF(Inheritor2="y",AO$4,AO$5),VLOOKUP(IF(Inheritor2="y",AO$4,AO$5),'Tax Tables'!$G$338:$I$398,3),IF(iIRA_RMD_Age2&lt;IF(Inheritor2="y",AO$4,AO$5),IF(AN109-1&lt;0,0,AN109-1),0)))</f>
        <v>0</v>
      </c>
      <c r="AP109" s="243">
        <f>IF(Inheritor2="",0,IF(iIRA_RMD_Age2=IF(Inheritor2="y",AP$4,AP$5),VLOOKUP(IF(Inheritor2="y",AP$4,AP$5),'Tax Tables'!$G$338:$I$398,3),IF(iIRA_RMD_Age2&lt;IF(Inheritor2="y",AP$4,AP$5),IF(AO109-1&lt;0,0,AO109-1),0)))</f>
        <v>0</v>
      </c>
      <c r="AQ109" s="243">
        <f>IF(Inheritor2="",0,IF(iIRA_RMD_Age2=IF(Inheritor2="y",AQ$4,AQ$5),VLOOKUP(IF(Inheritor2="y",AQ$4,AQ$5),'Tax Tables'!$G$338:$I$398,3),IF(iIRA_RMD_Age2&lt;IF(Inheritor2="y",AQ$4,AQ$5),IF(AP109-1&lt;0,0,AP109-1),0)))</f>
        <v>0</v>
      </c>
      <c r="AR109" s="243">
        <f>IF(Inheritor2="",0,IF(iIRA_RMD_Age2=IF(Inheritor2="y",AR$4,AR$5),VLOOKUP(IF(Inheritor2="y",AR$4,AR$5),'Tax Tables'!$G$338:$I$398,3),IF(iIRA_RMD_Age2&lt;IF(Inheritor2="y",AR$4,AR$5),IF(AQ109-1&lt;0,0,AQ109-1),0)))</f>
        <v>0</v>
      </c>
      <c r="AS109" s="243">
        <f>IF(Inheritor2="",0,IF(iIRA_RMD_Age2=IF(Inheritor2="y",AS$4,AS$5),VLOOKUP(IF(Inheritor2="y",AS$4,AS$5),'Tax Tables'!$G$338:$I$398,3),IF(iIRA_RMD_Age2&lt;IF(Inheritor2="y",AS$4,AS$5),IF(AR109-1&lt;0,0,AR109-1),0)))</f>
        <v>0</v>
      </c>
      <c r="AT109" s="42"/>
      <c r="AU109" s="78">
        <f>+Base!E109</f>
        <v>0</v>
      </c>
      <c r="AV109" s="81">
        <f t="shared" si="105"/>
        <v>0</v>
      </c>
      <c r="AW109" s="65"/>
      <c r="AX109" s="49"/>
      <c r="AY109" s="49"/>
      <c r="AZ109" s="42"/>
      <c r="BA109" s="49"/>
      <c r="BB109" s="49"/>
      <c r="BC109" s="39"/>
      <c r="BD109" s="39"/>
      <c r="BE109" s="39"/>
      <c r="BF109" s="49"/>
      <c r="BG109" s="49"/>
      <c r="BH109" s="49"/>
      <c r="BI109" s="49"/>
      <c r="BJ109" s="39"/>
      <c r="BK109" s="49"/>
      <c r="BL109" s="39"/>
      <c r="BM109" s="39"/>
      <c r="BN109" s="49"/>
      <c r="BO109" s="49"/>
      <c r="BP109" s="49"/>
      <c r="BQ109" s="49"/>
      <c r="BR109" s="49"/>
      <c r="BS109" s="49"/>
      <c r="BT109" s="49"/>
      <c r="BU109" s="49"/>
      <c r="BV109" s="49"/>
      <c r="BW109" s="49"/>
      <c r="BX109" s="49"/>
      <c r="BY109" s="49"/>
      <c r="BZ109" s="49"/>
      <c r="CA109" s="44"/>
      <c r="CB109" s="49"/>
      <c r="CC109" s="49"/>
      <c r="CD109" s="49"/>
      <c r="CE109" s="49"/>
      <c r="CF109" s="49"/>
      <c r="CG109" s="49"/>
      <c r="CH109" s="49"/>
      <c r="CI109" s="49"/>
      <c r="CJ109" s="49"/>
      <c r="CK109" s="49"/>
      <c r="CL109" s="49"/>
      <c r="CM109" s="49"/>
      <c r="CN109" s="49"/>
    </row>
    <row r="110" spans="1:92" hidden="1">
      <c r="A110" s="1427" t="s">
        <v>1578</v>
      </c>
      <c r="B110" s="436" t="s">
        <v>350</v>
      </c>
      <c r="C110" s="438" t="str">
        <f>"life expc: " &amp; VLOOKUP(Setup!E32,'Tax Tables'!$G$338:$I$398,3) &amp; " yr"</f>
        <v>life expc: 11.4 yr</v>
      </c>
      <c r="D110" s="1747" t="str">
        <f>IF(Inheritor="y","You","Spouse") &amp; " at " &amp; iIRA_RMD_Age</f>
        <v>You at 78</v>
      </c>
      <c r="E110" s="65">
        <f t="shared" si="102"/>
        <v>-40100</v>
      </c>
      <c r="F110" s="73">
        <f t="shared" ref="F110:AS110" si="107">ROUND(IF(F108=0,0,IF(F12-(F12/F108)&lt;0,-F12,-F12/F108))/Round_To,0)*Round_To</f>
        <v>0</v>
      </c>
      <c r="G110" s="1124">
        <f t="shared" si="107"/>
        <v>0</v>
      </c>
      <c r="H110" s="1124">
        <f t="shared" si="107"/>
        <v>0</v>
      </c>
      <c r="I110" s="1124">
        <f t="shared" si="107"/>
        <v>0</v>
      </c>
      <c r="J110" s="1124">
        <f t="shared" si="107"/>
        <v>0</v>
      </c>
      <c r="K110" s="1124">
        <f t="shared" si="107"/>
        <v>0</v>
      </c>
      <c r="L110" s="1124">
        <f t="shared" si="107"/>
        <v>0</v>
      </c>
      <c r="M110" s="1124">
        <f t="shared" si="107"/>
        <v>0</v>
      </c>
      <c r="N110" s="1124">
        <f t="shared" si="107"/>
        <v>0</v>
      </c>
      <c r="O110" s="1124">
        <f t="shared" si="107"/>
        <v>0</v>
      </c>
      <c r="P110" s="1124">
        <f t="shared" si="107"/>
        <v>0</v>
      </c>
      <c r="Q110" s="1124">
        <f t="shared" si="107"/>
        <v>0</v>
      </c>
      <c r="R110" s="1124">
        <f t="shared" si="107"/>
        <v>0</v>
      </c>
      <c r="S110" s="1124">
        <f t="shared" si="107"/>
        <v>0</v>
      </c>
      <c r="T110" s="1124">
        <f t="shared" si="107"/>
        <v>0</v>
      </c>
      <c r="U110" s="1124">
        <f t="shared" si="107"/>
        <v>0</v>
      </c>
      <c r="V110" s="1124">
        <f t="shared" si="107"/>
        <v>-3200</v>
      </c>
      <c r="W110" s="1124">
        <f t="shared" si="107"/>
        <v>-3000</v>
      </c>
      <c r="X110" s="1124">
        <f t="shared" si="107"/>
        <v>-2800</v>
      </c>
      <c r="Y110" s="1124">
        <f t="shared" si="107"/>
        <v>-2900</v>
      </c>
      <c r="Z110" s="1124">
        <f t="shared" si="107"/>
        <v>-3100</v>
      </c>
      <c r="AA110" s="1124">
        <f t="shared" si="107"/>
        <v>-3300</v>
      </c>
      <c r="AB110" s="1124">
        <f t="shared" si="107"/>
        <v>-3500</v>
      </c>
      <c r="AC110" s="1124">
        <f t="shared" si="107"/>
        <v>-3700</v>
      </c>
      <c r="AD110" s="1124">
        <f t="shared" si="107"/>
        <v>-3900</v>
      </c>
      <c r="AE110" s="1124">
        <f t="shared" si="107"/>
        <v>-4200</v>
      </c>
      <c r="AF110" s="1124">
        <f t="shared" si="107"/>
        <v>-4500</v>
      </c>
      <c r="AG110" s="1124">
        <f t="shared" si="107"/>
        <v>-2000</v>
      </c>
      <c r="AH110" s="1124">
        <f t="shared" si="107"/>
        <v>0</v>
      </c>
      <c r="AI110" s="1124">
        <f t="shared" si="107"/>
        <v>0</v>
      </c>
      <c r="AJ110" s="1124">
        <f t="shared" si="107"/>
        <v>0</v>
      </c>
      <c r="AK110" s="1124">
        <f t="shared" si="107"/>
        <v>0</v>
      </c>
      <c r="AL110" s="1124">
        <f t="shared" si="107"/>
        <v>0</v>
      </c>
      <c r="AM110" s="1124">
        <f t="shared" si="107"/>
        <v>0</v>
      </c>
      <c r="AN110" s="1124">
        <f t="shared" si="107"/>
        <v>0</v>
      </c>
      <c r="AO110" s="1124">
        <f t="shared" si="107"/>
        <v>0</v>
      </c>
      <c r="AP110" s="1124">
        <f t="shared" si="107"/>
        <v>0</v>
      </c>
      <c r="AQ110" s="1124">
        <f t="shared" si="107"/>
        <v>0</v>
      </c>
      <c r="AR110" s="1124">
        <f t="shared" si="107"/>
        <v>0</v>
      </c>
      <c r="AS110" s="1124">
        <f t="shared" si="107"/>
        <v>0</v>
      </c>
      <c r="AT110" s="42"/>
      <c r="AU110" s="78">
        <f>+Base!E110</f>
        <v>-40100</v>
      </c>
      <c r="AV110" s="81">
        <f t="shared" si="105"/>
        <v>0</v>
      </c>
      <c r="AW110" s="65"/>
      <c r="AX110" s="49"/>
      <c r="AY110" s="49"/>
      <c r="AZ110" s="42"/>
      <c r="BA110" s="49"/>
      <c r="BB110" s="49"/>
      <c r="BC110" s="39"/>
      <c r="BD110" s="39"/>
      <c r="BE110" s="39"/>
      <c r="BF110" s="49"/>
      <c r="BG110" s="49"/>
      <c r="BH110" s="49"/>
      <c r="BI110" s="49"/>
      <c r="BJ110" s="39"/>
      <c r="BK110" s="49"/>
      <c r="BL110" s="39"/>
      <c r="BM110" s="39"/>
      <c r="BN110" s="49"/>
      <c r="BO110" s="49"/>
      <c r="BP110" s="49"/>
      <c r="BQ110" s="49"/>
      <c r="BR110" s="49"/>
      <c r="BS110" s="49"/>
      <c r="BT110" s="49"/>
      <c r="BU110" s="49"/>
      <c r="BV110" s="49"/>
      <c r="BW110" s="49"/>
      <c r="BX110" s="49"/>
      <c r="BY110" s="49"/>
      <c r="BZ110" s="49"/>
      <c r="CA110" s="44"/>
      <c r="CB110" s="49"/>
      <c r="CC110" s="49"/>
      <c r="CD110" s="49"/>
      <c r="CE110" s="49"/>
      <c r="CF110" s="49"/>
      <c r="CG110" s="49"/>
      <c r="CH110" s="49"/>
      <c r="CI110" s="49"/>
      <c r="CJ110" s="49"/>
      <c r="CK110" s="49"/>
      <c r="CL110" s="49"/>
      <c r="CM110" s="49"/>
      <c r="CN110" s="49"/>
    </row>
    <row r="111" spans="1:92" hidden="1">
      <c r="A111" s="1427" t="s">
        <v>1578</v>
      </c>
      <c r="B111" s="436" t="s">
        <v>351</v>
      </c>
      <c r="C111" s="438" t="str">
        <f>"life expc: " &amp; VLOOKUP(Setup!E33,'Tax Tables'!$G$338:$I$398,3) &amp; " yr"</f>
        <v>life expc: 14.8 yr</v>
      </c>
      <c r="D111" s="1747" t="str">
        <f>IF(Inheritor2="y","You","Spouse") &amp; " at " &amp; iIRA_RMD_Age2</f>
        <v>Spouse at 73</v>
      </c>
      <c r="E111" s="65">
        <f t="shared" si="102"/>
        <v>-88600</v>
      </c>
      <c r="F111" s="73">
        <f t="shared" ref="F111:AS111" si="108">ROUND(IF(F109=0,0,IF(F13-(F13/F109)&lt;0,-F13,-F13/F109))/Round_To,0)*Round_To</f>
        <v>0</v>
      </c>
      <c r="G111" s="1124">
        <f t="shared" si="108"/>
        <v>0</v>
      </c>
      <c r="H111" s="1124">
        <f t="shared" si="108"/>
        <v>0</v>
      </c>
      <c r="I111" s="1124">
        <f t="shared" si="108"/>
        <v>0</v>
      </c>
      <c r="J111" s="1124">
        <f t="shared" si="108"/>
        <v>0</v>
      </c>
      <c r="K111" s="1124">
        <f t="shared" si="108"/>
        <v>0</v>
      </c>
      <c r="L111" s="1124">
        <f t="shared" si="108"/>
        <v>0</v>
      </c>
      <c r="M111" s="1124">
        <f t="shared" si="108"/>
        <v>0</v>
      </c>
      <c r="N111" s="1124">
        <f t="shared" si="108"/>
        <v>0</v>
      </c>
      <c r="O111" s="1124">
        <f t="shared" si="108"/>
        <v>0</v>
      </c>
      <c r="P111" s="1124">
        <f t="shared" si="108"/>
        <v>0</v>
      </c>
      <c r="Q111" s="1124">
        <f t="shared" si="108"/>
        <v>0</v>
      </c>
      <c r="R111" s="1124">
        <f t="shared" si="108"/>
        <v>-4100</v>
      </c>
      <c r="S111" s="1124">
        <f t="shared" si="108"/>
        <v>-4300</v>
      </c>
      <c r="T111" s="1124">
        <f t="shared" si="108"/>
        <v>-4600</v>
      </c>
      <c r="U111" s="1124">
        <f t="shared" si="108"/>
        <v>-4800</v>
      </c>
      <c r="V111" s="1124">
        <f t="shared" si="108"/>
        <v>-5100</v>
      </c>
      <c r="W111" s="1124">
        <f t="shared" si="108"/>
        <v>-5400</v>
      </c>
      <c r="X111" s="1124">
        <f t="shared" si="108"/>
        <v>-5600</v>
      </c>
      <c r="Y111" s="1124">
        <f t="shared" si="108"/>
        <v>-5700</v>
      </c>
      <c r="Z111" s="1124">
        <f t="shared" si="108"/>
        <v>-6000</v>
      </c>
      <c r="AA111" s="1124">
        <f t="shared" si="108"/>
        <v>-6400</v>
      </c>
      <c r="AB111" s="1124">
        <f t="shared" si="108"/>
        <v>-6800</v>
      </c>
      <c r="AC111" s="1124">
        <f t="shared" si="108"/>
        <v>-7100</v>
      </c>
      <c r="AD111" s="1124">
        <f t="shared" si="108"/>
        <v>-7600</v>
      </c>
      <c r="AE111" s="1124">
        <f t="shared" si="108"/>
        <v>-8100</v>
      </c>
      <c r="AF111" s="1124">
        <f t="shared" si="108"/>
        <v>-7000</v>
      </c>
      <c r="AG111" s="1124">
        <f t="shared" si="108"/>
        <v>0</v>
      </c>
      <c r="AH111" s="1124">
        <f t="shared" si="108"/>
        <v>0</v>
      </c>
      <c r="AI111" s="1124">
        <f t="shared" si="108"/>
        <v>0</v>
      </c>
      <c r="AJ111" s="1124">
        <f t="shared" si="108"/>
        <v>0</v>
      </c>
      <c r="AK111" s="1124">
        <f t="shared" si="108"/>
        <v>0</v>
      </c>
      <c r="AL111" s="1124">
        <f t="shared" si="108"/>
        <v>0</v>
      </c>
      <c r="AM111" s="1124">
        <f t="shared" si="108"/>
        <v>0</v>
      </c>
      <c r="AN111" s="1124">
        <f t="shared" si="108"/>
        <v>0</v>
      </c>
      <c r="AO111" s="1124">
        <f t="shared" si="108"/>
        <v>0</v>
      </c>
      <c r="AP111" s="1124">
        <f t="shared" si="108"/>
        <v>0</v>
      </c>
      <c r="AQ111" s="1124">
        <f t="shared" si="108"/>
        <v>0</v>
      </c>
      <c r="AR111" s="1124">
        <f t="shared" si="108"/>
        <v>0</v>
      </c>
      <c r="AS111" s="1124">
        <f t="shared" si="108"/>
        <v>0</v>
      </c>
      <c r="AT111" s="42"/>
      <c r="AU111" s="78">
        <f>+Base!E111</f>
        <v>-88600</v>
      </c>
      <c r="AV111" s="81">
        <f t="shared" si="105"/>
        <v>0</v>
      </c>
      <c r="AW111" s="65"/>
      <c r="AX111" s="49"/>
      <c r="AY111" s="49"/>
      <c r="AZ111" s="42"/>
      <c r="BA111" s="49"/>
      <c r="BB111" s="49"/>
      <c r="BC111" s="39"/>
      <c r="BD111" s="39"/>
      <c r="BE111" s="39"/>
      <c r="BF111" s="49"/>
      <c r="BG111" s="49"/>
      <c r="BH111" s="49"/>
      <c r="BI111" s="49"/>
      <c r="BJ111" s="39"/>
      <c r="BK111" s="49"/>
      <c r="BL111" s="39"/>
      <c r="BM111" s="39"/>
      <c r="BN111" s="49"/>
      <c r="BO111" s="49"/>
      <c r="BP111" s="49"/>
      <c r="BQ111" s="49"/>
      <c r="BR111" s="49"/>
      <c r="BS111" s="49"/>
      <c r="BT111" s="49"/>
      <c r="BU111" s="49"/>
      <c r="BV111" s="49"/>
      <c r="BW111" s="49"/>
      <c r="BX111" s="49"/>
      <c r="BY111" s="49"/>
      <c r="BZ111" s="49"/>
      <c r="CA111" s="44"/>
      <c r="CB111" s="49"/>
      <c r="CC111" s="49"/>
      <c r="CD111" s="49"/>
      <c r="CE111" s="49"/>
      <c r="CF111" s="49"/>
      <c r="CG111" s="49"/>
      <c r="CH111" s="49"/>
      <c r="CI111" s="49"/>
      <c r="CJ111" s="49"/>
      <c r="CK111" s="49"/>
      <c r="CL111" s="49"/>
      <c r="CM111" s="49"/>
      <c r="CN111" s="49"/>
    </row>
    <row r="112" spans="1:92" ht="15.6">
      <c r="A112" s="1425"/>
      <c r="B112" s="436" t="s">
        <v>1379</v>
      </c>
      <c r="C112" s="437"/>
      <c r="D112" s="256"/>
      <c r="E112" s="65">
        <f t="shared" si="102"/>
        <v>-128700</v>
      </c>
      <c r="F112" s="29">
        <f>+F110+F111</f>
        <v>0</v>
      </c>
      <c r="G112" s="1124">
        <f t="shared" ref="G112:AS112" si="109">+G110+G111</f>
        <v>0</v>
      </c>
      <c r="H112" s="1124">
        <f t="shared" si="109"/>
        <v>0</v>
      </c>
      <c r="I112" s="1124">
        <f t="shared" si="109"/>
        <v>0</v>
      </c>
      <c r="J112" s="1124">
        <f t="shared" si="109"/>
        <v>0</v>
      </c>
      <c r="K112" s="1124">
        <f t="shared" si="109"/>
        <v>0</v>
      </c>
      <c r="L112" s="1124">
        <f t="shared" si="109"/>
        <v>0</v>
      </c>
      <c r="M112" s="1124">
        <f t="shared" si="109"/>
        <v>0</v>
      </c>
      <c r="N112" s="1124">
        <f t="shared" si="109"/>
        <v>0</v>
      </c>
      <c r="O112" s="1124">
        <f t="shared" si="109"/>
        <v>0</v>
      </c>
      <c r="P112" s="1124">
        <f t="shared" si="109"/>
        <v>0</v>
      </c>
      <c r="Q112" s="1124">
        <f t="shared" si="109"/>
        <v>0</v>
      </c>
      <c r="R112" s="1124">
        <f t="shared" si="109"/>
        <v>-4100</v>
      </c>
      <c r="S112" s="1124">
        <f t="shared" si="109"/>
        <v>-4300</v>
      </c>
      <c r="T112" s="1124">
        <f t="shared" si="109"/>
        <v>-4600</v>
      </c>
      <c r="U112" s="1124">
        <f t="shared" si="109"/>
        <v>-4800</v>
      </c>
      <c r="V112" s="1124">
        <f t="shared" si="109"/>
        <v>-8300</v>
      </c>
      <c r="W112" s="1124">
        <f t="shared" si="109"/>
        <v>-8400</v>
      </c>
      <c r="X112" s="1124">
        <f t="shared" si="109"/>
        <v>-8400</v>
      </c>
      <c r="Y112" s="1124">
        <f t="shared" si="109"/>
        <v>-8600</v>
      </c>
      <c r="Z112" s="1124">
        <f t="shared" si="109"/>
        <v>-9100</v>
      </c>
      <c r="AA112" s="1124">
        <f t="shared" si="109"/>
        <v>-9700</v>
      </c>
      <c r="AB112" s="1124">
        <f t="shared" si="109"/>
        <v>-10300</v>
      </c>
      <c r="AC112" s="1124">
        <f t="shared" si="109"/>
        <v>-10800</v>
      </c>
      <c r="AD112" s="1124">
        <f t="shared" si="109"/>
        <v>-11500</v>
      </c>
      <c r="AE112" s="1124">
        <f t="shared" si="109"/>
        <v>-12300</v>
      </c>
      <c r="AF112" s="1124">
        <f t="shared" si="109"/>
        <v>-11500</v>
      </c>
      <c r="AG112" s="1124">
        <f t="shared" si="109"/>
        <v>-2000</v>
      </c>
      <c r="AH112" s="1124">
        <f t="shared" si="109"/>
        <v>0</v>
      </c>
      <c r="AI112" s="1124">
        <f t="shared" si="109"/>
        <v>0</v>
      </c>
      <c r="AJ112" s="1124">
        <f t="shared" si="109"/>
        <v>0</v>
      </c>
      <c r="AK112" s="1124">
        <f t="shared" si="109"/>
        <v>0</v>
      </c>
      <c r="AL112" s="1124">
        <f t="shared" si="109"/>
        <v>0</v>
      </c>
      <c r="AM112" s="1124">
        <f t="shared" si="109"/>
        <v>0</v>
      </c>
      <c r="AN112" s="1124">
        <f t="shared" si="109"/>
        <v>0</v>
      </c>
      <c r="AO112" s="1124">
        <f t="shared" si="109"/>
        <v>0</v>
      </c>
      <c r="AP112" s="1124">
        <f t="shared" si="109"/>
        <v>0</v>
      </c>
      <c r="AQ112" s="1124">
        <f t="shared" si="109"/>
        <v>0</v>
      </c>
      <c r="AR112" s="1124">
        <f t="shared" si="109"/>
        <v>0</v>
      </c>
      <c r="AS112" s="1124">
        <f t="shared" si="109"/>
        <v>0</v>
      </c>
      <c r="AT112" s="42"/>
      <c r="AU112" s="78">
        <f>+Base!E112</f>
        <v>-128700</v>
      </c>
      <c r="AV112" s="81">
        <f t="shared" si="105"/>
        <v>0</v>
      </c>
      <c r="AW112" s="65"/>
      <c r="AX112" s="49"/>
      <c r="AY112" s="49"/>
      <c r="AZ112" s="42"/>
      <c r="BA112" s="49"/>
      <c r="BB112" s="49"/>
      <c r="BC112" s="39"/>
      <c r="BD112" s="39"/>
      <c r="BE112" s="39"/>
      <c r="BF112" s="49"/>
      <c r="BG112" s="49"/>
      <c r="BH112" s="49"/>
      <c r="BI112" s="49"/>
      <c r="BJ112" s="39"/>
      <c r="BK112" s="49"/>
      <c r="BL112" s="39"/>
      <c r="BM112" s="39"/>
      <c r="BN112" s="49"/>
      <c r="BO112" s="49"/>
      <c r="BP112" s="49"/>
      <c r="BQ112" s="49"/>
      <c r="BR112" s="49"/>
      <c r="BS112" s="49"/>
      <c r="BT112" s="49"/>
      <c r="BU112" s="49"/>
      <c r="BV112" s="49"/>
      <c r="BW112" s="49"/>
      <c r="BX112" s="49"/>
      <c r="BY112" s="49"/>
      <c r="BZ112" s="49"/>
      <c r="CA112" s="44"/>
      <c r="CB112" s="49"/>
      <c r="CC112" s="49"/>
      <c r="CD112" s="49"/>
      <c r="CE112" s="49"/>
      <c r="CF112" s="49"/>
      <c r="CG112" s="49"/>
      <c r="CH112" s="49"/>
      <c r="CI112" s="49"/>
      <c r="CJ112" s="49"/>
      <c r="CK112" s="49"/>
      <c r="CL112" s="49"/>
      <c r="CM112" s="49"/>
      <c r="CN112" s="49"/>
    </row>
    <row r="113" spans="1:92" s="3" customFormat="1" hidden="1">
      <c r="A113" s="1427" t="s">
        <v>1578</v>
      </c>
      <c r="B113" s="436" t="s">
        <v>741</v>
      </c>
      <c r="C113" s="256" t="s">
        <v>1439</v>
      </c>
      <c r="D113" s="1757">
        <f>Esc_InhIRA</f>
        <v>0</v>
      </c>
      <c r="E113" s="65">
        <f t="shared" si="102"/>
        <v>-12000</v>
      </c>
      <c r="F113" s="1305">
        <f>ROUND(IF(Start_InhIRA&lt;=F$4,-With_InhIRA,0)/Round_To,0)*Round_To</f>
        <v>0</v>
      </c>
      <c r="G113" s="1124">
        <f t="shared" ref="G113:AS113" si="110">ROUND(IF(F113&lt;0,IF(-G339&gt;+F113*(1+Esc_InhIRA),-G339,+F113*(1+Esc_InhIRA)),IF(Start_InhIRA&lt;=G$4,IF(-G339&gt;-With_InhIRA,-G339,-With_InhIRA),0))*IF(AND(End_InhIRA&lt;G4,End_InhIRA&lt;&gt;0),0,1)/Round_To,0)*Round_To</f>
        <v>0</v>
      </c>
      <c r="H113" s="1124">
        <f t="shared" si="110"/>
        <v>0</v>
      </c>
      <c r="I113" s="1124">
        <f t="shared" si="110"/>
        <v>0</v>
      </c>
      <c r="J113" s="1124">
        <f t="shared" si="110"/>
        <v>0</v>
      </c>
      <c r="K113" s="1124">
        <f t="shared" si="110"/>
        <v>0</v>
      </c>
      <c r="L113" s="1124">
        <f t="shared" si="110"/>
        <v>0</v>
      </c>
      <c r="M113" s="1124">
        <f t="shared" si="110"/>
        <v>0</v>
      </c>
      <c r="N113" s="1124">
        <f t="shared" si="110"/>
        <v>0</v>
      </c>
      <c r="O113" s="1124">
        <f t="shared" si="110"/>
        <v>0</v>
      </c>
      <c r="P113" s="1124">
        <f t="shared" si="110"/>
        <v>0</v>
      </c>
      <c r="Q113" s="1124">
        <f t="shared" si="110"/>
        <v>0</v>
      </c>
      <c r="R113" s="1124">
        <f t="shared" si="110"/>
        <v>0</v>
      </c>
      <c r="S113" s="1124">
        <f t="shared" si="110"/>
        <v>0</v>
      </c>
      <c r="T113" s="1124">
        <f t="shared" si="110"/>
        <v>0</v>
      </c>
      <c r="U113" s="1124">
        <f t="shared" si="110"/>
        <v>-4000</v>
      </c>
      <c r="V113" s="1124">
        <f t="shared" si="110"/>
        <v>-4000</v>
      </c>
      <c r="W113" s="1124">
        <f t="shared" si="110"/>
        <v>-4000</v>
      </c>
      <c r="X113" s="1124">
        <f t="shared" si="110"/>
        <v>0</v>
      </c>
      <c r="Y113" s="1124">
        <f t="shared" si="110"/>
        <v>0</v>
      </c>
      <c r="Z113" s="1124">
        <f t="shared" si="110"/>
        <v>0</v>
      </c>
      <c r="AA113" s="1124">
        <f t="shared" si="110"/>
        <v>0</v>
      </c>
      <c r="AB113" s="1124">
        <f t="shared" si="110"/>
        <v>0</v>
      </c>
      <c r="AC113" s="1124">
        <f t="shared" si="110"/>
        <v>0</v>
      </c>
      <c r="AD113" s="1124">
        <f t="shared" si="110"/>
        <v>0</v>
      </c>
      <c r="AE113" s="1124">
        <f t="shared" si="110"/>
        <v>0</v>
      </c>
      <c r="AF113" s="1124">
        <f t="shared" si="110"/>
        <v>0</v>
      </c>
      <c r="AG113" s="1124">
        <f t="shared" si="110"/>
        <v>0</v>
      </c>
      <c r="AH113" s="1124">
        <f t="shared" si="110"/>
        <v>0</v>
      </c>
      <c r="AI113" s="1124">
        <f t="shared" si="110"/>
        <v>0</v>
      </c>
      <c r="AJ113" s="1124">
        <f t="shared" si="110"/>
        <v>0</v>
      </c>
      <c r="AK113" s="1124">
        <f t="shared" si="110"/>
        <v>0</v>
      </c>
      <c r="AL113" s="1124">
        <f t="shared" si="110"/>
        <v>0</v>
      </c>
      <c r="AM113" s="1124">
        <f t="shared" si="110"/>
        <v>0</v>
      </c>
      <c r="AN113" s="1124">
        <f t="shared" si="110"/>
        <v>0</v>
      </c>
      <c r="AO113" s="1124">
        <f t="shared" si="110"/>
        <v>0</v>
      </c>
      <c r="AP113" s="1124">
        <f t="shared" si="110"/>
        <v>0</v>
      </c>
      <c r="AQ113" s="1124">
        <f t="shared" si="110"/>
        <v>0</v>
      </c>
      <c r="AR113" s="1124">
        <f t="shared" si="110"/>
        <v>0</v>
      </c>
      <c r="AS113" s="1124">
        <f t="shared" si="110"/>
        <v>0</v>
      </c>
      <c r="AT113" s="42"/>
      <c r="AU113" s="78">
        <f>+Base!E113</f>
        <v>-12000</v>
      </c>
      <c r="AV113" s="81">
        <f t="shared" si="105"/>
        <v>0</v>
      </c>
      <c r="AW113" s="65"/>
      <c r="AX113" s="42"/>
      <c r="AY113" s="42"/>
      <c r="AZ113" s="42"/>
      <c r="BA113" s="42"/>
      <c r="BB113" s="42"/>
      <c r="BC113" s="440"/>
      <c r="BD113" s="440"/>
      <c r="BE113" s="440"/>
      <c r="BF113" s="42"/>
      <c r="BG113" s="42"/>
      <c r="BH113" s="42"/>
      <c r="BI113" s="42"/>
      <c r="BJ113" s="440"/>
      <c r="BK113" s="42"/>
      <c r="BL113" s="440"/>
      <c r="BM113" s="440"/>
      <c r="BN113" s="42"/>
      <c r="BO113" s="42"/>
      <c r="BP113" s="42"/>
      <c r="BQ113" s="42"/>
      <c r="BR113" s="42"/>
      <c r="BS113" s="42"/>
      <c r="BT113" s="42"/>
      <c r="BU113" s="42"/>
      <c r="BV113" s="42"/>
      <c r="BW113" s="42"/>
      <c r="BX113" s="42"/>
      <c r="BY113" s="42"/>
      <c r="BZ113" s="42"/>
      <c r="CA113" s="328"/>
      <c r="CB113" s="42"/>
      <c r="CC113" s="42"/>
      <c r="CD113" s="42"/>
      <c r="CE113" s="42"/>
      <c r="CF113" s="42"/>
      <c r="CG113" s="42"/>
      <c r="CH113" s="42"/>
      <c r="CI113" s="42"/>
      <c r="CJ113" s="42"/>
      <c r="CK113" s="42"/>
      <c r="CL113" s="42"/>
      <c r="CM113" s="42"/>
      <c r="CN113" s="42"/>
    </row>
    <row r="114" spans="1:92" s="3" customFormat="1" hidden="1">
      <c r="A114" s="1427" t="s">
        <v>1578</v>
      </c>
      <c r="B114" s="436" t="s">
        <v>742</v>
      </c>
      <c r="C114" s="256" t="s">
        <v>1439</v>
      </c>
      <c r="D114" s="1757">
        <f>Esc_InhIRA2</f>
        <v>0.1</v>
      </c>
      <c r="E114" s="65">
        <f t="shared" si="102"/>
        <v>-3300</v>
      </c>
      <c r="F114" s="1305">
        <f>ROUND(IF(Start_InhIRA2&lt;=F$4,-With_InhIRA2,0)/Round_To,0)*Round_To</f>
        <v>0</v>
      </c>
      <c r="G114" s="1124">
        <f t="shared" ref="G114:AS114" si="111">ROUND(IF(F114&lt;0,IF(-G340&gt;+F114*(1+Esc_InhIRA2),-G340,+F114*(1+Esc_InhIRA2)),IF(Start_InhIRA2&lt;=G$4,IF(-G340&gt;-With_InhIRA2,-G340,-With_InhIRA2),0))*IF(AND(End_InhIRA2&lt;G4,End_InhIRA2&lt;&gt;0),0,1)/Round_To,0)*Round_To</f>
        <v>0</v>
      </c>
      <c r="H114" s="1124">
        <f t="shared" si="111"/>
        <v>0</v>
      </c>
      <c r="I114" s="1124">
        <f t="shared" si="111"/>
        <v>0</v>
      </c>
      <c r="J114" s="1124">
        <f t="shared" si="111"/>
        <v>0</v>
      </c>
      <c r="K114" s="1124">
        <f t="shared" si="111"/>
        <v>0</v>
      </c>
      <c r="L114" s="1124">
        <f t="shared" si="111"/>
        <v>0</v>
      </c>
      <c r="M114" s="1124">
        <f t="shared" si="111"/>
        <v>0</v>
      </c>
      <c r="N114" s="1124">
        <f t="shared" si="111"/>
        <v>0</v>
      </c>
      <c r="O114" s="1124">
        <f t="shared" si="111"/>
        <v>0</v>
      </c>
      <c r="P114" s="1124">
        <f t="shared" si="111"/>
        <v>0</v>
      </c>
      <c r="Q114" s="1124">
        <f t="shared" si="111"/>
        <v>0</v>
      </c>
      <c r="R114" s="1124">
        <f t="shared" si="111"/>
        <v>0</v>
      </c>
      <c r="S114" s="1124">
        <f t="shared" si="111"/>
        <v>0</v>
      </c>
      <c r="T114" s="1124">
        <f t="shared" si="111"/>
        <v>0</v>
      </c>
      <c r="U114" s="1124">
        <f t="shared" si="111"/>
        <v>0</v>
      </c>
      <c r="V114" s="1124">
        <f t="shared" si="111"/>
        <v>-1000</v>
      </c>
      <c r="W114" s="1124">
        <f t="shared" si="111"/>
        <v>-1100</v>
      </c>
      <c r="X114" s="1124">
        <f t="shared" si="111"/>
        <v>-1200</v>
      </c>
      <c r="Y114" s="1124">
        <f t="shared" si="111"/>
        <v>0</v>
      </c>
      <c r="Z114" s="1124">
        <f t="shared" si="111"/>
        <v>0</v>
      </c>
      <c r="AA114" s="1124">
        <f t="shared" si="111"/>
        <v>0</v>
      </c>
      <c r="AB114" s="1124">
        <f t="shared" si="111"/>
        <v>0</v>
      </c>
      <c r="AC114" s="1124">
        <f t="shared" si="111"/>
        <v>0</v>
      </c>
      <c r="AD114" s="1124">
        <f t="shared" si="111"/>
        <v>0</v>
      </c>
      <c r="AE114" s="1124">
        <f t="shared" si="111"/>
        <v>0</v>
      </c>
      <c r="AF114" s="1124">
        <f t="shared" si="111"/>
        <v>0</v>
      </c>
      <c r="AG114" s="1124">
        <f t="shared" si="111"/>
        <v>0</v>
      </c>
      <c r="AH114" s="1124">
        <f t="shared" si="111"/>
        <v>0</v>
      </c>
      <c r="AI114" s="1124">
        <f t="shared" si="111"/>
        <v>0</v>
      </c>
      <c r="AJ114" s="1124">
        <f t="shared" si="111"/>
        <v>0</v>
      </c>
      <c r="AK114" s="1124">
        <f t="shared" si="111"/>
        <v>0</v>
      </c>
      <c r="AL114" s="1124">
        <f t="shared" si="111"/>
        <v>0</v>
      </c>
      <c r="AM114" s="1124">
        <f t="shared" si="111"/>
        <v>0</v>
      </c>
      <c r="AN114" s="1124">
        <f t="shared" si="111"/>
        <v>0</v>
      </c>
      <c r="AO114" s="1124">
        <f t="shared" si="111"/>
        <v>0</v>
      </c>
      <c r="AP114" s="1124">
        <f t="shared" si="111"/>
        <v>0</v>
      </c>
      <c r="AQ114" s="1124">
        <f t="shared" si="111"/>
        <v>0</v>
      </c>
      <c r="AR114" s="1124">
        <f t="shared" si="111"/>
        <v>0</v>
      </c>
      <c r="AS114" s="1124">
        <f t="shared" si="111"/>
        <v>0</v>
      </c>
      <c r="AT114" s="42"/>
      <c r="AU114" s="78">
        <f>+Base!E114</f>
        <v>-3300</v>
      </c>
      <c r="AV114" s="81">
        <f t="shared" si="105"/>
        <v>0</v>
      </c>
      <c r="AW114" s="65"/>
      <c r="AX114" s="42"/>
      <c r="AY114" s="42"/>
      <c r="AZ114" s="42"/>
      <c r="BA114" s="42"/>
      <c r="BB114" s="42"/>
      <c r="BC114" s="440"/>
      <c r="BD114" s="440"/>
      <c r="BE114" s="440"/>
      <c r="BF114" s="42"/>
      <c r="BG114" s="42"/>
      <c r="BH114" s="42"/>
      <c r="BI114" s="42"/>
      <c r="BJ114" s="440"/>
      <c r="BK114" s="42"/>
      <c r="BL114" s="440"/>
      <c r="BM114" s="440"/>
      <c r="BN114" s="42"/>
      <c r="BO114" s="42"/>
      <c r="BP114" s="42"/>
      <c r="BQ114" s="42"/>
      <c r="BR114" s="42"/>
      <c r="BS114" s="42"/>
      <c r="BT114" s="42"/>
      <c r="BU114" s="42"/>
      <c r="BV114" s="42"/>
      <c r="BW114" s="42"/>
      <c r="BX114" s="42"/>
      <c r="BY114" s="42"/>
      <c r="BZ114" s="42"/>
      <c r="CA114" s="328"/>
      <c r="CB114" s="42"/>
      <c r="CC114" s="42"/>
      <c r="CD114" s="42"/>
      <c r="CE114" s="42"/>
      <c r="CF114" s="42"/>
      <c r="CG114" s="42"/>
      <c r="CH114" s="42"/>
      <c r="CI114" s="42"/>
      <c r="CJ114" s="42"/>
      <c r="CK114" s="42"/>
      <c r="CL114" s="42"/>
      <c r="CM114" s="42"/>
      <c r="CN114" s="42"/>
    </row>
    <row r="115" spans="1:92" s="3" customFormat="1" ht="15.6">
      <c r="A115" s="1430"/>
      <c r="B115" s="436" t="s">
        <v>1279</v>
      </c>
      <c r="C115" s="437"/>
      <c r="D115" s="438"/>
      <c r="E115" s="65">
        <f t="shared" si="102"/>
        <v>-15300</v>
      </c>
      <c r="F115" s="29">
        <f>+F113+F114</f>
        <v>0</v>
      </c>
      <c r="G115" s="1124">
        <f t="shared" ref="G115:AS115" si="112">+G113+G114</f>
        <v>0</v>
      </c>
      <c r="H115" s="1124">
        <f t="shared" si="112"/>
        <v>0</v>
      </c>
      <c r="I115" s="1124">
        <f t="shared" si="112"/>
        <v>0</v>
      </c>
      <c r="J115" s="1124">
        <f t="shared" si="112"/>
        <v>0</v>
      </c>
      <c r="K115" s="1124">
        <f t="shared" si="112"/>
        <v>0</v>
      </c>
      <c r="L115" s="1124">
        <f t="shared" si="112"/>
        <v>0</v>
      </c>
      <c r="M115" s="1124">
        <f t="shared" si="112"/>
        <v>0</v>
      </c>
      <c r="N115" s="1124">
        <f t="shared" si="112"/>
        <v>0</v>
      </c>
      <c r="O115" s="1124">
        <f t="shared" si="112"/>
        <v>0</v>
      </c>
      <c r="P115" s="1124">
        <f t="shared" si="112"/>
        <v>0</v>
      </c>
      <c r="Q115" s="1124">
        <f t="shared" si="112"/>
        <v>0</v>
      </c>
      <c r="R115" s="1124">
        <f t="shared" si="112"/>
        <v>0</v>
      </c>
      <c r="S115" s="1124">
        <f t="shared" si="112"/>
        <v>0</v>
      </c>
      <c r="T115" s="1124">
        <f t="shared" si="112"/>
        <v>0</v>
      </c>
      <c r="U115" s="1124">
        <f t="shared" si="112"/>
        <v>-4000</v>
      </c>
      <c r="V115" s="1124">
        <f t="shared" si="112"/>
        <v>-5000</v>
      </c>
      <c r="W115" s="1124">
        <f t="shared" si="112"/>
        <v>-5100</v>
      </c>
      <c r="X115" s="1124">
        <f t="shared" si="112"/>
        <v>-1200</v>
      </c>
      <c r="Y115" s="1124">
        <f t="shared" si="112"/>
        <v>0</v>
      </c>
      <c r="Z115" s="1124">
        <f t="shared" si="112"/>
        <v>0</v>
      </c>
      <c r="AA115" s="1124">
        <f t="shared" si="112"/>
        <v>0</v>
      </c>
      <c r="AB115" s="1124">
        <f t="shared" si="112"/>
        <v>0</v>
      </c>
      <c r="AC115" s="1124">
        <f t="shared" si="112"/>
        <v>0</v>
      </c>
      <c r="AD115" s="1124">
        <f t="shared" si="112"/>
        <v>0</v>
      </c>
      <c r="AE115" s="1124">
        <f t="shared" si="112"/>
        <v>0</v>
      </c>
      <c r="AF115" s="1124">
        <f t="shared" si="112"/>
        <v>0</v>
      </c>
      <c r="AG115" s="1124">
        <f t="shared" si="112"/>
        <v>0</v>
      </c>
      <c r="AH115" s="1124">
        <f t="shared" si="112"/>
        <v>0</v>
      </c>
      <c r="AI115" s="1124">
        <f t="shared" si="112"/>
        <v>0</v>
      </c>
      <c r="AJ115" s="1124">
        <f t="shared" si="112"/>
        <v>0</v>
      </c>
      <c r="AK115" s="1124">
        <f t="shared" si="112"/>
        <v>0</v>
      </c>
      <c r="AL115" s="1124">
        <f t="shared" si="112"/>
        <v>0</v>
      </c>
      <c r="AM115" s="1124">
        <f t="shared" si="112"/>
        <v>0</v>
      </c>
      <c r="AN115" s="1124">
        <f t="shared" si="112"/>
        <v>0</v>
      </c>
      <c r="AO115" s="1124">
        <f t="shared" si="112"/>
        <v>0</v>
      </c>
      <c r="AP115" s="1124">
        <f t="shared" si="112"/>
        <v>0</v>
      </c>
      <c r="AQ115" s="1124">
        <f t="shared" si="112"/>
        <v>0</v>
      </c>
      <c r="AR115" s="1124">
        <f t="shared" si="112"/>
        <v>0</v>
      </c>
      <c r="AS115" s="1124">
        <f t="shared" si="112"/>
        <v>0</v>
      </c>
      <c r="AT115" s="42"/>
      <c r="AU115" s="78">
        <f>+Base!E115</f>
        <v>-15300</v>
      </c>
      <c r="AV115" s="81">
        <f t="shared" si="105"/>
        <v>0</v>
      </c>
      <c r="AW115" s="65"/>
      <c r="AX115" s="42"/>
      <c r="AY115" s="42"/>
      <c r="AZ115" s="42"/>
      <c r="BA115" s="42"/>
      <c r="BB115" s="42"/>
      <c r="BC115" s="440"/>
      <c r="BD115" s="440"/>
      <c r="BE115" s="440"/>
      <c r="BF115" s="42"/>
      <c r="BG115" s="42"/>
      <c r="BH115" s="42"/>
      <c r="BI115" s="42"/>
      <c r="BJ115" s="440"/>
      <c r="BK115" s="42"/>
      <c r="BL115" s="440"/>
      <c r="BM115" s="440"/>
      <c r="BN115" s="42"/>
      <c r="BO115" s="42"/>
      <c r="BP115" s="42"/>
      <c r="BQ115" s="42"/>
      <c r="BR115" s="42"/>
      <c r="BS115" s="42"/>
      <c r="BT115" s="42"/>
      <c r="BU115" s="42"/>
      <c r="BV115" s="42"/>
      <c r="BW115" s="42"/>
      <c r="BX115" s="42"/>
      <c r="BY115" s="42"/>
      <c r="BZ115" s="42"/>
      <c r="CA115" s="328"/>
      <c r="CB115" s="42"/>
      <c r="CC115" s="42"/>
      <c r="CD115" s="42"/>
      <c r="CE115" s="42"/>
      <c r="CF115" s="42"/>
      <c r="CG115" s="42"/>
      <c r="CH115" s="42"/>
      <c r="CI115" s="42"/>
      <c r="CJ115" s="42"/>
      <c r="CK115" s="42"/>
      <c r="CL115" s="42"/>
      <c r="CM115" s="42"/>
      <c r="CN115" s="42"/>
    </row>
    <row r="116" spans="1:92" ht="15.6" hidden="1">
      <c r="A116" s="1427" t="s">
        <v>1578</v>
      </c>
      <c r="B116" s="436" t="s">
        <v>743</v>
      </c>
      <c r="C116" s="437"/>
      <c r="D116" s="256"/>
      <c r="E116" s="65">
        <f t="shared" si="102"/>
        <v>0</v>
      </c>
      <c r="F116" s="73">
        <f t="shared" ref="F116:AS116" si="113">ROUND(IF(F8-Taxable_Min+F303-F95-F103&lt;0,IF(F345&gt;0,IF(F8-Taxable_Min+F303-F95-F103&lt;-F345,-F345,F8-Taxable_Min+F303-F95-F103),0),0)/Round_To,0)*Round_To*IF(Automate="y",1,0)</f>
        <v>0</v>
      </c>
      <c r="G116" s="1124">
        <f t="shared" si="113"/>
        <v>0</v>
      </c>
      <c r="H116" s="1124">
        <f t="shared" si="113"/>
        <v>0</v>
      </c>
      <c r="I116" s="1124">
        <f t="shared" si="113"/>
        <v>0</v>
      </c>
      <c r="J116" s="1124">
        <f t="shared" si="113"/>
        <v>0</v>
      </c>
      <c r="K116" s="1124">
        <f t="shared" si="113"/>
        <v>0</v>
      </c>
      <c r="L116" s="1124">
        <f t="shared" si="113"/>
        <v>0</v>
      </c>
      <c r="M116" s="1124">
        <f t="shared" si="113"/>
        <v>0</v>
      </c>
      <c r="N116" s="1124">
        <f t="shared" si="113"/>
        <v>0</v>
      </c>
      <c r="O116" s="1124">
        <f t="shared" si="113"/>
        <v>0</v>
      </c>
      <c r="P116" s="1124">
        <f t="shared" si="113"/>
        <v>0</v>
      </c>
      <c r="Q116" s="1124">
        <f t="shared" si="113"/>
        <v>0</v>
      </c>
      <c r="R116" s="1124">
        <f t="shared" si="113"/>
        <v>0</v>
      </c>
      <c r="S116" s="1124">
        <f t="shared" si="113"/>
        <v>0</v>
      </c>
      <c r="T116" s="1124">
        <f t="shared" si="113"/>
        <v>0</v>
      </c>
      <c r="U116" s="1124">
        <f t="shared" si="113"/>
        <v>0</v>
      </c>
      <c r="V116" s="1124">
        <f t="shared" si="113"/>
        <v>0</v>
      </c>
      <c r="W116" s="1124">
        <f t="shared" si="113"/>
        <v>0</v>
      </c>
      <c r="X116" s="1124">
        <f t="shared" si="113"/>
        <v>0</v>
      </c>
      <c r="Y116" s="1124">
        <f t="shared" si="113"/>
        <v>0</v>
      </c>
      <c r="Z116" s="1124">
        <f t="shared" si="113"/>
        <v>0</v>
      </c>
      <c r="AA116" s="1124">
        <f t="shared" si="113"/>
        <v>0</v>
      </c>
      <c r="AB116" s="1124">
        <f t="shared" si="113"/>
        <v>0</v>
      </c>
      <c r="AC116" s="1124">
        <f t="shared" si="113"/>
        <v>0</v>
      </c>
      <c r="AD116" s="1124">
        <f t="shared" si="113"/>
        <v>0</v>
      </c>
      <c r="AE116" s="1124">
        <f t="shared" si="113"/>
        <v>0</v>
      </c>
      <c r="AF116" s="1124">
        <f t="shared" si="113"/>
        <v>0</v>
      </c>
      <c r="AG116" s="1124">
        <f t="shared" si="113"/>
        <v>0</v>
      </c>
      <c r="AH116" s="1124">
        <f t="shared" si="113"/>
        <v>0</v>
      </c>
      <c r="AI116" s="1124">
        <f t="shared" si="113"/>
        <v>0</v>
      </c>
      <c r="AJ116" s="1124">
        <f t="shared" si="113"/>
        <v>0</v>
      </c>
      <c r="AK116" s="1124">
        <f t="shared" si="113"/>
        <v>0</v>
      </c>
      <c r="AL116" s="1124">
        <f t="shared" si="113"/>
        <v>0</v>
      </c>
      <c r="AM116" s="1124">
        <f t="shared" si="113"/>
        <v>0</v>
      </c>
      <c r="AN116" s="1124">
        <f t="shared" si="113"/>
        <v>0</v>
      </c>
      <c r="AO116" s="1124">
        <f t="shared" si="113"/>
        <v>0</v>
      </c>
      <c r="AP116" s="1124">
        <f t="shared" si="113"/>
        <v>0</v>
      </c>
      <c r="AQ116" s="1124">
        <f t="shared" si="113"/>
        <v>0</v>
      </c>
      <c r="AR116" s="1124">
        <f t="shared" si="113"/>
        <v>0</v>
      </c>
      <c r="AS116" s="1124">
        <f t="shared" si="113"/>
        <v>0</v>
      </c>
      <c r="AT116" s="42"/>
      <c r="AU116" s="78">
        <f>+Base!E116</f>
        <v>0</v>
      </c>
      <c r="AV116" s="81">
        <f t="shared" si="105"/>
        <v>0</v>
      </c>
      <c r="AW116" s="65"/>
      <c r="AX116" s="49"/>
      <c r="AY116" s="49"/>
      <c r="AZ116" s="42"/>
      <c r="BA116" s="49"/>
      <c r="BB116" s="49"/>
      <c r="BC116" s="39"/>
      <c r="BD116" s="39"/>
      <c r="BE116" s="39"/>
      <c r="BF116" s="49"/>
      <c r="BG116" s="49"/>
      <c r="BH116" s="49"/>
      <c r="BI116" s="49"/>
      <c r="BJ116" s="39"/>
      <c r="BK116" s="49"/>
      <c r="BL116" s="39"/>
      <c r="BM116" s="39"/>
      <c r="BN116" s="49"/>
      <c r="BO116" s="49"/>
      <c r="BP116" s="49"/>
      <c r="BQ116" s="49"/>
      <c r="BR116" s="49"/>
      <c r="BS116" s="49"/>
      <c r="BT116" s="49"/>
      <c r="BU116" s="49"/>
      <c r="BV116" s="49"/>
      <c r="BW116" s="49"/>
      <c r="BX116" s="49"/>
      <c r="BY116" s="49"/>
      <c r="BZ116" s="49"/>
      <c r="CA116" s="44"/>
      <c r="CB116" s="49"/>
      <c r="CC116" s="49"/>
      <c r="CD116" s="49"/>
      <c r="CE116" s="49"/>
      <c r="CF116" s="49"/>
      <c r="CG116" s="49"/>
      <c r="CH116" s="49"/>
      <c r="CI116" s="49"/>
      <c r="CJ116" s="49"/>
      <c r="CK116" s="49"/>
      <c r="CL116" s="49"/>
      <c r="CM116" s="49"/>
      <c r="CN116" s="49"/>
    </row>
    <row r="117" spans="1:92" ht="15.6" hidden="1">
      <c r="A117" s="1427" t="s">
        <v>1578</v>
      </c>
      <c r="B117" s="436" t="s">
        <v>744</v>
      </c>
      <c r="C117" s="437"/>
      <c r="D117" s="256"/>
      <c r="E117" s="65">
        <f t="shared" si="102"/>
        <v>0</v>
      </c>
      <c r="F117" s="73">
        <f t="shared" ref="F117:AS117" si="114">ROUND(IF(F8-Taxable_Min+F303-F95-F103-F116&lt;0,IF(F346&gt;0,IF(F8-Taxable_Min+F303-F95-F103-F116&lt;-F346,-F346,F8-Taxable_Min+F303-F95-F103-F116),0),0)/Round_To,0)*Round_To*IF(Automate="y",1,0)</f>
        <v>0</v>
      </c>
      <c r="G117" s="1124">
        <f t="shared" si="114"/>
        <v>0</v>
      </c>
      <c r="H117" s="1124">
        <f t="shared" si="114"/>
        <v>0</v>
      </c>
      <c r="I117" s="1124">
        <f t="shared" si="114"/>
        <v>0</v>
      </c>
      <c r="J117" s="1124">
        <f t="shared" si="114"/>
        <v>0</v>
      </c>
      <c r="K117" s="1124">
        <f t="shared" si="114"/>
        <v>0</v>
      </c>
      <c r="L117" s="1124">
        <f t="shared" si="114"/>
        <v>0</v>
      </c>
      <c r="M117" s="1124">
        <f t="shared" si="114"/>
        <v>0</v>
      </c>
      <c r="N117" s="1124">
        <f t="shared" si="114"/>
        <v>0</v>
      </c>
      <c r="O117" s="1124">
        <f t="shared" si="114"/>
        <v>0</v>
      </c>
      <c r="P117" s="1124">
        <f t="shared" si="114"/>
        <v>0</v>
      </c>
      <c r="Q117" s="1124">
        <f t="shared" si="114"/>
        <v>0</v>
      </c>
      <c r="R117" s="1124">
        <f t="shared" si="114"/>
        <v>0</v>
      </c>
      <c r="S117" s="1124">
        <f t="shared" si="114"/>
        <v>0</v>
      </c>
      <c r="T117" s="1124">
        <f t="shared" si="114"/>
        <v>0</v>
      </c>
      <c r="U117" s="1124">
        <f t="shared" si="114"/>
        <v>0</v>
      </c>
      <c r="V117" s="1124">
        <f t="shared" si="114"/>
        <v>0</v>
      </c>
      <c r="W117" s="1124">
        <f t="shared" si="114"/>
        <v>0</v>
      </c>
      <c r="X117" s="1124">
        <f t="shared" si="114"/>
        <v>0</v>
      </c>
      <c r="Y117" s="1124">
        <f t="shared" si="114"/>
        <v>0</v>
      </c>
      <c r="Z117" s="1124">
        <f t="shared" si="114"/>
        <v>0</v>
      </c>
      <c r="AA117" s="1124">
        <f t="shared" si="114"/>
        <v>0</v>
      </c>
      <c r="AB117" s="1124">
        <f t="shared" si="114"/>
        <v>0</v>
      </c>
      <c r="AC117" s="1124">
        <f t="shared" si="114"/>
        <v>0</v>
      </c>
      <c r="AD117" s="1124">
        <f t="shared" si="114"/>
        <v>0</v>
      </c>
      <c r="AE117" s="1124">
        <f t="shared" si="114"/>
        <v>0</v>
      </c>
      <c r="AF117" s="1124">
        <f t="shared" si="114"/>
        <v>0</v>
      </c>
      <c r="AG117" s="1124">
        <f t="shared" si="114"/>
        <v>0</v>
      </c>
      <c r="AH117" s="1124">
        <f t="shared" si="114"/>
        <v>0</v>
      </c>
      <c r="AI117" s="1124">
        <f t="shared" si="114"/>
        <v>0</v>
      </c>
      <c r="AJ117" s="1124">
        <f t="shared" si="114"/>
        <v>0</v>
      </c>
      <c r="AK117" s="1124">
        <f t="shared" si="114"/>
        <v>0</v>
      </c>
      <c r="AL117" s="1124">
        <f t="shared" si="114"/>
        <v>0</v>
      </c>
      <c r="AM117" s="1124">
        <f t="shared" si="114"/>
        <v>0</v>
      </c>
      <c r="AN117" s="1124">
        <f t="shared" si="114"/>
        <v>0</v>
      </c>
      <c r="AO117" s="1124">
        <f t="shared" si="114"/>
        <v>0</v>
      </c>
      <c r="AP117" s="1124">
        <f t="shared" si="114"/>
        <v>0</v>
      </c>
      <c r="AQ117" s="1124">
        <f t="shared" si="114"/>
        <v>0</v>
      </c>
      <c r="AR117" s="1124">
        <f t="shared" si="114"/>
        <v>0</v>
      </c>
      <c r="AS117" s="1124">
        <f t="shared" si="114"/>
        <v>0</v>
      </c>
      <c r="AT117" s="42"/>
      <c r="AU117" s="78">
        <f>+Base!E117</f>
        <v>0</v>
      </c>
      <c r="AV117" s="81">
        <f t="shared" si="105"/>
        <v>0</v>
      </c>
      <c r="AW117" s="65"/>
      <c r="AX117" s="49"/>
      <c r="AY117" s="49"/>
      <c r="AZ117" s="42"/>
      <c r="BA117" s="49"/>
      <c r="BB117" s="49"/>
      <c r="BC117" s="39"/>
      <c r="BD117" s="39"/>
      <c r="BE117" s="39"/>
      <c r="BF117" s="49"/>
      <c r="BG117" s="49"/>
      <c r="BH117" s="49"/>
      <c r="BI117" s="49"/>
      <c r="BJ117" s="39"/>
      <c r="BK117" s="49"/>
      <c r="BL117" s="39"/>
      <c r="BM117" s="39"/>
      <c r="BN117" s="49"/>
      <c r="BO117" s="49"/>
      <c r="BP117" s="49"/>
      <c r="BQ117" s="49"/>
      <c r="BR117" s="49"/>
      <c r="BS117" s="49"/>
      <c r="BT117" s="49"/>
      <c r="BU117" s="49"/>
      <c r="BV117" s="49"/>
      <c r="BW117" s="49"/>
      <c r="BX117" s="49"/>
      <c r="BY117" s="49"/>
      <c r="BZ117" s="49"/>
      <c r="CA117" s="44"/>
      <c r="CB117" s="49"/>
      <c r="CC117" s="49"/>
      <c r="CD117" s="49"/>
      <c r="CE117" s="49"/>
      <c r="CF117" s="49"/>
      <c r="CG117" s="49"/>
      <c r="CH117" s="49"/>
      <c r="CI117" s="49"/>
      <c r="CJ117" s="49"/>
      <c r="CK117" s="49"/>
      <c r="CL117" s="49"/>
      <c r="CM117" s="49"/>
      <c r="CN117" s="49"/>
    </row>
    <row r="118" spans="1:92" ht="15.6">
      <c r="A118" s="1425"/>
      <c r="B118" s="369" t="s">
        <v>1280</v>
      </c>
      <c r="C118" s="36"/>
      <c r="D118" s="256"/>
      <c r="E118" s="65">
        <f t="shared" si="102"/>
        <v>0</v>
      </c>
      <c r="F118" s="29">
        <f>+F116+F117</f>
        <v>0</v>
      </c>
      <c r="G118" s="1124">
        <f t="shared" ref="G118:AS118" si="115">+G116+G117</f>
        <v>0</v>
      </c>
      <c r="H118" s="1124">
        <f t="shared" si="115"/>
        <v>0</v>
      </c>
      <c r="I118" s="1124">
        <f t="shared" si="115"/>
        <v>0</v>
      </c>
      <c r="J118" s="1124">
        <f t="shared" si="115"/>
        <v>0</v>
      </c>
      <c r="K118" s="1124">
        <f t="shared" si="115"/>
        <v>0</v>
      </c>
      <c r="L118" s="1124">
        <f t="shared" si="115"/>
        <v>0</v>
      </c>
      <c r="M118" s="1124">
        <f t="shared" si="115"/>
        <v>0</v>
      </c>
      <c r="N118" s="1124">
        <f t="shared" si="115"/>
        <v>0</v>
      </c>
      <c r="O118" s="1124">
        <f t="shared" si="115"/>
        <v>0</v>
      </c>
      <c r="P118" s="1124">
        <f t="shared" si="115"/>
        <v>0</v>
      </c>
      <c r="Q118" s="1124">
        <f t="shared" si="115"/>
        <v>0</v>
      </c>
      <c r="R118" s="1124">
        <f t="shared" si="115"/>
        <v>0</v>
      </c>
      <c r="S118" s="1124">
        <f t="shared" si="115"/>
        <v>0</v>
      </c>
      <c r="T118" s="1124">
        <f t="shared" si="115"/>
        <v>0</v>
      </c>
      <c r="U118" s="1124">
        <f t="shared" si="115"/>
        <v>0</v>
      </c>
      <c r="V118" s="1124">
        <f t="shared" si="115"/>
        <v>0</v>
      </c>
      <c r="W118" s="1124">
        <f t="shared" si="115"/>
        <v>0</v>
      </c>
      <c r="X118" s="1124">
        <f t="shared" si="115"/>
        <v>0</v>
      </c>
      <c r="Y118" s="1124">
        <f t="shared" si="115"/>
        <v>0</v>
      </c>
      <c r="Z118" s="1124">
        <f t="shared" si="115"/>
        <v>0</v>
      </c>
      <c r="AA118" s="1124">
        <f t="shared" si="115"/>
        <v>0</v>
      </c>
      <c r="AB118" s="1124">
        <f t="shared" si="115"/>
        <v>0</v>
      </c>
      <c r="AC118" s="1124">
        <f t="shared" si="115"/>
        <v>0</v>
      </c>
      <c r="AD118" s="1124">
        <f t="shared" si="115"/>
        <v>0</v>
      </c>
      <c r="AE118" s="1124">
        <f t="shared" si="115"/>
        <v>0</v>
      </c>
      <c r="AF118" s="1124">
        <f t="shared" si="115"/>
        <v>0</v>
      </c>
      <c r="AG118" s="1124">
        <f t="shared" si="115"/>
        <v>0</v>
      </c>
      <c r="AH118" s="1124">
        <f t="shared" si="115"/>
        <v>0</v>
      </c>
      <c r="AI118" s="1124">
        <f t="shared" si="115"/>
        <v>0</v>
      </c>
      <c r="AJ118" s="1124">
        <f t="shared" si="115"/>
        <v>0</v>
      </c>
      <c r="AK118" s="1124">
        <f t="shared" si="115"/>
        <v>0</v>
      </c>
      <c r="AL118" s="1124">
        <f t="shared" si="115"/>
        <v>0</v>
      </c>
      <c r="AM118" s="1124">
        <f t="shared" si="115"/>
        <v>0</v>
      </c>
      <c r="AN118" s="1124">
        <f t="shared" si="115"/>
        <v>0</v>
      </c>
      <c r="AO118" s="1124">
        <f t="shared" si="115"/>
        <v>0</v>
      </c>
      <c r="AP118" s="1124">
        <f t="shared" si="115"/>
        <v>0</v>
      </c>
      <c r="AQ118" s="1124">
        <f t="shared" si="115"/>
        <v>0</v>
      </c>
      <c r="AR118" s="1124">
        <f t="shared" si="115"/>
        <v>0</v>
      </c>
      <c r="AS118" s="1124">
        <f t="shared" si="115"/>
        <v>0</v>
      </c>
      <c r="AT118" s="42"/>
      <c r="AU118" s="78">
        <f>+Base!E118</f>
        <v>0</v>
      </c>
      <c r="AV118" s="81">
        <f t="shared" si="105"/>
        <v>0</v>
      </c>
      <c r="AW118" s="65"/>
      <c r="AX118" s="49"/>
      <c r="AY118" s="49"/>
      <c r="AZ118" s="42"/>
      <c r="BA118" s="49"/>
      <c r="BB118" s="49"/>
      <c r="BC118" s="39"/>
      <c r="BD118" s="39"/>
      <c r="BE118" s="39"/>
      <c r="BF118" s="49"/>
      <c r="BG118" s="49"/>
      <c r="BH118" s="49"/>
      <c r="BI118" s="49"/>
      <c r="BJ118" s="39"/>
      <c r="BK118" s="49"/>
      <c r="BL118" s="39"/>
      <c r="BM118" s="39"/>
      <c r="BN118" s="49"/>
      <c r="BO118" s="49"/>
      <c r="BP118" s="49"/>
      <c r="BQ118" s="49"/>
      <c r="BR118" s="49"/>
      <c r="BS118" s="49"/>
      <c r="BT118" s="49"/>
      <c r="BU118" s="49"/>
      <c r="BV118" s="49"/>
      <c r="BW118" s="49"/>
      <c r="BX118" s="49"/>
      <c r="BY118" s="49"/>
      <c r="BZ118" s="49"/>
      <c r="CA118" s="44"/>
      <c r="CB118" s="49"/>
      <c r="CC118" s="49"/>
      <c r="CD118" s="49"/>
      <c r="CE118" s="49"/>
      <c r="CF118" s="49"/>
      <c r="CG118" s="49"/>
      <c r="CH118" s="49"/>
      <c r="CI118" s="49"/>
      <c r="CJ118" s="49"/>
      <c r="CK118" s="49"/>
      <c r="CL118" s="49"/>
      <c r="CM118" s="49"/>
      <c r="CN118" s="49"/>
    </row>
    <row r="119" spans="1:92" ht="7.95" customHeight="1">
      <c r="A119" s="1425"/>
      <c r="B119" s="369"/>
      <c r="C119" s="36"/>
      <c r="D119" s="256"/>
      <c r="E119" s="65"/>
      <c r="F119" s="73"/>
      <c r="G119" s="73"/>
      <c r="H119" s="73"/>
      <c r="I119" s="73"/>
      <c r="J119" s="73"/>
      <c r="K119" s="73"/>
      <c r="L119" s="73"/>
      <c r="M119" s="73"/>
      <c r="N119" s="73"/>
      <c r="O119" s="73"/>
      <c r="P119" s="73"/>
      <c r="Q119" s="73"/>
      <c r="R119" s="73"/>
      <c r="S119" s="73"/>
      <c r="T119" s="73"/>
      <c r="U119" s="73"/>
      <c r="V119" s="73"/>
      <c r="W119" s="73"/>
      <c r="X119" s="73"/>
      <c r="Y119" s="73"/>
      <c r="Z119" s="73"/>
      <c r="AA119" s="73"/>
      <c r="AB119" s="73"/>
      <c r="AC119" s="73"/>
      <c r="AD119" s="73"/>
      <c r="AE119" s="73"/>
      <c r="AF119" s="73"/>
      <c r="AG119" s="73"/>
      <c r="AH119" s="73"/>
      <c r="AI119" s="73"/>
      <c r="AJ119" s="73"/>
      <c r="AK119" s="73"/>
      <c r="AL119" s="73"/>
      <c r="AM119" s="73"/>
      <c r="AN119" s="73"/>
      <c r="AO119" s="73"/>
      <c r="AP119" s="73"/>
      <c r="AQ119" s="73"/>
      <c r="AR119" s="73"/>
      <c r="AS119" s="73"/>
      <c r="AT119" s="42"/>
      <c r="AU119" s="78"/>
      <c r="AV119" s="81"/>
      <c r="AW119" s="65"/>
      <c r="AX119" s="49"/>
      <c r="AY119" s="49"/>
      <c r="AZ119" s="42"/>
      <c r="BA119" s="49"/>
      <c r="BB119" s="49"/>
      <c r="BC119" s="39"/>
      <c r="BD119" s="39"/>
      <c r="BE119" s="39"/>
      <c r="BF119" s="49"/>
      <c r="BG119" s="49"/>
      <c r="BH119" s="49"/>
      <c r="BI119" s="49"/>
      <c r="BJ119" s="39"/>
      <c r="BK119" s="49"/>
      <c r="BL119" s="39"/>
      <c r="BM119" s="39"/>
      <c r="BN119" s="49"/>
      <c r="BO119" s="49"/>
      <c r="BP119" s="49"/>
      <c r="BQ119" s="49"/>
      <c r="BR119" s="49"/>
      <c r="BS119" s="49"/>
      <c r="BT119" s="49"/>
      <c r="BU119" s="49"/>
      <c r="BV119" s="49"/>
      <c r="BW119" s="49"/>
      <c r="BX119" s="49"/>
      <c r="BY119" s="49"/>
      <c r="BZ119" s="49"/>
      <c r="CA119" s="44"/>
      <c r="CB119" s="49"/>
      <c r="CC119" s="49"/>
      <c r="CD119" s="49"/>
      <c r="CE119" s="49"/>
      <c r="CF119" s="49"/>
      <c r="CG119" s="49"/>
      <c r="CH119" s="49"/>
      <c r="CI119" s="49"/>
      <c r="CJ119" s="49"/>
      <c r="CK119" s="49"/>
      <c r="CL119" s="49"/>
      <c r="CM119" s="49"/>
      <c r="CN119" s="49"/>
    </row>
    <row r="120" spans="1:92" ht="16.2" customHeight="1">
      <c r="A120" s="1425"/>
      <c r="B120" s="1007" t="s">
        <v>2302</v>
      </c>
      <c r="C120" s="1763" t="s">
        <v>2268</v>
      </c>
      <c r="D120" s="1759">
        <f>Roth1_Esc</f>
        <v>0.1</v>
      </c>
      <c r="E120" s="65">
        <f>SUM(F120:AS120)</f>
        <v>4600</v>
      </c>
      <c r="F120" s="1305">
        <f>ROUND(IF(Roth1_Start=F$4,Roth1_Add,0)/Round_To,0)*Round_To</f>
        <v>1000</v>
      </c>
      <c r="G120" s="1124">
        <f t="shared" ref="G120:AS120" si="116">ROUND(IF(AND(F120&gt;0,OR(Roth1_End&gt;=G$4,Roth1_End&gt;="")),F120*(1+Roth1_Esc),IF(Roth1_Start=G$4,Roth1_Add,0))/Round_To,0)*Round_To*G$264</f>
        <v>1100</v>
      </c>
      <c r="H120" s="1124">
        <f t="shared" si="116"/>
        <v>1200</v>
      </c>
      <c r="I120" s="1124">
        <f t="shared" si="116"/>
        <v>1300</v>
      </c>
      <c r="J120" s="1124">
        <f t="shared" si="116"/>
        <v>0</v>
      </c>
      <c r="K120" s="1124">
        <f t="shared" si="116"/>
        <v>0</v>
      </c>
      <c r="L120" s="1124">
        <f t="shared" si="116"/>
        <v>0</v>
      </c>
      <c r="M120" s="1124">
        <f t="shared" si="116"/>
        <v>0</v>
      </c>
      <c r="N120" s="1124">
        <f t="shared" si="116"/>
        <v>0</v>
      </c>
      <c r="O120" s="1124">
        <f t="shared" si="116"/>
        <v>0</v>
      </c>
      <c r="P120" s="1124">
        <f t="shared" si="116"/>
        <v>0</v>
      </c>
      <c r="Q120" s="1124">
        <f t="shared" si="116"/>
        <v>0</v>
      </c>
      <c r="R120" s="1124">
        <f t="shared" si="116"/>
        <v>0</v>
      </c>
      <c r="S120" s="1124">
        <f t="shared" si="116"/>
        <v>0</v>
      </c>
      <c r="T120" s="1124">
        <f t="shared" si="116"/>
        <v>0</v>
      </c>
      <c r="U120" s="1124">
        <f t="shared" si="116"/>
        <v>0</v>
      </c>
      <c r="V120" s="1124">
        <f t="shared" si="116"/>
        <v>0</v>
      </c>
      <c r="W120" s="1124">
        <f t="shared" si="116"/>
        <v>0</v>
      </c>
      <c r="X120" s="1124">
        <f t="shared" si="116"/>
        <v>0</v>
      </c>
      <c r="Y120" s="1124">
        <f t="shared" si="116"/>
        <v>0</v>
      </c>
      <c r="Z120" s="1124">
        <f t="shared" si="116"/>
        <v>0</v>
      </c>
      <c r="AA120" s="1124">
        <f t="shared" si="116"/>
        <v>0</v>
      </c>
      <c r="AB120" s="1124">
        <f t="shared" si="116"/>
        <v>0</v>
      </c>
      <c r="AC120" s="1124">
        <f t="shared" si="116"/>
        <v>0</v>
      </c>
      <c r="AD120" s="1124">
        <f t="shared" si="116"/>
        <v>0</v>
      </c>
      <c r="AE120" s="1124">
        <f t="shared" si="116"/>
        <v>0</v>
      </c>
      <c r="AF120" s="1124">
        <f t="shared" si="116"/>
        <v>0</v>
      </c>
      <c r="AG120" s="1124">
        <f t="shared" si="116"/>
        <v>0</v>
      </c>
      <c r="AH120" s="1124">
        <f t="shared" si="116"/>
        <v>0</v>
      </c>
      <c r="AI120" s="1124">
        <f t="shared" si="116"/>
        <v>0</v>
      </c>
      <c r="AJ120" s="1124">
        <f t="shared" si="116"/>
        <v>0</v>
      </c>
      <c r="AK120" s="1124">
        <f t="shared" si="116"/>
        <v>0</v>
      </c>
      <c r="AL120" s="1124">
        <f t="shared" si="116"/>
        <v>0</v>
      </c>
      <c r="AM120" s="1124">
        <f t="shared" si="116"/>
        <v>0</v>
      </c>
      <c r="AN120" s="1124">
        <f t="shared" si="116"/>
        <v>0</v>
      </c>
      <c r="AO120" s="1124">
        <f t="shared" si="116"/>
        <v>0</v>
      </c>
      <c r="AP120" s="1124">
        <f t="shared" si="116"/>
        <v>0</v>
      </c>
      <c r="AQ120" s="1124">
        <f t="shared" si="116"/>
        <v>0</v>
      </c>
      <c r="AR120" s="1124">
        <f t="shared" si="116"/>
        <v>0</v>
      </c>
      <c r="AS120" s="1124">
        <f t="shared" si="116"/>
        <v>0</v>
      </c>
      <c r="AT120" s="42"/>
      <c r="AU120" s="439">
        <f>+Base!E120</f>
        <v>4600</v>
      </c>
      <c r="AV120" s="434">
        <f>+E120-AU120</f>
        <v>0</v>
      </c>
      <c r="AW120" s="65"/>
      <c r="AX120" s="49"/>
      <c r="AY120" s="49"/>
      <c r="AZ120" s="42"/>
      <c r="BA120" s="49"/>
      <c r="BB120" s="49"/>
      <c r="BC120" s="39"/>
      <c r="BD120" s="39"/>
      <c r="BE120" s="39"/>
      <c r="BF120" s="49"/>
      <c r="BG120" s="49"/>
      <c r="BH120" s="49"/>
      <c r="BI120" s="49"/>
      <c r="BJ120" s="39"/>
      <c r="BK120" s="49"/>
      <c r="BL120" s="39"/>
      <c r="BM120" s="39"/>
      <c r="BN120" s="49"/>
      <c r="BO120" s="49"/>
      <c r="BP120" s="49"/>
      <c r="BQ120" s="49"/>
      <c r="BR120" s="49"/>
      <c r="BS120" s="49"/>
      <c r="BT120" s="49"/>
      <c r="BU120" s="49"/>
      <c r="BV120" s="49"/>
      <c r="BW120" s="49"/>
      <c r="BX120" s="49"/>
      <c r="BY120" s="49"/>
      <c r="BZ120" s="49"/>
      <c r="CA120" s="44"/>
      <c r="CB120" s="49"/>
      <c r="CC120" s="49"/>
      <c r="CD120" s="49"/>
      <c r="CE120" s="49"/>
      <c r="CF120" s="49"/>
      <c r="CG120" s="49"/>
      <c r="CH120" s="49"/>
      <c r="CI120" s="49"/>
      <c r="CJ120" s="49"/>
      <c r="CK120" s="49"/>
      <c r="CL120" s="49"/>
      <c r="CM120" s="49"/>
      <c r="CN120" s="49"/>
    </row>
    <row r="121" spans="1:92" ht="16.2" hidden="1" customHeight="1">
      <c r="A121" s="1427" t="s">
        <v>1578</v>
      </c>
      <c r="B121" s="1007" t="s">
        <v>2094</v>
      </c>
      <c r="C121" s="1758" t="s">
        <v>2238</v>
      </c>
      <c r="D121" s="1759">
        <f>Esc_ExRoth</f>
        <v>0</v>
      </c>
      <c r="E121" s="65">
        <f t="shared" ref="E121:E127" si="117">SUM(F121:AS121)</f>
        <v>-6000</v>
      </c>
      <c r="F121" s="1625">
        <f>ROUND(IF(Start_ExRoth&lt;=F$4,-With_ExRoth,0)/Round_To,0)*Round_To</f>
        <v>0</v>
      </c>
      <c r="G121" s="1728">
        <f t="shared" ref="G121:AS121" si="118">ROUND(IF(F121&lt;0,IF(-G$357&gt;+F121*(1+Esc_ExRoth),-G$357,+F121*(1+Esc_ExRoth)),IF(Start_ExRoth&lt;=G$4,IF(-G$357&gt;-With_ExRoth,-G$357,-With_ExRoth),0))*IF(AND(End_ExRoth&lt;G$4,End_ExRoth&lt;&gt;0),0,1)/Round_To,0)*Round_To</f>
        <v>0</v>
      </c>
      <c r="H121" s="1728">
        <f t="shared" si="118"/>
        <v>0</v>
      </c>
      <c r="I121" s="1728">
        <f t="shared" si="118"/>
        <v>0</v>
      </c>
      <c r="J121" s="1728">
        <f t="shared" si="118"/>
        <v>0</v>
      </c>
      <c r="K121" s="1728">
        <f t="shared" si="118"/>
        <v>0</v>
      </c>
      <c r="L121" s="1728">
        <f t="shared" si="118"/>
        <v>0</v>
      </c>
      <c r="M121" s="1728">
        <f t="shared" si="118"/>
        <v>0</v>
      </c>
      <c r="N121" s="1728">
        <f t="shared" si="118"/>
        <v>0</v>
      </c>
      <c r="O121" s="1728">
        <f t="shared" si="118"/>
        <v>0</v>
      </c>
      <c r="P121" s="1728">
        <f t="shared" si="118"/>
        <v>0</v>
      </c>
      <c r="Q121" s="1728">
        <f t="shared" si="118"/>
        <v>0</v>
      </c>
      <c r="R121" s="1728">
        <f t="shared" si="118"/>
        <v>0</v>
      </c>
      <c r="S121" s="1728">
        <f t="shared" si="118"/>
        <v>0</v>
      </c>
      <c r="T121" s="1728">
        <f t="shared" si="118"/>
        <v>0</v>
      </c>
      <c r="U121" s="1728">
        <f t="shared" si="118"/>
        <v>0</v>
      </c>
      <c r="V121" s="1728">
        <f t="shared" si="118"/>
        <v>0</v>
      </c>
      <c r="W121" s="1728">
        <f t="shared" si="118"/>
        <v>0</v>
      </c>
      <c r="X121" s="1728">
        <f t="shared" si="118"/>
        <v>-500</v>
      </c>
      <c r="Y121" s="1728">
        <f t="shared" si="118"/>
        <v>-500</v>
      </c>
      <c r="Z121" s="1728">
        <f t="shared" si="118"/>
        <v>-500</v>
      </c>
      <c r="AA121" s="1728">
        <f t="shared" si="118"/>
        <v>-500</v>
      </c>
      <c r="AB121" s="1728">
        <f t="shared" si="118"/>
        <v>-500</v>
      </c>
      <c r="AC121" s="1728">
        <f t="shared" si="118"/>
        <v>-500</v>
      </c>
      <c r="AD121" s="1728">
        <f t="shared" si="118"/>
        <v>-500</v>
      </c>
      <c r="AE121" s="1728">
        <f t="shared" si="118"/>
        <v>-500</v>
      </c>
      <c r="AF121" s="1728">
        <f t="shared" si="118"/>
        <v>-500</v>
      </c>
      <c r="AG121" s="1728">
        <f t="shared" si="118"/>
        <v>-500</v>
      </c>
      <c r="AH121" s="1728">
        <f t="shared" si="118"/>
        <v>-500</v>
      </c>
      <c r="AI121" s="1728">
        <f t="shared" si="118"/>
        <v>-500</v>
      </c>
      <c r="AJ121" s="1728">
        <f t="shared" si="118"/>
        <v>0</v>
      </c>
      <c r="AK121" s="1728">
        <f t="shared" si="118"/>
        <v>0</v>
      </c>
      <c r="AL121" s="1728">
        <f t="shared" si="118"/>
        <v>0</v>
      </c>
      <c r="AM121" s="1728">
        <f t="shared" si="118"/>
        <v>0</v>
      </c>
      <c r="AN121" s="1728">
        <f t="shared" si="118"/>
        <v>0</v>
      </c>
      <c r="AO121" s="1728">
        <f t="shared" si="118"/>
        <v>0</v>
      </c>
      <c r="AP121" s="1728">
        <f t="shared" si="118"/>
        <v>0</v>
      </c>
      <c r="AQ121" s="1728">
        <f t="shared" si="118"/>
        <v>0</v>
      </c>
      <c r="AR121" s="1728">
        <f t="shared" si="118"/>
        <v>0</v>
      </c>
      <c r="AS121" s="1728">
        <f t="shared" si="118"/>
        <v>0</v>
      </c>
      <c r="AT121" s="42"/>
      <c r="AU121" s="439">
        <f>+Base!E121</f>
        <v>-6000</v>
      </c>
      <c r="AV121" s="434">
        <f t="shared" ref="AV121:AV127" si="119">+E121-AU121</f>
        <v>0</v>
      </c>
      <c r="AW121" s="65"/>
      <c r="AX121" s="49"/>
      <c r="AY121" s="49"/>
      <c r="AZ121" s="42"/>
      <c r="BA121" s="49"/>
      <c r="BB121" s="49"/>
      <c r="BC121" s="39"/>
      <c r="BD121" s="39"/>
      <c r="BE121" s="39"/>
      <c r="BF121" s="49"/>
      <c r="BG121" s="49"/>
      <c r="BH121" s="49"/>
      <c r="BI121" s="49"/>
      <c r="BJ121" s="39"/>
      <c r="BK121" s="49"/>
      <c r="BL121" s="39"/>
      <c r="BM121" s="39"/>
      <c r="BN121" s="49"/>
      <c r="BO121" s="49"/>
      <c r="BP121" s="49"/>
      <c r="BQ121" s="49"/>
      <c r="BR121" s="49"/>
      <c r="BS121" s="49"/>
      <c r="BT121" s="49"/>
      <c r="BU121" s="49"/>
      <c r="BV121" s="49"/>
      <c r="BW121" s="49"/>
      <c r="BX121" s="49"/>
      <c r="BY121" s="49"/>
      <c r="BZ121" s="49"/>
      <c r="CA121" s="44"/>
      <c r="CB121" s="49"/>
      <c r="CC121" s="49"/>
      <c r="CD121" s="49"/>
      <c r="CE121" s="49"/>
      <c r="CF121" s="49"/>
      <c r="CG121" s="49"/>
      <c r="CH121" s="49"/>
      <c r="CI121" s="49"/>
      <c r="CJ121" s="49"/>
      <c r="CK121" s="49"/>
      <c r="CL121" s="49"/>
      <c r="CM121" s="49"/>
      <c r="CN121" s="49"/>
    </row>
    <row r="122" spans="1:92" ht="16.2" hidden="1" customHeight="1">
      <c r="A122" s="1427" t="s">
        <v>1578</v>
      </c>
      <c r="B122" s="1007" t="s">
        <v>2095</v>
      </c>
      <c r="C122" s="1763" t="s">
        <v>2027</v>
      </c>
      <c r="D122" s="1759">
        <f>Esc_ExRoth1_2</f>
        <v>0</v>
      </c>
      <c r="E122" s="635">
        <f t="shared" si="117"/>
        <v>-6000</v>
      </c>
      <c r="F122" s="1626">
        <f>ROUND(IF(Start_ExRoth1_2&lt;=F$4,-With_ExRoth1_2,0)/Round_To,0)*Round_To</f>
        <v>0</v>
      </c>
      <c r="G122" s="1729">
        <f t="shared" ref="G122:AS122" si="120">ROUND(IF(F122&lt;0,IF(-G$359&gt;+F122*(1+Esc_ExRoth1_2),-G$359,+F122*(1+Esc_ExRoth1_2)),IF(Start_ExRoth1_2&lt;=G$4,IF(-G$359&gt;-With_ExRoth1_2,-G$359,-With_ExRoth1_2),0))*IF(AND(End_ExRoth1_2&lt;G$4,End_ExRoth1_2&lt;&gt;0),0,1)/Round_To,0)*Round_To</f>
        <v>0</v>
      </c>
      <c r="H122" s="1729">
        <f t="shared" si="120"/>
        <v>0</v>
      </c>
      <c r="I122" s="1729">
        <f t="shared" si="120"/>
        <v>0</v>
      </c>
      <c r="J122" s="1729">
        <f t="shared" si="120"/>
        <v>0</v>
      </c>
      <c r="K122" s="1729">
        <f t="shared" si="120"/>
        <v>0</v>
      </c>
      <c r="L122" s="1729">
        <f t="shared" si="120"/>
        <v>0</v>
      </c>
      <c r="M122" s="1729">
        <f t="shared" si="120"/>
        <v>0</v>
      </c>
      <c r="N122" s="1729">
        <f t="shared" si="120"/>
        <v>0</v>
      </c>
      <c r="O122" s="1729">
        <f t="shared" si="120"/>
        <v>0</v>
      </c>
      <c r="P122" s="1729">
        <f t="shared" si="120"/>
        <v>0</v>
      </c>
      <c r="Q122" s="1729">
        <f t="shared" si="120"/>
        <v>0</v>
      </c>
      <c r="R122" s="1729">
        <f t="shared" si="120"/>
        <v>0</v>
      </c>
      <c r="S122" s="1729">
        <f t="shared" si="120"/>
        <v>0</v>
      </c>
      <c r="T122" s="1729">
        <f t="shared" si="120"/>
        <v>0</v>
      </c>
      <c r="U122" s="1729">
        <f t="shared" si="120"/>
        <v>0</v>
      </c>
      <c r="V122" s="1729">
        <f t="shared" si="120"/>
        <v>0</v>
      </c>
      <c r="W122" s="1729">
        <f t="shared" si="120"/>
        <v>0</v>
      </c>
      <c r="X122" s="1729">
        <f t="shared" si="120"/>
        <v>-500</v>
      </c>
      <c r="Y122" s="1729">
        <f t="shared" si="120"/>
        <v>-500</v>
      </c>
      <c r="Z122" s="1729">
        <f t="shared" si="120"/>
        <v>-500</v>
      </c>
      <c r="AA122" s="1729">
        <f t="shared" si="120"/>
        <v>-500</v>
      </c>
      <c r="AB122" s="1729">
        <f t="shared" si="120"/>
        <v>-500</v>
      </c>
      <c r="AC122" s="1729">
        <f t="shared" si="120"/>
        <v>-500</v>
      </c>
      <c r="AD122" s="1729">
        <f t="shared" si="120"/>
        <v>-500</v>
      </c>
      <c r="AE122" s="1729">
        <f t="shared" si="120"/>
        <v>-500</v>
      </c>
      <c r="AF122" s="1729">
        <f t="shared" si="120"/>
        <v>-500</v>
      </c>
      <c r="AG122" s="1729">
        <f t="shared" si="120"/>
        <v>-500</v>
      </c>
      <c r="AH122" s="1729">
        <f t="shared" si="120"/>
        <v>-500</v>
      </c>
      <c r="AI122" s="1729">
        <f t="shared" si="120"/>
        <v>-500</v>
      </c>
      <c r="AJ122" s="1729">
        <f t="shared" si="120"/>
        <v>0</v>
      </c>
      <c r="AK122" s="1729">
        <f t="shared" si="120"/>
        <v>0</v>
      </c>
      <c r="AL122" s="1729">
        <f t="shared" si="120"/>
        <v>0</v>
      </c>
      <c r="AM122" s="1729">
        <f t="shared" si="120"/>
        <v>0</v>
      </c>
      <c r="AN122" s="1729">
        <f t="shared" si="120"/>
        <v>0</v>
      </c>
      <c r="AO122" s="1729">
        <f t="shared" si="120"/>
        <v>0</v>
      </c>
      <c r="AP122" s="1729">
        <f t="shared" si="120"/>
        <v>0</v>
      </c>
      <c r="AQ122" s="1729">
        <f t="shared" si="120"/>
        <v>0</v>
      </c>
      <c r="AR122" s="1729">
        <f t="shared" si="120"/>
        <v>0</v>
      </c>
      <c r="AS122" s="1729">
        <f t="shared" si="120"/>
        <v>0</v>
      </c>
      <c r="AT122" s="42"/>
      <c r="AU122" s="993">
        <f>+Base!E122</f>
        <v>-6000</v>
      </c>
      <c r="AV122" s="994">
        <f t="shared" si="119"/>
        <v>0</v>
      </c>
      <c r="AW122" s="65"/>
      <c r="AX122" s="49"/>
      <c r="AY122" s="49"/>
      <c r="AZ122" s="42"/>
      <c r="BA122" s="49"/>
      <c r="BB122" s="49"/>
      <c r="BC122" s="39"/>
      <c r="BD122" s="39"/>
      <c r="BE122" s="39"/>
      <c r="BF122" s="49"/>
      <c r="BG122" s="49"/>
      <c r="BH122" s="49"/>
      <c r="BI122" s="49"/>
      <c r="BJ122" s="39"/>
      <c r="BK122" s="49"/>
      <c r="BL122" s="39"/>
      <c r="BM122" s="39"/>
      <c r="BN122" s="49"/>
      <c r="BO122" s="49"/>
      <c r="BP122" s="49"/>
      <c r="BQ122" s="49"/>
      <c r="BR122" s="49"/>
      <c r="BS122" s="49"/>
      <c r="BT122" s="49"/>
      <c r="BU122" s="49"/>
      <c r="BV122" s="49"/>
      <c r="BW122" s="49"/>
      <c r="BX122" s="49"/>
      <c r="BY122" s="49"/>
      <c r="BZ122" s="49"/>
      <c r="CA122" s="44"/>
      <c r="CB122" s="49"/>
      <c r="CC122" s="49"/>
      <c r="CD122" s="49"/>
      <c r="CE122" s="49"/>
      <c r="CF122" s="49"/>
      <c r="CG122" s="49"/>
      <c r="CH122" s="49"/>
      <c r="CI122" s="49"/>
      <c r="CJ122" s="49"/>
      <c r="CK122" s="49"/>
      <c r="CL122" s="49"/>
      <c r="CM122" s="49"/>
      <c r="CN122" s="49"/>
    </row>
    <row r="123" spans="1:92" ht="15.75" hidden="1" customHeight="1">
      <c r="A123" s="1427" t="s">
        <v>1578</v>
      </c>
      <c r="B123" s="1007" t="s">
        <v>2096</v>
      </c>
      <c r="C123" s="1656"/>
      <c r="D123" s="1656"/>
      <c r="E123" s="65">
        <f t="shared" si="117"/>
        <v>-12000</v>
      </c>
      <c r="F123" s="1288">
        <f>+F121+F122</f>
        <v>0</v>
      </c>
      <c r="G123" s="1124">
        <f>+G121+G122</f>
        <v>0</v>
      </c>
      <c r="H123" s="1124">
        <f t="shared" ref="H123:AS123" si="121">+H121+H122</f>
        <v>0</v>
      </c>
      <c r="I123" s="1124">
        <f t="shared" si="121"/>
        <v>0</v>
      </c>
      <c r="J123" s="1124">
        <f t="shared" si="121"/>
        <v>0</v>
      </c>
      <c r="K123" s="1124">
        <f t="shared" si="121"/>
        <v>0</v>
      </c>
      <c r="L123" s="1124">
        <f t="shared" si="121"/>
        <v>0</v>
      </c>
      <c r="M123" s="1124">
        <f t="shared" si="121"/>
        <v>0</v>
      </c>
      <c r="N123" s="1124">
        <f t="shared" si="121"/>
        <v>0</v>
      </c>
      <c r="O123" s="1124">
        <f t="shared" si="121"/>
        <v>0</v>
      </c>
      <c r="P123" s="1124">
        <f t="shared" si="121"/>
        <v>0</v>
      </c>
      <c r="Q123" s="1124">
        <f t="shared" si="121"/>
        <v>0</v>
      </c>
      <c r="R123" s="1124">
        <f t="shared" si="121"/>
        <v>0</v>
      </c>
      <c r="S123" s="1124">
        <f t="shared" si="121"/>
        <v>0</v>
      </c>
      <c r="T123" s="1124">
        <f t="shared" si="121"/>
        <v>0</v>
      </c>
      <c r="U123" s="1124">
        <f t="shared" si="121"/>
        <v>0</v>
      </c>
      <c r="V123" s="1124">
        <f t="shared" si="121"/>
        <v>0</v>
      </c>
      <c r="W123" s="1124">
        <f t="shared" si="121"/>
        <v>0</v>
      </c>
      <c r="X123" s="1124">
        <f t="shared" si="121"/>
        <v>-1000</v>
      </c>
      <c r="Y123" s="1124">
        <f t="shared" si="121"/>
        <v>-1000</v>
      </c>
      <c r="Z123" s="1124">
        <f t="shared" si="121"/>
        <v>-1000</v>
      </c>
      <c r="AA123" s="1124">
        <f t="shared" si="121"/>
        <v>-1000</v>
      </c>
      <c r="AB123" s="1124">
        <f t="shared" si="121"/>
        <v>-1000</v>
      </c>
      <c r="AC123" s="1124">
        <f t="shared" si="121"/>
        <v>-1000</v>
      </c>
      <c r="AD123" s="1124">
        <f t="shared" si="121"/>
        <v>-1000</v>
      </c>
      <c r="AE123" s="1124">
        <f t="shared" si="121"/>
        <v>-1000</v>
      </c>
      <c r="AF123" s="1124">
        <f t="shared" si="121"/>
        <v>-1000</v>
      </c>
      <c r="AG123" s="1124">
        <f t="shared" si="121"/>
        <v>-1000</v>
      </c>
      <c r="AH123" s="1124">
        <f t="shared" si="121"/>
        <v>-1000</v>
      </c>
      <c r="AI123" s="1124">
        <f t="shared" si="121"/>
        <v>-1000</v>
      </c>
      <c r="AJ123" s="1124">
        <f t="shared" si="121"/>
        <v>0</v>
      </c>
      <c r="AK123" s="1124">
        <f t="shared" si="121"/>
        <v>0</v>
      </c>
      <c r="AL123" s="1124">
        <f t="shared" si="121"/>
        <v>0</v>
      </c>
      <c r="AM123" s="1124">
        <f t="shared" si="121"/>
        <v>0</v>
      </c>
      <c r="AN123" s="1124">
        <f t="shared" si="121"/>
        <v>0</v>
      </c>
      <c r="AO123" s="1124">
        <f t="shared" si="121"/>
        <v>0</v>
      </c>
      <c r="AP123" s="1124">
        <f t="shared" si="121"/>
        <v>0</v>
      </c>
      <c r="AQ123" s="1124">
        <f t="shared" si="121"/>
        <v>0</v>
      </c>
      <c r="AR123" s="1124">
        <f t="shared" si="121"/>
        <v>0</v>
      </c>
      <c r="AS123" s="1124">
        <f t="shared" si="121"/>
        <v>0</v>
      </c>
      <c r="AT123" s="42"/>
      <c r="AU123" s="439">
        <f>+Base!E123</f>
        <v>-12000</v>
      </c>
      <c r="AV123" s="434">
        <f t="shared" si="119"/>
        <v>0</v>
      </c>
      <c r="AW123" s="65"/>
      <c r="AX123" s="49"/>
      <c r="AY123" s="49"/>
      <c r="AZ123" s="42"/>
      <c r="BA123" s="49"/>
      <c r="BB123" s="49"/>
      <c r="BC123" s="39"/>
      <c r="BD123" s="39"/>
      <c r="BE123" s="39"/>
      <c r="BF123" s="49"/>
      <c r="BG123" s="49"/>
      <c r="BH123" s="49"/>
      <c r="BI123" s="49"/>
      <c r="BJ123" s="39"/>
      <c r="BK123" s="49"/>
      <c r="BL123" s="39"/>
      <c r="BM123" s="39"/>
      <c r="BN123" s="49"/>
      <c r="BO123" s="49"/>
      <c r="BP123" s="49"/>
      <c r="BQ123" s="49"/>
      <c r="BR123" s="49"/>
      <c r="BS123" s="49"/>
      <c r="BT123" s="49"/>
      <c r="BU123" s="49"/>
      <c r="BV123" s="49"/>
      <c r="BW123" s="49"/>
      <c r="BX123" s="49"/>
      <c r="BY123" s="49"/>
      <c r="BZ123" s="49"/>
      <c r="CA123" s="44"/>
      <c r="CB123" s="49"/>
      <c r="CC123" s="49"/>
      <c r="CD123" s="49"/>
      <c r="CE123" s="49"/>
      <c r="CF123" s="49"/>
      <c r="CG123" s="49"/>
      <c r="CH123" s="49"/>
      <c r="CI123" s="49"/>
      <c r="CJ123" s="49"/>
      <c r="CK123" s="49"/>
      <c r="CL123" s="49"/>
      <c r="CM123" s="49"/>
      <c r="CN123" s="49"/>
    </row>
    <row r="124" spans="1:92" ht="15.75" hidden="1" customHeight="1">
      <c r="A124" s="1427" t="s">
        <v>1578</v>
      </c>
      <c r="B124" s="1007" t="s">
        <v>2135</v>
      </c>
      <c r="C124" s="1656"/>
      <c r="D124" s="1759">
        <f>Esc_ExRoth2</f>
        <v>0.1</v>
      </c>
      <c r="E124" s="635">
        <f t="shared" si="117"/>
        <v>-38800</v>
      </c>
      <c r="F124" s="1289">
        <f>ROUND(IF(Start_ExRoth2&lt;=F$4,-With_ExRoth2,0)/Round_To,0)*Round_To</f>
        <v>0</v>
      </c>
      <c r="G124" s="1125">
        <f t="shared" ref="G124:AS124" si="122">ROUND(IF(F124&lt;0,IF(-G$367&gt;+F124*(1+Esc_ExRoth2),-G$367,+F124*(1+Esc_ExRoth2)),IF(Start_ExRoth2&lt;=G$4,IF(-G$367&gt;-With_ExRoth2,-G$367,-With_ExRoth2),0))*IF(AND(End_ExRoth2&lt;G$4,End_ExRoth2&lt;&gt;0),0,1)/Round_To,0)*Round_To</f>
        <v>0</v>
      </c>
      <c r="H124" s="1125">
        <f t="shared" si="122"/>
        <v>0</v>
      </c>
      <c r="I124" s="1125">
        <f t="shared" si="122"/>
        <v>0</v>
      </c>
      <c r="J124" s="1125">
        <f t="shared" si="122"/>
        <v>0</v>
      </c>
      <c r="K124" s="1125">
        <f t="shared" si="122"/>
        <v>0</v>
      </c>
      <c r="L124" s="1125">
        <f t="shared" si="122"/>
        <v>0</v>
      </c>
      <c r="M124" s="1125">
        <f t="shared" si="122"/>
        <v>0</v>
      </c>
      <c r="N124" s="1125">
        <f t="shared" si="122"/>
        <v>-5000</v>
      </c>
      <c r="O124" s="1125">
        <f t="shared" si="122"/>
        <v>-5500</v>
      </c>
      <c r="P124" s="1125">
        <f t="shared" si="122"/>
        <v>-6100</v>
      </c>
      <c r="Q124" s="1125">
        <f t="shared" si="122"/>
        <v>-6700</v>
      </c>
      <c r="R124" s="1125">
        <f t="shared" si="122"/>
        <v>-7400</v>
      </c>
      <c r="S124" s="1125">
        <f t="shared" si="122"/>
        <v>-8100</v>
      </c>
      <c r="T124" s="1125">
        <f t="shared" si="122"/>
        <v>0</v>
      </c>
      <c r="U124" s="1125">
        <f t="shared" si="122"/>
        <v>0</v>
      </c>
      <c r="V124" s="1125">
        <f t="shared" si="122"/>
        <v>0</v>
      </c>
      <c r="W124" s="1125">
        <f t="shared" si="122"/>
        <v>0</v>
      </c>
      <c r="X124" s="1125">
        <f t="shared" si="122"/>
        <v>0</v>
      </c>
      <c r="Y124" s="1125">
        <f t="shared" si="122"/>
        <v>0</v>
      </c>
      <c r="Z124" s="1125">
        <f t="shared" si="122"/>
        <v>0</v>
      </c>
      <c r="AA124" s="1125">
        <f t="shared" si="122"/>
        <v>0</v>
      </c>
      <c r="AB124" s="1125">
        <f t="shared" si="122"/>
        <v>0</v>
      </c>
      <c r="AC124" s="1125">
        <f t="shared" si="122"/>
        <v>0</v>
      </c>
      <c r="AD124" s="1125">
        <f t="shared" si="122"/>
        <v>0</v>
      </c>
      <c r="AE124" s="1125">
        <f t="shared" si="122"/>
        <v>0</v>
      </c>
      <c r="AF124" s="1125">
        <f t="shared" si="122"/>
        <v>0</v>
      </c>
      <c r="AG124" s="1125">
        <f t="shared" si="122"/>
        <v>0</v>
      </c>
      <c r="AH124" s="1125">
        <f t="shared" si="122"/>
        <v>0</v>
      </c>
      <c r="AI124" s="1125">
        <f t="shared" si="122"/>
        <v>0</v>
      </c>
      <c r="AJ124" s="1125">
        <f t="shared" si="122"/>
        <v>0</v>
      </c>
      <c r="AK124" s="1125">
        <f t="shared" si="122"/>
        <v>0</v>
      </c>
      <c r="AL124" s="1125">
        <f t="shared" si="122"/>
        <v>0</v>
      </c>
      <c r="AM124" s="1125">
        <f t="shared" si="122"/>
        <v>0</v>
      </c>
      <c r="AN124" s="1125">
        <f t="shared" si="122"/>
        <v>0</v>
      </c>
      <c r="AO124" s="1125">
        <f t="shared" si="122"/>
        <v>0</v>
      </c>
      <c r="AP124" s="1125">
        <f t="shared" si="122"/>
        <v>0</v>
      </c>
      <c r="AQ124" s="1125">
        <f t="shared" si="122"/>
        <v>0</v>
      </c>
      <c r="AR124" s="1125">
        <f t="shared" si="122"/>
        <v>0</v>
      </c>
      <c r="AS124" s="1125">
        <f t="shared" si="122"/>
        <v>0</v>
      </c>
      <c r="AT124" s="42"/>
      <c r="AU124" s="993">
        <f>+Base!E124</f>
        <v>-38800</v>
      </c>
      <c r="AV124" s="994">
        <f t="shared" si="119"/>
        <v>0</v>
      </c>
      <c r="AW124" s="65"/>
      <c r="AX124" s="49"/>
      <c r="AY124" s="49"/>
      <c r="AZ124" s="42"/>
      <c r="BA124" s="49"/>
      <c r="BB124" s="49"/>
      <c r="BC124" s="39"/>
      <c r="BD124" s="39"/>
      <c r="BE124" s="39"/>
      <c r="BF124" s="49"/>
      <c r="BG124" s="49"/>
      <c r="BH124" s="49"/>
      <c r="BI124" s="49"/>
      <c r="BJ124" s="39"/>
      <c r="BK124" s="49"/>
      <c r="BL124" s="39"/>
      <c r="BM124" s="39"/>
      <c r="BN124" s="49"/>
      <c r="BO124" s="49"/>
      <c r="BP124" s="49"/>
      <c r="BQ124" s="49"/>
      <c r="BR124" s="49"/>
      <c r="BS124" s="49"/>
      <c r="BT124" s="49"/>
      <c r="BU124" s="49"/>
      <c r="BV124" s="49"/>
      <c r="BW124" s="49"/>
      <c r="BX124" s="49"/>
      <c r="BY124" s="49"/>
      <c r="BZ124" s="49"/>
      <c r="CA124" s="44"/>
      <c r="CB124" s="49"/>
      <c r="CC124" s="49"/>
      <c r="CD124" s="49"/>
      <c r="CE124" s="49"/>
      <c r="CF124" s="49"/>
      <c r="CG124" s="49"/>
      <c r="CH124" s="49"/>
      <c r="CI124" s="49"/>
      <c r="CJ124" s="49"/>
      <c r="CK124" s="49"/>
      <c r="CL124" s="49"/>
      <c r="CM124" s="49"/>
      <c r="CN124" s="49"/>
    </row>
    <row r="125" spans="1:92" s="3" customFormat="1">
      <c r="A125" s="1430"/>
      <c r="B125" s="1007" t="s">
        <v>1441</v>
      </c>
      <c r="C125" s="1760"/>
      <c r="D125" s="615"/>
      <c r="E125" s="65">
        <f t="shared" si="117"/>
        <v>-50800</v>
      </c>
      <c r="F125" s="65">
        <f>+F123+F124</f>
        <v>0</v>
      </c>
      <c r="G125" s="1124">
        <f t="shared" ref="G125:AS125" si="123">+G123+G124</f>
        <v>0</v>
      </c>
      <c r="H125" s="1124">
        <f t="shared" si="123"/>
        <v>0</v>
      </c>
      <c r="I125" s="1124">
        <f t="shared" si="123"/>
        <v>0</v>
      </c>
      <c r="J125" s="1124">
        <f t="shared" si="123"/>
        <v>0</v>
      </c>
      <c r="K125" s="1124">
        <f t="shared" si="123"/>
        <v>0</v>
      </c>
      <c r="L125" s="1124">
        <f t="shared" si="123"/>
        <v>0</v>
      </c>
      <c r="M125" s="1124">
        <f t="shared" si="123"/>
        <v>0</v>
      </c>
      <c r="N125" s="1124">
        <f t="shared" si="123"/>
        <v>-5000</v>
      </c>
      <c r="O125" s="1124">
        <f t="shared" si="123"/>
        <v>-5500</v>
      </c>
      <c r="P125" s="1124">
        <f t="shared" si="123"/>
        <v>-6100</v>
      </c>
      <c r="Q125" s="1124">
        <f t="shared" si="123"/>
        <v>-6700</v>
      </c>
      <c r="R125" s="1124">
        <f t="shared" si="123"/>
        <v>-7400</v>
      </c>
      <c r="S125" s="1124">
        <f t="shared" si="123"/>
        <v>-8100</v>
      </c>
      <c r="T125" s="1124">
        <f t="shared" si="123"/>
        <v>0</v>
      </c>
      <c r="U125" s="1124">
        <f t="shared" si="123"/>
        <v>0</v>
      </c>
      <c r="V125" s="1124">
        <f t="shared" si="123"/>
        <v>0</v>
      </c>
      <c r="W125" s="1124">
        <f t="shared" si="123"/>
        <v>0</v>
      </c>
      <c r="X125" s="1124">
        <f t="shared" si="123"/>
        <v>-1000</v>
      </c>
      <c r="Y125" s="1124">
        <f t="shared" si="123"/>
        <v>-1000</v>
      </c>
      <c r="Z125" s="1124">
        <f t="shared" si="123"/>
        <v>-1000</v>
      </c>
      <c r="AA125" s="1124">
        <f t="shared" si="123"/>
        <v>-1000</v>
      </c>
      <c r="AB125" s="1124">
        <f t="shared" si="123"/>
        <v>-1000</v>
      </c>
      <c r="AC125" s="1124">
        <f t="shared" si="123"/>
        <v>-1000</v>
      </c>
      <c r="AD125" s="1124">
        <f t="shared" si="123"/>
        <v>-1000</v>
      </c>
      <c r="AE125" s="1124">
        <f t="shared" si="123"/>
        <v>-1000</v>
      </c>
      <c r="AF125" s="1124">
        <f t="shared" si="123"/>
        <v>-1000</v>
      </c>
      <c r="AG125" s="1124">
        <f t="shared" si="123"/>
        <v>-1000</v>
      </c>
      <c r="AH125" s="1124">
        <f t="shared" si="123"/>
        <v>-1000</v>
      </c>
      <c r="AI125" s="1124">
        <f t="shared" si="123"/>
        <v>-1000</v>
      </c>
      <c r="AJ125" s="1124">
        <f t="shared" si="123"/>
        <v>0</v>
      </c>
      <c r="AK125" s="1124">
        <f t="shared" si="123"/>
        <v>0</v>
      </c>
      <c r="AL125" s="1124">
        <f t="shared" si="123"/>
        <v>0</v>
      </c>
      <c r="AM125" s="1124">
        <f t="shared" si="123"/>
        <v>0</v>
      </c>
      <c r="AN125" s="1124">
        <f t="shared" si="123"/>
        <v>0</v>
      </c>
      <c r="AO125" s="1124">
        <f t="shared" si="123"/>
        <v>0</v>
      </c>
      <c r="AP125" s="1124">
        <f t="shared" si="123"/>
        <v>0</v>
      </c>
      <c r="AQ125" s="1124">
        <f t="shared" si="123"/>
        <v>0</v>
      </c>
      <c r="AR125" s="1124">
        <f t="shared" si="123"/>
        <v>0</v>
      </c>
      <c r="AS125" s="1124">
        <f t="shared" si="123"/>
        <v>0</v>
      </c>
      <c r="AT125" s="42"/>
      <c r="AU125" s="439">
        <f>+Base!E125</f>
        <v>-50800</v>
      </c>
      <c r="AV125" s="434">
        <f t="shared" si="119"/>
        <v>0</v>
      </c>
      <c r="AW125" s="65"/>
      <c r="AX125" s="42"/>
      <c r="AY125" s="42"/>
      <c r="AZ125" s="42"/>
      <c r="BA125" s="42"/>
      <c r="BB125" s="42"/>
      <c r="BC125" s="440"/>
      <c r="BD125" s="440"/>
      <c r="BE125" s="440"/>
      <c r="BF125" s="42"/>
      <c r="BG125" s="42"/>
      <c r="BH125" s="42"/>
      <c r="BI125" s="42"/>
      <c r="BJ125" s="440"/>
      <c r="BK125" s="42"/>
      <c r="BL125" s="440"/>
      <c r="BM125" s="440"/>
      <c r="BN125" s="42"/>
      <c r="BO125" s="42"/>
      <c r="BP125" s="42"/>
      <c r="BQ125" s="42"/>
      <c r="BR125" s="42"/>
      <c r="BS125" s="42"/>
      <c r="BT125" s="42"/>
      <c r="BU125" s="42"/>
      <c r="BV125" s="42"/>
      <c r="BW125" s="42"/>
      <c r="BX125" s="42"/>
      <c r="BY125" s="42"/>
      <c r="BZ125" s="42"/>
      <c r="CA125" s="328"/>
      <c r="CB125" s="42"/>
      <c r="CC125" s="42"/>
      <c r="CD125" s="42"/>
      <c r="CE125" s="42"/>
      <c r="CF125" s="42"/>
      <c r="CG125" s="42"/>
      <c r="CH125" s="42"/>
      <c r="CI125" s="42"/>
      <c r="CJ125" s="42"/>
      <c r="CK125" s="42"/>
      <c r="CL125" s="42"/>
      <c r="CM125" s="42"/>
      <c r="CN125" s="42"/>
    </row>
    <row r="126" spans="1:92">
      <c r="A126" s="1425"/>
      <c r="B126" s="1028" t="s">
        <v>1442</v>
      </c>
      <c r="C126" s="1761"/>
      <c r="D126" s="1762"/>
      <c r="E126" s="65">
        <f t="shared" si="117"/>
        <v>0</v>
      </c>
      <c r="F126" s="73">
        <f t="shared" ref="F126:AS126" si="124">ROUND(IF(F8-Taxable_Min+F303-F95-F103-F118&lt;0,IF(F362&gt;0,IF(F8-Taxable_Min+F303-F95-F103-F118&lt;-F362,-F362,F8-Taxable_Min+F303-F95-F103-F118),0),0)/Round_To,0)*Round_To*IF(Automate="y",1,0)</f>
        <v>0</v>
      </c>
      <c r="G126" s="1124">
        <f t="shared" si="124"/>
        <v>0</v>
      </c>
      <c r="H126" s="1124">
        <f t="shared" si="124"/>
        <v>0</v>
      </c>
      <c r="I126" s="1124">
        <f t="shared" si="124"/>
        <v>0</v>
      </c>
      <c r="J126" s="1124">
        <f t="shared" si="124"/>
        <v>0</v>
      </c>
      <c r="K126" s="1124">
        <f t="shared" si="124"/>
        <v>0</v>
      </c>
      <c r="L126" s="1124">
        <f t="shared" si="124"/>
        <v>0</v>
      </c>
      <c r="M126" s="1124">
        <f t="shared" si="124"/>
        <v>0</v>
      </c>
      <c r="N126" s="1124">
        <f t="shared" si="124"/>
        <v>0</v>
      </c>
      <c r="O126" s="1124">
        <f t="shared" si="124"/>
        <v>0</v>
      </c>
      <c r="P126" s="1124">
        <f t="shared" si="124"/>
        <v>0</v>
      </c>
      <c r="Q126" s="1124">
        <f t="shared" si="124"/>
        <v>0</v>
      </c>
      <c r="R126" s="1124">
        <f t="shared" si="124"/>
        <v>0</v>
      </c>
      <c r="S126" s="1124">
        <f t="shared" si="124"/>
        <v>0</v>
      </c>
      <c r="T126" s="1124">
        <f t="shared" si="124"/>
        <v>0</v>
      </c>
      <c r="U126" s="1124">
        <f t="shared" si="124"/>
        <v>0</v>
      </c>
      <c r="V126" s="1124">
        <f t="shared" si="124"/>
        <v>0</v>
      </c>
      <c r="W126" s="1124">
        <f t="shared" si="124"/>
        <v>0</v>
      </c>
      <c r="X126" s="1124">
        <f t="shared" si="124"/>
        <v>0</v>
      </c>
      <c r="Y126" s="1124">
        <f t="shared" si="124"/>
        <v>0</v>
      </c>
      <c r="Z126" s="1124">
        <f t="shared" si="124"/>
        <v>0</v>
      </c>
      <c r="AA126" s="1124">
        <f t="shared" si="124"/>
        <v>0</v>
      </c>
      <c r="AB126" s="1124">
        <f t="shared" si="124"/>
        <v>0</v>
      </c>
      <c r="AC126" s="1124">
        <f t="shared" si="124"/>
        <v>0</v>
      </c>
      <c r="AD126" s="1124">
        <f t="shared" si="124"/>
        <v>0</v>
      </c>
      <c r="AE126" s="1124">
        <f t="shared" si="124"/>
        <v>0</v>
      </c>
      <c r="AF126" s="1124">
        <f t="shared" si="124"/>
        <v>0</v>
      </c>
      <c r="AG126" s="1124">
        <f t="shared" si="124"/>
        <v>0</v>
      </c>
      <c r="AH126" s="1124">
        <f t="shared" si="124"/>
        <v>0</v>
      </c>
      <c r="AI126" s="1124">
        <f t="shared" si="124"/>
        <v>0</v>
      </c>
      <c r="AJ126" s="1124">
        <f t="shared" si="124"/>
        <v>0</v>
      </c>
      <c r="AK126" s="1124">
        <f t="shared" si="124"/>
        <v>0</v>
      </c>
      <c r="AL126" s="1124">
        <f t="shared" si="124"/>
        <v>0</v>
      </c>
      <c r="AM126" s="1124">
        <f t="shared" si="124"/>
        <v>0</v>
      </c>
      <c r="AN126" s="1124">
        <f t="shared" si="124"/>
        <v>0</v>
      </c>
      <c r="AO126" s="1124">
        <f t="shared" si="124"/>
        <v>0</v>
      </c>
      <c r="AP126" s="1124">
        <f t="shared" si="124"/>
        <v>0</v>
      </c>
      <c r="AQ126" s="1124">
        <f t="shared" si="124"/>
        <v>0</v>
      </c>
      <c r="AR126" s="1124">
        <f t="shared" si="124"/>
        <v>0</v>
      </c>
      <c r="AS126" s="1124">
        <f t="shared" si="124"/>
        <v>0</v>
      </c>
      <c r="AT126" s="42"/>
      <c r="AU126" s="78">
        <f>+Base!E126</f>
        <v>0</v>
      </c>
      <c r="AV126" s="81">
        <f t="shared" si="119"/>
        <v>0</v>
      </c>
      <c r="AW126" s="65"/>
      <c r="AX126" s="49"/>
      <c r="AY126" s="49"/>
      <c r="AZ126" s="42"/>
      <c r="BA126" s="49"/>
      <c r="BB126" s="49"/>
      <c r="BC126" s="39"/>
      <c r="BD126" s="39"/>
      <c r="BE126" s="39"/>
      <c r="BF126" s="49"/>
      <c r="BG126" s="49"/>
      <c r="BH126" s="49"/>
      <c r="BI126" s="49"/>
      <c r="BJ126" s="39"/>
      <c r="BK126" s="49"/>
      <c r="BL126" s="39"/>
      <c r="BM126" s="39"/>
      <c r="BN126" s="49"/>
      <c r="BO126" s="49"/>
      <c r="BP126" s="49"/>
      <c r="BQ126" s="49"/>
      <c r="BR126" s="49"/>
      <c r="BS126" s="49"/>
      <c r="BT126" s="49"/>
      <c r="BU126" s="49"/>
      <c r="BV126" s="49"/>
      <c r="BW126" s="49"/>
      <c r="BX126" s="49"/>
      <c r="BY126" s="49"/>
      <c r="BZ126" s="49"/>
      <c r="CA126" s="44"/>
      <c r="CB126" s="49"/>
      <c r="CC126" s="49"/>
      <c r="CD126" s="49"/>
      <c r="CE126" s="49"/>
      <c r="CF126" s="49"/>
      <c r="CG126" s="49"/>
      <c r="CH126" s="49"/>
      <c r="CI126" s="49"/>
      <c r="CJ126" s="49"/>
      <c r="CK126" s="49"/>
      <c r="CL126" s="49"/>
      <c r="CM126" s="49"/>
      <c r="CN126" s="49"/>
    </row>
    <row r="127" spans="1:92">
      <c r="A127" s="1425"/>
      <c r="B127" s="1028" t="s">
        <v>1443</v>
      </c>
      <c r="C127" s="1761"/>
      <c r="D127" s="1762"/>
      <c r="E127" s="65">
        <f t="shared" si="117"/>
        <v>0</v>
      </c>
      <c r="F127" s="102">
        <f t="shared" ref="F127:AS127" si="125">IF(SPIA_From="r",IF(SPIA_Age=F$4,-SPIA_Amt,0),0)*IF(SPIA_Amt&gt;F15,0,1)</f>
        <v>0</v>
      </c>
      <c r="G127" s="1124">
        <f t="shared" si="125"/>
        <v>0</v>
      </c>
      <c r="H127" s="1124">
        <f t="shared" si="125"/>
        <v>0</v>
      </c>
      <c r="I127" s="1124">
        <f t="shared" si="125"/>
        <v>0</v>
      </c>
      <c r="J127" s="1124">
        <f t="shared" si="125"/>
        <v>0</v>
      </c>
      <c r="K127" s="1124">
        <f t="shared" si="125"/>
        <v>0</v>
      </c>
      <c r="L127" s="1124">
        <f t="shared" si="125"/>
        <v>0</v>
      </c>
      <c r="M127" s="1124">
        <f t="shared" si="125"/>
        <v>0</v>
      </c>
      <c r="N127" s="1124">
        <f t="shared" si="125"/>
        <v>0</v>
      </c>
      <c r="O127" s="1124">
        <f t="shared" si="125"/>
        <v>0</v>
      </c>
      <c r="P127" s="1124">
        <f t="shared" si="125"/>
        <v>0</v>
      </c>
      <c r="Q127" s="1124">
        <f t="shared" si="125"/>
        <v>0</v>
      </c>
      <c r="R127" s="1124">
        <f t="shared" si="125"/>
        <v>0</v>
      </c>
      <c r="S127" s="1124">
        <f t="shared" si="125"/>
        <v>0</v>
      </c>
      <c r="T127" s="1124">
        <f t="shared" si="125"/>
        <v>0</v>
      </c>
      <c r="U127" s="1124">
        <f t="shared" si="125"/>
        <v>0</v>
      </c>
      <c r="V127" s="1124">
        <f t="shared" si="125"/>
        <v>0</v>
      </c>
      <c r="W127" s="1124">
        <f t="shared" si="125"/>
        <v>0</v>
      </c>
      <c r="X127" s="1124">
        <f t="shared" si="125"/>
        <v>0</v>
      </c>
      <c r="Y127" s="1124">
        <f t="shared" si="125"/>
        <v>0</v>
      </c>
      <c r="Z127" s="1124">
        <f t="shared" si="125"/>
        <v>0</v>
      </c>
      <c r="AA127" s="1124">
        <f t="shared" si="125"/>
        <v>0</v>
      </c>
      <c r="AB127" s="1124">
        <f t="shared" si="125"/>
        <v>0</v>
      </c>
      <c r="AC127" s="1124">
        <f t="shared" si="125"/>
        <v>0</v>
      </c>
      <c r="AD127" s="1124">
        <f t="shared" si="125"/>
        <v>0</v>
      </c>
      <c r="AE127" s="1124">
        <f t="shared" si="125"/>
        <v>0</v>
      </c>
      <c r="AF127" s="1124">
        <f t="shared" si="125"/>
        <v>0</v>
      </c>
      <c r="AG127" s="1124">
        <f t="shared" si="125"/>
        <v>0</v>
      </c>
      <c r="AH127" s="1124">
        <f t="shared" si="125"/>
        <v>0</v>
      </c>
      <c r="AI127" s="1124">
        <f t="shared" si="125"/>
        <v>0</v>
      </c>
      <c r="AJ127" s="1124">
        <f t="shared" si="125"/>
        <v>0</v>
      </c>
      <c r="AK127" s="1124">
        <f t="shared" si="125"/>
        <v>0</v>
      </c>
      <c r="AL127" s="1124">
        <f t="shared" si="125"/>
        <v>0</v>
      </c>
      <c r="AM127" s="1124">
        <f t="shared" si="125"/>
        <v>0</v>
      </c>
      <c r="AN127" s="1124">
        <f t="shared" si="125"/>
        <v>0</v>
      </c>
      <c r="AO127" s="1124">
        <f t="shared" si="125"/>
        <v>0</v>
      </c>
      <c r="AP127" s="1124">
        <f t="shared" si="125"/>
        <v>0</v>
      </c>
      <c r="AQ127" s="1124">
        <f t="shared" si="125"/>
        <v>0</v>
      </c>
      <c r="AR127" s="1124">
        <f t="shared" si="125"/>
        <v>0</v>
      </c>
      <c r="AS127" s="1124">
        <f t="shared" si="125"/>
        <v>0</v>
      </c>
      <c r="AT127" s="42"/>
      <c r="AU127" s="78">
        <f>+Base!E127</f>
        <v>0</v>
      </c>
      <c r="AV127" s="81">
        <f t="shared" si="119"/>
        <v>0</v>
      </c>
      <c r="AW127" s="65"/>
      <c r="AX127" s="49"/>
      <c r="AY127" s="49"/>
      <c r="AZ127" s="42"/>
      <c r="BA127" s="49"/>
      <c r="BB127" s="49"/>
      <c r="BC127" s="39"/>
      <c r="BD127" s="39"/>
      <c r="BE127" s="39"/>
      <c r="BF127" s="49"/>
      <c r="BG127" s="49"/>
      <c r="BH127" s="49"/>
      <c r="BI127" s="49"/>
      <c r="BJ127" s="39"/>
      <c r="BK127" s="49"/>
      <c r="BL127" s="39"/>
      <c r="BM127" s="39"/>
      <c r="BN127" s="49"/>
      <c r="BO127" s="49"/>
      <c r="BP127" s="49"/>
      <c r="BQ127" s="49"/>
      <c r="BR127" s="49"/>
      <c r="BS127" s="49"/>
      <c r="BT127" s="49"/>
      <c r="BU127" s="49"/>
      <c r="BV127" s="49"/>
      <c r="BW127" s="49"/>
      <c r="BX127" s="49"/>
      <c r="BY127" s="49"/>
      <c r="BZ127" s="49"/>
      <c r="CA127" s="44"/>
      <c r="CB127" s="49"/>
      <c r="CC127" s="49"/>
      <c r="CD127" s="49"/>
      <c r="CE127" s="49"/>
      <c r="CF127" s="49"/>
      <c r="CG127" s="49"/>
      <c r="CH127" s="49"/>
      <c r="CI127" s="49"/>
      <c r="CJ127" s="49"/>
      <c r="CK127" s="49"/>
      <c r="CL127" s="49"/>
      <c r="CM127" s="49"/>
      <c r="CN127" s="49"/>
    </row>
    <row r="128" spans="1:92" s="3" customFormat="1" hidden="1">
      <c r="A128" s="1427" t="s">
        <v>1578</v>
      </c>
      <c r="B128" s="452" t="s">
        <v>1380</v>
      </c>
      <c r="C128" s="1175"/>
      <c r="D128" s="615"/>
      <c r="E128" s="65">
        <f t="shared" si="80"/>
        <v>274000</v>
      </c>
      <c r="F128" s="1305">
        <f>ROUND(IF(F313&gt;0,F385,0)/Round_To,0)*Round_To</f>
        <v>43000</v>
      </c>
      <c r="G128" s="1124">
        <f t="shared" ref="G128:AS128" si="126">ROUND(IF(G385=0,0,IF(G385&gt;G313,G313,G385))/Round_To,0)*Round_To</f>
        <v>29000</v>
      </c>
      <c r="H128" s="1124">
        <f t="shared" si="126"/>
        <v>45000</v>
      </c>
      <c r="I128" s="1124">
        <f t="shared" si="126"/>
        <v>40000</v>
      </c>
      <c r="J128" s="1124">
        <f t="shared" si="126"/>
        <v>48000</v>
      </c>
      <c r="K128" s="1124">
        <f t="shared" si="126"/>
        <v>30000</v>
      </c>
      <c r="L128" s="1124">
        <f t="shared" si="126"/>
        <v>32000</v>
      </c>
      <c r="M128" s="1124">
        <f t="shared" si="126"/>
        <v>7000</v>
      </c>
      <c r="N128" s="1124">
        <f t="shared" si="126"/>
        <v>0</v>
      </c>
      <c r="O128" s="1124">
        <f t="shared" si="126"/>
        <v>0</v>
      </c>
      <c r="P128" s="1124">
        <f t="shared" si="126"/>
        <v>0</v>
      </c>
      <c r="Q128" s="1124">
        <f t="shared" si="126"/>
        <v>0</v>
      </c>
      <c r="R128" s="1124">
        <f t="shared" si="126"/>
        <v>0</v>
      </c>
      <c r="S128" s="1124">
        <f t="shared" si="126"/>
        <v>0</v>
      </c>
      <c r="T128" s="1124">
        <f t="shared" si="126"/>
        <v>0</v>
      </c>
      <c r="U128" s="1124">
        <f t="shared" si="126"/>
        <v>0</v>
      </c>
      <c r="V128" s="1124">
        <f t="shared" si="126"/>
        <v>0</v>
      </c>
      <c r="W128" s="1124">
        <f t="shared" si="126"/>
        <v>0</v>
      </c>
      <c r="X128" s="1124">
        <f t="shared" si="126"/>
        <v>0</v>
      </c>
      <c r="Y128" s="1124">
        <f t="shared" si="126"/>
        <v>0</v>
      </c>
      <c r="Z128" s="1124">
        <f t="shared" si="126"/>
        <v>0</v>
      </c>
      <c r="AA128" s="1124">
        <f t="shared" si="126"/>
        <v>0</v>
      </c>
      <c r="AB128" s="1124">
        <f t="shared" si="126"/>
        <v>0</v>
      </c>
      <c r="AC128" s="1124">
        <f t="shared" si="126"/>
        <v>0</v>
      </c>
      <c r="AD128" s="1124">
        <f t="shared" si="126"/>
        <v>0</v>
      </c>
      <c r="AE128" s="1124">
        <f t="shared" si="126"/>
        <v>0</v>
      </c>
      <c r="AF128" s="1124">
        <f t="shared" si="126"/>
        <v>0</v>
      </c>
      <c r="AG128" s="1124">
        <f t="shared" si="126"/>
        <v>0</v>
      </c>
      <c r="AH128" s="1124">
        <f t="shared" si="126"/>
        <v>0</v>
      </c>
      <c r="AI128" s="1124">
        <f t="shared" si="126"/>
        <v>0</v>
      </c>
      <c r="AJ128" s="1124">
        <f t="shared" si="126"/>
        <v>0</v>
      </c>
      <c r="AK128" s="1124">
        <f t="shared" si="126"/>
        <v>0</v>
      </c>
      <c r="AL128" s="1124">
        <f t="shared" si="126"/>
        <v>0</v>
      </c>
      <c r="AM128" s="1124">
        <f t="shared" si="126"/>
        <v>0</v>
      </c>
      <c r="AN128" s="1124">
        <f t="shared" si="126"/>
        <v>0</v>
      </c>
      <c r="AO128" s="1124">
        <f t="shared" si="126"/>
        <v>0</v>
      </c>
      <c r="AP128" s="1124">
        <f t="shared" si="126"/>
        <v>0</v>
      </c>
      <c r="AQ128" s="1124">
        <f t="shared" si="126"/>
        <v>0</v>
      </c>
      <c r="AR128" s="1124">
        <f t="shared" si="126"/>
        <v>0</v>
      </c>
      <c r="AS128" s="1124">
        <f t="shared" si="126"/>
        <v>0</v>
      </c>
      <c r="AT128" s="42"/>
      <c r="AU128" s="439">
        <f>+Base!E128</f>
        <v>0</v>
      </c>
      <c r="AV128" s="434">
        <f t="shared" ref="AV128:AV134" si="127">+E128-AU128</f>
        <v>274000</v>
      </c>
      <c r="AW128" s="65"/>
      <c r="AX128" s="42"/>
      <c r="AY128" s="42"/>
      <c r="AZ128" s="42"/>
      <c r="BA128" s="42"/>
      <c r="BB128" s="42"/>
      <c r="BC128" s="440"/>
      <c r="BD128" s="440"/>
      <c r="BE128" s="440"/>
      <c r="BF128" s="42"/>
      <c r="BG128" s="42"/>
      <c r="BH128" s="42"/>
      <c r="BI128" s="42"/>
      <c r="BJ128" s="440"/>
      <c r="BK128" s="42"/>
      <c r="BL128" s="440"/>
      <c r="BM128" s="440"/>
      <c r="BN128" s="42"/>
      <c r="BO128" s="42"/>
      <c r="BP128" s="42"/>
      <c r="BQ128" s="42"/>
      <c r="BR128" s="42"/>
      <c r="BS128" s="42"/>
      <c r="BT128" s="42"/>
      <c r="BU128" s="42"/>
      <c r="BV128" s="42"/>
      <c r="BW128" s="42"/>
      <c r="BX128" s="42"/>
      <c r="BY128" s="42"/>
      <c r="BZ128" s="42"/>
      <c r="CA128" s="328"/>
      <c r="CB128" s="42"/>
      <c r="CC128" s="42"/>
      <c r="CD128" s="42"/>
      <c r="CE128" s="42"/>
      <c r="CF128" s="42"/>
      <c r="CG128" s="42"/>
      <c r="CH128" s="42"/>
      <c r="CI128" s="42"/>
      <c r="CJ128" s="42"/>
      <c r="CK128" s="42"/>
      <c r="CL128" s="42"/>
      <c r="CM128" s="42"/>
      <c r="CN128" s="42"/>
    </row>
    <row r="129" spans="1:92" s="3" customFormat="1" hidden="1">
      <c r="A129" s="1427" t="s">
        <v>1578</v>
      </c>
      <c r="B129" s="382" t="s">
        <v>1381</v>
      </c>
      <c r="C129" s="1175"/>
      <c r="D129" s="615"/>
      <c r="E129" s="191">
        <f t="shared" si="80"/>
        <v>0</v>
      </c>
      <c r="F129" s="191">
        <f t="shared" ref="F129:AS129" si="128">IF(F386=0,0,ROUND(IF(F377&lt;F386,-F377,-F386)/Round_To,0)*Round_To)</f>
        <v>0</v>
      </c>
      <c r="G129" s="1124">
        <f t="shared" si="128"/>
        <v>0</v>
      </c>
      <c r="H129" s="1124">
        <f t="shared" si="128"/>
        <v>0</v>
      </c>
      <c r="I129" s="1124">
        <f t="shared" si="128"/>
        <v>0</v>
      </c>
      <c r="J129" s="1124">
        <f t="shared" si="128"/>
        <v>0</v>
      </c>
      <c r="K129" s="1124">
        <f t="shared" si="128"/>
        <v>0</v>
      </c>
      <c r="L129" s="1124">
        <f t="shared" si="128"/>
        <v>0</v>
      </c>
      <c r="M129" s="1124">
        <f t="shared" si="128"/>
        <v>0</v>
      </c>
      <c r="N129" s="1124">
        <f t="shared" si="128"/>
        <v>0</v>
      </c>
      <c r="O129" s="1124">
        <f t="shared" si="128"/>
        <v>0</v>
      </c>
      <c r="P129" s="1124">
        <f t="shared" si="128"/>
        <v>0</v>
      </c>
      <c r="Q129" s="1124">
        <f t="shared" si="128"/>
        <v>0</v>
      </c>
      <c r="R129" s="1124">
        <f t="shared" si="128"/>
        <v>0</v>
      </c>
      <c r="S129" s="1124">
        <f t="shared" si="128"/>
        <v>0</v>
      </c>
      <c r="T129" s="1124">
        <f t="shared" si="128"/>
        <v>0</v>
      </c>
      <c r="U129" s="1124">
        <f t="shared" si="128"/>
        <v>0</v>
      </c>
      <c r="V129" s="1124">
        <f t="shared" si="128"/>
        <v>0</v>
      </c>
      <c r="W129" s="1124">
        <f t="shared" si="128"/>
        <v>0</v>
      </c>
      <c r="X129" s="1124">
        <f t="shared" si="128"/>
        <v>0</v>
      </c>
      <c r="Y129" s="1124">
        <f t="shared" si="128"/>
        <v>0</v>
      </c>
      <c r="Z129" s="1124">
        <f t="shared" si="128"/>
        <v>0</v>
      </c>
      <c r="AA129" s="1124">
        <f t="shared" si="128"/>
        <v>0</v>
      </c>
      <c r="AB129" s="1124">
        <f t="shared" si="128"/>
        <v>0</v>
      </c>
      <c r="AC129" s="1124">
        <f t="shared" si="128"/>
        <v>0</v>
      </c>
      <c r="AD129" s="1124">
        <f t="shared" si="128"/>
        <v>0</v>
      </c>
      <c r="AE129" s="1124">
        <f t="shared" si="128"/>
        <v>0</v>
      </c>
      <c r="AF129" s="1124">
        <f t="shared" si="128"/>
        <v>0</v>
      </c>
      <c r="AG129" s="1124">
        <f t="shared" si="128"/>
        <v>0</v>
      </c>
      <c r="AH129" s="1124">
        <f t="shared" si="128"/>
        <v>0</v>
      </c>
      <c r="AI129" s="1124">
        <f t="shared" si="128"/>
        <v>0</v>
      </c>
      <c r="AJ129" s="1124">
        <f t="shared" si="128"/>
        <v>0</v>
      </c>
      <c r="AK129" s="1124">
        <f t="shared" si="128"/>
        <v>0</v>
      </c>
      <c r="AL129" s="1124">
        <f t="shared" si="128"/>
        <v>0</v>
      </c>
      <c r="AM129" s="1124">
        <f t="shared" si="128"/>
        <v>0</v>
      </c>
      <c r="AN129" s="1124">
        <f t="shared" si="128"/>
        <v>0</v>
      </c>
      <c r="AO129" s="1124">
        <f t="shared" si="128"/>
        <v>0</v>
      </c>
      <c r="AP129" s="1124">
        <f t="shared" si="128"/>
        <v>0</v>
      </c>
      <c r="AQ129" s="1124">
        <f t="shared" si="128"/>
        <v>0</v>
      </c>
      <c r="AR129" s="1124">
        <f t="shared" si="128"/>
        <v>0</v>
      </c>
      <c r="AS129" s="1124">
        <f t="shared" si="128"/>
        <v>0</v>
      </c>
      <c r="AT129" s="42"/>
      <c r="AU129" s="439">
        <f>+Base!E129</f>
        <v>0</v>
      </c>
      <c r="AV129" s="434">
        <f t="shared" si="127"/>
        <v>0</v>
      </c>
      <c r="AW129" s="191"/>
      <c r="AX129" s="42"/>
      <c r="AY129" s="42"/>
      <c r="AZ129" s="42"/>
      <c r="BA129" s="42"/>
      <c r="BB129" s="42"/>
      <c r="BC129" s="440"/>
      <c r="BD129" s="440"/>
      <c r="BE129" s="440"/>
      <c r="BF129" s="42"/>
      <c r="BG129" s="42"/>
      <c r="BH129" s="42"/>
      <c r="BI129" s="42"/>
      <c r="BJ129" s="440"/>
      <c r="BK129" s="42"/>
      <c r="BL129" s="440"/>
      <c r="BM129" s="440"/>
      <c r="BN129" s="42"/>
      <c r="BO129" s="42"/>
      <c r="BP129" s="42"/>
      <c r="BQ129" s="42"/>
      <c r="BR129" s="42"/>
      <c r="BS129" s="42"/>
      <c r="BT129" s="42"/>
      <c r="BU129" s="42"/>
      <c r="BV129" s="42"/>
      <c r="BW129" s="42"/>
      <c r="BX129" s="42"/>
      <c r="BY129" s="42"/>
      <c r="BZ129" s="42"/>
      <c r="CA129" s="328"/>
      <c r="CB129" s="42"/>
      <c r="CC129" s="42"/>
      <c r="CD129" s="42"/>
      <c r="CE129" s="42"/>
      <c r="CF129" s="42"/>
      <c r="CG129" s="42"/>
      <c r="CH129" s="42"/>
      <c r="CI129" s="42"/>
      <c r="CJ129" s="42"/>
      <c r="CK129" s="42"/>
      <c r="CL129" s="42"/>
      <c r="CM129" s="42"/>
      <c r="CN129" s="42"/>
    </row>
    <row r="130" spans="1:92" hidden="1">
      <c r="A130" s="1427" t="s">
        <v>1578</v>
      </c>
      <c r="B130" s="374" t="s">
        <v>1312</v>
      </c>
      <c r="C130" s="1749" t="str">
        <f>"age " &amp; Roth_Start &amp; " to " &amp; Roth_End</f>
        <v>age 62 to 70</v>
      </c>
      <c r="D130" s="1762">
        <f>+Roth_Esc</f>
        <v>9.5000000000000001E-2</v>
      </c>
      <c r="E130" s="102">
        <f t="shared" si="80"/>
        <v>200100</v>
      </c>
      <c r="F130" s="16">
        <f>ROUND(IF(F313&gt;0,IF(Roth_Start&lt;=F$4,Roth_Convert,0),0)/Round_To,0)*Round_To</f>
        <v>15000</v>
      </c>
      <c r="G130" s="1124">
        <f t="shared" ref="G130:AS130" si="129">ROUND(IF(G$4=Roth_Start,Roth_Convert,IF(G$4&lt;=Roth_End,IF(F130&gt;0,IF(F130*(1+Roth_Esc)&gt;G313,G313,F130*(1+Roth_Esc)),0)))/Round_To,0)*Round_To</f>
        <v>16400</v>
      </c>
      <c r="H130" s="1124">
        <f t="shared" si="129"/>
        <v>18000</v>
      </c>
      <c r="I130" s="1124">
        <f t="shared" si="129"/>
        <v>19700</v>
      </c>
      <c r="J130" s="1124">
        <f t="shared" si="129"/>
        <v>21600</v>
      </c>
      <c r="K130" s="1124">
        <f t="shared" si="129"/>
        <v>23700</v>
      </c>
      <c r="L130" s="1124">
        <f t="shared" si="129"/>
        <v>26000</v>
      </c>
      <c r="M130" s="1124">
        <f t="shared" si="129"/>
        <v>28500</v>
      </c>
      <c r="N130" s="1124">
        <f t="shared" si="129"/>
        <v>31200</v>
      </c>
      <c r="O130" s="1124">
        <f t="shared" si="129"/>
        <v>0</v>
      </c>
      <c r="P130" s="1124">
        <f t="shared" si="129"/>
        <v>0</v>
      </c>
      <c r="Q130" s="1124">
        <f t="shared" si="129"/>
        <v>0</v>
      </c>
      <c r="R130" s="1124">
        <f t="shared" si="129"/>
        <v>0</v>
      </c>
      <c r="S130" s="1124">
        <f t="shared" si="129"/>
        <v>0</v>
      </c>
      <c r="T130" s="1124">
        <f t="shared" si="129"/>
        <v>0</v>
      </c>
      <c r="U130" s="1124">
        <f t="shared" si="129"/>
        <v>0</v>
      </c>
      <c r="V130" s="1124">
        <f t="shared" si="129"/>
        <v>0</v>
      </c>
      <c r="W130" s="1124">
        <f t="shared" si="129"/>
        <v>0</v>
      </c>
      <c r="X130" s="1124">
        <f t="shared" si="129"/>
        <v>0</v>
      </c>
      <c r="Y130" s="1124">
        <f t="shared" si="129"/>
        <v>0</v>
      </c>
      <c r="Z130" s="1124">
        <f t="shared" si="129"/>
        <v>0</v>
      </c>
      <c r="AA130" s="1124">
        <f t="shared" si="129"/>
        <v>0</v>
      </c>
      <c r="AB130" s="1124">
        <f t="shared" si="129"/>
        <v>0</v>
      </c>
      <c r="AC130" s="1124">
        <f t="shared" si="129"/>
        <v>0</v>
      </c>
      <c r="AD130" s="1124">
        <f t="shared" si="129"/>
        <v>0</v>
      </c>
      <c r="AE130" s="1124">
        <f t="shared" si="129"/>
        <v>0</v>
      </c>
      <c r="AF130" s="1124">
        <f t="shared" si="129"/>
        <v>0</v>
      </c>
      <c r="AG130" s="1124">
        <f t="shared" si="129"/>
        <v>0</v>
      </c>
      <c r="AH130" s="1124">
        <f t="shared" si="129"/>
        <v>0</v>
      </c>
      <c r="AI130" s="1124">
        <f t="shared" si="129"/>
        <v>0</v>
      </c>
      <c r="AJ130" s="1124">
        <f t="shared" si="129"/>
        <v>0</v>
      </c>
      <c r="AK130" s="1124">
        <f t="shared" si="129"/>
        <v>0</v>
      </c>
      <c r="AL130" s="1124">
        <f t="shared" si="129"/>
        <v>0</v>
      </c>
      <c r="AM130" s="1124">
        <f t="shared" si="129"/>
        <v>0</v>
      </c>
      <c r="AN130" s="1124">
        <f t="shared" si="129"/>
        <v>0</v>
      </c>
      <c r="AO130" s="1124">
        <f t="shared" si="129"/>
        <v>0</v>
      </c>
      <c r="AP130" s="1124">
        <f t="shared" si="129"/>
        <v>0</v>
      </c>
      <c r="AQ130" s="1124">
        <f t="shared" si="129"/>
        <v>0</v>
      </c>
      <c r="AR130" s="1124">
        <f t="shared" si="129"/>
        <v>0</v>
      </c>
      <c r="AS130" s="1124">
        <f t="shared" si="129"/>
        <v>0</v>
      </c>
      <c r="AT130" s="42"/>
      <c r="AU130" s="78">
        <f>+Base!E130</f>
        <v>0</v>
      </c>
      <c r="AV130" s="81">
        <f t="shared" si="127"/>
        <v>200100</v>
      </c>
      <c r="AW130" s="102"/>
      <c r="AX130" s="49"/>
      <c r="AY130" s="49"/>
      <c r="AZ130" s="42"/>
      <c r="BA130" s="49"/>
      <c r="BB130" s="49"/>
      <c r="BC130" s="39"/>
      <c r="BD130" s="39"/>
      <c r="BE130" s="39"/>
      <c r="BF130" s="49"/>
      <c r="BG130" s="49"/>
      <c r="BH130" s="49"/>
      <c r="BI130" s="49"/>
      <c r="BJ130" s="39"/>
      <c r="BK130" s="49"/>
      <c r="BL130" s="39"/>
      <c r="BM130" s="39"/>
      <c r="BN130" s="49"/>
      <c r="BO130" s="49"/>
      <c r="BP130" s="49"/>
      <c r="BQ130" s="49"/>
      <c r="BR130" s="49"/>
      <c r="BS130" s="49"/>
      <c r="BT130" s="49"/>
      <c r="BU130" s="49"/>
      <c r="BV130" s="49"/>
      <c r="BW130" s="49"/>
      <c r="BX130" s="49"/>
      <c r="BY130" s="49"/>
      <c r="BZ130" s="49"/>
      <c r="CA130" s="44"/>
      <c r="CB130" s="49"/>
      <c r="CC130" s="49"/>
      <c r="CD130" s="49"/>
      <c r="CE130" s="49"/>
      <c r="CF130" s="49"/>
      <c r="CG130" s="49"/>
      <c r="CH130" s="49"/>
      <c r="CI130" s="49"/>
      <c r="CJ130" s="49"/>
      <c r="CK130" s="49"/>
      <c r="CL130" s="49"/>
      <c r="CM130" s="49"/>
      <c r="CN130" s="49"/>
    </row>
    <row r="131" spans="1:92" hidden="1">
      <c r="A131" s="1427" t="s">
        <v>1578</v>
      </c>
      <c r="B131" s="375" t="s">
        <v>1313</v>
      </c>
      <c r="C131" s="1749" t="str">
        <f>"age " &amp; Roth_W_Start &amp; " to " &amp; Roth_W_End</f>
        <v>age 75 to 76</v>
      </c>
      <c r="D131" s="1762">
        <f>+Roth_W_Esc</f>
        <v>0.5</v>
      </c>
      <c r="E131" s="102">
        <f t="shared" si="80"/>
        <v>0</v>
      </c>
      <c r="F131" s="16">
        <f>ROUND(IF(Roth_W_Start&lt;=F$4,-Roth_With,0)/Round_To,0)*Round_To</f>
        <v>0</v>
      </c>
      <c r="G131" s="1124">
        <f t="shared" ref="G131:AS131" si="130">ROUND(IF(AND(Roth_W_End&lt;G$4,Roth_W_End&lt;&gt;0),0,IF(F131&lt;0,(+F131*(1+$D131)),IF(Roth_W_Start&lt;=G$4,-Roth_With,0))*IF(G$7-$F$7&lt;=Total_Years-1,1,0)*IF(G$18-Roth_With*(1+Roth_W_Esc)^(G$4-Roth_W_Start)&lt;0,0,1)+IF(G$18&lt;-F131,-G$18,0))/Round_To,0)*Round_To</f>
        <v>0</v>
      </c>
      <c r="H131" s="1124">
        <f t="shared" si="130"/>
        <v>0</v>
      </c>
      <c r="I131" s="1124">
        <f t="shared" si="130"/>
        <v>0</v>
      </c>
      <c r="J131" s="1124">
        <f t="shared" si="130"/>
        <v>0</v>
      </c>
      <c r="K131" s="1124">
        <f t="shared" si="130"/>
        <v>0</v>
      </c>
      <c r="L131" s="1124">
        <f t="shared" si="130"/>
        <v>0</v>
      </c>
      <c r="M131" s="1124">
        <f t="shared" si="130"/>
        <v>0</v>
      </c>
      <c r="N131" s="1124">
        <f t="shared" si="130"/>
        <v>0</v>
      </c>
      <c r="O131" s="1124">
        <f t="shared" si="130"/>
        <v>0</v>
      </c>
      <c r="P131" s="1124">
        <f t="shared" si="130"/>
        <v>0</v>
      </c>
      <c r="Q131" s="1124">
        <f t="shared" si="130"/>
        <v>0</v>
      </c>
      <c r="R131" s="1124">
        <f t="shared" si="130"/>
        <v>0</v>
      </c>
      <c r="S131" s="1124">
        <f t="shared" si="130"/>
        <v>0</v>
      </c>
      <c r="T131" s="1124">
        <f t="shared" si="130"/>
        <v>0</v>
      </c>
      <c r="U131" s="1124">
        <f t="shared" si="130"/>
        <v>0</v>
      </c>
      <c r="V131" s="1124">
        <f t="shared" si="130"/>
        <v>0</v>
      </c>
      <c r="W131" s="1124">
        <f t="shared" si="130"/>
        <v>0</v>
      </c>
      <c r="X131" s="1124">
        <f t="shared" si="130"/>
        <v>0</v>
      </c>
      <c r="Y131" s="1124">
        <f t="shared" si="130"/>
        <v>0</v>
      </c>
      <c r="Z131" s="1124">
        <f t="shared" si="130"/>
        <v>0</v>
      </c>
      <c r="AA131" s="1124">
        <f t="shared" si="130"/>
        <v>0</v>
      </c>
      <c r="AB131" s="1124">
        <f t="shared" si="130"/>
        <v>0</v>
      </c>
      <c r="AC131" s="1124">
        <f t="shared" si="130"/>
        <v>0</v>
      </c>
      <c r="AD131" s="1124">
        <f t="shared" si="130"/>
        <v>0</v>
      </c>
      <c r="AE131" s="1124">
        <f t="shared" si="130"/>
        <v>0</v>
      </c>
      <c r="AF131" s="1124">
        <f t="shared" si="130"/>
        <v>0</v>
      </c>
      <c r="AG131" s="1124">
        <f t="shared" si="130"/>
        <v>0</v>
      </c>
      <c r="AH131" s="1124">
        <f t="shared" si="130"/>
        <v>0</v>
      </c>
      <c r="AI131" s="1124">
        <f t="shared" si="130"/>
        <v>0</v>
      </c>
      <c r="AJ131" s="1124">
        <f t="shared" si="130"/>
        <v>0</v>
      </c>
      <c r="AK131" s="1124">
        <f t="shared" si="130"/>
        <v>0</v>
      </c>
      <c r="AL131" s="1124">
        <f t="shared" si="130"/>
        <v>0</v>
      </c>
      <c r="AM131" s="1124">
        <f t="shared" si="130"/>
        <v>0</v>
      </c>
      <c r="AN131" s="1124">
        <f t="shared" si="130"/>
        <v>0</v>
      </c>
      <c r="AO131" s="1124">
        <f t="shared" si="130"/>
        <v>0</v>
      </c>
      <c r="AP131" s="1124">
        <f t="shared" si="130"/>
        <v>0</v>
      </c>
      <c r="AQ131" s="1124">
        <f t="shared" si="130"/>
        <v>0</v>
      </c>
      <c r="AR131" s="1124">
        <f t="shared" si="130"/>
        <v>0</v>
      </c>
      <c r="AS131" s="1124">
        <f t="shared" si="130"/>
        <v>0</v>
      </c>
      <c r="AT131" s="42"/>
      <c r="AU131" s="78">
        <f>+Base!E131</f>
        <v>0</v>
      </c>
      <c r="AV131" s="81">
        <f t="shared" si="127"/>
        <v>0</v>
      </c>
      <c r="AW131" s="102"/>
      <c r="AX131" s="49"/>
      <c r="AY131" s="49"/>
      <c r="AZ131" s="42"/>
      <c r="BA131" s="49"/>
      <c r="BB131" s="49"/>
      <c r="BC131" s="39"/>
      <c r="BD131" s="39"/>
      <c r="BE131" s="39"/>
      <c r="BF131" s="49"/>
      <c r="BG131" s="49"/>
      <c r="BH131" s="49"/>
      <c r="BI131" s="49"/>
      <c r="BJ131" s="39"/>
      <c r="BK131" s="49"/>
      <c r="BL131" s="39"/>
      <c r="BM131" s="39"/>
      <c r="BN131" s="49"/>
      <c r="BO131" s="49"/>
      <c r="BP131" s="49"/>
      <c r="BQ131" s="49"/>
      <c r="BR131" s="49"/>
      <c r="BS131" s="49"/>
      <c r="BT131" s="49"/>
      <c r="BU131" s="49"/>
      <c r="BV131" s="49"/>
      <c r="BW131" s="49"/>
      <c r="BX131" s="49"/>
      <c r="BY131" s="49"/>
      <c r="BZ131" s="49"/>
      <c r="CA131" s="44"/>
      <c r="CB131" s="49"/>
      <c r="CC131" s="49"/>
      <c r="CD131" s="49"/>
      <c r="CE131" s="49"/>
      <c r="CF131" s="49"/>
      <c r="CG131" s="49"/>
      <c r="CH131" s="49"/>
      <c r="CI131" s="49"/>
      <c r="CJ131" s="49"/>
      <c r="CK131" s="49"/>
      <c r="CL131" s="49"/>
      <c r="CM131" s="49"/>
      <c r="CN131" s="49"/>
    </row>
    <row r="132" spans="1:92" ht="7.95" customHeight="1">
      <c r="A132" s="1425"/>
      <c r="B132" s="375"/>
      <c r="C132" s="1747"/>
      <c r="D132" s="1744"/>
      <c r="E132" s="102"/>
      <c r="F132" s="33"/>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42"/>
      <c r="AU132" s="78"/>
      <c r="AV132" s="81"/>
      <c r="AW132" s="102"/>
      <c r="AX132" s="49"/>
      <c r="AY132" s="49"/>
      <c r="AZ132" s="42"/>
      <c r="BA132" s="49"/>
      <c r="BB132" s="49"/>
      <c r="BC132" s="39"/>
      <c r="BD132" s="39"/>
      <c r="BE132" s="39"/>
      <c r="BF132" s="49"/>
      <c r="BG132" s="49"/>
      <c r="BH132" s="49"/>
      <c r="BI132" s="49"/>
      <c r="BJ132" s="39"/>
      <c r="BK132" s="49"/>
      <c r="BL132" s="39"/>
      <c r="BM132" s="39"/>
      <c r="BN132" s="49"/>
      <c r="BO132" s="49"/>
      <c r="BP132" s="49"/>
      <c r="BQ132" s="49"/>
      <c r="BR132" s="49"/>
      <c r="BS132" s="49"/>
      <c r="BT132" s="49"/>
      <c r="BU132" s="49"/>
      <c r="BV132" s="49"/>
      <c r="BW132" s="49"/>
      <c r="BX132" s="49"/>
      <c r="BY132" s="49"/>
      <c r="BZ132" s="49"/>
      <c r="CA132" s="44"/>
      <c r="CB132" s="49"/>
      <c r="CC132" s="49"/>
      <c r="CD132" s="49"/>
      <c r="CE132" s="49"/>
      <c r="CF132" s="49"/>
      <c r="CG132" s="49"/>
      <c r="CH132" s="49"/>
      <c r="CI132" s="49"/>
      <c r="CJ132" s="49"/>
      <c r="CK132" s="49"/>
      <c r="CL132" s="49"/>
      <c r="CM132" s="49"/>
      <c r="CN132" s="49"/>
    </row>
    <row r="133" spans="1:92" ht="15.6">
      <c r="A133" s="1425"/>
      <c r="B133" s="1029" t="s">
        <v>1285</v>
      </c>
      <c r="C133" s="1750" t="str">
        <f>"method used: " &amp; IF(Roth_Method="c","calculated amounts","yearly amounts")</f>
        <v>method used: yearly amounts</v>
      </c>
      <c r="D133" s="1744"/>
      <c r="E133" s="29">
        <f t="shared" si="80"/>
        <v>0</v>
      </c>
      <c r="F133" s="29">
        <f t="shared" ref="F133:AS133" si="131">IF(Include_Roth="y",IF(Roth_Method="e",F128,F130),0)</f>
        <v>0</v>
      </c>
      <c r="G133" s="1124">
        <f t="shared" si="131"/>
        <v>0</v>
      </c>
      <c r="H133" s="1124">
        <f t="shared" si="131"/>
        <v>0</v>
      </c>
      <c r="I133" s="1124">
        <f t="shared" si="131"/>
        <v>0</v>
      </c>
      <c r="J133" s="1124">
        <f t="shared" si="131"/>
        <v>0</v>
      </c>
      <c r="K133" s="1124">
        <f t="shared" si="131"/>
        <v>0</v>
      </c>
      <c r="L133" s="1124">
        <f t="shared" si="131"/>
        <v>0</v>
      </c>
      <c r="M133" s="1124">
        <f t="shared" si="131"/>
        <v>0</v>
      </c>
      <c r="N133" s="1124">
        <f t="shared" si="131"/>
        <v>0</v>
      </c>
      <c r="O133" s="1124">
        <f t="shared" si="131"/>
        <v>0</v>
      </c>
      <c r="P133" s="1124">
        <f t="shared" si="131"/>
        <v>0</v>
      </c>
      <c r="Q133" s="1124">
        <f t="shared" si="131"/>
        <v>0</v>
      </c>
      <c r="R133" s="1124">
        <f t="shared" si="131"/>
        <v>0</v>
      </c>
      <c r="S133" s="1124">
        <f t="shared" si="131"/>
        <v>0</v>
      </c>
      <c r="T133" s="1124">
        <f t="shared" si="131"/>
        <v>0</v>
      </c>
      <c r="U133" s="1124">
        <f t="shared" si="131"/>
        <v>0</v>
      </c>
      <c r="V133" s="1124">
        <f t="shared" si="131"/>
        <v>0</v>
      </c>
      <c r="W133" s="1124">
        <f t="shared" si="131"/>
        <v>0</v>
      </c>
      <c r="X133" s="1124">
        <f t="shared" si="131"/>
        <v>0</v>
      </c>
      <c r="Y133" s="1124">
        <f t="shared" si="131"/>
        <v>0</v>
      </c>
      <c r="Z133" s="1124">
        <f t="shared" si="131"/>
        <v>0</v>
      </c>
      <c r="AA133" s="1124">
        <f t="shared" si="131"/>
        <v>0</v>
      </c>
      <c r="AB133" s="1124">
        <f t="shared" si="131"/>
        <v>0</v>
      </c>
      <c r="AC133" s="1124">
        <f t="shared" si="131"/>
        <v>0</v>
      </c>
      <c r="AD133" s="1124">
        <f t="shared" si="131"/>
        <v>0</v>
      </c>
      <c r="AE133" s="1124">
        <f t="shared" si="131"/>
        <v>0</v>
      </c>
      <c r="AF133" s="1124">
        <f t="shared" si="131"/>
        <v>0</v>
      </c>
      <c r="AG133" s="1124">
        <f t="shared" si="131"/>
        <v>0</v>
      </c>
      <c r="AH133" s="1124">
        <f t="shared" si="131"/>
        <v>0</v>
      </c>
      <c r="AI133" s="1124">
        <f t="shared" si="131"/>
        <v>0</v>
      </c>
      <c r="AJ133" s="1124">
        <f t="shared" si="131"/>
        <v>0</v>
      </c>
      <c r="AK133" s="1124">
        <f t="shared" si="131"/>
        <v>0</v>
      </c>
      <c r="AL133" s="1124">
        <f t="shared" si="131"/>
        <v>0</v>
      </c>
      <c r="AM133" s="1124">
        <f t="shared" si="131"/>
        <v>0</v>
      </c>
      <c r="AN133" s="1124">
        <f t="shared" si="131"/>
        <v>0</v>
      </c>
      <c r="AO133" s="1124">
        <f t="shared" si="131"/>
        <v>0</v>
      </c>
      <c r="AP133" s="1124">
        <f t="shared" si="131"/>
        <v>0</v>
      </c>
      <c r="AQ133" s="1124">
        <f t="shared" si="131"/>
        <v>0</v>
      </c>
      <c r="AR133" s="1124">
        <f t="shared" si="131"/>
        <v>0</v>
      </c>
      <c r="AS133" s="1124">
        <f t="shared" si="131"/>
        <v>0</v>
      </c>
      <c r="AT133" s="42"/>
      <c r="AU133" s="78">
        <f>+Base!E133</f>
        <v>0</v>
      </c>
      <c r="AV133" s="81">
        <f t="shared" si="127"/>
        <v>0</v>
      </c>
      <c r="AW133" s="29"/>
      <c r="AX133" s="49"/>
      <c r="AY133" s="49"/>
      <c r="AZ133" s="42"/>
      <c r="BA133" s="49"/>
      <c r="BB133" s="49"/>
      <c r="BC133" s="39"/>
      <c r="BD133" s="39"/>
      <c r="BE133" s="39"/>
      <c r="BF133" s="49"/>
      <c r="BG133" s="49"/>
      <c r="BH133" s="49"/>
      <c r="BI133" s="49"/>
      <c r="BJ133" s="39"/>
      <c r="BK133" s="49"/>
      <c r="BL133" s="39"/>
      <c r="BM133" s="39"/>
      <c r="BN133" s="49"/>
      <c r="BO133" s="49"/>
      <c r="BP133" s="49"/>
      <c r="BQ133" s="49"/>
      <c r="BR133" s="49"/>
      <c r="BS133" s="49"/>
      <c r="BT133" s="49"/>
      <c r="BU133" s="49"/>
      <c r="BV133" s="49"/>
      <c r="BW133" s="49"/>
      <c r="BX133" s="49"/>
      <c r="BY133" s="49"/>
      <c r="BZ133" s="49"/>
      <c r="CA133" s="44"/>
      <c r="CB133" s="49"/>
      <c r="CC133" s="49"/>
      <c r="CD133" s="49"/>
      <c r="CE133" s="49"/>
      <c r="CF133" s="49"/>
      <c r="CG133" s="49"/>
      <c r="CH133" s="49"/>
      <c r="CI133" s="49"/>
      <c r="CJ133" s="49"/>
      <c r="CK133" s="49"/>
      <c r="CL133" s="49"/>
      <c r="CM133" s="49"/>
      <c r="CN133" s="49"/>
    </row>
    <row r="134" spans="1:92" ht="15.6">
      <c r="A134" s="1425"/>
      <c r="B134" s="375" t="s">
        <v>1283</v>
      </c>
      <c r="C134" s="331"/>
      <c r="D134" s="1744"/>
      <c r="E134" s="102">
        <f t="shared" si="80"/>
        <v>0</v>
      </c>
      <c r="F134" s="29">
        <f t="shared" ref="F134:AS134" si="132">IF(Include_Roth="y",IF(Roth_Method="e",F129,F131),0)</f>
        <v>0</v>
      </c>
      <c r="G134" s="1124">
        <f t="shared" si="132"/>
        <v>0</v>
      </c>
      <c r="H134" s="1124">
        <f t="shared" si="132"/>
        <v>0</v>
      </c>
      <c r="I134" s="1124">
        <f t="shared" si="132"/>
        <v>0</v>
      </c>
      <c r="J134" s="1124">
        <f t="shared" si="132"/>
        <v>0</v>
      </c>
      <c r="K134" s="1124">
        <f t="shared" si="132"/>
        <v>0</v>
      </c>
      <c r="L134" s="1124">
        <f t="shared" si="132"/>
        <v>0</v>
      </c>
      <c r="M134" s="1124">
        <f t="shared" si="132"/>
        <v>0</v>
      </c>
      <c r="N134" s="1124">
        <f t="shared" si="132"/>
        <v>0</v>
      </c>
      <c r="O134" s="1124">
        <f t="shared" si="132"/>
        <v>0</v>
      </c>
      <c r="P134" s="1124">
        <f t="shared" si="132"/>
        <v>0</v>
      </c>
      <c r="Q134" s="1124">
        <f t="shared" si="132"/>
        <v>0</v>
      </c>
      <c r="R134" s="1124">
        <f t="shared" si="132"/>
        <v>0</v>
      </c>
      <c r="S134" s="1124">
        <f t="shared" si="132"/>
        <v>0</v>
      </c>
      <c r="T134" s="1124">
        <f t="shared" si="132"/>
        <v>0</v>
      </c>
      <c r="U134" s="1124">
        <f t="shared" si="132"/>
        <v>0</v>
      </c>
      <c r="V134" s="1124">
        <f t="shared" si="132"/>
        <v>0</v>
      </c>
      <c r="W134" s="1124">
        <f t="shared" si="132"/>
        <v>0</v>
      </c>
      <c r="X134" s="1124">
        <f t="shared" si="132"/>
        <v>0</v>
      </c>
      <c r="Y134" s="1124">
        <f t="shared" si="132"/>
        <v>0</v>
      </c>
      <c r="Z134" s="1124">
        <f t="shared" si="132"/>
        <v>0</v>
      </c>
      <c r="AA134" s="1124">
        <f t="shared" si="132"/>
        <v>0</v>
      </c>
      <c r="AB134" s="1124">
        <f t="shared" si="132"/>
        <v>0</v>
      </c>
      <c r="AC134" s="1124">
        <f t="shared" si="132"/>
        <v>0</v>
      </c>
      <c r="AD134" s="1124">
        <f t="shared" si="132"/>
        <v>0</v>
      </c>
      <c r="AE134" s="1124">
        <f t="shared" si="132"/>
        <v>0</v>
      </c>
      <c r="AF134" s="1124">
        <f t="shared" si="132"/>
        <v>0</v>
      </c>
      <c r="AG134" s="1124">
        <f t="shared" si="132"/>
        <v>0</v>
      </c>
      <c r="AH134" s="1124">
        <f t="shared" si="132"/>
        <v>0</v>
      </c>
      <c r="AI134" s="1124">
        <f t="shared" si="132"/>
        <v>0</v>
      </c>
      <c r="AJ134" s="1124">
        <f t="shared" si="132"/>
        <v>0</v>
      </c>
      <c r="AK134" s="1124">
        <f t="shared" si="132"/>
        <v>0</v>
      </c>
      <c r="AL134" s="1124">
        <f t="shared" si="132"/>
        <v>0</v>
      </c>
      <c r="AM134" s="1124">
        <f t="shared" si="132"/>
        <v>0</v>
      </c>
      <c r="AN134" s="1124">
        <f t="shared" si="132"/>
        <v>0</v>
      </c>
      <c r="AO134" s="1124">
        <f t="shared" si="132"/>
        <v>0</v>
      </c>
      <c r="AP134" s="1124">
        <f t="shared" si="132"/>
        <v>0</v>
      </c>
      <c r="AQ134" s="1124">
        <f t="shared" si="132"/>
        <v>0</v>
      </c>
      <c r="AR134" s="1124">
        <f t="shared" si="132"/>
        <v>0</v>
      </c>
      <c r="AS134" s="1124">
        <f t="shared" si="132"/>
        <v>0</v>
      </c>
      <c r="AT134" s="111"/>
      <c r="AU134" s="78">
        <f>+Base!E134</f>
        <v>0</v>
      </c>
      <c r="AV134" s="81">
        <f t="shared" si="127"/>
        <v>0</v>
      </c>
      <c r="AW134" s="102"/>
      <c r="AX134" s="49"/>
      <c r="AY134" s="49"/>
      <c r="AZ134" s="42"/>
      <c r="BA134" s="49"/>
      <c r="BB134" s="49"/>
      <c r="BC134" s="39"/>
      <c r="BD134" s="39"/>
      <c r="BE134" s="39"/>
      <c r="BF134" s="49"/>
      <c r="BG134" s="49"/>
      <c r="BH134" s="49"/>
      <c r="BI134" s="49"/>
      <c r="BJ134" s="39"/>
      <c r="BK134" s="49"/>
      <c r="BL134" s="39"/>
      <c r="BM134" s="39"/>
      <c r="BN134" s="49"/>
      <c r="BO134" s="49"/>
      <c r="BP134" s="49"/>
      <c r="BQ134" s="49"/>
      <c r="BR134" s="49"/>
      <c r="BS134" s="49"/>
      <c r="BT134" s="49"/>
      <c r="BU134" s="49"/>
      <c r="BV134" s="49"/>
      <c r="BW134" s="49"/>
      <c r="BX134" s="49"/>
      <c r="BY134" s="49"/>
      <c r="BZ134" s="49"/>
      <c r="CA134" s="44"/>
      <c r="CB134" s="49"/>
      <c r="CC134" s="49"/>
      <c r="CD134" s="49"/>
      <c r="CE134" s="49"/>
      <c r="CF134" s="49"/>
      <c r="CG134" s="49"/>
      <c r="CH134" s="49"/>
      <c r="CI134" s="49"/>
      <c r="CJ134" s="49"/>
      <c r="CK134" s="49"/>
      <c r="CL134" s="49"/>
      <c r="CM134" s="49"/>
      <c r="CN134" s="49"/>
    </row>
    <row r="135" spans="1:92" ht="15.6">
      <c r="A135" s="1425"/>
      <c r="B135" s="372" t="s">
        <v>1284</v>
      </c>
      <c r="C135" s="331"/>
      <c r="D135" s="36"/>
      <c r="E135" s="102">
        <f t="shared" si="80"/>
        <v>0</v>
      </c>
      <c r="F135" s="29">
        <f t="shared" ref="F135:AS135" si="133">ROUND(IF(F8-Taxable_Min+F303-F95-F103-F118-F126&lt;0,IF(F381&gt;0,IF(F8-Taxable_Min+F303-F95-F103-F118-F126&lt;-F381,-F381,F8-Taxable_Min+F303-F95-F103-F118-F126),0),0)/Round_To,0)*Round_To*IF(Automate="y",1,0)</f>
        <v>0</v>
      </c>
      <c r="G135" s="1124">
        <f t="shared" si="133"/>
        <v>0</v>
      </c>
      <c r="H135" s="1124">
        <f t="shared" si="133"/>
        <v>0</v>
      </c>
      <c r="I135" s="1124">
        <f t="shared" si="133"/>
        <v>0</v>
      </c>
      <c r="J135" s="1124">
        <f t="shared" si="133"/>
        <v>0</v>
      </c>
      <c r="K135" s="1124">
        <f t="shared" si="133"/>
        <v>0</v>
      </c>
      <c r="L135" s="1124">
        <f t="shared" si="133"/>
        <v>0</v>
      </c>
      <c r="M135" s="1124">
        <f t="shared" si="133"/>
        <v>0</v>
      </c>
      <c r="N135" s="1124">
        <f t="shared" si="133"/>
        <v>0</v>
      </c>
      <c r="O135" s="1124">
        <f t="shared" si="133"/>
        <v>0</v>
      </c>
      <c r="P135" s="1124">
        <f t="shared" si="133"/>
        <v>0</v>
      </c>
      <c r="Q135" s="1124">
        <f t="shared" si="133"/>
        <v>0</v>
      </c>
      <c r="R135" s="1124">
        <f t="shared" si="133"/>
        <v>0</v>
      </c>
      <c r="S135" s="1124">
        <f t="shared" si="133"/>
        <v>0</v>
      </c>
      <c r="T135" s="1124">
        <f t="shared" si="133"/>
        <v>0</v>
      </c>
      <c r="U135" s="1124">
        <f t="shared" si="133"/>
        <v>0</v>
      </c>
      <c r="V135" s="1124">
        <f t="shared" si="133"/>
        <v>0</v>
      </c>
      <c r="W135" s="1124">
        <f t="shared" si="133"/>
        <v>0</v>
      </c>
      <c r="X135" s="1124">
        <f t="shared" si="133"/>
        <v>0</v>
      </c>
      <c r="Y135" s="1124">
        <f t="shared" si="133"/>
        <v>0</v>
      </c>
      <c r="Z135" s="1124">
        <f t="shared" si="133"/>
        <v>0</v>
      </c>
      <c r="AA135" s="1124">
        <f t="shared" si="133"/>
        <v>0</v>
      </c>
      <c r="AB135" s="1124">
        <f t="shared" si="133"/>
        <v>0</v>
      </c>
      <c r="AC135" s="1124">
        <f t="shared" si="133"/>
        <v>0</v>
      </c>
      <c r="AD135" s="1124">
        <f t="shared" si="133"/>
        <v>0</v>
      </c>
      <c r="AE135" s="1124">
        <f t="shared" si="133"/>
        <v>0</v>
      </c>
      <c r="AF135" s="1124">
        <f t="shared" si="133"/>
        <v>0</v>
      </c>
      <c r="AG135" s="1124">
        <f t="shared" si="133"/>
        <v>0</v>
      </c>
      <c r="AH135" s="1124">
        <f t="shared" si="133"/>
        <v>0</v>
      </c>
      <c r="AI135" s="1124">
        <f t="shared" si="133"/>
        <v>0</v>
      </c>
      <c r="AJ135" s="1124">
        <f t="shared" si="133"/>
        <v>0</v>
      </c>
      <c r="AK135" s="1124">
        <f t="shared" si="133"/>
        <v>0</v>
      </c>
      <c r="AL135" s="1124">
        <f t="shared" si="133"/>
        <v>0</v>
      </c>
      <c r="AM135" s="1124">
        <f t="shared" si="133"/>
        <v>0</v>
      </c>
      <c r="AN135" s="1124">
        <f t="shared" si="133"/>
        <v>0</v>
      </c>
      <c r="AO135" s="1124">
        <f t="shared" si="133"/>
        <v>0</v>
      </c>
      <c r="AP135" s="1124">
        <f t="shared" si="133"/>
        <v>0</v>
      </c>
      <c r="AQ135" s="1124">
        <f t="shared" si="133"/>
        <v>0</v>
      </c>
      <c r="AR135" s="1124">
        <f t="shared" si="133"/>
        <v>0</v>
      </c>
      <c r="AS135" s="1124">
        <f t="shared" si="133"/>
        <v>0</v>
      </c>
      <c r="AT135" s="111"/>
      <c r="AU135" s="78">
        <f>+Base!E135</f>
        <v>0</v>
      </c>
      <c r="AV135" s="81">
        <f>+E135-AU135</f>
        <v>0</v>
      </c>
      <c r="AW135" s="102"/>
      <c r="AX135" s="49"/>
      <c r="AY135" s="49"/>
      <c r="AZ135" s="42"/>
      <c r="BA135" s="49"/>
      <c r="BB135" s="49"/>
      <c r="BC135" s="39"/>
      <c r="BD135" s="39"/>
      <c r="BE135" s="39"/>
      <c r="BF135" s="49"/>
      <c r="BG135" s="49"/>
      <c r="BH135" s="49"/>
      <c r="BI135" s="49"/>
      <c r="BJ135" s="39"/>
      <c r="BK135" s="49"/>
      <c r="BL135" s="39"/>
      <c r="BM135" s="39"/>
      <c r="BN135" s="49"/>
      <c r="BO135" s="49"/>
      <c r="BP135" s="49"/>
      <c r="BQ135" s="49"/>
      <c r="BR135" s="49"/>
      <c r="BS135" s="49"/>
      <c r="BT135" s="49"/>
      <c r="BU135" s="49"/>
      <c r="BV135" s="49"/>
      <c r="BW135" s="49"/>
      <c r="BX135" s="49"/>
      <c r="BY135" s="49"/>
      <c r="BZ135" s="49"/>
      <c r="CA135" s="44"/>
      <c r="CB135" s="49"/>
      <c r="CC135" s="49"/>
      <c r="CD135" s="49"/>
      <c r="CE135" s="49"/>
      <c r="CF135" s="49"/>
      <c r="CG135" s="49"/>
      <c r="CH135" s="49"/>
      <c r="CI135" s="49"/>
      <c r="CJ135" s="49"/>
      <c r="CK135" s="49"/>
      <c r="CL135" s="49"/>
      <c r="CM135" s="49"/>
      <c r="CN135" s="49"/>
    </row>
    <row r="136" spans="1:92" ht="7.95" customHeight="1">
      <c r="A136" s="1425"/>
      <c r="B136" s="372"/>
      <c r="C136" s="331"/>
      <c r="D136" s="36"/>
      <c r="E136" s="102"/>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111"/>
      <c r="AU136" s="78"/>
      <c r="AV136" s="81"/>
      <c r="AW136" s="102"/>
      <c r="AX136" s="49"/>
      <c r="AY136" s="49"/>
      <c r="AZ136" s="42"/>
      <c r="BA136" s="49"/>
      <c r="BB136" s="49"/>
      <c r="BC136" s="39"/>
      <c r="BD136" s="39"/>
      <c r="BE136" s="39"/>
      <c r="BF136" s="49"/>
      <c r="BG136" s="49"/>
      <c r="BH136" s="49"/>
      <c r="BI136" s="49"/>
      <c r="BJ136" s="39"/>
      <c r="BK136" s="49"/>
      <c r="BL136" s="39"/>
      <c r="BM136" s="39"/>
      <c r="BN136" s="49"/>
      <c r="BO136" s="49"/>
      <c r="BP136" s="49"/>
      <c r="BQ136" s="49"/>
      <c r="BR136" s="49"/>
      <c r="BS136" s="49"/>
      <c r="BT136" s="49"/>
      <c r="BU136" s="49"/>
      <c r="BV136" s="49"/>
      <c r="BW136" s="49"/>
      <c r="BX136" s="49"/>
      <c r="BY136" s="49"/>
      <c r="BZ136" s="49"/>
      <c r="CA136" s="44"/>
      <c r="CB136" s="49"/>
      <c r="CC136" s="49"/>
      <c r="CD136" s="49"/>
      <c r="CE136" s="49"/>
      <c r="CF136" s="49"/>
      <c r="CG136" s="49"/>
      <c r="CH136" s="49"/>
      <c r="CI136" s="49"/>
      <c r="CJ136" s="49"/>
      <c r="CK136" s="49"/>
      <c r="CL136" s="49"/>
      <c r="CM136" s="49"/>
      <c r="CN136" s="49"/>
    </row>
    <row r="137" spans="1:92">
      <c r="A137" s="1425"/>
      <c r="B137" s="234" t="s">
        <v>1741</v>
      </c>
      <c r="C137" s="1751" t="str">
        <f>"QCD1: " &amp; +QCD1_Name &amp; " - QCD2: " &amp; QCD2_Name</f>
        <v>QCD1: IRA 2 - QCD2: Inhr IRA 2</v>
      </c>
      <c r="D137" s="1747"/>
      <c r="E137" s="102">
        <f t="shared" si="80"/>
        <v>-100000</v>
      </c>
      <c r="F137" s="29">
        <f t="shared" ref="F137:AS137" si="134">-ROUND((IF(OR(QCD_Age1=F$4,AND(QCD_Age1&lt;F$4,(QCD_Age1+QCD1_Cnt)&gt;F$4)),QCD_Amt1,0)+IF(OR(QCD_Age2=F$4,AND(QCD_Age2&lt;F$4,(QCD_Age2+QCD2_Cnt)&gt;F$4)),QCD_Amt2,0))*IF(Qual1="y",1,0)/Round_To,0)*Round_To</f>
        <v>0</v>
      </c>
      <c r="G137" s="1124">
        <f t="shared" si="134"/>
        <v>0</v>
      </c>
      <c r="H137" s="1124">
        <f t="shared" si="134"/>
        <v>0</v>
      </c>
      <c r="I137" s="1124">
        <f t="shared" si="134"/>
        <v>0</v>
      </c>
      <c r="J137" s="1124">
        <f t="shared" si="134"/>
        <v>0</v>
      </c>
      <c r="K137" s="1124">
        <f t="shared" si="134"/>
        <v>0</v>
      </c>
      <c r="L137" s="1124">
        <f t="shared" si="134"/>
        <v>0</v>
      </c>
      <c r="M137" s="1124">
        <f t="shared" si="134"/>
        <v>0</v>
      </c>
      <c r="N137" s="1124">
        <f t="shared" si="134"/>
        <v>0</v>
      </c>
      <c r="O137" s="1124">
        <f t="shared" si="134"/>
        <v>-15000</v>
      </c>
      <c r="P137" s="1124">
        <f t="shared" si="134"/>
        <v>-15000</v>
      </c>
      <c r="Q137" s="1124">
        <f t="shared" si="134"/>
        <v>-15000</v>
      </c>
      <c r="R137" s="1124">
        <f t="shared" si="134"/>
        <v>-15000</v>
      </c>
      <c r="S137" s="1124">
        <f t="shared" si="134"/>
        <v>-15000</v>
      </c>
      <c r="T137" s="1124">
        <f t="shared" si="134"/>
        <v>0</v>
      </c>
      <c r="U137" s="1124">
        <f t="shared" si="134"/>
        <v>0</v>
      </c>
      <c r="V137" s="1124">
        <f t="shared" si="134"/>
        <v>0</v>
      </c>
      <c r="W137" s="1124">
        <f t="shared" si="134"/>
        <v>0</v>
      </c>
      <c r="X137" s="1124">
        <f t="shared" si="134"/>
        <v>-5000</v>
      </c>
      <c r="Y137" s="1124">
        <f t="shared" si="134"/>
        <v>-5000</v>
      </c>
      <c r="Z137" s="1124">
        <f t="shared" si="134"/>
        <v>-5000</v>
      </c>
      <c r="AA137" s="1124">
        <f t="shared" si="134"/>
        <v>-5000</v>
      </c>
      <c r="AB137" s="1124">
        <f t="shared" si="134"/>
        <v>-5000</v>
      </c>
      <c r="AC137" s="1124">
        <f t="shared" si="134"/>
        <v>0</v>
      </c>
      <c r="AD137" s="1124">
        <f t="shared" si="134"/>
        <v>0</v>
      </c>
      <c r="AE137" s="1124">
        <f t="shared" si="134"/>
        <v>0</v>
      </c>
      <c r="AF137" s="1124">
        <f t="shared" si="134"/>
        <v>0</v>
      </c>
      <c r="AG137" s="1124">
        <f t="shared" si="134"/>
        <v>0</v>
      </c>
      <c r="AH137" s="1124">
        <f t="shared" si="134"/>
        <v>0</v>
      </c>
      <c r="AI137" s="1124">
        <f t="shared" si="134"/>
        <v>0</v>
      </c>
      <c r="AJ137" s="1124">
        <f t="shared" si="134"/>
        <v>0</v>
      </c>
      <c r="AK137" s="1124">
        <f t="shared" si="134"/>
        <v>0</v>
      </c>
      <c r="AL137" s="1124">
        <f t="shared" si="134"/>
        <v>0</v>
      </c>
      <c r="AM137" s="1124">
        <f t="shared" si="134"/>
        <v>0</v>
      </c>
      <c r="AN137" s="1124">
        <f t="shared" si="134"/>
        <v>0</v>
      </c>
      <c r="AO137" s="1124">
        <f t="shared" si="134"/>
        <v>0</v>
      </c>
      <c r="AP137" s="1124">
        <f t="shared" si="134"/>
        <v>0</v>
      </c>
      <c r="AQ137" s="1124">
        <f t="shared" si="134"/>
        <v>0</v>
      </c>
      <c r="AR137" s="1124">
        <f t="shared" si="134"/>
        <v>0</v>
      </c>
      <c r="AS137" s="1124">
        <f t="shared" si="134"/>
        <v>0</v>
      </c>
      <c r="AT137" s="111"/>
      <c r="AU137" s="78">
        <f>+Base!E137</f>
        <v>-100000</v>
      </c>
      <c r="AV137" s="81">
        <f>+E137-AU137</f>
        <v>0</v>
      </c>
      <c r="AW137" s="102"/>
      <c r="AX137" s="49"/>
      <c r="AY137" s="49"/>
      <c r="AZ137" s="42"/>
      <c r="BA137" s="49"/>
      <c r="BB137" s="49"/>
      <c r="BC137" s="39"/>
      <c r="BD137" s="39"/>
      <c r="BE137" s="39"/>
      <c r="BF137" s="49"/>
      <c r="BG137" s="49"/>
      <c r="BH137" s="49"/>
      <c r="BI137" s="49"/>
      <c r="BJ137" s="39"/>
      <c r="BK137" s="49"/>
      <c r="BL137" s="39"/>
      <c r="BM137" s="39"/>
      <c r="BN137" s="49"/>
      <c r="BO137" s="49"/>
      <c r="BP137" s="49"/>
      <c r="BQ137" s="49"/>
      <c r="BR137" s="49"/>
      <c r="BS137" s="49"/>
      <c r="BT137" s="49"/>
      <c r="BU137" s="49"/>
      <c r="BV137" s="49"/>
      <c r="BW137" s="49"/>
      <c r="BX137" s="49"/>
      <c r="BY137" s="49"/>
      <c r="BZ137" s="49"/>
      <c r="CA137" s="44"/>
      <c r="CB137" s="49"/>
      <c r="CC137" s="49"/>
      <c r="CD137" s="49"/>
      <c r="CE137" s="49"/>
      <c r="CF137" s="49"/>
      <c r="CG137" s="49"/>
      <c r="CH137" s="49"/>
      <c r="CI137" s="49"/>
      <c r="CJ137" s="49"/>
      <c r="CK137" s="49"/>
      <c r="CL137" s="49"/>
      <c r="CM137" s="49"/>
      <c r="CN137" s="49"/>
    </row>
    <row r="138" spans="1:92" ht="7.95" customHeight="1">
      <c r="A138" s="1425"/>
      <c r="B138" s="72"/>
      <c r="C138" s="22"/>
      <c r="D138" s="1053"/>
      <c r="E138" s="29"/>
      <c r="F138" s="152"/>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42"/>
      <c r="AU138" s="78"/>
      <c r="AV138" s="81"/>
      <c r="AW138" s="29"/>
      <c r="AX138" s="49"/>
      <c r="AY138" s="49"/>
      <c r="AZ138" s="42"/>
      <c r="BA138" s="49"/>
      <c r="BB138" s="49"/>
      <c r="BC138" s="39"/>
      <c r="BD138" s="39"/>
      <c r="BE138" s="39"/>
      <c r="BF138" s="49"/>
      <c r="BG138" s="49"/>
      <c r="BH138" s="49"/>
      <c r="BI138" s="49"/>
      <c r="BJ138" s="39"/>
      <c r="BK138" s="49"/>
      <c r="BL138" s="39"/>
      <c r="BM138" s="39"/>
      <c r="BN138" s="49"/>
      <c r="BO138" s="49"/>
      <c r="BP138" s="49"/>
      <c r="BQ138" s="49"/>
      <c r="BR138" s="49"/>
      <c r="BS138" s="49"/>
      <c r="BT138" s="49"/>
      <c r="BU138" s="49"/>
      <c r="BV138" s="49"/>
      <c r="BW138" s="49"/>
      <c r="BX138" s="49"/>
      <c r="BY138" s="49"/>
      <c r="BZ138" s="49"/>
      <c r="CA138" s="44"/>
      <c r="CB138" s="49"/>
      <c r="CC138" s="49"/>
      <c r="CD138" s="49"/>
      <c r="CE138" s="49"/>
      <c r="CF138" s="49"/>
      <c r="CG138" s="49"/>
      <c r="CH138" s="49"/>
      <c r="CI138" s="49"/>
      <c r="CJ138" s="49"/>
      <c r="CK138" s="49"/>
      <c r="CL138" s="49"/>
      <c r="CM138" s="49"/>
      <c r="CN138" s="49"/>
    </row>
    <row r="139" spans="1:92" ht="15.6">
      <c r="A139" s="1425"/>
      <c r="B139" s="426" t="s">
        <v>1826</v>
      </c>
      <c r="C139" s="426"/>
      <c r="D139" s="1054"/>
      <c r="E139" s="29">
        <f>SUM(F139:AS139)</f>
        <v>4811500</v>
      </c>
      <c r="F139" s="31">
        <f>+F28+F61+F65+F70+F77+F85-F91-F94-F95-F99-F102-F103-F112-F115-F118-F125-F126-F134-F135+F137</f>
        <v>62100</v>
      </c>
      <c r="G139" s="31">
        <f>+G28+G61+G65+G70+G77+G85-G91-G94-G95-G99-G102-G103-G112-G115-G118-G125-G126-G134-G135+G137</f>
        <v>78500</v>
      </c>
      <c r="H139" s="31">
        <f t="shared" ref="H139:AS139" si="135">+H28+H61+H65+H70+H77+H85-H91-H94-H95-H99-H102-H103-H112-H115-H118-H125-H126-H134-H135+H137</f>
        <v>64800</v>
      </c>
      <c r="I139" s="31">
        <f t="shared" si="135"/>
        <v>66100</v>
      </c>
      <c r="J139" s="31">
        <f t="shared" si="135"/>
        <v>68800</v>
      </c>
      <c r="K139" s="31">
        <f t="shared" si="135"/>
        <v>93000</v>
      </c>
      <c r="L139" s="31">
        <f t="shared" si="135"/>
        <v>96100</v>
      </c>
      <c r="M139" s="31">
        <f t="shared" si="135"/>
        <v>99300</v>
      </c>
      <c r="N139" s="31">
        <f t="shared" si="135"/>
        <v>113600</v>
      </c>
      <c r="O139" s="31">
        <f t="shared" si="135"/>
        <v>123700</v>
      </c>
      <c r="P139" s="31">
        <f t="shared" si="135"/>
        <v>46300</v>
      </c>
      <c r="Q139" s="31">
        <f t="shared" si="135"/>
        <v>170200</v>
      </c>
      <c r="R139" s="31">
        <f t="shared" si="135"/>
        <v>120100</v>
      </c>
      <c r="S139" s="31">
        <f t="shared" si="135"/>
        <v>145600</v>
      </c>
      <c r="T139" s="31">
        <f t="shared" si="135"/>
        <v>59800</v>
      </c>
      <c r="U139" s="31">
        <f t="shared" si="135"/>
        <v>230000</v>
      </c>
      <c r="V139" s="31">
        <f t="shared" si="135"/>
        <v>164400</v>
      </c>
      <c r="W139" s="31">
        <f t="shared" si="135"/>
        <v>171300</v>
      </c>
      <c r="X139" s="31">
        <f t="shared" si="135"/>
        <v>164800</v>
      </c>
      <c r="Y139" s="31">
        <f t="shared" si="135"/>
        <v>168900</v>
      </c>
      <c r="Z139" s="31">
        <f t="shared" si="135"/>
        <v>174700</v>
      </c>
      <c r="AA139" s="31">
        <f t="shared" si="135"/>
        <v>181000</v>
      </c>
      <c r="AB139" s="31">
        <f t="shared" si="135"/>
        <v>595500</v>
      </c>
      <c r="AC139" s="31">
        <f t="shared" si="135"/>
        <v>215300</v>
      </c>
      <c r="AD139" s="31">
        <f t="shared" si="135"/>
        <v>297400</v>
      </c>
      <c r="AE139" s="31">
        <f t="shared" si="135"/>
        <v>205300</v>
      </c>
      <c r="AF139" s="31">
        <f t="shared" si="135"/>
        <v>209600</v>
      </c>
      <c r="AG139" s="31">
        <f t="shared" si="135"/>
        <v>205100</v>
      </c>
      <c r="AH139" s="31">
        <f t="shared" si="135"/>
        <v>207900</v>
      </c>
      <c r="AI139" s="31">
        <f t="shared" si="135"/>
        <v>212300</v>
      </c>
      <c r="AJ139" s="31">
        <f t="shared" si="135"/>
        <v>0</v>
      </c>
      <c r="AK139" s="31">
        <f t="shared" si="135"/>
        <v>0</v>
      </c>
      <c r="AL139" s="31">
        <f t="shared" si="135"/>
        <v>0</v>
      </c>
      <c r="AM139" s="31">
        <f t="shared" si="135"/>
        <v>0</v>
      </c>
      <c r="AN139" s="31">
        <f t="shared" si="135"/>
        <v>0</v>
      </c>
      <c r="AO139" s="31">
        <f t="shared" si="135"/>
        <v>0</v>
      </c>
      <c r="AP139" s="31">
        <f t="shared" si="135"/>
        <v>0</v>
      </c>
      <c r="AQ139" s="31">
        <f t="shared" si="135"/>
        <v>0</v>
      </c>
      <c r="AR139" s="31">
        <f t="shared" si="135"/>
        <v>0</v>
      </c>
      <c r="AS139" s="31">
        <f t="shared" si="135"/>
        <v>0</v>
      </c>
      <c r="AT139" s="42"/>
      <c r="AU139" s="78">
        <f>+Base!E139</f>
        <v>4811500</v>
      </c>
      <c r="AV139" s="81">
        <f>+E139-AU139</f>
        <v>0</v>
      </c>
      <c r="AW139" s="29"/>
      <c r="AX139" s="49"/>
      <c r="AY139" s="49"/>
      <c r="AZ139" s="42"/>
      <c r="BA139" s="49"/>
      <c r="BB139" s="49"/>
      <c r="BC139" s="39"/>
      <c r="BD139" s="39"/>
      <c r="BE139" s="39"/>
      <c r="BF139" s="49"/>
      <c r="BG139" s="49"/>
      <c r="BH139" s="49"/>
      <c r="BI139" s="49"/>
      <c r="BJ139" s="39"/>
      <c r="BK139" s="49"/>
      <c r="BL139" s="39"/>
      <c r="BM139" s="39"/>
      <c r="BN139" s="49"/>
      <c r="BO139" s="49"/>
      <c r="BP139" s="49"/>
      <c r="BQ139" s="49"/>
      <c r="BR139" s="49"/>
      <c r="BS139" s="49"/>
      <c r="BT139" s="49"/>
      <c r="BU139" s="49"/>
      <c r="BV139" s="49"/>
      <c r="BW139" s="49"/>
      <c r="BX139" s="49"/>
      <c r="BY139" s="49"/>
      <c r="BZ139" s="49"/>
      <c r="CA139" s="44"/>
      <c r="CB139" s="49"/>
      <c r="CC139" s="49"/>
      <c r="CD139" s="49"/>
      <c r="CE139" s="49"/>
      <c r="CF139" s="49"/>
      <c r="CG139" s="49"/>
      <c r="CH139" s="49"/>
      <c r="CI139" s="49"/>
      <c r="CJ139" s="49"/>
      <c r="CK139" s="49"/>
      <c r="CL139" s="49"/>
      <c r="CM139" s="49"/>
      <c r="CN139" s="49"/>
    </row>
    <row r="140" spans="1:92" ht="15.6">
      <c r="A140" s="1425"/>
      <c r="B140" s="28"/>
      <c r="C140" s="31"/>
      <c r="D140" s="10"/>
      <c r="E140" s="29"/>
      <c r="F140" s="31"/>
      <c r="G140" s="31"/>
      <c r="H140" s="31"/>
      <c r="I140" s="31"/>
      <c r="J140" s="31"/>
      <c r="K140" s="31"/>
      <c r="L140" s="31"/>
      <c r="M140" s="31"/>
      <c r="N140" s="681"/>
      <c r="O140" s="681"/>
      <c r="P140" s="681"/>
      <c r="Q140" s="681"/>
      <c r="R140" s="681"/>
      <c r="S140" s="681"/>
      <c r="T140" s="681"/>
      <c r="U140" s="681"/>
      <c r="V140" s="681"/>
      <c r="W140" s="681"/>
      <c r="X140" s="681"/>
      <c r="Y140" s="681"/>
      <c r="Z140" s="681"/>
      <c r="AA140" s="681"/>
      <c r="AB140" s="681"/>
      <c r="AC140" s="681"/>
      <c r="AD140" s="681"/>
      <c r="AE140" s="681"/>
      <c r="AF140" s="31"/>
      <c r="AG140" s="31"/>
      <c r="AH140" s="31"/>
      <c r="AI140" s="31"/>
      <c r="AJ140" s="31"/>
      <c r="AK140" s="31"/>
      <c r="AL140" s="31"/>
      <c r="AM140" s="31"/>
      <c r="AN140" s="31"/>
      <c r="AO140" s="31"/>
      <c r="AP140" s="31"/>
      <c r="AQ140" s="31"/>
      <c r="AR140" s="31"/>
      <c r="AS140" s="31"/>
      <c r="AT140" s="42"/>
      <c r="AU140" s="47"/>
      <c r="AV140" s="48"/>
      <c r="AW140" s="29"/>
      <c r="AX140" s="49"/>
      <c r="AY140" s="49"/>
      <c r="AZ140" s="42"/>
      <c r="BA140" s="49"/>
      <c r="BB140" s="49"/>
      <c r="BC140" s="39"/>
      <c r="BD140" s="39"/>
      <c r="BE140" s="39"/>
      <c r="BF140" s="49"/>
      <c r="BG140" s="49"/>
      <c r="BH140" s="49"/>
      <c r="BI140" s="49"/>
      <c r="BJ140" s="39"/>
      <c r="BK140" s="49"/>
      <c r="BL140" s="39"/>
      <c r="BM140" s="39"/>
      <c r="BN140" s="49"/>
      <c r="BO140" s="49"/>
      <c r="BP140" s="49"/>
      <c r="BQ140" s="49"/>
      <c r="BR140" s="49"/>
      <c r="BS140" s="49"/>
      <c r="BT140" s="49"/>
      <c r="BU140" s="49"/>
      <c r="BV140" s="49"/>
      <c r="BW140" s="49"/>
      <c r="BX140" s="49"/>
      <c r="BY140" s="49"/>
      <c r="BZ140" s="49"/>
      <c r="CA140" s="44"/>
      <c r="CB140" s="49"/>
      <c r="CC140" s="49"/>
      <c r="CD140" s="49"/>
      <c r="CE140" s="49"/>
      <c r="CF140" s="49"/>
      <c r="CG140" s="49"/>
      <c r="CH140" s="49"/>
      <c r="CI140" s="49"/>
      <c r="CJ140" s="49"/>
      <c r="CK140" s="49"/>
      <c r="CL140" s="49"/>
      <c r="CM140" s="49"/>
      <c r="CN140" s="49"/>
    </row>
    <row r="141" spans="1:92" ht="17.399999999999999">
      <c r="A141" s="1425"/>
      <c r="B141" s="1025" t="s">
        <v>588</v>
      </c>
      <c r="C141" s="41"/>
      <c r="D141" s="10"/>
      <c r="E141" s="29"/>
      <c r="F141" s="31"/>
      <c r="G141" s="31"/>
      <c r="H141" s="31"/>
      <c r="I141" s="31"/>
      <c r="J141" s="31"/>
      <c r="K141" s="31"/>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c r="AI141" s="31"/>
      <c r="AJ141" s="31"/>
      <c r="AK141" s="31"/>
      <c r="AL141" s="31"/>
      <c r="AM141" s="31"/>
      <c r="AN141" s="31"/>
      <c r="AO141" s="31"/>
      <c r="AP141" s="31"/>
      <c r="AQ141" s="31"/>
      <c r="AR141" s="31"/>
      <c r="AS141" s="31"/>
      <c r="AT141" s="42"/>
      <c r="AU141" s="47"/>
      <c r="AV141" s="48"/>
      <c r="AW141" s="29"/>
      <c r="AX141" s="49"/>
      <c r="AY141" s="49"/>
      <c r="AZ141" s="42"/>
      <c r="BA141" s="49"/>
      <c r="BB141" s="49"/>
      <c r="BC141" s="39"/>
      <c r="BD141" s="39"/>
      <c r="BE141" s="39"/>
      <c r="BF141" s="49"/>
      <c r="BG141" s="49"/>
      <c r="BH141" s="49"/>
      <c r="BI141" s="49"/>
      <c r="BJ141" s="39"/>
      <c r="BK141" s="49"/>
      <c r="BL141" s="39"/>
      <c r="BM141" s="39"/>
      <c r="BN141" s="49"/>
      <c r="BO141" s="49"/>
      <c r="BP141" s="49"/>
      <c r="BQ141" s="49"/>
      <c r="BR141" s="49"/>
      <c r="BS141" s="49"/>
      <c r="BT141" s="49"/>
      <c r="BU141" s="49"/>
      <c r="BV141" s="49"/>
      <c r="BW141" s="49"/>
      <c r="BX141" s="49"/>
      <c r="BY141" s="49"/>
      <c r="BZ141" s="49"/>
      <c r="CA141" s="44"/>
      <c r="CB141" s="49"/>
      <c r="CC141" s="49"/>
      <c r="CD141" s="49"/>
      <c r="CE141" s="49"/>
      <c r="CF141" s="49"/>
      <c r="CG141" s="49"/>
      <c r="CH141" s="49"/>
      <c r="CI141" s="49"/>
      <c r="CJ141" s="49"/>
      <c r="CK141" s="49"/>
      <c r="CL141" s="49"/>
      <c r="CM141" s="49"/>
      <c r="CN141" s="49"/>
    </row>
    <row r="142" spans="1:92">
      <c r="A142" s="1425"/>
      <c r="B142" s="72" t="s">
        <v>1319</v>
      </c>
      <c r="C142" s="1261" t="str">
        <f>+Setup!G132</f>
        <v>increased in 2037</v>
      </c>
      <c r="D142" s="1370">
        <f>Inflation</f>
        <v>0.02</v>
      </c>
      <c r="E142" s="29">
        <f>SUM(F142:AS142)</f>
        <v>3104300</v>
      </c>
      <c r="F142" s="16">
        <f>Living_Expenses</f>
        <v>70000</v>
      </c>
      <c r="G142" s="1124">
        <f t="shared" ref="G142:AS142" si="136">ROUND(((+F142*(1+Inflation))*IF(G$4=Expense_Chg_Year,(1+Expense_Change),1))*IF(G$7-$F$7&lt;=Total_Years-1,1,0)/Round_To,0)*Round_To</f>
        <v>71400</v>
      </c>
      <c r="H142" s="1124">
        <f t="shared" si="136"/>
        <v>72800</v>
      </c>
      <c r="I142" s="1124">
        <f t="shared" si="136"/>
        <v>74300</v>
      </c>
      <c r="J142" s="1124">
        <f t="shared" si="136"/>
        <v>75800</v>
      </c>
      <c r="K142" s="1124">
        <f t="shared" si="136"/>
        <v>77300</v>
      </c>
      <c r="L142" s="1124">
        <f t="shared" si="136"/>
        <v>78800</v>
      </c>
      <c r="M142" s="1124">
        <f t="shared" si="136"/>
        <v>80400</v>
      </c>
      <c r="N142" s="1124">
        <f t="shared" si="136"/>
        <v>82000</v>
      </c>
      <c r="O142" s="1124">
        <f t="shared" si="136"/>
        <v>83600</v>
      </c>
      <c r="P142" s="1124">
        <f t="shared" si="136"/>
        <v>85300</v>
      </c>
      <c r="Q142" s="1124">
        <f t="shared" si="136"/>
        <v>87000</v>
      </c>
      <c r="R142" s="1124">
        <f t="shared" si="136"/>
        <v>88700</v>
      </c>
      <c r="S142" s="1124">
        <f t="shared" si="136"/>
        <v>90500</v>
      </c>
      <c r="T142" s="1124">
        <f t="shared" si="136"/>
        <v>92300</v>
      </c>
      <c r="U142" s="1124">
        <f t="shared" si="136"/>
        <v>94100</v>
      </c>
      <c r="V142" s="1124">
        <f t="shared" si="136"/>
        <v>96000</v>
      </c>
      <c r="W142" s="1124">
        <f t="shared" si="136"/>
        <v>97900</v>
      </c>
      <c r="X142" s="1124">
        <f t="shared" si="136"/>
        <v>119800</v>
      </c>
      <c r="Y142" s="1124">
        <f t="shared" si="136"/>
        <v>122200</v>
      </c>
      <c r="Z142" s="1124">
        <f t="shared" si="136"/>
        <v>124600</v>
      </c>
      <c r="AA142" s="1124">
        <f t="shared" si="136"/>
        <v>127100</v>
      </c>
      <c r="AB142" s="1124">
        <f t="shared" si="136"/>
        <v>129600</v>
      </c>
      <c r="AC142" s="1124">
        <f t="shared" si="136"/>
        <v>132200</v>
      </c>
      <c r="AD142" s="1124">
        <f t="shared" si="136"/>
        <v>134800</v>
      </c>
      <c r="AE142" s="1124">
        <f t="shared" si="136"/>
        <v>137500</v>
      </c>
      <c r="AF142" s="1124">
        <f t="shared" si="136"/>
        <v>140300</v>
      </c>
      <c r="AG142" s="1124">
        <f t="shared" si="136"/>
        <v>143100</v>
      </c>
      <c r="AH142" s="1124">
        <f t="shared" si="136"/>
        <v>146000</v>
      </c>
      <c r="AI142" s="1124">
        <f t="shared" si="136"/>
        <v>148900</v>
      </c>
      <c r="AJ142" s="1124">
        <f t="shared" si="136"/>
        <v>0</v>
      </c>
      <c r="AK142" s="1124">
        <f t="shared" si="136"/>
        <v>0</v>
      </c>
      <c r="AL142" s="1124">
        <f t="shared" si="136"/>
        <v>0</v>
      </c>
      <c r="AM142" s="1124">
        <f t="shared" si="136"/>
        <v>0</v>
      </c>
      <c r="AN142" s="1124">
        <f t="shared" si="136"/>
        <v>0</v>
      </c>
      <c r="AO142" s="1124">
        <f t="shared" si="136"/>
        <v>0</v>
      </c>
      <c r="AP142" s="1124">
        <f t="shared" si="136"/>
        <v>0</v>
      </c>
      <c r="AQ142" s="1124">
        <f t="shared" si="136"/>
        <v>0</v>
      </c>
      <c r="AR142" s="1124">
        <f t="shared" si="136"/>
        <v>0</v>
      </c>
      <c r="AS142" s="1124">
        <f t="shared" si="136"/>
        <v>0</v>
      </c>
      <c r="AT142" s="42"/>
      <c r="AU142" s="78">
        <f>+Base!E142</f>
        <v>3104300</v>
      </c>
      <c r="AV142" s="81">
        <f>+E142-AU142</f>
        <v>0</v>
      </c>
      <c r="AW142" s="29"/>
      <c r="AX142" s="49"/>
      <c r="AY142" s="49"/>
      <c r="AZ142" s="42"/>
      <c r="BA142" s="49"/>
      <c r="BB142" s="49"/>
      <c r="BC142" s="39"/>
      <c r="BD142" s="39"/>
      <c r="BE142" s="39"/>
      <c r="BF142" s="49"/>
      <c r="BG142" s="49"/>
      <c r="BH142" s="49"/>
      <c r="BI142" s="49"/>
      <c r="BJ142" s="39"/>
      <c r="BK142" s="49"/>
      <c r="BL142" s="39"/>
      <c r="BM142" s="39"/>
      <c r="BN142" s="49"/>
      <c r="BO142" s="49"/>
      <c r="BP142" s="49"/>
      <c r="BQ142" s="49"/>
      <c r="BR142" s="49"/>
      <c r="BS142" s="49"/>
      <c r="BT142" s="49"/>
      <c r="BU142" s="49"/>
      <c r="BV142" s="49"/>
      <c r="BW142" s="49"/>
      <c r="BX142" s="49"/>
      <c r="BY142" s="49"/>
      <c r="BZ142" s="49"/>
      <c r="CA142" s="44"/>
      <c r="CB142" s="49"/>
      <c r="CC142" s="49"/>
      <c r="CD142" s="49"/>
      <c r="CE142" s="49"/>
      <c r="CF142" s="49"/>
      <c r="CG142" s="49"/>
      <c r="CH142" s="49"/>
      <c r="CI142" s="49"/>
      <c r="CJ142" s="49"/>
      <c r="CK142" s="49"/>
      <c r="CL142" s="49"/>
      <c r="CM142" s="49"/>
      <c r="CN142" s="49"/>
    </row>
    <row r="143" spans="1:92" ht="15.6">
      <c r="A143" s="1425"/>
      <c r="B143" s="1449" t="s">
        <v>1878</v>
      </c>
      <c r="C143" s="1543"/>
      <c r="D143" s="1038" t="s">
        <v>871</v>
      </c>
      <c r="E143" s="1377">
        <f>SUM(F143:AS143)</f>
        <v>0</v>
      </c>
      <c r="F143" s="1483"/>
      <c r="G143" s="1484"/>
      <c r="H143" s="1484"/>
      <c r="I143" s="1484"/>
      <c r="J143" s="1484"/>
      <c r="K143" s="1484"/>
      <c r="L143" s="1484"/>
      <c r="M143" s="1484"/>
      <c r="N143" s="1484"/>
      <c r="O143" s="1484"/>
      <c r="P143" s="1484"/>
      <c r="Q143" s="1484"/>
      <c r="R143" s="1484"/>
      <c r="S143" s="1484"/>
      <c r="T143" s="1484"/>
      <c r="U143" s="1484"/>
      <c r="V143" s="1484"/>
      <c r="W143" s="1484"/>
      <c r="X143" s="1484"/>
      <c r="Y143" s="1484"/>
      <c r="Z143" s="1484"/>
      <c r="AA143" s="1484"/>
      <c r="AB143" s="1484"/>
      <c r="AC143" s="1484"/>
      <c r="AD143" s="1484"/>
      <c r="AE143" s="1484"/>
      <c r="AF143" s="1484"/>
      <c r="AG143" s="1484"/>
      <c r="AH143" s="1484"/>
      <c r="AI143" s="1484"/>
      <c r="AJ143" s="1484"/>
      <c r="AK143" s="1484"/>
      <c r="AL143" s="1484"/>
      <c r="AM143" s="1484"/>
      <c r="AN143" s="1484"/>
      <c r="AO143" s="1484"/>
      <c r="AP143" s="1484"/>
      <c r="AQ143" s="1484"/>
      <c r="AR143" s="1484"/>
      <c r="AS143" s="1484"/>
      <c r="AT143" s="42"/>
      <c r="AU143" s="82">
        <f>+Base!E143</f>
        <v>0</v>
      </c>
      <c r="AV143" s="83">
        <f>+E143-AU143</f>
        <v>0</v>
      </c>
      <c r="AW143" s="29"/>
      <c r="AX143" s="49"/>
      <c r="AY143" s="49"/>
      <c r="AZ143" s="42"/>
      <c r="BA143" s="49"/>
      <c r="BB143" s="49"/>
      <c r="BC143" s="39"/>
      <c r="BD143" s="39"/>
      <c r="BE143" s="39"/>
      <c r="BF143" s="49"/>
      <c r="BG143" s="49"/>
      <c r="BH143" s="49"/>
      <c r="BI143" s="49"/>
      <c r="BJ143" s="39"/>
      <c r="BK143" s="49"/>
      <c r="BL143" s="39"/>
      <c r="BM143" s="39"/>
      <c r="BN143" s="49"/>
      <c r="BO143" s="49"/>
      <c r="BP143" s="49"/>
      <c r="BQ143" s="49"/>
      <c r="BR143" s="49"/>
      <c r="BS143" s="49"/>
      <c r="BT143" s="49"/>
      <c r="BU143" s="49"/>
      <c r="BV143" s="49"/>
      <c r="BW143" s="49"/>
      <c r="BX143" s="49"/>
      <c r="BY143" s="49"/>
      <c r="BZ143" s="49"/>
      <c r="CA143" s="44"/>
      <c r="CB143" s="49"/>
      <c r="CC143" s="49"/>
      <c r="CD143" s="49"/>
      <c r="CE143" s="49"/>
      <c r="CF143" s="49"/>
      <c r="CG143" s="49"/>
      <c r="CH143" s="49"/>
      <c r="CI143" s="49"/>
      <c r="CJ143" s="49"/>
      <c r="CK143" s="49"/>
      <c r="CL143" s="49"/>
      <c r="CM143" s="49"/>
      <c r="CN143" s="49"/>
    </row>
    <row r="144" spans="1:92">
      <c r="A144" s="1425"/>
      <c r="B144" s="633" t="s">
        <v>1879</v>
      </c>
      <c r="E144" s="29">
        <f>SUM(F144:AS144)</f>
        <v>3104300</v>
      </c>
      <c r="F144" s="354">
        <f>+F142+F143</f>
        <v>70000</v>
      </c>
      <c r="G144" s="1124">
        <f>+G142+G143</f>
        <v>71400</v>
      </c>
      <c r="H144" s="1124">
        <f t="shared" ref="H144:AS144" si="137">+H142+H143</f>
        <v>72800</v>
      </c>
      <c r="I144" s="1124">
        <f t="shared" si="137"/>
        <v>74300</v>
      </c>
      <c r="J144" s="1124">
        <f t="shared" si="137"/>
        <v>75800</v>
      </c>
      <c r="K144" s="1124">
        <f t="shared" si="137"/>
        <v>77300</v>
      </c>
      <c r="L144" s="1124">
        <f t="shared" si="137"/>
        <v>78800</v>
      </c>
      <c r="M144" s="1124">
        <f t="shared" si="137"/>
        <v>80400</v>
      </c>
      <c r="N144" s="1124">
        <f t="shared" si="137"/>
        <v>82000</v>
      </c>
      <c r="O144" s="1124">
        <f t="shared" si="137"/>
        <v>83600</v>
      </c>
      <c r="P144" s="1124">
        <f t="shared" si="137"/>
        <v>85300</v>
      </c>
      <c r="Q144" s="1124">
        <f t="shared" si="137"/>
        <v>87000</v>
      </c>
      <c r="R144" s="1124">
        <f t="shared" si="137"/>
        <v>88700</v>
      </c>
      <c r="S144" s="1124">
        <f t="shared" si="137"/>
        <v>90500</v>
      </c>
      <c r="T144" s="1124">
        <f t="shared" si="137"/>
        <v>92300</v>
      </c>
      <c r="U144" s="1124">
        <f t="shared" si="137"/>
        <v>94100</v>
      </c>
      <c r="V144" s="1124">
        <f t="shared" si="137"/>
        <v>96000</v>
      </c>
      <c r="W144" s="1124">
        <f t="shared" si="137"/>
        <v>97900</v>
      </c>
      <c r="X144" s="1124">
        <f t="shared" si="137"/>
        <v>119800</v>
      </c>
      <c r="Y144" s="1124">
        <f t="shared" si="137"/>
        <v>122200</v>
      </c>
      <c r="Z144" s="1124">
        <f t="shared" si="137"/>
        <v>124600</v>
      </c>
      <c r="AA144" s="1124">
        <f t="shared" si="137"/>
        <v>127100</v>
      </c>
      <c r="AB144" s="1124">
        <f t="shared" si="137"/>
        <v>129600</v>
      </c>
      <c r="AC144" s="1124">
        <f t="shared" si="137"/>
        <v>132200</v>
      </c>
      <c r="AD144" s="1124">
        <f t="shared" si="137"/>
        <v>134800</v>
      </c>
      <c r="AE144" s="1124">
        <f t="shared" si="137"/>
        <v>137500</v>
      </c>
      <c r="AF144" s="1124">
        <f t="shared" si="137"/>
        <v>140300</v>
      </c>
      <c r="AG144" s="1124">
        <f t="shared" si="137"/>
        <v>143100</v>
      </c>
      <c r="AH144" s="1124">
        <f t="shared" si="137"/>
        <v>146000</v>
      </c>
      <c r="AI144" s="1124">
        <f t="shared" si="137"/>
        <v>148900</v>
      </c>
      <c r="AJ144" s="1124">
        <f t="shared" si="137"/>
        <v>0</v>
      </c>
      <c r="AK144" s="1124">
        <f t="shared" si="137"/>
        <v>0</v>
      </c>
      <c r="AL144" s="1124">
        <f t="shared" si="137"/>
        <v>0</v>
      </c>
      <c r="AM144" s="1124">
        <f t="shared" si="137"/>
        <v>0</v>
      </c>
      <c r="AN144" s="1124">
        <f t="shared" si="137"/>
        <v>0</v>
      </c>
      <c r="AO144" s="1124">
        <f t="shared" si="137"/>
        <v>0</v>
      </c>
      <c r="AP144" s="1124">
        <f t="shared" si="137"/>
        <v>0</v>
      </c>
      <c r="AQ144" s="1124">
        <f t="shared" si="137"/>
        <v>0</v>
      </c>
      <c r="AR144" s="1124">
        <f t="shared" si="137"/>
        <v>0</v>
      </c>
      <c r="AS144" s="1124">
        <f t="shared" si="137"/>
        <v>0</v>
      </c>
      <c r="AT144" s="42"/>
      <c r="AU144" s="78">
        <f>+Base!E144</f>
        <v>3104300</v>
      </c>
      <c r="AV144" s="81">
        <f>+E144-AU144</f>
        <v>0</v>
      </c>
      <c r="AW144" s="29"/>
      <c r="AX144" s="49"/>
      <c r="AY144" s="49"/>
      <c r="AZ144" s="42"/>
      <c r="BA144" s="49"/>
      <c r="BB144" s="49"/>
      <c r="BC144" s="39"/>
      <c r="BD144" s="39"/>
      <c r="BE144" s="39"/>
      <c r="BF144" s="49"/>
      <c r="BG144" s="49"/>
      <c r="BH144" s="49"/>
      <c r="BI144" s="49"/>
      <c r="BJ144" s="39"/>
      <c r="BK144" s="49"/>
      <c r="BL144" s="39"/>
      <c r="BM144" s="39"/>
      <c r="BN144" s="49"/>
      <c r="BO144" s="49"/>
      <c r="BP144" s="49"/>
      <c r="BQ144" s="49"/>
      <c r="BR144" s="49"/>
      <c r="BS144" s="49"/>
      <c r="BT144" s="49"/>
      <c r="BU144" s="49"/>
      <c r="BV144" s="49"/>
      <c r="BW144" s="49"/>
      <c r="BX144" s="49"/>
      <c r="BY144" s="49"/>
      <c r="BZ144" s="49"/>
      <c r="CA144" s="44"/>
      <c r="CB144" s="49"/>
      <c r="CC144" s="49"/>
      <c r="CD144" s="49"/>
      <c r="CE144" s="49"/>
      <c r="CF144" s="49"/>
      <c r="CG144" s="49"/>
      <c r="CH144" s="49"/>
      <c r="CI144" s="49"/>
      <c r="CJ144" s="49"/>
      <c r="CK144" s="49"/>
      <c r="CL144" s="49"/>
      <c r="CM144" s="49"/>
      <c r="CN144" s="49"/>
    </row>
    <row r="145" spans="1:92" ht="15.6">
      <c r="A145" s="1425"/>
      <c r="B145" s="72" t="s">
        <v>1688</v>
      </c>
      <c r="C145" s="36"/>
      <c r="D145" s="1371"/>
      <c r="E145" s="34">
        <f>SUM(F145:AS145)</f>
        <v>368300</v>
      </c>
      <c r="F145" s="34">
        <f t="shared" ref="F145:AS145" si="138">F202+F227</f>
        <v>5000</v>
      </c>
      <c r="G145" s="1125">
        <f t="shared" si="138"/>
        <v>7400</v>
      </c>
      <c r="H145" s="1125">
        <f t="shared" si="138"/>
        <v>5000</v>
      </c>
      <c r="I145" s="1125">
        <f t="shared" si="138"/>
        <v>5100</v>
      </c>
      <c r="J145" s="1125">
        <f t="shared" si="138"/>
        <v>5200</v>
      </c>
      <c r="K145" s="1125">
        <f t="shared" si="138"/>
        <v>7600</v>
      </c>
      <c r="L145" s="1125">
        <f t="shared" si="138"/>
        <v>7600</v>
      </c>
      <c r="M145" s="1125">
        <f t="shared" si="138"/>
        <v>9100</v>
      </c>
      <c r="N145" s="1125">
        <f t="shared" si="138"/>
        <v>4700</v>
      </c>
      <c r="O145" s="1125">
        <f t="shared" si="138"/>
        <v>4800</v>
      </c>
      <c r="P145" s="1125">
        <f t="shared" si="138"/>
        <v>4900</v>
      </c>
      <c r="Q145" s="1125">
        <f t="shared" si="138"/>
        <v>5300</v>
      </c>
      <c r="R145" s="1125">
        <f t="shared" si="138"/>
        <v>6800</v>
      </c>
      <c r="S145" s="1125">
        <f t="shared" si="138"/>
        <v>7300</v>
      </c>
      <c r="T145" s="1125">
        <f t="shared" si="138"/>
        <v>10700</v>
      </c>
      <c r="U145" s="1125">
        <f t="shared" si="138"/>
        <v>12600</v>
      </c>
      <c r="V145" s="1125">
        <f t="shared" si="138"/>
        <v>12300</v>
      </c>
      <c r="W145" s="1125">
        <f t="shared" si="138"/>
        <v>12700</v>
      </c>
      <c r="X145" s="1125">
        <f t="shared" si="138"/>
        <v>11700</v>
      </c>
      <c r="Y145" s="1125">
        <f t="shared" si="138"/>
        <v>11900</v>
      </c>
      <c r="Z145" s="1125">
        <f t="shared" si="138"/>
        <v>12400</v>
      </c>
      <c r="AA145" s="1125">
        <f t="shared" si="138"/>
        <v>13100</v>
      </c>
      <c r="AB145" s="1125">
        <f t="shared" si="138"/>
        <v>17900</v>
      </c>
      <c r="AC145" s="1125">
        <f t="shared" si="138"/>
        <v>19600</v>
      </c>
      <c r="AD145" s="1125">
        <f t="shared" si="138"/>
        <v>24500</v>
      </c>
      <c r="AE145" s="1125">
        <f t="shared" si="138"/>
        <v>25500</v>
      </c>
      <c r="AF145" s="1125">
        <f t="shared" si="138"/>
        <v>25900</v>
      </c>
      <c r="AG145" s="1125">
        <f t="shared" si="138"/>
        <v>23800</v>
      </c>
      <c r="AH145" s="1125">
        <f t="shared" si="138"/>
        <v>23700</v>
      </c>
      <c r="AI145" s="1125">
        <f t="shared" si="138"/>
        <v>24200</v>
      </c>
      <c r="AJ145" s="1125">
        <f t="shared" si="138"/>
        <v>0</v>
      </c>
      <c r="AK145" s="1125">
        <f t="shared" si="138"/>
        <v>0</v>
      </c>
      <c r="AL145" s="1125">
        <f t="shared" si="138"/>
        <v>0</v>
      </c>
      <c r="AM145" s="1125">
        <f t="shared" si="138"/>
        <v>0</v>
      </c>
      <c r="AN145" s="1125">
        <f t="shared" si="138"/>
        <v>0</v>
      </c>
      <c r="AO145" s="1125">
        <f t="shared" si="138"/>
        <v>0</v>
      </c>
      <c r="AP145" s="1125">
        <f t="shared" si="138"/>
        <v>0</v>
      </c>
      <c r="AQ145" s="1125">
        <f t="shared" si="138"/>
        <v>0</v>
      </c>
      <c r="AR145" s="1125">
        <f t="shared" si="138"/>
        <v>0</v>
      </c>
      <c r="AS145" s="1125">
        <f t="shared" si="138"/>
        <v>0</v>
      </c>
      <c r="AT145" s="89"/>
      <c r="AU145" s="82">
        <f>+Base!E145</f>
        <v>368300</v>
      </c>
      <c r="AV145" s="83">
        <f>+E145-AU145</f>
        <v>0</v>
      </c>
      <c r="AW145" s="102"/>
      <c r="AX145" s="1"/>
      <c r="AY145" s="1"/>
      <c r="AZ145" s="1"/>
      <c r="BA145" s="1"/>
      <c r="BB145" s="1"/>
      <c r="BC145" s="1"/>
      <c r="BE145" s="39"/>
      <c r="BF145" s="49"/>
      <c r="BG145" s="49"/>
      <c r="BH145" s="49"/>
      <c r="BI145" s="49"/>
      <c r="BJ145" s="39"/>
      <c r="BK145" s="49"/>
      <c r="BL145" s="39"/>
      <c r="BM145" s="39"/>
      <c r="BN145" s="49"/>
      <c r="BO145" s="49"/>
      <c r="BP145" s="49"/>
      <c r="BQ145" s="49"/>
      <c r="BR145" s="49"/>
      <c r="BS145" s="49"/>
      <c r="BT145" s="49"/>
      <c r="BU145" s="49"/>
      <c r="BV145" s="49"/>
      <c r="BW145" s="49"/>
      <c r="BX145" s="49"/>
      <c r="BY145" s="49"/>
      <c r="BZ145" s="49"/>
      <c r="CA145" s="44"/>
      <c r="CB145" s="49"/>
      <c r="CC145" s="49"/>
      <c r="CD145" s="49"/>
      <c r="CE145" s="49"/>
      <c r="CF145" s="49"/>
      <c r="CG145" s="49"/>
      <c r="CH145" s="49"/>
      <c r="CI145" s="49"/>
      <c r="CJ145" s="49"/>
      <c r="CK145" s="49"/>
      <c r="CL145" s="49"/>
      <c r="CM145" s="49"/>
      <c r="CN145" s="49"/>
    </row>
    <row r="146" spans="1:92" ht="15.6">
      <c r="A146" s="1425"/>
      <c r="B146" s="28" t="s">
        <v>481</v>
      </c>
      <c r="C146" s="36"/>
      <c r="D146" s="1372">
        <f ca="1">INDIRECT(ADDRESS(ROW(),Total_Years+5))</f>
        <v>173100</v>
      </c>
      <c r="E146" s="102">
        <f>+E144+E145</f>
        <v>3472600</v>
      </c>
      <c r="F146" s="102">
        <f t="shared" ref="F146:AJ146" si="139">+F144+F145</f>
        <v>75000</v>
      </c>
      <c r="G146" s="1124">
        <f t="shared" si="139"/>
        <v>78800</v>
      </c>
      <c r="H146" s="1124">
        <f t="shared" si="139"/>
        <v>77800</v>
      </c>
      <c r="I146" s="1124">
        <f t="shared" si="139"/>
        <v>79400</v>
      </c>
      <c r="J146" s="1124">
        <f t="shared" si="139"/>
        <v>81000</v>
      </c>
      <c r="K146" s="1124">
        <f t="shared" si="139"/>
        <v>84900</v>
      </c>
      <c r="L146" s="1124">
        <f t="shared" si="139"/>
        <v>86400</v>
      </c>
      <c r="M146" s="1124">
        <f t="shared" si="139"/>
        <v>89500</v>
      </c>
      <c r="N146" s="1124">
        <f t="shared" si="139"/>
        <v>86700</v>
      </c>
      <c r="O146" s="1124">
        <f t="shared" si="139"/>
        <v>88400</v>
      </c>
      <c r="P146" s="1124">
        <f t="shared" si="139"/>
        <v>90200</v>
      </c>
      <c r="Q146" s="1124">
        <f t="shared" si="139"/>
        <v>92300</v>
      </c>
      <c r="R146" s="1124">
        <f t="shared" si="139"/>
        <v>95500</v>
      </c>
      <c r="S146" s="1124">
        <f t="shared" si="139"/>
        <v>97800</v>
      </c>
      <c r="T146" s="1124">
        <f t="shared" si="139"/>
        <v>103000</v>
      </c>
      <c r="U146" s="1124">
        <f t="shared" si="139"/>
        <v>106700</v>
      </c>
      <c r="V146" s="1124">
        <f t="shared" si="139"/>
        <v>108300</v>
      </c>
      <c r="W146" s="1124">
        <f t="shared" si="139"/>
        <v>110600</v>
      </c>
      <c r="X146" s="1124">
        <f t="shared" si="139"/>
        <v>131500</v>
      </c>
      <c r="Y146" s="1124">
        <f t="shared" si="139"/>
        <v>134100</v>
      </c>
      <c r="Z146" s="1124">
        <f t="shared" si="139"/>
        <v>137000</v>
      </c>
      <c r="AA146" s="1124">
        <f t="shared" si="139"/>
        <v>140200</v>
      </c>
      <c r="AB146" s="1124">
        <f t="shared" si="139"/>
        <v>147500</v>
      </c>
      <c r="AC146" s="1124">
        <f t="shared" si="139"/>
        <v>151800</v>
      </c>
      <c r="AD146" s="1124">
        <f t="shared" si="139"/>
        <v>159300</v>
      </c>
      <c r="AE146" s="1124">
        <f t="shared" si="139"/>
        <v>163000</v>
      </c>
      <c r="AF146" s="1124">
        <f t="shared" si="139"/>
        <v>166200</v>
      </c>
      <c r="AG146" s="1124">
        <f t="shared" si="139"/>
        <v>166900</v>
      </c>
      <c r="AH146" s="1124">
        <f t="shared" si="139"/>
        <v>169700</v>
      </c>
      <c r="AI146" s="1124">
        <f t="shared" si="139"/>
        <v>173100</v>
      </c>
      <c r="AJ146" s="1124">
        <f t="shared" si="139"/>
        <v>0</v>
      </c>
      <c r="AK146" s="1124">
        <f t="shared" ref="AK146:AS146" si="140">+AK144+AK145</f>
        <v>0</v>
      </c>
      <c r="AL146" s="1124">
        <f t="shared" si="140"/>
        <v>0</v>
      </c>
      <c r="AM146" s="1124">
        <f t="shared" si="140"/>
        <v>0</v>
      </c>
      <c r="AN146" s="1124">
        <f t="shared" si="140"/>
        <v>0</v>
      </c>
      <c r="AO146" s="1124">
        <f t="shared" si="140"/>
        <v>0</v>
      </c>
      <c r="AP146" s="1124">
        <f t="shared" si="140"/>
        <v>0</v>
      </c>
      <c r="AQ146" s="1124">
        <f t="shared" si="140"/>
        <v>0</v>
      </c>
      <c r="AR146" s="1124">
        <f t="shared" si="140"/>
        <v>0</v>
      </c>
      <c r="AS146" s="1124">
        <f t="shared" si="140"/>
        <v>0</v>
      </c>
      <c r="AT146" s="89"/>
      <c r="AU146" s="78">
        <f>+Base!E146</f>
        <v>3472600</v>
      </c>
      <c r="AV146" s="81">
        <f>+E146-AU146</f>
        <v>0</v>
      </c>
      <c r="AW146" s="102"/>
      <c r="AX146" s="1"/>
      <c r="AY146" s="1"/>
      <c r="AZ146" s="1"/>
      <c r="BA146" s="1"/>
      <c r="BB146" s="1"/>
      <c r="BC146" s="1"/>
      <c r="BE146" s="39"/>
      <c r="BF146" s="49"/>
      <c r="BG146" s="49"/>
      <c r="BH146" s="49"/>
      <c r="BI146" s="49"/>
      <c r="BJ146" s="39"/>
      <c r="BK146" s="49"/>
      <c r="BL146" s="39"/>
      <c r="BM146" s="39"/>
      <c r="BN146" s="49"/>
      <c r="BO146" s="49"/>
      <c r="BP146" s="49"/>
      <c r="BQ146" s="49"/>
      <c r="BR146" s="49"/>
      <c r="BS146" s="49"/>
      <c r="BT146" s="49"/>
      <c r="BU146" s="49"/>
      <c r="BV146" s="49"/>
      <c r="BW146" s="49"/>
      <c r="BX146" s="49"/>
      <c r="BY146" s="49"/>
      <c r="BZ146" s="49"/>
      <c r="CA146" s="44"/>
      <c r="CB146" s="49"/>
      <c r="CC146" s="49"/>
      <c r="CD146" s="49"/>
      <c r="CE146" s="49"/>
      <c r="CF146" s="49"/>
      <c r="CG146" s="49"/>
      <c r="CH146" s="49"/>
      <c r="CI146" s="49"/>
      <c r="CJ146" s="49"/>
      <c r="CK146" s="49"/>
      <c r="CL146" s="49"/>
      <c r="CM146" s="49"/>
      <c r="CN146" s="49"/>
    </row>
    <row r="147" spans="1:92" ht="15.6">
      <c r="A147" s="1425"/>
      <c r="B147" s="72"/>
      <c r="C147" s="458"/>
      <c r="D147" s="10"/>
      <c r="E147" s="845"/>
      <c r="F147" s="845"/>
      <c r="G147" s="845"/>
      <c r="H147" s="845"/>
      <c r="I147" s="845"/>
      <c r="J147" s="845"/>
      <c r="K147" s="845"/>
      <c r="L147" s="845"/>
      <c r="M147" s="845"/>
      <c r="N147" s="845"/>
      <c r="O147" s="845"/>
      <c r="P147" s="845"/>
      <c r="Q147" s="845"/>
      <c r="R147" s="845"/>
      <c r="S147" s="845"/>
      <c r="T147" s="845"/>
      <c r="U147" s="845"/>
      <c r="V147" s="845"/>
      <c r="W147" s="845"/>
      <c r="X147" s="845"/>
      <c r="Y147" s="845"/>
      <c r="Z147" s="845"/>
      <c r="AA147" s="845"/>
      <c r="AB147" s="845"/>
      <c r="AC147" s="845"/>
      <c r="AD147" s="845"/>
      <c r="AE147" s="845"/>
      <c r="AF147" s="845"/>
      <c r="AG147" s="845"/>
      <c r="AH147" s="845"/>
      <c r="AI147" s="845"/>
      <c r="AJ147" s="845"/>
      <c r="AK147" s="845"/>
      <c r="AL147" s="845"/>
      <c r="AM147" s="845"/>
      <c r="AN147" s="845"/>
      <c r="AO147" s="845"/>
      <c r="AP147" s="102"/>
      <c r="AQ147" s="102"/>
      <c r="AR147" s="102"/>
      <c r="AS147" s="102"/>
      <c r="AT147" s="3"/>
      <c r="AU147" s="15"/>
      <c r="AV147" s="103"/>
      <c r="AW147" s="102"/>
      <c r="BE147" s="39"/>
      <c r="BF147" s="49"/>
      <c r="BG147" s="49"/>
      <c r="BH147" s="49"/>
      <c r="BI147" s="49"/>
      <c r="BJ147" s="39"/>
      <c r="BK147" s="49"/>
      <c r="BL147" s="39"/>
      <c r="BM147" s="39"/>
      <c r="BN147" s="49"/>
      <c r="BO147" s="49"/>
      <c r="BP147" s="49"/>
      <c r="BQ147" s="49"/>
      <c r="BR147" s="49"/>
      <c r="BS147" s="49"/>
      <c r="BT147" s="49"/>
      <c r="BU147" s="49"/>
      <c r="BV147" s="49"/>
      <c r="BW147" s="49"/>
      <c r="BX147" s="49"/>
      <c r="BY147" s="49"/>
      <c r="BZ147" s="49"/>
      <c r="CA147" s="44"/>
      <c r="CB147" s="49"/>
      <c r="CC147" s="49"/>
      <c r="CD147" s="49"/>
      <c r="CE147" s="49"/>
      <c r="CF147" s="49"/>
      <c r="CG147" s="49"/>
      <c r="CH147" s="49"/>
      <c r="CI147" s="49"/>
      <c r="CJ147" s="49"/>
      <c r="CK147" s="49"/>
      <c r="CL147" s="49"/>
      <c r="CM147" s="49"/>
      <c r="CN147" s="49"/>
    </row>
    <row r="148" spans="1:92" ht="15.6">
      <c r="A148" s="1425"/>
      <c r="B148" s="426" t="s">
        <v>144</v>
      </c>
      <c r="C148" s="426"/>
      <c r="D148" s="426"/>
      <c r="E148" s="29">
        <f>SUM(F148:AS148)</f>
        <v>1338900</v>
      </c>
      <c r="F148" s="31">
        <f>+F139-F144-F145</f>
        <v>-12900</v>
      </c>
      <c r="G148" s="1124">
        <f t="shared" ref="G148:AS148" si="141">+G139-G144-G145</f>
        <v>-300</v>
      </c>
      <c r="H148" s="1124">
        <f t="shared" si="141"/>
        <v>-13000</v>
      </c>
      <c r="I148" s="1124">
        <f t="shared" si="141"/>
        <v>-13300</v>
      </c>
      <c r="J148" s="1124">
        <f t="shared" si="141"/>
        <v>-12200</v>
      </c>
      <c r="K148" s="1124">
        <f t="shared" si="141"/>
        <v>8100</v>
      </c>
      <c r="L148" s="1124">
        <f t="shared" si="141"/>
        <v>9700</v>
      </c>
      <c r="M148" s="1124">
        <f t="shared" si="141"/>
        <v>9800</v>
      </c>
      <c r="N148" s="1124">
        <f t="shared" si="141"/>
        <v>26900</v>
      </c>
      <c r="O148" s="1124">
        <f t="shared" si="141"/>
        <v>35300</v>
      </c>
      <c r="P148" s="1124">
        <f t="shared" si="141"/>
        <v>-43900</v>
      </c>
      <c r="Q148" s="1124">
        <f t="shared" si="141"/>
        <v>77900</v>
      </c>
      <c r="R148" s="1124">
        <f t="shared" si="141"/>
        <v>24600</v>
      </c>
      <c r="S148" s="1124">
        <f t="shared" si="141"/>
        <v>47800</v>
      </c>
      <c r="T148" s="1124">
        <f t="shared" si="141"/>
        <v>-43200</v>
      </c>
      <c r="U148" s="1124">
        <f t="shared" si="141"/>
        <v>123300</v>
      </c>
      <c r="V148" s="1124">
        <f t="shared" si="141"/>
        <v>56100</v>
      </c>
      <c r="W148" s="1124">
        <f t="shared" si="141"/>
        <v>60700</v>
      </c>
      <c r="X148" s="1124">
        <f t="shared" si="141"/>
        <v>33300</v>
      </c>
      <c r="Y148" s="1124">
        <f t="shared" si="141"/>
        <v>34800</v>
      </c>
      <c r="Z148" s="1124">
        <f t="shared" si="141"/>
        <v>37700</v>
      </c>
      <c r="AA148" s="1124">
        <f t="shared" si="141"/>
        <v>40800</v>
      </c>
      <c r="AB148" s="1124">
        <f t="shared" si="141"/>
        <v>448000</v>
      </c>
      <c r="AC148" s="1124">
        <f t="shared" si="141"/>
        <v>63500</v>
      </c>
      <c r="AD148" s="1124">
        <f t="shared" si="141"/>
        <v>138100</v>
      </c>
      <c r="AE148" s="1124">
        <f t="shared" si="141"/>
        <v>42300</v>
      </c>
      <c r="AF148" s="1124">
        <f t="shared" si="141"/>
        <v>43400</v>
      </c>
      <c r="AG148" s="1124">
        <f t="shared" si="141"/>
        <v>38200</v>
      </c>
      <c r="AH148" s="1124">
        <f t="shared" si="141"/>
        <v>38200</v>
      </c>
      <c r="AI148" s="1124">
        <f t="shared" si="141"/>
        <v>39200</v>
      </c>
      <c r="AJ148" s="1124">
        <f t="shared" si="141"/>
        <v>0</v>
      </c>
      <c r="AK148" s="1124">
        <f t="shared" si="141"/>
        <v>0</v>
      </c>
      <c r="AL148" s="1124">
        <f t="shared" si="141"/>
        <v>0</v>
      </c>
      <c r="AM148" s="1124">
        <f t="shared" si="141"/>
        <v>0</v>
      </c>
      <c r="AN148" s="1124">
        <f t="shared" si="141"/>
        <v>0</v>
      </c>
      <c r="AO148" s="1124">
        <f t="shared" si="141"/>
        <v>0</v>
      </c>
      <c r="AP148" s="1124">
        <f t="shared" si="141"/>
        <v>0</v>
      </c>
      <c r="AQ148" s="1124">
        <f t="shared" si="141"/>
        <v>0</v>
      </c>
      <c r="AR148" s="1124">
        <f t="shared" si="141"/>
        <v>0</v>
      </c>
      <c r="AS148" s="1124">
        <f t="shared" si="141"/>
        <v>0</v>
      </c>
      <c r="AT148" s="42"/>
      <c r="AU148" s="78">
        <f>+Base!E148</f>
        <v>1338900</v>
      </c>
      <c r="AV148" s="81">
        <f>+E148-AU148</f>
        <v>0</v>
      </c>
      <c r="AW148" s="29"/>
      <c r="AX148" s="49"/>
      <c r="AY148" s="49"/>
      <c r="AZ148" s="42"/>
      <c r="BA148" s="49"/>
      <c r="BB148" s="49"/>
      <c r="BC148" s="39"/>
      <c r="BD148" s="39"/>
      <c r="BE148" s="39"/>
      <c r="BF148" s="49"/>
      <c r="BG148" s="49"/>
      <c r="BH148" s="49"/>
      <c r="BI148" s="49"/>
      <c r="BJ148" s="39"/>
      <c r="BK148" s="49"/>
      <c r="BL148" s="39"/>
      <c r="BM148" s="39"/>
      <c r="BN148" s="49"/>
      <c r="BO148" s="49"/>
      <c r="BP148" s="49"/>
      <c r="BQ148" s="49"/>
      <c r="BR148" s="49"/>
      <c r="BS148" s="49"/>
      <c r="BT148" s="49"/>
      <c r="BU148" s="49"/>
      <c r="BV148" s="49"/>
      <c r="BW148" s="49"/>
      <c r="BX148" s="49"/>
      <c r="BY148" s="49"/>
      <c r="BZ148" s="49"/>
      <c r="CA148" s="44"/>
      <c r="CB148" s="49"/>
      <c r="CC148" s="49"/>
      <c r="CD148" s="49"/>
      <c r="CE148" s="49"/>
      <c r="CF148" s="49"/>
      <c r="CG148" s="49"/>
      <c r="CH148" s="49"/>
      <c r="CI148" s="49"/>
      <c r="CJ148" s="49"/>
      <c r="CK148" s="49"/>
      <c r="CL148" s="49"/>
      <c r="CM148" s="49"/>
      <c r="CN148" s="49"/>
    </row>
    <row r="149" spans="1:92" ht="15.6">
      <c r="A149" s="1425"/>
      <c r="B149" s="28"/>
      <c r="C149" s="36"/>
      <c r="D149" s="10"/>
      <c r="E149" s="29"/>
      <c r="F149" s="31"/>
      <c r="G149" s="31"/>
      <c r="H149" s="31"/>
      <c r="I149" s="31"/>
      <c r="J149" s="31"/>
      <c r="K149" s="31"/>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c r="AI149" s="31"/>
      <c r="AJ149" s="31"/>
      <c r="AK149" s="31"/>
      <c r="AL149" s="31"/>
      <c r="AM149" s="31"/>
      <c r="AN149" s="31"/>
      <c r="AO149" s="31"/>
      <c r="AP149" s="31"/>
      <c r="AQ149" s="31"/>
      <c r="AR149" s="31"/>
      <c r="AS149" s="31"/>
      <c r="AT149" s="42"/>
      <c r="AU149" s="47"/>
      <c r="AV149" s="48"/>
      <c r="AW149" s="29"/>
      <c r="AX149" s="49"/>
      <c r="AY149" s="49"/>
      <c r="AZ149" s="42"/>
      <c r="BA149" s="49"/>
      <c r="BB149" s="49"/>
      <c r="BC149" s="39"/>
      <c r="BD149" s="39"/>
      <c r="BE149" s="39"/>
      <c r="BF149" s="49"/>
      <c r="BG149" s="49"/>
      <c r="BH149" s="49"/>
      <c r="BI149" s="49"/>
      <c r="BJ149" s="39"/>
      <c r="BK149" s="49"/>
      <c r="BL149" s="39"/>
      <c r="BM149" s="39"/>
      <c r="BN149" s="49"/>
      <c r="BO149" s="49"/>
      <c r="BP149" s="49"/>
      <c r="BQ149" s="49"/>
      <c r="BR149" s="49"/>
      <c r="BS149" s="49"/>
      <c r="BT149" s="49"/>
      <c r="BU149" s="49"/>
      <c r="BV149" s="49"/>
      <c r="BW149" s="49"/>
      <c r="BX149" s="49"/>
      <c r="BY149" s="49"/>
      <c r="BZ149" s="49"/>
      <c r="CA149" s="44"/>
      <c r="CB149" s="49"/>
      <c r="CC149" s="49"/>
      <c r="CD149" s="49"/>
      <c r="CE149" s="49"/>
      <c r="CF149" s="49"/>
      <c r="CG149" s="49"/>
      <c r="CH149" s="49"/>
      <c r="CI149" s="49"/>
      <c r="CJ149" s="49"/>
      <c r="CK149" s="49"/>
      <c r="CL149" s="49"/>
      <c r="CM149" s="49"/>
      <c r="CN149" s="49"/>
    </row>
    <row r="150" spans="1:92" ht="15.6">
      <c r="A150" s="1425"/>
      <c r="B150" s="25" t="s">
        <v>1287</v>
      </c>
      <c r="C150" s="32"/>
      <c r="D150" s="32"/>
      <c r="E150" s="39"/>
      <c r="F150" s="31"/>
      <c r="G150" s="31"/>
      <c r="H150" s="31"/>
      <c r="I150" s="31"/>
      <c r="J150" s="31"/>
      <c r="K150" s="31"/>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c r="AI150" s="31"/>
      <c r="AJ150" s="31"/>
      <c r="AK150" s="31"/>
      <c r="AL150" s="31"/>
      <c r="AM150" s="31"/>
      <c r="AN150" s="31"/>
      <c r="AO150" s="31"/>
      <c r="AP150" s="31"/>
      <c r="AQ150" s="31"/>
      <c r="AR150" s="31"/>
      <c r="AS150" s="31"/>
      <c r="AT150" s="42"/>
      <c r="AU150" s="47"/>
      <c r="AV150" s="48"/>
      <c r="AW150" s="39"/>
      <c r="AX150" s="49"/>
      <c r="AY150" s="49"/>
      <c r="AZ150" s="42"/>
      <c r="BA150" s="49"/>
      <c r="BB150" s="49"/>
      <c r="BC150" s="39"/>
      <c r="BD150" s="39"/>
      <c r="BE150" s="39"/>
      <c r="BF150" s="49"/>
      <c r="BG150" s="49"/>
      <c r="BH150" s="49"/>
      <c r="BI150" s="49"/>
      <c r="BJ150" s="39"/>
      <c r="BK150" s="49"/>
      <c r="BL150" s="39"/>
      <c r="BM150" s="39"/>
      <c r="BN150" s="49"/>
      <c r="BO150" s="49"/>
      <c r="BP150" s="49"/>
      <c r="BQ150" s="49"/>
      <c r="BR150" s="49"/>
      <c r="BS150" s="49"/>
      <c r="BT150" s="49"/>
      <c r="BU150" s="49"/>
      <c r="BV150" s="49"/>
      <c r="BW150" s="49"/>
      <c r="BX150" s="49"/>
      <c r="BY150" s="49"/>
      <c r="BZ150" s="49"/>
      <c r="CA150" s="44"/>
      <c r="CB150" s="49"/>
      <c r="CC150" s="49"/>
      <c r="CD150" s="49"/>
      <c r="CE150" s="49"/>
      <c r="CF150" s="49"/>
      <c r="CG150" s="49"/>
      <c r="CH150" s="49"/>
      <c r="CI150" s="49"/>
      <c r="CJ150" s="49"/>
      <c r="CK150" s="49"/>
      <c r="CL150" s="49"/>
      <c r="CM150" s="49"/>
      <c r="CN150" s="49"/>
    </row>
    <row r="151" spans="1:92" hidden="1">
      <c r="A151" s="1427" t="s">
        <v>1578</v>
      </c>
      <c r="B151" s="418" t="s">
        <v>1810</v>
      </c>
      <c r="C151" s="420"/>
      <c r="D151" s="420"/>
      <c r="E151" s="29">
        <f>SUM(F151:AS151)</f>
        <v>1516900</v>
      </c>
      <c r="F151" s="31">
        <f t="shared" ref="F151:AS151" si="142">+F61</f>
        <v>0</v>
      </c>
      <c r="G151" s="1124">
        <f t="shared" si="142"/>
        <v>0</v>
      </c>
      <c r="H151" s="1124">
        <f t="shared" si="142"/>
        <v>0</v>
      </c>
      <c r="I151" s="1124">
        <f t="shared" si="142"/>
        <v>0</v>
      </c>
      <c r="J151" s="1124">
        <f t="shared" si="142"/>
        <v>0</v>
      </c>
      <c r="K151" s="1124">
        <f t="shared" si="142"/>
        <v>22100</v>
      </c>
      <c r="L151" s="1124">
        <f t="shared" si="142"/>
        <v>22500</v>
      </c>
      <c r="M151" s="1124">
        <f t="shared" si="142"/>
        <v>23000</v>
      </c>
      <c r="N151" s="1124">
        <f t="shared" si="142"/>
        <v>69900</v>
      </c>
      <c r="O151" s="1124">
        <f t="shared" si="142"/>
        <v>71300</v>
      </c>
      <c r="P151" s="1124">
        <f t="shared" si="142"/>
        <v>72700</v>
      </c>
      <c r="Q151" s="1124">
        <f t="shared" si="142"/>
        <v>74200</v>
      </c>
      <c r="R151" s="1124">
        <f t="shared" si="142"/>
        <v>75700</v>
      </c>
      <c r="S151" s="1124">
        <f t="shared" si="142"/>
        <v>77200</v>
      </c>
      <c r="T151" s="1124">
        <f t="shared" si="142"/>
        <v>78700</v>
      </c>
      <c r="U151" s="1124">
        <f t="shared" si="142"/>
        <v>80200</v>
      </c>
      <c r="V151" s="1124">
        <f t="shared" si="142"/>
        <v>63000</v>
      </c>
      <c r="W151" s="1124">
        <f t="shared" si="142"/>
        <v>64200</v>
      </c>
      <c r="X151" s="1124">
        <f t="shared" si="142"/>
        <v>65500</v>
      </c>
      <c r="Y151" s="1124">
        <f t="shared" si="142"/>
        <v>66800</v>
      </c>
      <c r="Z151" s="1124">
        <f t="shared" si="142"/>
        <v>68100</v>
      </c>
      <c r="AA151" s="1124">
        <f t="shared" si="142"/>
        <v>69500</v>
      </c>
      <c r="AB151" s="1124">
        <f t="shared" si="142"/>
        <v>70900</v>
      </c>
      <c r="AC151" s="1124">
        <f t="shared" si="142"/>
        <v>72300</v>
      </c>
      <c r="AD151" s="1124">
        <f t="shared" si="142"/>
        <v>49000</v>
      </c>
      <c r="AE151" s="1124">
        <f t="shared" si="142"/>
        <v>50000</v>
      </c>
      <c r="AF151" s="1124">
        <f t="shared" si="142"/>
        <v>51000</v>
      </c>
      <c r="AG151" s="1124">
        <f t="shared" si="142"/>
        <v>52000</v>
      </c>
      <c r="AH151" s="1124">
        <f t="shared" si="142"/>
        <v>53000</v>
      </c>
      <c r="AI151" s="1124">
        <f t="shared" si="142"/>
        <v>54100</v>
      </c>
      <c r="AJ151" s="1124">
        <f t="shared" si="142"/>
        <v>0</v>
      </c>
      <c r="AK151" s="1124">
        <f t="shared" si="142"/>
        <v>0</v>
      </c>
      <c r="AL151" s="1124">
        <f t="shared" si="142"/>
        <v>0</v>
      </c>
      <c r="AM151" s="1124">
        <f t="shared" si="142"/>
        <v>0</v>
      </c>
      <c r="AN151" s="1124">
        <f t="shared" si="142"/>
        <v>0</v>
      </c>
      <c r="AO151" s="1124">
        <f t="shared" si="142"/>
        <v>0</v>
      </c>
      <c r="AP151" s="1124">
        <f t="shared" si="142"/>
        <v>0</v>
      </c>
      <c r="AQ151" s="1124">
        <f t="shared" si="142"/>
        <v>0</v>
      </c>
      <c r="AR151" s="1124">
        <f t="shared" si="142"/>
        <v>0</v>
      </c>
      <c r="AS151" s="1124">
        <f t="shared" si="142"/>
        <v>0</v>
      </c>
      <c r="AT151" s="42"/>
      <c r="AU151" s="78">
        <f>+Base!E151</f>
        <v>1516900</v>
      </c>
      <c r="AV151" s="81">
        <f t="shared" ref="AV151:AV164" si="143">+E151-AU151</f>
        <v>0</v>
      </c>
      <c r="AW151" s="29"/>
      <c r="AX151" s="49"/>
      <c r="AY151" s="49"/>
      <c r="AZ151" s="42"/>
      <c r="BA151" s="49"/>
      <c r="BB151" s="49"/>
      <c r="BC151" s="39"/>
      <c r="BD151" s="39"/>
      <c r="BE151" s="39"/>
      <c r="BF151" s="49"/>
      <c r="BG151" s="49"/>
      <c r="BH151" s="49"/>
      <c r="BI151" s="49"/>
      <c r="BJ151" s="39"/>
      <c r="BK151" s="49"/>
      <c r="BL151" s="39"/>
      <c r="BM151" s="39"/>
      <c r="BN151" s="49"/>
      <c r="BO151" s="49"/>
      <c r="BP151" s="49"/>
      <c r="BQ151" s="49"/>
      <c r="BR151" s="49"/>
      <c r="BS151" s="49"/>
      <c r="BT151" s="49"/>
      <c r="BU151" s="49"/>
      <c r="BV151" s="49"/>
      <c r="BW151" s="49"/>
      <c r="BX151" s="49"/>
      <c r="BY151" s="49"/>
      <c r="BZ151" s="49"/>
      <c r="CA151" s="44"/>
      <c r="CB151" s="49"/>
      <c r="CC151" s="49"/>
      <c r="CD151" s="49"/>
      <c r="CE151" s="49"/>
      <c r="CF151" s="49"/>
      <c r="CG151" s="49"/>
      <c r="CH151" s="49"/>
      <c r="CI151" s="49"/>
      <c r="CJ151" s="49"/>
      <c r="CK151" s="49"/>
      <c r="CL151" s="49"/>
      <c r="CM151" s="49"/>
      <c r="CN151" s="49"/>
    </row>
    <row r="152" spans="1:92" hidden="1">
      <c r="A152" s="1427" t="s">
        <v>1578</v>
      </c>
      <c r="B152" s="419" t="s">
        <v>1112</v>
      </c>
      <c r="C152" s="420"/>
      <c r="D152" s="3"/>
      <c r="E152" s="29">
        <f>SUM(F152:AS152)</f>
        <v>759100</v>
      </c>
      <c r="F152" s="31">
        <f t="shared" ref="F152:AS152" si="144">ROUND(+F151*0.5/Round_To,0)*Round_To</f>
        <v>0</v>
      </c>
      <c r="G152" s="1124">
        <f t="shared" si="144"/>
        <v>0</v>
      </c>
      <c r="H152" s="1124">
        <f t="shared" si="144"/>
        <v>0</v>
      </c>
      <c r="I152" s="1124">
        <f t="shared" si="144"/>
        <v>0</v>
      </c>
      <c r="J152" s="1124">
        <f t="shared" si="144"/>
        <v>0</v>
      </c>
      <c r="K152" s="1124">
        <f t="shared" si="144"/>
        <v>11100</v>
      </c>
      <c r="L152" s="1124">
        <f t="shared" si="144"/>
        <v>11300</v>
      </c>
      <c r="M152" s="1124">
        <f t="shared" si="144"/>
        <v>11500</v>
      </c>
      <c r="N152" s="1124">
        <f t="shared" si="144"/>
        <v>35000</v>
      </c>
      <c r="O152" s="1124">
        <f t="shared" si="144"/>
        <v>35700</v>
      </c>
      <c r="P152" s="1124">
        <f t="shared" si="144"/>
        <v>36400</v>
      </c>
      <c r="Q152" s="1124">
        <f t="shared" si="144"/>
        <v>37100</v>
      </c>
      <c r="R152" s="1124">
        <f t="shared" si="144"/>
        <v>37900</v>
      </c>
      <c r="S152" s="1124">
        <f t="shared" si="144"/>
        <v>38600</v>
      </c>
      <c r="T152" s="1124">
        <f t="shared" si="144"/>
        <v>39400</v>
      </c>
      <c r="U152" s="1124">
        <f t="shared" si="144"/>
        <v>40100</v>
      </c>
      <c r="V152" s="1124">
        <f t="shared" si="144"/>
        <v>31500</v>
      </c>
      <c r="W152" s="1124">
        <f t="shared" si="144"/>
        <v>32100</v>
      </c>
      <c r="X152" s="1124">
        <f t="shared" si="144"/>
        <v>32800</v>
      </c>
      <c r="Y152" s="1124">
        <f t="shared" si="144"/>
        <v>33400</v>
      </c>
      <c r="Z152" s="1124">
        <f t="shared" si="144"/>
        <v>34100</v>
      </c>
      <c r="AA152" s="1124">
        <f t="shared" si="144"/>
        <v>34800</v>
      </c>
      <c r="AB152" s="1124">
        <f t="shared" si="144"/>
        <v>35500</v>
      </c>
      <c r="AC152" s="1124">
        <f t="shared" si="144"/>
        <v>36200</v>
      </c>
      <c r="AD152" s="1124">
        <f t="shared" si="144"/>
        <v>24500</v>
      </c>
      <c r="AE152" s="1124">
        <f t="shared" si="144"/>
        <v>25000</v>
      </c>
      <c r="AF152" s="1124">
        <f t="shared" si="144"/>
        <v>25500</v>
      </c>
      <c r="AG152" s="1124">
        <f t="shared" si="144"/>
        <v>26000</v>
      </c>
      <c r="AH152" s="1124">
        <f t="shared" si="144"/>
        <v>26500</v>
      </c>
      <c r="AI152" s="1124">
        <f t="shared" si="144"/>
        <v>27100</v>
      </c>
      <c r="AJ152" s="1124">
        <f t="shared" si="144"/>
        <v>0</v>
      </c>
      <c r="AK152" s="1124">
        <f t="shared" si="144"/>
        <v>0</v>
      </c>
      <c r="AL152" s="1124">
        <f t="shared" si="144"/>
        <v>0</v>
      </c>
      <c r="AM152" s="1124">
        <f t="shared" si="144"/>
        <v>0</v>
      </c>
      <c r="AN152" s="1124">
        <f t="shared" si="144"/>
        <v>0</v>
      </c>
      <c r="AO152" s="1124">
        <f t="shared" si="144"/>
        <v>0</v>
      </c>
      <c r="AP152" s="1124">
        <f t="shared" si="144"/>
        <v>0</v>
      </c>
      <c r="AQ152" s="1124">
        <f t="shared" si="144"/>
        <v>0</v>
      </c>
      <c r="AR152" s="1124">
        <f t="shared" si="144"/>
        <v>0</v>
      </c>
      <c r="AS152" s="1124">
        <f t="shared" si="144"/>
        <v>0</v>
      </c>
      <c r="AT152" s="42"/>
      <c r="AU152" s="78">
        <f>+Base!E152</f>
        <v>759100</v>
      </c>
      <c r="AV152" s="81">
        <f t="shared" si="143"/>
        <v>0</v>
      </c>
      <c r="AW152" s="29"/>
      <c r="AX152" s="49"/>
      <c r="AY152" s="49"/>
      <c r="AZ152" s="42"/>
      <c r="BA152" s="49"/>
      <c r="BB152" s="49"/>
      <c r="BC152" s="39"/>
      <c r="BD152" s="39"/>
      <c r="BE152" s="39"/>
      <c r="BF152" s="49"/>
      <c r="BG152" s="49"/>
      <c r="BH152" s="49"/>
      <c r="BI152" s="49"/>
      <c r="BJ152" s="39"/>
      <c r="BK152" s="49"/>
      <c r="BL152" s="39"/>
      <c r="BM152" s="39"/>
      <c r="BN152" s="49"/>
      <c r="BO152" s="49"/>
      <c r="BP152" s="49"/>
      <c r="BQ152" s="49"/>
      <c r="BR152" s="49"/>
      <c r="BS152" s="49"/>
      <c r="BT152" s="49"/>
      <c r="BU152" s="49"/>
      <c r="BV152" s="49"/>
      <c r="BW152" s="49"/>
      <c r="BX152" s="49"/>
      <c r="BY152" s="49"/>
      <c r="BZ152" s="49"/>
      <c r="CA152" s="44"/>
      <c r="CB152" s="49"/>
      <c r="CC152" s="49"/>
      <c r="CD152" s="49"/>
      <c r="CE152" s="49"/>
      <c r="CF152" s="49"/>
      <c r="CG152" s="49"/>
      <c r="CH152" s="49"/>
      <c r="CI152" s="49"/>
      <c r="CJ152" s="49"/>
      <c r="CK152" s="49"/>
      <c r="CL152" s="49"/>
      <c r="CM152" s="49"/>
      <c r="CN152" s="49"/>
    </row>
    <row r="153" spans="1:92" hidden="1">
      <c r="A153" s="1427" t="s">
        <v>1578</v>
      </c>
      <c r="B153" s="1764" t="s">
        <v>1882</v>
      </c>
      <c r="C153" s="1008"/>
      <c r="D153" s="420"/>
      <c r="E153" s="29">
        <f>SUM(F153:AS153)</f>
        <v>2549300</v>
      </c>
      <c r="F153" s="31">
        <f>+F182-F170</f>
        <v>65600</v>
      </c>
      <c r="G153" s="1124">
        <f>+G182-G170</f>
        <v>82200</v>
      </c>
      <c r="H153" s="1124">
        <f t="shared" ref="H153:AS153" si="145">+H182-H170</f>
        <v>68800</v>
      </c>
      <c r="I153" s="1124">
        <f t="shared" si="145"/>
        <v>70400</v>
      </c>
      <c r="J153" s="1124">
        <f t="shared" si="145"/>
        <v>72100</v>
      </c>
      <c r="K153" s="1124">
        <f t="shared" si="145"/>
        <v>74200</v>
      </c>
      <c r="L153" s="1124">
        <f t="shared" si="145"/>
        <v>76700</v>
      </c>
      <c r="M153" s="1124">
        <f t="shared" si="145"/>
        <v>79200</v>
      </c>
      <c r="N153" s="1124">
        <f t="shared" si="145"/>
        <v>41200</v>
      </c>
      <c r="O153" s="1124">
        <f t="shared" si="145"/>
        <v>42300</v>
      </c>
      <c r="P153" s="1124">
        <f t="shared" si="145"/>
        <v>43000</v>
      </c>
      <c r="Q153" s="1124">
        <f t="shared" si="145"/>
        <v>44500</v>
      </c>
      <c r="R153" s="1124">
        <f t="shared" si="145"/>
        <v>51100</v>
      </c>
      <c r="S153" s="1124">
        <f t="shared" si="145"/>
        <v>53600</v>
      </c>
      <c r="T153" s="1124">
        <f t="shared" si="145"/>
        <v>67600</v>
      </c>
      <c r="U153" s="1124">
        <f t="shared" si="145"/>
        <v>75400</v>
      </c>
      <c r="V153" s="1124">
        <f t="shared" si="145"/>
        <v>85200</v>
      </c>
      <c r="W153" s="1124">
        <f t="shared" si="145"/>
        <v>89700</v>
      </c>
      <c r="X153" s="1124">
        <f t="shared" si="145"/>
        <v>84800</v>
      </c>
      <c r="Y153" s="1124">
        <f t="shared" si="145"/>
        <v>87200</v>
      </c>
      <c r="Z153" s="1124">
        <f t="shared" si="145"/>
        <v>91300</v>
      </c>
      <c r="AA153" s="1124">
        <f t="shared" si="145"/>
        <v>95700</v>
      </c>
      <c r="AB153" s="1124">
        <f t="shared" si="145"/>
        <v>105200</v>
      </c>
      <c r="AC153" s="1124">
        <f t="shared" si="145"/>
        <v>121300</v>
      </c>
      <c r="AD153" s="1124">
        <f t="shared" si="145"/>
        <v>125300</v>
      </c>
      <c r="AE153" s="1124">
        <f t="shared" si="145"/>
        <v>131400</v>
      </c>
      <c r="AF153" s="1124">
        <f t="shared" si="145"/>
        <v>134200</v>
      </c>
      <c r="AG153" s="1124">
        <f t="shared" si="145"/>
        <v>128200</v>
      </c>
      <c r="AH153" s="1124">
        <f t="shared" si="145"/>
        <v>129500</v>
      </c>
      <c r="AI153" s="1124">
        <f t="shared" si="145"/>
        <v>132400</v>
      </c>
      <c r="AJ153" s="1124">
        <f t="shared" si="145"/>
        <v>0</v>
      </c>
      <c r="AK153" s="1124">
        <f t="shared" si="145"/>
        <v>0</v>
      </c>
      <c r="AL153" s="1124">
        <f t="shared" si="145"/>
        <v>0</v>
      </c>
      <c r="AM153" s="1124">
        <f t="shared" si="145"/>
        <v>0</v>
      </c>
      <c r="AN153" s="1124">
        <f t="shared" si="145"/>
        <v>0</v>
      </c>
      <c r="AO153" s="1124">
        <f t="shared" si="145"/>
        <v>0</v>
      </c>
      <c r="AP153" s="1124">
        <f t="shared" si="145"/>
        <v>0</v>
      </c>
      <c r="AQ153" s="1124">
        <f t="shared" si="145"/>
        <v>0</v>
      </c>
      <c r="AR153" s="1124">
        <f t="shared" si="145"/>
        <v>0</v>
      </c>
      <c r="AS153" s="1124">
        <f t="shared" si="145"/>
        <v>0</v>
      </c>
      <c r="AT153" s="42"/>
      <c r="AU153" s="78">
        <f>+Base!E153</f>
        <v>2549300</v>
      </c>
      <c r="AV153" s="81">
        <f t="shared" si="143"/>
        <v>0</v>
      </c>
      <c r="AW153" s="29"/>
      <c r="AX153" s="49"/>
      <c r="AY153" s="49"/>
      <c r="AZ153" s="42"/>
      <c r="BA153" s="49"/>
      <c r="BB153" s="49"/>
      <c r="BC153" s="39"/>
      <c r="BD153" s="39"/>
      <c r="BE153" s="39"/>
      <c r="BF153" s="49"/>
      <c r="BG153" s="49"/>
      <c r="BH153" s="49"/>
      <c r="BI153" s="49"/>
      <c r="BJ153" s="39"/>
      <c r="BK153" s="49"/>
      <c r="BL153" s="39"/>
      <c r="BM153" s="39"/>
      <c r="BN153" s="49"/>
      <c r="BO153" s="49"/>
      <c r="BP153" s="49"/>
      <c r="BQ153" s="49"/>
      <c r="BR153" s="49"/>
      <c r="BS153" s="49"/>
      <c r="BT153" s="49"/>
      <c r="BU153" s="49"/>
      <c r="BV153" s="49"/>
      <c r="BW153" s="49"/>
      <c r="BX153" s="49"/>
      <c r="BY153" s="49"/>
      <c r="BZ153" s="49"/>
      <c r="CA153" s="44"/>
      <c r="CB153" s="49"/>
      <c r="CC153" s="49"/>
      <c r="CD153" s="49"/>
      <c r="CE153" s="49"/>
      <c r="CF153" s="49"/>
      <c r="CG153" s="49"/>
      <c r="CH153" s="49"/>
      <c r="CI153" s="49"/>
      <c r="CJ153" s="49"/>
      <c r="CK153" s="49"/>
      <c r="CL153" s="49"/>
      <c r="CM153" s="49"/>
      <c r="CN153" s="49"/>
    </row>
    <row r="154" spans="1:92" hidden="1">
      <c r="A154" s="1427" t="s">
        <v>1578</v>
      </c>
      <c r="B154" s="419" t="s">
        <v>666</v>
      </c>
      <c r="C154" s="420" t="s">
        <v>1668</v>
      </c>
      <c r="D154" s="421"/>
      <c r="E154" s="29">
        <f>SUM(F154:AS154)</f>
        <v>3308400</v>
      </c>
      <c r="F154" s="31">
        <f>+F152+F153</f>
        <v>65600</v>
      </c>
      <c r="G154" s="1124">
        <f t="shared" ref="G154:AS154" si="146">+G152+G153</f>
        <v>82200</v>
      </c>
      <c r="H154" s="1124">
        <f t="shared" si="146"/>
        <v>68800</v>
      </c>
      <c r="I154" s="1124">
        <f t="shared" si="146"/>
        <v>70400</v>
      </c>
      <c r="J154" s="1124">
        <f t="shared" si="146"/>
        <v>72100</v>
      </c>
      <c r="K154" s="1124">
        <f t="shared" si="146"/>
        <v>85300</v>
      </c>
      <c r="L154" s="1124">
        <f t="shared" si="146"/>
        <v>88000</v>
      </c>
      <c r="M154" s="1124">
        <f t="shared" si="146"/>
        <v>90700</v>
      </c>
      <c r="N154" s="1124">
        <f t="shared" si="146"/>
        <v>76200</v>
      </c>
      <c r="O154" s="1124">
        <f t="shared" si="146"/>
        <v>78000</v>
      </c>
      <c r="P154" s="1124">
        <f t="shared" si="146"/>
        <v>79400</v>
      </c>
      <c r="Q154" s="1124">
        <f t="shared" si="146"/>
        <v>81600</v>
      </c>
      <c r="R154" s="1124">
        <f t="shared" si="146"/>
        <v>89000</v>
      </c>
      <c r="S154" s="1124">
        <f t="shared" si="146"/>
        <v>92200</v>
      </c>
      <c r="T154" s="1124">
        <f t="shared" si="146"/>
        <v>107000</v>
      </c>
      <c r="U154" s="1124">
        <f t="shared" si="146"/>
        <v>115500</v>
      </c>
      <c r="V154" s="1124">
        <f t="shared" si="146"/>
        <v>116700</v>
      </c>
      <c r="W154" s="1124">
        <f t="shared" si="146"/>
        <v>121800</v>
      </c>
      <c r="X154" s="1124">
        <f t="shared" si="146"/>
        <v>117600</v>
      </c>
      <c r="Y154" s="1124">
        <f t="shared" si="146"/>
        <v>120600</v>
      </c>
      <c r="Z154" s="1124">
        <f t="shared" si="146"/>
        <v>125400</v>
      </c>
      <c r="AA154" s="1124">
        <f t="shared" si="146"/>
        <v>130500</v>
      </c>
      <c r="AB154" s="1124">
        <f t="shared" si="146"/>
        <v>140700</v>
      </c>
      <c r="AC154" s="1124">
        <f t="shared" si="146"/>
        <v>157500</v>
      </c>
      <c r="AD154" s="1124">
        <f t="shared" si="146"/>
        <v>149800</v>
      </c>
      <c r="AE154" s="1124">
        <f t="shared" si="146"/>
        <v>156400</v>
      </c>
      <c r="AF154" s="1124">
        <f t="shared" si="146"/>
        <v>159700</v>
      </c>
      <c r="AG154" s="1124">
        <f t="shared" si="146"/>
        <v>154200</v>
      </c>
      <c r="AH154" s="1124">
        <f t="shared" si="146"/>
        <v>156000</v>
      </c>
      <c r="AI154" s="1124">
        <f t="shared" si="146"/>
        <v>159500</v>
      </c>
      <c r="AJ154" s="1124">
        <f t="shared" si="146"/>
        <v>0</v>
      </c>
      <c r="AK154" s="1124">
        <f t="shared" si="146"/>
        <v>0</v>
      </c>
      <c r="AL154" s="1124">
        <f t="shared" si="146"/>
        <v>0</v>
      </c>
      <c r="AM154" s="1124">
        <f t="shared" si="146"/>
        <v>0</v>
      </c>
      <c r="AN154" s="1124">
        <f t="shared" si="146"/>
        <v>0</v>
      </c>
      <c r="AO154" s="1124">
        <f t="shared" si="146"/>
        <v>0</v>
      </c>
      <c r="AP154" s="1124">
        <f t="shared" si="146"/>
        <v>0</v>
      </c>
      <c r="AQ154" s="1124">
        <f t="shared" si="146"/>
        <v>0</v>
      </c>
      <c r="AR154" s="1124">
        <f t="shared" si="146"/>
        <v>0</v>
      </c>
      <c r="AS154" s="1124">
        <f t="shared" si="146"/>
        <v>0</v>
      </c>
      <c r="AT154" s="42"/>
      <c r="AU154" s="78">
        <f>+Base!E154</f>
        <v>3308400</v>
      </c>
      <c r="AV154" s="81">
        <f t="shared" si="143"/>
        <v>0</v>
      </c>
      <c r="AW154" s="29"/>
      <c r="AX154" s="49"/>
      <c r="AY154" s="49"/>
      <c r="AZ154" s="42"/>
      <c r="BA154" s="49"/>
      <c r="BB154" s="49"/>
      <c r="BC154" s="39"/>
      <c r="BD154" s="39"/>
      <c r="BE154" s="39"/>
      <c r="BF154" s="49"/>
      <c r="BG154" s="49"/>
      <c r="BH154" s="49"/>
      <c r="BI154" s="49"/>
      <c r="BJ154" s="39"/>
      <c r="BK154" s="49"/>
      <c r="BL154" s="39"/>
      <c r="BM154" s="39"/>
      <c r="BN154" s="49"/>
      <c r="BO154" s="49"/>
      <c r="BP154" s="49"/>
      <c r="BQ154" s="49"/>
      <c r="BR154" s="49"/>
      <c r="BS154" s="49"/>
      <c r="BT154" s="49"/>
      <c r="BU154" s="49"/>
      <c r="BV154" s="49"/>
      <c r="BW154" s="49"/>
      <c r="BX154" s="49"/>
      <c r="BY154" s="49"/>
      <c r="BZ154" s="49"/>
      <c r="CA154" s="44"/>
      <c r="CB154" s="49"/>
      <c r="CC154" s="49"/>
      <c r="CD154" s="49"/>
      <c r="CE154" s="49"/>
      <c r="CF154" s="49"/>
      <c r="CG154" s="49"/>
      <c r="CH154" s="49"/>
      <c r="CI154" s="49"/>
      <c r="CJ154" s="49"/>
      <c r="CK154" s="49"/>
      <c r="CL154" s="49"/>
      <c r="CM154" s="49"/>
      <c r="CN154" s="49"/>
    </row>
    <row r="155" spans="1:92" hidden="1">
      <c r="A155" s="1427" t="s">
        <v>1578</v>
      </c>
      <c r="B155" s="419" t="s">
        <v>664</v>
      </c>
      <c r="C155" s="420" t="s">
        <v>1714</v>
      </c>
      <c r="D155" s="421"/>
      <c r="E155" s="29"/>
      <c r="F155" s="31">
        <f>IF(F$264=0,0,IF(AND(Setup!$E$192="m",OR(Setup!$E$193&gt;F$7,Setup!$E$193=0)),'Tax Tables'!$C$20,IF(F$7&gt;=Setup!$E$193,'Tax Tables'!$D$20,'Tax Tables'!$D$20)))</f>
        <v>32000</v>
      </c>
      <c r="G155" s="1124">
        <f>IF(G$264=0,0,IF(AND(Setup!$E$192="m",OR(Setup!$E$193&gt;G$7,Setup!$E$193=0)),'Tax Tables'!$C$20,IF(G$7&gt;=Setup!$E$193,'Tax Tables'!$D$20,'Tax Tables'!$D$20)))</f>
        <v>32000</v>
      </c>
      <c r="H155" s="1124">
        <f>IF(H$264=0,0,IF(AND(Setup!$E$192="m",OR(Setup!$E$193&gt;H$7,Setup!$E$193=0)),'Tax Tables'!$C$20,IF(H$7&gt;=Setup!$E$193,'Tax Tables'!$D$20,'Tax Tables'!$D$20)))</f>
        <v>32000</v>
      </c>
      <c r="I155" s="1124">
        <f>IF(I$264=0,0,IF(AND(Setup!$E$192="m",OR(Setup!$E$193&gt;I$7,Setup!$E$193=0)),'Tax Tables'!$C$20,IF(I$7&gt;=Setup!$E$193,'Tax Tables'!$D$20,'Tax Tables'!$D$20)))</f>
        <v>32000</v>
      </c>
      <c r="J155" s="1124">
        <f>IF(J$264=0,0,IF(AND(Setup!$E$192="m",OR(Setup!$E$193&gt;J$7,Setup!$E$193=0)),'Tax Tables'!$C$20,IF(J$7&gt;=Setup!$E$193,'Tax Tables'!$D$20,'Tax Tables'!$D$20)))</f>
        <v>32000</v>
      </c>
      <c r="K155" s="1124">
        <f>IF(K$264=0,0,IF(AND(Setup!$E$192="m",OR(Setup!$E$193&gt;K$7,Setup!$E$193=0)),'Tax Tables'!$C$20,IF(K$7&gt;=Setup!$E$193,'Tax Tables'!$D$20,'Tax Tables'!$D$20)))</f>
        <v>32000</v>
      </c>
      <c r="L155" s="1124">
        <f>IF(L$264=0,0,IF(AND(Setup!$E$192="m",OR(Setup!$E$193&gt;L$7,Setup!$E$193=0)),'Tax Tables'!$C$20,IF(L$7&gt;=Setup!$E$193,'Tax Tables'!$D$20,'Tax Tables'!$D$20)))</f>
        <v>32000</v>
      </c>
      <c r="M155" s="1124">
        <f>IF(M$264=0,0,IF(AND(Setup!$E$192="m",OR(Setup!$E$193&gt;M$7,Setup!$E$193=0)),'Tax Tables'!$C$20,IF(M$7&gt;=Setup!$E$193,'Tax Tables'!$D$20,'Tax Tables'!$D$20)))</f>
        <v>32000</v>
      </c>
      <c r="N155" s="1124">
        <f>IF(N$264=0,0,IF(AND(Setup!$E$192="m",OR(Setup!$E$193&gt;N$7,Setup!$E$193=0)),'Tax Tables'!$C$20,IF(N$7&gt;=Setup!$E$193,'Tax Tables'!$D$20,'Tax Tables'!$D$20)))</f>
        <v>32000</v>
      </c>
      <c r="O155" s="1124">
        <f>IF(O$264=0,0,IF(AND(Setup!$E$192="m",OR(Setup!$E$193&gt;O$7,Setup!$E$193=0)),'Tax Tables'!$C$20,IF(O$7&gt;=Setup!$E$193,'Tax Tables'!$D$20,'Tax Tables'!$D$20)))</f>
        <v>32000</v>
      </c>
      <c r="P155" s="1124">
        <f>IF(P$264=0,0,IF(AND(Setup!$E$192="m",OR(Setup!$E$193&gt;P$7,Setup!$E$193=0)),'Tax Tables'!$C$20,IF(P$7&gt;=Setup!$E$193,'Tax Tables'!$D$20,'Tax Tables'!$D$20)))</f>
        <v>32000</v>
      </c>
      <c r="Q155" s="1124">
        <f>IF(Q$264=0,0,IF(AND(Setup!$E$192="m",OR(Setup!$E$193&gt;Q$7,Setup!$E$193=0)),'Tax Tables'!$C$20,IF(Q$7&gt;=Setup!$E$193,'Tax Tables'!$D$20,'Tax Tables'!$D$20)))</f>
        <v>32000</v>
      </c>
      <c r="R155" s="1124">
        <f>IF(R$264=0,0,IF(AND(Setup!$E$192="m",OR(Setup!$E$193&gt;R$7,Setup!$E$193=0)),'Tax Tables'!$C$20,IF(R$7&gt;=Setup!$E$193,'Tax Tables'!$D$20,'Tax Tables'!$D$20)))</f>
        <v>32000</v>
      </c>
      <c r="S155" s="1124">
        <f>IF(S$264=0,0,IF(AND(Setup!$E$192="m",OR(Setup!$E$193&gt;S$7,Setup!$E$193=0)),'Tax Tables'!$C$20,IF(S$7&gt;=Setup!$E$193,'Tax Tables'!$D$20,'Tax Tables'!$D$20)))</f>
        <v>32000</v>
      </c>
      <c r="T155" s="1124">
        <f>IF(T$264=0,0,IF(AND(Setup!$E$192="m",OR(Setup!$E$193&gt;T$7,Setup!$E$193=0)),'Tax Tables'!$C$20,IF(T$7&gt;=Setup!$E$193,'Tax Tables'!$D$20,'Tax Tables'!$D$20)))</f>
        <v>32000</v>
      </c>
      <c r="U155" s="1124">
        <f>IF(U$264=0,0,IF(AND(Setup!$E$192="m",OR(Setup!$E$193&gt;U$7,Setup!$E$193=0)),'Tax Tables'!$C$20,IF(U$7&gt;=Setup!$E$193,'Tax Tables'!$D$20,'Tax Tables'!$D$20)))</f>
        <v>32000</v>
      </c>
      <c r="V155" s="1124">
        <f>IF(V$264=0,0,IF(AND(Setup!$E$192="m",OR(Setup!$E$193&gt;V$7,Setup!$E$193=0)),'Tax Tables'!$C$20,IF(V$7&gt;=Setup!$E$193,'Tax Tables'!$D$20,'Tax Tables'!$D$20)))</f>
        <v>32000</v>
      </c>
      <c r="W155" s="1124">
        <f>IF(W$264=0,0,IF(AND(Setup!$E$192="m",OR(Setup!$E$193&gt;W$7,Setup!$E$193=0)),'Tax Tables'!$C$20,IF(W$7&gt;=Setup!$E$193,'Tax Tables'!$D$20,'Tax Tables'!$D$20)))</f>
        <v>32000</v>
      </c>
      <c r="X155" s="1124">
        <f>IF(X$264=0,0,IF(AND(Setup!$E$192="m",OR(Setup!$E$193&gt;X$7,Setup!$E$193=0)),'Tax Tables'!$C$20,IF(X$7&gt;=Setup!$E$193,'Tax Tables'!$D$20,'Tax Tables'!$D$20)))</f>
        <v>32000</v>
      </c>
      <c r="Y155" s="1124">
        <f>IF(Y$264=0,0,IF(AND(Setup!$E$192="m",OR(Setup!$E$193&gt;Y$7,Setup!$E$193=0)),'Tax Tables'!$C$20,IF(Y$7&gt;=Setup!$E$193,'Tax Tables'!$D$20,'Tax Tables'!$D$20)))</f>
        <v>32000</v>
      </c>
      <c r="Z155" s="1124">
        <f>IF(Z$264=0,0,IF(AND(Setup!$E$192="m",OR(Setup!$E$193&gt;Z$7,Setup!$E$193=0)),'Tax Tables'!$C$20,IF(Z$7&gt;=Setup!$E$193,'Tax Tables'!$D$20,'Tax Tables'!$D$20)))</f>
        <v>32000</v>
      </c>
      <c r="AA155" s="1124">
        <f>IF(AA$264=0,0,IF(AND(Setup!$E$192="m",OR(Setup!$E$193&gt;AA$7,Setup!$E$193=0)),'Tax Tables'!$C$20,IF(AA$7&gt;=Setup!$E$193,'Tax Tables'!$D$20,'Tax Tables'!$D$20)))</f>
        <v>32000</v>
      </c>
      <c r="AB155" s="1124">
        <f>IF(AB$264=0,0,IF(AND(Setup!$E$192="m",OR(Setup!$E$193&gt;AB$7,Setup!$E$193=0)),'Tax Tables'!$C$20,IF(AB$7&gt;=Setup!$E$193,'Tax Tables'!$D$20,'Tax Tables'!$D$20)))</f>
        <v>32000</v>
      </c>
      <c r="AC155" s="1124">
        <f>IF(AC$264=0,0,IF(AND(Setup!$E$192="m",OR(Setup!$E$193&gt;AC$7,Setup!$E$193=0)),'Tax Tables'!$C$20,IF(AC$7&gt;=Setup!$E$193,'Tax Tables'!$D$20,'Tax Tables'!$D$20)))</f>
        <v>32000</v>
      </c>
      <c r="AD155" s="1124">
        <f>IF(AD$264=0,0,IF(AND(Setup!$E$192="m",OR(Setup!$E$193&gt;AD$7,Setup!$E$193=0)),'Tax Tables'!$C$20,IF(AD$7&gt;=Setup!$E$193,'Tax Tables'!$D$20,'Tax Tables'!$D$20)))</f>
        <v>25000</v>
      </c>
      <c r="AE155" s="1124">
        <f>IF(AE$264=0,0,IF(AND(Setup!$E$192="m",OR(Setup!$E$193&gt;AE$7,Setup!$E$193=0)),'Tax Tables'!$C$20,IF(AE$7&gt;=Setup!$E$193,'Tax Tables'!$D$20,'Tax Tables'!$D$20)))</f>
        <v>25000</v>
      </c>
      <c r="AF155" s="1124">
        <f>IF(AF$264=0,0,IF(AND(Setup!$E$192="m",OR(Setup!$E$193&gt;AF$7,Setup!$E$193=0)),'Tax Tables'!$C$20,IF(AF$7&gt;=Setup!$E$193,'Tax Tables'!$D$20,'Tax Tables'!$D$20)))</f>
        <v>25000</v>
      </c>
      <c r="AG155" s="1124">
        <f>IF(AG$264=0,0,IF(AND(Setup!$E$192="m",OR(Setup!$E$193&gt;AG$7,Setup!$E$193=0)),'Tax Tables'!$C$20,IF(AG$7&gt;=Setup!$E$193,'Tax Tables'!$D$20,'Tax Tables'!$D$20)))</f>
        <v>25000</v>
      </c>
      <c r="AH155" s="1124">
        <f>IF(AH$264=0,0,IF(AND(Setup!$E$192="m",OR(Setup!$E$193&gt;AH$7,Setup!$E$193=0)),'Tax Tables'!$C$20,IF(AH$7&gt;=Setup!$E$193,'Tax Tables'!$D$20,'Tax Tables'!$D$20)))</f>
        <v>25000</v>
      </c>
      <c r="AI155" s="1124">
        <f>IF(AI$264=0,0,IF(AND(Setup!$E$192="m",OR(Setup!$E$193&gt;AI$7,Setup!$E$193=0)),'Tax Tables'!$C$20,IF(AI$7&gt;=Setup!$E$193,'Tax Tables'!$D$20,'Tax Tables'!$D$20)))</f>
        <v>25000</v>
      </c>
      <c r="AJ155" s="1124">
        <f>IF(AJ$264=0,0,IF(AND(Setup!$E$192="m",OR(Setup!$E$193&gt;AJ$7,Setup!$E$193=0)),'Tax Tables'!$C$20,IF(AJ$7&gt;=Setup!$E$193,'Tax Tables'!$D$20,'Tax Tables'!$D$20)))</f>
        <v>0</v>
      </c>
      <c r="AK155" s="1124">
        <f>IF(AK$264=0,0,IF(AND(Setup!$E$192="m",OR(Setup!$E$193&gt;AK$7,Setup!$E$193=0)),'Tax Tables'!$C$20,IF(AK$7&gt;=Setup!$E$193,'Tax Tables'!$D$20,'Tax Tables'!$D$20)))</f>
        <v>0</v>
      </c>
      <c r="AL155" s="1124">
        <f>IF(AL$264=0,0,IF(AND(Setup!$E$192="m",OR(Setup!$E$193&gt;AL$7,Setup!$E$193=0)),'Tax Tables'!$C$20,IF(AL$7&gt;=Setup!$E$193,'Tax Tables'!$D$20,'Tax Tables'!$D$20)))</f>
        <v>0</v>
      </c>
      <c r="AM155" s="1124">
        <f>IF(AM$264=0,0,IF(AND(Setup!$E$192="m",OR(Setup!$E$193&gt;AM$7,Setup!$E$193=0)),'Tax Tables'!$C$20,IF(AM$7&gt;=Setup!$E$193,'Tax Tables'!$D$20,'Tax Tables'!$D$20)))</f>
        <v>0</v>
      </c>
      <c r="AN155" s="1124">
        <f>IF(AN$264=0,0,IF(AND(Setup!$E$192="m",OR(Setup!$E$193&gt;AN$7,Setup!$E$193=0)),'Tax Tables'!$C$20,IF(AN$7&gt;=Setup!$E$193,'Tax Tables'!$D$20,'Tax Tables'!$D$20)))</f>
        <v>0</v>
      </c>
      <c r="AO155" s="1124">
        <f>IF(AO$264=0,0,IF(AND(Setup!$E$192="m",OR(Setup!$E$193&gt;AO$7,Setup!$E$193=0)),'Tax Tables'!$C$20,IF(AO$7&gt;=Setup!$E$193,'Tax Tables'!$D$20,'Tax Tables'!$D$20)))</f>
        <v>0</v>
      </c>
      <c r="AP155" s="1124">
        <f>IF(AP$264=0,0,IF(AND(Setup!$E$192="m",OR(Setup!$E$193&gt;AP$7,Setup!$E$193=0)),'Tax Tables'!$C$20,IF(AP$7&gt;=Setup!$E$193,'Tax Tables'!$D$20,'Tax Tables'!$D$20)))</f>
        <v>0</v>
      </c>
      <c r="AQ155" s="1124">
        <f>IF(AQ$264=0,0,IF(AND(Setup!$E$192="m",OR(Setup!$E$193&gt;AQ$7,Setup!$E$193=0)),'Tax Tables'!$C$20,IF(AQ$7&gt;=Setup!$E$193,'Tax Tables'!$D$20,'Tax Tables'!$D$20)))</f>
        <v>0</v>
      </c>
      <c r="AR155" s="1124">
        <f>IF(AR$264=0,0,IF(AND(Setup!$E$192="m",OR(Setup!$E$193&gt;AR$7,Setup!$E$193=0)),'Tax Tables'!$C$20,IF(AR$7&gt;=Setup!$E$193,'Tax Tables'!$D$20,'Tax Tables'!$D$20)))</f>
        <v>0</v>
      </c>
      <c r="AS155" s="1124">
        <f>IF(AS$264=0,0,IF(AND(Setup!$E$192="m",OR(Setup!$E$193&gt;AS$7,Setup!$E$193=0)),'Tax Tables'!$C$20,IF(AS$7&gt;=Setup!$E$193,'Tax Tables'!$D$20,'Tax Tables'!$D$20)))</f>
        <v>0</v>
      </c>
      <c r="AT155" s="42"/>
      <c r="AU155" s="78">
        <f>+Base!E155</f>
        <v>0</v>
      </c>
      <c r="AV155" s="81">
        <f t="shared" si="143"/>
        <v>0</v>
      </c>
      <c r="AW155" s="29"/>
      <c r="AX155" s="49"/>
      <c r="AY155" s="49"/>
      <c r="AZ155" s="42"/>
      <c r="BA155" s="49"/>
      <c r="BB155" s="49"/>
      <c r="BC155" s="39"/>
      <c r="BD155" s="39"/>
      <c r="BE155" s="39"/>
      <c r="BF155" s="49"/>
      <c r="BG155" s="49"/>
      <c r="BH155" s="49"/>
      <c r="BI155" s="49"/>
      <c r="BJ155" s="39"/>
      <c r="BK155" s="49"/>
      <c r="BL155" s="39"/>
      <c r="BM155" s="39"/>
      <c r="BN155" s="49"/>
      <c r="BO155" s="49"/>
      <c r="BP155" s="49"/>
      <c r="BQ155" s="49"/>
      <c r="BR155" s="49"/>
      <c r="BS155" s="49"/>
      <c r="BT155" s="49"/>
      <c r="BU155" s="49"/>
      <c r="BV155" s="49"/>
      <c r="BW155" s="49"/>
      <c r="BX155" s="49"/>
      <c r="BY155" s="49"/>
      <c r="BZ155" s="49"/>
      <c r="CA155" s="44"/>
      <c r="CB155" s="49"/>
      <c r="CC155" s="49"/>
      <c r="CD155" s="49"/>
      <c r="CE155" s="49"/>
      <c r="CF155" s="49"/>
      <c r="CG155" s="49"/>
      <c r="CH155" s="49"/>
      <c r="CI155" s="49"/>
      <c r="CJ155" s="49"/>
      <c r="CK155" s="49"/>
      <c r="CL155" s="49"/>
      <c r="CM155" s="49"/>
      <c r="CN155" s="49"/>
    </row>
    <row r="156" spans="1:92" hidden="1">
      <c r="A156" s="1427" t="s">
        <v>1578</v>
      </c>
      <c r="B156" s="234" t="s">
        <v>665</v>
      </c>
      <c r="C156" s="420" t="s">
        <v>1713</v>
      </c>
      <c r="D156" s="421"/>
      <c r="E156" s="29">
        <f t="shared" ref="E156:E164" si="147">SUM(F156:AS156)</f>
        <v>2390400</v>
      </c>
      <c r="F156" s="31">
        <f>IF(+F154-F155&lt;0,0,F154-F155)</f>
        <v>33600</v>
      </c>
      <c r="G156" s="1124">
        <f t="shared" ref="G156:AS156" si="148">IF(+G154-G155&lt;0,0,G154-G155)</f>
        <v>50200</v>
      </c>
      <c r="H156" s="1124">
        <f t="shared" si="148"/>
        <v>36800</v>
      </c>
      <c r="I156" s="1124">
        <f t="shared" si="148"/>
        <v>38400</v>
      </c>
      <c r="J156" s="1124">
        <f t="shared" si="148"/>
        <v>40100</v>
      </c>
      <c r="K156" s="1124">
        <f t="shared" si="148"/>
        <v>53300</v>
      </c>
      <c r="L156" s="1124">
        <f t="shared" si="148"/>
        <v>56000</v>
      </c>
      <c r="M156" s="1124">
        <f t="shared" si="148"/>
        <v>58700</v>
      </c>
      <c r="N156" s="1124">
        <f t="shared" si="148"/>
        <v>44200</v>
      </c>
      <c r="O156" s="1124">
        <f t="shared" si="148"/>
        <v>46000</v>
      </c>
      <c r="P156" s="1124">
        <f t="shared" si="148"/>
        <v>47400</v>
      </c>
      <c r="Q156" s="1124">
        <f t="shared" si="148"/>
        <v>49600</v>
      </c>
      <c r="R156" s="1124">
        <f t="shared" si="148"/>
        <v>57000</v>
      </c>
      <c r="S156" s="1124">
        <f t="shared" si="148"/>
        <v>60200</v>
      </c>
      <c r="T156" s="1124">
        <f t="shared" si="148"/>
        <v>75000</v>
      </c>
      <c r="U156" s="1124">
        <f t="shared" si="148"/>
        <v>83500</v>
      </c>
      <c r="V156" s="1124">
        <f t="shared" si="148"/>
        <v>84700</v>
      </c>
      <c r="W156" s="1124">
        <f t="shared" si="148"/>
        <v>89800</v>
      </c>
      <c r="X156" s="1124">
        <f t="shared" si="148"/>
        <v>85600</v>
      </c>
      <c r="Y156" s="1124">
        <f t="shared" si="148"/>
        <v>88600</v>
      </c>
      <c r="Z156" s="1124">
        <f t="shared" si="148"/>
        <v>93400</v>
      </c>
      <c r="AA156" s="1124">
        <f t="shared" si="148"/>
        <v>98500</v>
      </c>
      <c r="AB156" s="1124">
        <f t="shared" si="148"/>
        <v>108700</v>
      </c>
      <c r="AC156" s="1124">
        <f t="shared" si="148"/>
        <v>125500</v>
      </c>
      <c r="AD156" s="1124">
        <f t="shared" si="148"/>
        <v>124800</v>
      </c>
      <c r="AE156" s="1124">
        <f t="shared" si="148"/>
        <v>131400</v>
      </c>
      <c r="AF156" s="1124">
        <f t="shared" si="148"/>
        <v>134700</v>
      </c>
      <c r="AG156" s="1124">
        <f t="shared" si="148"/>
        <v>129200</v>
      </c>
      <c r="AH156" s="1124">
        <f t="shared" si="148"/>
        <v>131000</v>
      </c>
      <c r="AI156" s="1124">
        <f t="shared" si="148"/>
        <v>134500</v>
      </c>
      <c r="AJ156" s="1124">
        <f t="shared" si="148"/>
        <v>0</v>
      </c>
      <c r="AK156" s="1124">
        <f t="shared" si="148"/>
        <v>0</v>
      </c>
      <c r="AL156" s="1124">
        <f t="shared" si="148"/>
        <v>0</v>
      </c>
      <c r="AM156" s="1124">
        <f t="shared" si="148"/>
        <v>0</v>
      </c>
      <c r="AN156" s="1124">
        <f t="shared" si="148"/>
        <v>0</v>
      </c>
      <c r="AO156" s="1124">
        <f t="shared" si="148"/>
        <v>0</v>
      </c>
      <c r="AP156" s="1124">
        <f t="shared" si="148"/>
        <v>0</v>
      </c>
      <c r="AQ156" s="1124">
        <f t="shared" si="148"/>
        <v>0</v>
      </c>
      <c r="AR156" s="1124">
        <f t="shared" si="148"/>
        <v>0</v>
      </c>
      <c r="AS156" s="1124">
        <f t="shared" si="148"/>
        <v>0</v>
      </c>
      <c r="AT156" s="42"/>
      <c r="AU156" s="78">
        <f>+Base!E156</f>
        <v>2390400</v>
      </c>
      <c r="AV156" s="81">
        <f t="shared" si="143"/>
        <v>0</v>
      </c>
      <c r="AW156" s="29"/>
      <c r="AX156" s="49"/>
      <c r="AY156" s="49"/>
      <c r="AZ156" s="42"/>
      <c r="BA156" s="49"/>
      <c r="BB156" s="49"/>
      <c r="BC156" s="39"/>
      <c r="BD156" s="39"/>
      <c r="BE156" s="39"/>
      <c r="BF156" s="49"/>
      <c r="BG156" s="49"/>
      <c r="BH156" s="49"/>
      <c r="BI156" s="49"/>
      <c r="BJ156" s="39"/>
      <c r="BK156" s="49"/>
      <c r="BL156" s="39"/>
      <c r="BM156" s="39"/>
      <c r="BN156" s="49"/>
      <c r="BO156" s="49"/>
      <c r="BP156" s="49"/>
      <c r="BQ156" s="49"/>
      <c r="BR156" s="49"/>
      <c r="BS156" s="49"/>
      <c r="BT156" s="49"/>
      <c r="BU156" s="49"/>
      <c r="BV156" s="49"/>
      <c r="BW156" s="49"/>
      <c r="BX156" s="49"/>
      <c r="BY156" s="49"/>
      <c r="BZ156" s="49"/>
      <c r="CA156" s="44"/>
      <c r="CB156" s="49"/>
      <c r="CC156" s="49"/>
      <c r="CD156" s="49"/>
      <c r="CE156" s="49"/>
      <c r="CF156" s="49"/>
      <c r="CG156" s="49"/>
      <c r="CH156" s="49"/>
      <c r="CI156" s="49"/>
      <c r="CJ156" s="49"/>
      <c r="CK156" s="49"/>
      <c r="CL156" s="49"/>
      <c r="CM156" s="49"/>
      <c r="CN156" s="49"/>
    </row>
    <row r="157" spans="1:92" hidden="1">
      <c r="A157" s="1427" t="s">
        <v>1578</v>
      </c>
      <c r="B157" s="419" t="s">
        <v>663</v>
      </c>
      <c r="C157" s="421" t="s">
        <v>1096</v>
      </c>
      <c r="D157" s="421"/>
      <c r="E157" s="29"/>
      <c r="F157" s="31">
        <f>IF(F$264=0,0,IF(AND(Setup!$E$192="m",Setup!$E$193&gt;F$7),'Tax Tables'!$C$21,IF(F$7&gt;=Setup!$E$193,'Tax Tables'!$D$21,'Tax Tables'!$D$21)))</f>
        <v>12000</v>
      </c>
      <c r="G157" s="1124">
        <f>IF(G$264=0,0,IF(AND(Setup!$E$192="m",Setup!$E$193&gt;G$7),'Tax Tables'!$C$21,IF(G$7&gt;=Setup!$E$193,'Tax Tables'!$D$21,'Tax Tables'!$D$21)))</f>
        <v>12000</v>
      </c>
      <c r="H157" s="1124">
        <f>IF(H$264=0,0,IF(AND(Setup!$E$192="m",Setup!$E$193&gt;H$7),'Tax Tables'!$C$21,IF(H$7&gt;=Setup!$E$193,'Tax Tables'!$D$21,'Tax Tables'!$D$21)))</f>
        <v>12000</v>
      </c>
      <c r="I157" s="1124">
        <f>IF(I$264=0,0,IF(AND(Setup!$E$192="m",Setup!$E$193&gt;I$7),'Tax Tables'!$C$21,IF(I$7&gt;=Setup!$E$193,'Tax Tables'!$D$21,'Tax Tables'!$D$21)))</f>
        <v>12000</v>
      </c>
      <c r="J157" s="1124">
        <f>IF(J$264=0,0,IF(AND(Setup!$E$192="m",Setup!$E$193&gt;J$7),'Tax Tables'!$C$21,IF(J$7&gt;=Setup!$E$193,'Tax Tables'!$D$21,'Tax Tables'!$D$21)))</f>
        <v>12000</v>
      </c>
      <c r="K157" s="1124">
        <f>IF(K$264=0,0,IF(AND(Setup!$E$192="m",Setup!$E$193&gt;K$7),'Tax Tables'!$C$21,IF(K$7&gt;=Setup!$E$193,'Tax Tables'!$D$21,'Tax Tables'!$D$21)))</f>
        <v>12000</v>
      </c>
      <c r="L157" s="1124">
        <f>IF(L$264=0,0,IF(AND(Setup!$E$192="m",Setup!$E$193&gt;L$7),'Tax Tables'!$C$21,IF(L$7&gt;=Setup!$E$193,'Tax Tables'!$D$21,'Tax Tables'!$D$21)))</f>
        <v>12000</v>
      </c>
      <c r="M157" s="1124">
        <f>IF(M$264=0,0,IF(AND(Setup!$E$192="m",Setup!$E$193&gt;M$7),'Tax Tables'!$C$21,IF(M$7&gt;=Setup!$E$193,'Tax Tables'!$D$21,'Tax Tables'!$D$21)))</f>
        <v>12000</v>
      </c>
      <c r="N157" s="1124">
        <f>IF(N$264=0,0,IF(AND(Setup!$E$192="m",Setup!$E$193&gt;N$7),'Tax Tables'!$C$21,IF(N$7&gt;=Setup!$E$193,'Tax Tables'!$D$21,'Tax Tables'!$D$21)))</f>
        <v>12000</v>
      </c>
      <c r="O157" s="1124">
        <f>IF(O$264=0,0,IF(AND(Setup!$E$192="m",Setup!$E$193&gt;O$7),'Tax Tables'!$C$21,IF(O$7&gt;=Setup!$E$193,'Tax Tables'!$D$21,'Tax Tables'!$D$21)))</f>
        <v>12000</v>
      </c>
      <c r="P157" s="1124">
        <f>IF(P$264=0,0,IF(AND(Setup!$E$192="m",Setup!$E$193&gt;P$7),'Tax Tables'!$C$21,IF(P$7&gt;=Setup!$E$193,'Tax Tables'!$D$21,'Tax Tables'!$D$21)))</f>
        <v>12000</v>
      </c>
      <c r="Q157" s="1124">
        <f>IF(Q$264=0,0,IF(AND(Setup!$E$192="m",Setup!$E$193&gt;Q$7),'Tax Tables'!$C$21,IF(Q$7&gt;=Setup!$E$193,'Tax Tables'!$D$21,'Tax Tables'!$D$21)))</f>
        <v>12000</v>
      </c>
      <c r="R157" s="1124">
        <f>IF(R$264=0,0,IF(AND(Setup!$E$192="m",Setup!$E$193&gt;R$7),'Tax Tables'!$C$21,IF(R$7&gt;=Setup!$E$193,'Tax Tables'!$D$21,'Tax Tables'!$D$21)))</f>
        <v>12000</v>
      </c>
      <c r="S157" s="1124">
        <f>IF(S$264=0,0,IF(AND(Setup!$E$192="m",Setup!$E$193&gt;S$7),'Tax Tables'!$C$21,IF(S$7&gt;=Setup!$E$193,'Tax Tables'!$D$21,'Tax Tables'!$D$21)))</f>
        <v>12000</v>
      </c>
      <c r="T157" s="1124">
        <f>IF(T$264=0,0,IF(AND(Setup!$E$192="m",Setup!$E$193&gt;T$7),'Tax Tables'!$C$21,IF(T$7&gt;=Setup!$E$193,'Tax Tables'!$D$21,'Tax Tables'!$D$21)))</f>
        <v>12000</v>
      </c>
      <c r="U157" s="1124">
        <f>IF(U$264=0,0,IF(AND(Setup!$E$192="m",Setup!$E$193&gt;U$7),'Tax Tables'!$C$21,IF(U$7&gt;=Setup!$E$193,'Tax Tables'!$D$21,'Tax Tables'!$D$21)))</f>
        <v>12000</v>
      </c>
      <c r="V157" s="1124">
        <f>IF(V$264=0,0,IF(AND(Setup!$E$192="m",Setup!$E$193&gt;V$7),'Tax Tables'!$C$21,IF(V$7&gt;=Setup!$E$193,'Tax Tables'!$D$21,'Tax Tables'!$D$21)))</f>
        <v>12000</v>
      </c>
      <c r="W157" s="1124">
        <f>IF(W$264=0,0,IF(AND(Setup!$E$192="m",Setup!$E$193&gt;W$7),'Tax Tables'!$C$21,IF(W$7&gt;=Setup!$E$193,'Tax Tables'!$D$21,'Tax Tables'!$D$21)))</f>
        <v>12000</v>
      </c>
      <c r="X157" s="1124">
        <f>IF(X$264=0,0,IF(AND(Setup!$E$192="m",Setup!$E$193&gt;X$7),'Tax Tables'!$C$21,IF(X$7&gt;=Setup!$E$193,'Tax Tables'!$D$21,'Tax Tables'!$D$21)))</f>
        <v>12000</v>
      </c>
      <c r="Y157" s="1124">
        <f>IF(Y$264=0,0,IF(AND(Setup!$E$192="m",Setup!$E$193&gt;Y$7),'Tax Tables'!$C$21,IF(Y$7&gt;=Setup!$E$193,'Tax Tables'!$D$21,'Tax Tables'!$D$21)))</f>
        <v>12000</v>
      </c>
      <c r="Z157" s="1124">
        <f>IF(Z$264=0,0,IF(AND(Setup!$E$192="m",Setup!$E$193&gt;Z$7),'Tax Tables'!$C$21,IF(Z$7&gt;=Setup!$E$193,'Tax Tables'!$D$21,'Tax Tables'!$D$21)))</f>
        <v>12000</v>
      </c>
      <c r="AA157" s="1124">
        <f>IF(AA$264=0,0,IF(AND(Setup!$E$192="m",Setup!$E$193&gt;AA$7),'Tax Tables'!$C$21,IF(AA$7&gt;=Setup!$E$193,'Tax Tables'!$D$21,'Tax Tables'!$D$21)))</f>
        <v>12000</v>
      </c>
      <c r="AB157" s="1124">
        <f>IF(AB$264=0,0,IF(AND(Setup!$E$192="m",Setup!$E$193&gt;AB$7),'Tax Tables'!$C$21,IF(AB$7&gt;=Setup!$E$193,'Tax Tables'!$D$21,'Tax Tables'!$D$21)))</f>
        <v>12000</v>
      </c>
      <c r="AC157" s="1124">
        <f>IF(AC$264=0,0,IF(AND(Setup!$E$192="m",Setup!$E$193&gt;AC$7),'Tax Tables'!$C$21,IF(AC$7&gt;=Setup!$E$193,'Tax Tables'!$D$21,'Tax Tables'!$D$21)))</f>
        <v>12000</v>
      </c>
      <c r="AD157" s="1124">
        <f>IF(AD$264=0,0,IF(AND(Setup!$E$192="m",Setup!$E$193&gt;AD$7),'Tax Tables'!$C$21,IF(AD$7&gt;=Setup!$E$193,'Tax Tables'!$D$21,'Tax Tables'!$D$21)))</f>
        <v>9000</v>
      </c>
      <c r="AE157" s="1124">
        <f>IF(AE$264=0,0,IF(AND(Setup!$E$192="m",Setup!$E$193&gt;AE$7),'Tax Tables'!$C$21,IF(AE$7&gt;=Setup!$E$193,'Tax Tables'!$D$21,'Tax Tables'!$D$21)))</f>
        <v>9000</v>
      </c>
      <c r="AF157" s="1124">
        <f>IF(AF$264=0,0,IF(AND(Setup!$E$192="m",Setup!$E$193&gt;AF$7),'Tax Tables'!$C$21,IF(AF$7&gt;=Setup!$E$193,'Tax Tables'!$D$21,'Tax Tables'!$D$21)))</f>
        <v>9000</v>
      </c>
      <c r="AG157" s="1124">
        <f>IF(AG$264=0,0,IF(AND(Setup!$E$192="m",Setup!$E$193&gt;AG$7),'Tax Tables'!$C$21,IF(AG$7&gt;=Setup!$E$193,'Tax Tables'!$D$21,'Tax Tables'!$D$21)))</f>
        <v>9000</v>
      </c>
      <c r="AH157" s="1124">
        <f>IF(AH$264=0,0,IF(AND(Setup!$E$192="m",Setup!$E$193&gt;AH$7),'Tax Tables'!$C$21,IF(AH$7&gt;=Setup!$E$193,'Tax Tables'!$D$21,'Tax Tables'!$D$21)))</f>
        <v>9000</v>
      </c>
      <c r="AI157" s="1124">
        <f>IF(AI$264=0,0,IF(AND(Setup!$E$192="m",Setup!$E$193&gt;AI$7),'Tax Tables'!$C$21,IF(AI$7&gt;=Setup!$E$193,'Tax Tables'!$D$21,'Tax Tables'!$D$21)))</f>
        <v>9000</v>
      </c>
      <c r="AJ157" s="1124">
        <f>IF(AJ$264=0,0,IF(AND(Setup!$E$192="m",Setup!$E$193&gt;AJ$7),'Tax Tables'!$C$21,IF(AJ$7&gt;=Setup!$E$193,'Tax Tables'!$D$21,'Tax Tables'!$D$21)))</f>
        <v>0</v>
      </c>
      <c r="AK157" s="1124">
        <f>IF(AK$264=0,0,IF(AND(Setup!$E$192="m",Setup!$E$193&gt;AK$7),'Tax Tables'!$C$21,IF(AK$7&gt;=Setup!$E$193,'Tax Tables'!$D$21,'Tax Tables'!$D$21)))</f>
        <v>0</v>
      </c>
      <c r="AL157" s="1124">
        <f>IF(AL$264=0,0,IF(AND(Setup!$E$192="m",Setup!$E$193&gt;AL$7),'Tax Tables'!$C$21,IF(AL$7&gt;=Setup!$E$193,'Tax Tables'!$D$21,'Tax Tables'!$D$21)))</f>
        <v>0</v>
      </c>
      <c r="AM157" s="1124">
        <f>IF(AM$264=0,0,IF(AND(Setup!$E$192="m",Setup!$E$193&gt;AM$7),'Tax Tables'!$C$21,IF(AM$7&gt;=Setup!$E$193,'Tax Tables'!$D$21,'Tax Tables'!$D$21)))</f>
        <v>0</v>
      </c>
      <c r="AN157" s="1124">
        <f>IF(AN$264=0,0,IF(AND(Setup!$E$192="m",Setup!$E$193&gt;AN$7),'Tax Tables'!$C$21,IF(AN$7&gt;=Setup!$E$193,'Tax Tables'!$D$21,'Tax Tables'!$D$21)))</f>
        <v>0</v>
      </c>
      <c r="AO157" s="1124">
        <f>IF(AO$264=0,0,IF(AND(Setup!$E$192="m",Setup!$E$193&gt;AO$7),'Tax Tables'!$C$21,IF(AO$7&gt;=Setup!$E$193,'Tax Tables'!$D$21,'Tax Tables'!$D$21)))</f>
        <v>0</v>
      </c>
      <c r="AP157" s="1124">
        <f>IF(AP$264=0,0,IF(AND(Setup!$E$192="m",Setup!$E$193&gt;AP$7),'Tax Tables'!$C$21,IF(AP$7&gt;=Setup!$E$193,'Tax Tables'!$D$21,'Tax Tables'!$D$21)))</f>
        <v>0</v>
      </c>
      <c r="AQ157" s="1124">
        <f>IF(AQ$264=0,0,IF(AND(Setup!$E$192="m",Setup!$E$193&gt;AQ$7),'Tax Tables'!$C$21,IF(AQ$7&gt;=Setup!$E$193,'Tax Tables'!$D$21,'Tax Tables'!$D$21)))</f>
        <v>0</v>
      </c>
      <c r="AR157" s="1124">
        <f>IF(AR$264=0,0,IF(AND(Setup!$E$192="m",Setup!$E$193&gt;AR$7),'Tax Tables'!$C$21,IF(AR$7&gt;=Setup!$E$193,'Tax Tables'!$D$21,'Tax Tables'!$D$21)))</f>
        <v>0</v>
      </c>
      <c r="AS157" s="1124">
        <f>IF(AS$264=0,0,IF(AND(Setup!$E$192="m",Setup!$E$193&gt;AS$7),'Tax Tables'!$C$21,IF(AS$7&gt;=Setup!$E$193,'Tax Tables'!$D$21,'Tax Tables'!$D$21)))</f>
        <v>0</v>
      </c>
      <c r="AT157" s="42"/>
      <c r="AU157" s="78">
        <f>+Base!E157</f>
        <v>0</v>
      </c>
      <c r="AV157" s="81">
        <f t="shared" si="143"/>
        <v>0</v>
      </c>
      <c r="AW157" s="29"/>
      <c r="AX157" s="49"/>
      <c r="AY157" s="49"/>
      <c r="AZ157" s="42"/>
      <c r="BA157" s="49"/>
      <c r="BB157" s="49"/>
      <c r="BC157" s="39"/>
      <c r="BD157" s="39"/>
      <c r="BE157" s="39"/>
      <c r="BF157" s="49"/>
      <c r="BG157" s="49"/>
      <c r="BH157" s="49"/>
      <c r="BI157" s="49"/>
      <c r="BJ157" s="39"/>
      <c r="BK157" s="49"/>
      <c r="BL157" s="39"/>
      <c r="BM157" s="39"/>
      <c r="BN157" s="49"/>
      <c r="BO157" s="49"/>
      <c r="BP157" s="49"/>
      <c r="BQ157" s="49"/>
      <c r="BR157" s="49"/>
      <c r="BS157" s="49"/>
      <c r="BT157" s="49"/>
      <c r="BU157" s="49"/>
      <c r="BV157" s="49"/>
      <c r="BW157" s="49"/>
      <c r="BX157" s="49"/>
      <c r="BY157" s="49"/>
      <c r="BZ157" s="49"/>
      <c r="CA157" s="44"/>
      <c r="CB157" s="49"/>
      <c r="CC157" s="49"/>
      <c r="CD157" s="49"/>
      <c r="CE157" s="49"/>
      <c r="CF157" s="49"/>
      <c r="CG157" s="49"/>
      <c r="CH157" s="49"/>
      <c r="CI157" s="49"/>
      <c r="CJ157" s="49"/>
      <c r="CK157" s="49"/>
      <c r="CL157" s="49"/>
      <c r="CM157" s="49"/>
      <c r="CN157" s="49"/>
    </row>
    <row r="158" spans="1:92" hidden="1">
      <c r="A158" s="1427" t="s">
        <v>1578</v>
      </c>
      <c r="B158" s="419" t="s">
        <v>662</v>
      </c>
      <c r="C158" s="421" t="s">
        <v>1715</v>
      </c>
      <c r="D158" s="421"/>
      <c r="E158" s="29">
        <f t="shared" si="147"/>
        <v>2048400</v>
      </c>
      <c r="F158" s="31">
        <f>IF(F$156-F$157&lt;0,0,F$156-F$157)</f>
        <v>21600</v>
      </c>
      <c r="G158" s="1124">
        <f t="shared" ref="G158:AS158" si="149">IF(G$156-G$157&lt;0,0,G$156-G$157)</f>
        <v>38200</v>
      </c>
      <c r="H158" s="1124">
        <f t="shared" si="149"/>
        <v>24800</v>
      </c>
      <c r="I158" s="1124">
        <f t="shared" si="149"/>
        <v>26400</v>
      </c>
      <c r="J158" s="1124">
        <f t="shared" si="149"/>
        <v>28100</v>
      </c>
      <c r="K158" s="1124">
        <f t="shared" si="149"/>
        <v>41300</v>
      </c>
      <c r="L158" s="1124">
        <f t="shared" si="149"/>
        <v>44000</v>
      </c>
      <c r="M158" s="1124">
        <f t="shared" si="149"/>
        <v>46700</v>
      </c>
      <c r="N158" s="1124">
        <f t="shared" si="149"/>
        <v>32200</v>
      </c>
      <c r="O158" s="1124">
        <f t="shared" si="149"/>
        <v>34000</v>
      </c>
      <c r="P158" s="1124">
        <f t="shared" si="149"/>
        <v>35400</v>
      </c>
      <c r="Q158" s="1124">
        <f t="shared" si="149"/>
        <v>37600</v>
      </c>
      <c r="R158" s="1124">
        <f t="shared" si="149"/>
        <v>45000</v>
      </c>
      <c r="S158" s="1124">
        <f t="shared" si="149"/>
        <v>48200</v>
      </c>
      <c r="T158" s="1124">
        <f t="shared" si="149"/>
        <v>63000</v>
      </c>
      <c r="U158" s="1124">
        <f t="shared" si="149"/>
        <v>71500</v>
      </c>
      <c r="V158" s="1124">
        <f t="shared" si="149"/>
        <v>72700</v>
      </c>
      <c r="W158" s="1124">
        <f t="shared" si="149"/>
        <v>77800</v>
      </c>
      <c r="X158" s="1124">
        <f t="shared" si="149"/>
        <v>73600</v>
      </c>
      <c r="Y158" s="1124">
        <f t="shared" si="149"/>
        <v>76600</v>
      </c>
      <c r="Z158" s="1124">
        <f t="shared" si="149"/>
        <v>81400</v>
      </c>
      <c r="AA158" s="1124">
        <f t="shared" si="149"/>
        <v>86500</v>
      </c>
      <c r="AB158" s="1124">
        <f t="shared" si="149"/>
        <v>96700</v>
      </c>
      <c r="AC158" s="1124">
        <f t="shared" si="149"/>
        <v>113500</v>
      </c>
      <c r="AD158" s="1124">
        <f t="shared" si="149"/>
        <v>115800</v>
      </c>
      <c r="AE158" s="1124">
        <f t="shared" si="149"/>
        <v>122400</v>
      </c>
      <c r="AF158" s="1124">
        <f t="shared" si="149"/>
        <v>125700</v>
      </c>
      <c r="AG158" s="1124">
        <f t="shared" si="149"/>
        <v>120200</v>
      </c>
      <c r="AH158" s="1124">
        <f t="shared" si="149"/>
        <v>122000</v>
      </c>
      <c r="AI158" s="1124">
        <f t="shared" si="149"/>
        <v>125500</v>
      </c>
      <c r="AJ158" s="1124">
        <f t="shared" si="149"/>
        <v>0</v>
      </c>
      <c r="AK158" s="1124">
        <f t="shared" si="149"/>
        <v>0</v>
      </c>
      <c r="AL158" s="1124">
        <f t="shared" si="149"/>
        <v>0</v>
      </c>
      <c r="AM158" s="1124">
        <f t="shared" si="149"/>
        <v>0</v>
      </c>
      <c r="AN158" s="1124">
        <f t="shared" si="149"/>
        <v>0</v>
      </c>
      <c r="AO158" s="1124">
        <f t="shared" si="149"/>
        <v>0</v>
      </c>
      <c r="AP158" s="1124">
        <f t="shared" si="149"/>
        <v>0</v>
      </c>
      <c r="AQ158" s="1124">
        <f t="shared" si="149"/>
        <v>0</v>
      </c>
      <c r="AR158" s="1124">
        <f t="shared" si="149"/>
        <v>0</v>
      </c>
      <c r="AS158" s="1124">
        <f t="shared" si="149"/>
        <v>0</v>
      </c>
      <c r="AT158" s="42"/>
      <c r="AU158" s="78">
        <f>+Base!E158</f>
        <v>2048400</v>
      </c>
      <c r="AV158" s="81">
        <f t="shared" si="143"/>
        <v>0</v>
      </c>
      <c r="AW158" s="29"/>
      <c r="AX158" s="49"/>
      <c r="AY158" s="49"/>
      <c r="AZ158" s="42"/>
      <c r="BA158" s="49"/>
      <c r="BB158" s="49"/>
      <c r="BC158" s="39"/>
      <c r="BD158" s="39"/>
      <c r="BE158" s="39"/>
      <c r="BF158" s="49"/>
      <c r="BG158" s="49"/>
      <c r="BH158" s="49"/>
      <c r="BI158" s="49"/>
      <c r="BJ158" s="39"/>
      <c r="BK158" s="49"/>
      <c r="BL158" s="39"/>
      <c r="BM158" s="39"/>
      <c r="BN158" s="49"/>
      <c r="BO158" s="49"/>
      <c r="BP158" s="49"/>
      <c r="BQ158" s="49"/>
      <c r="BR158" s="49"/>
      <c r="BS158" s="49"/>
      <c r="BT158" s="49"/>
      <c r="BU158" s="49"/>
      <c r="BV158" s="49"/>
      <c r="BW158" s="49"/>
      <c r="BX158" s="49"/>
      <c r="BY158" s="49"/>
      <c r="BZ158" s="49"/>
      <c r="CA158" s="44"/>
      <c r="CB158" s="49"/>
      <c r="CC158" s="49"/>
      <c r="CD158" s="49"/>
      <c r="CE158" s="49"/>
      <c r="CF158" s="49"/>
      <c r="CG158" s="49"/>
      <c r="CH158" s="49"/>
      <c r="CI158" s="49"/>
      <c r="CJ158" s="49"/>
      <c r="CK158" s="49"/>
      <c r="CL158" s="49"/>
      <c r="CM158" s="49"/>
      <c r="CN158" s="49"/>
    </row>
    <row r="159" spans="1:92" hidden="1">
      <c r="A159" s="1427" t="s">
        <v>1578</v>
      </c>
      <c r="B159" s="234" t="s">
        <v>661</v>
      </c>
      <c r="C159" s="421" t="s">
        <v>1098</v>
      </c>
      <c r="D159" s="3"/>
      <c r="E159" s="29">
        <f t="shared" si="147"/>
        <v>342000</v>
      </c>
      <c r="F159" s="31">
        <f>IF(F$156&lt;F$157,F$156,F$157)</f>
        <v>12000</v>
      </c>
      <c r="G159" s="1124">
        <f t="shared" ref="G159:AS159" si="150">IF(G$156&lt;G$157,G$156,G$157)</f>
        <v>12000</v>
      </c>
      <c r="H159" s="1124">
        <f t="shared" si="150"/>
        <v>12000</v>
      </c>
      <c r="I159" s="1124">
        <f t="shared" si="150"/>
        <v>12000</v>
      </c>
      <c r="J159" s="1124">
        <f t="shared" si="150"/>
        <v>12000</v>
      </c>
      <c r="K159" s="1124">
        <f t="shared" si="150"/>
        <v>12000</v>
      </c>
      <c r="L159" s="1124">
        <f t="shared" si="150"/>
        <v>12000</v>
      </c>
      <c r="M159" s="1124">
        <f t="shared" si="150"/>
        <v>12000</v>
      </c>
      <c r="N159" s="1124">
        <f t="shared" si="150"/>
        <v>12000</v>
      </c>
      <c r="O159" s="1124">
        <f t="shared" si="150"/>
        <v>12000</v>
      </c>
      <c r="P159" s="1124">
        <f t="shared" si="150"/>
        <v>12000</v>
      </c>
      <c r="Q159" s="1124">
        <f t="shared" si="150"/>
        <v>12000</v>
      </c>
      <c r="R159" s="1124">
        <f t="shared" si="150"/>
        <v>12000</v>
      </c>
      <c r="S159" s="1124">
        <f t="shared" si="150"/>
        <v>12000</v>
      </c>
      <c r="T159" s="1124">
        <f t="shared" si="150"/>
        <v>12000</v>
      </c>
      <c r="U159" s="1124">
        <f t="shared" si="150"/>
        <v>12000</v>
      </c>
      <c r="V159" s="1124">
        <f t="shared" si="150"/>
        <v>12000</v>
      </c>
      <c r="W159" s="1124">
        <f t="shared" si="150"/>
        <v>12000</v>
      </c>
      <c r="X159" s="1124">
        <f t="shared" si="150"/>
        <v>12000</v>
      </c>
      <c r="Y159" s="1124">
        <f t="shared" si="150"/>
        <v>12000</v>
      </c>
      <c r="Z159" s="1124">
        <f t="shared" si="150"/>
        <v>12000</v>
      </c>
      <c r="AA159" s="1124">
        <f t="shared" si="150"/>
        <v>12000</v>
      </c>
      <c r="AB159" s="1124">
        <f t="shared" si="150"/>
        <v>12000</v>
      </c>
      <c r="AC159" s="1124">
        <f t="shared" si="150"/>
        <v>12000</v>
      </c>
      <c r="AD159" s="1124">
        <f t="shared" si="150"/>
        <v>9000</v>
      </c>
      <c r="AE159" s="1124">
        <f t="shared" si="150"/>
        <v>9000</v>
      </c>
      <c r="AF159" s="1124">
        <f t="shared" si="150"/>
        <v>9000</v>
      </c>
      <c r="AG159" s="1124">
        <f t="shared" si="150"/>
        <v>9000</v>
      </c>
      <c r="AH159" s="1124">
        <f t="shared" si="150"/>
        <v>9000</v>
      </c>
      <c r="AI159" s="1124">
        <f t="shared" si="150"/>
        <v>9000</v>
      </c>
      <c r="AJ159" s="1124">
        <f t="shared" si="150"/>
        <v>0</v>
      </c>
      <c r="AK159" s="1124">
        <f t="shared" si="150"/>
        <v>0</v>
      </c>
      <c r="AL159" s="1124">
        <f t="shared" si="150"/>
        <v>0</v>
      </c>
      <c r="AM159" s="1124">
        <f t="shared" si="150"/>
        <v>0</v>
      </c>
      <c r="AN159" s="1124">
        <f t="shared" si="150"/>
        <v>0</v>
      </c>
      <c r="AO159" s="1124">
        <f t="shared" si="150"/>
        <v>0</v>
      </c>
      <c r="AP159" s="1124">
        <f t="shared" si="150"/>
        <v>0</v>
      </c>
      <c r="AQ159" s="1124">
        <f t="shared" si="150"/>
        <v>0</v>
      </c>
      <c r="AR159" s="1124">
        <f t="shared" si="150"/>
        <v>0</v>
      </c>
      <c r="AS159" s="1124">
        <f t="shared" si="150"/>
        <v>0</v>
      </c>
      <c r="AT159" s="42"/>
      <c r="AU159" s="78">
        <f>+Base!E159</f>
        <v>342000</v>
      </c>
      <c r="AV159" s="81">
        <f t="shared" si="143"/>
        <v>0</v>
      </c>
      <c r="AW159" s="29"/>
      <c r="AX159" s="49"/>
      <c r="AY159" s="49"/>
      <c r="AZ159" s="42"/>
      <c r="BA159" s="49"/>
      <c r="BB159" s="49"/>
      <c r="BC159" s="39"/>
      <c r="BD159" s="39"/>
      <c r="BE159" s="39"/>
      <c r="BF159" s="49"/>
      <c r="BG159" s="49"/>
      <c r="BH159" s="49"/>
      <c r="BI159" s="49"/>
      <c r="BJ159" s="39"/>
      <c r="BK159" s="49"/>
      <c r="BL159" s="39"/>
      <c r="BM159" s="39"/>
      <c r="BN159" s="49"/>
      <c r="BO159" s="49"/>
      <c r="BP159" s="49"/>
      <c r="BQ159" s="49"/>
      <c r="BR159" s="49"/>
      <c r="BS159" s="49"/>
      <c r="BT159" s="49"/>
      <c r="BU159" s="49"/>
      <c r="BV159" s="49"/>
      <c r="BW159" s="49"/>
      <c r="BX159" s="49"/>
      <c r="BY159" s="49"/>
      <c r="BZ159" s="49"/>
      <c r="CA159" s="44"/>
      <c r="CB159" s="49"/>
      <c r="CC159" s="49"/>
      <c r="CD159" s="49"/>
      <c r="CE159" s="49"/>
      <c r="CF159" s="49"/>
      <c r="CG159" s="49"/>
      <c r="CH159" s="49"/>
      <c r="CI159" s="49"/>
      <c r="CJ159" s="49"/>
      <c r="CK159" s="49"/>
      <c r="CL159" s="49"/>
      <c r="CM159" s="49"/>
      <c r="CN159" s="49"/>
    </row>
    <row r="160" spans="1:92" hidden="1">
      <c r="A160" s="1427" t="s">
        <v>1578</v>
      </c>
      <c r="B160" s="234" t="s">
        <v>660</v>
      </c>
      <c r="C160" s="421" t="s">
        <v>1100</v>
      </c>
      <c r="D160" s="422"/>
      <c r="E160" s="29">
        <f t="shared" si="147"/>
        <v>171000</v>
      </c>
      <c r="F160" s="31">
        <f>+F$159*0.5</f>
        <v>6000</v>
      </c>
      <c r="G160" s="1124">
        <f t="shared" ref="G160:AS160" si="151">+G$159*0.5</f>
        <v>6000</v>
      </c>
      <c r="H160" s="1124">
        <f t="shared" si="151"/>
        <v>6000</v>
      </c>
      <c r="I160" s="1124">
        <f t="shared" si="151"/>
        <v>6000</v>
      </c>
      <c r="J160" s="1124">
        <f t="shared" si="151"/>
        <v>6000</v>
      </c>
      <c r="K160" s="1124">
        <f t="shared" si="151"/>
        <v>6000</v>
      </c>
      <c r="L160" s="1124">
        <f t="shared" si="151"/>
        <v>6000</v>
      </c>
      <c r="M160" s="1124">
        <f t="shared" si="151"/>
        <v>6000</v>
      </c>
      <c r="N160" s="1124">
        <f t="shared" si="151"/>
        <v>6000</v>
      </c>
      <c r="O160" s="1124">
        <f t="shared" si="151"/>
        <v>6000</v>
      </c>
      <c r="P160" s="1124">
        <f t="shared" si="151"/>
        <v>6000</v>
      </c>
      <c r="Q160" s="1124">
        <f t="shared" si="151"/>
        <v>6000</v>
      </c>
      <c r="R160" s="1124">
        <f t="shared" si="151"/>
        <v>6000</v>
      </c>
      <c r="S160" s="1124">
        <f t="shared" si="151"/>
        <v>6000</v>
      </c>
      <c r="T160" s="1124">
        <f t="shared" si="151"/>
        <v>6000</v>
      </c>
      <c r="U160" s="1124">
        <f t="shared" si="151"/>
        <v>6000</v>
      </c>
      <c r="V160" s="1124">
        <f t="shared" si="151"/>
        <v>6000</v>
      </c>
      <c r="W160" s="1124">
        <f t="shared" si="151"/>
        <v>6000</v>
      </c>
      <c r="X160" s="1124">
        <f t="shared" si="151"/>
        <v>6000</v>
      </c>
      <c r="Y160" s="1124">
        <f t="shared" si="151"/>
        <v>6000</v>
      </c>
      <c r="Z160" s="1124">
        <f t="shared" si="151"/>
        <v>6000</v>
      </c>
      <c r="AA160" s="1124">
        <f t="shared" si="151"/>
        <v>6000</v>
      </c>
      <c r="AB160" s="1124">
        <f t="shared" si="151"/>
        <v>6000</v>
      </c>
      <c r="AC160" s="1124">
        <f t="shared" si="151"/>
        <v>6000</v>
      </c>
      <c r="AD160" s="1124">
        <f t="shared" si="151"/>
        <v>4500</v>
      </c>
      <c r="AE160" s="1124">
        <f t="shared" si="151"/>
        <v>4500</v>
      </c>
      <c r="AF160" s="1124">
        <f t="shared" si="151"/>
        <v>4500</v>
      </c>
      <c r="AG160" s="1124">
        <f t="shared" si="151"/>
        <v>4500</v>
      </c>
      <c r="AH160" s="1124">
        <f t="shared" si="151"/>
        <v>4500</v>
      </c>
      <c r="AI160" s="1124">
        <f t="shared" si="151"/>
        <v>4500</v>
      </c>
      <c r="AJ160" s="1124">
        <f t="shared" si="151"/>
        <v>0</v>
      </c>
      <c r="AK160" s="1124">
        <f t="shared" si="151"/>
        <v>0</v>
      </c>
      <c r="AL160" s="1124">
        <f t="shared" si="151"/>
        <v>0</v>
      </c>
      <c r="AM160" s="1124">
        <f t="shared" si="151"/>
        <v>0</v>
      </c>
      <c r="AN160" s="1124">
        <f t="shared" si="151"/>
        <v>0</v>
      </c>
      <c r="AO160" s="1124">
        <f t="shared" si="151"/>
        <v>0</v>
      </c>
      <c r="AP160" s="1124">
        <f t="shared" si="151"/>
        <v>0</v>
      </c>
      <c r="AQ160" s="1124">
        <f t="shared" si="151"/>
        <v>0</v>
      </c>
      <c r="AR160" s="1124">
        <f t="shared" si="151"/>
        <v>0</v>
      </c>
      <c r="AS160" s="1124">
        <f t="shared" si="151"/>
        <v>0</v>
      </c>
      <c r="AT160" s="42"/>
      <c r="AU160" s="78">
        <f>+Base!E160</f>
        <v>171000</v>
      </c>
      <c r="AV160" s="81">
        <f t="shared" si="143"/>
        <v>0</v>
      </c>
      <c r="AW160" s="29"/>
      <c r="AX160" s="49"/>
      <c r="AY160" s="49"/>
      <c r="AZ160" s="42"/>
      <c r="BA160" s="49"/>
      <c r="BB160" s="49"/>
      <c r="BC160" s="39"/>
      <c r="BD160" s="39"/>
      <c r="BE160" s="39"/>
      <c r="BF160" s="49"/>
      <c r="BG160" s="49"/>
      <c r="BH160" s="49"/>
      <c r="BI160" s="49"/>
      <c r="BJ160" s="39"/>
      <c r="BK160" s="49"/>
      <c r="BL160" s="39"/>
      <c r="BM160" s="39"/>
      <c r="BN160" s="49"/>
      <c r="BO160" s="49"/>
      <c r="BP160" s="49"/>
      <c r="BQ160" s="49"/>
      <c r="BR160" s="49"/>
      <c r="BS160" s="49"/>
      <c r="BT160" s="49"/>
      <c r="BU160" s="49"/>
      <c r="BV160" s="49"/>
      <c r="BW160" s="49"/>
      <c r="BX160" s="49"/>
      <c r="BY160" s="49"/>
      <c r="BZ160" s="49"/>
      <c r="CA160" s="44"/>
      <c r="CB160" s="49"/>
      <c r="CC160" s="49"/>
      <c r="CD160" s="49"/>
      <c r="CE160" s="49"/>
      <c r="CF160" s="49"/>
      <c r="CG160" s="49"/>
      <c r="CH160" s="49"/>
      <c r="CI160" s="49"/>
      <c r="CJ160" s="49"/>
      <c r="CK160" s="49"/>
      <c r="CL160" s="49"/>
      <c r="CM160" s="49"/>
      <c r="CN160" s="49"/>
    </row>
    <row r="161" spans="1:92" hidden="1">
      <c r="A161" s="1427" t="s">
        <v>1578</v>
      </c>
      <c r="B161" s="234" t="s">
        <v>269</v>
      </c>
      <c r="C161" s="421"/>
      <c r="D161" s="422"/>
      <c r="E161" s="29">
        <f t="shared" si="147"/>
        <v>141000</v>
      </c>
      <c r="F161" s="31">
        <f>IF(F$160&lt;F$152,F$160,F$152)</f>
        <v>0</v>
      </c>
      <c r="G161" s="1124">
        <f t="shared" ref="G161:AS161" si="152">IF(G$160&lt;G$152,G$160,G$152)</f>
        <v>0</v>
      </c>
      <c r="H161" s="1124">
        <f t="shared" si="152"/>
        <v>0</v>
      </c>
      <c r="I161" s="1124">
        <f t="shared" si="152"/>
        <v>0</v>
      </c>
      <c r="J161" s="1124">
        <f t="shared" si="152"/>
        <v>0</v>
      </c>
      <c r="K161" s="1124">
        <f t="shared" si="152"/>
        <v>6000</v>
      </c>
      <c r="L161" s="1124">
        <f t="shared" si="152"/>
        <v>6000</v>
      </c>
      <c r="M161" s="1124">
        <f t="shared" si="152"/>
        <v>6000</v>
      </c>
      <c r="N161" s="1124">
        <f t="shared" si="152"/>
        <v>6000</v>
      </c>
      <c r="O161" s="1124">
        <f t="shared" si="152"/>
        <v>6000</v>
      </c>
      <c r="P161" s="1124">
        <f t="shared" si="152"/>
        <v>6000</v>
      </c>
      <c r="Q161" s="1124">
        <f t="shared" si="152"/>
        <v>6000</v>
      </c>
      <c r="R161" s="1124">
        <f t="shared" si="152"/>
        <v>6000</v>
      </c>
      <c r="S161" s="1124">
        <f t="shared" si="152"/>
        <v>6000</v>
      </c>
      <c r="T161" s="1124">
        <f t="shared" si="152"/>
        <v>6000</v>
      </c>
      <c r="U161" s="1124">
        <f t="shared" si="152"/>
        <v>6000</v>
      </c>
      <c r="V161" s="1124">
        <f t="shared" si="152"/>
        <v>6000</v>
      </c>
      <c r="W161" s="1124">
        <f t="shared" si="152"/>
        <v>6000</v>
      </c>
      <c r="X161" s="1124">
        <f t="shared" si="152"/>
        <v>6000</v>
      </c>
      <c r="Y161" s="1124">
        <f t="shared" si="152"/>
        <v>6000</v>
      </c>
      <c r="Z161" s="1124">
        <f t="shared" si="152"/>
        <v>6000</v>
      </c>
      <c r="AA161" s="1124">
        <f t="shared" si="152"/>
        <v>6000</v>
      </c>
      <c r="AB161" s="1124">
        <f t="shared" si="152"/>
        <v>6000</v>
      </c>
      <c r="AC161" s="1124">
        <f t="shared" si="152"/>
        <v>6000</v>
      </c>
      <c r="AD161" s="1124">
        <f t="shared" si="152"/>
        <v>4500</v>
      </c>
      <c r="AE161" s="1124">
        <f t="shared" si="152"/>
        <v>4500</v>
      </c>
      <c r="AF161" s="1124">
        <f t="shared" si="152"/>
        <v>4500</v>
      </c>
      <c r="AG161" s="1124">
        <f t="shared" si="152"/>
        <v>4500</v>
      </c>
      <c r="AH161" s="1124">
        <f t="shared" si="152"/>
        <v>4500</v>
      </c>
      <c r="AI161" s="1124">
        <f t="shared" si="152"/>
        <v>4500</v>
      </c>
      <c r="AJ161" s="1124">
        <f t="shared" si="152"/>
        <v>0</v>
      </c>
      <c r="AK161" s="1124">
        <f t="shared" si="152"/>
        <v>0</v>
      </c>
      <c r="AL161" s="1124">
        <f t="shared" si="152"/>
        <v>0</v>
      </c>
      <c r="AM161" s="1124">
        <f t="shared" si="152"/>
        <v>0</v>
      </c>
      <c r="AN161" s="1124">
        <f t="shared" si="152"/>
        <v>0</v>
      </c>
      <c r="AO161" s="1124">
        <f t="shared" si="152"/>
        <v>0</v>
      </c>
      <c r="AP161" s="1124">
        <f t="shared" si="152"/>
        <v>0</v>
      </c>
      <c r="AQ161" s="1124">
        <f t="shared" si="152"/>
        <v>0</v>
      </c>
      <c r="AR161" s="1124">
        <f t="shared" si="152"/>
        <v>0</v>
      </c>
      <c r="AS161" s="1124">
        <f t="shared" si="152"/>
        <v>0</v>
      </c>
      <c r="AT161" s="42"/>
      <c r="AU161" s="78">
        <f>+Base!E161</f>
        <v>141000</v>
      </c>
      <c r="AV161" s="81">
        <f t="shared" si="143"/>
        <v>0</v>
      </c>
      <c r="AW161" s="29"/>
      <c r="AX161" s="49"/>
      <c r="AY161" s="49"/>
      <c r="AZ161" s="42"/>
      <c r="BA161" s="49"/>
      <c r="BB161" s="49"/>
      <c r="BC161" s="39"/>
      <c r="BD161" s="39"/>
      <c r="BE161" s="39"/>
      <c r="BF161" s="49"/>
      <c r="BG161" s="49"/>
      <c r="BH161" s="49"/>
      <c r="BI161" s="49"/>
      <c r="BJ161" s="39"/>
      <c r="BK161" s="49"/>
      <c r="BL161" s="39"/>
      <c r="BM161" s="39"/>
      <c r="BN161" s="49"/>
      <c r="BO161" s="49"/>
      <c r="BP161" s="49"/>
      <c r="BQ161" s="49"/>
      <c r="BR161" s="49"/>
      <c r="BS161" s="49"/>
      <c r="BT161" s="49"/>
      <c r="BU161" s="49"/>
      <c r="BV161" s="49"/>
      <c r="BW161" s="49"/>
      <c r="BX161" s="49"/>
      <c r="BY161" s="49"/>
      <c r="BZ161" s="49"/>
      <c r="CA161" s="44"/>
      <c r="CB161" s="49"/>
      <c r="CC161" s="49"/>
      <c r="CD161" s="49"/>
      <c r="CE161" s="49"/>
      <c r="CF161" s="49"/>
      <c r="CG161" s="49"/>
      <c r="CH161" s="49"/>
      <c r="CI161" s="49"/>
      <c r="CJ161" s="49"/>
      <c r="CK161" s="49"/>
      <c r="CL161" s="49"/>
      <c r="CM161" s="49"/>
      <c r="CN161" s="49"/>
    </row>
    <row r="162" spans="1:92" hidden="1">
      <c r="A162" s="1427" t="s">
        <v>1578</v>
      </c>
      <c r="B162" s="234" t="s">
        <v>582</v>
      </c>
      <c r="C162" s="1008"/>
      <c r="D162" s="422"/>
      <c r="E162" s="29">
        <f t="shared" si="147"/>
        <v>1741400</v>
      </c>
      <c r="F162" s="31">
        <f t="shared" ref="F162:AS162" si="153">ROUND(IF(+F$158*0.85&lt;0,0,+F$158*0.85)/Round_To,0)*Round_To</f>
        <v>18400</v>
      </c>
      <c r="G162" s="1124">
        <f t="shared" si="153"/>
        <v>32500</v>
      </c>
      <c r="H162" s="1124">
        <f t="shared" si="153"/>
        <v>21100</v>
      </c>
      <c r="I162" s="1124">
        <f t="shared" si="153"/>
        <v>22400</v>
      </c>
      <c r="J162" s="1124">
        <f t="shared" si="153"/>
        <v>23900</v>
      </c>
      <c r="K162" s="1124">
        <f t="shared" si="153"/>
        <v>35100</v>
      </c>
      <c r="L162" s="1124">
        <f t="shared" si="153"/>
        <v>37400</v>
      </c>
      <c r="M162" s="1124">
        <f t="shared" si="153"/>
        <v>39700</v>
      </c>
      <c r="N162" s="1124">
        <f t="shared" si="153"/>
        <v>27400</v>
      </c>
      <c r="O162" s="1124">
        <f t="shared" si="153"/>
        <v>28900</v>
      </c>
      <c r="P162" s="1124">
        <f t="shared" si="153"/>
        <v>30100</v>
      </c>
      <c r="Q162" s="1124">
        <f t="shared" si="153"/>
        <v>32000</v>
      </c>
      <c r="R162" s="1124">
        <f t="shared" si="153"/>
        <v>38300</v>
      </c>
      <c r="S162" s="1124">
        <f t="shared" si="153"/>
        <v>41000</v>
      </c>
      <c r="T162" s="1124">
        <f t="shared" si="153"/>
        <v>53600</v>
      </c>
      <c r="U162" s="1124">
        <f t="shared" si="153"/>
        <v>60800</v>
      </c>
      <c r="V162" s="1124">
        <f t="shared" si="153"/>
        <v>61800</v>
      </c>
      <c r="W162" s="1124">
        <f t="shared" si="153"/>
        <v>66100</v>
      </c>
      <c r="X162" s="1124">
        <f t="shared" si="153"/>
        <v>62600</v>
      </c>
      <c r="Y162" s="1124">
        <f t="shared" si="153"/>
        <v>65100</v>
      </c>
      <c r="Z162" s="1124">
        <f t="shared" si="153"/>
        <v>69200</v>
      </c>
      <c r="AA162" s="1124">
        <f t="shared" si="153"/>
        <v>73500</v>
      </c>
      <c r="AB162" s="1124">
        <f t="shared" si="153"/>
        <v>82200</v>
      </c>
      <c r="AC162" s="1124">
        <f t="shared" si="153"/>
        <v>96500</v>
      </c>
      <c r="AD162" s="1124">
        <f t="shared" si="153"/>
        <v>98400</v>
      </c>
      <c r="AE162" s="1124">
        <f t="shared" si="153"/>
        <v>104000</v>
      </c>
      <c r="AF162" s="1124">
        <f t="shared" si="153"/>
        <v>106800</v>
      </c>
      <c r="AG162" s="1124">
        <f t="shared" si="153"/>
        <v>102200</v>
      </c>
      <c r="AH162" s="1124">
        <f t="shared" si="153"/>
        <v>103700</v>
      </c>
      <c r="AI162" s="1124">
        <f t="shared" si="153"/>
        <v>106700</v>
      </c>
      <c r="AJ162" s="1124">
        <f t="shared" si="153"/>
        <v>0</v>
      </c>
      <c r="AK162" s="1124">
        <f t="shared" si="153"/>
        <v>0</v>
      </c>
      <c r="AL162" s="1124">
        <f t="shared" si="153"/>
        <v>0</v>
      </c>
      <c r="AM162" s="1124">
        <f t="shared" si="153"/>
        <v>0</v>
      </c>
      <c r="AN162" s="1124">
        <f t="shared" si="153"/>
        <v>0</v>
      </c>
      <c r="AO162" s="1124">
        <f t="shared" si="153"/>
        <v>0</v>
      </c>
      <c r="AP162" s="1124">
        <f t="shared" si="153"/>
        <v>0</v>
      </c>
      <c r="AQ162" s="1124">
        <f t="shared" si="153"/>
        <v>0</v>
      </c>
      <c r="AR162" s="1124">
        <f t="shared" si="153"/>
        <v>0</v>
      </c>
      <c r="AS162" s="1124">
        <f t="shared" si="153"/>
        <v>0</v>
      </c>
      <c r="AT162" s="42"/>
      <c r="AU162" s="78">
        <f>+Base!E162</f>
        <v>1741400</v>
      </c>
      <c r="AV162" s="81">
        <f t="shared" si="143"/>
        <v>0</v>
      </c>
      <c r="AW162" s="29"/>
      <c r="AX162" s="49"/>
      <c r="AY162" s="49"/>
      <c r="AZ162" s="42"/>
      <c r="BA162" s="49"/>
      <c r="BB162" s="49"/>
      <c r="BC162" s="39"/>
      <c r="BD162" s="39"/>
      <c r="BE162" s="39"/>
      <c r="BF162" s="49"/>
      <c r="BG162" s="49"/>
      <c r="BH162" s="49"/>
      <c r="BI162" s="49"/>
      <c r="BJ162" s="39"/>
      <c r="BK162" s="49"/>
      <c r="BL162" s="39"/>
      <c r="BM162" s="39"/>
      <c r="BN162" s="49"/>
      <c r="BO162" s="49"/>
      <c r="BP162" s="49"/>
      <c r="BQ162" s="49"/>
      <c r="BR162" s="49"/>
      <c r="BS162" s="49"/>
      <c r="BT162" s="49"/>
      <c r="BU162" s="49"/>
      <c r="BV162" s="49"/>
      <c r="BW162" s="49"/>
      <c r="BX162" s="49"/>
      <c r="BY162" s="49"/>
      <c r="BZ162" s="49"/>
      <c r="CA162" s="44"/>
      <c r="CB162" s="49"/>
      <c r="CC162" s="49"/>
      <c r="CD162" s="49"/>
      <c r="CE162" s="49"/>
      <c r="CF162" s="49"/>
      <c r="CG162" s="49"/>
      <c r="CH162" s="49"/>
      <c r="CI162" s="49"/>
      <c r="CJ162" s="49"/>
      <c r="CK162" s="49"/>
      <c r="CL162" s="49"/>
      <c r="CM162" s="49"/>
      <c r="CN162" s="49"/>
    </row>
    <row r="163" spans="1:92" hidden="1">
      <c r="A163" s="1427" t="s">
        <v>1578</v>
      </c>
      <c r="B163" s="234" t="s">
        <v>982</v>
      </c>
      <c r="C163" s="1009"/>
      <c r="D163" s="422"/>
      <c r="E163" s="29">
        <f t="shared" si="147"/>
        <v>1882400</v>
      </c>
      <c r="F163" s="31">
        <f t="shared" ref="F163:AS163" si="154">+F161+F162</f>
        <v>18400</v>
      </c>
      <c r="G163" s="1124">
        <f t="shared" si="154"/>
        <v>32500</v>
      </c>
      <c r="H163" s="1124">
        <f t="shared" si="154"/>
        <v>21100</v>
      </c>
      <c r="I163" s="1124">
        <f t="shared" si="154"/>
        <v>22400</v>
      </c>
      <c r="J163" s="1124">
        <f t="shared" si="154"/>
        <v>23900</v>
      </c>
      <c r="K163" s="1124">
        <f t="shared" si="154"/>
        <v>41100</v>
      </c>
      <c r="L163" s="1124">
        <f t="shared" si="154"/>
        <v>43400</v>
      </c>
      <c r="M163" s="1124">
        <f t="shared" si="154"/>
        <v>45700</v>
      </c>
      <c r="N163" s="1124">
        <f t="shared" si="154"/>
        <v>33400</v>
      </c>
      <c r="O163" s="1124">
        <f t="shared" si="154"/>
        <v>34900</v>
      </c>
      <c r="P163" s="1124">
        <f t="shared" si="154"/>
        <v>36100</v>
      </c>
      <c r="Q163" s="1124">
        <f t="shared" si="154"/>
        <v>38000</v>
      </c>
      <c r="R163" s="1124">
        <f t="shared" si="154"/>
        <v>44300</v>
      </c>
      <c r="S163" s="1124">
        <f t="shared" si="154"/>
        <v>47000</v>
      </c>
      <c r="T163" s="1124">
        <f t="shared" si="154"/>
        <v>59600</v>
      </c>
      <c r="U163" s="1124">
        <f t="shared" si="154"/>
        <v>66800</v>
      </c>
      <c r="V163" s="1124">
        <f t="shared" si="154"/>
        <v>67800</v>
      </c>
      <c r="W163" s="1124">
        <f t="shared" si="154"/>
        <v>72100</v>
      </c>
      <c r="X163" s="1124">
        <f t="shared" si="154"/>
        <v>68600</v>
      </c>
      <c r="Y163" s="1124">
        <f t="shared" si="154"/>
        <v>71100</v>
      </c>
      <c r="Z163" s="1124">
        <f t="shared" si="154"/>
        <v>75200</v>
      </c>
      <c r="AA163" s="1124">
        <f t="shared" si="154"/>
        <v>79500</v>
      </c>
      <c r="AB163" s="1124">
        <f t="shared" si="154"/>
        <v>88200</v>
      </c>
      <c r="AC163" s="1124">
        <f t="shared" si="154"/>
        <v>102500</v>
      </c>
      <c r="AD163" s="1124">
        <f t="shared" si="154"/>
        <v>102900</v>
      </c>
      <c r="AE163" s="1124">
        <f t="shared" si="154"/>
        <v>108500</v>
      </c>
      <c r="AF163" s="1124">
        <f t="shared" si="154"/>
        <v>111300</v>
      </c>
      <c r="AG163" s="1124">
        <f t="shared" si="154"/>
        <v>106700</v>
      </c>
      <c r="AH163" s="1124">
        <f t="shared" si="154"/>
        <v>108200</v>
      </c>
      <c r="AI163" s="1124">
        <f t="shared" si="154"/>
        <v>111200</v>
      </c>
      <c r="AJ163" s="1124">
        <f t="shared" si="154"/>
        <v>0</v>
      </c>
      <c r="AK163" s="1124">
        <f t="shared" si="154"/>
        <v>0</v>
      </c>
      <c r="AL163" s="1124">
        <f t="shared" si="154"/>
        <v>0</v>
      </c>
      <c r="AM163" s="1124">
        <f t="shared" si="154"/>
        <v>0</v>
      </c>
      <c r="AN163" s="1124">
        <f t="shared" si="154"/>
        <v>0</v>
      </c>
      <c r="AO163" s="1124">
        <f t="shared" si="154"/>
        <v>0</v>
      </c>
      <c r="AP163" s="1124">
        <f t="shared" si="154"/>
        <v>0</v>
      </c>
      <c r="AQ163" s="1124">
        <f t="shared" si="154"/>
        <v>0</v>
      </c>
      <c r="AR163" s="1124">
        <f t="shared" si="154"/>
        <v>0</v>
      </c>
      <c r="AS163" s="1124">
        <f t="shared" si="154"/>
        <v>0</v>
      </c>
      <c r="AT163" s="42"/>
      <c r="AU163" s="78">
        <f>+Base!E163</f>
        <v>1882400</v>
      </c>
      <c r="AV163" s="81">
        <f t="shared" si="143"/>
        <v>0</v>
      </c>
      <c r="AW163" s="29"/>
      <c r="AX163" s="49"/>
      <c r="AY163" s="49"/>
      <c r="AZ163" s="42"/>
      <c r="BA163" s="49"/>
      <c r="BB163" s="49"/>
      <c r="BC163" s="39"/>
      <c r="BD163" s="39"/>
      <c r="BE163" s="39"/>
      <c r="BF163" s="49"/>
      <c r="BG163" s="49"/>
      <c r="BH163" s="49"/>
      <c r="BI163" s="49"/>
      <c r="BJ163" s="39"/>
      <c r="BK163" s="49"/>
      <c r="BL163" s="39"/>
      <c r="BM163" s="39"/>
      <c r="BN163" s="49"/>
      <c r="BO163" s="49"/>
      <c r="BP163" s="49"/>
      <c r="BQ163" s="49"/>
      <c r="BR163" s="49"/>
      <c r="BS163" s="49"/>
      <c r="BT163" s="49"/>
      <c r="BU163" s="49"/>
      <c r="BV163" s="49"/>
      <c r="BW163" s="49"/>
      <c r="BX163" s="49"/>
      <c r="BY163" s="49"/>
      <c r="BZ163" s="49"/>
      <c r="CA163" s="44"/>
      <c r="CB163" s="49"/>
      <c r="CC163" s="49"/>
      <c r="CD163" s="49"/>
      <c r="CE163" s="49"/>
      <c r="CF163" s="49"/>
      <c r="CG163" s="49"/>
      <c r="CH163" s="49"/>
      <c r="CI163" s="49"/>
      <c r="CJ163" s="49"/>
      <c r="CK163" s="49"/>
      <c r="CL163" s="49"/>
      <c r="CM163" s="49"/>
      <c r="CN163" s="49"/>
    </row>
    <row r="164" spans="1:92" hidden="1">
      <c r="A164" s="1427" t="s">
        <v>1578</v>
      </c>
      <c r="B164" s="423" t="s">
        <v>983</v>
      </c>
      <c r="C164" s="423"/>
      <c r="D164" s="423"/>
      <c r="E164" s="29">
        <f t="shared" si="147"/>
        <v>1289800</v>
      </c>
      <c r="F164" s="31">
        <f t="shared" ref="F164:AS164" si="155">ROUND(+F151*0.85/Round_To,0)*Round_To</f>
        <v>0</v>
      </c>
      <c r="G164" s="1124">
        <f t="shared" si="155"/>
        <v>0</v>
      </c>
      <c r="H164" s="1124">
        <f t="shared" si="155"/>
        <v>0</v>
      </c>
      <c r="I164" s="1124">
        <f t="shared" si="155"/>
        <v>0</v>
      </c>
      <c r="J164" s="1124">
        <f t="shared" si="155"/>
        <v>0</v>
      </c>
      <c r="K164" s="1124">
        <f t="shared" si="155"/>
        <v>18800</v>
      </c>
      <c r="L164" s="1124">
        <f t="shared" si="155"/>
        <v>19100</v>
      </c>
      <c r="M164" s="1124">
        <f t="shared" si="155"/>
        <v>19600</v>
      </c>
      <c r="N164" s="1124">
        <f t="shared" si="155"/>
        <v>59400</v>
      </c>
      <c r="O164" s="1124">
        <f t="shared" si="155"/>
        <v>60600</v>
      </c>
      <c r="P164" s="1124">
        <f t="shared" si="155"/>
        <v>61800</v>
      </c>
      <c r="Q164" s="1124">
        <f t="shared" si="155"/>
        <v>63100</v>
      </c>
      <c r="R164" s="1124">
        <f t="shared" si="155"/>
        <v>64300</v>
      </c>
      <c r="S164" s="1124">
        <f t="shared" si="155"/>
        <v>65600</v>
      </c>
      <c r="T164" s="1124">
        <f t="shared" si="155"/>
        <v>66900</v>
      </c>
      <c r="U164" s="1124">
        <f t="shared" si="155"/>
        <v>68200</v>
      </c>
      <c r="V164" s="1124">
        <f t="shared" si="155"/>
        <v>53600</v>
      </c>
      <c r="W164" s="1124">
        <f t="shared" si="155"/>
        <v>54600</v>
      </c>
      <c r="X164" s="1124">
        <f t="shared" si="155"/>
        <v>55700</v>
      </c>
      <c r="Y164" s="1124">
        <f t="shared" si="155"/>
        <v>56800</v>
      </c>
      <c r="Z164" s="1124">
        <f t="shared" si="155"/>
        <v>57900</v>
      </c>
      <c r="AA164" s="1124">
        <f t="shared" si="155"/>
        <v>59100</v>
      </c>
      <c r="AB164" s="1124">
        <f t="shared" si="155"/>
        <v>60300</v>
      </c>
      <c r="AC164" s="1124">
        <f t="shared" si="155"/>
        <v>61500</v>
      </c>
      <c r="AD164" s="1124">
        <f t="shared" si="155"/>
        <v>41700</v>
      </c>
      <c r="AE164" s="1124">
        <f t="shared" si="155"/>
        <v>42500</v>
      </c>
      <c r="AF164" s="1124">
        <f t="shared" si="155"/>
        <v>43400</v>
      </c>
      <c r="AG164" s="1124">
        <f t="shared" si="155"/>
        <v>44200</v>
      </c>
      <c r="AH164" s="1124">
        <f t="shared" si="155"/>
        <v>45100</v>
      </c>
      <c r="AI164" s="1124">
        <f t="shared" si="155"/>
        <v>46000</v>
      </c>
      <c r="AJ164" s="1124">
        <f t="shared" si="155"/>
        <v>0</v>
      </c>
      <c r="AK164" s="1124">
        <f t="shared" si="155"/>
        <v>0</v>
      </c>
      <c r="AL164" s="1124">
        <f t="shared" si="155"/>
        <v>0</v>
      </c>
      <c r="AM164" s="1124">
        <f t="shared" si="155"/>
        <v>0</v>
      </c>
      <c r="AN164" s="1124">
        <f t="shared" si="155"/>
        <v>0</v>
      </c>
      <c r="AO164" s="1124">
        <f t="shared" si="155"/>
        <v>0</v>
      </c>
      <c r="AP164" s="1124">
        <f t="shared" si="155"/>
        <v>0</v>
      </c>
      <c r="AQ164" s="1124">
        <f t="shared" si="155"/>
        <v>0</v>
      </c>
      <c r="AR164" s="1124">
        <f t="shared" si="155"/>
        <v>0</v>
      </c>
      <c r="AS164" s="1124">
        <f t="shared" si="155"/>
        <v>0</v>
      </c>
      <c r="AT164" s="42"/>
      <c r="AU164" s="78">
        <f>+Base!E164</f>
        <v>1289800</v>
      </c>
      <c r="AV164" s="81">
        <f t="shared" si="143"/>
        <v>0</v>
      </c>
      <c r="AW164" s="29"/>
      <c r="AX164" s="49"/>
      <c r="AY164" s="49"/>
      <c r="AZ164" s="42"/>
      <c r="BA164" s="49"/>
      <c r="BB164" s="49"/>
      <c r="BC164" s="39"/>
      <c r="BD164" s="39"/>
      <c r="BE164" s="39"/>
      <c r="BF164" s="49"/>
      <c r="BG164" s="49"/>
      <c r="BH164" s="49"/>
      <c r="BI164" s="49"/>
      <c r="BJ164" s="39"/>
      <c r="BK164" s="49"/>
      <c r="BL164" s="39"/>
      <c r="BM164" s="39"/>
      <c r="BN164" s="49"/>
      <c r="BO164" s="49"/>
      <c r="BP164" s="49"/>
      <c r="BQ164" s="49"/>
      <c r="BR164" s="49"/>
      <c r="BS164" s="49"/>
      <c r="BT164" s="49"/>
      <c r="BU164" s="49"/>
      <c r="BV164" s="49"/>
      <c r="BW164" s="49"/>
      <c r="BX164" s="49"/>
      <c r="BY164" s="49"/>
      <c r="BZ164" s="49"/>
      <c r="CA164" s="44"/>
      <c r="CB164" s="49"/>
      <c r="CC164" s="49"/>
      <c r="CD164" s="49"/>
      <c r="CE164" s="49"/>
      <c r="CF164" s="49"/>
      <c r="CG164" s="49"/>
      <c r="CH164" s="49"/>
      <c r="CI164" s="49"/>
      <c r="CJ164" s="49"/>
      <c r="CK164" s="49"/>
      <c r="CL164" s="49"/>
      <c r="CM164" s="49"/>
      <c r="CN164" s="49"/>
    </row>
    <row r="165" spans="1:92">
      <c r="A165" s="1425"/>
      <c r="B165" s="175" t="s">
        <v>145</v>
      </c>
      <c r="C165" s="175"/>
      <c r="D165" s="32"/>
      <c r="E165" s="29">
        <f>SUM(F165:AS165)</f>
        <v>1140000</v>
      </c>
      <c r="F165" s="31">
        <f t="shared" ref="F165:AS165" si="156">ROUND(IF(F$163&lt;0,0,IF(F$163&lt;F$164,F$163,F$164))/Round_To,0)*Round_To</f>
        <v>0</v>
      </c>
      <c r="G165" s="1124">
        <f t="shared" si="156"/>
        <v>0</v>
      </c>
      <c r="H165" s="1124">
        <f t="shared" si="156"/>
        <v>0</v>
      </c>
      <c r="I165" s="1124">
        <f t="shared" si="156"/>
        <v>0</v>
      </c>
      <c r="J165" s="1124">
        <f t="shared" si="156"/>
        <v>0</v>
      </c>
      <c r="K165" s="1124">
        <f t="shared" si="156"/>
        <v>18800</v>
      </c>
      <c r="L165" s="1124">
        <f t="shared" si="156"/>
        <v>19100</v>
      </c>
      <c r="M165" s="1124">
        <f t="shared" si="156"/>
        <v>19600</v>
      </c>
      <c r="N165" s="1124">
        <f t="shared" si="156"/>
        <v>33400</v>
      </c>
      <c r="O165" s="1124">
        <f t="shared" si="156"/>
        <v>34900</v>
      </c>
      <c r="P165" s="1124">
        <f t="shared" si="156"/>
        <v>36100</v>
      </c>
      <c r="Q165" s="1124">
        <f t="shared" si="156"/>
        <v>38000</v>
      </c>
      <c r="R165" s="1124">
        <f t="shared" si="156"/>
        <v>44300</v>
      </c>
      <c r="S165" s="1124">
        <f t="shared" si="156"/>
        <v>47000</v>
      </c>
      <c r="T165" s="1124">
        <f t="shared" si="156"/>
        <v>59600</v>
      </c>
      <c r="U165" s="1124">
        <f t="shared" si="156"/>
        <v>66800</v>
      </c>
      <c r="V165" s="1124">
        <f t="shared" si="156"/>
        <v>53600</v>
      </c>
      <c r="W165" s="1124">
        <f t="shared" si="156"/>
        <v>54600</v>
      </c>
      <c r="X165" s="1124">
        <f t="shared" si="156"/>
        <v>55700</v>
      </c>
      <c r="Y165" s="1124">
        <f t="shared" si="156"/>
        <v>56800</v>
      </c>
      <c r="Z165" s="1124">
        <f t="shared" si="156"/>
        <v>57900</v>
      </c>
      <c r="AA165" s="1124">
        <f t="shared" si="156"/>
        <v>59100</v>
      </c>
      <c r="AB165" s="1124">
        <f t="shared" si="156"/>
        <v>60300</v>
      </c>
      <c r="AC165" s="1124">
        <f t="shared" si="156"/>
        <v>61500</v>
      </c>
      <c r="AD165" s="1124">
        <f t="shared" si="156"/>
        <v>41700</v>
      </c>
      <c r="AE165" s="1124">
        <f t="shared" si="156"/>
        <v>42500</v>
      </c>
      <c r="AF165" s="1124">
        <f t="shared" si="156"/>
        <v>43400</v>
      </c>
      <c r="AG165" s="1124">
        <f t="shared" si="156"/>
        <v>44200</v>
      </c>
      <c r="AH165" s="1124">
        <f t="shared" si="156"/>
        <v>45100</v>
      </c>
      <c r="AI165" s="1124">
        <f t="shared" si="156"/>
        <v>46000</v>
      </c>
      <c r="AJ165" s="1124">
        <f t="shared" si="156"/>
        <v>0</v>
      </c>
      <c r="AK165" s="1124">
        <f t="shared" si="156"/>
        <v>0</v>
      </c>
      <c r="AL165" s="1124">
        <f t="shared" si="156"/>
        <v>0</v>
      </c>
      <c r="AM165" s="1124">
        <f t="shared" si="156"/>
        <v>0</v>
      </c>
      <c r="AN165" s="1124">
        <f t="shared" si="156"/>
        <v>0</v>
      </c>
      <c r="AO165" s="1124">
        <f t="shared" si="156"/>
        <v>0</v>
      </c>
      <c r="AP165" s="1124">
        <f t="shared" si="156"/>
        <v>0</v>
      </c>
      <c r="AQ165" s="1124">
        <f t="shared" si="156"/>
        <v>0</v>
      </c>
      <c r="AR165" s="1124">
        <f t="shared" si="156"/>
        <v>0</v>
      </c>
      <c r="AS165" s="1124">
        <f t="shared" si="156"/>
        <v>0</v>
      </c>
      <c r="AT165" s="42"/>
      <c r="AU165" s="78">
        <f>+Base!E165</f>
        <v>1140000</v>
      </c>
      <c r="AV165" s="81">
        <f>+E165-AU165</f>
        <v>0</v>
      </c>
      <c r="AW165" s="29"/>
      <c r="AX165" s="49"/>
      <c r="AY165" s="49"/>
      <c r="AZ165" s="42"/>
      <c r="BA165" s="49"/>
      <c r="BB165" s="49"/>
      <c r="BC165" s="39"/>
      <c r="BD165" s="39"/>
      <c r="BE165" s="39"/>
      <c r="BF165" s="49"/>
      <c r="BG165" s="49"/>
      <c r="BH165" s="49"/>
      <c r="BI165" s="49"/>
      <c r="BJ165" s="39"/>
      <c r="BK165" s="49"/>
      <c r="BL165" s="39"/>
      <c r="BM165" s="39"/>
      <c r="BN165" s="49"/>
      <c r="BO165" s="49"/>
      <c r="BP165" s="49"/>
      <c r="BQ165" s="49"/>
      <c r="BR165" s="49"/>
      <c r="BS165" s="49"/>
      <c r="BT165" s="49"/>
      <c r="BU165" s="49"/>
      <c r="BV165" s="49"/>
      <c r="BW165" s="49"/>
      <c r="BX165" s="49"/>
      <c r="BY165" s="49"/>
      <c r="BZ165" s="49"/>
      <c r="CA165" s="44"/>
      <c r="CB165" s="49"/>
      <c r="CC165" s="49"/>
      <c r="CD165" s="49"/>
      <c r="CE165" s="49"/>
      <c r="CF165" s="49"/>
      <c r="CG165" s="49"/>
      <c r="CH165" s="49"/>
      <c r="CI165" s="49"/>
      <c r="CJ165" s="49"/>
      <c r="CK165" s="49"/>
      <c r="CL165" s="49"/>
      <c r="CM165" s="49"/>
      <c r="CN165" s="49"/>
    </row>
    <row r="166" spans="1:92">
      <c r="A166" s="1425"/>
      <c r="B166" s="72" t="s">
        <v>1288</v>
      </c>
      <c r="C166" s="32"/>
      <c r="D166" s="32"/>
      <c r="E166" s="39"/>
      <c r="F166" s="43">
        <f t="shared" ref="F166:AS166" si="157">IF(F61=0,0,+F165/F61)</f>
        <v>0</v>
      </c>
      <c r="G166" s="43">
        <f t="shared" si="157"/>
        <v>0</v>
      </c>
      <c r="H166" s="43">
        <f t="shared" si="157"/>
        <v>0</v>
      </c>
      <c r="I166" s="43">
        <f t="shared" si="157"/>
        <v>0</v>
      </c>
      <c r="J166" s="43">
        <f t="shared" si="157"/>
        <v>0</v>
      </c>
      <c r="K166" s="43">
        <f t="shared" si="157"/>
        <v>0.85067873303167418</v>
      </c>
      <c r="L166" s="43">
        <f t="shared" si="157"/>
        <v>0.84888888888888892</v>
      </c>
      <c r="M166" s="43">
        <f t="shared" si="157"/>
        <v>0.85217391304347823</v>
      </c>
      <c r="N166" s="43">
        <f t="shared" si="157"/>
        <v>0.47782546494992845</v>
      </c>
      <c r="O166" s="43">
        <f t="shared" si="157"/>
        <v>0.48948106591865359</v>
      </c>
      <c r="P166" s="43">
        <f t="shared" si="157"/>
        <v>0.49656121045392021</v>
      </c>
      <c r="Q166" s="43">
        <f t="shared" si="157"/>
        <v>0.5121293800539084</v>
      </c>
      <c r="R166" s="43">
        <f t="shared" si="157"/>
        <v>0.58520475561426688</v>
      </c>
      <c r="S166" s="43">
        <f t="shared" si="157"/>
        <v>0.60880829015544047</v>
      </c>
      <c r="T166" s="43">
        <f t="shared" si="157"/>
        <v>0.75730622617534937</v>
      </c>
      <c r="U166" s="43">
        <f t="shared" si="157"/>
        <v>0.83291770573566082</v>
      </c>
      <c r="V166" s="43">
        <f t="shared" si="157"/>
        <v>0.85079365079365077</v>
      </c>
      <c r="W166" s="43">
        <f t="shared" si="157"/>
        <v>0.85046728971962615</v>
      </c>
      <c r="X166" s="43">
        <f t="shared" si="157"/>
        <v>0.85038167938931297</v>
      </c>
      <c r="Y166" s="43">
        <f t="shared" si="157"/>
        <v>0.85029940119760483</v>
      </c>
      <c r="Z166" s="43">
        <f t="shared" si="157"/>
        <v>0.85022026431718056</v>
      </c>
      <c r="AA166" s="43">
        <f t="shared" si="157"/>
        <v>0.85035971223021578</v>
      </c>
      <c r="AB166" s="43">
        <f t="shared" si="157"/>
        <v>0.85049365303244007</v>
      </c>
      <c r="AC166" s="43">
        <f t="shared" si="157"/>
        <v>0.85062240663900412</v>
      </c>
      <c r="AD166" s="43">
        <f t="shared" si="157"/>
        <v>0.8510204081632653</v>
      </c>
      <c r="AE166" s="43">
        <f t="shared" si="157"/>
        <v>0.85</v>
      </c>
      <c r="AF166" s="43">
        <f t="shared" si="157"/>
        <v>0.85098039215686272</v>
      </c>
      <c r="AG166" s="43">
        <f t="shared" si="157"/>
        <v>0.85</v>
      </c>
      <c r="AH166" s="43">
        <f t="shared" si="157"/>
        <v>0.85094339622641513</v>
      </c>
      <c r="AI166" s="43">
        <f t="shared" si="157"/>
        <v>0.85027726432532347</v>
      </c>
      <c r="AJ166" s="43">
        <f t="shared" si="157"/>
        <v>0</v>
      </c>
      <c r="AK166" s="43">
        <f t="shared" si="157"/>
        <v>0</v>
      </c>
      <c r="AL166" s="43">
        <f t="shared" si="157"/>
        <v>0</v>
      </c>
      <c r="AM166" s="43">
        <f t="shared" si="157"/>
        <v>0</v>
      </c>
      <c r="AN166" s="43">
        <f t="shared" si="157"/>
        <v>0</v>
      </c>
      <c r="AO166" s="43">
        <f t="shared" si="157"/>
        <v>0</v>
      </c>
      <c r="AP166" s="43">
        <f t="shared" si="157"/>
        <v>0</v>
      </c>
      <c r="AQ166" s="43">
        <f t="shared" si="157"/>
        <v>0</v>
      </c>
      <c r="AR166" s="43">
        <f t="shared" si="157"/>
        <v>0</v>
      </c>
      <c r="AS166" s="43">
        <f t="shared" si="157"/>
        <v>0</v>
      </c>
      <c r="AT166" s="42"/>
      <c r="AU166" s="43"/>
      <c r="AV166" s="43"/>
      <c r="AW166" s="39"/>
      <c r="AX166" s="49"/>
      <c r="AY166" s="49"/>
      <c r="AZ166" s="42"/>
      <c r="BA166" s="49"/>
      <c r="BB166" s="49"/>
      <c r="BC166" s="39"/>
      <c r="BD166" s="39"/>
      <c r="BE166" s="39"/>
      <c r="BF166" s="49"/>
      <c r="BG166" s="49"/>
      <c r="BH166" s="49"/>
      <c r="BI166" s="49"/>
      <c r="BJ166" s="39"/>
      <c r="BK166" s="49"/>
      <c r="BL166" s="39"/>
      <c r="BM166" s="39"/>
      <c r="BN166" s="49"/>
      <c r="BO166" s="49"/>
      <c r="BP166" s="49"/>
      <c r="BQ166" s="49"/>
      <c r="BR166" s="49"/>
      <c r="BS166" s="49"/>
      <c r="BT166" s="49"/>
      <c r="BU166" s="49"/>
      <c r="BV166" s="49"/>
      <c r="BW166" s="49"/>
      <c r="BX166" s="49"/>
      <c r="BY166" s="49"/>
      <c r="BZ166" s="49"/>
      <c r="CA166" s="44"/>
      <c r="CB166" s="49"/>
      <c r="CC166" s="49"/>
      <c r="CD166" s="49"/>
      <c r="CE166" s="49"/>
      <c r="CF166" s="49"/>
      <c r="CG166" s="49"/>
      <c r="CH166" s="49"/>
      <c r="CI166" s="49"/>
      <c r="CJ166" s="49"/>
      <c r="CK166" s="49"/>
      <c r="CL166" s="49"/>
      <c r="CM166" s="49"/>
      <c r="CN166" s="49"/>
    </row>
    <row r="167" spans="1:92" ht="15.6">
      <c r="A167" s="1425"/>
      <c r="B167" s="28"/>
      <c r="C167" s="32"/>
      <c r="E167" s="376"/>
      <c r="F167" s="152"/>
      <c r="G167" s="152"/>
      <c r="H167" s="152"/>
      <c r="I167" s="152"/>
      <c r="J167" s="152"/>
      <c r="K167" s="152"/>
      <c r="L167" s="152"/>
      <c r="M167" s="152"/>
      <c r="N167" s="152"/>
      <c r="O167" s="152"/>
      <c r="P167" s="152"/>
      <c r="Q167" s="152"/>
      <c r="R167" s="152"/>
      <c r="S167" s="152"/>
      <c r="T167" s="152"/>
      <c r="U167" s="152"/>
      <c r="V167" s="152"/>
      <c r="W167" s="152"/>
      <c r="X167" s="152"/>
      <c r="Y167" s="152"/>
      <c r="Z167" s="152"/>
      <c r="AA167" s="152"/>
      <c r="AB167" s="152"/>
      <c r="AC167" s="152"/>
      <c r="AD167" s="152"/>
      <c r="AE167" s="152"/>
      <c r="AF167" s="152"/>
      <c r="AG167" s="152"/>
      <c r="AH167" s="152"/>
      <c r="AI167" s="152"/>
      <c r="AJ167" s="152"/>
      <c r="AK167" s="152"/>
      <c r="AL167" s="152"/>
      <c r="AM167" s="152"/>
      <c r="AN167" s="31"/>
      <c r="AO167" s="31"/>
      <c r="AP167" s="31"/>
      <c r="AQ167" s="31"/>
      <c r="AR167" s="31"/>
      <c r="AS167" s="31"/>
      <c r="AT167" s="42"/>
      <c r="AU167" s="47"/>
      <c r="AV167" s="48"/>
      <c r="AW167" s="39"/>
      <c r="AX167" s="49"/>
      <c r="AY167" s="49"/>
      <c r="AZ167" s="42"/>
      <c r="BA167" s="49"/>
      <c r="BB167" s="49"/>
      <c r="BC167" s="39"/>
      <c r="BD167" s="39"/>
      <c r="BE167" s="39"/>
      <c r="BF167" s="49"/>
      <c r="BG167" s="49"/>
      <c r="BH167" s="49"/>
      <c r="BI167" s="49"/>
      <c r="BJ167" s="39"/>
      <c r="BK167" s="49"/>
      <c r="BL167" s="39"/>
      <c r="BM167" s="39"/>
      <c r="BN167" s="49"/>
      <c r="BO167" s="49"/>
      <c r="BP167" s="49"/>
      <c r="BQ167" s="49"/>
      <c r="BR167" s="49"/>
      <c r="BS167" s="49"/>
      <c r="BT167" s="49"/>
      <c r="BU167" s="49"/>
      <c r="BV167" s="49"/>
      <c r="BW167" s="49"/>
      <c r="BX167" s="49"/>
      <c r="BY167" s="49"/>
      <c r="BZ167" s="49"/>
      <c r="CA167" s="44"/>
      <c r="CB167" s="49"/>
      <c r="CC167" s="49"/>
      <c r="CD167" s="49"/>
      <c r="CE167" s="49"/>
      <c r="CF167" s="49"/>
      <c r="CG167" s="49"/>
      <c r="CH167" s="49"/>
      <c r="CI167" s="49"/>
      <c r="CJ167" s="49"/>
      <c r="CK167" s="49"/>
      <c r="CL167" s="49"/>
      <c r="CM167" s="49"/>
      <c r="CN167" s="49"/>
    </row>
    <row r="168" spans="1:92" ht="18" thickBot="1">
      <c r="A168" s="1431"/>
      <c r="B168" s="1060" t="s">
        <v>1111</v>
      </c>
      <c r="C168" s="1010"/>
      <c r="D168" s="505"/>
      <c r="E168" s="39"/>
      <c r="F168" s="31"/>
      <c r="G168" s="31"/>
      <c r="H168" s="31"/>
      <c r="I168" s="31"/>
      <c r="J168" s="31"/>
      <c r="K168" s="31"/>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c r="AI168" s="31"/>
      <c r="AJ168" s="31"/>
      <c r="AK168" s="31"/>
      <c r="AL168" s="31"/>
      <c r="AM168" s="31"/>
      <c r="AN168" s="31"/>
      <c r="AO168" s="31"/>
      <c r="AP168" s="31"/>
      <c r="AQ168" s="31"/>
      <c r="AR168" s="31"/>
      <c r="AS168" s="31"/>
      <c r="AT168" s="42"/>
      <c r="AU168" s="47"/>
      <c r="AV168" s="48"/>
      <c r="AW168" s="39"/>
      <c r="AX168" s="49"/>
      <c r="AY168" s="49"/>
      <c r="AZ168" s="42"/>
      <c r="BA168" s="49"/>
      <c r="BB168" s="49"/>
      <c r="BC168" s="39"/>
      <c r="BD168" s="39"/>
      <c r="BE168" s="39"/>
      <c r="BF168" s="49"/>
      <c r="BG168" s="49"/>
      <c r="BH168" s="49"/>
      <c r="BI168" s="49"/>
      <c r="BJ168" s="39"/>
      <c r="BK168" s="49"/>
      <c r="BL168" s="39"/>
      <c r="BM168" s="39"/>
      <c r="BN168" s="49"/>
      <c r="BO168" s="49"/>
      <c r="BP168" s="49"/>
      <c r="BQ168" s="49"/>
      <c r="BR168" s="49"/>
      <c r="BS168" s="49"/>
      <c r="BT168" s="49"/>
      <c r="BU168" s="49"/>
      <c r="BV168" s="49"/>
      <c r="BW168" s="49"/>
      <c r="BX168" s="49"/>
      <c r="BY168" s="49"/>
      <c r="BZ168" s="49"/>
      <c r="CA168" s="44"/>
      <c r="CB168" s="49"/>
      <c r="CC168" s="49"/>
      <c r="CD168" s="49"/>
      <c r="CE168" s="49"/>
      <c r="CF168" s="49"/>
      <c r="CG168" s="49"/>
      <c r="CH168" s="49"/>
      <c r="CI168" s="49"/>
      <c r="CJ168" s="49"/>
      <c r="CK168" s="49"/>
      <c r="CL168" s="49"/>
      <c r="CM168" s="49"/>
      <c r="CN168" s="49"/>
    </row>
    <row r="169" spans="1:92" hidden="1">
      <c r="A169" s="1427" t="s">
        <v>1578</v>
      </c>
      <c r="B169" s="234" t="s">
        <v>944</v>
      </c>
      <c r="C169" s="422"/>
      <c r="D169" s="32"/>
      <c r="E169" s="29">
        <f t="shared" ref="E169:E184" si="158">SUM(F169:AS169)</f>
        <v>748900</v>
      </c>
      <c r="F169" s="31">
        <f t="shared" ref="F169:AS169" si="159">+F28</f>
        <v>9600</v>
      </c>
      <c r="G169" s="1124">
        <f t="shared" si="159"/>
        <v>9300</v>
      </c>
      <c r="H169" s="1124">
        <f t="shared" si="159"/>
        <v>8900</v>
      </c>
      <c r="I169" s="1124">
        <f t="shared" si="159"/>
        <v>8300</v>
      </c>
      <c r="J169" s="1124">
        <f t="shared" si="159"/>
        <v>7700</v>
      </c>
      <c r="K169" s="1124">
        <f t="shared" si="159"/>
        <v>7600</v>
      </c>
      <c r="L169" s="1124">
        <f t="shared" si="159"/>
        <v>8100</v>
      </c>
      <c r="M169" s="1124">
        <f t="shared" si="159"/>
        <v>8600</v>
      </c>
      <c r="N169" s="1124">
        <f t="shared" si="159"/>
        <v>9400</v>
      </c>
      <c r="O169" s="1124">
        <f t="shared" si="159"/>
        <v>10900</v>
      </c>
      <c r="P169" s="1124">
        <f t="shared" si="159"/>
        <v>10700</v>
      </c>
      <c r="Q169" s="1124">
        <f t="shared" si="159"/>
        <v>11500</v>
      </c>
      <c r="R169" s="1124">
        <f t="shared" si="159"/>
        <v>14000</v>
      </c>
      <c r="S169" s="1124">
        <f t="shared" si="159"/>
        <v>15800</v>
      </c>
      <c r="T169" s="1124">
        <f t="shared" si="159"/>
        <v>16000</v>
      </c>
      <c r="U169" s="1124">
        <f t="shared" si="159"/>
        <v>18000</v>
      </c>
      <c r="V169" s="1124">
        <f t="shared" si="159"/>
        <v>22400</v>
      </c>
      <c r="W169" s="1124">
        <f t="shared" si="159"/>
        <v>25200</v>
      </c>
      <c r="X169" s="1124">
        <f t="shared" si="159"/>
        <v>22700</v>
      </c>
      <c r="Y169" s="1124">
        <f t="shared" si="159"/>
        <v>24000</v>
      </c>
      <c r="Z169" s="1124">
        <f t="shared" si="159"/>
        <v>25500</v>
      </c>
      <c r="AA169" s="1124">
        <f t="shared" si="159"/>
        <v>27100</v>
      </c>
      <c r="AB169" s="1124">
        <f t="shared" si="159"/>
        <v>37000</v>
      </c>
      <c r="AC169" s="1124">
        <f t="shared" si="159"/>
        <v>47300</v>
      </c>
      <c r="AD169" s="1124">
        <f t="shared" si="159"/>
        <v>51500</v>
      </c>
      <c r="AE169" s="1124">
        <f t="shared" si="159"/>
        <v>55100</v>
      </c>
      <c r="AF169" s="1124">
        <f t="shared" si="159"/>
        <v>56800</v>
      </c>
      <c r="AG169" s="1124">
        <f t="shared" si="159"/>
        <v>58400</v>
      </c>
      <c r="AH169" s="1124">
        <f t="shared" si="159"/>
        <v>60000</v>
      </c>
      <c r="AI169" s="1124">
        <f t="shared" si="159"/>
        <v>61500</v>
      </c>
      <c r="AJ169" s="1124">
        <f t="shared" si="159"/>
        <v>0</v>
      </c>
      <c r="AK169" s="1124">
        <f t="shared" si="159"/>
        <v>0</v>
      </c>
      <c r="AL169" s="1124">
        <f t="shared" si="159"/>
        <v>0</v>
      </c>
      <c r="AM169" s="1124">
        <f t="shared" si="159"/>
        <v>0</v>
      </c>
      <c r="AN169" s="1124">
        <f t="shared" si="159"/>
        <v>0</v>
      </c>
      <c r="AO169" s="1124">
        <f t="shared" si="159"/>
        <v>0</v>
      </c>
      <c r="AP169" s="1124">
        <f t="shared" si="159"/>
        <v>0</v>
      </c>
      <c r="AQ169" s="1124">
        <f t="shared" si="159"/>
        <v>0</v>
      </c>
      <c r="AR169" s="1124">
        <f t="shared" si="159"/>
        <v>0</v>
      </c>
      <c r="AS169" s="1124">
        <f t="shared" si="159"/>
        <v>0</v>
      </c>
      <c r="AT169" s="42"/>
      <c r="AU169" s="78">
        <f>+Base!E169</f>
        <v>748900</v>
      </c>
      <c r="AV169" s="81">
        <f t="shared" ref="AV169:AV176" si="160">+E169-AU169</f>
        <v>0</v>
      </c>
      <c r="AW169" s="29"/>
      <c r="AX169" s="49"/>
      <c r="AY169" s="49"/>
      <c r="AZ169" s="42"/>
      <c r="BA169" s="49"/>
      <c r="BB169" s="49"/>
      <c r="BC169" s="39"/>
      <c r="BD169" s="39"/>
      <c r="BE169" s="39"/>
      <c r="BF169" s="49"/>
      <c r="BG169" s="49"/>
      <c r="BH169" s="49"/>
      <c r="BI169" s="49"/>
      <c r="BJ169" s="39"/>
      <c r="BK169" s="49"/>
      <c r="BL169" s="39"/>
      <c r="BM169" s="39"/>
      <c r="BN169" s="49"/>
      <c r="BO169" s="49"/>
      <c r="BP169" s="49"/>
      <c r="BQ169" s="49"/>
      <c r="BR169" s="49"/>
      <c r="BS169" s="49"/>
      <c r="BT169" s="49"/>
      <c r="BU169" s="49"/>
      <c r="BV169" s="49"/>
      <c r="BW169" s="49"/>
      <c r="BX169" s="49"/>
      <c r="BY169" s="49"/>
      <c r="BZ169" s="49"/>
      <c r="CA169" s="44"/>
      <c r="CB169" s="49"/>
      <c r="CC169" s="49"/>
      <c r="CD169" s="49"/>
      <c r="CE169" s="49"/>
      <c r="CF169" s="49"/>
      <c r="CG169" s="49"/>
      <c r="CH169" s="49"/>
      <c r="CI169" s="49"/>
      <c r="CJ169" s="49"/>
      <c r="CK169" s="49"/>
      <c r="CL169" s="49"/>
      <c r="CM169" s="49"/>
      <c r="CN169" s="49"/>
    </row>
    <row r="170" spans="1:92" hidden="1">
      <c r="A170" s="1427" t="s">
        <v>1578</v>
      </c>
      <c r="B170" s="234" t="s">
        <v>294</v>
      </c>
      <c r="C170" s="422"/>
      <c r="D170" s="422"/>
      <c r="E170" s="29">
        <f t="shared" si="158"/>
        <v>-334400</v>
      </c>
      <c r="F170" s="551">
        <f>-F417</f>
        <v>-2900</v>
      </c>
      <c r="G170" s="1124">
        <f t="shared" ref="G170:AS170" si="161">-G417</f>
        <v>-2800</v>
      </c>
      <c r="H170" s="1124">
        <f t="shared" si="161"/>
        <v>-2700</v>
      </c>
      <c r="I170" s="1124">
        <f t="shared" si="161"/>
        <v>-2500</v>
      </c>
      <c r="J170" s="1124">
        <f t="shared" si="161"/>
        <v>-2300</v>
      </c>
      <c r="K170" s="1124">
        <f t="shared" si="161"/>
        <v>-2300</v>
      </c>
      <c r="L170" s="1124">
        <f t="shared" si="161"/>
        <v>-2400</v>
      </c>
      <c r="M170" s="1124">
        <f t="shared" si="161"/>
        <v>-2600</v>
      </c>
      <c r="N170" s="1124">
        <f t="shared" si="161"/>
        <v>-2800</v>
      </c>
      <c r="O170" s="1124">
        <f t="shared" si="161"/>
        <v>-3300</v>
      </c>
      <c r="P170" s="1124">
        <f t="shared" si="161"/>
        <v>-3200</v>
      </c>
      <c r="Q170" s="1124">
        <f t="shared" si="161"/>
        <v>-3500</v>
      </c>
      <c r="R170" s="1124">
        <f t="shared" si="161"/>
        <v>-4200</v>
      </c>
      <c r="S170" s="1124">
        <f t="shared" si="161"/>
        <v>-4700</v>
      </c>
      <c r="T170" s="1124">
        <f t="shared" si="161"/>
        <v>-4800</v>
      </c>
      <c r="U170" s="1124">
        <f t="shared" si="161"/>
        <v>-5400</v>
      </c>
      <c r="V170" s="1124">
        <f t="shared" si="161"/>
        <v>-6700</v>
      </c>
      <c r="W170" s="1124">
        <f t="shared" si="161"/>
        <v>-7600</v>
      </c>
      <c r="X170" s="1124">
        <f t="shared" si="161"/>
        <v>-11500</v>
      </c>
      <c r="Y170" s="1124">
        <f t="shared" si="161"/>
        <v>-12200</v>
      </c>
      <c r="Z170" s="1124">
        <f t="shared" si="161"/>
        <v>-13000</v>
      </c>
      <c r="AA170" s="1124">
        <f t="shared" si="161"/>
        <v>-13800</v>
      </c>
      <c r="AB170" s="1124">
        <f t="shared" si="161"/>
        <v>-17700</v>
      </c>
      <c r="AC170" s="1124">
        <f t="shared" si="161"/>
        <v>-24100</v>
      </c>
      <c r="AD170" s="1124">
        <f t="shared" si="161"/>
        <v>-26000</v>
      </c>
      <c r="AE170" s="1124">
        <f t="shared" si="161"/>
        <v>-28200</v>
      </c>
      <c r="AF170" s="1124">
        <f t="shared" si="161"/>
        <v>-29100</v>
      </c>
      <c r="AG170" s="1124">
        <f t="shared" si="161"/>
        <v>-29900</v>
      </c>
      <c r="AH170" s="1124">
        <f t="shared" si="161"/>
        <v>-30700</v>
      </c>
      <c r="AI170" s="1124">
        <f t="shared" si="161"/>
        <v>-31500</v>
      </c>
      <c r="AJ170" s="1124">
        <f t="shared" si="161"/>
        <v>0</v>
      </c>
      <c r="AK170" s="1124">
        <f t="shared" si="161"/>
        <v>0</v>
      </c>
      <c r="AL170" s="1124">
        <f t="shared" si="161"/>
        <v>0</v>
      </c>
      <c r="AM170" s="1124">
        <f t="shared" si="161"/>
        <v>0</v>
      </c>
      <c r="AN170" s="1124">
        <f t="shared" si="161"/>
        <v>0</v>
      </c>
      <c r="AO170" s="1124">
        <f t="shared" si="161"/>
        <v>0</v>
      </c>
      <c r="AP170" s="1124">
        <f t="shared" si="161"/>
        <v>0</v>
      </c>
      <c r="AQ170" s="1124">
        <f t="shared" si="161"/>
        <v>0</v>
      </c>
      <c r="AR170" s="1124">
        <f t="shared" si="161"/>
        <v>0</v>
      </c>
      <c r="AS170" s="1124">
        <f t="shared" si="161"/>
        <v>0</v>
      </c>
      <c r="AT170" s="42"/>
      <c r="AU170" s="78">
        <f>+Base!E170</f>
        <v>-334400</v>
      </c>
      <c r="AV170" s="81">
        <f>+E170-AU170</f>
        <v>0</v>
      </c>
      <c r="AW170" s="29"/>
      <c r="AX170" s="49"/>
      <c r="AY170" s="49"/>
      <c r="AZ170" s="42"/>
      <c r="BA170" s="49"/>
      <c r="BB170" s="49"/>
      <c r="BC170" s="39"/>
      <c r="BD170" s="39"/>
      <c r="BE170" s="39"/>
      <c r="BF170" s="49"/>
      <c r="BG170" s="49"/>
      <c r="BH170" s="49"/>
      <c r="BI170" s="49"/>
      <c r="BJ170" s="39"/>
      <c r="BK170" s="49"/>
      <c r="BL170" s="39"/>
      <c r="BM170" s="39"/>
      <c r="BN170" s="49"/>
      <c r="BO170" s="49"/>
      <c r="BP170" s="49"/>
      <c r="BQ170" s="49"/>
      <c r="BR170" s="49"/>
      <c r="BS170" s="49"/>
      <c r="BT170" s="49"/>
      <c r="BU170" s="49"/>
      <c r="BV170" s="49"/>
      <c r="BW170" s="49"/>
      <c r="BX170" s="49"/>
      <c r="BY170" s="49"/>
      <c r="BZ170" s="49"/>
      <c r="CA170" s="44"/>
      <c r="CB170" s="49"/>
      <c r="CC170" s="49"/>
      <c r="CD170" s="49"/>
      <c r="CE170" s="49"/>
      <c r="CF170" s="49"/>
      <c r="CG170" s="49"/>
      <c r="CH170" s="49"/>
      <c r="CI170" s="49"/>
      <c r="CJ170" s="49"/>
      <c r="CK170" s="49"/>
      <c r="CL170" s="49"/>
      <c r="CM170" s="49"/>
      <c r="CN170" s="49"/>
    </row>
    <row r="171" spans="1:92" hidden="1">
      <c r="A171" s="1427" t="s">
        <v>1578</v>
      </c>
      <c r="B171" s="234" t="s">
        <v>226</v>
      </c>
      <c r="C171" s="422"/>
      <c r="D171" s="1370">
        <f>Taxable_Tax_Rate</f>
        <v>0.6</v>
      </c>
      <c r="E171" s="29">
        <f t="shared" si="158"/>
        <v>-248800</v>
      </c>
      <c r="F171" s="354">
        <f>ROUND(-Taxable_Tax_Rate*(F169+F170)/Round_To,0)*Round_To</f>
        <v>-4000</v>
      </c>
      <c r="G171" s="1124">
        <f t="shared" ref="G171:AS171" si="162">ROUND(-Taxable_Tax_Rate*(G169+G170)/Round_To,0)*Round_To</f>
        <v>-3900</v>
      </c>
      <c r="H171" s="1124">
        <f t="shared" si="162"/>
        <v>-3700</v>
      </c>
      <c r="I171" s="1124">
        <f t="shared" si="162"/>
        <v>-3500</v>
      </c>
      <c r="J171" s="1124">
        <f t="shared" si="162"/>
        <v>-3200</v>
      </c>
      <c r="K171" s="1124">
        <f t="shared" si="162"/>
        <v>-3200</v>
      </c>
      <c r="L171" s="1124">
        <f t="shared" si="162"/>
        <v>-3400</v>
      </c>
      <c r="M171" s="1124">
        <f t="shared" si="162"/>
        <v>-3600</v>
      </c>
      <c r="N171" s="1124">
        <f t="shared" si="162"/>
        <v>-4000</v>
      </c>
      <c r="O171" s="1124">
        <f t="shared" si="162"/>
        <v>-4600</v>
      </c>
      <c r="P171" s="1124">
        <f t="shared" si="162"/>
        <v>-4500</v>
      </c>
      <c r="Q171" s="1124">
        <f t="shared" si="162"/>
        <v>-4800</v>
      </c>
      <c r="R171" s="1124">
        <f t="shared" si="162"/>
        <v>-5900</v>
      </c>
      <c r="S171" s="1124">
        <f t="shared" si="162"/>
        <v>-6700</v>
      </c>
      <c r="T171" s="1124">
        <f t="shared" si="162"/>
        <v>-6700</v>
      </c>
      <c r="U171" s="1124">
        <f t="shared" si="162"/>
        <v>-7600</v>
      </c>
      <c r="V171" s="1124">
        <f t="shared" si="162"/>
        <v>-9400</v>
      </c>
      <c r="W171" s="1124">
        <f t="shared" si="162"/>
        <v>-10600</v>
      </c>
      <c r="X171" s="1124">
        <f t="shared" si="162"/>
        <v>-6700</v>
      </c>
      <c r="Y171" s="1124">
        <f t="shared" si="162"/>
        <v>-7100</v>
      </c>
      <c r="Z171" s="1124">
        <f t="shared" si="162"/>
        <v>-7500</v>
      </c>
      <c r="AA171" s="1124">
        <f t="shared" si="162"/>
        <v>-8000</v>
      </c>
      <c r="AB171" s="1124">
        <f t="shared" si="162"/>
        <v>-11600</v>
      </c>
      <c r="AC171" s="1124">
        <f t="shared" si="162"/>
        <v>-13900</v>
      </c>
      <c r="AD171" s="1124">
        <f t="shared" si="162"/>
        <v>-15300</v>
      </c>
      <c r="AE171" s="1124">
        <f t="shared" si="162"/>
        <v>-16100</v>
      </c>
      <c r="AF171" s="1124">
        <f t="shared" si="162"/>
        <v>-16600</v>
      </c>
      <c r="AG171" s="1124">
        <f t="shared" si="162"/>
        <v>-17100</v>
      </c>
      <c r="AH171" s="1124">
        <f t="shared" si="162"/>
        <v>-17600</v>
      </c>
      <c r="AI171" s="1124">
        <f t="shared" si="162"/>
        <v>-18000</v>
      </c>
      <c r="AJ171" s="1124">
        <f t="shared" si="162"/>
        <v>0</v>
      </c>
      <c r="AK171" s="1124">
        <f t="shared" si="162"/>
        <v>0</v>
      </c>
      <c r="AL171" s="1124">
        <f t="shared" si="162"/>
        <v>0</v>
      </c>
      <c r="AM171" s="1124">
        <f t="shared" si="162"/>
        <v>0</v>
      </c>
      <c r="AN171" s="1124">
        <f t="shared" si="162"/>
        <v>0</v>
      </c>
      <c r="AO171" s="1124">
        <f t="shared" si="162"/>
        <v>0</v>
      </c>
      <c r="AP171" s="1124">
        <f t="shared" si="162"/>
        <v>0</v>
      </c>
      <c r="AQ171" s="1124">
        <f t="shared" si="162"/>
        <v>0</v>
      </c>
      <c r="AR171" s="1124">
        <f t="shared" si="162"/>
        <v>0</v>
      </c>
      <c r="AS171" s="1124">
        <f t="shared" si="162"/>
        <v>0</v>
      </c>
      <c r="AT171" s="42"/>
      <c r="AU171" s="78">
        <f>+Base!E171</f>
        <v>-248800</v>
      </c>
      <c r="AV171" s="81">
        <f>+E171-AU171</f>
        <v>0</v>
      </c>
      <c r="AW171" s="29"/>
      <c r="AX171" s="49"/>
      <c r="AY171" s="49"/>
      <c r="AZ171" s="42"/>
      <c r="BA171" s="49"/>
      <c r="BB171" s="49"/>
      <c r="BC171" s="39"/>
      <c r="BD171" s="39"/>
      <c r="BE171" s="39"/>
      <c r="BF171" s="49"/>
      <c r="BG171" s="49"/>
      <c r="BH171" s="49"/>
      <c r="BI171" s="49"/>
      <c r="BJ171" s="39"/>
      <c r="BK171" s="49"/>
      <c r="BL171" s="39"/>
      <c r="BM171" s="39"/>
      <c r="BN171" s="49"/>
      <c r="BO171" s="49"/>
      <c r="BP171" s="49"/>
      <c r="BQ171" s="49"/>
      <c r="BR171" s="49"/>
      <c r="BS171" s="49"/>
      <c r="BT171" s="49"/>
      <c r="BU171" s="49"/>
      <c r="BV171" s="49"/>
      <c r="BW171" s="49"/>
      <c r="BX171" s="49"/>
      <c r="BY171" s="49"/>
      <c r="BZ171" s="49"/>
      <c r="CA171" s="44"/>
      <c r="CB171" s="49"/>
      <c r="CC171" s="49"/>
      <c r="CD171" s="49"/>
      <c r="CE171" s="49"/>
      <c r="CF171" s="49"/>
      <c r="CG171" s="49"/>
      <c r="CH171" s="49"/>
      <c r="CI171" s="49"/>
      <c r="CJ171" s="49"/>
      <c r="CK171" s="49"/>
      <c r="CL171" s="49"/>
      <c r="CM171" s="49"/>
      <c r="CN171" s="49"/>
    </row>
    <row r="172" spans="1:92" hidden="1">
      <c r="A172" s="1427" t="s">
        <v>1578</v>
      </c>
      <c r="B172" s="234" t="s">
        <v>1583</v>
      </c>
      <c r="C172" s="234"/>
      <c r="D172" s="1373"/>
      <c r="E172" s="29">
        <f t="shared" si="158"/>
        <v>549600</v>
      </c>
      <c r="F172" s="31">
        <f t="shared" ref="F172:AS172" si="163">+F70</f>
        <v>20000</v>
      </c>
      <c r="G172" s="1124">
        <f t="shared" si="163"/>
        <v>35600</v>
      </c>
      <c r="H172" s="1124">
        <f t="shared" si="163"/>
        <v>21200</v>
      </c>
      <c r="I172" s="1124">
        <f t="shared" si="163"/>
        <v>21900</v>
      </c>
      <c r="J172" s="1124">
        <f t="shared" si="163"/>
        <v>22600</v>
      </c>
      <c r="K172" s="1124">
        <f t="shared" si="163"/>
        <v>23400</v>
      </c>
      <c r="L172" s="1124">
        <f t="shared" si="163"/>
        <v>24200</v>
      </c>
      <c r="M172" s="1124">
        <f t="shared" si="163"/>
        <v>25000</v>
      </c>
      <c r="N172" s="1124">
        <f t="shared" si="163"/>
        <v>25800</v>
      </c>
      <c r="O172" s="1124">
        <f t="shared" si="163"/>
        <v>12500</v>
      </c>
      <c r="P172" s="1124">
        <f t="shared" si="163"/>
        <v>12800</v>
      </c>
      <c r="Q172" s="1124">
        <f t="shared" si="163"/>
        <v>13100</v>
      </c>
      <c r="R172" s="1124">
        <f t="shared" si="163"/>
        <v>13400</v>
      </c>
      <c r="S172" s="1124">
        <f t="shared" si="163"/>
        <v>13700</v>
      </c>
      <c r="T172" s="1124">
        <f t="shared" si="163"/>
        <v>14100</v>
      </c>
      <c r="U172" s="1124">
        <f t="shared" si="163"/>
        <v>14500</v>
      </c>
      <c r="V172" s="1124">
        <f t="shared" si="163"/>
        <v>14900</v>
      </c>
      <c r="W172" s="1124">
        <f t="shared" si="163"/>
        <v>15300</v>
      </c>
      <c r="X172" s="1124">
        <f t="shared" si="163"/>
        <v>15700</v>
      </c>
      <c r="Y172" s="1124">
        <f t="shared" si="163"/>
        <v>16100</v>
      </c>
      <c r="Z172" s="1124">
        <f t="shared" si="163"/>
        <v>16500</v>
      </c>
      <c r="AA172" s="1124">
        <f t="shared" si="163"/>
        <v>16900</v>
      </c>
      <c r="AB172" s="1124">
        <f t="shared" si="163"/>
        <v>17300</v>
      </c>
      <c r="AC172" s="1124">
        <f t="shared" si="163"/>
        <v>17800</v>
      </c>
      <c r="AD172" s="1124">
        <f t="shared" si="163"/>
        <v>16300</v>
      </c>
      <c r="AE172" s="1124">
        <f t="shared" si="163"/>
        <v>16800</v>
      </c>
      <c r="AF172" s="1124">
        <f t="shared" si="163"/>
        <v>17300</v>
      </c>
      <c r="AG172" s="1124">
        <f t="shared" si="163"/>
        <v>17800</v>
      </c>
      <c r="AH172" s="1124">
        <f t="shared" si="163"/>
        <v>18300</v>
      </c>
      <c r="AI172" s="1124">
        <f t="shared" si="163"/>
        <v>18800</v>
      </c>
      <c r="AJ172" s="1124">
        <f t="shared" si="163"/>
        <v>0</v>
      </c>
      <c r="AK172" s="1124">
        <f t="shared" si="163"/>
        <v>0</v>
      </c>
      <c r="AL172" s="1124">
        <f t="shared" si="163"/>
        <v>0</v>
      </c>
      <c r="AM172" s="1124">
        <f t="shared" si="163"/>
        <v>0</v>
      </c>
      <c r="AN172" s="1124">
        <f t="shared" si="163"/>
        <v>0</v>
      </c>
      <c r="AO172" s="1124">
        <f t="shared" si="163"/>
        <v>0</v>
      </c>
      <c r="AP172" s="1124">
        <f t="shared" si="163"/>
        <v>0</v>
      </c>
      <c r="AQ172" s="1124">
        <f t="shared" si="163"/>
        <v>0</v>
      </c>
      <c r="AR172" s="1124">
        <f t="shared" si="163"/>
        <v>0</v>
      </c>
      <c r="AS172" s="1124">
        <f t="shared" si="163"/>
        <v>0</v>
      </c>
      <c r="AT172" s="42"/>
      <c r="AU172" s="78">
        <f>+Base!E172</f>
        <v>549600</v>
      </c>
      <c r="AV172" s="81">
        <f t="shared" si="160"/>
        <v>0</v>
      </c>
      <c r="AW172" s="29"/>
      <c r="AX172" s="49"/>
      <c r="AY172" s="49"/>
      <c r="AZ172" s="42"/>
      <c r="BA172" s="49"/>
      <c r="BB172" s="49"/>
      <c r="BC172" s="39"/>
      <c r="BD172" s="39"/>
      <c r="BE172" s="39"/>
      <c r="BF172" s="49"/>
      <c r="BG172" s="49"/>
      <c r="BH172" s="49"/>
      <c r="BI172" s="49"/>
      <c r="BJ172" s="39"/>
      <c r="BK172" s="49"/>
      <c r="BL172" s="39"/>
      <c r="BM172" s="39"/>
      <c r="BN172" s="49"/>
      <c r="BO172" s="49"/>
      <c r="BP172" s="49"/>
      <c r="BQ172" s="49"/>
      <c r="BR172" s="49"/>
      <c r="BS172" s="49"/>
      <c r="BT172" s="49"/>
      <c r="BU172" s="49"/>
      <c r="BV172" s="49"/>
      <c r="BW172" s="49"/>
      <c r="BX172" s="49"/>
      <c r="BY172" s="49"/>
      <c r="BZ172" s="49"/>
      <c r="CA172" s="44"/>
      <c r="CB172" s="49"/>
      <c r="CC172" s="49"/>
      <c r="CD172" s="49"/>
      <c r="CE172" s="49"/>
      <c r="CF172" s="49"/>
      <c r="CG172" s="49"/>
      <c r="CH172" s="49"/>
      <c r="CI172" s="49"/>
      <c r="CJ172" s="49"/>
      <c r="CK172" s="49"/>
      <c r="CL172" s="49"/>
      <c r="CM172" s="49"/>
      <c r="CN172" s="49"/>
    </row>
    <row r="173" spans="1:92" hidden="1">
      <c r="A173" s="1427" t="s">
        <v>1578</v>
      </c>
      <c r="B173" s="275" t="s">
        <v>1532</v>
      </c>
      <c r="C173" s="1006" t="str">
        <f>IF(SPIA_From="t","taxable acct",IF(SPIA_From="i","IR Annuity acct",IF(SPIA_From="r","Roth acct")))</f>
        <v>taxable acct</v>
      </c>
      <c r="D173" s="1373"/>
      <c r="E173" s="29">
        <f t="shared" si="158"/>
        <v>144000</v>
      </c>
      <c r="F173" s="31">
        <f t="shared" ref="F173:AS173" si="164">+F63+F62</f>
        <v>0</v>
      </c>
      <c r="G173" s="1124">
        <f t="shared" si="164"/>
        <v>0</v>
      </c>
      <c r="H173" s="1124">
        <f t="shared" si="164"/>
        <v>0</v>
      </c>
      <c r="I173" s="1124">
        <f t="shared" si="164"/>
        <v>0</v>
      </c>
      <c r="J173" s="1124">
        <f t="shared" si="164"/>
        <v>0</v>
      </c>
      <c r="K173" s="1124">
        <f t="shared" si="164"/>
        <v>0</v>
      </c>
      <c r="L173" s="1124">
        <f t="shared" si="164"/>
        <v>0</v>
      </c>
      <c r="M173" s="1124">
        <f t="shared" si="164"/>
        <v>0</v>
      </c>
      <c r="N173" s="1124">
        <f t="shared" si="164"/>
        <v>0</v>
      </c>
      <c r="O173" s="1124">
        <f t="shared" si="164"/>
        <v>0</v>
      </c>
      <c r="P173" s="1124">
        <f t="shared" si="164"/>
        <v>0</v>
      </c>
      <c r="Q173" s="1124">
        <f t="shared" si="164"/>
        <v>0</v>
      </c>
      <c r="R173" s="1124">
        <f t="shared" si="164"/>
        <v>0</v>
      </c>
      <c r="S173" s="1124">
        <f t="shared" si="164"/>
        <v>0</v>
      </c>
      <c r="T173" s="1124">
        <f t="shared" si="164"/>
        <v>9000</v>
      </c>
      <c r="U173" s="1124">
        <f t="shared" si="164"/>
        <v>9000</v>
      </c>
      <c r="V173" s="1124">
        <f t="shared" si="164"/>
        <v>9000</v>
      </c>
      <c r="W173" s="1124">
        <f t="shared" si="164"/>
        <v>9000</v>
      </c>
      <c r="X173" s="1124">
        <f t="shared" si="164"/>
        <v>9000</v>
      </c>
      <c r="Y173" s="1124">
        <f t="shared" si="164"/>
        <v>9000</v>
      </c>
      <c r="Z173" s="1124">
        <f t="shared" si="164"/>
        <v>9000</v>
      </c>
      <c r="AA173" s="1124">
        <f t="shared" si="164"/>
        <v>9000</v>
      </c>
      <c r="AB173" s="1124">
        <f t="shared" si="164"/>
        <v>9000</v>
      </c>
      <c r="AC173" s="1124">
        <f t="shared" si="164"/>
        <v>9000</v>
      </c>
      <c r="AD173" s="1124">
        <f t="shared" si="164"/>
        <v>9000</v>
      </c>
      <c r="AE173" s="1124">
        <f t="shared" si="164"/>
        <v>9000</v>
      </c>
      <c r="AF173" s="1124">
        <f t="shared" si="164"/>
        <v>9000</v>
      </c>
      <c r="AG173" s="1124">
        <f t="shared" si="164"/>
        <v>9000</v>
      </c>
      <c r="AH173" s="1124">
        <f t="shared" si="164"/>
        <v>9000</v>
      </c>
      <c r="AI173" s="1124">
        <f t="shared" si="164"/>
        <v>9000</v>
      </c>
      <c r="AJ173" s="1124">
        <f t="shared" si="164"/>
        <v>0</v>
      </c>
      <c r="AK173" s="1124">
        <f t="shared" si="164"/>
        <v>0</v>
      </c>
      <c r="AL173" s="1124">
        <f t="shared" si="164"/>
        <v>0</v>
      </c>
      <c r="AM173" s="1124">
        <f t="shared" si="164"/>
        <v>0</v>
      </c>
      <c r="AN173" s="1124">
        <f t="shared" si="164"/>
        <v>0</v>
      </c>
      <c r="AO173" s="1124">
        <f t="shared" si="164"/>
        <v>0</v>
      </c>
      <c r="AP173" s="1124">
        <f t="shared" si="164"/>
        <v>0</v>
      </c>
      <c r="AQ173" s="1124">
        <f t="shared" si="164"/>
        <v>0</v>
      </c>
      <c r="AR173" s="1124">
        <f t="shared" si="164"/>
        <v>0</v>
      </c>
      <c r="AS173" s="1124">
        <f t="shared" si="164"/>
        <v>0</v>
      </c>
      <c r="AT173" s="42"/>
      <c r="AU173" s="78">
        <f>+Base!E173</f>
        <v>144000</v>
      </c>
      <c r="AV173" s="81">
        <f t="shared" si="160"/>
        <v>0</v>
      </c>
      <c r="AW173" s="29"/>
      <c r="AX173" s="49"/>
      <c r="AY173" s="49"/>
      <c r="AZ173" s="42"/>
      <c r="BA173" s="49"/>
      <c r="BB173" s="49"/>
      <c r="BC173" s="39"/>
      <c r="BD173" s="39"/>
      <c r="BE173" s="39"/>
      <c r="BF173" s="49"/>
      <c r="BG173" s="49"/>
      <c r="BH173" s="49"/>
      <c r="BI173" s="49"/>
      <c r="BJ173" s="39"/>
      <c r="BK173" s="49"/>
      <c r="BL173" s="39"/>
      <c r="BM173" s="39"/>
      <c r="BN173" s="49"/>
      <c r="BO173" s="49"/>
      <c r="BP173" s="49"/>
      <c r="BQ173" s="49"/>
      <c r="BR173" s="49"/>
      <c r="BS173" s="49"/>
      <c r="BT173" s="49"/>
      <c r="BU173" s="49"/>
      <c r="BV173" s="49"/>
      <c r="BW173" s="49"/>
      <c r="BX173" s="49"/>
      <c r="BY173" s="49"/>
      <c r="BZ173" s="49"/>
      <c r="CA173" s="44"/>
      <c r="CB173" s="49"/>
      <c r="CC173" s="49"/>
      <c r="CD173" s="49"/>
      <c r="CE173" s="49"/>
      <c r="CF173" s="49"/>
      <c r="CG173" s="49"/>
      <c r="CH173" s="49"/>
      <c r="CI173" s="49"/>
      <c r="CJ173" s="49"/>
      <c r="CK173" s="49"/>
      <c r="CL173" s="49"/>
      <c r="CM173" s="49"/>
      <c r="CN173" s="49"/>
    </row>
    <row r="174" spans="1:92" hidden="1">
      <c r="A174" s="1427" t="s">
        <v>1578</v>
      </c>
      <c r="B174" s="234" t="s">
        <v>1711</v>
      </c>
      <c r="C174" s="234"/>
      <c r="D174" s="1370">
        <f>+SPIA_Excl</f>
        <v>0.75</v>
      </c>
      <c r="E174" s="29">
        <f t="shared" si="158"/>
        <v>-108800</v>
      </c>
      <c r="F174" s="31">
        <f t="shared" ref="F174:AS174" si="165">IF(SPIA_From="t",ROUND(-SPIA_Excl*F62/Round_To,0)*Round_To,0)</f>
        <v>0</v>
      </c>
      <c r="G174" s="1124">
        <f t="shared" si="165"/>
        <v>0</v>
      </c>
      <c r="H174" s="1124">
        <f t="shared" si="165"/>
        <v>0</v>
      </c>
      <c r="I174" s="1124">
        <f t="shared" si="165"/>
        <v>0</v>
      </c>
      <c r="J174" s="1124">
        <f t="shared" si="165"/>
        <v>0</v>
      </c>
      <c r="K174" s="1124">
        <f t="shared" si="165"/>
        <v>0</v>
      </c>
      <c r="L174" s="1124">
        <f t="shared" si="165"/>
        <v>0</v>
      </c>
      <c r="M174" s="1124">
        <f t="shared" si="165"/>
        <v>0</v>
      </c>
      <c r="N174" s="1124">
        <f t="shared" si="165"/>
        <v>0</v>
      </c>
      <c r="O174" s="1124">
        <f t="shared" si="165"/>
        <v>0</v>
      </c>
      <c r="P174" s="1124">
        <f t="shared" si="165"/>
        <v>0</v>
      </c>
      <c r="Q174" s="1124">
        <f t="shared" si="165"/>
        <v>0</v>
      </c>
      <c r="R174" s="1124">
        <f t="shared" si="165"/>
        <v>0</v>
      </c>
      <c r="S174" s="1124">
        <f t="shared" si="165"/>
        <v>0</v>
      </c>
      <c r="T174" s="1124">
        <f t="shared" si="165"/>
        <v>-6800</v>
      </c>
      <c r="U174" s="1124">
        <f t="shared" si="165"/>
        <v>-6800</v>
      </c>
      <c r="V174" s="1124">
        <f t="shared" si="165"/>
        <v>-6800</v>
      </c>
      <c r="W174" s="1124">
        <f t="shared" si="165"/>
        <v>-6800</v>
      </c>
      <c r="X174" s="1124">
        <f t="shared" si="165"/>
        <v>-6800</v>
      </c>
      <c r="Y174" s="1124">
        <f t="shared" si="165"/>
        <v>-6800</v>
      </c>
      <c r="Z174" s="1124">
        <f t="shared" si="165"/>
        <v>-6800</v>
      </c>
      <c r="AA174" s="1124">
        <f t="shared" si="165"/>
        <v>-6800</v>
      </c>
      <c r="AB174" s="1124">
        <f t="shared" si="165"/>
        <v>-6800</v>
      </c>
      <c r="AC174" s="1124">
        <f t="shared" si="165"/>
        <v>-6800</v>
      </c>
      <c r="AD174" s="1124">
        <f t="shared" si="165"/>
        <v>-6800</v>
      </c>
      <c r="AE174" s="1124">
        <f t="shared" si="165"/>
        <v>-6800</v>
      </c>
      <c r="AF174" s="1124">
        <f t="shared" si="165"/>
        <v>-6800</v>
      </c>
      <c r="AG174" s="1124">
        <f t="shared" si="165"/>
        <v>-6800</v>
      </c>
      <c r="AH174" s="1124">
        <f t="shared" si="165"/>
        <v>-6800</v>
      </c>
      <c r="AI174" s="1124">
        <f t="shared" si="165"/>
        <v>-6800</v>
      </c>
      <c r="AJ174" s="1124">
        <f t="shared" si="165"/>
        <v>0</v>
      </c>
      <c r="AK174" s="1124">
        <f t="shared" si="165"/>
        <v>0</v>
      </c>
      <c r="AL174" s="1124">
        <f t="shared" si="165"/>
        <v>0</v>
      </c>
      <c r="AM174" s="1124">
        <f t="shared" si="165"/>
        <v>0</v>
      </c>
      <c r="AN174" s="1124">
        <f t="shared" si="165"/>
        <v>0</v>
      </c>
      <c r="AO174" s="1124">
        <f t="shared" si="165"/>
        <v>0</v>
      </c>
      <c r="AP174" s="1124">
        <f t="shared" si="165"/>
        <v>0</v>
      </c>
      <c r="AQ174" s="1124">
        <f t="shared" si="165"/>
        <v>0</v>
      </c>
      <c r="AR174" s="1124">
        <f t="shared" si="165"/>
        <v>0</v>
      </c>
      <c r="AS174" s="1124">
        <f t="shared" si="165"/>
        <v>0</v>
      </c>
      <c r="AT174" s="42"/>
      <c r="AU174" s="78">
        <f>+Base!E174</f>
        <v>-108800</v>
      </c>
      <c r="AV174" s="81">
        <f>+E174-AU174</f>
        <v>0</v>
      </c>
      <c r="AW174" s="29"/>
      <c r="AX174" s="49"/>
      <c r="AY174" s="49"/>
      <c r="AZ174" s="42"/>
      <c r="BA174" s="49"/>
      <c r="BB174" s="49"/>
      <c r="BC174" s="39"/>
      <c r="BD174" s="39"/>
      <c r="BE174" s="39"/>
      <c r="BF174" s="49"/>
      <c r="BG174" s="49"/>
      <c r="BH174" s="49"/>
      <c r="BI174" s="49"/>
      <c r="BJ174" s="39"/>
      <c r="BK174" s="49"/>
      <c r="BL174" s="39"/>
      <c r="BM174" s="39"/>
      <c r="BN174" s="49"/>
      <c r="BO174" s="49"/>
      <c r="BP174" s="49"/>
      <c r="BQ174" s="49"/>
      <c r="BR174" s="49"/>
      <c r="BS174" s="49"/>
      <c r="BT174" s="49"/>
      <c r="BU174" s="49"/>
      <c r="BV174" s="49"/>
      <c r="BW174" s="49"/>
      <c r="BX174" s="49"/>
      <c r="BY174" s="49"/>
      <c r="BZ174" s="49"/>
      <c r="CA174" s="44"/>
      <c r="CB174" s="49"/>
      <c r="CC174" s="49"/>
      <c r="CD174" s="49"/>
      <c r="CE174" s="49"/>
      <c r="CF174" s="49"/>
      <c r="CG174" s="49"/>
      <c r="CH174" s="49"/>
      <c r="CI174" s="49"/>
      <c r="CJ174" s="49"/>
      <c r="CK174" s="49"/>
      <c r="CL174" s="49"/>
      <c r="CM174" s="49"/>
      <c r="CN174" s="49"/>
    </row>
    <row r="175" spans="1:92" hidden="1">
      <c r="A175" s="1427" t="s">
        <v>1578</v>
      </c>
      <c r="B175" s="234" t="s">
        <v>422</v>
      </c>
      <c r="C175" s="1008" t="str">
        <f>IF(Automate="y",Auto withdrawals included,"")</f>
        <v/>
      </c>
      <c r="D175" s="32"/>
      <c r="E175" s="29">
        <f t="shared" si="158"/>
        <v>402600</v>
      </c>
      <c r="F175" s="31">
        <f t="shared" ref="F175:AS175" si="166">-F91-F99-F95-F103</f>
        <v>40000</v>
      </c>
      <c r="G175" s="1124">
        <f t="shared" si="166"/>
        <v>41200</v>
      </c>
      <c r="H175" s="1124">
        <f t="shared" si="166"/>
        <v>42400</v>
      </c>
      <c r="I175" s="1124">
        <f t="shared" si="166"/>
        <v>43700</v>
      </c>
      <c r="J175" s="1124">
        <f t="shared" si="166"/>
        <v>45000</v>
      </c>
      <c r="K175" s="1124">
        <f t="shared" si="166"/>
        <v>46400</v>
      </c>
      <c r="L175" s="1124">
        <f t="shared" si="166"/>
        <v>47800</v>
      </c>
      <c r="M175" s="1124">
        <f t="shared" si="166"/>
        <v>49200</v>
      </c>
      <c r="N175" s="1124">
        <f t="shared" si="166"/>
        <v>10000</v>
      </c>
      <c r="O175" s="1124">
        <f t="shared" si="166"/>
        <v>9000</v>
      </c>
      <c r="P175" s="1124">
        <f t="shared" si="166"/>
        <v>8100</v>
      </c>
      <c r="Q175" s="1124">
        <f t="shared" si="166"/>
        <v>7300</v>
      </c>
      <c r="R175" s="1124">
        <f t="shared" si="166"/>
        <v>6600</v>
      </c>
      <c r="S175" s="1124">
        <f t="shared" si="166"/>
        <v>5900</v>
      </c>
      <c r="T175" s="1124">
        <f t="shared" si="166"/>
        <v>0</v>
      </c>
      <c r="U175" s="1124">
        <f t="shared" si="166"/>
        <v>0</v>
      </c>
      <c r="V175" s="1124">
        <f t="shared" si="166"/>
        <v>0</v>
      </c>
      <c r="W175" s="1124">
        <f t="shared" si="166"/>
        <v>0</v>
      </c>
      <c r="X175" s="1124">
        <f t="shared" si="166"/>
        <v>0</v>
      </c>
      <c r="Y175" s="1124">
        <f t="shared" si="166"/>
        <v>0</v>
      </c>
      <c r="Z175" s="1124">
        <f t="shared" si="166"/>
        <v>0</v>
      </c>
      <c r="AA175" s="1124">
        <f t="shared" si="166"/>
        <v>0</v>
      </c>
      <c r="AB175" s="1124">
        <f t="shared" si="166"/>
        <v>0</v>
      </c>
      <c r="AC175" s="1124">
        <f t="shared" si="166"/>
        <v>0</v>
      </c>
      <c r="AD175" s="1124">
        <f t="shared" si="166"/>
        <v>0</v>
      </c>
      <c r="AE175" s="1124">
        <f t="shared" si="166"/>
        <v>0</v>
      </c>
      <c r="AF175" s="1124">
        <f t="shared" si="166"/>
        <v>0</v>
      </c>
      <c r="AG175" s="1124">
        <f t="shared" si="166"/>
        <v>0</v>
      </c>
      <c r="AH175" s="1124">
        <f t="shared" si="166"/>
        <v>0</v>
      </c>
      <c r="AI175" s="1124">
        <f t="shared" si="166"/>
        <v>0</v>
      </c>
      <c r="AJ175" s="1124">
        <f t="shared" si="166"/>
        <v>0</v>
      </c>
      <c r="AK175" s="1124">
        <f t="shared" si="166"/>
        <v>0</v>
      </c>
      <c r="AL175" s="1124">
        <f t="shared" si="166"/>
        <v>0</v>
      </c>
      <c r="AM175" s="1124">
        <f t="shared" si="166"/>
        <v>0</v>
      </c>
      <c r="AN175" s="1124">
        <f t="shared" si="166"/>
        <v>0</v>
      </c>
      <c r="AO175" s="1124">
        <f t="shared" si="166"/>
        <v>0</v>
      </c>
      <c r="AP175" s="1124">
        <f t="shared" si="166"/>
        <v>0</v>
      </c>
      <c r="AQ175" s="1124">
        <f t="shared" si="166"/>
        <v>0</v>
      </c>
      <c r="AR175" s="1124">
        <f t="shared" si="166"/>
        <v>0</v>
      </c>
      <c r="AS175" s="1124">
        <f t="shared" si="166"/>
        <v>0</v>
      </c>
      <c r="AT175" s="42"/>
      <c r="AU175" s="78">
        <f>+Base!E175</f>
        <v>402600</v>
      </c>
      <c r="AV175" s="81">
        <f t="shared" si="160"/>
        <v>0</v>
      </c>
      <c r="AW175" s="29"/>
      <c r="AX175" s="49"/>
      <c r="AY175" s="49"/>
      <c r="AZ175" s="42"/>
      <c r="BA175" s="49"/>
      <c r="BB175" s="49"/>
      <c r="BC175" s="39"/>
      <c r="BD175" s="39"/>
      <c r="BE175" s="39"/>
      <c r="BF175" s="49"/>
      <c r="BG175" s="49"/>
      <c r="BH175" s="49"/>
      <c r="BI175" s="49"/>
      <c r="BJ175" s="39"/>
      <c r="BK175" s="49"/>
      <c r="BL175" s="39"/>
      <c r="BM175" s="39"/>
      <c r="BN175" s="49"/>
      <c r="BO175" s="49"/>
      <c r="BP175" s="49"/>
      <c r="BQ175" s="49"/>
      <c r="BR175" s="49"/>
      <c r="BS175" s="49"/>
      <c r="BT175" s="49"/>
      <c r="BU175" s="49"/>
      <c r="BV175" s="49"/>
      <c r="BW175" s="49"/>
      <c r="BX175" s="49"/>
      <c r="BY175" s="49"/>
      <c r="BZ175" s="49"/>
      <c r="CA175" s="44"/>
      <c r="CB175" s="49"/>
      <c r="CC175" s="49"/>
      <c r="CD175" s="49"/>
      <c r="CE175" s="49"/>
      <c r="CF175" s="49"/>
      <c r="CG175" s="49"/>
      <c r="CH175" s="49"/>
      <c r="CI175" s="49"/>
      <c r="CJ175" s="49"/>
      <c r="CK175" s="49"/>
      <c r="CL175" s="49"/>
      <c r="CM175" s="49"/>
      <c r="CN175" s="49"/>
    </row>
    <row r="176" spans="1:92" hidden="1">
      <c r="A176" s="1427" t="s">
        <v>1578</v>
      </c>
      <c r="B176" s="234" t="s">
        <v>1182</v>
      </c>
      <c r="C176" s="1008"/>
      <c r="D176" s="32"/>
      <c r="E176" s="29">
        <f t="shared" si="158"/>
        <v>1017800</v>
      </c>
      <c r="F176" s="31">
        <f t="shared" ref="F176:AS176" si="167">-F94-F102</f>
        <v>0</v>
      </c>
      <c r="G176" s="1124">
        <f t="shared" si="167"/>
        <v>0</v>
      </c>
      <c r="H176" s="1124">
        <f t="shared" si="167"/>
        <v>0</v>
      </c>
      <c r="I176" s="1124">
        <f t="shared" si="167"/>
        <v>0</v>
      </c>
      <c r="J176" s="1124">
        <f t="shared" si="167"/>
        <v>0</v>
      </c>
      <c r="K176" s="1124">
        <f t="shared" si="167"/>
        <v>0</v>
      </c>
      <c r="L176" s="1124">
        <f t="shared" si="167"/>
        <v>0</v>
      </c>
      <c r="M176" s="1124">
        <f t="shared" si="167"/>
        <v>0</v>
      </c>
      <c r="N176" s="1124">
        <f t="shared" si="167"/>
        <v>0</v>
      </c>
      <c r="O176" s="1124">
        <f t="shared" si="167"/>
        <v>29500</v>
      </c>
      <c r="P176" s="1124">
        <f t="shared" si="167"/>
        <v>30900</v>
      </c>
      <c r="Q176" s="1124">
        <f t="shared" si="167"/>
        <v>32400</v>
      </c>
      <c r="R176" s="1124">
        <f t="shared" si="167"/>
        <v>33900</v>
      </c>
      <c r="S176" s="1124">
        <f t="shared" si="167"/>
        <v>35600</v>
      </c>
      <c r="T176" s="1124">
        <f t="shared" si="167"/>
        <v>37400</v>
      </c>
      <c r="U176" s="1124">
        <f t="shared" si="167"/>
        <v>39500</v>
      </c>
      <c r="V176" s="1124">
        <f t="shared" si="167"/>
        <v>41800</v>
      </c>
      <c r="W176" s="1124">
        <f t="shared" si="167"/>
        <v>44100</v>
      </c>
      <c r="X176" s="1124">
        <f t="shared" si="167"/>
        <v>46300</v>
      </c>
      <c r="Y176" s="1124">
        <f t="shared" si="167"/>
        <v>48400</v>
      </c>
      <c r="Z176" s="1124">
        <f t="shared" si="167"/>
        <v>50500</v>
      </c>
      <c r="AA176" s="1124">
        <f t="shared" si="167"/>
        <v>52800</v>
      </c>
      <c r="AB176" s="1124">
        <f t="shared" si="167"/>
        <v>55000</v>
      </c>
      <c r="AC176" s="1124">
        <f t="shared" si="167"/>
        <v>57100</v>
      </c>
      <c r="AD176" s="1124">
        <f t="shared" si="167"/>
        <v>59100</v>
      </c>
      <c r="AE176" s="1124">
        <f t="shared" si="167"/>
        <v>61100</v>
      </c>
      <c r="AF176" s="1124">
        <f t="shared" si="167"/>
        <v>63000</v>
      </c>
      <c r="AG176" s="1124">
        <f t="shared" si="167"/>
        <v>64900</v>
      </c>
      <c r="AH176" s="1124">
        <f t="shared" si="167"/>
        <v>66600</v>
      </c>
      <c r="AI176" s="1124">
        <f t="shared" si="167"/>
        <v>67900</v>
      </c>
      <c r="AJ176" s="1124">
        <f t="shared" si="167"/>
        <v>0</v>
      </c>
      <c r="AK176" s="1124">
        <f t="shared" si="167"/>
        <v>0</v>
      </c>
      <c r="AL176" s="1124">
        <f t="shared" si="167"/>
        <v>0</v>
      </c>
      <c r="AM176" s="1124">
        <f t="shared" si="167"/>
        <v>0</v>
      </c>
      <c r="AN176" s="1124">
        <f t="shared" si="167"/>
        <v>0</v>
      </c>
      <c r="AO176" s="1124">
        <f t="shared" si="167"/>
        <v>0</v>
      </c>
      <c r="AP176" s="1124">
        <f t="shared" si="167"/>
        <v>0</v>
      </c>
      <c r="AQ176" s="1124">
        <f t="shared" si="167"/>
        <v>0</v>
      </c>
      <c r="AR176" s="1124">
        <f t="shared" si="167"/>
        <v>0</v>
      </c>
      <c r="AS176" s="1124">
        <f t="shared" si="167"/>
        <v>0</v>
      </c>
      <c r="AT176" s="42"/>
      <c r="AU176" s="78">
        <f>+Base!E176</f>
        <v>1017800</v>
      </c>
      <c r="AV176" s="81">
        <f t="shared" si="160"/>
        <v>0</v>
      </c>
      <c r="AW176" s="29"/>
      <c r="AX176" s="49"/>
      <c r="AY176" s="49"/>
      <c r="AZ176" s="42"/>
      <c r="BA176" s="49"/>
      <c r="BB176" s="49"/>
      <c r="BC176" s="39"/>
      <c r="BD176" s="39"/>
      <c r="BE176" s="39"/>
      <c r="BF176" s="49"/>
      <c r="BG176" s="49"/>
      <c r="BH176" s="49"/>
      <c r="BI176" s="49"/>
      <c r="BJ176" s="39"/>
      <c r="BK176" s="49"/>
      <c r="BL176" s="39"/>
      <c r="BM176" s="39"/>
      <c r="BN176" s="49"/>
      <c r="BO176" s="49"/>
      <c r="BP176" s="49"/>
      <c r="BQ176" s="49"/>
      <c r="BR176" s="49"/>
      <c r="BS176" s="49"/>
      <c r="BT176" s="49"/>
      <c r="BU176" s="49"/>
      <c r="BV176" s="49"/>
      <c r="BW176" s="49"/>
      <c r="BX176" s="49"/>
      <c r="BY176" s="49"/>
      <c r="BZ176" s="49"/>
      <c r="CA176" s="44"/>
      <c r="CB176" s="49"/>
      <c r="CC176" s="49"/>
      <c r="CD176" s="49"/>
      <c r="CE176" s="49"/>
      <c r="CF176" s="49"/>
      <c r="CG176" s="49"/>
      <c r="CH176" s="49"/>
      <c r="CI176" s="49"/>
      <c r="CJ176" s="49"/>
      <c r="CK176" s="49"/>
      <c r="CL176" s="49"/>
      <c r="CM176" s="49"/>
      <c r="CN176" s="49"/>
    </row>
    <row r="177" spans="1:92" hidden="1">
      <c r="A177" s="1427" t="s">
        <v>1578</v>
      </c>
      <c r="B177" s="234" t="s">
        <v>1272</v>
      </c>
      <c r="C177" s="1008" t="str">
        <f>IF(Automate="y",Auto withdrawals included,"")</f>
        <v/>
      </c>
      <c r="D177" s="32"/>
      <c r="E177" s="65">
        <f>SUM(F177:AS177)</f>
        <v>15300</v>
      </c>
      <c r="F177" s="31">
        <f t="shared" ref="F177:AS177" si="168">-F115-F118</f>
        <v>0</v>
      </c>
      <c r="G177" s="1124">
        <f t="shared" si="168"/>
        <v>0</v>
      </c>
      <c r="H177" s="1124">
        <f t="shared" si="168"/>
        <v>0</v>
      </c>
      <c r="I177" s="1124">
        <f t="shared" si="168"/>
        <v>0</v>
      </c>
      <c r="J177" s="1124">
        <f t="shared" si="168"/>
        <v>0</v>
      </c>
      <c r="K177" s="1124">
        <f t="shared" si="168"/>
        <v>0</v>
      </c>
      <c r="L177" s="1124">
        <f t="shared" si="168"/>
        <v>0</v>
      </c>
      <c r="M177" s="1124">
        <f t="shared" si="168"/>
        <v>0</v>
      </c>
      <c r="N177" s="1124">
        <f t="shared" si="168"/>
        <v>0</v>
      </c>
      <c r="O177" s="1124">
        <f t="shared" si="168"/>
        <v>0</v>
      </c>
      <c r="P177" s="1124">
        <f t="shared" si="168"/>
        <v>0</v>
      </c>
      <c r="Q177" s="1124">
        <f t="shared" si="168"/>
        <v>0</v>
      </c>
      <c r="R177" s="1124">
        <f t="shared" si="168"/>
        <v>0</v>
      </c>
      <c r="S177" s="1124">
        <f t="shared" si="168"/>
        <v>0</v>
      </c>
      <c r="T177" s="1124">
        <f t="shared" si="168"/>
        <v>0</v>
      </c>
      <c r="U177" s="1124">
        <f t="shared" si="168"/>
        <v>4000</v>
      </c>
      <c r="V177" s="1124">
        <f t="shared" si="168"/>
        <v>5000</v>
      </c>
      <c r="W177" s="1124">
        <f t="shared" si="168"/>
        <v>5100</v>
      </c>
      <c r="X177" s="1124">
        <f t="shared" si="168"/>
        <v>1200</v>
      </c>
      <c r="Y177" s="1124">
        <f t="shared" si="168"/>
        <v>0</v>
      </c>
      <c r="Z177" s="1124">
        <f t="shared" si="168"/>
        <v>0</v>
      </c>
      <c r="AA177" s="1124">
        <f t="shared" si="168"/>
        <v>0</v>
      </c>
      <c r="AB177" s="1124">
        <f t="shared" si="168"/>
        <v>0</v>
      </c>
      <c r="AC177" s="1124">
        <f t="shared" si="168"/>
        <v>0</v>
      </c>
      <c r="AD177" s="1124">
        <f t="shared" si="168"/>
        <v>0</v>
      </c>
      <c r="AE177" s="1124">
        <f t="shared" si="168"/>
        <v>0</v>
      </c>
      <c r="AF177" s="1124">
        <f t="shared" si="168"/>
        <v>0</v>
      </c>
      <c r="AG177" s="1124">
        <f t="shared" si="168"/>
        <v>0</v>
      </c>
      <c r="AH177" s="1124">
        <f t="shared" si="168"/>
        <v>0</v>
      </c>
      <c r="AI177" s="1124">
        <f t="shared" si="168"/>
        <v>0</v>
      </c>
      <c r="AJ177" s="1124">
        <f t="shared" si="168"/>
        <v>0</v>
      </c>
      <c r="AK177" s="1124">
        <f t="shared" si="168"/>
        <v>0</v>
      </c>
      <c r="AL177" s="1124">
        <f t="shared" si="168"/>
        <v>0</v>
      </c>
      <c r="AM177" s="1124">
        <f t="shared" si="168"/>
        <v>0</v>
      </c>
      <c r="AN177" s="1124">
        <f t="shared" si="168"/>
        <v>0</v>
      </c>
      <c r="AO177" s="1124">
        <f t="shared" si="168"/>
        <v>0</v>
      </c>
      <c r="AP177" s="1124">
        <f t="shared" si="168"/>
        <v>0</v>
      </c>
      <c r="AQ177" s="1124">
        <f t="shared" si="168"/>
        <v>0</v>
      </c>
      <c r="AR177" s="1124">
        <f t="shared" si="168"/>
        <v>0</v>
      </c>
      <c r="AS177" s="1124">
        <f t="shared" si="168"/>
        <v>0</v>
      </c>
      <c r="AT177" s="42"/>
      <c r="AU177" s="78">
        <f>+Base!E177</f>
        <v>15300</v>
      </c>
      <c r="AV177" s="81">
        <f t="shared" ref="AV177:AV184" si="169">+E177-AU177</f>
        <v>0</v>
      </c>
      <c r="AW177" s="65"/>
      <c r="AX177" s="49"/>
      <c r="AY177" s="49"/>
      <c r="AZ177" s="42"/>
      <c r="BA177" s="49"/>
      <c r="BB177" s="49"/>
      <c r="BC177" s="39"/>
      <c r="BD177" s="39"/>
      <c r="BE177" s="39"/>
      <c r="BF177" s="49"/>
      <c r="BG177" s="49"/>
      <c r="BH177" s="49"/>
      <c r="BI177" s="49"/>
      <c r="BJ177" s="39"/>
      <c r="BK177" s="49"/>
      <c r="BL177" s="39"/>
      <c r="BM177" s="39"/>
      <c r="BN177" s="49"/>
      <c r="BO177" s="49"/>
      <c r="BP177" s="49"/>
      <c r="BQ177" s="49"/>
      <c r="BR177" s="49"/>
      <c r="BS177" s="49"/>
      <c r="BT177" s="49"/>
      <c r="BU177" s="49"/>
      <c r="BV177" s="49"/>
      <c r="BW177" s="49"/>
      <c r="BX177" s="49"/>
      <c r="BY177" s="49"/>
      <c r="BZ177" s="49"/>
      <c r="CA177" s="44"/>
      <c r="CB177" s="49"/>
      <c r="CC177" s="49"/>
      <c r="CD177" s="49"/>
      <c r="CE177" s="49"/>
      <c r="CF177" s="49"/>
      <c r="CG177" s="49"/>
      <c r="CH177" s="49"/>
      <c r="CI177" s="49"/>
      <c r="CJ177" s="49"/>
      <c r="CK177" s="49"/>
      <c r="CL177" s="49"/>
      <c r="CM177" s="49"/>
      <c r="CN177" s="49"/>
    </row>
    <row r="178" spans="1:92" hidden="1">
      <c r="A178" s="1427" t="s">
        <v>1578</v>
      </c>
      <c r="B178" s="234" t="s">
        <v>1181</v>
      </c>
      <c r="C178" s="1009"/>
      <c r="D178" s="32"/>
      <c r="E178" s="29">
        <f>SUM(F178:AS178)</f>
        <v>128700</v>
      </c>
      <c r="F178" s="31">
        <f t="shared" ref="F178:AS178" si="170">-F112</f>
        <v>0</v>
      </c>
      <c r="G178" s="1124">
        <f t="shared" si="170"/>
        <v>0</v>
      </c>
      <c r="H178" s="1124">
        <f t="shared" si="170"/>
        <v>0</v>
      </c>
      <c r="I178" s="1124">
        <f t="shared" si="170"/>
        <v>0</v>
      </c>
      <c r="J178" s="1124">
        <f t="shared" si="170"/>
        <v>0</v>
      </c>
      <c r="K178" s="1124">
        <f t="shared" si="170"/>
        <v>0</v>
      </c>
      <c r="L178" s="1124">
        <f t="shared" si="170"/>
        <v>0</v>
      </c>
      <c r="M178" s="1124">
        <f t="shared" si="170"/>
        <v>0</v>
      </c>
      <c r="N178" s="1124">
        <f t="shared" si="170"/>
        <v>0</v>
      </c>
      <c r="O178" s="1124">
        <f t="shared" si="170"/>
        <v>0</v>
      </c>
      <c r="P178" s="1124">
        <f t="shared" si="170"/>
        <v>0</v>
      </c>
      <c r="Q178" s="1124">
        <f t="shared" si="170"/>
        <v>0</v>
      </c>
      <c r="R178" s="1124">
        <f t="shared" si="170"/>
        <v>4100</v>
      </c>
      <c r="S178" s="1124">
        <f t="shared" si="170"/>
        <v>4300</v>
      </c>
      <c r="T178" s="1124">
        <f t="shared" si="170"/>
        <v>4600</v>
      </c>
      <c r="U178" s="1124">
        <f t="shared" si="170"/>
        <v>4800</v>
      </c>
      <c r="V178" s="1124">
        <f t="shared" si="170"/>
        <v>8300</v>
      </c>
      <c r="W178" s="1124">
        <f t="shared" si="170"/>
        <v>8400</v>
      </c>
      <c r="X178" s="1124">
        <f t="shared" si="170"/>
        <v>8400</v>
      </c>
      <c r="Y178" s="1124">
        <f t="shared" si="170"/>
        <v>8600</v>
      </c>
      <c r="Z178" s="1124">
        <f t="shared" si="170"/>
        <v>9100</v>
      </c>
      <c r="AA178" s="1124">
        <f t="shared" si="170"/>
        <v>9700</v>
      </c>
      <c r="AB178" s="1124">
        <f t="shared" si="170"/>
        <v>10300</v>
      </c>
      <c r="AC178" s="1124">
        <f t="shared" si="170"/>
        <v>10800</v>
      </c>
      <c r="AD178" s="1124">
        <f t="shared" si="170"/>
        <v>11500</v>
      </c>
      <c r="AE178" s="1124">
        <f t="shared" si="170"/>
        <v>12300</v>
      </c>
      <c r="AF178" s="1124">
        <f t="shared" si="170"/>
        <v>11500</v>
      </c>
      <c r="AG178" s="1124">
        <f t="shared" si="170"/>
        <v>2000</v>
      </c>
      <c r="AH178" s="1124">
        <f t="shared" si="170"/>
        <v>0</v>
      </c>
      <c r="AI178" s="1124">
        <f t="shared" si="170"/>
        <v>0</v>
      </c>
      <c r="AJ178" s="1124">
        <f t="shared" si="170"/>
        <v>0</v>
      </c>
      <c r="AK178" s="1124">
        <f t="shared" si="170"/>
        <v>0</v>
      </c>
      <c r="AL178" s="1124">
        <f t="shared" si="170"/>
        <v>0</v>
      </c>
      <c r="AM178" s="1124">
        <f t="shared" si="170"/>
        <v>0</v>
      </c>
      <c r="AN178" s="1124">
        <f t="shared" si="170"/>
        <v>0</v>
      </c>
      <c r="AO178" s="1124">
        <f t="shared" si="170"/>
        <v>0</v>
      </c>
      <c r="AP178" s="1124">
        <f t="shared" si="170"/>
        <v>0</v>
      </c>
      <c r="AQ178" s="1124">
        <f t="shared" si="170"/>
        <v>0</v>
      </c>
      <c r="AR178" s="1124">
        <f t="shared" si="170"/>
        <v>0</v>
      </c>
      <c r="AS178" s="1124">
        <f t="shared" si="170"/>
        <v>0</v>
      </c>
      <c r="AT178" s="42"/>
      <c r="AU178" s="78">
        <f>+Base!E178</f>
        <v>128700</v>
      </c>
      <c r="AV178" s="81">
        <f t="shared" si="169"/>
        <v>0</v>
      </c>
      <c r="AW178" s="29"/>
      <c r="AX178" s="49"/>
      <c r="AY178" s="49"/>
      <c r="AZ178" s="42"/>
      <c r="BA178" s="49"/>
      <c r="BB178" s="49"/>
      <c r="BC178" s="39"/>
      <c r="BD178" s="39"/>
      <c r="BE178" s="39"/>
      <c r="BF178" s="49"/>
      <c r="BG178" s="49"/>
      <c r="BH178" s="49"/>
      <c r="BI178" s="49"/>
      <c r="BJ178" s="39"/>
      <c r="BK178" s="49"/>
      <c r="BL178" s="39"/>
      <c r="BM178" s="39"/>
      <c r="BN178" s="49"/>
      <c r="BO178" s="49"/>
      <c r="BP178" s="49"/>
      <c r="BQ178" s="49"/>
      <c r="BR178" s="49"/>
      <c r="BS178" s="49"/>
      <c r="BT178" s="49"/>
      <c r="BU178" s="49"/>
      <c r="BV178" s="49"/>
      <c r="BW178" s="49"/>
      <c r="BX178" s="49"/>
      <c r="BY178" s="49"/>
      <c r="BZ178" s="49"/>
      <c r="CA178" s="44"/>
      <c r="CB178" s="49"/>
      <c r="CC178" s="49"/>
      <c r="CD178" s="49"/>
      <c r="CE178" s="49"/>
      <c r="CF178" s="49"/>
      <c r="CG178" s="49"/>
      <c r="CH178" s="49"/>
      <c r="CI178" s="49"/>
      <c r="CJ178" s="49"/>
      <c r="CK178" s="49"/>
      <c r="CL178" s="49"/>
      <c r="CM178" s="49"/>
      <c r="CN178" s="49"/>
    </row>
    <row r="179" spans="1:92" hidden="1">
      <c r="A179" s="1427" t="s">
        <v>1578</v>
      </c>
      <c r="B179" s="234" t="s">
        <v>44</v>
      </c>
      <c r="C179" s="1009"/>
      <c r="D179" s="422"/>
      <c r="E179" s="29">
        <f>SUM(F179:AS179)</f>
        <v>-100000</v>
      </c>
      <c r="F179" s="31">
        <f>F137</f>
        <v>0</v>
      </c>
      <c r="G179" s="1124">
        <f>G137</f>
        <v>0</v>
      </c>
      <c r="H179" s="1124">
        <f t="shared" ref="H179:AS179" si="171">H137</f>
        <v>0</v>
      </c>
      <c r="I179" s="1124">
        <f t="shared" si="171"/>
        <v>0</v>
      </c>
      <c r="J179" s="1124">
        <f t="shared" si="171"/>
        <v>0</v>
      </c>
      <c r="K179" s="1124">
        <f t="shared" si="171"/>
        <v>0</v>
      </c>
      <c r="L179" s="1124">
        <f t="shared" si="171"/>
        <v>0</v>
      </c>
      <c r="M179" s="1124">
        <f t="shared" si="171"/>
        <v>0</v>
      </c>
      <c r="N179" s="1124">
        <f t="shared" si="171"/>
        <v>0</v>
      </c>
      <c r="O179" s="1124">
        <f t="shared" si="171"/>
        <v>-15000</v>
      </c>
      <c r="P179" s="1124">
        <f t="shared" si="171"/>
        <v>-15000</v>
      </c>
      <c r="Q179" s="1124">
        <f t="shared" si="171"/>
        <v>-15000</v>
      </c>
      <c r="R179" s="1124">
        <f t="shared" si="171"/>
        <v>-15000</v>
      </c>
      <c r="S179" s="1124">
        <f t="shared" si="171"/>
        <v>-15000</v>
      </c>
      <c r="T179" s="1124">
        <f t="shared" si="171"/>
        <v>0</v>
      </c>
      <c r="U179" s="1124">
        <f t="shared" si="171"/>
        <v>0</v>
      </c>
      <c r="V179" s="1124">
        <f t="shared" si="171"/>
        <v>0</v>
      </c>
      <c r="W179" s="1124">
        <f t="shared" si="171"/>
        <v>0</v>
      </c>
      <c r="X179" s="1124">
        <f t="shared" si="171"/>
        <v>-5000</v>
      </c>
      <c r="Y179" s="1124">
        <f t="shared" si="171"/>
        <v>-5000</v>
      </c>
      <c r="Z179" s="1124">
        <f t="shared" si="171"/>
        <v>-5000</v>
      </c>
      <c r="AA179" s="1124">
        <f t="shared" si="171"/>
        <v>-5000</v>
      </c>
      <c r="AB179" s="1124">
        <f t="shared" si="171"/>
        <v>-5000</v>
      </c>
      <c r="AC179" s="1124">
        <f t="shared" si="171"/>
        <v>0</v>
      </c>
      <c r="AD179" s="1124">
        <f t="shared" si="171"/>
        <v>0</v>
      </c>
      <c r="AE179" s="1124">
        <f t="shared" si="171"/>
        <v>0</v>
      </c>
      <c r="AF179" s="1124">
        <f t="shared" si="171"/>
        <v>0</v>
      </c>
      <c r="AG179" s="1124">
        <f t="shared" si="171"/>
        <v>0</v>
      </c>
      <c r="AH179" s="1124">
        <f t="shared" si="171"/>
        <v>0</v>
      </c>
      <c r="AI179" s="1124">
        <f t="shared" si="171"/>
        <v>0</v>
      </c>
      <c r="AJ179" s="1124">
        <f t="shared" si="171"/>
        <v>0</v>
      </c>
      <c r="AK179" s="1124">
        <f t="shared" si="171"/>
        <v>0</v>
      </c>
      <c r="AL179" s="1124">
        <f t="shared" si="171"/>
        <v>0</v>
      </c>
      <c r="AM179" s="1124">
        <f t="shared" si="171"/>
        <v>0</v>
      </c>
      <c r="AN179" s="1124">
        <f t="shared" si="171"/>
        <v>0</v>
      </c>
      <c r="AO179" s="1124">
        <f t="shared" si="171"/>
        <v>0</v>
      </c>
      <c r="AP179" s="1124">
        <f t="shared" si="171"/>
        <v>0</v>
      </c>
      <c r="AQ179" s="1124">
        <f t="shared" si="171"/>
        <v>0</v>
      </c>
      <c r="AR179" s="1124">
        <f t="shared" si="171"/>
        <v>0</v>
      </c>
      <c r="AS179" s="1124">
        <f t="shared" si="171"/>
        <v>0</v>
      </c>
      <c r="AT179" s="42"/>
      <c r="AU179" s="78">
        <f>+Base!E179</f>
        <v>-100000</v>
      </c>
      <c r="AV179" s="81">
        <f t="shared" si="169"/>
        <v>0</v>
      </c>
      <c r="AW179" s="29"/>
      <c r="AX179" s="49"/>
      <c r="AY179" s="49"/>
      <c r="AZ179" s="42"/>
      <c r="BA179" s="49"/>
      <c r="BB179" s="49"/>
      <c r="BC179" s="39"/>
      <c r="BD179" s="39"/>
      <c r="BE179" s="39"/>
      <c r="BF179" s="49"/>
      <c r="BG179" s="49"/>
      <c r="BH179" s="49"/>
      <c r="BI179" s="49"/>
      <c r="BJ179" s="39"/>
      <c r="BK179" s="49"/>
      <c r="BL179" s="39"/>
      <c r="BM179" s="39"/>
      <c r="BN179" s="49"/>
      <c r="BO179" s="49"/>
      <c r="BP179" s="49"/>
      <c r="BQ179" s="49"/>
      <c r="BR179" s="49"/>
      <c r="BS179" s="49"/>
      <c r="BT179" s="49"/>
      <c r="BU179" s="49"/>
      <c r="BV179" s="49"/>
      <c r="BW179" s="49"/>
      <c r="BX179" s="49"/>
      <c r="BY179" s="49"/>
      <c r="BZ179" s="49"/>
      <c r="CA179" s="44"/>
      <c r="CB179" s="49"/>
      <c r="CC179" s="49"/>
      <c r="CD179" s="49"/>
      <c r="CE179" s="49"/>
      <c r="CF179" s="49"/>
      <c r="CG179" s="49"/>
      <c r="CH179" s="49"/>
      <c r="CI179" s="49"/>
      <c r="CJ179" s="49"/>
      <c r="CK179" s="49"/>
      <c r="CL179" s="49"/>
      <c r="CM179" s="49"/>
      <c r="CN179" s="49"/>
    </row>
    <row r="180" spans="1:92" hidden="1">
      <c r="A180" s="1427" t="s">
        <v>1578</v>
      </c>
      <c r="B180" s="234" t="s">
        <v>1504</v>
      </c>
      <c r="C180" s="422"/>
      <c r="D180" s="32"/>
      <c r="E180" s="102">
        <f>SUM(F180:AS180)</f>
        <v>0</v>
      </c>
      <c r="F180" s="1350">
        <f t="shared" ref="F180:AS180" si="172">+F133</f>
        <v>0</v>
      </c>
      <c r="G180" s="1376">
        <f t="shared" si="172"/>
        <v>0</v>
      </c>
      <c r="H180" s="1376">
        <f t="shared" si="172"/>
        <v>0</v>
      </c>
      <c r="I180" s="1376">
        <f t="shared" si="172"/>
        <v>0</v>
      </c>
      <c r="J180" s="1376">
        <f t="shared" si="172"/>
        <v>0</v>
      </c>
      <c r="K180" s="1376">
        <f t="shared" si="172"/>
        <v>0</v>
      </c>
      <c r="L180" s="1376">
        <f t="shared" si="172"/>
        <v>0</v>
      </c>
      <c r="M180" s="1376">
        <f t="shared" si="172"/>
        <v>0</v>
      </c>
      <c r="N180" s="1376">
        <f t="shared" si="172"/>
        <v>0</v>
      </c>
      <c r="O180" s="1376">
        <f t="shared" si="172"/>
        <v>0</v>
      </c>
      <c r="P180" s="1376">
        <f t="shared" si="172"/>
        <v>0</v>
      </c>
      <c r="Q180" s="1376">
        <f t="shared" si="172"/>
        <v>0</v>
      </c>
      <c r="R180" s="1376">
        <f t="shared" si="172"/>
        <v>0</v>
      </c>
      <c r="S180" s="1376">
        <f t="shared" si="172"/>
        <v>0</v>
      </c>
      <c r="T180" s="1376">
        <f t="shared" si="172"/>
        <v>0</v>
      </c>
      <c r="U180" s="1376">
        <f t="shared" si="172"/>
        <v>0</v>
      </c>
      <c r="V180" s="1376">
        <f t="shared" si="172"/>
        <v>0</v>
      </c>
      <c r="W180" s="1376">
        <f t="shared" si="172"/>
        <v>0</v>
      </c>
      <c r="X180" s="1376">
        <f t="shared" si="172"/>
        <v>0</v>
      </c>
      <c r="Y180" s="1376">
        <f t="shared" si="172"/>
        <v>0</v>
      </c>
      <c r="Z180" s="1376">
        <f t="shared" si="172"/>
        <v>0</v>
      </c>
      <c r="AA180" s="1376">
        <f t="shared" si="172"/>
        <v>0</v>
      </c>
      <c r="AB180" s="1376">
        <f t="shared" si="172"/>
        <v>0</v>
      </c>
      <c r="AC180" s="1376">
        <f t="shared" si="172"/>
        <v>0</v>
      </c>
      <c r="AD180" s="1376">
        <f t="shared" si="172"/>
        <v>0</v>
      </c>
      <c r="AE180" s="1376">
        <f t="shared" si="172"/>
        <v>0</v>
      </c>
      <c r="AF180" s="1376">
        <f t="shared" si="172"/>
        <v>0</v>
      </c>
      <c r="AG180" s="1376">
        <f t="shared" si="172"/>
        <v>0</v>
      </c>
      <c r="AH180" s="1376">
        <f t="shared" si="172"/>
        <v>0</v>
      </c>
      <c r="AI180" s="1376">
        <f t="shared" si="172"/>
        <v>0</v>
      </c>
      <c r="AJ180" s="1376">
        <f t="shared" si="172"/>
        <v>0</v>
      </c>
      <c r="AK180" s="1376">
        <f t="shared" si="172"/>
        <v>0</v>
      </c>
      <c r="AL180" s="1376">
        <f t="shared" si="172"/>
        <v>0</v>
      </c>
      <c r="AM180" s="1376">
        <f t="shared" si="172"/>
        <v>0</v>
      </c>
      <c r="AN180" s="1376">
        <f t="shared" si="172"/>
        <v>0</v>
      </c>
      <c r="AO180" s="1376">
        <f t="shared" si="172"/>
        <v>0</v>
      </c>
      <c r="AP180" s="1376">
        <f t="shared" si="172"/>
        <v>0</v>
      </c>
      <c r="AQ180" s="1376">
        <f t="shared" si="172"/>
        <v>0</v>
      </c>
      <c r="AR180" s="1376">
        <f t="shared" si="172"/>
        <v>0</v>
      </c>
      <c r="AS180" s="1376">
        <f t="shared" si="172"/>
        <v>0</v>
      </c>
      <c r="AT180" s="111"/>
      <c r="AU180" s="15">
        <f>+Base!E180</f>
        <v>0</v>
      </c>
      <c r="AV180" s="103">
        <f t="shared" si="169"/>
        <v>0</v>
      </c>
      <c r="AW180" s="102"/>
      <c r="AX180" s="49"/>
      <c r="AY180" s="49"/>
      <c r="AZ180" s="42"/>
      <c r="BA180" s="49"/>
      <c r="BB180" s="49"/>
      <c r="BC180" s="39"/>
      <c r="BD180" s="39"/>
      <c r="BE180" s="39"/>
      <c r="BF180" s="49"/>
      <c r="BG180" s="49"/>
      <c r="BH180" s="49"/>
      <c r="BI180" s="49"/>
      <c r="BJ180" s="39"/>
      <c r="BK180" s="49"/>
      <c r="BL180" s="39"/>
      <c r="BM180" s="39"/>
      <c r="BN180" s="49"/>
      <c r="BO180" s="49"/>
      <c r="BP180" s="49"/>
      <c r="BQ180" s="49"/>
      <c r="BR180" s="49"/>
      <c r="BS180" s="49"/>
      <c r="BT180" s="49"/>
      <c r="BU180" s="49"/>
      <c r="BV180" s="49"/>
      <c r="BW180" s="49"/>
      <c r="BX180" s="49"/>
      <c r="BY180" s="49"/>
      <c r="BZ180" s="49"/>
      <c r="CA180" s="44"/>
      <c r="CB180" s="49"/>
      <c r="CC180" s="49"/>
      <c r="CD180" s="49"/>
      <c r="CE180" s="49"/>
      <c r="CF180" s="49"/>
      <c r="CG180" s="49"/>
      <c r="CH180" s="49"/>
      <c r="CI180" s="49"/>
      <c r="CJ180" s="49"/>
      <c r="CK180" s="49"/>
      <c r="CL180" s="49"/>
      <c r="CM180" s="49"/>
      <c r="CN180" s="49"/>
    </row>
    <row r="181" spans="1:92" ht="15.6">
      <c r="A181" s="1431"/>
      <c r="B181" s="1449" t="s">
        <v>793</v>
      </c>
      <c r="D181" s="1038" t="s">
        <v>871</v>
      </c>
      <c r="E181" s="1379">
        <f>SUM(F181:AS181)</f>
        <v>0</v>
      </c>
      <c r="F181" s="1378"/>
      <c r="G181" s="1378"/>
      <c r="H181" s="1378"/>
      <c r="I181" s="1378"/>
      <c r="J181" s="1378"/>
      <c r="K181" s="1378"/>
      <c r="L181" s="1378"/>
      <c r="M181" s="1378"/>
      <c r="N181" s="1378"/>
      <c r="O181" s="1378"/>
      <c r="P181" s="1378"/>
      <c r="Q181" s="1378"/>
      <c r="R181" s="1378"/>
      <c r="S181" s="1378"/>
      <c r="T181" s="1378"/>
      <c r="U181" s="1378"/>
      <c r="V181" s="1378"/>
      <c r="W181" s="1378"/>
      <c r="X181" s="1378"/>
      <c r="Y181" s="1378"/>
      <c r="Z181" s="1378"/>
      <c r="AA181" s="1378"/>
      <c r="AB181" s="1378"/>
      <c r="AC181" s="1378"/>
      <c r="AD181" s="1378"/>
      <c r="AE181" s="1378"/>
      <c r="AF181" s="1378"/>
      <c r="AG181" s="1378"/>
      <c r="AH181" s="1378"/>
      <c r="AI181" s="1378"/>
      <c r="AJ181" s="1378"/>
      <c r="AK181" s="1378"/>
      <c r="AL181" s="1378"/>
      <c r="AM181" s="1378"/>
      <c r="AN181" s="1378"/>
      <c r="AO181" s="1378"/>
      <c r="AP181" s="1378"/>
      <c r="AQ181" s="1378"/>
      <c r="AR181" s="1378"/>
      <c r="AS181" s="1378"/>
      <c r="AT181" s="1"/>
      <c r="AU181" s="15">
        <f>+Base!E181</f>
        <v>0</v>
      </c>
      <c r="AV181" s="103">
        <f t="shared" si="169"/>
        <v>0</v>
      </c>
      <c r="AX181" s="49"/>
      <c r="AY181" s="49"/>
      <c r="AZ181" s="42"/>
      <c r="BA181" s="49"/>
      <c r="BB181" s="49"/>
      <c r="BC181" s="39"/>
      <c r="BD181" s="39"/>
      <c r="BE181" s="39"/>
      <c r="BF181" s="49"/>
      <c r="BG181" s="49"/>
      <c r="BH181" s="49"/>
      <c r="BI181" s="49"/>
      <c r="BJ181" s="39"/>
      <c r="BK181" s="49"/>
      <c r="BL181" s="39"/>
      <c r="BM181" s="39"/>
      <c r="BN181" s="49"/>
      <c r="BO181" s="49"/>
      <c r="BP181" s="49"/>
      <c r="BQ181" s="49"/>
      <c r="BR181" s="49"/>
      <c r="BS181" s="49"/>
      <c r="BT181" s="49"/>
      <c r="BU181" s="49"/>
      <c r="BV181" s="49"/>
      <c r="BW181" s="49"/>
      <c r="BX181" s="49"/>
      <c r="BY181" s="49"/>
      <c r="BZ181" s="49"/>
      <c r="CA181" s="44"/>
      <c r="CB181" s="49"/>
      <c r="CC181" s="49"/>
      <c r="CD181" s="49"/>
      <c r="CE181" s="49"/>
      <c r="CF181" s="49"/>
      <c r="CG181" s="49"/>
      <c r="CH181" s="49"/>
      <c r="CI181" s="49"/>
      <c r="CJ181" s="49"/>
      <c r="CK181" s="49"/>
      <c r="CL181" s="49"/>
      <c r="CM181" s="49"/>
      <c r="CN181" s="49"/>
    </row>
    <row r="182" spans="1:92">
      <c r="A182" s="1425"/>
      <c r="B182" s="234" t="s">
        <v>1314</v>
      </c>
      <c r="C182" s="422"/>
      <c r="D182" s="32"/>
      <c r="E182" s="65">
        <f t="shared" si="158"/>
        <v>2214900</v>
      </c>
      <c r="F182" s="88">
        <f>SUM(F169:F181)</f>
        <v>62700</v>
      </c>
      <c r="G182" s="1124">
        <f t="shared" ref="G182:AS182" si="173">SUM(G169:G181)</f>
        <v>79400</v>
      </c>
      <c r="H182" s="1124">
        <f t="shared" si="173"/>
        <v>66100</v>
      </c>
      <c r="I182" s="1124">
        <f t="shared" si="173"/>
        <v>67900</v>
      </c>
      <c r="J182" s="1124">
        <f t="shared" si="173"/>
        <v>69800</v>
      </c>
      <c r="K182" s="1124">
        <f t="shared" si="173"/>
        <v>71900</v>
      </c>
      <c r="L182" s="1124">
        <f t="shared" si="173"/>
        <v>74300</v>
      </c>
      <c r="M182" s="1124">
        <f t="shared" si="173"/>
        <v>76600</v>
      </c>
      <c r="N182" s="1124">
        <f t="shared" si="173"/>
        <v>38400</v>
      </c>
      <c r="O182" s="1124">
        <f t="shared" si="173"/>
        <v>39000</v>
      </c>
      <c r="P182" s="1124">
        <f t="shared" si="173"/>
        <v>39800</v>
      </c>
      <c r="Q182" s="1124">
        <f t="shared" si="173"/>
        <v>41000</v>
      </c>
      <c r="R182" s="1124">
        <f t="shared" si="173"/>
        <v>46900</v>
      </c>
      <c r="S182" s="1124">
        <f t="shared" si="173"/>
        <v>48900</v>
      </c>
      <c r="T182" s="1124">
        <f t="shared" si="173"/>
        <v>62800</v>
      </c>
      <c r="U182" s="1124">
        <f t="shared" si="173"/>
        <v>70000</v>
      </c>
      <c r="V182" s="1124">
        <f t="shared" si="173"/>
        <v>78500</v>
      </c>
      <c r="W182" s="1124">
        <f t="shared" si="173"/>
        <v>82100</v>
      </c>
      <c r="X182" s="1124">
        <f t="shared" si="173"/>
        <v>73300</v>
      </c>
      <c r="Y182" s="1124">
        <f t="shared" si="173"/>
        <v>75000</v>
      </c>
      <c r="Z182" s="1124">
        <f t="shared" si="173"/>
        <v>78300</v>
      </c>
      <c r="AA182" s="1124">
        <f t="shared" si="173"/>
        <v>81900</v>
      </c>
      <c r="AB182" s="1124">
        <f t="shared" si="173"/>
        <v>87500</v>
      </c>
      <c r="AC182" s="1124">
        <f t="shared" si="173"/>
        <v>97200</v>
      </c>
      <c r="AD182" s="1124">
        <f t="shared" si="173"/>
        <v>99300</v>
      </c>
      <c r="AE182" s="1124">
        <f t="shared" si="173"/>
        <v>103200</v>
      </c>
      <c r="AF182" s="1124">
        <f t="shared" si="173"/>
        <v>105100</v>
      </c>
      <c r="AG182" s="1124">
        <f t="shared" si="173"/>
        <v>98300</v>
      </c>
      <c r="AH182" s="1124">
        <f t="shared" si="173"/>
        <v>98800</v>
      </c>
      <c r="AI182" s="1124">
        <f t="shared" si="173"/>
        <v>100900</v>
      </c>
      <c r="AJ182" s="1124">
        <f t="shared" si="173"/>
        <v>0</v>
      </c>
      <c r="AK182" s="1124">
        <f t="shared" si="173"/>
        <v>0</v>
      </c>
      <c r="AL182" s="1124">
        <f t="shared" si="173"/>
        <v>0</v>
      </c>
      <c r="AM182" s="1124">
        <f t="shared" si="173"/>
        <v>0</v>
      </c>
      <c r="AN182" s="1124">
        <f t="shared" si="173"/>
        <v>0</v>
      </c>
      <c r="AO182" s="1124">
        <f t="shared" si="173"/>
        <v>0</v>
      </c>
      <c r="AP182" s="1124">
        <f t="shared" si="173"/>
        <v>0</v>
      </c>
      <c r="AQ182" s="1124">
        <f t="shared" si="173"/>
        <v>0</v>
      </c>
      <c r="AR182" s="1124">
        <f t="shared" si="173"/>
        <v>0</v>
      </c>
      <c r="AS182" s="1124">
        <f t="shared" si="173"/>
        <v>0</v>
      </c>
      <c r="AT182" s="42"/>
      <c r="AU182" s="78">
        <f>+Base!E182</f>
        <v>2214900</v>
      </c>
      <c r="AV182" s="81">
        <f t="shared" si="169"/>
        <v>0</v>
      </c>
      <c r="AW182" s="65"/>
      <c r="AX182" s="49"/>
      <c r="AY182" s="49"/>
      <c r="AZ182" s="42"/>
      <c r="BA182" s="49"/>
      <c r="BB182" s="49"/>
      <c r="BC182" s="39"/>
      <c r="BD182" s="39"/>
      <c r="BE182" s="39"/>
      <c r="BF182" s="49"/>
      <c r="BG182" s="49"/>
      <c r="BH182" s="49"/>
      <c r="BI182" s="49"/>
      <c r="BJ182" s="39"/>
      <c r="BK182" s="49"/>
      <c r="BL182" s="39"/>
      <c r="BM182" s="39"/>
      <c r="BN182" s="49"/>
      <c r="BO182" s="49"/>
      <c r="BP182" s="49"/>
      <c r="BQ182" s="49"/>
      <c r="BR182" s="49"/>
      <c r="BS182" s="49"/>
      <c r="BT182" s="49"/>
      <c r="BU182" s="49"/>
      <c r="BV182" s="49"/>
      <c r="BW182" s="49"/>
      <c r="BX182" s="49"/>
      <c r="BY182" s="49"/>
      <c r="BZ182" s="49"/>
      <c r="CA182" s="44"/>
      <c r="CB182" s="49"/>
      <c r="CC182" s="49"/>
      <c r="CD182" s="49"/>
      <c r="CE182" s="49"/>
      <c r="CF182" s="49"/>
      <c r="CG182" s="49"/>
      <c r="CH182" s="49"/>
      <c r="CI182" s="49"/>
      <c r="CJ182" s="49"/>
      <c r="CK182" s="49"/>
      <c r="CL182" s="49"/>
      <c r="CM182" s="49"/>
      <c r="CN182" s="49"/>
    </row>
    <row r="183" spans="1:92">
      <c r="A183" s="1425"/>
      <c r="B183" s="234" t="s">
        <v>1171</v>
      </c>
      <c r="C183" s="422"/>
      <c r="D183" s="32"/>
      <c r="E183" s="34">
        <f t="shared" si="158"/>
        <v>1140000</v>
      </c>
      <c r="F183" s="38">
        <f>+F165</f>
        <v>0</v>
      </c>
      <c r="G183" s="1125">
        <f t="shared" ref="G183:AS183" si="174">+G165</f>
        <v>0</v>
      </c>
      <c r="H183" s="1125">
        <f t="shared" si="174"/>
        <v>0</v>
      </c>
      <c r="I183" s="1125">
        <f t="shared" si="174"/>
        <v>0</v>
      </c>
      <c r="J183" s="1125">
        <f t="shared" si="174"/>
        <v>0</v>
      </c>
      <c r="K183" s="1125">
        <f t="shared" si="174"/>
        <v>18800</v>
      </c>
      <c r="L183" s="1125">
        <f t="shared" si="174"/>
        <v>19100</v>
      </c>
      <c r="M183" s="1125">
        <f t="shared" si="174"/>
        <v>19600</v>
      </c>
      <c r="N183" s="1125">
        <f t="shared" si="174"/>
        <v>33400</v>
      </c>
      <c r="O183" s="1125">
        <f t="shared" si="174"/>
        <v>34900</v>
      </c>
      <c r="P183" s="1125">
        <f t="shared" si="174"/>
        <v>36100</v>
      </c>
      <c r="Q183" s="1125">
        <f t="shared" si="174"/>
        <v>38000</v>
      </c>
      <c r="R183" s="1125">
        <f t="shared" si="174"/>
        <v>44300</v>
      </c>
      <c r="S183" s="1125">
        <f t="shared" si="174"/>
        <v>47000</v>
      </c>
      <c r="T183" s="1125">
        <f t="shared" si="174"/>
        <v>59600</v>
      </c>
      <c r="U183" s="1125">
        <f t="shared" si="174"/>
        <v>66800</v>
      </c>
      <c r="V183" s="1125">
        <f t="shared" si="174"/>
        <v>53600</v>
      </c>
      <c r="W183" s="1125">
        <f t="shared" si="174"/>
        <v>54600</v>
      </c>
      <c r="X183" s="1125">
        <f t="shared" si="174"/>
        <v>55700</v>
      </c>
      <c r="Y183" s="1125">
        <f t="shared" si="174"/>
        <v>56800</v>
      </c>
      <c r="Z183" s="1125">
        <f t="shared" si="174"/>
        <v>57900</v>
      </c>
      <c r="AA183" s="1125">
        <f t="shared" si="174"/>
        <v>59100</v>
      </c>
      <c r="AB183" s="1125">
        <f t="shared" si="174"/>
        <v>60300</v>
      </c>
      <c r="AC183" s="1125">
        <f t="shared" si="174"/>
        <v>61500</v>
      </c>
      <c r="AD183" s="1125">
        <f t="shared" si="174"/>
        <v>41700</v>
      </c>
      <c r="AE183" s="1125">
        <f t="shared" si="174"/>
        <v>42500</v>
      </c>
      <c r="AF183" s="1125">
        <f t="shared" si="174"/>
        <v>43400</v>
      </c>
      <c r="AG183" s="1125">
        <f t="shared" si="174"/>
        <v>44200</v>
      </c>
      <c r="AH183" s="1125">
        <f t="shared" si="174"/>
        <v>45100</v>
      </c>
      <c r="AI183" s="1125">
        <f t="shared" si="174"/>
        <v>46000</v>
      </c>
      <c r="AJ183" s="1125">
        <f t="shared" si="174"/>
        <v>0</v>
      </c>
      <c r="AK183" s="1125">
        <f t="shared" si="174"/>
        <v>0</v>
      </c>
      <c r="AL183" s="1125">
        <f t="shared" si="174"/>
        <v>0</v>
      </c>
      <c r="AM183" s="1125">
        <f t="shared" si="174"/>
        <v>0</v>
      </c>
      <c r="AN183" s="1125">
        <f t="shared" si="174"/>
        <v>0</v>
      </c>
      <c r="AO183" s="1125">
        <f t="shared" si="174"/>
        <v>0</v>
      </c>
      <c r="AP183" s="1125">
        <f t="shared" si="174"/>
        <v>0</v>
      </c>
      <c r="AQ183" s="1125">
        <f t="shared" si="174"/>
        <v>0</v>
      </c>
      <c r="AR183" s="1125">
        <f t="shared" si="174"/>
        <v>0</v>
      </c>
      <c r="AS183" s="1125">
        <f t="shared" si="174"/>
        <v>0</v>
      </c>
      <c r="AT183" s="42"/>
      <c r="AU183" s="82">
        <f>+Base!E183</f>
        <v>1140000</v>
      </c>
      <c r="AV183" s="83">
        <f t="shared" si="169"/>
        <v>0</v>
      </c>
      <c r="AW183" s="102"/>
      <c r="AX183" s="49"/>
      <c r="AY183" s="49"/>
      <c r="AZ183" s="42"/>
      <c r="BA183" s="49"/>
      <c r="BB183" s="49"/>
      <c r="BC183" s="39"/>
      <c r="BD183" s="39"/>
      <c r="BE183" s="39"/>
      <c r="BF183" s="49"/>
      <c r="BG183" s="49"/>
      <c r="BH183" s="49"/>
      <c r="BI183" s="49"/>
      <c r="BJ183" s="39"/>
      <c r="BK183" s="49"/>
      <c r="BL183" s="39"/>
      <c r="BM183" s="39"/>
      <c r="BN183" s="49"/>
      <c r="BO183" s="49"/>
      <c r="BP183" s="49"/>
      <c r="BQ183" s="49"/>
      <c r="BR183" s="49"/>
      <c r="BS183" s="49"/>
      <c r="BT183" s="49"/>
      <c r="BU183" s="49"/>
      <c r="BV183" s="49"/>
      <c r="BW183" s="49"/>
      <c r="BX183" s="49"/>
      <c r="BY183" s="49"/>
      <c r="BZ183" s="49"/>
      <c r="CA183" s="44"/>
      <c r="CB183" s="49"/>
      <c r="CC183" s="49"/>
      <c r="CD183" s="49"/>
      <c r="CE183" s="49"/>
      <c r="CF183" s="49"/>
      <c r="CG183" s="49"/>
      <c r="CH183" s="49"/>
      <c r="CI183" s="49"/>
      <c r="CJ183" s="49"/>
      <c r="CK183" s="49"/>
      <c r="CL183" s="49"/>
      <c r="CM183" s="49"/>
      <c r="CN183" s="49"/>
    </row>
    <row r="184" spans="1:92" ht="15.6">
      <c r="A184" s="1425"/>
      <c r="B184" s="426" t="s">
        <v>1040</v>
      </c>
      <c r="C184" s="426"/>
      <c r="D184" s="1807" t="str">
        <f>IF(Taxable_Tax_Rate&gt;0,"Taxable Adj "&amp;Taxable_Tax_Rate*100&amp;"%","0%")</f>
        <v>Taxable Adj 60%</v>
      </c>
      <c r="E184" s="29">
        <f t="shared" si="158"/>
        <v>3354900</v>
      </c>
      <c r="F184" s="31">
        <f>+F182+F183</f>
        <v>62700</v>
      </c>
      <c r="G184" s="1124">
        <f t="shared" ref="G184:AS184" si="175">+G182+G183</f>
        <v>79400</v>
      </c>
      <c r="H184" s="1124">
        <f t="shared" si="175"/>
        <v>66100</v>
      </c>
      <c r="I184" s="1124">
        <f t="shared" si="175"/>
        <v>67900</v>
      </c>
      <c r="J184" s="1124">
        <f t="shared" si="175"/>
        <v>69800</v>
      </c>
      <c r="K184" s="1124">
        <f t="shared" si="175"/>
        <v>90700</v>
      </c>
      <c r="L184" s="1124">
        <f t="shared" si="175"/>
        <v>93400</v>
      </c>
      <c r="M184" s="1124">
        <f t="shared" si="175"/>
        <v>96200</v>
      </c>
      <c r="N184" s="1124">
        <f t="shared" si="175"/>
        <v>71800</v>
      </c>
      <c r="O184" s="1124">
        <f t="shared" si="175"/>
        <v>73900</v>
      </c>
      <c r="P184" s="1124">
        <f t="shared" si="175"/>
        <v>75900</v>
      </c>
      <c r="Q184" s="1124">
        <f t="shared" si="175"/>
        <v>79000</v>
      </c>
      <c r="R184" s="1124">
        <f t="shared" si="175"/>
        <v>91200</v>
      </c>
      <c r="S184" s="1124">
        <f t="shared" si="175"/>
        <v>95900</v>
      </c>
      <c r="T184" s="1124">
        <f t="shared" si="175"/>
        <v>122400</v>
      </c>
      <c r="U184" s="1124">
        <f t="shared" si="175"/>
        <v>136800</v>
      </c>
      <c r="V184" s="1124">
        <f t="shared" si="175"/>
        <v>132100</v>
      </c>
      <c r="W184" s="1124">
        <f t="shared" si="175"/>
        <v>136700</v>
      </c>
      <c r="X184" s="1124">
        <f t="shared" si="175"/>
        <v>129000</v>
      </c>
      <c r="Y184" s="1124">
        <f t="shared" si="175"/>
        <v>131800</v>
      </c>
      <c r="Z184" s="1124">
        <f t="shared" si="175"/>
        <v>136200</v>
      </c>
      <c r="AA184" s="1124">
        <f t="shared" si="175"/>
        <v>141000</v>
      </c>
      <c r="AB184" s="1124">
        <f t="shared" si="175"/>
        <v>147800</v>
      </c>
      <c r="AC184" s="1124">
        <f t="shared" si="175"/>
        <v>158700</v>
      </c>
      <c r="AD184" s="1124">
        <f t="shared" si="175"/>
        <v>141000</v>
      </c>
      <c r="AE184" s="1124">
        <f t="shared" si="175"/>
        <v>145700</v>
      </c>
      <c r="AF184" s="1124">
        <f t="shared" si="175"/>
        <v>148500</v>
      </c>
      <c r="AG184" s="1124">
        <f t="shared" si="175"/>
        <v>142500</v>
      </c>
      <c r="AH184" s="1124">
        <f t="shared" si="175"/>
        <v>143900</v>
      </c>
      <c r="AI184" s="1124">
        <f t="shared" si="175"/>
        <v>146900</v>
      </c>
      <c r="AJ184" s="1124">
        <f t="shared" si="175"/>
        <v>0</v>
      </c>
      <c r="AK184" s="1124">
        <f t="shared" si="175"/>
        <v>0</v>
      </c>
      <c r="AL184" s="1124">
        <f t="shared" si="175"/>
        <v>0</v>
      </c>
      <c r="AM184" s="1124">
        <f t="shared" si="175"/>
        <v>0</v>
      </c>
      <c r="AN184" s="1124">
        <f t="shared" si="175"/>
        <v>0</v>
      </c>
      <c r="AO184" s="1124">
        <f t="shared" si="175"/>
        <v>0</v>
      </c>
      <c r="AP184" s="1124">
        <f t="shared" si="175"/>
        <v>0</v>
      </c>
      <c r="AQ184" s="1124">
        <f t="shared" si="175"/>
        <v>0</v>
      </c>
      <c r="AR184" s="1124">
        <f t="shared" si="175"/>
        <v>0</v>
      </c>
      <c r="AS184" s="1124">
        <f t="shared" si="175"/>
        <v>0</v>
      </c>
      <c r="AT184" s="42"/>
      <c r="AU184" s="78">
        <f>+Base!E184</f>
        <v>3354900</v>
      </c>
      <c r="AV184" s="81">
        <f t="shared" si="169"/>
        <v>0</v>
      </c>
      <c r="AW184" s="29"/>
      <c r="AX184" s="49"/>
      <c r="AY184" s="49"/>
      <c r="AZ184" s="42"/>
      <c r="BA184" s="49"/>
      <c r="BB184" s="49"/>
      <c r="BC184" s="39"/>
      <c r="BD184" s="39"/>
      <c r="BE184" s="39"/>
      <c r="BF184" s="49"/>
      <c r="BG184" s="49"/>
      <c r="BH184" s="49"/>
      <c r="BI184" s="49"/>
      <c r="BJ184" s="39"/>
      <c r="BK184" s="49"/>
      <c r="BL184" s="39"/>
      <c r="BM184" s="39"/>
      <c r="BN184" s="49"/>
      <c r="BO184" s="49"/>
      <c r="BP184" s="49"/>
      <c r="BQ184" s="49"/>
      <c r="BR184" s="49"/>
      <c r="BS184" s="49"/>
      <c r="BT184" s="49"/>
      <c r="BU184" s="49"/>
      <c r="BV184" s="49"/>
      <c r="BW184" s="49"/>
      <c r="BX184" s="49"/>
      <c r="BY184" s="49"/>
      <c r="BZ184" s="49"/>
      <c r="CA184" s="44"/>
      <c r="CB184" s="49"/>
      <c r="CC184" s="49"/>
      <c r="CD184" s="49"/>
      <c r="CE184" s="49"/>
      <c r="CF184" s="49"/>
      <c r="CG184" s="49"/>
      <c r="CH184" s="49"/>
      <c r="CI184" s="49"/>
      <c r="CJ184" s="49"/>
      <c r="CK184" s="49"/>
      <c r="CL184" s="49"/>
      <c r="CM184" s="49"/>
      <c r="CN184" s="49"/>
    </row>
    <row r="185" spans="1:92" ht="15.6">
      <c r="A185" s="1425"/>
      <c r="B185" s="28"/>
      <c r="C185" s="28"/>
      <c r="D185" s="199"/>
      <c r="E185" s="152"/>
      <c r="F185" s="152"/>
      <c r="G185" s="152"/>
      <c r="H185" s="152"/>
      <c r="I185" s="152"/>
      <c r="J185" s="152"/>
      <c r="K185" s="152"/>
      <c r="L185" s="152"/>
      <c r="M185" s="152"/>
      <c r="N185" s="152"/>
      <c r="O185" s="152"/>
      <c r="P185" s="152"/>
      <c r="Q185" s="152"/>
      <c r="R185" s="152"/>
      <c r="S185" s="152"/>
      <c r="T185" s="152"/>
      <c r="U185" s="152"/>
      <c r="V185" s="152"/>
      <c r="W185" s="152"/>
      <c r="X185" s="152"/>
      <c r="Y185" s="152"/>
      <c r="Z185" s="152"/>
      <c r="AA185" s="152"/>
      <c r="AB185" s="152"/>
      <c r="AC185" s="152"/>
      <c r="AD185" s="152"/>
      <c r="AE185" s="152"/>
      <c r="AF185" s="152"/>
      <c r="AG185" s="152"/>
      <c r="AH185" s="152"/>
      <c r="AI185" s="152"/>
      <c r="AJ185" s="152"/>
      <c r="AK185" s="152"/>
      <c r="AL185" s="152"/>
      <c r="AM185" s="152"/>
      <c r="AN185" s="152"/>
      <c r="AO185" s="31"/>
      <c r="AP185" s="31"/>
      <c r="AQ185" s="31"/>
      <c r="AR185" s="31"/>
      <c r="AS185" s="31"/>
      <c r="AT185" s="3"/>
      <c r="AU185" s="78"/>
      <c r="AV185" s="81"/>
      <c r="AW185" s="29"/>
      <c r="AX185" s="49"/>
      <c r="AY185" s="49"/>
      <c r="AZ185" s="42"/>
      <c r="BA185" s="49"/>
      <c r="BB185" s="49"/>
      <c r="BC185" s="39"/>
      <c r="BD185" s="39"/>
      <c r="BE185" s="39"/>
      <c r="BF185" s="49"/>
      <c r="BG185" s="49"/>
      <c r="BH185" s="49"/>
      <c r="BI185" s="49"/>
      <c r="BJ185" s="39"/>
      <c r="BK185" s="49"/>
      <c r="BL185" s="39"/>
      <c r="BM185" s="39"/>
      <c r="BN185" s="49"/>
      <c r="BO185" s="49"/>
      <c r="BP185" s="49"/>
      <c r="BQ185" s="49"/>
      <c r="BR185" s="49"/>
      <c r="BS185" s="49"/>
      <c r="BT185" s="49"/>
      <c r="BU185" s="49"/>
      <c r="BV185" s="49"/>
      <c r="BW185" s="49"/>
      <c r="BX185" s="49"/>
      <c r="BY185" s="49"/>
      <c r="BZ185" s="49"/>
      <c r="CA185" s="44"/>
      <c r="CB185" s="49"/>
      <c r="CC185" s="49"/>
      <c r="CD185" s="49"/>
      <c r="CE185" s="49"/>
      <c r="CF185" s="49"/>
      <c r="CG185" s="49"/>
      <c r="CH185" s="49"/>
      <c r="CI185" s="49"/>
      <c r="CJ185" s="49"/>
      <c r="CK185" s="49"/>
      <c r="CL185" s="49"/>
      <c r="CM185" s="49"/>
      <c r="CN185" s="49"/>
    </row>
    <row r="186" spans="1:92" ht="15.6">
      <c r="A186" s="1425"/>
      <c r="B186" s="1475" t="s">
        <v>1853</v>
      </c>
      <c r="C186" s="28"/>
      <c r="D186" s="1107" t="str">
        <f>IF(Exemptions_Add&gt;0,"Additional " &amp; Exemptions_Start &amp; "-" &amp; Exemptions_End,".")</f>
        <v>.</v>
      </c>
      <c r="E186" s="29"/>
      <c r="F186" s="1106">
        <f>IF(Filing_Status="m",+'Tax Tables'!F96,+'Tax Tables'!F175)</f>
        <v>2</v>
      </c>
      <c r="G186" s="1124">
        <f>IF(Filing_Status="m",+'Tax Tables'!G96,+'Tax Tables'!G175)</f>
        <v>2</v>
      </c>
      <c r="H186" s="1124">
        <f>IF(Filing_Status="m",+'Tax Tables'!H96,+'Tax Tables'!H175)</f>
        <v>2</v>
      </c>
      <c r="I186" s="1124">
        <f>IF(Filing_Status="m",+'Tax Tables'!I96,+'Tax Tables'!I175)</f>
        <v>2</v>
      </c>
      <c r="J186" s="1124">
        <f>IF(Filing_Status="m",+'Tax Tables'!J96,+'Tax Tables'!J175)</f>
        <v>2</v>
      </c>
      <c r="K186" s="1124">
        <f>IF(Filing_Status="m",+'Tax Tables'!K96,+'Tax Tables'!K175)</f>
        <v>2</v>
      </c>
      <c r="L186" s="1124">
        <f>IF(Filing_Status="m",+'Tax Tables'!L96,+'Tax Tables'!L175)</f>
        <v>2</v>
      </c>
      <c r="M186" s="1124">
        <f>IF(Filing_Status="m",+'Tax Tables'!M96,+'Tax Tables'!M175)</f>
        <v>2</v>
      </c>
      <c r="N186" s="1124">
        <f>IF(Filing_Status="m",+'Tax Tables'!N96,+'Tax Tables'!N175)</f>
        <v>2</v>
      </c>
      <c r="O186" s="1124">
        <f>IF(Filing_Status="m",+'Tax Tables'!O96,+'Tax Tables'!O175)</f>
        <v>2</v>
      </c>
      <c r="P186" s="1124">
        <f>IF(Filing_Status="m",+'Tax Tables'!P96,+'Tax Tables'!P175)</f>
        <v>2</v>
      </c>
      <c r="Q186" s="1124">
        <f>IF(Filing_Status="m",+'Tax Tables'!Q96,+'Tax Tables'!Q175)</f>
        <v>2</v>
      </c>
      <c r="R186" s="1124">
        <f>IF(Filing_Status="m",+'Tax Tables'!R96,+'Tax Tables'!R175)</f>
        <v>2</v>
      </c>
      <c r="S186" s="1124">
        <f>IF(Filing_Status="m",+'Tax Tables'!S96,+'Tax Tables'!S175)</f>
        <v>2</v>
      </c>
      <c r="T186" s="1124">
        <f>IF(Filing_Status="m",+'Tax Tables'!T96,+'Tax Tables'!T175)</f>
        <v>2</v>
      </c>
      <c r="U186" s="1124">
        <f>IF(Filing_Status="m",+'Tax Tables'!U96,+'Tax Tables'!U175)</f>
        <v>2</v>
      </c>
      <c r="V186" s="1124">
        <f>IF(Filing_Status="m",+'Tax Tables'!V96,+'Tax Tables'!V175)</f>
        <v>2</v>
      </c>
      <c r="W186" s="1124">
        <f>IF(Filing_Status="m",+'Tax Tables'!W96,+'Tax Tables'!W175)</f>
        <v>2</v>
      </c>
      <c r="X186" s="1124">
        <f>IF(Filing_Status="m",+'Tax Tables'!X96,+'Tax Tables'!X175)</f>
        <v>2</v>
      </c>
      <c r="Y186" s="1124">
        <f>IF(Filing_Status="m",+'Tax Tables'!Y96,+'Tax Tables'!Y175)</f>
        <v>2</v>
      </c>
      <c r="Z186" s="1124">
        <f>IF(Filing_Status="m",+'Tax Tables'!Z96,+'Tax Tables'!Z175)</f>
        <v>2</v>
      </c>
      <c r="AA186" s="1124">
        <f>IF(Filing_Status="m",+'Tax Tables'!AA96,+'Tax Tables'!AA175)</f>
        <v>2</v>
      </c>
      <c r="AB186" s="1124">
        <f>IF(Filing_Status="m",+'Tax Tables'!AB96,+'Tax Tables'!AB175)</f>
        <v>2</v>
      </c>
      <c r="AC186" s="1124">
        <f>IF(Filing_Status="m",+'Tax Tables'!AC96,+'Tax Tables'!AC175)</f>
        <v>2</v>
      </c>
      <c r="AD186" s="1124">
        <f>IF(Filing_Status="m",+'Tax Tables'!AD96,+'Tax Tables'!AD175)</f>
        <v>1</v>
      </c>
      <c r="AE186" s="1124">
        <f>IF(Filing_Status="m",+'Tax Tables'!AE96,+'Tax Tables'!AE175)</f>
        <v>1</v>
      </c>
      <c r="AF186" s="1124">
        <f>IF(Filing_Status="m",+'Tax Tables'!AF96,+'Tax Tables'!AF175)</f>
        <v>1</v>
      </c>
      <c r="AG186" s="1124">
        <f>IF(Filing_Status="m",+'Tax Tables'!AG96,+'Tax Tables'!AG175)</f>
        <v>1</v>
      </c>
      <c r="AH186" s="1124">
        <f>IF(Filing_Status="m",+'Tax Tables'!AH96,+'Tax Tables'!AH175)</f>
        <v>1</v>
      </c>
      <c r="AI186" s="1124">
        <f>IF(Filing_Status="m",+'Tax Tables'!AI96,+'Tax Tables'!AI175)</f>
        <v>1</v>
      </c>
      <c r="AJ186" s="1124">
        <f>IF(Filing_Status="m",+'Tax Tables'!AJ96,+'Tax Tables'!AJ175)</f>
        <v>0</v>
      </c>
      <c r="AK186" s="1124">
        <f>IF(Filing_Status="m",+'Tax Tables'!AK96,+'Tax Tables'!AK175)</f>
        <v>0</v>
      </c>
      <c r="AL186" s="1124">
        <f>IF(Filing_Status="m",+'Tax Tables'!AL96,+'Tax Tables'!AL175)</f>
        <v>0</v>
      </c>
      <c r="AM186" s="1124">
        <f>IF(Filing_Status="m",+'Tax Tables'!AM96,+'Tax Tables'!AM175)</f>
        <v>0</v>
      </c>
      <c r="AN186" s="1124">
        <f>IF(Filing_Status="m",+'Tax Tables'!AN96,+'Tax Tables'!AN175)</f>
        <v>0</v>
      </c>
      <c r="AO186" s="1124">
        <f>IF(Filing_Status="m",+'Tax Tables'!AO96,+'Tax Tables'!AO175)</f>
        <v>0</v>
      </c>
      <c r="AP186" s="1124">
        <f>IF(Filing_Status="m",+'Tax Tables'!AP96,+'Tax Tables'!AP175)</f>
        <v>0</v>
      </c>
      <c r="AQ186" s="1124">
        <f>IF(Filing_Status="m",+'Tax Tables'!AQ96,+'Tax Tables'!AQ175)</f>
        <v>0</v>
      </c>
      <c r="AR186" s="1124">
        <f>IF(Filing_Status="m",+'Tax Tables'!AR96,+'Tax Tables'!AR175)</f>
        <v>0</v>
      </c>
      <c r="AS186" s="1124">
        <f>IF(Filing_Status="m",+'Tax Tables'!AS96,+'Tax Tables'!AS175)</f>
        <v>0</v>
      </c>
      <c r="AT186" s="3"/>
      <c r="AU186" s="78"/>
      <c r="AV186" s="81"/>
      <c r="AW186" s="29"/>
      <c r="AX186" s="49"/>
      <c r="AY186" s="49"/>
      <c r="AZ186" s="42"/>
      <c r="BA186" s="49"/>
      <c r="BB186" s="49"/>
      <c r="BC186" s="39"/>
      <c r="BD186" s="39"/>
      <c r="BE186" s="39"/>
      <c r="BF186" s="49"/>
      <c r="BG186" s="49"/>
      <c r="BH186" s="49"/>
      <c r="BI186" s="49"/>
      <c r="BJ186" s="39"/>
      <c r="BK186" s="49"/>
      <c r="BL186" s="39"/>
      <c r="BM186" s="39"/>
      <c r="BN186" s="49"/>
      <c r="BO186" s="49"/>
      <c r="BP186" s="49"/>
      <c r="BQ186" s="49"/>
      <c r="BR186" s="49"/>
      <c r="BS186" s="49"/>
      <c r="BT186" s="49"/>
      <c r="BU186" s="49"/>
      <c r="BV186" s="49"/>
      <c r="BW186" s="49"/>
      <c r="BX186" s="49"/>
      <c r="BY186" s="49"/>
      <c r="BZ186" s="49"/>
      <c r="CA186" s="44"/>
      <c r="CB186" s="49"/>
      <c r="CC186" s="49"/>
      <c r="CD186" s="49"/>
      <c r="CE186" s="49"/>
      <c r="CF186" s="49"/>
      <c r="CG186" s="49"/>
      <c r="CH186" s="49"/>
      <c r="CI186" s="49"/>
      <c r="CJ186" s="49"/>
      <c r="CK186" s="49"/>
      <c r="CL186" s="49"/>
      <c r="CM186" s="49"/>
      <c r="CN186" s="49"/>
    </row>
    <row r="187" spans="1:92">
      <c r="A187" s="1425"/>
      <c r="B187" s="235" t="s">
        <v>1219</v>
      </c>
      <c r="C187" s="235"/>
      <c r="D187" s="1069" t="str">
        <f>IF(Esc_Fed_Ded="n","Escalation turned off",".")</f>
        <v>.</v>
      </c>
      <c r="E187" s="29">
        <f>SUM(F187:AS187)</f>
        <v>0</v>
      </c>
      <c r="F187" s="102">
        <f>IF(Filing_Status="m",IF(OR(F$7&lt;Single_Rate_Start,Single_Rate_Start=""),-'Tax Tables'!F$97,-'Tax Tables'!F$176),-'Tax Tables'!F$176)</f>
        <v>0</v>
      </c>
      <c r="G187" s="1124">
        <f>IF(Filing_Status="m",IF(OR(G$7&lt;Single_Rate_Start,Single_Rate_Start=""),-'Tax Tables'!G$97,-'Tax Tables'!G$176),-'Tax Tables'!G$176)*IF(G$7-$F7&lt;=Total_Years-1,1,0)</f>
        <v>0</v>
      </c>
      <c r="H187" s="1124">
        <f>IF(Filing_Status="m",IF(OR(H$7&lt;Single_Rate_Start,Single_Rate_Start=""),-'Tax Tables'!H$97,-'Tax Tables'!H$176),-'Tax Tables'!H$176)*IF(H$7-$F7&lt;=Total_Years-1,1,0)</f>
        <v>0</v>
      </c>
      <c r="I187" s="1124">
        <f>IF(Filing_Status="m",IF(OR(I$7&lt;Single_Rate_Start,Single_Rate_Start=""),-'Tax Tables'!I$97,-'Tax Tables'!I$176),-'Tax Tables'!I$176)*IF(I$7-$F7&lt;=Total_Years-1,1,0)</f>
        <v>0</v>
      </c>
      <c r="J187" s="1124">
        <f>IF(Filing_Status="m",IF(OR(J$7&lt;Single_Rate_Start,Single_Rate_Start=""),-'Tax Tables'!J$97,-'Tax Tables'!J$176),-'Tax Tables'!J$176)*IF(J$7-$F7&lt;=Total_Years-1,1,0)</f>
        <v>0</v>
      </c>
      <c r="K187" s="1124">
        <f>IF(Filing_Status="m",IF(OR(K$7&lt;Single_Rate_Start,Single_Rate_Start=""),-'Tax Tables'!K$97,-'Tax Tables'!K$176),-'Tax Tables'!K$176)*IF(K$7-$F7&lt;=Total_Years-1,1,0)</f>
        <v>0</v>
      </c>
      <c r="L187" s="1124">
        <f>IF(Filing_Status="m",IF(OR(L$7&lt;Single_Rate_Start,Single_Rate_Start=""),-'Tax Tables'!L$97,-'Tax Tables'!L$176),-'Tax Tables'!L$176)*IF(L$7-$F7&lt;=Total_Years-1,1,0)</f>
        <v>0</v>
      </c>
      <c r="M187" s="1124">
        <f>IF(Filing_Status="m",IF(OR(M$7&lt;Single_Rate_Start,Single_Rate_Start=""),-'Tax Tables'!M$97,-'Tax Tables'!M$176),-'Tax Tables'!M$176)*IF(M$7-$F7&lt;=Total_Years-1,1,0)</f>
        <v>0</v>
      </c>
      <c r="N187" s="1124">
        <f>IF(Filing_Status="m",IF(OR(N$7&lt;Single_Rate_Start,Single_Rate_Start=""),-'Tax Tables'!N$97,-'Tax Tables'!N$176),-'Tax Tables'!N$176)*IF(N$7-$F7&lt;=Total_Years-1,1,0)</f>
        <v>0</v>
      </c>
      <c r="O187" s="1124">
        <f>IF(Filing_Status="m",IF(OR(O$7&lt;Single_Rate_Start,Single_Rate_Start=""),-'Tax Tables'!O$97,-'Tax Tables'!O$176),-'Tax Tables'!O$176)*IF(O$7-$F7&lt;=Total_Years-1,1,0)</f>
        <v>0</v>
      </c>
      <c r="P187" s="1124">
        <f>IF(Filing_Status="m",IF(OR(P$7&lt;Single_Rate_Start,Single_Rate_Start=""),-'Tax Tables'!P$97,-'Tax Tables'!P$176),-'Tax Tables'!P$176)*IF(P$7-$F7&lt;=Total_Years-1,1,0)</f>
        <v>0</v>
      </c>
      <c r="Q187" s="1124">
        <f>IF(Filing_Status="m",IF(OR(Q$7&lt;Single_Rate_Start,Single_Rate_Start=""),-'Tax Tables'!Q$97,-'Tax Tables'!Q$176),-'Tax Tables'!Q$176)*IF(Q$7-$F7&lt;=Total_Years-1,1,0)</f>
        <v>0</v>
      </c>
      <c r="R187" s="1124">
        <f>IF(Filing_Status="m",IF(OR(R$7&lt;Single_Rate_Start,Single_Rate_Start=""),-'Tax Tables'!R$97,-'Tax Tables'!R$176),-'Tax Tables'!R$176)*IF(R$7-$F7&lt;=Total_Years-1,1,0)</f>
        <v>0</v>
      </c>
      <c r="S187" s="1124">
        <f>IF(Filing_Status="m",IF(OR(S$7&lt;Single_Rate_Start,Single_Rate_Start=""),-'Tax Tables'!S$97,-'Tax Tables'!S$176),-'Tax Tables'!S$176)*IF(S$7-$F7&lt;=Total_Years-1,1,0)</f>
        <v>0</v>
      </c>
      <c r="T187" s="1124">
        <f>IF(Filing_Status="m",IF(OR(T$7&lt;Single_Rate_Start,Single_Rate_Start=""),-'Tax Tables'!T$97,-'Tax Tables'!T$176),-'Tax Tables'!T$176)*IF(T$7-$F7&lt;=Total_Years-1,1,0)</f>
        <v>0</v>
      </c>
      <c r="U187" s="1124">
        <f>IF(Filing_Status="m",IF(OR(U$7&lt;Single_Rate_Start,Single_Rate_Start=""),-'Tax Tables'!U$97,-'Tax Tables'!U$176),-'Tax Tables'!U$176)*IF(U$7-$F7&lt;=Total_Years-1,1,0)</f>
        <v>0</v>
      </c>
      <c r="V187" s="1124">
        <f>IF(Filing_Status="m",IF(OR(V$7&lt;Single_Rate_Start,Single_Rate_Start=""),-'Tax Tables'!V$97,-'Tax Tables'!V$176),-'Tax Tables'!V$176)*IF(V$7-$F7&lt;=Total_Years-1,1,0)</f>
        <v>0</v>
      </c>
      <c r="W187" s="1124">
        <f>IF(Filing_Status="m",IF(OR(W$7&lt;Single_Rate_Start,Single_Rate_Start=""),-'Tax Tables'!W$97,-'Tax Tables'!W$176),-'Tax Tables'!W$176)*IF(W$7-$F7&lt;=Total_Years-1,1,0)</f>
        <v>0</v>
      </c>
      <c r="X187" s="1124">
        <f>IF(Filing_Status="m",IF(OR(X$7&lt;Single_Rate_Start,Single_Rate_Start=""),-'Tax Tables'!X$97,-'Tax Tables'!X$176),-'Tax Tables'!X$176)*IF(X$7-$F7&lt;=Total_Years-1,1,0)</f>
        <v>0</v>
      </c>
      <c r="Y187" s="1124">
        <f>IF(Filing_Status="m",IF(OR(Y$7&lt;Single_Rate_Start,Single_Rate_Start=""),-'Tax Tables'!Y$97,-'Tax Tables'!Y$176),-'Tax Tables'!Y$176)*IF(Y$7-$F7&lt;=Total_Years-1,1,0)</f>
        <v>0</v>
      </c>
      <c r="Z187" s="1124">
        <f>IF(Filing_Status="m",IF(OR(Z$7&lt;Single_Rate_Start,Single_Rate_Start=""),-'Tax Tables'!Z$97,-'Tax Tables'!Z$176),-'Tax Tables'!Z$176)*IF(Z$7-$F7&lt;=Total_Years-1,1,0)</f>
        <v>0</v>
      </c>
      <c r="AA187" s="1124">
        <f>IF(Filing_Status="m",IF(OR(AA$7&lt;Single_Rate_Start,Single_Rate_Start=""),-'Tax Tables'!AA$97,-'Tax Tables'!AA$176),-'Tax Tables'!AA$176)*IF(AA$7-$F7&lt;=Total_Years-1,1,0)</f>
        <v>0</v>
      </c>
      <c r="AB187" s="1124">
        <f>IF(Filing_Status="m",IF(OR(AB$7&lt;Single_Rate_Start,Single_Rate_Start=""),-'Tax Tables'!AB$97,-'Tax Tables'!AB$176),-'Tax Tables'!AB$176)*IF(AB$7-$F7&lt;=Total_Years-1,1,0)</f>
        <v>0</v>
      </c>
      <c r="AC187" s="1124">
        <f>IF(Filing_Status="m",IF(OR(AC$7&lt;Single_Rate_Start,Single_Rate_Start=""),-'Tax Tables'!AC$97,-'Tax Tables'!AC$176),-'Tax Tables'!AC$176)*IF(AC$7-$F7&lt;=Total_Years-1,1,0)</f>
        <v>0</v>
      </c>
      <c r="AD187" s="1124">
        <f>IF(Filing_Status="m",IF(OR(AD$7&lt;Single_Rate_Start,Single_Rate_Start=""),-'Tax Tables'!AD$97,-'Tax Tables'!AD$176),-'Tax Tables'!AD$176)*IF(AD$7-$F7&lt;=Total_Years-1,1,0)</f>
        <v>0</v>
      </c>
      <c r="AE187" s="1124">
        <f>IF(Filing_Status="m",IF(OR(AE$7&lt;Single_Rate_Start,Single_Rate_Start=""),-'Tax Tables'!AE$97,-'Tax Tables'!AE$176),-'Tax Tables'!AE$176)*IF(AE$7-$F7&lt;=Total_Years-1,1,0)</f>
        <v>0</v>
      </c>
      <c r="AF187" s="1124">
        <f>IF(Filing_Status="m",IF(OR(AF$7&lt;Single_Rate_Start,Single_Rate_Start=""),-'Tax Tables'!AF$97,-'Tax Tables'!AF$176),-'Tax Tables'!AF$176)*IF(AF$7-$F7&lt;=Total_Years-1,1,0)</f>
        <v>0</v>
      </c>
      <c r="AG187" s="1124">
        <f>IF(Filing_Status="m",IF(OR(AG$7&lt;Single_Rate_Start,Single_Rate_Start=""),-'Tax Tables'!AG$97,-'Tax Tables'!AG$176),-'Tax Tables'!AG$176)*IF(AG$7-$F7&lt;=Total_Years-1,1,0)</f>
        <v>0</v>
      </c>
      <c r="AH187" s="1124">
        <f>IF(Filing_Status="m",IF(OR(AH$7&lt;Single_Rate_Start,Single_Rate_Start=""),-'Tax Tables'!AH$97,-'Tax Tables'!AH$176),-'Tax Tables'!AH$176)*IF(AH$7-$F7&lt;=Total_Years-1,1,0)</f>
        <v>0</v>
      </c>
      <c r="AI187" s="1124">
        <f>IF(Filing_Status="m",IF(OR(AI$7&lt;Single_Rate_Start,Single_Rate_Start=""),-'Tax Tables'!AI$97,-'Tax Tables'!AI$176),-'Tax Tables'!AI$176)*IF(AI$7-$F7&lt;=Total_Years-1,1,0)</f>
        <v>0</v>
      </c>
      <c r="AJ187" s="1124">
        <f>IF(Filing_Status="m",IF(OR(AJ$7&lt;Single_Rate_Start,Single_Rate_Start=""),-'Tax Tables'!AJ$97,-'Tax Tables'!AJ$176),-'Tax Tables'!AJ$176)*IF(AJ$7-$F7&lt;=Total_Years-1,1,0)</f>
        <v>0</v>
      </c>
      <c r="AK187" s="1124">
        <f>IF(Filing_Status="m",IF(OR(AK$7&lt;Single_Rate_Start,Single_Rate_Start=""),-'Tax Tables'!AK$97,-'Tax Tables'!AK$176),-'Tax Tables'!AK$176)*IF(AK$7-$F7&lt;=Total_Years-1,1,0)</f>
        <v>0</v>
      </c>
      <c r="AL187" s="1124">
        <f>IF(Filing_Status="m",IF(OR(AL$7&lt;Single_Rate_Start,Single_Rate_Start=""),-'Tax Tables'!AL$97,-'Tax Tables'!AL$176),-'Tax Tables'!AL$176)*IF(AL$7-$F7&lt;=Total_Years-1,1,0)</f>
        <v>0</v>
      </c>
      <c r="AM187" s="1124">
        <f>IF(Filing_Status="m",IF(OR(AM$7&lt;Single_Rate_Start,Single_Rate_Start=""),-'Tax Tables'!AM$97,-'Tax Tables'!AM$176),-'Tax Tables'!AM$176)*IF(AM$7-$F7&lt;=Total_Years-1,1,0)</f>
        <v>0</v>
      </c>
      <c r="AN187" s="1124">
        <f>IF(Filing_Status="m",IF(OR(AN$7&lt;Single_Rate_Start,Single_Rate_Start=""),-'Tax Tables'!AN$97,-'Tax Tables'!AN$176),-'Tax Tables'!AN$176)*IF(AN$7-$F7&lt;=Total_Years-1,1,0)</f>
        <v>0</v>
      </c>
      <c r="AO187" s="1124">
        <f>IF(Filing_Status="m",IF(OR(AO$7&lt;Single_Rate_Start,Single_Rate_Start=""),-'Tax Tables'!AO$97,-'Tax Tables'!AO$176),-'Tax Tables'!AO$176)*IF(AO$7-$F7&lt;=Total_Years-1,1,0)</f>
        <v>0</v>
      </c>
      <c r="AP187" s="1124">
        <f>IF(Filing_Status="m",IF(OR(AP$7&lt;Single_Rate_Start,Single_Rate_Start=""),-'Tax Tables'!AP$97,-'Tax Tables'!AP$176),-'Tax Tables'!AP$176)*IF(AP$7-$F7&lt;=Total_Years-1,1,0)</f>
        <v>0</v>
      </c>
      <c r="AQ187" s="1124">
        <f>IF(Filing_Status="m",IF(OR(AQ$7&lt;Single_Rate_Start,Single_Rate_Start=""),-'Tax Tables'!AQ$97,-'Tax Tables'!AQ$176),-'Tax Tables'!AQ$176)*IF(AQ$7-$F7&lt;=Total_Years-1,1,0)</f>
        <v>0</v>
      </c>
      <c r="AR187" s="1124">
        <f>IF(Filing_Status="m",IF(OR(AR$7&lt;Single_Rate_Start,Single_Rate_Start=""),-'Tax Tables'!AR$97,-'Tax Tables'!AR$176),-'Tax Tables'!AR$176)*IF(AR$7-$F7&lt;=Total_Years-1,1,0)</f>
        <v>0</v>
      </c>
      <c r="AS187" s="1124">
        <f>IF(Filing_Status="m",IF(OR(AS$7&lt;Single_Rate_Start,Single_Rate_Start=""),-'Tax Tables'!AS$97,-'Tax Tables'!AS$176),-'Tax Tables'!AS$176)*IF(AS$7-$F7&lt;=Total_Years-1,1,0)</f>
        <v>0</v>
      </c>
      <c r="AT187" s="42"/>
      <c r="AU187" s="78">
        <f>+Base!E187</f>
        <v>0</v>
      </c>
      <c r="AV187" s="81">
        <f>+E187-AU187</f>
        <v>0</v>
      </c>
      <c r="AW187" s="29"/>
      <c r="AX187" s="49"/>
      <c r="AY187" s="49"/>
      <c r="AZ187" s="42"/>
      <c r="BA187" s="49"/>
      <c r="BB187" s="49"/>
      <c r="BC187" s="39"/>
      <c r="BD187" s="39"/>
      <c r="BE187" s="39"/>
      <c r="BF187" s="49"/>
      <c r="BG187" s="49"/>
      <c r="BH187" s="49"/>
      <c r="BI187" s="49"/>
      <c r="BJ187" s="39"/>
      <c r="BK187" s="49"/>
      <c r="BL187" s="39"/>
      <c r="BM187" s="39"/>
      <c r="BN187" s="49"/>
      <c r="BO187" s="49"/>
      <c r="BP187" s="49"/>
      <c r="BQ187" s="49"/>
      <c r="BR187" s="49"/>
      <c r="BS187" s="49"/>
      <c r="BT187" s="49"/>
      <c r="BU187" s="49"/>
      <c r="BV187" s="49"/>
      <c r="BW187" s="49"/>
      <c r="BX187" s="49"/>
      <c r="BY187" s="49"/>
      <c r="BZ187" s="49"/>
      <c r="CA187" s="44"/>
      <c r="CB187" s="49"/>
      <c r="CC187" s="49"/>
      <c r="CD187" s="49"/>
      <c r="CE187" s="49"/>
      <c r="CF187" s="49"/>
      <c r="CG187" s="49"/>
      <c r="CH187" s="49"/>
      <c r="CI187" s="49"/>
      <c r="CJ187" s="49"/>
      <c r="CK187" s="49"/>
      <c r="CL187" s="49"/>
      <c r="CM187" s="49"/>
      <c r="CN187" s="49"/>
    </row>
    <row r="188" spans="1:92">
      <c r="A188" s="1425"/>
      <c r="B188" s="235" t="str">
        <f>"Deductions: " &amp; IF(Itemized&gt;0,"Itemized from Your Age "&amp;Your_Age&amp;"-"&amp;End_Itemized&amp;IF(End_Itemized&lt;Your_Age_End," then Standard","Standard"),"Standard")</f>
        <v>Deductions: Itemized from Your Age 62-68 then Standard</v>
      </c>
      <c r="C188" s="235"/>
      <c r="D188" s="199"/>
      <c r="E188" s="34">
        <f>SUM(F188:AS188)</f>
        <v>-990800</v>
      </c>
      <c r="F188" s="34">
        <f>IF(Filing_Status="m",IF(OR(F$7&lt;Single_Rate_Start,Single_Rate_Start=""),-'Tax Tables'!F$103,-'Tax Tables'!F$181),-'Tax Tables'!F$181)</f>
        <v>-25000</v>
      </c>
      <c r="G188" s="1125">
        <f>IF(Filing_Status="m",IF(OR(G$7&lt;Single_Rate_Start,Single_Rate_Start=""),-'Tax Tables'!G$103,-'Tax Tables'!G$181),-'Tax Tables'!G$181)*IF(G$7-$F7&lt;=Total_Years-1,1,0)</f>
        <v>-26250</v>
      </c>
      <c r="H188" s="1125">
        <f>IF(Filing_Status="m",IF(OR(H$7&lt;Single_Rate_Start,Single_Rate_Start=""),-'Tax Tables'!H$103,-'Tax Tables'!H$181),-'Tax Tables'!H$181)*IF(H$7-$F7&lt;=Total_Years-1,1,0)</f>
        <v>-27550</v>
      </c>
      <c r="I188" s="1125">
        <f>IF(Filing_Status="m",IF(OR(I$7&lt;Single_Rate_Start,Single_Rate_Start=""),-'Tax Tables'!I$103,-'Tax Tables'!I$181),-'Tax Tables'!I$181)*IF(I$7-$F7&lt;=Total_Years-1,1,0)</f>
        <v>-28950</v>
      </c>
      <c r="J188" s="1125">
        <f>IF(Filing_Status="m",IF(OR(J$7&lt;Single_Rate_Start,Single_Rate_Start=""),-'Tax Tables'!J$103,-'Tax Tables'!J$181),-'Tax Tables'!J$181)*IF(J$7-$F7&lt;=Total_Years-1,1,0)</f>
        <v>-30400</v>
      </c>
      <c r="K188" s="1125">
        <f>IF(Filing_Status="m",IF(OR(K$7&lt;Single_Rate_Start,Single_Rate_Start=""),-'Tax Tables'!K$103,-'Tax Tables'!K$181),-'Tax Tables'!K$181)*IF(K$7-$F7&lt;=Total_Years-1,1,0)</f>
        <v>-31900</v>
      </c>
      <c r="L188" s="1125">
        <f>IF(Filing_Status="m",IF(OR(L$7&lt;Single_Rate_Start,Single_Rate_Start=""),-'Tax Tables'!L$103,-'Tax Tables'!L$181),-'Tax Tables'!L$181)*IF(L$7-$F7&lt;=Total_Years-1,1,0)</f>
        <v>-33500</v>
      </c>
      <c r="M188" s="1125">
        <f>IF(Filing_Status="m",IF(OR(M$7&lt;Single_Rate_Start,Single_Rate_Start=""),-'Tax Tables'!M$103,-'Tax Tables'!M$181),-'Tax Tables'!M$181)*IF(M$7-$F7&lt;=Total_Years-1,1,0)</f>
        <v>-31400</v>
      </c>
      <c r="N188" s="1125">
        <f>IF(Filing_Status="m",IF(OR(N$7&lt;Single_Rate_Start,Single_Rate_Start=""),-'Tax Tables'!N$103,-'Tax Tables'!N$181),-'Tax Tables'!N$181)*IF(N$7-$F7&lt;=Total_Years-1,1,0)</f>
        <v>-32100</v>
      </c>
      <c r="O188" s="1125">
        <f>IF(Filing_Status="m",IF(OR(O$7&lt;Single_Rate_Start,Single_Rate_Start=""),-'Tax Tables'!O$103,-'Tax Tables'!O$181),-'Tax Tables'!O$181)*IF(O$7-$F7&lt;=Total_Years-1,1,0)</f>
        <v>-32800</v>
      </c>
      <c r="P188" s="1125">
        <f>IF(Filing_Status="m",IF(OR(P$7&lt;Single_Rate_Start,Single_Rate_Start=""),-'Tax Tables'!P$103,-'Tax Tables'!P$181),-'Tax Tables'!P$181)*IF(P$7-$F7&lt;=Total_Years-1,1,0)</f>
        <v>-33500</v>
      </c>
      <c r="Q188" s="1125">
        <f>IF(Filing_Status="m",IF(OR(Q$7&lt;Single_Rate_Start,Single_Rate_Start=""),-'Tax Tables'!Q$103,-'Tax Tables'!Q$181),-'Tax Tables'!Q$181)*IF(Q$7-$F7&lt;=Total_Years-1,1,0)</f>
        <v>-34300</v>
      </c>
      <c r="R188" s="1125">
        <f>IF(Filing_Status="m",IF(OR(R$7&lt;Single_Rate_Start,Single_Rate_Start=""),-'Tax Tables'!R$103,-'Tax Tables'!R$181),-'Tax Tables'!R$181)*IF(R$7-$F7&lt;=Total_Years-1,1,0)</f>
        <v>-35100</v>
      </c>
      <c r="S188" s="1125">
        <f>IF(Filing_Status="m",IF(OR(S$7&lt;Single_Rate_Start,Single_Rate_Start=""),-'Tax Tables'!S$103,-'Tax Tables'!S$181),-'Tax Tables'!S$181)*IF(S$7-$F7&lt;=Total_Years-1,1,0)</f>
        <v>-35900</v>
      </c>
      <c r="T188" s="1125">
        <f>IF(Filing_Status="m",IF(OR(T$7&lt;Single_Rate_Start,Single_Rate_Start=""),-'Tax Tables'!T$103,-'Tax Tables'!T$181),-'Tax Tables'!T$181)*IF(T$7-$F7&lt;=Total_Years-1,1,0)</f>
        <v>-36600</v>
      </c>
      <c r="U188" s="1125">
        <f>IF(Filing_Status="m",IF(OR(U$7&lt;Single_Rate_Start,Single_Rate_Start=""),-'Tax Tables'!U$103,-'Tax Tables'!U$181),-'Tax Tables'!U$181)*IF(U$7-$F7&lt;=Total_Years-1,1,0)</f>
        <v>-37400</v>
      </c>
      <c r="V188" s="1125">
        <f>IF(Filing_Status="m",IF(OR(V$7&lt;Single_Rate_Start,Single_Rate_Start=""),-'Tax Tables'!V$103,-'Tax Tables'!V$181),-'Tax Tables'!V$181)*IF(V$7-$F7&lt;=Total_Years-1,1,0)</f>
        <v>-38200</v>
      </c>
      <c r="W188" s="1125">
        <f>IF(Filing_Status="m",IF(OR(W$7&lt;Single_Rate_Start,Single_Rate_Start=""),-'Tax Tables'!W$103,-'Tax Tables'!W$181),-'Tax Tables'!W$181)*IF(W$7-$F7&lt;=Total_Years-1,1,0)</f>
        <v>-39100</v>
      </c>
      <c r="X188" s="1125">
        <f>IF(Filing_Status="m",IF(OR(X$7&lt;Single_Rate_Start,Single_Rate_Start=""),-'Tax Tables'!X$103,-'Tax Tables'!X$181),-'Tax Tables'!X$181)*IF(X$7-$F7&lt;=Total_Years-1,1,0)</f>
        <v>-39900</v>
      </c>
      <c r="Y188" s="1125">
        <f>IF(Filing_Status="m",IF(OR(Y$7&lt;Single_Rate_Start,Single_Rate_Start=""),-'Tax Tables'!Y$103,-'Tax Tables'!Y$181),-'Tax Tables'!Y$181)*IF(Y$7-$F7&lt;=Total_Years-1,1,0)</f>
        <v>-40800</v>
      </c>
      <c r="Z188" s="1125">
        <f>IF(Filing_Status="m",IF(OR(Z$7&lt;Single_Rate_Start,Single_Rate_Start=""),-'Tax Tables'!Z$103,-'Tax Tables'!Z$181),-'Tax Tables'!Z$181)*IF(Z$7-$F7&lt;=Total_Years-1,1,0)</f>
        <v>-41700</v>
      </c>
      <c r="AA188" s="1125">
        <f>IF(Filing_Status="m",IF(OR(AA$7&lt;Single_Rate_Start,Single_Rate_Start=""),-'Tax Tables'!AA$103,-'Tax Tables'!AA$181),-'Tax Tables'!AA$181)*IF(AA$7-$F7&lt;=Total_Years-1,1,0)</f>
        <v>-42600</v>
      </c>
      <c r="AB188" s="1125">
        <f>IF(Filing_Status="m",IF(OR(AB$7&lt;Single_Rate_Start,Single_Rate_Start=""),-'Tax Tables'!AB$103,-'Tax Tables'!AB$181),-'Tax Tables'!AB$181)*IF(AB$7-$F7&lt;=Total_Years-1,1,0)</f>
        <v>-43500</v>
      </c>
      <c r="AC188" s="1125">
        <f>IF(Filing_Status="m",IF(OR(AC$7&lt;Single_Rate_Start,Single_Rate_Start=""),-'Tax Tables'!AC$103,-'Tax Tables'!AC$181),-'Tax Tables'!AC$181)*IF(AC$7-$F7&lt;=Total_Years-1,1,0)</f>
        <v>-44500</v>
      </c>
      <c r="AD188" s="1125">
        <f>IF(Filing_Status="m",IF(OR(AD$7&lt;Single_Rate_Start,Single_Rate_Start=""),-'Tax Tables'!AD$103,-'Tax Tables'!AD$181),-'Tax Tables'!AD$181)*IF(AD$7-$F7&lt;=Total_Years-1,1,0)</f>
        <v>-23350</v>
      </c>
      <c r="AE188" s="1125">
        <f>IF(Filing_Status="m",IF(OR(AE$7&lt;Single_Rate_Start,Single_Rate_Start=""),-'Tax Tables'!AE$103,-'Tax Tables'!AE$181),-'Tax Tables'!AE$181)*IF(AE$7-$F7&lt;=Total_Years-1,1,0)</f>
        <v>-23850</v>
      </c>
      <c r="AF188" s="1125">
        <f>IF(Filing_Status="m",IF(OR(AF$7&lt;Single_Rate_Start,Single_Rate_Start=""),-'Tax Tables'!AF$103,-'Tax Tables'!AF$181),-'Tax Tables'!AF$181)*IF(AF$7-$F7&lt;=Total_Years-1,1,0)</f>
        <v>-24350</v>
      </c>
      <c r="AG188" s="1125">
        <f>IF(Filing_Status="m",IF(OR(AG$7&lt;Single_Rate_Start,Single_Rate_Start=""),-'Tax Tables'!AG$103,-'Tax Tables'!AG$181),-'Tax Tables'!AG$181)*IF(AG$7-$F7&lt;=Total_Years-1,1,0)</f>
        <v>-24850</v>
      </c>
      <c r="AH188" s="1125">
        <f>IF(Filing_Status="m",IF(OR(AH$7&lt;Single_Rate_Start,Single_Rate_Start=""),-'Tax Tables'!AH$103,-'Tax Tables'!AH$181),-'Tax Tables'!AH$181)*IF(AH$7-$F7&lt;=Total_Years-1,1,0)</f>
        <v>-25450</v>
      </c>
      <c r="AI188" s="1125">
        <f>IF(Filing_Status="m",IF(OR(AI$7&lt;Single_Rate_Start,Single_Rate_Start=""),-'Tax Tables'!AI$103,-'Tax Tables'!AI$181),-'Tax Tables'!AI$181)*IF(AI$7-$F7&lt;=Total_Years-1,1,0)</f>
        <v>-26000</v>
      </c>
      <c r="AJ188" s="1125">
        <f>IF(Filing_Status="m",IF(OR(AJ$7&lt;Single_Rate_Start,Single_Rate_Start=""),-'Tax Tables'!AJ$103,-'Tax Tables'!AJ$181),-'Tax Tables'!AJ$181)*IF(AJ$7-$F7&lt;=Total_Years-1,1,0)</f>
        <v>0</v>
      </c>
      <c r="AK188" s="1125">
        <f>IF(Filing_Status="m",IF(OR(AK$7&lt;Single_Rate_Start,Single_Rate_Start=""),-'Tax Tables'!AK$103,-'Tax Tables'!AK$181),-'Tax Tables'!AK$181)*IF(AK$7-$F7&lt;=Total_Years-1,1,0)</f>
        <v>0</v>
      </c>
      <c r="AL188" s="1125">
        <f>IF(Filing_Status="m",IF(OR(AL$7&lt;Single_Rate_Start,Single_Rate_Start=""),-'Tax Tables'!AL$103,-'Tax Tables'!AL$181),-'Tax Tables'!AL$181)*IF(AL$7-$F7&lt;=Total_Years-1,1,0)</f>
        <v>0</v>
      </c>
      <c r="AM188" s="1125">
        <f>IF(Filing_Status="m",IF(OR(AM$7&lt;Single_Rate_Start,Single_Rate_Start=""),-'Tax Tables'!AM$103,-'Tax Tables'!AM$181),-'Tax Tables'!AM$181)*IF(AM$7-$F7&lt;=Total_Years-1,1,0)</f>
        <v>0</v>
      </c>
      <c r="AN188" s="1125">
        <f>IF(Filing_Status="m",IF(OR(AN$7&lt;Single_Rate_Start,Single_Rate_Start=""),-'Tax Tables'!AN$103,-'Tax Tables'!AN$181),-'Tax Tables'!AN$181)*IF(AN$7-$F7&lt;=Total_Years-1,1,0)</f>
        <v>0</v>
      </c>
      <c r="AO188" s="1125">
        <f>IF(Filing_Status="m",IF(OR(AO$7&lt;Single_Rate_Start,Single_Rate_Start=""),-'Tax Tables'!AO$103,-'Tax Tables'!AO$181),-'Tax Tables'!AO$181)*IF(AO$7-$F7&lt;=Total_Years-1,1,0)</f>
        <v>0</v>
      </c>
      <c r="AP188" s="1125">
        <f>IF(Filing_Status="m",IF(OR(AP$7&lt;Single_Rate_Start,Single_Rate_Start=""),-'Tax Tables'!AP$103,-'Tax Tables'!AP$181),-'Tax Tables'!AP$181)*IF(AP$7-$F7&lt;=Total_Years-1,1,0)</f>
        <v>0</v>
      </c>
      <c r="AQ188" s="1125">
        <f>IF(Filing_Status="m",IF(OR(AQ$7&lt;Single_Rate_Start,Single_Rate_Start=""),-'Tax Tables'!AQ$103,-'Tax Tables'!AQ$181),-'Tax Tables'!AQ$181)*IF(AQ$7-$F7&lt;=Total_Years-1,1,0)</f>
        <v>0</v>
      </c>
      <c r="AR188" s="1125">
        <f>IF(Filing_Status="m",IF(OR(AR$7&lt;Single_Rate_Start,Single_Rate_Start=""),-'Tax Tables'!AR$103,-'Tax Tables'!AR$181),-'Tax Tables'!AR$181)*IF(AR$7-$F7&lt;=Total_Years-1,1,0)</f>
        <v>0</v>
      </c>
      <c r="AS188" s="1125">
        <f>IF(Filing_Status="m",IF(OR(AS$7&lt;Single_Rate_Start,Single_Rate_Start=""),-'Tax Tables'!AS$103,-'Tax Tables'!AS$181),-'Tax Tables'!AS$181)*IF(AS$7-$F7&lt;=Total_Years-1,1,0)</f>
        <v>0</v>
      </c>
      <c r="AT188" s="42"/>
      <c r="AU188" s="82">
        <f>+Base!E188</f>
        <v>-990800</v>
      </c>
      <c r="AV188" s="83">
        <f>+E188-AU188</f>
        <v>0</v>
      </c>
      <c r="AW188" s="102"/>
      <c r="AX188" s="49"/>
      <c r="AY188" s="49"/>
      <c r="AZ188" s="42"/>
      <c r="BA188" s="49"/>
      <c r="BB188" s="49"/>
      <c r="BC188" s="39"/>
      <c r="BD188" s="39"/>
      <c r="BE188" s="39"/>
      <c r="BF188" s="49"/>
      <c r="BG188" s="49"/>
      <c r="BH188" s="49"/>
      <c r="BI188" s="49"/>
      <c r="BJ188" s="39"/>
      <c r="BK188" s="49"/>
      <c r="BL188" s="39"/>
      <c r="BM188" s="39"/>
      <c r="BN188" s="49"/>
      <c r="BO188" s="49"/>
      <c r="BP188" s="49"/>
      <c r="BQ188" s="49"/>
      <c r="BR188" s="49"/>
      <c r="BS188" s="49"/>
      <c r="BT188" s="49"/>
      <c r="BU188" s="49"/>
      <c r="BV188" s="49"/>
      <c r="BW188" s="49"/>
      <c r="BX188" s="49"/>
      <c r="BY188" s="49"/>
      <c r="BZ188" s="49"/>
      <c r="CA188" s="44"/>
      <c r="CB188" s="49"/>
      <c r="CC188" s="49"/>
      <c r="CD188" s="49"/>
      <c r="CE188" s="49"/>
      <c r="CF188" s="49"/>
      <c r="CG188" s="49"/>
      <c r="CH188" s="49"/>
      <c r="CI188" s="49"/>
      <c r="CJ188" s="49"/>
      <c r="CK188" s="49"/>
      <c r="CL188" s="49"/>
      <c r="CM188" s="49"/>
      <c r="CN188" s="49"/>
    </row>
    <row r="189" spans="1:92" ht="15.6">
      <c r="A189" s="1425"/>
      <c r="B189" s="240" t="s">
        <v>1360</v>
      </c>
      <c r="C189" s="235"/>
      <c r="D189" s="32"/>
      <c r="E189" s="102">
        <f>SUM(F189:AS189)</f>
        <v>-991200</v>
      </c>
      <c r="F189" s="88">
        <f t="shared" ref="F189:AS189" si="176">ROUND((+F187+F188)/Round_To,0)*Round_To</f>
        <v>-25000</v>
      </c>
      <c r="G189" s="1124">
        <f t="shared" si="176"/>
        <v>-26300</v>
      </c>
      <c r="H189" s="1124">
        <f t="shared" si="176"/>
        <v>-27600</v>
      </c>
      <c r="I189" s="1124">
        <f t="shared" si="176"/>
        <v>-29000</v>
      </c>
      <c r="J189" s="1124">
        <f t="shared" si="176"/>
        <v>-30400</v>
      </c>
      <c r="K189" s="1124">
        <f t="shared" si="176"/>
        <v>-31900</v>
      </c>
      <c r="L189" s="1124">
        <f t="shared" si="176"/>
        <v>-33500</v>
      </c>
      <c r="M189" s="1124">
        <f t="shared" si="176"/>
        <v>-31400</v>
      </c>
      <c r="N189" s="1124">
        <f t="shared" si="176"/>
        <v>-32100</v>
      </c>
      <c r="O189" s="1124">
        <f t="shared" si="176"/>
        <v>-32800</v>
      </c>
      <c r="P189" s="1124">
        <f t="shared" si="176"/>
        <v>-33500</v>
      </c>
      <c r="Q189" s="1124">
        <f t="shared" si="176"/>
        <v>-34300</v>
      </c>
      <c r="R189" s="1124">
        <f t="shared" si="176"/>
        <v>-35100</v>
      </c>
      <c r="S189" s="1124">
        <f t="shared" si="176"/>
        <v>-35900</v>
      </c>
      <c r="T189" s="1124">
        <f t="shared" si="176"/>
        <v>-36600</v>
      </c>
      <c r="U189" s="1124">
        <f t="shared" si="176"/>
        <v>-37400</v>
      </c>
      <c r="V189" s="1124">
        <f t="shared" si="176"/>
        <v>-38200</v>
      </c>
      <c r="W189" s="1124">
        <f t="shared" si="176"/>
        <v>-39100</v>
      </c>
      <c r="X189" s="1124">
        <f t="shared" si="176"/>
        <v>-39900</v>
      </c>
      <c r="Y189" s="1124">
        <f t="shared" si="176"/>
        <v>-40800</v>
      </c>
      <c r="Z189" s="1124">
        <f t="shared" si="176"/>
        <v>-41700</v>
      </c>
      <c r="AA189" s="1124">
        <f t="shared" si="176"/>
        <v>-42600</v>
      </c>
      <c r="AB189" s="1124">
        <f t="shared" si="176"/>
        <v>-43500</v>
      </c>
      <c r="AC189" s="1124">
        <f t="shared" si="176"/>
        <v>-44500</v>
      </c>
      <c r="AD189" s="1124">
        <f t="shared" si="176"/>
        <v>-23400</v>
      </c>
      <c r="AE189" s="1124">
        <f t="shared" si="176"/>
        <v>-23900</v>
      </c>
      <c r="AF189" s="1124">
        <f t="shared" si="176"/>
        <v>-24400</v>
      </c>
      <c r="AG189" s="1124">
        <f t="shared" si="176"/>
        <v>-24900</v>
      </c>
      <c r="AH189" s="1124">
        <f t="shared" si="176"/>
        <v>-25500</v>
      </c>
      <c r="AI189" s="1124">
        <f t="shared" si="176"/>
        <v>-26000</v>
      </c>
      <c r="AJ189" s="1124">
        <f t="shared" si="176"/>
        <v>0</v>
      </c>
      <c r="AK189" s="1124">
        <f t="shared" si="176"/>
        <v>0</v>
      </c>
      <c r="AL189" s="1124">
        <f t="shared" si="176"/>
        <v>0</v>
      </c>
      <c r="AM189" s="1124">
        <f t="shared" si="176"/>
        <v>0</v>
      </c>
      <c r="AN189" s="1124">
        <f t="shared" si="176"/>
        <v>0</v>
      </c>
      <c r="AO189" s="1124">
        <f t="shared" si="176"/>
        <v>0</v>
      </c>
      <c r="AP189" s="1124">
        <f t="shared" si="176"/>
        <v>0</v>
      </c>
      <c r="AQ189" s="1124">
        <f t="shared" si="176"/>
        <v>0</v>
      </c>
      <c r="AR189" s="1124">
        <f t="shared" si="176"/>
        <v>0</v>
      </c>
      <c r="AS189" s="1124">
        <f t="shared" si="176"/>
        <v>0</v>
      </c>
      <c r="AT189" s="42"/>
      <c r="AU189" s="78">
        <f>+Base!E189</f>
        <v>-991200</v>
      </c>
      <c r="AV189" s="81">
        <f>+E189-AU189</f>
        <v>0</v>
      </c>
      <c r="AW189" s="102"/>
      <c r="AX189" s="49"/>
      <c r="AY189" s="49"/>
      <c r="AZ189" s="42"/>
      <c r="BA189" s="49"/>
      <c r="BB189" s="49"/>
      <c r="BC189" s="39"/>
      <c r="BD189" s="39"/>
      <c r="BE189" s="39"/>
      <c r="BF189" s="49"/>
      <c r="BG189" s="49"/>
      <c r="BH189" s="49"/>
      <c r="BI189" s="49"/>
      <c r="BJ189" s="39"/>
      <c r="BK189" s="49"/>
      <c r="BL189" s="39"/>
      <c r="BM189" s="39"/>
      <c r="BN189" s="49"/>
      <c r="BO189" s="49"/>
      <c r="BP189" s="49"/>
      <c r="BQ189" s="49"/>
      <c r="BR189" s="49"/>
      <c r="BS189" s="49"/>
      <c r="BT189" s="49"/>
      <c r="BU189" s="49"/>
      <c r="BV189" s="49"/>
      <c r="BW189" s="49"/>
      <c r="BX189" s="49"/>
      <c r="BY189" s="49"/>
      <c r="BZ189" s="49"/>
      <c r="CA189" s="44"/>
      <c r="CB189" s="49"/>
      <c r="CC189" s="49"/>
      <c r="CD189" s="49"/>
      <c r="CE189" s="49"/>
      <c r="CF189" s="49"/>
      <c r="CG189" s="49"/>
      <c r="CH189" s="49"/>
      <c r="CI189" s="49"/>
      <c r="CJ189" s="49"/>
      <c r="CK189" s="49"/>
      <c r="CL189" s="49"/>
      <c r="CM189" s="49"/>
      <c r="CN189" s="49"/>
    </row>
    <row r="190" spans="1:92">
      <c r="A190" s="1425"/>
      <c r="B190" s="241"/>
      <c r="C190" s="241"/>
      <c r="D190" s="239"/>
      <c r="E190" s="102"/>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c r="AQ190" s="88"/>
      <c r="AR190" s="88"/>
      <c r="AS190" s="88"/>
      <c r="AT190" s="42"/>
      <c r="AU190" s="15"/>
      <c r="AV190" s="103"/>
      <c r="AW190" s="102"/>
      <c r="AX190" s="49"/>
      <c r="AY190" s="49"/>
      <c r="AZ190" s="42"/>
      <c r="BA190" s="49"/>
      <c r="BB190" s="49"/>
      <c r="BC190" s="39"/>
      <c r="BD190" s="39"/>
      <c r="BE190" s="39"/>
      <c r="BF190" s="49"/>
      <c r="BG190" s="49"/>
      <c r="BH190" s="49"/>
      <c r="BI190" s="49"/>
      <c r="BJ190" s="39"/>
      <c r="BK190" s="49"/>
      <c r="BL190" s="39"/>
      <c r="BM190" s="39"/>
      <c r="BN190" s="49"/>
      <c r="BO190" s="49"/>
      <c r="BP190" s="49"/>
      <c r="BQ190" s="49"/>
      <c r="BR190" s="49"/>
      <c r="BS190" s="49"/>
      <c r="BT190" s="49"/>
      <c r="BU190" s="49"/>
      <c r="BV190" s="49"/>
      <c r="BW190" s="49"/>
      <c r="BX190" s="49"/>
      <c r="BY190" s="49"/>
      <c r="BZ190" s="49"/>
      <c r="CA190" s="44"/>
      <c r="CB190" s="49"/>
      <c r="CC190" s="49"/>
      <c r="CD190" s="49"/>
      <c r="CE190" s="49"/>
      <c r="CF190" s="49"/>
      <c r="CG190" s="49"/>
      <c r="CH190" s="49"/>
      <c r="CI190" s="49"/>
      <c r="CJ190" s="49"/>
      <c r="CK190" s="49"/>
      <c r="CL190" s="49"/>
      <c r="CM190" s="49"/>
      <c r="CN190" s="49"/>
    </row>
    <row r="191" spans="1:92" ht="17.399999999999999">
      <c r="A191" s="1425"/>
      <c r="B191" s="1026" t="s">
        <v>751</v>
      </c>
      <c r="C191" s="1021" t="str">
        <f>IF(Setup!$E$192="S","Single",IF(Setup!$E$193&lt;&gt;"","Joint then Single in " &amp; Setup!$E$193,"Married Filing Jointly"))</f>
        <v>Joint then Single in 2043</v>
      </c>
      <c r="D191" s="1021"/>
      <c r="E191" s="29">
        <f>SUM(F191:AS191)</f>
        <v>2363700</v>
      </c>
      <c r="F191" s="31">
        <f>IF(+F$184+F$189&lt;0,0,+F$184+F$189)</f>
        <v>37700</v>
      </c>
      <c r="G191" s="1124">
        <f>IF(+G$184+G$189&lt;0,0,+G$184+G$189)</f>
        <v>53100</v>
      </c>
      <c r="H191" s="1124">
        <f t="shared" ref="H191:AS191" si="177">IF(+H$184+H$189&lt;0,0,+H$184+H$189)</f>
        <v>38500</v>
      </c>
      <c r="I191" s="1124">
        <f t="shared" si="177"/>
        <v>38900</v>
      </c>
      <c r="J191" s="1124">
        <f t="shared" si="177"/>
        <v>39400</v>
      </c>
      <c r="K191" s="1124">
        <f t="shared" si="177"/>
        <v>58800</v>
      </c>
      <c r="L191" s="1124">
        <f t="shared" si="177"/>
        <v>59900</v>
      </c>
      <c r="M191" s="1124">
        <f t="shared" si="177"/>
        <v>64800</v>
      </c>
      <c r="N191" s="1124">
        <f t="shared" si="177"/>
        <v>39700</v>
      </c>
      <c r="O191" s="1124">
        <f t="shared" si="177"/>
        <v>41100</v>
      </c>
      <c r="P191" s="1124">
        <f t="shared" si="177"/>
        <v>42400</v>
      </c>
      <c r="Q191" s="1124">
        <f t="shared" si="177"/>
        <v>44700</v>
      </c>
      <c r="R191" s="1124">
        <f t="shared" si="177"/>
        <v>56100</v>
      </c>
      <c r="S191" s="1124">
        <f t="shared" si="177"/>
        <v>60000</v>
      </c>
      <c r="T191" s="1124">
        <f t="shared" si="177"/>
        <v>85800</v>
      </c>
      <c r="U191" s="1124">
        <f t="shared" si="177"/>
        <v>99400</v>
      </c>
      <c r="V191" s="1124">
        <f t="shared" si="177"/>
        <v>93900</v>
      </c>
      <c r="W191" s="1124">
        <f t="shared" si="177"/>
        <v>97600</v>
      </c>
      <c r="X191" s="1124">
        <f t="shared" si="177"/>
        <v>89100</v>
      </c>
      <c r="Y191" s="1124">
        <f t="shared" si="177"/>
        <v>91000</v>
      </c>
      <c r="Z191" s="1124">
        <f t="shared" si="177"/>
        <v>94500</v>
      </c>
      <c r="AA191" s="1124">
        <f t="shared" si="177"/>
        <v>98400</v>
      </c>
      <c r="AB191" s="1124">
        <f t="shared" si="177"/>
        <v>104300</v>
      </c>
      <c r="AC191" s="1124">
        <f t="shared" si="177"/>
        <v>114200</v>
      </c>
      <c r="AD191" s="1124">
        <f t="shared" si="177"/>
        <v>117600</v>
      </c>
      <c r="AE191" s="1124">
        <f t="shared" si="177"/>
        <v>121800</v>
      </c>
      <c r="AF191" s="1124">
        <f t="shared" si="177"/>
        <v>124100</v>
      </c>
      <c r="AG191" s="1124">
        <f t="shared" si="177"/>
        <v>117600</v>
      </c>
      <c r="AH191" s="1124">
        <f t="shared" si="177"/>
        <v>118400</v>
      </c>
      <c r="AI191" s="1124">
        <f t="shared" si="177"/>
        <v>120900</v>
      </c>
      <c r="AJ191" s="1124">
        <f t="shared" si="177"/>
        <v>0</v>
      </c>
      <c r="AK191" s="1124">
        <f t="shared" si="177"/>
        <v>0</v>
      </c>
      <c r="AL191" s="1124">
        <f t="shared" si="177"/>
        <v>0</v>
      </c>
      <c r="AM191" s="1124">
        <f t="shared" si="177"/>
        <v>0</v>
      </c>
      <c r="AN191" s="1124">
        <f t="shared" si="177"/>
        <v>0</v>
      </c>
      <c r="AO191" s="1124">
        <f t="shared" si="177"/>
        <v>0</v>
      </c>
      <c r="AP191" s="1124">
        <f t="shared" si="177"/>
        <v>0</v>
      </c>
      <c r="AQ191" s="1124">
        <f t="shared" si="177"/>
        <v>0</v>
      </c>
      <c r="AR191" s="1124">
        <f t="shared" si="177"/>
        <v>0</v>
      </c>
      <c r="AS191" s="1124">
        <f t="shared" si="177"/>
        <v>0</v>
      </c>
      <c r="AT191" s="42"/>
      <c r="AU191" s="78">
        <f>+Base!E191</f>
        <v>2363700</v>
      </c>
      <c r="AV191" s="81">
        <f>+E191-AU191</f>
        <v>0</v>
      </c>
      <c r="AW191" s="102"/>
      <c r="AX191" s="49"/>
      <c r="AY191" s="49"/>
      <c r="AZ191" s="42"/>
      <c r="BA191" s="49"/>
      <c r="BB191" s="49"/>
      <c r="BC191" s="39"/>
      <c r="BD191" s="39"/>
      <c r="BE191" s="39"/>
      <c r="BF191" s="49"/>
      <c r="BG191" s="49"/>
      <c r="BH191" s="49"/>
      <c r="BI191" s="49"/>
      <c r="BJ191" s="39"/>
      <c r="BK191" s="49"/>
      <c r="BL191" s="39"/>
      <c r="BM191" s="39"/>
      <c r="BN191" s="49"/>
      <c r="BO191" s="49"/>
      <c r="BP191" s="49"/>
      <c r="BQ191" s="49"/>
      <c r="BR191" s="49"/>
      <c r="BS191" s="49"/>
      <c r="BT191" s="49"/>
      <c r="BU191" s="49"/>
      <c r="BV191" s="49"/>
      <c r="BW191" s="49"/>
      <c r="BX191" s="49"/>
      <c r="BY191" s="49"/>
      <c r="BZ191" s="49"/>
      <c r="CA191" s="44"/>
      <c r="CB191" s="49"/>
      <c r="CC191" s="49"/>
      <c r="CD191" s="49"/>
      <c r="CE191" s="49"/>
      <c r="CF191" s="49"/>
      <c r="CG191" s="49"/>
      <c r="CH191" s="49"/>
      <c r="CI191" s="49"/>
      <c r="CJ191" s="49"/>
      <c r="CK191" s="49"/>
      <c r="CL191" s="49"/>
      <c r="CM191" s="49"/>
      <c r="CN191" s="49"/>
    </row>
    <row r="192" spans="1:92">
      <c r="A192" s="1425"/>
      <c r="B192" s="1610" t="s">
        <v>2032</v>
      </c>
      <c r="C192" s="241"/>
      <c r="D192" s="67">
        <f>Taxable_LTCG_Adj</f>
        <v>0.3</v>
      </c>
      <c r="E192" s="34">
        <f>SUM(F192:AS192)</f>
        <v>-124700</v>
      </c>
      <c r="F192" s="38">
        <f t="shared" ref="F192:AS192" si="178">ROUND(-Taxable_LTCG_Adj*(F169+F170)/Round_To,0)*Round_To</f>
        <v>-2000</v>
      </c>
      <c r="G192" s="1125">
        <f t="shared" si="178"/>
        <v>-2000</v>
      </c>
      <c r="H192" s="1125">
        <f t="shared" si="178"/>
        <v>-1900</v>
      </c>
      <c r="I192" s="1125">
        <f t="shared" si="178"/>
        <v>-1700</v>
      </c>
      <c r="J192" s="1125">
        <f t="shared" si="178"/>
        <v>-1600</v>
      </c>
      <c r="K192" s="1125">
        <f t="shared" si="178"/>
        <v>-1600</v>
      </c>
      <c r="L192" s="1125">
        <f t="shared" si="178"/>
        <v>-1700</v>
      </c>
      <c r="M192" s="1125">
        <f t="shared" si="178"/>
        <v>-1800</v>
      </c>
      <c r="N192" s="1125">
        <f t="shared" si="178"/>
        <v>-2000</v>
      </c>
      <c r="O192" s="1125">
        <f t="shared" si="178"/>
        <v>-2300</v>
      </c>
      <c r="P192" s="1125">
        <f t="shared" si="178"/>
        <v>-2300</v>
      </c>
      <c r="Q192" s="1125">
        <f t="shared" si="178"/>
        <v>-2400</v>
      </c>
      <c r="R192" s="1125">
        <f t="shared" si="178"/>
        <v>-2900</v>
      </c>
      <c r="S192" s="1125">
        <f t="shared" si="178"/>
        <v>-3300</v>
      </c>
      <c r="T192" s="1125">
        <f t="shared" si="178"/>
        <v>-3400</v>
      </c>
      <c r="U192" s="1125">
        <f t="shared" si="178"/>
        <v>-3800</v>
      </c>
      <c r="V192" s="1125">
        <f t="shared" si="178"/>
        <v>-4700</v>
      </c>
      <c r="W192" s="1125">
        <f t="shared" si="178"/>
        <v>-5300</v>
      </c>
      <c r="X192" s="1125">
        <f t="shared" si="178"/>
        <v>-3400</v>
      </c>
      <c r="Y192" s="1125">
        <f t="shared" si="178"/>
        <v>-3500</v>
      </c>
      <c r="Z192" s="1125">
        <f t="shared" si="178"/>
        <v>-3800</v>
      </c>
      <c r="AA192" s="1125">
        <f t="shared" si="178"/>
        <v>-4000</v>
      </c>
      <c r="AB192" s="1125">
        <f t="shared" si="178"/>
        <v>-5800</v>
      </c>
      <c r="AC192" s="1125">
        <f t="shared" si="178"/>
        <v>-7000</v>
      </c>
      <c r="AD192" s="1125">
        <f t="shared" si="178"/>
        <v>-7700</v>
      </c>
      <c r="AE192" s="1125">
        <f t="shared" si="178"/>
        <v>-8100</v>
      </c>
      <c r="AF192" s="1125">
        <f t="shared" si="178"/>
        <v>-8300</v>
      </c>
      <c r="AG192" s="1125">
        <f t="shared" si="178"/>
        <v>-8600</v>
      </c>
      <c r="AH192" s="1125">
        <f t="shared" si="178"/>
        <v>-8800</v>
      </c>
      <c r="AI192" s="1125">
        <f t="shared" si="178"/>
        <v>-9000</v>
      </c>
      <c r="AJ192" s="1125">
        <f t="shared" si="178"/>
        <v>0</v>
      </c>
      <c r="AK192" s="1125">
        <f t="shared" si="178"/>
        <v>0</v>
      </c>
      <c r="AL192" s="1125">
        <f t="shared" si="178"/>
        <v>0</v>
      </c>
      <c r="AM192" s="1125">
        <f t="shared" si="178"/>
        <v>0</v>
      </c>
      <c r="AN192" s="1125">
        <f t="shared" si="178"/>
        <v>0</v>
      </c>
      <c r="AO192" s="1125">
        <f t="shared" si="178"/>
        <v>0</v>
      </c>
      <c r="AP192" s="1125">
        <f t="shared" si="178"/>
        <v>0</v>
      </c>
      <c r="AQ192" s="1125">
        <f t="shared" si="178"/>
        <v>0</v>
      </c>
      <c r="AR192" s="1125">
        <f t="shared" si="178"/>
        <v>0</v>
      </c>
      <c r="AS192" s="1125">
        <f t="shared" si="178"/>
        <v>0</v>
      </c>
      <c r="AT192" s="42"/>
      <c r="AU192" s="82">
        <f>+Base!E192</f>
        <v>-124700</v>
      </c>
      <c r="AV192" s="83">
        <f>+E192-AU192</f>
        <v>0</v>
      </c>
      <c r="AW192" s="102"/>
      <c r="AX192" s="49"/>
      <c r="AY192" s="49"/>
      <c r="AZ192" s="42"/>
      <c r="BA192" s="49"/>
      <c r="BB192" s="49"/>
      <c r="BC192" s="39"/>
      <c r="BD192" s="39"/>
      <c r="BE192" s="39"/>
      <c r="BF192" s="49"/>
      <c r="BG192" s="49"/>
      <c r="BH192" s="49"/>
      <c r="BI192" s="49"/>
      <c r="BJ192" s="39"/>
      <c r="BK192" s="49"/>
      <c r="BL192" s="39"/>
      <c r="BM192" s="39"/>
      <c r="BN192" s="49"/>
      <c r="BO192" s="49"/>
      <c r="BP192" s="49"/>
      <c r="BQ192" s="49"/>
      <c r="BR192" s="49"/>
      <c r="BS192" s="49"/>
      <c r="BT192" s="49"/>
      <c r="BU192" s="49"/>
      <c r="BV192" s="49"/>
      <c r="BW192" s="49"/>
      <c r="BX192" s="49"/>
      <c r="BY192" s="49"/>
      <c r="BZ192" s="49"/>
      <c r="CA192" s="44"/>
      <c r="CB192" s="49"/>
      <c r="CC192" s="49"/>
      <c r="CD192" s="49"/>
      <c r="CE192" s="49"/>
      <c r="CF192" s="49"/>
      <c r="CG192" s="49"/>
      <c r="CH192" s="49"/>
      <c r="CI192" s="49"/>
      <c r="CJ192" s="49"/>
      <c r="CK192" s="49"/>
      <c r="CL192" s="49"/>
      <c r="CM192" s="49"/>
      <c r="CN192" s="49"/>
    </row>
    <row r="193" spans="1:92" ht="17.399999999999999">
      <c r="A193" s="1425"/>
      <c r="B193" s="1026" t="s">
        <v>2038</v>
      </c>
      <c r="C193" s="1021"/>
      <c r="D193" s="1021"/>
      <c r="E193" s="29">
        <f>SUM(F193:AS193)</f>
        <v>2239000</v>
      </c>
      <c r="F193" s="31">
        <f>IF(+F$191+F$192&lt;0,0,+F$191+F$192)</f>
        <v>35700</v>
      </c>
      <c r="G193" s="1124">
        <f>IF(+G$191+G$192&lt;0,0,+G$191+G$192)</f>
        <v>51100</v>
      </c>
      <c r="H193" s="1124">
        <f t="shared" ref="H193:AS193" si="179">IF(+H$191+H$192&lt;0,0,+H$191+H$192)</f>
        <v>36600</v>
      </c>
      <c r="I193" s="1124">
        <f t="shared" si="179"/>
        <v>37200</v>
      </c>
      <c r="J193" s="1124">
        <f t="shared" si="179"/>
        <v>37800</v>
      </c>
      <c r="K193" s="1124">
        <f t="shared" si="179"/>
        <v>57200</v>
      </c>
      <c r="L193" s="1124">
        <f t="shared" si="179"/>
        <v>58200</v>
      </c>
      <c r="M193" s="1124">
        <f t="shared" si="179"/>
        <v>63000</v>
      </c>
      <c r="N193" s="1124">
        <f t="shared" si="179"/>
        <v>37700</v>
      </c>
      <c r="O193" s="1124">
        <f t="shared" si="179"/>
        <v>38800</v>
      </c>
      <c r="P193" s="1124">
        <f t="shared" si="179"/>
        <v>40100</v>
      </c>
      <c r="Q193" s="1124">
        <f t="shared" si="179"/>
        <v>42300</v>
      </c>
      <c r="R193" s="1124">
        <f t="shared" si="179"/>
        <v>53200</v>
      </c>
      <c r="S193" s="1124">
        <f t="shared" si="179"/>
        <v>56700</v>
      </c>
      <c r="T193" s="1124">
        <f t="shared" si="179"/>
        <v>82400</v>
      </c>
      <c r="U193" s="1124">
        <f t="shared" si="179"/>
        <v>95600</v>
      </c>
      <c r="V193" s="1124">
        <f t="shared" si="179"/>
        <v>89200</v>
      </c>
      <c r="W193" s="1124">
        <f t="shared" si="179"/>
        <v>92300</v>
      </c>
      <c r="X193" s="1124">
        <f t="shared" si="179"/>
        <v>85700</v>
      </c>
      <c r="Y193" s="1124">
        <f t="shared" si="179"/>
        <v>87500</v>
      </c>
      <c r="Z193" s="1124">
        <f t="shared" si="179"/>
        <v>90700</v>
      </c>
      <c r="AA193" s="1124">
        <f t="shared" si="179"/>
        <v>94400</v>
      </c>
      <c r="AB193" s="1124">
        <f t="shared" si="179"/>
        <v>98500</v>
      </c>
      <c r="AC193" s="1124">
        <f t="shared" si="179"/>
        <v>107200</v>
      </c>
      <c r="AD193" s="1124">
        <f t="shared" si="179"/>
        <v>109900</v>
      </c>
      <c r="AE193" s="1124">
        <f t="shared" si="179"/>
        <v>113700</v>
      </c>
      <c r="AF193" s="1124">
        <f t="shared" si="179"/>
        <v>115800</v>
      </c>
      <c r="AG193" s="1124">
        <f t="shared" si="179"/>
        <v>109000</v>
      </c>
      <c r="AH193" s="1124">
        <f t="shared" si="179"/>
        <v>109600</v>
      </c>
      <c r="AI193" s="1124">
        <f t="shared" si="179"/>
        <v>111900</v>
      </c>
      <c r="AJ193" s="1124">
        <f t="shared" si="179"/>
        <v>0</v>
      </c>
      <c r="AK193" s="1124">
        <f t="shared" si="179"/>
        <v>0</v>
      </c>
      <c r="AL193" s="1124">
        <f t="shared" si="179"/>
        <v>0</v>
      </c>
      <c r="AM193" s="1124">
        <f t="shared" si="179"/>
        <v>0</v>
      </c>
      <c r="AN193" s="1124">
        <f t="shared" si="179"/>
        <v>0</v>
      </c>
      <c r="AO193" s="1124">
        <f t="shared" si="179"/>
        <v>0</v>
      </c>
      <c r="AP193" s="1124">
        <f t="shared" si="179"/>
        <v>0</v>
      </c>
      <c r="AQ193" s="1124">
        <f t="shared" si="179"/>
        <v>0</v>
      </c>
      <c r="AR193" s="1124">
        <f t="shared" si="179"/>
        <v>0</v>
      </c>
      <c r="AS193" s="1124">
        <f t="shared" si="179"/>
        <v>0</v>
      </c>
      <c r="AT193" s="42"/>
      <c r="AU193" s="78">
        <f>+Base!E193</f>
        <v>2239000</v>
      </c>
      <c r="AV193" s="81">
        <f>+E193-AU193</f>
        <v>0</v>
      </c>
      <c r="AW193" s="29"/>
      <c r="AX193" s="49"/>
      <c r="AY193" s="49"/>
      <c r="AZ193" s="42"/>
      <c r="BA193" s="49"/>
      <c r="BB193" s="49"/>
      <c r="BC193" s="39"/>
      <c r="BD193" s="39"/>
      <c r="BE193" s="39"/>
      <c r="BF193" s="49"/>
      <c r="BG193" s="49"/>
      <c r="BH193" s="49"/>
      <c r="BI193" s="49"/>
      <c r="BJ193" s="39"/>
      <c r="BK193" s="49"/>
      <c r="BL193" s="39"/>
      <c r="BM193" s="39"/>
      <c r="BN193" s="49"/>
      <c r="BO193" s="49"/>
      <c r="BP193" s="49"/>
      <c r="BQ193" s="49"/>
      <c r="BR193" s="49"/>
      <c r="BS193" s="49"/>
      <c r="BT193" s="49"/>
      <c r="BU193" s="49"/>
      <c r="BV193" s="49"/>
      <c r="BW193" s="49"/>
      <c r="BX193" s="49"/>
      <c r="BY193" s="49"/>
      <c r="BZ193" s="49"/>
      <c r="CA193" s="44"/>
      <c r="CB193" s="49"/>
      <c r="CC193" s="49"/>
      <c r="CD193" s="49"/>
      <c r="CE193" s="49"/>
      <c r="CF193" s="49"/>
      <c r="CG193" s="49"/>
      <c r="CH193" s="49"/>
      <c r="CI193" s="49"/>
      <c r="CJ193" s="49"/>
      <c r="CK193" s="49"/>
      <c r="CL193" s="49"/>
      <c r="CM193" s="49"/>
      <c r="CN193" s="49"/>
    </row>
    <row r="194" spans="1:92" ht="15.6">
      <c r="A194" s="1425"/>
      <c r="B194" s="28"/>
      <c r="C194" s="32"/>
      <c r="D194" s="32"/>
      <c r="E194" s="376"/>
      <c r="F194" s="152"/>
      <c r="G194" s="152"/>
      <c r="H194" s="152"/>
      <c r="I194" s="152"/>
      <c r="J194" s="152"/>
      <c r="K194" s="152"/>
      <c r="L194" s="152"/>
      <c r="M194" s="152"/>
      <c r="N194" s="152"/>
      <c r="O194" s="152"/>
      <c r="P194" s="152"/>
      <c r="Q194" s="152"/>
      <c r="R194" s="152"/>
      <c r="S194" s="152"/>
      <c r="T194" s="152"/>
      <c r="U194" s="152"/>
      <c r="V194" s="152"/>
      <c r="W194" s="152"/>
      <c r="X194" s="152"/>
      <c r="Y194" s="152"/>
      <c r="Z194" s="152"/>
      <c r="AA194" s="152"/>
      <c r="AB194" s="152"/>
      <c r="AC194" s="152"/>
      <c r="AD194" s="152"/>
      <c r="AE194" s="152"/>
      <c r="AF194" s="152"/>
      <c r="AG194" s="152"/>
      <c r="AH194" s="152"/>
      <c r="AI194" s="152"/>
      <c r="AJ194" s="152"/>
      <c r="AK194" s="152"/>
      <c r="AL194" s="152"/>
      <c r="AM194" s="152"/>
      <c r="AN194" s="31"/>
      <c r="AO194" s="31"/>
      <c r="AP194" s="31"/>
      <c r="AQ194" s="31"/>
      <c r="AR194" s="31"/>
      <c r="AS194" s="31"/>
      <c r="AT194" s="42"/>
      <c r="AU194" s="47"/>
      <c r="AV194" s="48"/>
      <c r="AW194" s="39"/>
      <c r="AX194" s="49"/>
      <c r="AY194" s="49"/>
      <c r="AZ194" s="42"/>
      <c r="BA194" s="49"/>
      <c r="BB194" s="49"/>
      <c r="BC194" s="39"/>
      <c r="BD194" s="39"/>
      <c r="BE194" s="39"/>
      <c r="BF194" s="49"/>
      <c r="BG194" s="49"/>
      <c r="BH194" s="49"/>
      <c r="BI194" s="49"/>
      <c r="BJ194" s="39"/>
      <c r="BK194" s="49"/>
      <c r="BL194" s="39"/>
      <c r="BM194" s="39"/>
      <c r="BN194" s="49"/>
      <c r="BO194" s="49"/>
      <c r="BP194" s="49"/>
      <c r="BQ194" s="49"/>
      <c r="BR194" s="49"/>
      <c r="BS194" s="49"/>
      <c r="BT194" s="49"/>
      <c r="BU194" s="49"/>
      <c r="BV194" s="49"/>
      <c r="BW194" s="49"/>
      <c r="BX194" s="49"/>
      <c r="BY194" s="49"/>
      <c r="BZ194" s="49"/>
      <c r="CA194" s="44"/>
      <c r="CB194" s="49"/>
      <c r="CC194" s="49"/>
      <c r="CD194" s="49"/>
      <c r="CE194" s="49"/>
      <c r="CF194" s="49"/>
      <c r="CG194" s="49"/>
      <c r="CH194" s="49"/>
      <c r="CI194" s="49"/>
      <c r="CJ194" s="49"/>
      <c r="CK194" s="49"/>
      <c r="CL194" s="49"/>
      <c r="CM194" s="49"/>
      <c r="CN194" s="49"/>
    </row>
    <row r="195" spans="1:92" ht="15.6" hidden="1">
      <c r="A195" s="1427" t="s">
        <v>1578</v>
      </c>
      <c r="B195" s="424" t="s">
        <v>434</v>
      </c>
      <c r="C195" s="425" t="str">
        <f>IF(Tax_Rates_Alt="y",IF(Filing_Status="m",Setup!$E$233,Setup!$H$233),"")</f>
        <v/>
      </c>
      <c r="D195" s="67">
        <f>IF(Filing_Status="m",Setup!$D$233,Setup!$G$233)</f>
        <v>0.1</v>
      </c>
      <c r="E195" s="29">
        <f t="shared" ref="E195:E202" si="180">SUM(F195:AS195)</f>
        <v>70800</v>
      </c>
      <c r="F195" s="31">
        <f>ROUND(IF(Exclude_Taxes="n",IF(Filing_Status="m",IF(OR(F7&lt;Single_Rate_Start,Single_Rate_Start=""),IF(F193&gt;'Tax Tables'!F$139,'Tax Tables'!F$139*'Tax Tables'!F$140,F193*'Tax Tables'!F$140),IF(F193&gt;'Tax Tables'!F$218,'Tax Tables'!F$218*'Tax Tables'!F$219,F193*'Tax Tables'!F$219)),IF(F193&gt;'Tax Tables'!F$218,'Tax Tables'!F$218*'Tax Tables'!F$219,F193*'Tax Tables'!F$219)),0)/Round_To,0)*Round_To</f>
        <v>1900</v>
      </c>
      <c r="G195" s="1124">
        <f>ROUND(IF(Exclude_Taxes="n",IF(Filing_Status="m",IF(OR(G7&lt;Single_Rate_Start,Single_Rate_Start=""),IF(G193&gt;'Tax Tables'!G$139,'Tax Tables'!G$139*'Tax Tables'!G$140,G193*'Tax Tables'!G$140),IF(G193&gt;'Tax Tables'!G$218,'Tax Tables'!G$218*'Tax Tables'!G$219,G193*'Tax Tables'!G$219)),IF(G193&gt;'Tax Tables'!G$218,'Tax Tables'!G$218*'Tax Tables'!G$219,G193*'Tax Tables'!G$219)),0)/Round_To,0)*Round_To</f>
        <v>2000</v>
      </c>
      <c r="H195" s="1124">
        <f>ROUND(IF(Exclude_Taxes="n",IF(Filing_Status="m",IF(OR(H7&lt;Single_Rate_Start,Single_Rate_Start=""),IF(H193&gt;'Tax Tables'!H$139,'Tax Tables'!H$139*'Tax Tables'!H$140,H193*'Tax Tables'!H$140),IF(H193&gt;'Tax Tables'!H$218,'Tax Tables'!H$218*'Tax Tables'!H$219,H193*'Tax Tables'!H$219)),IF(H193&gt;'Tax Tables'!H$218,'Tax Tables'!H$218*'Tax Tables'!H$219,H193*'Tax Tables'!H$219)),0)/Round_To,0)*Round_To</f>
        <v>2000</v>
      </c>
      <c r="I195" s="1124">
        <f>ROUND(IF(Exclude_Taxes="n",IF(Filing_Status="m",IF(OR(I7&lt;Single_Rate_Start,Single_Rate_Start=""),IF(I193&gt;'Tax Tables'!I$139,'Tax Tables'!I$139*'Tax Tables'!I$140,I193*'Tax Tables'!I$140),IF(I193&gt;'Tax Tables'!I$218,'Tax Tables'!I$218*'Tax Tables'!I$219,I193*'Tax Tables'!I$219)),IF(I193&gt;'Tax Tables'!I$218,'Tax Tables'!I$218*'Tax Tables'!I$219,I193*'Tax Tables'!I$219)),0)/Round_To,0)*Round_To</f>
        <v>2100</v>
      </c>
      <c r="J195" s="1124">
        <f>ROUND(IF(Exclude_Taxes="n",IF(Filing_Status="m",IF(OR(J7&lt;Single_Rate_Start,Single_Rate_Start=""),IF(J193&gt;'Tax Tables'!J$139,'Tax Tables'!J$139*'Tax Tables'!J$140,J193*'Tax Tables'!J$140),IF(J193&gt;'Tax Tables'!J$218,'Tax Tables'!J$218*'Tax Tables'!J$219,J193*'Tax Tables'!J$219)),IF(J193&gt;'Tax Tables'!J$218,'Tax Tables'!J$218*'Tax Tables'!J$219,J193*'Tax Tables'!J$219)),0)/Round_To,0)*Round_To</f>
        <v>2100</v>
      </c>
      <c r="K195" s="1124">
        <f>ROUND(IF(Exclude_Taxes="n",IF(Filing_Status="m",IF(OR(K7&lt;Single_Rate_Start,Single_Rate_Start=""),IF(K193&gt;'Tax Tables'!K$139,'Tax Tables'!K$139*'Tax Tables'!K$140,K193*'Tax Tables'!K$140),IF(K193&gt;'Tax Tables'!K$218,'Tax Tables'!K$218*'Tax Tables'!K$219,K193*'Tax Tables'!K$219)),IF(K193&gt;'Tax Tables'!K$218,'Tax Tables'!K$218*'Tax Tables'!K$219,K193*'Tax Tables'!K$219)),0)/Round_To,0)*Round_To</f>
        <v>2200</v>
      </c>
      <c r="L195" s="1124">
        <f>ROUND(IF(Exclude_Taxes="n",IF(Filing_Status="m",IF(OR(L7&lt;Single_Rate_Start,Single_Rate_Start=""),IF(L193&gt;'Tax Tables'!L$139,'Tax Tables'!L$139*'Tax Tables'!L$140,L193*'Tax Tables'!L$140),IF(L193&gt;'Tax Tables'!L$218,'Tax Tables'!L$218*'Tax Tables'!L$219,L193*'Tax Tables'!L$219)),IF(L193&gt;'Tax Tables'!L$218,'Tax Tables'!L$218*'Tax Tables'!L$219,L193*'Tax Tables'!L$219)),0)/Round_To,0)*Round_To</f>
        <v>2200</v>
      </c>
      <c r="M195" s="1124">
        <f>ROUND(IF(Exclude_Taxes="n",IF(Filing_Status="m",IF(OR(M7&lt;Single_Rate_Start,Single_Rate_Start=""),IF(M193&gt;'Tax Tables'!M$139,'Tax Tables'!M$139*'Tax Tables'!M$140,M193*'Tax Tables'!M$140),IF(M193&gt;'Tax Tables'!M$218,'Tax Tables'!M$218*'Tax Tables'!M$219,M193*'Tax Tables'!M$219)),IF(M193&gt;'Tax Tables'!M$218,'Tax Tables'!M$218*'Tax Tables'!M$219,M193*'Tax Tables'!M$219)),0)/Round_To,0)*Round_To</f>
        <v>2300</v>
      </c>
      <c r="N195" s="1124">
        <f>ROUND(IF(Exclude_Taxes="n",IF(Filing_Status="m",IF(OR(N7&lt;Single_Rate_Start,Single_Rate_Start=""),IF(N193&gt;'Tax Tables'!N$139,'Tax Tables'!N$139*'Tax Tables'!N$140,N193*'Tax Tables'!N$140),IF(N193&gt;'Tax Tables'!N$218,'Tax Tables'!N$218*'Tax Tables'!N$219,N193*'Tax Tables'!N$219)),IF(N193&gt;'Tax Tables'!N$218,'Tax Tables'!N$218*'Tax Tables'!N$219,N193*'Tax Tables'!N$219)),0)/Round_To,0)*Round_To</f>
        <v>2300</v>
      </c>
      <c r="O195" s="1124">
        <f>ROUND(IF(Exclude_Taxes="n",IF(Filing_Status="m",IF(OR(O7&lt;Single_Rate_Start,Single_Rate_Start=""),IF(O193&gt;'Tax Tables'!O$139,'Tax Tables'!O$139*'Tax Tables'!O$140,O193*'Tax Tables'!O$140),IF(O193&gt;'Tax Tables'!O$218,'Tax Tables'!O$218*'Tax Tables'!O$219,O193*'Tax Tables'!O$219)),IF(O193&gt;'Tax Tables'!O$218,'Tax Tables'!O$218*'Tax Tables'!O$219,O193*'Tax Tables'!O$219)),0)/Round_To,0)*Round_To</f>
        <v>2400</v>
      </c>
      <c r="P195" s="1124">
        <f>ROUND(IF(Exclude_Taxes="n",IF(Filing_Status="m",IF(OR(P7&lt;Single_Rate_Start,Single_Rate_Start=""),IF(P193&gt;'Tax Tables'!P$139,'Tax Tables'!P$139*'Tax Tables'!P$140,P193*'Tax Tables'!P$140),IF(P193&gt;'Tax Tables'!P$218,'Tax Tables'!P$218*'Tax Tables'!P$219,P193*'Tax Tables'!P$219)),IF(P193&gt;'Tax Tables'!P$218,'Tax Tables'!P$218*'Tax Tables'!P$219,P193*'Tax Tables'!P$219)),0)/Round_To,0)*Round_To</f>
        <v>2400</v>
      </c>
      <c r="Q195" s="1124">
        <f>ROUND(IF(Exclude_Taxes="n",IF(Filing_Status="m",IF(OR(Q7&lt;Single_Rate_Start,Single_Rate_Start=""),IF(Q193&gt;'Tax Tables'!Q$139,'Tax Tables'!Q$139*'Tax Tables'!Q$140,Q193*'Tax Tables'!Q$140),IF(Q193&gt;'Tax Tables'!Q$218,'Tax Tables'!Q$218*'Tax Tables'!Q$219,Q193*'Tax Tables'!Q$219)),IF(Q193&gt;'Tax Tables'!Q$218,'Tax Tables'!Q$218*'Tax Tables'!Q$219,Q193*'Tax Tables'!Q$219)),0)/Round_To,0)*Round_To</f>
        <v>2500</v>
      </c>
      <c r="R195" s="1124">
        <f>ROUND(IF(Exclude_Taxes="n",IF(Filing_Status="m",IF(OR(R7&lt;Single_Rate_Start,Single_Rate_Start=""),IF(R193&gt;'Tax Tables'!R$139,'Tax Tables'!R$139*'Tax Tables'!R$140,R193*'Tax Tables'!R$140),IF(R193&gt;'Tax Tables'!R$218,'Tax Tables'!R$218*'Tax Tables'!R$219,R193*'Tax Tables'!R$219)),IF(R193&gt;'Tax Tables'!R$218,'Tax Tables'!R$218*'Tax Tables'!R$219,R193*'Tax Tables'!R$219)),0)/Round_To,0)*Round_To</f>
        <v>2500</v>
      </c>
      <c r="S195" s="1124">
        <f>ROUND(IF(Exclude_Taxes="n",IF(Filing_Status="m",IF(OR(S7&lt;Single_Rate_Start,Single_Rate_Start=""),IF(S193&gt;'Tax Tables'!S$139,'Tax Tables'!S$139*'Tax Tables'!S$140,S193*'Tax Tables'!S$140),IF(S193&gt;'Tax Tables'!S$218,'Tax Tables'!S$218*'Tax Tables'!S$219,S193*'Tax Tables'!S$219)),IF(S193&gt;'Tax Tables'!S$218,'Tax Tables'!S$218*'Tax Tables'!S$219,S193*'Tax Tables'!S$219)),0)/Round_To,0)*Round_To</f>
        <v>2600</v>
      </c>
      <c r="T195" s="1124">
        <f>ROUND(IF(Exclude_Taxes="n",IF(Filing_Status="m",IF(OR(T7&lt;Single_Rate_Start,Single_Rate_Start=""),IF(T193&gt;'Tax Tables'!T$139,'Tax Tables'!T$139*'Tax Tables'!T$140,T193*'Tax Tables'!T$140),IF(T193&gt;'Tax Tables'!T$218,'Tax Tables'!T$218*'Tax Tables'!T$219,T193*'Tax Tables'!T$219)),IF(T193&gt;'Tax Tables'!T$218,'Tax Tables'!T$218*'Tax Tables'!T$219,T193*'Tax Tables'!T$219)),0)/Round_To,0)*Round_To</f>
        <v>2600</v>
      </c>
      <c r="U195" s="1124">
        <f>ROUND(IF(Exclude_Taxes="n",IF(Filing_Status="m",IF(OR(U7&lt;Single_Rate_Start,Single_Rate_Start=""),IF(U193&gt;'Tax Tables'!U$139,'Tax Tables'!U$139*'Tax Tables'!U$140,U193*'Tax Tables'!U$140),IF(U193&gt;'Tax Tables'!U$218,'Tax Tables'!U$218*'Tax Tables'!U$219,U193*'Tax Tables'!U$219)),IF(U193&gt;'Tax Tables'!U$218,'Tax Tables'!U$218*'Tax Tables'!U$219,U193*'Tax Tables'!U$219)),0)/Round_To,0)*Round_To</f>
        <v>2700</v>
      </c>
      <c r="V195" s="1124">
        <f>ROUND(IF(Exclude_Taxes="n",IF(Filing_Status="m",IF(OR(V7&lt;Single_Rate_Start,Single_Rate_Start=""),IF(V193&gt;'Tax Tables'!V$139,'Tax Tables'!V$139*'Tax Tables'!V$140,V193*'Tax Tables'!V$140),IF(V193&gt;'Tax Tables'!V$218,'Tax Tables'!V$218*'Tax Tables'!V$219,V193*'Tax Tables'!V$219)),IF(V193&gt;'Tax Tables'!V$218,'Tax Tables'!V$218*'Tax Tables'!V$219,V193*'Tax Tables'!V$219)),0)/Round_To,0)*Round_To</f>
        <v>2800</v>
      </c>
      <c r="W195" s="1124">
        <f>ROUND(IF(Exclude_Taxes="n",IF(Filing_Status="m",IF(OR(W7&lt;Single_Rate_Start,Single_Rate_Start=""),IF(W193&gt;'Tax Tables'!W$139,'Tax Tables'!W$139*'Tax Tables'!W$140,W193*'Tax Tables'!W$140),IF(W193&gt;'Tax Tables'!W$218,'Tax Tables'!W$218*'Tax Tables'!W$219,W193*'Tax Tables'!W$219)),IF(W193&gt;'Tax Tables'!W$218,'Tax Tables'!W$218*'Tax Tables'!W$219,W193*'Tax Tables'!W$219)),0)/Round_To,0)*Round_To</f>
        <v>2800</v>
      </c>
      <c r="X195" s="1124">
        <f>ROUND(IF(Exclude_Taxes="n",IF(Filing_Status="m",IF(OR(X7&lt;Single_Rate_Start,Single_Rate_Start=""),IF(X193&gt;'Tax Tables'!X$139,'Tax Tables'!X$139*'Tax Tables'!X$140,X193*'Tax Tables'!X$140),IF(X193&gt;'Tax Tables'!X$218,'Tax Tables'!X$218*'Tax Tables'!X$219,X193*'Tax Tables'!X$219)),IF(X193&gt;'Tax Tables'!X$218,'Tax Tables'!X$218*'Tax Tables'!X$219,X193*'Tax Tables'!X$219)),0)/Round_To,0)*Round_To</f>
        <v>2900</v>
      </c>
      <c r="Y195" s="1124">
        <f>ROUND(IF(Exclude_Taxes="n",IF(Filing_Status="m",IF(OR(Y7&lt;Single_Rate_Start,Single_Rate_Start=""),IF(Y193&gt;'Tax Tables'!Y$139,'Tax Tables'!Y$139*'Tax Tables'!Y$140,Y193*'Tax Tables'!Y$140),IF(Y193&gt;'Tax Tables'!Y$218,'Tax Tables'!Y$218*'Tax Tables'!Y$219,Y193*'Tax Tables'!Y$219)),IF(Y193&gt;'Tax Tables'!Y$218,'Tax Tables'!Y$218*'Tax Tables'!Y$219,Y193*'Tax Tables'!Y$219)),0)/Round_To,0)*Round_To</f>
        <v>2900</v>
      </c>
      <c r="Z195" s="1124">
        <f>ROUND(IF(Exclude_Taxes="n",IF(Filing_Status="m",IF(OR(Z7&lt;Single_Rate_Start,Single_Rate_Start=""),IF(Z193&gt;'Tax Tables'!Z$139,'Tax Tables'!Z$139*'Tax Tables'!Z$140,Z193*'Tax Tables'!Z$140),IF(Z193&gt;'Tax Tables'!Z$218,'Tax Tables'!Z$218*'Tax Tables'!Z$219,Z193*'Tax Tables'!Z$219)),IF(Z193&gt;'Tax Tables'!Z$218,'Tax Tables'!Z$218*'Tax Tables'!Z$219,Z193*'Tax Tables'!Z$219)),0)/Round_To,0)*Round_To</f>
        <v>3000</v>
      </c>
      <c r="AA195" s="1124">
        <f>ROUND(IF(Exclude_Taxes="n",IF(Filing_Status="m",IF(OR(AA7&lt;Single_Rate_Start,Single_Rate_Start=""),IF(AA193&gt;'Tax Tables'!AA$139,'Tax Tables'!AA$139*'Tax Tables'!AA$140,AA193*'Tax Tables'!AA$140),IF(AA193&gt;'Tax Tables'!AA$218,'Tax Tables'!AA$218*'Tax Tables'!AA$219,AA193*'Tax Tables'!AA$219)),IF(AA193&gt;'Tax Tables'!AA$218,'Tax Tables'!AA$218*'Tax Tables'!AA$219,AA193*'Tax Tables'!AA$219)),0)/Round_To,0)*Round_To</f>
        <v>3100</v>
      </c>
      <c r="AB195" s="1124">
        <f>ROUND(IF(Exclude_Taxes="n",IF(Filing_Status="m",IF(OR(AB7&lt;Single_Rate_Start,Single_Rate_Start=""),IF(AB193&gt;'Tax Tables'!AB$139,'Tax Tables'!AB$139*'Tax Tables'!AB$140,AB193*'Tax Tables'!AB$140),IF(AB193&gt;'Tax Tables'!AB$218,'Tax Tables'!AB$218*'Tax Tables'!AB$219,AB193*'Tax Tables'!AB$219)),IF(AB193&gt;'Tax Tables'!AB$218,'Tax Tables'!AB$218*'Tax Tables'!AB$219,AB193*'Tax Tables'!AB$219)),0)/Round_To,0)*Round_To</f>
        <v>3100</v>
      </c>
      <c r="AC195" s="1124">
        <f>ROUND(IF(Exclude_Taxes="n",IF(Filing_Status="m",IF(OR(AC7&lt;Single_Rate_Start,Single_Rate_Start=""),IF(AC193&gt;'Tax Tables'!AC$139,'Tax Tables'!AC$139*'Tax Tables'!AC$140,AC193*'Tax Tables'!AC$140),IF(AC193&gt;'Tax Tables'!AC$218,'Tax Tables'!AC$218*'Tax Tables'!AC$219,AC193*'Tax Tables'!AC$219)),IF(AC193&gt;'Tax Tables'!AC$218,'Tax Tables'!AC$218*'Tax Tables'!AC$219,AC193*'Tax Tables'!AC$219)),0)/Round_To,0)*Round_To</f>
        <v>3200</v>
      </c>
      <c r="AD195" s="1124">
        <f>ROUND(IF(Exclude_Taxes="n",IF(Filing_Status="m",IF(OR(AD7&lt;Single_Rate_Start,Single_Rate_Start=""),IF(AD193&gt;'Tax Tables'!AD$139,'Tax Tables'!AD$139*'Tax Tables'!AD$140,AD193*'Tax Tables'!AD$140),IF(AD193&gt;'Tax Tables'!AD$218,'Tax Tables'!AD$218*'Tax Tables'!AD$219,AD193*'Tax Tables'!AD$219)),IF(AD193&gt;'Tax Tables'!AD$218,'Tax Tables'!AD$218*'Tax Tables'!AD$219,AD193*'Tax Tables'!AD$219)),0)/Round_To,0)*Round_To</f>
        <v>1600</v>
      </c>
      <c r="AE195" s="1124">
        <f>ROUND(IF(Exclude_Taxes="n",IF(Filing_Status="m",IF(OR(AE7&lt;Single_Rate_Start,Single_Rate_Start=""),IF(AE193&gt;'Tax Tables'!AE$139,'Tax Tables'!AE$139*'Tax Tables'!AE$140,AE193*'Tax Tables'!AE$140),IF(AE193&gt;'Tax Tables'!AE$218,'Tax Tables'!AE$218*'Tax Tables'!AE$219,AE193*'Tax Tables'!AE$219)),IF(AE193&gt;'Tax Tables'!AE$218,'Tax Tables'!AE$218*'Tax Tables'!AE$219,AE193*'Tax Tables'!AE$219)),0)/Round_To,0)*Round_To</f>
        <v>1600</v>
      </c>
      <c r="AF195" s="1124">
        <f>ROUND(IF(Exclude_Taxes="n",IF(Filing_Status="m",IF(OR(AF7&lt;Single_Rate_Start,Single_Rate_Start=""),IF(AF193&gt;'Tax Tables'!AF$139,'Tax Tables'!AF$139*'Tax Tables'!AF$140,AF193*'Tax Tables'!AF$140),IF(AF193&gt;'Tax Tables'!AF$218,'Tax Tables'!AF$218*'Tax Tables'!AF$219,AF193*'Tax Tables'!AF$219)),IF(AF193&gt;'Tax Tables'!AF$218,'Tax Tables'!AF$218*'Tax Tables'!AF$219,AF193*'Tax Tables'!AF$219)),0)/Round_To,0)*Round_To</f>
        <v>1700</v>
      </c>
      <c r="AG195" s="1124">
        <f>ROUND(IF(Exclude_Taxes="n",IF(Filing_Status="m",IF(OR(AG7&lt;Single_Rate_Start,Single_Rate_Start=""),IF(AG193&gt;'Tax Tables'!AG$139,'Tax Tables'!AG$139*'Tax Tables'!AG$140,AG193*'Tax Tables'!AG$140),IF(AG193&gt;'Tax Tables'!AG$218,'Tax Tables'!AG$218*'Tax Tables'!AG$219,AG193*'Tax Tables'!AG$219)),IF(AG193&gt;'Tax Tables'!AG$218,'Tax Tables'!AG$218*'Tax Tables'!AG$219,AG193*'Tax Tables'!AG$219)),0)/Round_To,0)*Round_To</f>
        <v>1700</v>
      </c>
      <c r="AH195" s="1124">
        <f>ROUND(IF(Exclude_Taxes="n",IF(Filing_Status="m",IF(OR(AH7&lt;Single_Rate_Start,Single_Rate_Start=""),IF(AH193&gt;'Tax Tables'!AH$139,'Tax Tables'!AH$139*'Tax Tables'!AH$140,AH193*'Tax Tables'!AH$140),IF(AH193&gt;'Tax Tables'!AH$218,'Tax Tables'!AH$218*'Tax Tables'!AH$219,AH193*'Tax Tables'!AH$219)),IF(AH193&gt;'Tax Tables'!AH$218,'Tax Tables'!AH$218*'Tax Tables'!AH$219,AH193*'Tax Tables'!AH$219)),0)/Round_To,0)*Round_To</f>
        <v>1800</v>
      </c>
      <c r="AI195" s="1124">
        <f>ROUND(IF(Exclude_Taxes="n",IF(Filing_Status="m",IF(OR(AI7&lt;Single_Rate_Start,Single_Rate_Start=""),IF(AI193&gt;'Tax Tables'!AI$139,'Tax Tables'!AI$139*'Tax Tables'!AI$140,AI193*'Tax Tables'!AI$140),IF(AI193&gt;'Tax Tables'!AI$218,'Tax Tables'!AI$218*'Tax Tables'!AI$219,AI193*'Tax Tables'!AI$219)),IF(AI193&gt;'Tax Tables'!AI$218,'Tax Tables'!AI$218*'Tax Tables'!AI$219,AI193*'Tax Tables'!AI$219)),0)/Round_To,0)*Round_To</f>
        <v>1800</v>
      </c>
      <c r="AJ195" s="1124">
        <f>ROUND(IF(Exclude_Taxes="n",IF(Filing_Status="m",IF(OR(AJ7&lt;Single_Rate_Start,Single_Rate_Start=""),IF(AJ193&gt;'Tax Tables'!AJ$139,'Tax Tables'!AJ$139*'Tax Tables'!AJ$140,AJ193*'Tax Tables'!AJ$140),IF(AJ193&gt;'Tax Tables'!AJ$218,'Tax Tables'!AJ$218*'Tax Tables'!AJ$219,AJ193*'Tax Tables'!AJ$219)),IF(AJ193&gt;'Tax Tables'!AJ$218,'Tax Tables'!AJ$218*'Tax Tables'!AJ$219,AJ193*'Tax Tables'!AJ$219)),0)/Round_To,0)*Round_To</f>
        <v>0</v>
      </c>
      <c r="AK195" s="1124">
        <f>ROUND(IF(Exclude_Taxes="n",IF(Filing_Status="m",IF(OR(AK7&lt;Single_Rate_Start,Single_Rate_Start=""),IF(AK193&gt;'Tax Tables'!AK$139,'Tax Tables'!AK$139*'Tax Tables'!AK$140,AK193*'Tax Tables'!AK$140),IF(AK193&gt;'Tax Tables'!AK$218,'Tax Tables'!AK$218*'Tax Tables'!AK$219,AK193*'Tax Tables'!AK$219)),IF(AK193&gt;'Tax Tables'!AK$218,'Tax Tables'!AK$218*'Tax Tables'!AK$219,AK193*'Tax Tables'!AK$219)),0)/Round_To,0)*Round_To</f>
        <v>0</v>
      </c>
      <c r="AL195" s="1124">
        <f>ROUND(IF(Exclude_Taxes="n",IF(Filing_Status="m",IF(OR(AL7&lt;Single_Rate_Start,Single_Rate_Start=""),IF(AL193&gt;'Tax Tables'!AL$139,'Tax Tables'!AL$139*'Tax Tables'!AL$140,AL193*'Tax Tables'!AL$140),IF(AL193&gt;'Tax Tables'!AL$218,'Tax Tables'!AL$218*'Tax Tables'!AL$219,AL193*'Tax Tables'!AL$219)),IF(AL193&gt;'Tax Tables'!AL$218,'Tax Tables'!AL$218*'Tax Tables'!AL$219,AL193*'Tax Tables'!AL$219)),0)/Round_To,0)*Round_To</f>
        <v>0</v>
      </c>
      <c r="AM195" s="1124">
        <f>ROUND(IF(Exclude_Taxes="n",IF(Filing_Status="m",IF(OR(AM7&lt;Single_Rate_Start,Single_Rate_Start=""),IF(AM193&gt;'Tax Tables'!AM$139,'Tax Tables'!AM$139*'Tax Tables'!AM$140,AM193*'Tax Tables'!AM$140),IF(AM193&gt;'Tax Tables'!AM$218,'Tax Tables'!AM$218*'Tax Tables'!AM$219,AM193*'Tax Tables'!AM$219)),IF(AM193&gt;'Tax Tables'!AM$218,'Tax Tables'!AM$218*'Tax Tables'!AM$219,AM193*'Tax Tables'!AM$219)),0)/Round_To,0)*Round_To</f>
        <v>0</v>
      </c>
      <c r="AN195" s="1124">
        <f>ROUND(IF(Exclude_Taxes="n",IF(Filing_Status="m",IF(OR(AN7&lt;Single_Rate_Start,Single_Rate_Start=""),IF(AN193&gt;'Tax Tables'!AN$139,'Tax Tables'!AN$139*'Tax Tables'!AN$140,AN193*'Tax Tables'!AN$140),IF(AN193&gt;'Tax Tables'!AN$218,'Tax Tables'!AN$218*'Tax Tables'!AN$219,AN193*'Tax Tables'!AN$219)),IF(AN193&gt;'Tax Tables'!AN$218,'Tax Tables'!AN$218*'Tax Tables'!AN$219,AN193*'Tax Tables'!AN$219)),0)/Round_To,0)*Round_To</f>
        <v>0</v>
      </c>
      <c r="AO195" s="1124">
        <f>ROUND(IF(Exclude_Taxes="n",IF(Filing_Status="m",IF(OR(AO7&lt;Single_Rate_Start,Single_Rate_Start=""),IF(AO193&gt;'Tax Tables'!AO$139,'Tax Tables'!AO$139*'Tax Tables'!AO$140,AO193*'Tax Tables'!AO$140),IF(AO193&gt;'Tax Tables'!AO$218,'Tax Tables'!AO$218*'Tax Tables'!AO$219,AO193*'Tax Tables'!AO$219)),IF(AO193&gt;'Tax Tables'!AO$218,'Tax Tables'!AO$218*'Tax Tables'!AO$219,AO193*'Tax Tables'!AO$219)),0)/Round_To,0)*Round_To</f>
        <v>0</v>
      </c>
      <c r="AP195" s="1124">
        <f>ROUND(IF(Exclude_Taxes="n",IF(Filing_Status="m",IF(OR(AP7&lt;Single_Rate_Start,Single_Rate_Start=""),IF(AP193&gt;'Tax Tables'!AP$139,'Tax Tables'!AP$139*'Tax Tables'!AP$140,AP193*'Tax Tables'!AP$140),IF(AP193&gt;'Tax Tables'!AP$218,'Tax Tables'!AP$218*'Tax Tables'!AP$219,AP193*'Tax Tables'!AP$219)),IF(AP193&gt;'Tax Tables'!AP$218,'Tax Tables'!AP$218*'Tax Tables'!AP$219,AP193*'Tax Tables'!AP$219)),0)/Round_To,0)*Round_To</f>
        <v>0</v>
      </c>
      <c r="AQ195" s="1124">
        <f>ROUND(IF(Exclude_Taxes="n",IF(Filing_Status="m",IF(OR(AQ7&lt;Single_Rate_Start,Single_Rate_Start=""),IF(AQ193&gt;'Tax Tables'!AQ$139,'Tax Tables'!AQ$139*'Tax Tables'!AQ$140,AQ193*'Tax Tables'!AQ$140),IF(AQ193&gt;'Tax Tables'!AQ$218,'Tax Tables'!AQ$218*'Tax Tables'!AQ$219,AQ193*'Tax Tables'!AQ$219)),IF(AQ193&gt;'Tax Tables'!AQ$218,'Tax Tables'!AQ$218*'Tax Tables'!AQ$219,AQ193*'Tax Tables'!AQ$219)),0)/Round_To,0)*Round_To</f>
        <v>0</v>
      </c>
      <c r="AR195" s="1124">
        <f>ROUND(IF(Exclude_Taxes="n",IF(Filing_Status="m",IF(OR(AR7&lt;Single_Rate_Start,Single_Rate_Start=""),IF(AR193&gt;'Tax Tables'!AR$139,'Tax Tables'!AR$139*'Tax Tables'!AR$140,AR193*'Tax Tables'!AR$140),IF(AR193&gt;'Tax Tables'!AR$218,'Tax Tables'!AR$218*'Tax Tables'!AR$219,AR193*'Tax Tables'!AR$219)),IF(AR193&gt;'Tax Tables'!AR$218,'Tax Tables'!AR$218*'Tax Tables'!AR$219,AR193*'Tax Tables'!AR$219)),0)/Round_To,0)*Round_To</f>
        <v>0</v>
      </c>
      <c r="AS195" s="1124">
        <f>ROUND(IF(Exclude_Taxes="n",IF(Filing_Status="m",IF(OR(AS7&lt;Single_Rate_Start,Single_Rate_Start=""),IF(AS193&gt;'Tax Tables'!AS$139,'Tax Tables'!AS$139*'Tax Tables'!AS$140,AS193*'Tax Tables'!AS$140),IF(AS193&gt;'Tax Tables'!AS$218,'Tax Tables'!AS$218*'Tax Tables'!AS$219,AS193*'Tax Tables'!AS$219)),IF(AS193&gt;'Tax Tables'!AS$218,'Tax Tables'!AS$218*'Tax Tables'!AS$219,AS193*'Tax Tables'!AS$219)),0)/Round_To,0)*Round_To</f>
        <v>0</v>
      </c>
      <c r="AT195" s="42"/>
      <c r="AU195" s="78">
        <f>+Base!E195</f>
        <v>70800</v>
      </c>
      <c r="AV195" s="81">
        <f t="shared" ref="AV195:AV204" si="181">+E195-AU195</f>
        <v>0</v>
      </c>
      <c r="AW195" s="29"/>
      <c r="AX195" s="49"/>
      <c r="AY195" s="49"/>
      <c r="AZ195" s="42"/>
      <c r="BA195" s="49"/>
      <c r="BB195" s="49"/>
      <c r="BC195" s="39"/>
      <c r="BD195" s="39"/>
      <c r="BE195" s="39"/>
      <c r="BF195" s="49"/>
      <c r="BG195" s="49"/>
      <c r="BH195" s="49"/>
      <c r="BI195" s="49"/>
      <c r="BJ195" s="39"/>
      <c r="BK195" s="49"/>
      <c r="BL195" s="39"/>
      <c r="BM195" s="39"/>
      <c r="BN195" s="49"/>
      <c r="BO195" s="49"/>
      <c r="BP195" s="49"/>
      <c r="BQ195" s="49"/>
      <c r="BR195" s="49"/>
      <c r="BS195" s="49"/>
      <c r="BT195" s="49"/>
      <c r="BU195" s="49"/>
      <c r="BV195" s="49"/>
      <c r="BW195" s="49"/>
      <c r="BX195" s="49"/>
      <c r="BY195" s="49"/>
      <c r="BZ195" s="49"/>
      <c r="CA195" s="44"/>
      <c r="CB195" s="49"/>
      <c r="CC195" s="49"/>
      <c r="CD195" s="49"/>
      <c r="CE195" s="49"/>
      <c r="CF195" s="49"/>
      <c r="CG195" s="49"/>
      <c r="CH195" s="49"/>
      <c r="CI195" s="49"/>
      <c r="CJ195" s="49"/>
      <c r="CK195" s="49"/>
      <c r="CL195" s="49"/>
      <c r="CM195" s="49"/>
      <c r="CN195" s="49"/>
    </row>
    <row r="196" spans="1:92" hidden="1">
      <c r="A196" s="1427" t="s">
        <v>1578</v>
      </c>
      <c r="B196" s="425"/>
      <c r="C196" s="425" t="str">
        <f>IF(Tax_Rates_Alt="y",IF(Filing_Status="m",Setup!$E$234,Setup!$H$234),"")</f>
        <v/>
      </c>
      <c r="D196" s="67">
        <f>IF(Filing_Status="m",Setup!$D$234,Setup!$G$234)</f>
        <v>0.12</v>
      </c>
      <c r="E196" s="29">
        <f t="shared" si="180"/>
        <v>154200</v>
      </c>
      <c r="F196" s="31">
        <f>ROUND(IF(Exclude_Taxes="n",IF(Filing_Status="m",IF(OR(F7&lt;Single_Rate_Start,Single_Rate_Start=""),IF(AND(F193&gt;='Tax Tables'!F$143,F193&lt;='Tax Tables'!F$144),(F193-'Tax Tables'!F$143)*'Tax Tables'!F$145,IF(F193&gt;='Tax Tables'!F$144,('Tax Tables'!F$144-'Tax Tables'!F$143)*'Tax Tables'!F$145,0)),IF(AND(F193&gt;='Tax Tables'!F$222,F193&lt;='Tax Tables'!F$223),(F193-'Tax Tables'!F$222)*'Tax Tables'!F$224,IF(F193&gt;='Tax Tables'!F$223,('Tax Tables'!F$223-'Tax Tables'!F$222)*'Tax Tables'!F$224,0))),IF(AND(F193&gt;='Tax Tables'!F$222,F193&lt;='Tax Tables'!F$223),(F193-'Tax Tables'!F$222)*'Tax Tables'!F$224,IF(F193&gt;='Tax Tables'!F$223,('Tax Tables'!F$223-'Tax Tables'!F$222)*'Tax Tables'!F$224,0))),0)/Round_To,0)*Round_To</f>
        <v>2000</v>
      </c>
      <c r="G196" s="1124">
        <f>ROUND(IF(Exclude_Taxes="n",IF(Filing_Status="m",IF(OR(G7&lt;Single_Rate_Start,Single_Rate_Start=""),IF(AND(G193&gt;='Tax Tables'!G$143,G193&lt;='Tax Tables'!G$144),(G193-'Tax Tables'!G$143)*'Tax Tables'!G$145,IF(G193&gt;='Tax Tables'!G$144,('Tax Tables'!G$144-'Tax Tables'!G$143)*'Tax Tables'!G$145,0)),IF(AND(G193&gt;='Tax Tables'!G$222,G193&lt;='Tax Tables'!G$223),(G193-'Tax Tables'!G$222)*'Tax Tables'!G$224,IF(G193&gt;='Tax Tables'!G$223,('Tax Tables'!G$223-'Tax Tables'!G$222)*'Tax Tables'!G$224,0))),IF(AND(G193&gt;='Tax Tables'!G$222,G193&lt;='Tax Tables'!G$223),(G193-'Tax Tables'!G$222)*'Tax Tables'!G$224,IF(G193&gt;='Tax Tables'!G$223,('Tax Tables'!G$223-'Tax Tables'!G$222)*'Tax Tables'!G$224,0))),0)/Round_To,0)*Round_To</f>
        <v>3800</v>
      </c>
      <c r="H196" s="1124">
        <f>ROUND(IF(Exclude_Taxes="n",IF(Filing_Status="m",IF(OR(H7&lt;Single_Rate_Start,Single_Rate_Start=""),IF(AND(H193&gt;='Tax Tables'!H$143,H193&lt;='Tax Tables'!H$144),(H193-'Tax Tables'!H$143)*'Tax Tables'!H$145,IF(H193&gt;='Tax Tables'!H$144,('Tax Tables'!H$144-'Tax Tables'!H$143)*'Tax Tables'!H$145,0)),IF(AND(H193&gt;='Tax Tables'!H$222,H193&lt;='Tax Tables'!H$223),(H193-'Tax Tables'!H$222)*'Tax Tables'!H$224,IF(H193&gt;='Tax Tables'!H$223,('Tax Tables'!H$223-'Tax Tables'!H$222)*'Tax Tables'!H$224,0))),IF(AND(H193&gt;='Tax Tables'!H$222,H193&lt;='Tax Tables'!H$223),(H193-'Tax Tables'!H$222)*'Tax Tables'!H$224,IF(H193&gt;='Tax Tables'!H$223,('Tax Tables'!H$223-'Tax Tables'!H$222)*'Tax Tables'!H$224,0))),0)/Round_To,0)*Round_To</f>
        <v>2000</v>
      </c>
      <c r="I196" s="1124">
        <f>ROUND(IF(Exclude_Taxes="n",IF(Filing_Status="m",IF(OR(I7&lt;Single_Rate_Start,Single_Rate_Start=""),IF(AND(I193&gt;='Tax Tables'!I$143,I193&lt;='Tax Tables'!I$144),(I193-'Tax Tables'!I$143)*'Tax Tables'!I$145,IF(I193&gt;='Tax Tables'!I$144,('Tax Tables'!I$144-'Tax Tables'!I$143)*'Tax Tables'!I$145,0)),IF(AND(I193&gt;='Tax Tables'!I$222,I193&lt;='Tax Tables'!I$223),(I193-'Tax Tables'!I$222)*'Tax Tables'!I$224,IF(I193&gt;='Tax Tables'!I$223,('Tax Tables'!I$223-'Tax Tables'!I$222)*'Tax Tables'!I$224,0))),IF(AND(I193&gt;='Tax Tables'!I$222,I193&lt;='Tax Tables'!I$223),(I193-'Tax Tables'!I$222)*'Tax Tables'!I$224,IF(I193&gt;='Tax Tables'!I$223,('Tax Tables'!I$223-'Tax Tables'!I$222)*'Tax Tables'!I$224,0))),0)/Round_To,0)*Round_To</f>
        <v>2000</v>
      </c>
      <c r="J196" s="1124">
        <f>ROUND(IF(Exclude_Taxes="n",IF(Filing_Status="m",IF(OR(J7&lt;Single_Rate_Start,Single_Rate_Start=""),IF(AND(J193&gt;='Tax Tables'!J$143,J193&lt;='Tax Tables'!J$144),(J193-'Tax Tables'!J$143)*'Tax Tables'!J$145,IF(J193&gt;='Tax Tables'!J$144,('Tax Tables'!J$144-'Tax Tables'!J$143)*'Tax Tables'!J$145,0)),IF(AND(J193&gt;='Tax Tables'!J$222,J193&lt;='Tax Tables'!J$223),(J193-'Tax Tables'!J$222)*'Tax Tables'!J$224,IF(J193&gt;='Tax Tables'!J$223,('Tax Tables'!J$223-'Tax Tables'!J$222)*'Tax Tables'!J$224,0))),IF(AND(J193&gt;='Tax Tables'!J$222,J193&lt;='Tax Tables'!J$223),(J193-'Tax Tables'!J$222)*'Tax Tables'!J$224,IF(J193&gt;='Tax Tables'!J$223,('Tax Tables'!J$223-'Tax Tables'!J$222)*'Tax Tables'!J$224,0))),0)/Round_To,0)*Round_To</f>
        <v>2000</v>
      </c>
      <c r="K196" s="1124">
        <f>ROUND(IF(Exclude_Taxes="n",IF(Filing_Status="m",IF(OR(K7&lt;Single_Rate_Start,Single_Rate_Start=""),IF(AND(K193&gt;='Tax Tables'!K$143,K193&lt;='Tax Tables'!K$144),(K193-'Tax Tables'!K$143)*'Tax Tables'!K$145,IF(K193&gt;='Tax Tables'!K$144,('Tax Tables'!K$144-'Tax Tables'!K$143)*'Tax Tables'!K$145,0)),IF(AND(K193&gt;='Tax Tables'!K$222,K193&lt;='Tax Tables'!K$223),(K193-'Tax Tables'!K$222)*'Tax Tables'!K$224,IF(K193&gt;='Tax Tables'!K$223,('Tax Tables'!K$223-'Tax Tables'!K$222)*'Tax Tables'!K$224,0))),IF(AND(K193&gt;='Tax Tables'!K$222,K193&lt;='Tax Tables'!K$223),(K193-'Tax Tables'!K$222)*'Tax Tables'!K$224,IF(K193&gt;='Tax Tables'!K$223,('Tax Tables'!K$223-'Tax Tables'!K$222)*'Tax Tables'!K$224,0))),0)/Round_To,0)*Round_To</f>
        <v>4300</v>
      </c>
      <c r="L196" s="1124">
        <f>ROUND(IF(Exclude_Taxes="n",IF(Filing_Status="m",IF(OR(L7&lt;Single_Rate_Start,Single_Rate_Start=""),IF(AND(L193&gt;='Tax Tables'!L$143,L193&lt;='Tax Tables'!L$144),(L193-'Tax Tables'!L$143)*'Tax Tables'!L$145,IF(L193&gt;='Tax Tables'!L$144,('Tax Tables'!L$144-'Tax Tables'!L$143)*'Tax Tables'!L$145,0)),IF(AND(L193&gt;='Tax Tables'!L$222,L193&lt;='Tax Tables'!L$223),(L193-'Tax Tables'!L$222)*'Tax Tables'!L$224,IF(L193&gt;='Tax Tables'!L$223,('Tax Tables'!L$223-'Tax Tables'!L$222)*'Tax Tables'!L$224,0))),IF(AND(L193&gt;='Tax Tables'!L$222,L193&lt;='Tax Tables'!L$223),(L193-'Tax Tables'!L$222)*'Tax Tables'!L$224,IF(L193&gt;='Tax Tables'!L$223,('Tax Tables'!L$223-'Tax Tables'!L$222)*'Tax Tables'!L$224,0))),0)/Round_To,0)*Round_To</f>
        <v>4300</v>
      </c>
      <c r="M196" s="1124">
        <f>ROUND(IF(Exclude_Taxes="n",IF(Filing_Status="m",IF(OR(M7&lt;Single_Rate_Start,Single_Rate_Start=""),IF(AND(M193&gt;='Tax Tables'!M$143,M193&lt;='Tax Tables'!M$144),(M193-'Tax Tables'!M$143)*'Tax Tables'!M$145,IF(M193&gt;='Tax Tables'!M$144,('Tax Tables'!M$144-'Tax Tables'!M$143)*'Tax Tables'!M$145,0)),IF(AND(M193&gt;='Tax Tables'!M$222,M193&lt;='Tax Tables'!M$223),(M193-'Tax Tables'!M$222)*'Tax Tables'!M$224,IF(M193&gt;='Tax Tables'!M$223,('Tax Tables'!M$223-'Tax Tables'!M$222)*'Tax Tables'!M$224,0))),IF(AND(M193&gt;='Tax Tables'!M$222,M193&lt;='Tax Tables'!M$223),(M193-'Tax Tables'!M$222)*'Tax Tables'!M$224,IF(M193&gt;='Tax Tables'!M$223,('Tax Tables'!M$223-'Tax Tables'!M$222)*'Tax Tables'!M$224,0))),0)/Round_To,0)*Round_To</f>
        <v>4800</v>
      </c>
      <c r="N196" s="1124">
        <f>ROUND(IF(Exclude_Taxes="n",IF(Filing_Status="m",IF(OR(N7&lt;Single_Rate_Start,Single_Rate_Start=""),IF(AND(N193&gt;='Tax Tables'!N$143,N193&lt;='Tax Tables'!N$144),(N193-'Tax Tables'!N$143)*'Tax Tables'!N$145,IF(N193&gt;='Tax Tables'!N$144,('Tax Tables'!N$144-'Tax Tables'!N$143)*'Tax Tables'!N$145,0)),IF(AND(N193&gt;='Tax Tables'!N$222,N193&lt;='Tax Tables'!N$223),(N193-'Tax Tables'!N$222)*'Tax Tables'!N$224,IF(N193&gt;='Tax Tables'!N$223,('Tax Tables'!N$223-'Tax Tables'!N$222)*'Tax Tables'!N$224,0))),IF(AND(N193&gt;='Tax Tables'!N$222,N193&lt;='Tax Tables'!N$223),(N193-'Tax Tables'!N$222)*'Tax Tables'!N$224,IF(N193&gt;='Tax Tables'!N$223,('Tax Tables'!N$223-'Tax Tables'!N$222)*'Tax Tables'!N$224,0))),0)/Round_To,0)*Round_To</f>
        <v>1800</v>
      </c>
      <c r="O196" s="1124">
        <f>ROUND(IF(Exclude_Taxes="n",IF(Filing_Status="m",IF(OR(O7&lt;Single_Rate_Start,Single_Rate_Start=""),IF(AND(O193&gt;='Tax Tables'!O$143,O193&lt;='Tax Tables'!O$144),(O193-'Tax Tables'!O$143)*'Tax Tables'!O$145,IF(O193&gt;='Tax Tables'!O$144,('Tax Tables'!O$144-'Tax Tables'!O$143)*'Tax Tables'!O$145,0)),IF(AND(O193&gt;='Tax Tables'!O$222,O193&lt;='Tax Tables'!O$223),(O193-'Tax Tables'!O$222)*'Tax Tables'!O$224,IF(O193&gt;='Tax Tables'!O$223,('Tax Tables'!O$223-'Tax Tables'!O$222)*'Tax Tables'!O$224,0))),IF(AND(O193&gt;='Tax Tables'!O$222,O193&lt;='Tax Tables'!O$223),(O193-'Tax Tables'!O$222)*'Tax Tables'!O$224,IF(O193&gt;='Tax Tables'!O$223,('Tax Tables'!O$223-'Tax Tables'!O$222)*'Tax Tables'!O$224,0))),0)/Round_To,0)*Round_To</f>
        <v>1800</v>
      </c>
      <c r="P196" s="1124">
        <f>ROUND(IF(Exclude_Taxes="n",IF(Filing_Status="m",IF(OR(P7&lt;Single_Rate_Start,Single_Rate_Start=""),IF(AND(P193&gt;='Tax Tables'!P$143,P193&lt;='Tax Tables'!P$144),(P193-'Tax Tables'!P$143)*'Tax Tables'!P$145,IF(P193&gt;='Tax Tables'!P$144,('Tax Tables'!P$144-'Tax Tables'!P$143)*'Tax Tables'!P$145,0)),IF(AND(P193&gt;='Tax Tables'!P$222,P193&lt;='Tax Tables'!P$223),(P193-'Tax Tables'!P$222)*'Tax Tables'!P$224,IF(P193&gt;='Tax Tables'!P$223,('Tax Tables'!P$223-'Tax Tables'!P$222)*'Tax Tables'!P$224,0))),IF(AND(P193&gt;='Tax Tables'!P$222,P193&lt;='Tax Tables'!P$223),(P193-'Tax Tables'!P$222)*'Tax Tables'!P$224,IF(P193&gt;='Tax Tables'!P$223,('Tax Tables'!P$223-'Tax Tables'!P$222)*'Tax Tables'!P$224,0))),0)/Round_To,0)*Round_To</f>
        <v>1900</v>
      </c>
      <c r="Q196" s="1124">
        <f>ROUND(IF(Exclude_Taxes="n",IF(Filing_Status="m",IF(OR(Q7&lt;Single_Rate_Start,Single_Rate_Start=""),IF(AND(Q193&gt;='Tax Tables'!Q$143,Q193&lt;='Tax Tables'!Q$144),(Q193-'Tax Tables'!Q$143)*'Tax Tables'!Q$145,IF(Q193&gt;='Tax Tables'!Q$144,('Tax Tables'!Q$144-'Tax Tables'!Q$143)*'Tax Tables'!Q$145,0)),IF(AND(Q193&gt;='Tax Tables'!Q$222,Q193&lt;='Tax Tables'!Q$223),(Q193-'Tax Tables'!Q$222)*'Tax Tables'!Q$224,IF(Q193&gt;='Tax Tables'!Q$223,('Tax Tables'!Q$223-'Tax Tables'!Q$222)*'Tax Tables'!Q$224,0))),IF(AND(Q193&gt;='Tax Tables'!Q$222,Q193&lt;='Tax Tables'!Q$223),(Q193-'Tax Tables'!Q$222)*'Tax Tables'!Q$224,IF(Q193&gt;='Tax Tables'!Q$223,('Tax Tables'!Q$223-'Tax Tables'!Q$222)*'Tax Tables'!Q$224,0))),0)/Round_To,0)*Round_To</f>
        <v>2100</v>
      </c>
      <c r="R196" s="1124">
        <f>ROUND(IF(Exclude_Taxes="n",IF(Filing_Status="m",IF(OR(R7&lt;Single_Rate_Start,Single_Rate_Start=""),IF(AND(R193&gt;='Tax Tables'!R$143,R193&lt;='Tax Tables'!R$144),(R193-'Tax Tables'!R$143)*'Tax Tables'!R$145,IF(R193&gt;='Tax Tables'!R$144,('Tax Tables'!R$144-'Tax Tables'!R$143)*'Tax Tables'!R$145,0)),IF(AND(R193&gt;='Tax Tables'!R$222,R193&lt;='Tax Tables'!R$223),(R193-'Tax Tables'!R$222)*'Tax Tables'!R$224,IF(R193&gt;='Tax Tables'!R$223,('Tax Tables'!R$223-'Tax Tables'!R$222)*'Tax Tables'!R$224,0))),IF(AND(R193&gt;='Tax Tables'!R$222,R193&lt;='Tax Tables'!R$223),(R193-'Tax Tables'!R$222)*'Tax Tables'!R$224,IF(R193&gt;='Tax Tables'!R$223,('Tax Tables'!R$223-'Tax Tables'!R$222)*'Tax Tables'!R$224,0))),0)/Round_To,0)*Round_To</f>
        <v>3400</v>
      </c>
      <c r="S196" s="1124">
        <f>ROUND(IF(Exclude_Taxes="n",IF(Filing_Status="m",IF(OR(S7&lt;Single_Rate_Start,Single_Rate_Start=""),IF(AND(S193&gt;='Tax Tables'!S$143,S193&lt;='Tax Tables'!S$144),(S193-'Tax Tables'!S$143)*'Tax Tables'!S$145,IF(S193&gt;='Tax Tables'!S$144,('Tax Tables'!S$144-'Tax Tables'!S$143)*'Tax Tables'!S$145,0)),IF(AND(S193&gt;='Tax Tables'!S$222,S193&lt;='Tax Tables'!S$223),(S193-'Tax Tables'!S$222)*'Tax Tables'!S$224,IF(S193&gt;='Tax Tables'!S$223,('Tax Tables'!S$223-'Tax Tables'!S$222)*'Tax Tables'!S$224,0))),IF(AND(S193&gt;='Tax Tables'!S$222,S193&lt;='Tax Tables'!S$223),(S193-'Tax Tables'!S$222)*'Tax Tables'!S$224,IF(S193&gt;='Tax Tables'!S$223,('Tax Tables'!S$223-'Tax Tables'!S$222)*'Tax Tables'!S$224,0))),0)/Round_To,0)*Round_To</f>
        <v>3700</v>
      </c>
      <c r="T196" s="1124">
        <f>ROUND(IF(Exclude_Taxes="n",IF(Filing_Status="m",IF(OR(T7&lt;Single_Rate_Start,Single_Rate_Start=""),IF(AND(T193&gt;='Tax Tables'!T$143,T193&lt;='Tax Tables'!T$144),(T193-'Tax Tables'!T$143)*'Tax Tables'!T$145,IF(T193&gt;='Tax Tables'!T$144,('Tax Tables'!T$144-'Tax Tables'!T$143)*'Tax Tables'!T$145,0)),IF(AND(T193&gt;='Tax Tables'!T$222,T193&lt;='Tax Tables'!T$223),(T193-'Tax Tables'!T$222)*'Tax Tables'!T$224,IF(T193&gt;='Tax Tables'!T$223,('Tax Tables'!T$223-'Tax Tables'!T$222)*'Tax Tables'!T$224,0))),IF(AND(T193&gt;='Tax Tables'!T$222,T193&lt;='Tax Tables'!T$223),(T193-'Tax Tables'!T$222)*'Tax Tables'!T$224,IF(T193&gt;='Tax Tables'!T$223,('Tax Tables'!T$223-'Tax Tables'!T$222)*'Tax Tables'!T$224,0))),0)/Round_To,0)*Round_To</f>
        <v>6700</v>
      </c>
      <c r="U196" s="1124">
        <f>ROUND(IF(Exclude_Taxes="n",IF(Filing_Status="m",IF(OR(U7&lt;Single_Rate_Start,Single_Rate_Start=""),IF(AND(U193&gt;='Tax Tables'!U$143,U193&lt;='Tax Tables'!U$144),(U193-'Tax Tables'!U$143)*'Tax Tables'!U$145,IF(U193&gt;='Tax Tables'!U$144,('Tax Tables'!U$144-'Tax Tables'!U$143)*'Tax Tables'!U$145,0)),IF(AND(U193&gt;='Tax Tables'!U$222,U193&lt;='Tax Tables'!U$223),(U193-'Tax Tables'!U$222)*'Tax Tables'!U$224,IF(U193&gt;='Tax Tables'!U$223,('Tax Tables'!U$223-'Tax Tables'!U$222)*'Tax Tables'!U$224,0))),IF(AND(U193&gt;='Tax Tables'!U$222,U193&lt;='Tax Tables'!U$223),(U193-'Tax Tables'!U$222)*'Tax Tables'!U$224,IF(U193&gt;='Tax Tables'!U$223,('Tax Tables'!U$223-'Tax Tables'!U$222)*'Tax Tables'!U$224,0))),0)/Round_To,0)*Round_To</f>
        <v>8200</v>
      </c>
      <c r="V196" s="1124">
        <f>ROUND(IF(Exclude_Taxes="n",IF(Filing_Status="m",IF(OR(V7&lt;Single_Rate_Start,Single_Rate_Start=""),IF(AND(V193&gt;='Tax Tables'!V$143,V193&lt;='Tax Tables'!V$144),(V193-'Tax Tables'!V$143)*'Tax Tables'!V$145,IF(V193&gt;='Tax Tables'!V$144,('Tax Tables'!V$144-'Tax Tables'!V$143)*'Tax Tables'!V$145,0)),IF(AND(V193&gt;='Tax Tables'!V$222,V193&lt;='Tax Tables'!V$223),(V193-'Tax Tables'!V$222)*'Tax Tables'!V$224,IF(V193&gt;='Tax Tables'!V$223,('Tax Tables'!V$223-'Tax Tables'!V$222)*'Tax Tables'!V$224,0))),IF(AND(V193&gt;='Tax Tables'!V$222,V193&lt;='Tax Tables'!V$223),(V193-'Tax Tables'!V$222)*'Tax Tables'!V$224,IF(V193&gt;='Tax Tables'!V$223,('Tax Tables'!V$223-'Tax Tables'!V$222)*'Tax Tables'!V$224,0))),0)/Round_To,0)*Round_To</f>
        <v>7400</v>
      </c>
      <c r="W196" s="1124">
        <f>ROUND(IF(Exclude_Taxes="n",IF(Filing_Status="m",IF(OR(W7&lt;Single_Rate_Start,Single_Rate_Start=""),IF(AND(W193&gt;='Tax Tables'!W$143,W193&lt;='Tax Tables'!W$144),(W193-'Tax Tables'!W$143)*'Tax Tables'!W$145,IF(W193&gt;='Tax Tables'!W$144,('Tax Tables'!W$144-'Tax Tables'!W$143)*'Tax Tables'!W$145,0)),IF(AND(W193&gt;='Tax Tables'!W$222,W193&lt;='Tax Tables'!W$223),(W193-'Tax Tables'!W$222)*'Tax Tables'!W$224,IF(W193&gt;='Tax Tables'!W$223,('Tax Tables'!W$223-'Tax Tables'!W$222)*'Tax Tables'!W$224,0))),IF(AND(W193&gt;='Tax Tables'!W$222,W193&lt;='Tax Tables'!W$223),(W193-'Tax Tables'!W$222)*'Tax Tables'!W$224,IF(W193&gt;='Tax Tables'!W$223,('Tax Tables'!W$223-'Tax Tables'!W$222)*'Tax Tables'!W$224,0))),0)/Round_To,0)*Round_To</f>
        <v>7700</v>
      </c>
      <c r="X196" s="1124">
        <f>ROUND(IF(Exclude_Taxes="n",IF(Filing_Status="m",IF(OR(X7&lt;Single_Rate_Start,Single_Rate_Start=""),IF(AND(X193&gt;='Tax Tables'!X$143,X193&lt;='Tax Tables'!X$144),(X193-'Tax Tables'!X$143)*'Tax Tables'!X$145,IF(X193&gt;='Tax Tables'!X$144,('Tax Tables'!X$144-'Tax Tables'!X$143)*'Tax Tables'!X$145,0)),IF(AND(X193&gt;='Tax Tables'!X$222,X193&lt;='Tax Tables'!X$223),(X193-'Tax Tables'!X$222)*'Tax Tables'!X$224,IF(X193&gt;='Tax Tables'!X$223,('Tax Tables'!X$223-'Tax Tables'!X$222)*'Tax Tables'!X$224,0))),IF(AND(X193&gt;='Tax Tables'!X$222,X193&lt;='Tax Tables'!X$223),(X193-'Tax Tables'!X$222)*'Tax Tables'!X$224,IF(X193&gt;='Tax Tables'!X$223,('Tax Tables'!X$223-'Tax Tables'!X$222)*'Tax Tables'!X$224,0))),0)/Round_To,0)*Round_To</f>
        <v>6800</v>
      </c>
      <c r="Y196" s="1124">
        <f>ROUND(IF(Exclude_Taxes="n",IF(Filing_Status="m",IF(OR(Y7&lt;Single_Rate_Start,Single_Rate_Start=""),IF(AND(Y193&gt;='Tax Tables'!Y$143,Y193&lt;='Tax Tables'!Y$144),(Y193-'Tax Tables'!Y$143)*'Tax Tables'!Y$145,IF(Y193&gt;='Tax Tables'!Y$144,('Tax Tables'!Y$144-'Tax Tables'!Y$143)*'Tax Tables'!Y$145,0)),IF(AND(Y193&gt;='Tax Tables'!Y$222,Y193&lt;='Tax Tables'!Y$223),(Y193-'Tax Tables'!Y$222)*'Tax Tables'!Y$224,IF(Y193&gt;='Tax Tables'!Y$223,('Tax Tables'!Y$223-'Tax Tables'!Y$222)*'Tax Tables'!Y$224,0))),IF(AND(Y193&gt;='Tax Tables'!Y$222,Y193&lt;='Tax Tables'!Y$223),(Y193-'Tax Tables'!Y$222)*'Tax Tables'!Y$224,IF(Y193&gt;='Tax Tables'!Y$223,('Tax Tables'!Y$223-'Tax Tables'!Y$222)*'Tax Tables'!Y$224,0))),0)/Round_To,0)*Round_To</f>
        <v>7000</v>
      </c>
      <c r="Z196" s="1124">
        <f>ROUND(IF(Exclude_Taxes="n",IF(Filing_Status="m",IF(OR(Z7&lt;Single_Rate_Start,Single_Rate_Start=""),IF(AND(Z193&gt;='Tax Tables'!Z$143,Z193&lt;='Tax Tables'!Z$144),(Z193-'Tax Tables'!Z$143)*'Tax Tables'!Z$145,IF(Z193&gt;='Tax Tables'!Z$144,('Tax Tables'!Z$144-'Tax Tables'!Z$143)*'Tax Tables'!Z$145,0)),IF(AND(Z193&gt;='Tax Tables'!Z$222,Z193&lt;='Tax Tables'!Z$223),(Z193-'Tax Tables'!Z$222)*'Tax Tables'!Z$224,IF(Z193&gt;='Tax Tables'!Z$223,('Tax Tables'!Z$223-'Tax Tables'!Z$222)*'Tax Tables'!Z$224,0))),IF(AND(Z193&gt;='Tax Tables'!Z$222,Z193&lt;='Tax Tables'!Z$223),(Z193-'Tax Tables'!Z$222)*'Tax Tables'!Z$224,IF(Z193&gt;='Tax Tables'!Z$223,('Tax Tables'!Z$223-'Tax Tables'!Z$222)*'Tax Tables'!Z$224,0))),0)/Round_To,0)*Round_To</f>
        <v>7300</v>
      </c>
      <c r="AA196" s="1124">
        <f>ROUND(IF(Exclude_Taxes="n",IF(Filing_Status="m",IF(OR(AA7&lt;Single_Rate_Start,Single_Rate_Start=""),IF(AND(AA193&gt;='Tax Tables'!AA$143,AA193&lt;='Tax Tables'!AA$144),(AA193-'Tax Tables'!AA$143)*'Tax Tables'!AA$145,IF(AA193&gt;='Tax Tables'!AA$144,('Tax Tables'!AA$144-'Tax Tables'!AA$143)*'Tax Tables'!AA$145,0)),IF(AND(AA193&gt;='Tax Tables'!AA$222,AA193&lt;='Tax Tables'!AA$223),(AA193-'Tax Tables'!AA$222)*'Tax Tables'!AA$224,IF(AA193&gt;='Tax Tables'!AA$223,('Tax Tables'!AA$223-'Tax Tables'!AA$222)*'Tax Tables'!AA$224,0))),IF(AND(AA193&gt;='Tax Tables'!AA$222,AA193&lt;='Tax Tables'!AA$223),(AA193-'Tax Tables'!AA$222)*'Tax Tables'!AA$224,IF(AA193&gt;='Tax Tables'!AA$223,('Tax Tables'!AA$223-'Tax Tables'!AA$222)*'Tax Tables'!AA$224,0))),0)/Round_To,0)*Round_To</f>
        <v>7700</v>
      </c>
      <c r="AB196" s="1124">
        <f>ROUND(IF(Exclude_Taxes="n",IF(Filing_Status="m",IF(OR(AB7&lt;Single_Rate_Start,Single_Rate_Start=""),IF(AND(AB193&gt;='Tax Tables'!AB$143,AB193&lt;='Tax Tables'!AB$144),(AB193-'Tax Tables'!AB$143)*'Tax Tables'!AB$145,IF(AB193&gt;='Tax Tables'!AB$144,('Tax Tables'!AB$144-'Tax Tables'!AB$143)*'Tax Tables'!AB$145,0)),IF(AND(AB193&gt;='Tax Tables'!AB$222,AB193&lt;='Tax Tables'!AB$223),(AB193-'Tax Tables'!AB$222)*'Tax Tables'!AB$224,IF(AB193&gt;='Tax Tables'!AB$223,('Tax Tables'!AB$223-'Tax Tables'!AB$222)*'Tax Tables'!AB$224,0))),IF(AND(AB193&gt;='Tax Tables'!AB$222,AB193&lt;='Tax Tables'!AB$223),(AB193-'Tax Tables'!AB$222)*'Tax Tables'!AB$224,IF(AB193&gt;='Tax Tables'!AB$223,('Tax Tables'!AB$223-'Tax Tables'!AB$222)*'Tax Tables'!AB$224,0))),0)/Round_To,0)*Round_To</f>
        <v>8100</v>
      </c>
      <c r="AC196" s="1124">
        <f>ROUND(IF(Exclude_Taxes="n",IF(Filing_Status="m",IF(OR(AC7&lt;Single_Rate_Start,Single_Rate_Start=""),IF(AND(AC193&gt;='Tax Tables'!AC$143,AC193&lt;='Tax Tables'!AC$144),(AC193-'Tax Tables'!AC$143)*'Tax Tables'!AC$145,IF(AC193&gt;='Tax Tables'!AC$144,('Tax Tables'!AC$144-'Tax Tables'!AC$143)*'Tax Tables'!AC$145,0)),IF(AND(AC193&gt;='Tax Tables'!AC$222,AC193&lt;='Tax Tables'!AC$223),(AC193-'Tax Tables'!AC$222)*'Tax Tables'!AC$224,IF(AC193&gt;='Tax Tables'!AC$223,('Tax Tables'!AC$223-'Tax Tables'!AC$222)*'Tax Tables'!AC$224,0))),IF(AND(AC193&gt;='Tax Tables'!AC$222,AC193&lt;='Tax Tables'!AC$223),(AC193-'Tax Tables'!AC$222)*'Tax Tables'!AC$224,IF(AC193&gt;='Tax Tables'!AC$223,('Tax Tables'!AC$223-'Tax Tables'!AC$222)*'Tax Tables'!AC$224,0))),0)/Round_To,0)*Round_To</f>
        <v>9000</v>
      </c>
      <c r="AD196" s="1124">
        <f>ROUND(IF(Exclude_Taxes="n",IF(Filing_Status="m",IF(OR(AD7&lt;Single_Rate_Start,Single_Rate_Start=""),IF(AND(AD193&gt;='Tax Tables'!AD$143,AD193&lt;='Tax Tables'!AD$144),(AD193-'Tax Tables'!AD$143)*'Tax Tables'!AD$145,IF(AD193&gt;='Tax Tables'!AD$144,('Tax Tables'!AD$144-'Tax Tables'!AD$143)*'Tax Tables'!AD$145,0)),IF(AND(AD193&gt;='Tax Tables'!AD$222,AD193&lt;='Tax Tables'!AD$223),(AD193-'Tax Tables'!AD$222)*'Tax Tables'!AD$224,IF(AD193&gt;='Tax Tables'!AD$223,('Tax Tables'!AD$223-'Tax Tables'!AD$222)*'Tax Tables'!AD$224,0))),IF(AND(AD193&gt;='Tax Tables'!AD$222,AD193&lt;='Tax Tables'!AD$223),(AD193-'Tax Tables'!AD$222)*'Tax Tables'!AD$224,IF(AD193&gt;='Tax Tables'!AD$223,('Tax Tables'!AD$223-'Tax Tables'!AD$222)*'Tax Tables'!AD$224,0))),0)/Round_To,0)*Round_To</f>
        <v>6100</v>
      </c>
      <c r="AE196" s="1124">
        <f>ROUND(IF(Exclude_Taxes="n",IF(Filing_Status="m",IF(OR(AE7&lt;Single_Rate_Start,Single_Rate_Start=""),IF(AND(AE193&gt;='Tax Tables'!AE$143,AE193&lt;='Tax Tables'!AE$144),(AE193-'Tax Tables'!AE$143)*'Tax Tables'!AE$145,IF(AE193&gt;='Tax Tables'!AE$144,('Tax Tables'!AE$144-'Tax Tables'!AE$143)*'Tax Tables'!AE$145,0)),IF(AND(AE193&gt;='Tax Tables'!AE$222,AE193&lt;='Tax Tables'!AE$223),(AE193-'Tax Tables'!AE$222)*'Tax Tables'!AE$224,IF(AE193&gt;='Tax Tables'!AE$223,('Tax Tables'!AE$223-'Tax Tables'!AE$222)*'Tax Tables'!AE$224,0))),IF(AND(AE193&gt;='Tax Tables'!AE$222,AE193&lt;='Tax Tables'!AE$223),(AE193-'Tax Tables'!AE$222)*'Tax Tables'!AE$224,IF(AE193&gt;='Tax Tables'!AE$223,('Tax Tables'!AE$223-'Tax Tables'!AE$222)*'Tax Tables'!AE$224,0))),0)/Round_To,0)*Round_To</f>
        <v>6200</v>
      </c>
      <c r="AF196" s="1124">
        <f>ROUND(IF(Exclude_Taxes="n",IF(Filing_Status="m",IF(OR(AF7&lt;Single_Rate_Start,Single_Rate_Start=""),IF(AND(AF193&gt;='Tax Tables'!AF$143,AF193&lt;='Tax Tables'!AF$144),(AF193-'Tax Tables'!AF$143)*'Tax Tables'!AF$145,IF(AF193&gt;='Tax Tables'!AF$144,('Tax Tables'!AF$144-'Tax Tables'!AF$143)*'Tax Tables'!AF$145,0)),IF(AND(AF193&gt;='Tax Tables'!AF$222,AF193&lt;='Tax Tables'!AF$223),(AF193-'Tax Tables'!AF$222)*'Tax Tables'!AF$224,IF(AF193&gt;='Tax Tables'!AF$223,('Tax Tables'!AF$223-'Tax Tables'!AF$222)*'Tax Tables'!AF$224,0))),IF(AND(AF193&gt;='Tax Tables'!AF$222,AF193&lt;='Tax Tables'!AF$223),(AF193-'Tax Tables'!AF$222)*'Tax Tables'!AF$224,IF(AF193&gt;='Tax Tables'!AF$223,('Tax Tables'!AF$223-'Tax Tables'!AF$222)*'Tax Tables'!AF$224,0))),0)/Round_To,0)*Round_To</f>
        <v>6300</v>
      </c>
      <c r="AG196" s="1124">
        <f>ROUND(IF(Exclude_Taxes="n",IF(Filing_Status="m",IF(OR(AG7&lt;Single_Rate_Start,Single_Rate_Start=""),IF(AND(AG193&gt;='Tax Tables'!AG$143,AG193&lt;='Tax Tables'!AG$144),(AG193-'Tax Tables'!AG$143)*'Tax Tables'!AG$145,IF(AG193&gt;='Tax Tables'!AG$144,('Tax Tables'!AG$144-'Tax Tables'!AG$143)*'Tax Tables'!AG$145,0)),IF(AND(AG193&gt;='Tax Tables'!AG$222,AG193&lt;='Tax Tables'!AG$223),(AG193-'Tax Tables'!AG$222)*'Tax Tables'!AG$224,IF(AG193&gt;='Tax Tables'!AG$223,('Tax Tables'!AG$223-'Tax Tables'!AG$222)*'Tax Tables'!AG$224,0))),IF(AND(AG193&gt;='Tax Tables'!AG$222,AG193&lt;='Tax Tables'!AG$223),(AG193-'Tax Tables'!AG$222)*'Tax Tables'!AG$224,IF(AG193&gt;='Tax Tables'!AG$223,('Tax Tables'!AG$223-'Tax Tables'!AG$222)*'Tax Tables'!AG$224,0))),0)/Round_To,0)*Round_To</f>
        <v>6500</v>
      </c>
      <c r="AH196" s="1124">
        <f>ROUND(IF(Exclude_Taxes="n",IF(Filing_Status="m",IF(OR(AH7&lt;Single_Rate_Start,Single_Rate_Start=""),IF(AND(AH193&gt;='Tax Tables'!AH$143,AH193&lt;='Tax Tables'!AH$144),(AH193-'Tax Tables'!AH$143)*'Tax Tables'!AH$145,IF(AH193&gt;='Tax Tables'!AH$144,('Tax Tables'!AH$144-'Tax Tables'!AH$143)*'Tax Tables'!AH$145,0)),IF(AND(AH193&gt;='Tax Tables'!AH$222,AH193&lt;='Tax Tables'!AH$223),(AH193-'Tax Tables'!AH$222)*'Tax Tables'!AH$224,IF(AH193&gt;='Tax Tables'!AH$223,('Tax Tables'!AH$223-'Tax Tables'!AH$222)*'Tax Tables'!AH$224,0))),IF(AND(AH193&gt;='Tax Tables'!AH$222,AH193&lt;='Tax Tables'!AH$223),(AH193-'Tax Tables'!AH$222)*'Tax Tables'!AH$224,IF(AH193&gt;='Tax Tables'!AH$223,('Tax Tables'!AH$223-'Tax Tables'!AH$222)*'Tax Tables'!AH$224,0))),0)/Round_To,0)*Round_To</f>
        <v>6600</v>
      </c>
      <c r="AI196" s="1124">
        <f>ROUND(IF(Exclude_Taxes="n",IF(Filing_Status="m",IF(OR(AI7&lt;Single_Rate_Start,Single_Rate_Start=""),IF(AND(AI193&gt;='Tax Tables'!AI$143,AI193&lt;='Tax Tables'!AI$144),(AI193-'Tax Tables'!AI$143)*'Tax Tables'!AI$145,IF(AI193&gt;='Tax Tables'!AI$144,('Tax Tables'!AI$144-'Tax Tables'!AI$143)*'Tax Tables'!AI$145,0)),IF(AND(AI193&gt;='Tax Tables'!AI$222,AI193&lt;='Tax Tables'!AI$223),(AI193-'Tax Tables'!AI$222)*'Tax Tables'!AI$224,IF(AI193&gt;='Tax Tables'!AI$223,('Tax Tables'!AI$223-'Tax Tables'!AI$222)*'Tax Tables'!AI$224,0))),IF(AND(AI193&gt;='Tax Tables'!AI$222,AI193&lt;='Tax Tables'!AI$223),(AI193-'Tax Tables'!AI$222)*'Tax Tables'!AI$224,IF(AI193&gt;='Tax Tables'!AI$223,('Tax Tables'!AI$223-'Tax Tables'!AI$222)*'Tax Tables'!AI$224,0))),0)/Round_To,0)*Round_To</f>
        <v>6700</v>
      </c>
      <c r="AJ196" s="1124">
        <f>ROUND(IF(Exclude_Taxes="n",IF(Filing_Status="m",IF(OR(AJ7&lt;Single_Rate_Start,Single_Rate_Start=""),IF(AND(AJ193&gt;='Tax Tables'!AJ$143,AJ193&lt;='Tax Tables'!AJ$144),(AJ193-'Tax Tables'!AJ$143)*'Tax Tables'!AJ$145,IF(AJ193&gt;='Tax Tables'!AJ$144,('Tax Tables'!AJ$144-'Tax Tables'!AJ$143)*'Tax Tables'!AJ$145,0)),IF(AND(AJ193&gt;='Tax Tables'!AJ$222,AJ193&lt;='Tax Tables'!AJ$223),(AJ193-'Tax Tables'!AJ$222)*'Tax Tables'!AJ$224,IF(AJ193&gt;='Tax Tables'!AJ$223,('Tax Tables'!AJ$223-'Tax Tables'!AJ$222)*'Tax Tables'!AJ$224,0))),IF(AND(AJ193&gt;='Tax Tables'!AJ$222,AJ193&lt;='Tax Tables'!AJ$223),(AJ193-'Tax Tables'!AJ$222)*'Tax Tables'!AJ$224,IF(AJ193&gt;='Tax Tables'!AJ$223,('Tax Tables'!AJ$223-'Tax Tables'!AJ$222)*'Tax Tables'!AJ$224,0))),0)/Round_To,0)*Round_To</f>
        <v>0</v>
      </c>
      <c r="AK196" s="1124">
        <f>ROUND(IF(Exclude_Taxes="n",IF(Filing_Status="m",IF(OR(AK7&lt;Single_Rate_Start,Single_Rate_Start=""),IF(AND(AK193&gt;='Tax Tables'!AK$143,AK193&lt;='Tax Tables'!AK$144),(AK193-'Tax Tables'!AK$143)*'Tax Tables'!AK$145,IF(AK193&gt;='Tax Tables'!AK$144,('Tax Tables'!AK$144-'Tax Tables'!AK$143)*'Tax Tables'!AK$145,0)),IF(AND(AK193&gt;='Tax Tables'!AK$222,AK193&lt;='Tax Tables'!AK$223),(AK193-'Tax Tables'!AK$222)*'Tax Tables'!AK$224,IF(AK193&gt;='Tax Tables'!AK$223,('Tax Tables'!AK$223-'Tax Tables'!AK$222)*'Tax Tables'!AK$224,0))),IF(AND(AK193&gt;='Tax Tables'!AK$222,AK193&lt;='Tax Tables'!AK$223),(AK193-'Tax Tables'!AK$222)*'Tax Tables'!AK$224,IF(AK193&gt;='Tax Tables'!AK$223,('Tax Tables'!AK$223-'Tax Tables'!AK$222)*'Tax Tables'!AK$224,0))),0)/Round_To,0)*Round_To</f>
        <v>0</v>
      </c>
      <c r="AL196" s="1124">
        <f>ROUND(IF(Exclude_Taxes="n",IF(Filing_Status="m",IF(OR(AL7&lt;Single_Rate_Start,Single_Rate_Start=""),IF(AND(AL193&gt;='Tax Tables'!AL$143,AL193&lt;='Tax Tables'!AL$144),(AL193-'Tax Tables'!AL$143)*'Tax Tables'!AL$145,IF(AL193&gt;='Tax Tables'!AL$144,('Tax Tables'!AL$144-'Tax Tables'!AL$143)*'Tax Tables'!AL$145,0)),IF(AND(AL193&gt;='Tax Tables'!AL$222,AL193&lt;='Tax Tables'!AL$223),(AL193-'Tax Tables'!AL$222)*'Tax Tables'!AL$224,IF(AL193&gt;='Tax Tables'!AL$223,('Tax Tables'!AL$223-'Tax Tables'!AL$222)*'Tax Tables'!AL$224,0))),IF(AND(AL193&gt;='Tax Tables'!AL$222,AL193&lt;='Tax Tables'!AL$223),(AL193-'Tax Tables'!AL$222)*'Tax Tables'!AL$224,IF(AL193&gt;='Tax Tables'!AL$223,('Tax Tables'!AL$223-'Tax Tables'!AL$222)*'Tax Tables'!AL$224,0))),0)/Round_To,0)*Round_To</f>
        <v>0</v>
      </c>
      <c r="AM196" s="1124">
        <f>ROUND(IF(Exclude_Taxes="n",IF(Filing_Status="m",IF(OR(AM7&lt;Single_Rate_Start,Single_Rate_Start=""),IF(AND(AM193&gt;='Tax Tables'!AM$143,AM193&lt;='Tax Tables'!AM$144),(AM193-'Tax Tables'!AM$143)*'Tax Tables'!AM$145,IF(AM193&gt;='Tax Tables'!AM$144,('Tax Tables'!AM$144-'Tax Tables'!AM$143)*'Tax Tables'!AM$145,0)),IF(AND(AM193&gt;='Tax Tables'!AM$222,AM193&lt;='Tax Tables'!AM$223),(AM193-'Tax Tables'!AM$222)*'Tax Tables'!AM$224,IF(AM193&gt;='Tax Tables'!AM$223,('Tax Tables'!AM$223-'Tax Tables'!AM$222)*'Tax Tables'!AM$224,0))),IF(AND(AM193&gt;='Tax Tables'!AM$222,AM193&lt;='Tax Tables'!AM$223),(AM193-'Tax Tables'!AM$222)*'Tax Tables'!AM$224,IF(AM193&gt;='Tax Tables'!AM$223,('Tax Tables'!AM$223-'Tax Tables'!AM$222)*'Tax Tables'!AM$224,0))),0)/Round_To,0)*Round_To</f>
        <v>0</v>
      </c>
      <c r="AN196" s="1124">
        <f>ROUND(IF(Exclude_Taxes="n",IF(Filing_Status="m",IF(OR(AN7&lt;Single_Rate_Start,Single_Rate_Start=""),IF(AND(AN193&gt;='Tax Tables'!AN$143,AN193&lt;='Tax Tables'!AN$144),(AN193-'Tax Tables'!AN$143)*'Tax Tables'!AN$145,IF(AN193&gt;='Tax Tables'!AN$144,('Tax Tables'!AN$144-'Tax Tables'!AN$143)*'Tax Tables'!AN$145,0)),IF(AND(AN193&gt;='Tax Tables'!AN$222,AN193&lt;='Tax Tables'!AN$223),(AN193-'Tax Tables'!AN$222)*'Tax Tables'!AN$224,IF(AN193&gt;='Tax Tables'!AN$223,('Tax Tables'!AN$223-'Tax Tables'!AN$222)*'Tax Tables'!AN$224,0))),IF(AND(AN193&gt;='Tax Tables'!AN$222,AN193&lt;='Tax Tables'!AN$223),(AN193-'Tax Tables'!AN$222)*'Tax Tables'!AN$224,IF(AN193&gt;='Tax Tables'!AN$223,('Tax Tables'!AN$223-'Tax Tables'!AN$222)*'Tax Tables'!AN$224,0))),0)/Round_To,0)*Round_To</f>
        <v>0</v>
      </c>
      <c r="AO196" s="1124">
        <f>ROUND(IF(Exclude_Taxes="n",IF(Filing_Status="m",IF(OR(AO7&lt;Single_Rate_Start,Single_Rate_Start=""),IF(AND(AO193&gt;='Tax Tables'!AO$143,AO193&lt;='Tax Tables'!AO$144),(AO193-'Tax Tables'!AO$143)*'Tax Tables'!AO$145,IF(AO193&gt;='Tax Tables'!AO$144,('Tax Tables'!AO$144-'Tax Tables'!AO$143)*'Tax Tables'!AO$145,0)),IF(AND(AO193&gt;='Tax Tables'!AO$222,AO193&lt;='Tax Tables'!AO$223),(AO193-'Tax Tables'!AO$222)*'Tax Tables'!AO$224,IF(AO193&gt;='Tax Tables'!AO$223,('Tax Tables'!AO$223-'Tax Tables'!AO$222)*'Tax Tables'!AO$224,0))),IF(AND(AO193&gt;='Tax Tables'!AO$222,AO193&lt;='Tax Tables'!AO$223),(AO193-'Tax Tables'!AO$222)*'Tax Tables'!AO$224,IF(AO193&gt;='Tax Tables'!AO$223,('Tax Tables'!AO$223-'Tax Tables'!AO$222)*'Tax Tables'!AO$224,0))),0)/Round_To,0)*Round_To</f>
        <v>0</v>
      </c>
      <c r="AP196" s="1124">
        <f>ROUND(IF(Exclude_Taxes="n",IF(Filing_Status="m",IF(OR(AP7&lt;Single_Rate_Start,Single_Rate_Start=""),IF(AND(AP193&gt;='Tax Tables'!AP$143,AP193&lt;='Tax Tables'!AP$144),(AP193-'Tax Tables'!AP$143)*'Tax Tables'!AP$145,IF(AP193&gt;='Tax Tables'!AP$144,('Tax Tables'!AP$144-'Tax Tables'!AP$143)*'Tax Tables'!AP$145,0)),IF(AND(AP193&gt;='Tax Tables'!AP$222,AP193&lt;='Tax Tables'!AP$223),(AP193-'Tax Tables'!AP$222)*'Tax Tables'!AP$224,IF(AP193&gt;='Tax Tables'!AP$223,('Tax Tables'!AP$223-'Tax Tables'!AP$222)*'Tax Tables'!AP$224,0))),IF(AND(AP193&gt;='Tax Tables'!AP$222,AP193&lt;='Tax Tables'!AP$223),(AP193-'Tax Tables'!AP$222)*'Tax Tables'!AP$224,IF(AP193&gt;='Tax Tables'!AP$223,('Tax Tables'!AP$223-'Tax Tables'!AP$222)*'Tax Tables'!AP$224,0))),0)/Round_To,0)*Round_To</f>
        <v>0</v>
      </c>
      <c r="AQ196" s="1124">
        <f>ROUND(IF(Exclude_Taxes="n",IF(Filing_Status="m",IF(OR(AQ7&lt;Single_Rate_Start,Single_Rate_Start=""),IF(AND(AQ193&gt;='Tax Tables'!AQ$143,AQ193&lt;='Tax Tables'!AQ$144),(AQ193-'Tax Tables'!AQ$143)*'Tax Tables'!AQ$145,IF(AQ193&gt;='Tax Tables'!AQ$144,('Tax Tables'!AQ$144-'Tax Tables'!AQ$143)*'Tax Tables'!AQ$145,0)),IF(AND(AQ193&gt;='Tax Tables'!AQ$222,AQ193&lt;='Tax Tables'!AQ$223),(AQ193-'Tax Tables'!AQ$222)*'Tax Tables'!AQ$224,IF(AQ193&gt;='Tax Tables'!AQ$223,('Tax Tables'!AQ$223-'Tax Tables'!AQ$222)*'Tax Tables'!AQ$224,0))),IF(AND(AQ193&gt;='Tax Tables'!AQ$222,AQ193&lt;='Tax Tables'!AQ$223),(AQ193-'Tax Tables'!AQ$222)*'Tax Tables'!AQ$224,IF(AQ193&gt;='Tax Tables'!AQ$223,('Tax Tables'!AQ$223-'Tax Tables'!AQ$222)*'Tax Tables'!AQ$224,0))),0)/Round_To,0)*Round_To</f>
        <v>0</v>
      </c>
      <c r="AR196" s="1124">
        <f>ROUND(IF(Exclude_Taxes="n",IF(Filing_Status="m",IF(OR(AR7&lt;Single_Rate_Start,Single_Rate_Start=""),IF(AND(AR193&gt;='Tax Tables'!AR$143,AR193&lt;='Tax Tables'!AR$144),(AR193-'Tax Tables'!AR$143)*'Tax Tables'!AR$145,IF(AR193&gt;='Tax Tables'!AR$144,('Tax Tables'!AR$144-'Tax Tables'!AR$143)*'Tax Tables'!AR$145,0)),IF(AND(AR193&gt;='Tax Tables'!AR$222,AR193&lt;='Tax Tables'!AR$223),(AR193-'Tax Tables'!AR$222)*'Tax Tables'!AR$224,IF(AR193&gt;='Tax Tables'!AR$223,('Tax Tables'!AR$223-'Tax Tables'!AR$222)*'Tax Tables'!AR$224,0))),IF(AND(AR193&gt;='Tax Tables'!AR$222,AR193&lt;='Tax Tables'!AR$223),(AR193-'Tax Tables'!AR$222)*'Tax Tables'!AR$224,IF(AR193&gt;='Tax Tables'!AR$223,('Tax Tables'!AR$223-'Tax Tables'!AR$222)*'Tax Tables'!AR$224,0))),0)/Round_To,0)*Round_To</f>
        <v>0</v>
      </c>
      <c r="AS196" s="1124">
        <f>ROUND(IF(Exclude_Taxes="n",IF(Filing_Status="m",IF(OR(AS7&lt;Single_Rate_Start,Single_Rate_Start=""),IF(AND(AS193&gt;='Tax Tables'!AS$143,AS193&lt;='Tax Tables'!AS$144),(AS193-'Tax Tables'!AS$143)*'Tax Tables'!AS$145,IF(AS193&gt;='Tax Tables'!AS$144,('Tax Tables'!AS$144-'Tax Tables'!AS$143)*'Tax Tables'!AS$145,0)),IF(AND(AS193&gt;='Tax Tables'!AS$222,AS193&lt;='Tax Tables'!AS$223),(AS193-'Tax Tables'!AS$222)*'Tax Tables'!AS$224,IF(AS193&gt;='Tax Tables'!AS$223,('Tax Tables'!AS$223-'Tax Tables'!AS$222)*'Tax Tables'!AS$224,0))),IF(AND(AS193&gt;='Tax Tables'!AS$222,AS193&lt;='Tax Tables'!AS$223),(AS193-'Tax Tables'!AS$222)*'Tax Tables'!AS$224,IF(AS193&gt;='Tax Tables'!AS$223,('Tax Tables'!AS$223-'Tax Tables'!AS$222)*'Tax Tables'!AS$224,0))),0)/Round_To,0)*Round_To</f>
        <v>0</v>
      </c>
      <c r="AT196" s="42"/>
      <c r="AU196" s="78">
        <f>+Base!E196</f>
        <v>154200</v>
      </c>
      <c r="AV196" s="81">
        <f t="shared" si="181"/>
        <v>0</v>
      </c>
      <c r="AW196" s="29"/>
      <c r="AX196" s="49"/>
      <c r="AY196" s="49"/>
      <c r="AZ196" s="42"/>
      <c r="BA196" s="49"/>
      <c r="BB196" s="49"/>
      <c r="BC196" s="39"/>
      <c r="BD196" s="39"/>
      <c r="BE196" s="39"/>
      <c r="BF196" s="49"/>
      <c r="BG196" s="49"/>
      <c r="BH196" s="49"/>
      <c r="BI196" s="49"/>
      <c r="BJ196" s="39"/>
      <c r="BK196" s="49"/>
      <c r="BL196" s="39"/>
      <c r="BM196" s="39"/>
      <c r="BN196" s="49"/>
      <c r="BO196" s="49"/>
      <c r="BP196" s="49"/>
      <c r="BQ196" s="49"/>
      <c r="BR196" s="49"/>
      <c r="BS196" s="49"/>
      <c r="BT196" s="49"/>
      <c r="BU196" s="49"/>
      <c r="BV196" s="49"/>
      <c r="BW196" s="49"/>
      <c r="BX196" s="49"/>
      <c r="BY196" s="49"/>
      <c r="BZ196" s="49"/>
      <c r="CA196" s="44"/>
      <c r="CB196" s="49"/>
      <c r="CC196" s="49"/>
      <c r="CD196" s="49"/>
      <c r="CE196" s="49"/>
      <c r="CF196" s="49"/>
      <c r="CG196" s="49"/>
      <c r="CH196" s="49"/>
      <c r="CI196" s="49"/>
      <c r="CJ196" s="49"/>
      <c r="CK196" s="49"/>
      <c r="CL196" s="49"/>
      <c r="CM196" s="49"/>
      <c r="CN196" s="49"/>
    </row>
    <row r="197" spans="1:92" hidden="1">
      <c r="A197" s="1427" t="s">
        <v>1578</v>
      </c>
      <c r="B197" s="425"/>
      <c r="C197" s="425" t="str">
        <f>IF(Tax_Rates_Alt="y",IF(Filing_Status="m",Setup!$E$235,Setup!$H$235),"")</f>
        <v/>
      </c>
      <c r="D197" s="67">
        <f>IF(Filing_Status="m",Setup!$D$235,Setup!$G$235)</f>
        <v>0.22</v>
      </c>
      <c r="E197" s="29">
        <f t="shared" si="180"/>
        <v>54600</v>
      </c>
      <c r="F197" s="31">
        <f>ROUND(IF(Exclude_Taxes="n",IF(Filing_Status="m",IF(OR(F7&lt;Single_Rate_Start,Single_Rate_Start=""),IF(AND(F193&gt;='Tax Tables'!F$148,F193&lt;='Tax Tables'!F$149),(F193-'Tax Tables'!F$148)*'Tax Tables'!F$150,IF(F193&gt;='Tax Tables'!F$149,('Tax Tables'!F$149-'Tax Tables'!F$148)*'Tax Tables'!F$150,0)),IF(AND(F193&gt;='Tax Tables'!F$227,F193&lt;='Tax Tables'!F$228),(F193-'Tax Tables'!F$227)*'Tax Tables'!F$229,IF(F193&gt;='Tax Tables'!F$228,('Tax Tables'!F$228-'Tax Tables'!F$227)*'Tax Tables'!F$229,0))),IF(AND(F193&gt;='Tax Tables'!F$227,F193&lt;='Tax Tables'!F$228),(F193-'Tax Tables'!F$227)*'Tax Tables'!F$229,IF(F193&gt;='Tax Tables'!F$228,('Tax Tables'!F$228-'Tax Tables'!F$227)*'Tax Tables'!F$229,0))),0)/Round_To,0)*Round_To</f>
        <v>0</v>
      </c>
      <c r="G197" s="1124">
        <f>ROUND(IF(Exclude_Taxes="n",IF(Filing_Status="m",IF(OR(G7&lt;Single_Rate_Start,Single_Rate_Start=""),IF(AND(G193&gt;='Tax Tables'!G$148,G193&lt;='Tax Tables'!G$149),(G193-'Tax Tables'!G$148)*'Tax Tables'!G$150,IF(G193&gt;='Tax Tables'!G$149,('Tax Tables'!G$149-'Tax Tables'!G$148)*'Tax Tables'!G$150,0)),IF(AND(G193&gt;='Tax Tables'!G$227,G193&lt;='Tax Tables'!G$228),(G193-'Tax Tables'!G$227)*'Tax Tables'!G$229,IF(G193&gt;='Tax Tables'!G$228,('Tax Tables'!G$228-'Tax Tables'!G$227)*'Tax Tables'!G$229,0))),IF(AND(G193&gt;='Tax Tables'!G$227,G193&lt;='Tax Tables'!G$228),(G193-'Tax Tables'!G$227)*'Tax Tables'!G$229,IF(G193&gt;='Tax Tables'!G$228,('Tax Tables'!G$228-'Tax Tables'!G$227)*'Tax Tables'!G$229,0))),0)/Round_To,0)*Round_To</f>
        <v>0</v>
      </c>
      <c r="H197" s="1124">
        <f>ROUND(IF(Exclude_Taxes="n",IF(Filing_Status="m",IF(OR(H7&lt;Single_Rate_Start,Single_Rate_Start=""),IF(AND(H193&gt;='Tax Tables'!H$148,H193&lt;='Tax Tables'!H$149),(H193-'Tax Tables'!H$148)*'Tax Tables'!H$150,IF(H193&gt;='Tax Tables'!H$149,('Tax Tables'!H$149-'Tax Tables'!H$148)*'Tax Tables'!H$150,0)),IF(AND(H193&gt;='Tax Tables'!H$227,H193&lt;='Tax Tables'!H$228),(H193-'Tax Tables'!H$227)*'Tax Tables'!H$229,IF(H193&gt;='Tax Tables'!H$228,('Tax Tables'!H$228-'Tax Tables'!H$227)*'Tax Tables'!H$229,0))),IF(AND(H193&gt;='Tax Tables'!H$227,H193&lt;='Tax Tables'!H$228),(H193-'Tax Tables'!H$227)*'Tax Tables'!H$229,IF(H193&gt;='Tax Tables'!H$228,('Tax Tables'!H$228-'Tax Tables'!H$227)*'Tax Tables'!H$229,0))),0)/Round_To,0)*Round_To</f>
        <v>0</v>
      </c>
      <c r="I197" s="1124">
        <f>ROUND(IF(Exclude_Taxes="n",IF(Filing_Status="m",IF(OR(I7&lt;Single_Rate_Start,Single_Rate_Start=""),IF(AND(I193&gt;='Tax Tables'!I$148,I193&lt;='Tax Tables'!I$149),(I193-'Tax Tables'!I$148)*'Tax Tables'!I$150,IF(I193&gt;='Tax Tables'!I$149,('Tax Tables'!I$149-'Tax Tables'!I$148)*'Tax Tables'!I$150,0)),IF(AND(I193&gt;='Tax Tables'!I$227,I193&lt;='Tax Tables'!I$228),(I193-'Tax Tables'!I$227)*'Tax Tables'!I$229,IF(I193&gt;='Tax Tables'!I$228,('Tax Tables'!I$228-'Tax Tables'!I$227)*'Tax Tables'!I$229,0))),IF(AND(I193&gt;='Tax Tables'!I$227,I193&lt;='Tax Tables'!I$228),(I193-'Tax Tables'!I$227)*'Tax Tables'!I$229,IF(I193&gt;='Tax Tables'!I$228,('Tax Tables'!I$228-'Tax Tables'!I$227)*'Tax Tables'!I$229,0))),0)/Round_To,0)*Round_To</f>
        <v>0</v>
      </c>
      <c r="J197" s="1124">
        <f>ROUND(IF(Exclude_Taxes="n",IF(Filing_Status="m",IF(OR(J7&lt;Single_Rate_Start,Single_Rate_Start=""),IF(AND(J193&gt;='Tax Tables'!J$148,J193&lt;='Tax Tables'!J$149),(J193-'Tax Tables'!J$148)*'Tax Tables'!J$150,IF(J193&gt;='Tax Tables'!J$149,('Tax Tables'!J$149-'Tax Tables'!J$148)*'Tax Tables'!J$150,0)),IF(AND(J193&gt;='Tax Tables'!J$227,J193&lt;='Tax Tables'!J$228),(J193-'Tax Tables'!J$227)*'Tax Tables'!J$229,IF(J193&gt;='Tax Tables'!J$228,('Tax Tables'!J$228-'Tax Tables'!J$227)*'Tax Tables'!J$229,0))),IF(AND(J193&gt;='Tax Tables'!J$227,J193&lt;='Tax Tables'!J$228),(J193-'Tax Tables'!J$227)*'Tax Tables'!J$229,IF(J193&gt;='Tax Tables'!J$228,('Tax Tables'!J$228-'Tax Tables'!J$227)*'Tax Tables'!J$229,0))),0)/Round_To,0)*Round_To</f>
        <v>0</v>
      </c>
      <c r="K197" s="1124">
        <f>ROUND(IF(Exclude_Taxes="n",IF(Filing_Status="m",IF(OR(K7&lt;Single_Rate_Start,Single_Rate_Start=""),IF(AND(K193&gt;='Tax Tables'!K$148,K193&lt;='Tax Tables'!K$149),(K193-'Tax Tables'!K$148)*'Tax Tables'!K$150,IF(K193&gt;='Tax Tables'!K$149,('Tax Tables'!K$149-'Tax Tables'!K$148)*'Tax Tables'!K$150,0)),IF(AND(K193&gt;='Tax Tables'!K$227,K193&lt;='Tax Tables'!K$228),(K193-'Tax Tables'!K$227)*'Tax Tables'!K$229,IF(K193&gt;='Tax Tables'!K$228,('Tax Tables'!K$228-'Tax Tables'!K$227)*'Tax Tables'!K$229,0))),IF(AND(K193&gt;='Tax Tables'!K$227,K193&lt;='Tax Tables'!K$228),(K193-'Tax Tables'!K$227)*'Tax Tables'!K$229,IF(K193&gt;='Tax Tables'!K$228,('Tax Tables'!K$228-'Tax Tables'!K$227)*'Tax Tables'!K$229,0))),0)/Round_To,0)*Round_To</f>
        <v>0</v>
      </c>
      <c r="L197" s="1124">
        <f>ROUND(IF(Exclude_Taxes="n",IF(Filing_Status="m",IF(OR(L7&lt;Single_Rate_Start,Single_Rate_Start=""),IF(AND(L193&gt;='Tax Tables'!L$148,L193&lt;='Tax Tables'!L$149),(L193-'Tax Tables'!L$148)*'Tax Tables'!L$150,IF(L193&gt;='Tax Tables'!L$149,('Tax Tables'!L$149-'Tax Tables'!L$148)*'Tax Tables'!L$150,0)),IF(AND(L193&gt;='Tax Tables'!L$227,L193&lt;='Tax Tables'!L$228),(L193-'Tax Tables'!L$227)*'Tax Tables'!L$229,IF(L193&gt;='Tax Tables'!L$228,('Tax Tables'!L$228-'Tax Tables'!L$227)*'Tax Tables'!L$229,0))),IF(AND(L193&gt;='Tax Tables'!L$227,L193&lt;='Tax Tables'!L$228),(L193-'Tax Tables'!L$227)*'Tax Tables'!L$229,IF(L193&gt;='Tax Tables'!L$228,('Tax Tables'!L$228-'Tax Tables'!L$227)*'Tax Tables'!L$229,0))),0)/Round_To,0)*Round_To</f>
        <v>0</v>
      </c>
      <c r="M197" s="1124">
        <f>ROUND(IF(Exclude_Taxes="n",IF(Filing_Status="m",IF(OR(M7&lt;Single_Rate_Start,Single_Rate_Start=""),IF(AND(M193&gt;='Tax Tables'!M$148,M193&lt;='Tax Tables'!M$149),(M193-'Tax Tables'!M$148)*'Tax Tables'!M$150,IF(M193&gt;='Tax Tables'!M$149,('Tax Tables'!M$149-'Tax Tables'!M$148)*'Tax Tables'!M$150,0)),IF(AND(M193&gt;='Tax Tables'!M$227,M193&lt;='Tax Tables'!M$228),(M193-'Tax Tables'!M$227)*'Tax Tables'!M$229,IF(M193&gt;='Tax Tables'!M$228,('Tax Tables'!M$228-'Tax Tables'!M$227)*'Tax Tables'!M$229,0))),IF(AND(M193&gt;='Tax Tables'!M$227,M193&lt;='Tax Tables'!M$228),(M193-'Tax Tables'!M$227)*'Tax Tables'!M$229,IF(M193&gt;='Tax Tables'!M$228,('Tax Tables'!M$228-'Tax Tables'!M$227)*'Tax Tables'!M$229,0))),0)/Round_To,0)*Round_To</f>
        <v>0</v>
      </c>
      <c r="N197" s="1124">
        <f>ROUND(IF(Exclude_Taxes="n",IF(Filing_Status="m",IF(OR(N7&lt;Single_Rate_Start,Single_Rate_Start=""),IF(AND(N193&gt;='Tax Tables'!N$148,N193&lt;='Tax Tables'!N$149),(N193-'Tax Tables'!N$148)*'Tax Tables'!N$150,IF(N193&gt;='Tax Tables'!N$149,('Tax Tables'!N$149-'Tax Tables'!N$148)*'Tax Tables'!N$150,0)),IF(AND(N193&gt;='Tax Tables'!N$227,N193&lt;='Tax Tables'!N$228),(N193-'Tax Tables'!N$227)*'Tax Tables'!N$229,IF(N193&gt;='Tax Tables'!N$228,('Tax Tables'!N$228-'Tax Tables'!N$227)*'Tax Tables'!N$229,0))),IF(AND(N193&gt;='Tax Tables'!N$227,N193&lt;='Tax Tables'!N$228),(N193-'Tax Tables'!N$227)*'Tax Tables'!N$229,IF(N193&gt;='Tax Tables'!N$228,('Tax Tables'!N$228-'Tax Tables'!N$227)*'Tax Tables'!N$229,0))),0)/Round_To,0)*Round_To</f>
        <v>0</v>
      </c>
      <c r="O197" s="1124">
        <f>ROUND(IF(Exclude_Taxes="n",IF(Filing_Status="m",IF(OR(O7&lt;Single_Rate_Start,Single_Rate_Start=""),IF(AND(O193&gt;='Tax Tables'!O$148,O193&lt;='Tax Tables'!O$149),(O193-'Tax Tables'!O$148)*'Tax Tables'!O$150,IF(O193&gt;='Tax Tables'!O$149,('Tax Tables'!O$149-'Tax Tables'!O$148)*'Tax Tables'!O$150,0)),IF(AND(O193&gt;='Tax Tables'!O$227,O193&lt;='Tax Tables'!O$228),(O193-'Tax Tables'!O$227)*'Tax Tables'!O$229,IF(O193&gt;='Tax Tables'!O$228,('Tax Tables'!O$228-'Tax Tables'!O$227)*'Tax Tables'!O$229,0))),IF(AND(O193&gt;='Tax Tables'!O$227,O193&lt;='Tax Tables'!O$228),(O193-'Tax Tables'!O$227)*'Tax Tables'!O$229,IF(O193&gt;='Tax Tables'!O$228,('Tax Tables'!O$228-'Tax Tables'!O$227)*'Tax Tables'!O$229,0))),0)/Round_To,0)*Round_To</f>
        <v>0</v>
      </c>
      <c r="P197" s="1124">
        <f>ROUND(IF(Exclude_Taxes="n",IF(Filing_Status="m",IF(OR(P7&lt;Single_Rate_Start,Single_Rate_Start=""),IF(AND(P193&gt;='Tax Tables'!P$148,P193&lt;='Tax Tables'!P$149),(P193-'Tax Tables'!P$148)*'Tax Tables'!P$150,IF(P193&gt;='Tax Tables'!P$149,('Tax Tables'!P$149-'Tax Tables'!P$148)*'Tax Tables'!P$150,0)),IF(AND(P193&gt;='Tax Tables'!P$227,P193&lt;='Tax Tables'!P$228),(P193-'Tax Tables'!P$227)*'Tax Tables'!P$229,IF(P193&gt;='Tax Tables'!P$228,('Tax Tables'!P$228-'Tax Tables'!P$227)*'Tax Tables'!P$229,0))),IF(AND(P193&gt;='Tax Tables'!P$227,P193&lt;='Tax Tables'!P$228),(P193-'Tax Tables'!P$227)*'Tax Tables'!P$229,IF(P193&gt;='Tax Tables'!P$228,('Tax Tables'!P$228-'Tax Tables'!P$227)*'Tax Tables'!P$229,0))),0)/Round_To,0)*Round_To</f>
        <v>0</v>
      </c>
      <c r="Q197" s="1124">
        <f>ROUND(IF(Exclude_Taxes="n",IF(Filing_Status="m",IF(OR(Q7&lt;Single_Rate_Start,Single_Rate_Start=""),IF(AND(Q193&gt;='Tax Tables'!Q$148,Q193&lt;='Tax Tables'!Q$149),(Q193-'Tax Tables'!Q$148)*'Tax Tables'!Q$150,IF(Q193&gt;='Tax Tables'!Q$149,('Tax Tables'!Q$149-'Tax Tables'!Q$148)*'Tax Tables'!Q$150,0)),IF(AND(Q193&gt;='Tax Tables'!Q$227,Q193&lt;='Tax Tables'!Q$228),(Q193-'Tax Tables'!Q$227)*'Tax Tables'!Q$229,IF(Q193&gt;='Tax Tables'!Q$228,('Tax Tables'!Q$228-'Tax Tables'!Q$227)*'Tax Tables'!Q$229,0))),IF(AND(Q193&gt;='Tax Tables'!Q$227,Q193&lt;='Tax Tables'!Q$228),(Q193-'Tax Tables'!Q$227)*'Tax Tables'!Q$229,IF(Q193&gt;='Tax Tables'!Q$228,('Tax Tables'!Q$228-'Tax Tables'!Q$227)*'Tax Tables'!Q$229,0))),0)/Round_To,0)*Round_To</f>
        <v>0</v>
      </c>
      <c r="R197" s="1124">
        <f>ROUND(IF(Exclude_Taxes="n",IF(Filing_Status="m",IF(OR(R7&lt;Single_Rate_Start,Single_Rate_Start=""),IF(AND(R193&gt;='Tax Tables'!R$148,R193&lt;='Tax Tables'!R$149),(R193-'Tax Tables'!R$148)*'Tax Tables'!R$150,IF(R193&gt;='Tax Tables'!R$149,('Tax Tables'!R$149-'Tax Tables'!R$148)*'Tax Tables'!R$150,0)),IF(AND(R193&gt;='Tax Tables'!R$227,R193&lt;='Tax Tables'!R$228),(R193-'Tax Tables'!R$227)*'Tax Tables'!R$229,IF(R193&gt;='Tax Tables'!R$228,('Tax Tables'!R$228-'Tax Tables'!R$227)*'Tax Tables'!R$229,0))),IF(AND(R193&gt;='Tax Tables'!R$227,R193&lt;='Tax Tables'!R$228),(R193-'Tax Tables'!R$227)*'Tax Tables'!R$229,IF(R193&gt;='Tax Tables'!R$228,('Tax Tables'!R$228-'Tax Tables'!R$227)*'Tax Tables'!R$229,0))),0)/Round_To,0)*Round_To</f>
        <v>0</v>
      </c>
      <c r="S197" s="1124">
        <f>ROUND(IF(Exclude_Taxes="n",IF(Filing_Status="m",IF(OR(S7&lt;Single_Rate_Start,Single_Rate_Start=""),IF(AND(S193&gt;='Tax Tables'!S$148,S193&lt;='Tax Tables'!S$149),(S193-'Tax Tables'!S$148)*'Tax Tables'!S$150,IF(S193&gt;='Tax Tables'!S$149,('Tax Tables'!S$149-'Tax Tables'!S$148)*'Tax Tables'!S$150,0)),IF(AND(S193&gt;='Tax Tables'!S$227,S193&lt;='Tax Tables'!S$228),(S193-'Tax Tables'!S$227)*'Tax Tables'!S$229,IF(S193&gt;='Tax Tables'!S$228,('Tax Tables'!S$228-'Tax Tables'!S$227)*'Tax Tables'!S$229,0))),IF(AND(S193&gt;='Tax Tables'!S$227,S193&lt;='Tax Tables'!S$228),(S193-'Tax Tables'!S$227)*'Tax Tables'!S$229,IF(S193&gt;='Tax Tables'!S$228,('Tax Tables'!S$228-'Tax Tables'!S$227)*'Tax Tables'!S$229,0))),0)/Round_To,0)*Round_To</f>
        <v>0</v>
      </c>
      <c r="T197" s="1124">
        <f>ROUND(IF(Exclude_Taxes="n",IF(Filing_Status="m",IF(OR(T7&lt;Single_Rate_Start,Single_Rate_Start=""),IF(AND(T193&gt;='Tax Tables'!T$148,T193&lt;='Tax Tables'!T$149),(T193-'Tax Tables'!T$148)*'Tax Tables'!T$150,IF(T193&gt;='Tax Tables'!T$149,('Tax Tables'!T$149-'Tax Tables'!T$148)*'Tax Tables'!T$150,0)),IF(AND(T193&gt;='Tax Tables'!T$227,T193&lt;='Tax Tables'!T$228),(T193-'Tax Tables'!T$227)*'Tax Tables'!T$229,IF(T193&gt;='Tax Tables'!T$228,('Tax Tables'!T$228-'Tax Tables'!T$227)*'Tax Tables'!T$229,0))),IF(AND(T193&gt;='Tax Tables'!T$227,T193&lt;='Tax Tables'!T$228),(T193-'Tax Tables'!T$227)*'Tax Tables'!T$229,IF(T193&gt;='Tax Tables'!T$228,('Tax Tables'!T$228-'Tax Tables'!T$227)*'Tax Tables'!T$229,0))),0)/Round_To,0)*Round_To</f>
        <v>0</v>
      </c>
      <c r="U197" s="1124">
        <f>ROUND(IF(Exclude_Taxes="n",IF(Filing_Status="m",IF(OR(U7&lt;Single_Rate_Start,Single_Rate_Start=""),IF(AND(U193&gt;='Tax Tables'!U$148,U193&lt;='Tax Tables'!U$149),(U193-'Tax Tables'!U$148)*'Tax Tables'!U$150,IF(U193&gt;='Tax Tables'!U$149,('Tax Tables'!U$149-'Tax Tables'!U$148)*'Tax Tables'!U$150,0)),IF(AND(U193&gt;='Tax Tables'!U$227,U193&lt;='Tax Tables'!U$228),(U193-'Tax Tables'!U$227)*'Tax Tables'!U$229,IF(U193&gt;='Tax Tables'!U$228,('Tax Tables'!U$228-'Tax Tables'!U$227)*'Tax Tables'!U$229,0))),IF(AND(U193&gt;='Tax Tables'!U$227,U193&lt;='Tax Tables'!U$228),(U193-'Tax Tables'!U$227)*'Tax Tables'!U$229,IF(U193&gt;='Tax Tables'!U$228,('Tax Tables'!U$228-'Tax Tables'!U$227)*'Tax Tables'!U$229,0))),0)/Round_To,0)*Round_To</f>
        <v>0</v>
      </c>
      <c r="V197" s="1124">
        <f>ROUND(IF(Exclude_Taxes="n",IF(Filing_Status="m",IF(OR(V7&lt;Single_Rate_Start,Single_Rate_Start=""),IF(AND(V193&gt;='Tax Tables'!V$148,V193&lt;='Tax Tables'!V$149),(V193-'Tax Tables'!V$148)*'Tax Tables'!V$150,IF(V193&gt;='Tax Tables'!V$149,('Tax Tables'!V$149-'Tax Tables'!V$148)*'Tax Tables'!V$150,0)),IF(AND(V193&gt;='Tax Tables'!V$227,V193&lt;='Tax Tables'!V$228),(V193-'Tax Tables'!V$227)*'Tax Tables'!V$229,IF(V193&gt;='Tax Tables'!V$228,('Tax Tables'!V$228-'Tax Tables'!V$227)*'Tax Tables'!V$229,0))),IF(AND(V193&gt;='Tax Tables'!V$227,V193&lt;='Tax Tables'!V$228),(V193-'Tax Tables'!V$227)*'Tax Tables'!V$229,IF(V193&gt;='Tax Tables'!V$228,('Tax Tables'!V$228-'Tax Tables'!V$227)*'Tax Tables'!V$229,0))),0)/Round_To,0)*Round_To</f>
        <v>0</v>
      </c>
      <c r="W197" s="1124">
        <f>ROUND(IF(Exclude_Taxes="n",IF(Filing_Status="m",IF(OR(W7&lt;Single_Rate_Start,Single_Rate_Start=""),IF(AND(W193&gt;='Tax Tables'!W$148,W193&lt;='Tax Tables'!W$149),(W193-'Tax Tables'!W$148)*'Tax Tables'!W$150,IF(W193&gt;='Tax Tables'!W$149,('Tax Tables'!W$149-'Tax Tables'!W$148)*'Tax Tables'!W$150,0)),IF(AND(W193&gt;='Tax Tables'!W$227,W193&lt;='Tax Tables'!W$228),(W193-'Tax Tables'!W$227)*'Tax Tables'!W$229,IF(W193&gt;='Tax Tables'!W$228,('Tax Tables'!W$228-'Tax Tables'!W$227)*'Tax Tables'!W$229,0))),IF(AND(W193&gt;='Tax Tables'!W$227,W193&lt;='Tax Tables'!W$228),(W193-'Tax Tables'!W$227)*'Tax Tables'!W$229,IF(W193&gt;='Tax Tables'!W$228,('Tax Tables'!W$228-'Tax Tables'!W$227)*'Tax Tables'!W$229,0))),0)/Round_To,0)*Round_To</f>
        <v>0</v>
      </c>
      <c r="X197" s="1124">
        <f>ROUND(IF(Exclude_Taxes="n",IF(Filing_Status="m",IF(OR(X7&lt;Single_Rate_Start,Single_Rate_Start=""),IF(AND(X193&gt;='Tax Tables'!X$148,X193&lt;='Tax Tables'!X$149),(X193-'Tax Tables'!X$148)*'Tax Tables'!X$150,IF(X193&gt;='Tax Tables'!X$149,('Tax Tables'!X$149-'Tax Tables'!X$148)*'Tax Tables'!X$150,0)),IF(AND(X193&gt;='Tax Tables'!X$227,X193&lt;='Tax Tables'!X$228),(X193-'Tax Tables'!X$227)*'Tax Tables'!X$229,IF(X193&gt;='Tax Tables'!X$228,('Tax Tables'!X$228-'Tax Tables'!X$227)*'Tax Tables'!X$229,0))),IF(AND(X193&gt;='Tax Tables'!X$227,X193&lt;='Tax Tables'!X$228),(X193-'Tax Tables'!X$227)*'Tax Tables'!X$229,IF(X193&gt;='Tax Tables'!X$228,('Tax Tables'!X$228-'Tax Tables'!X$227)*'Tax Tables'!X$229,0))),0)/Round_To,0)*Round_To</f>
        <v>0</v>
      </c>
      <c r="Y197" s="1124">
        <f>ROUND(IF(Exclude_Taxes="n",IF(Filing_Status="m",IF(OR(Y7&lt;Single_Rate_Start,Single_Rate_Start=""),IF(AND(Y193&gt;='Tax Tables'!Y$148,Y193&lt;='Tax Tables'!Y$149),(Y193-'Tax Tables'!Y$148)*'Tax Tables'!Y$150,IF(Y193&gt;='Tax Tables'!Y$149,('Tax Tables'!Y$149-'Tax Tables'!Y$148)*'Tax Tables'!Y$150,0)),IF(AND(Y193&gt;='Tax Tables'!Y$227,Y193&lt;='Tax Tables'!Y$228),(Y193-'Tax Tables'!Y$227)*'Tax Tables'!Y$229,IF(Y193&gt;='Tax Tables'!Y$228,('Tax Tables'!Y$228-'Tax Tables'!Y$227)*'Tax Tables'!Y$229,0))),IF(AND(Y193&gt;='Tax Tables'!Y$227,Y193&lt;='Tax Tables'!Y$228),(Y193-'Tax Tables'!Y$227)*'Tax Tables'!Y$229,IF(Y193&gt;='Tax Tables'!Y$228,('Tax Tables'!Y$228-'Tax Tables'!Y$227)*'Tax Tables'!Y$229,0))),0)/Round_To,0)*Round_To</f>
        <v>0</v>
      </c>
      <c r="Z197" s="1124">
        <f>ROUND(IF(Exclude_Taxes="n",IF(Filing_Status="m",IF(OR(Z7&lt;Single_Rate_Start,Single_Rate_Start=""),IF(AND(Z193&gt;='Tax Tables'!Z$148,Z193&lt;='Tax Tables'!Z$149),(Z193-'Tax Tables'!Z$148)*'Tax Tables'!Z$150,IF(Z193&gt;='Tax Tables'!Z$149,('Tax Tables'!Z$149-'Tax Tables'!Z$148)*'Tax Tables'!Z$150,0)),IF(AND(Z193&gt;='Tax Tables'!Z$227,Z193&lt;='Tax Tables'!Z$228),(Z193-'Tax Tables'!Z$227)*'Tax Tables'!Z$229,IF(Z193&gt;='Tax Tables'!Z$228,('Tax Tables'!Z$228-'Tax Tables'!Z$227)*'Tax Tables'!Z$229,0))),IF(AND(Z193&gt;='Tax Tables'!Z$227,Z193&lt;='Tax Tables'!Z$228),(Z193-'Tax Tables'!Z$227)*'Tax Tables'!Z$229,IF(Z193&gt;='Tax Tables'!Z$228,('Tax Tables'!Z$228-'Tax Tables'!Z$227)*'Tax Tables'!Z$229,0))),0)/Round_To,0)*Round_To</f>
        <v>0</v>
      </c>
      <c r="AA197" s="1124">
        <f>ROUND(IF(Exclude_Taxes="n",IF(Filing_Status="m",IF(OR(AA7&lt;Single_Rate_Start,Single_Rate_Start=""),IF(AND(AA193&gt;='Tax Tables'!AA$148,AA193&lt;='Tax Tables'!AA$149),(AA193-'Tax Tables'!AA$148)*'Tax Tables'!AA$150,IF(AA193&gt;='Tax Tables'!AA$149,('Tax Tables'!AA$149-'Tax Tables'!AA$148)*'Tax Tables'!AA$150,0)),IF(AND(AA193&gt;='Tax Tables'!AA$227,AA193&lt;='Tax Tables'!AA$228),(AA193-'Tax Tables'!AA$227)*'Tax Tables'!AA$229,IF(AA193&gt;='Tax Tables'!AA$228,('Tax Tables'!AA$228-'Tax Tables'!AA$227)*'Tax Tables'!AA$229,0))),IF(AND(AA193&gt;='Tax Tables'!AA$227,AA193&lt;='Tax Tables'!AA$228),(AA193-'Tax Tables'!AA$227)*'Tax Tables'!AA$229,IF(AA193&gt;='Tax Tables'!AA$228,('Tax Tables'!AA$228-'Tax Tables'!AA$227)*'Tax Tables'!AA$229,0))),0)/Round_To,0)*Round_To</f>
        <v>0</v>
      </c>
      <c r="AB197" s="1124">
        <f>ROUND(IF(Exclude_Taxes="n",IF(Filing_Status="m",IF(OR(AB7&lt;Single_Rate_Start,Single_Rate_Start=""),IF(AND(AB193&gt;='Tax Tables'!AB$148,AB193&lt;='Tax Tables'!AB$149),(AB193-'Tax Tables'!AB$148)*'Tax Tables'!AB$150,IF(AB193&gt;='Tax Tables'!AB$149,('Tax Tables'!AB$149-'Tax Tables'!AB$148)*'Tax Tables'!AB$150,0)),IF(AND(AB193&gt;='Tax Tables'!AB$227,AB193&lt;='Tax Tables'!AB$228),(AB193-'Tax Tables'!AB$227)*'Tax Tables'!AB$229,IF(AB193&gt;='Tax Tables'!AB$228,('Tax Tables'!AB$228-'Tax Tables'!AB$227)*'Tax Tables'!AB$229,0))),IF(AND(AB193&gt;='Tax Tables'!AB$227,AB193&lt;='Tax Tables'!AB$228),(AB193-'Tax Tables'!AB$227)*'Tax Tables'!AB$229,IF(AB193&gt;='Tax Tables'!AB$228,('Tax Tables'!AB$228-'Tax Tables'!AB$227)*'Tax Tables'!AB$229,0))),0)/Round_To,0)*Round_To</f>
        <v>0</v>
      </c>
      <c r="AC197" s="1124">
        <f>ROUND(IF(Exclude_Taxes="n",IF(Filing_Status="m",IF(OR(AC7&lt;Single_Rate_Start,Single_Rate_Start=""),IF(AND(AC193&gt;='Tax Tables'!AC$148,AC193&lt;='Tax Tables'!AC$149),(AC193-'Tax Tables'!AC$148)*'Tax Tables'!AC$150,IF(AC193&gt;='Tax Tables'!AC$149,('Tax Tables'!AC$149-'Tax Tables'!AC$148)*'Tax Tables'!AC$150,0)),IF(AND(AC193&gt;='Tax Tables'!AC$227,AC193&lt;='Tax Tables'!AC$228),(AC193-'Tax Tables'!AC$227)*'Tax Tables'!AC$229,IF(AC193&gt;='Tax Tables'!AC$228,('Tax Tables'!AC$228-'Tax Tables'!AC$227)*'Tax Tables'!AC$229,0))),IF(AND(AC193&gt;='Tax Tables'!AC$227,AC193&lt;='Tax Tables'!AC$228),(AC193-'Tax Tables'!AC$227)*'Tax Tables'!AC$229,IF(AC193&gt;='Tax Tables'!AC$228,('Tax Tables'!AC$228-'Tax Tables'!AC$227)*'Tax Tables'!AC$229,0))),0)/Round_To,0)*Round_To</f>
        <v>0</v>
      </c>
      <c r="AD197" s="1124">
        <f>ROUND(IF(Exclude_Taxes="n",IF(Filing_Status="m",IF(OR(AD7&lt;Single_Rate_Start,Single_Rate_Start=""),IF(AND(AD193&gt;='Tax Tables'!AD$148,AD193&lt;='Tax Tables'!AD$149),(AD193-'Tax Tables'!AD$148)*'Tax Tables'!AD$150,IF(AD193&gt;='Tax Tables'!AD$149,('Tax Tables'!AD$149-'Tax Tables'!AD$148)*'Tax Tables'!AD$150,0)),IF(AND(AD193&gt;='Tax Tables'!AD$227,AD193&lt;='Tax Tables'!AD$228),(AD193-'Tax Tables'!AD$227)*'Tax Tables'!AD$229,IF(AD193&gt;='Tax Tables'!AD$228,('Tax Tables'!AD$228-'Tax Tables'!AD$227)*'Tax Tables'!AD$229,0))),IF(AND(AD193&gt;='Tax Tables'!AD$227,AD193&lt;='Tax Tables'!AD$228),(AD193-'Tax Tables'!AD$227)*'Tax Tables'!AD$229,IF(AD193&gt;='Tax Tables'!AD$228,('Tax Tables'!AD$228-'Tax Tables'!AD$227)*'Tax Tables'!AD$229,0))),0)/Round_To,0)*Round_To</f>
        <v>9500</v>
      </c>
      <c r="AE197" s="1124">
        <f>ROUND(IF(Exclude_Taxes="n",IF(Filing_Status="m",IF(OR(AE7&lt;Single_Rate_Start,Single_Rate_Start=""),IF(AND(AE193&gt;='Tax Tables'!AE$148,AE193&lt;='Tax Tables'!AE$149),(AE193-'Tax Tables'!AE$148)*'Tax Tables'!AE$150,IF(AE193&gt;='Tax Tables'!AE$149,('Tax Tables'!AE$149-'Tax Tables'!AE$148)*'Tax Tables'!AE$150,0)),IF(AND(AE193&gt;='Tax Tables'!AE$227,AE193&lt;='Tax Tables'!AE$228),(AE193-'Tax Tables'!AE$227)*'Tax Tables'!AE$229,IF(AE193&gt;='Tax Tables'!AE$228,('Tax Tables'!AE$228-'Tax Tables'!AE$227)*'Tax Tables'!AE$229,0))),IF(AND(AE193&gt;='Tax Tables'!AE$227,AE193&lt;='Tax Tables'!AE$228),(AE193-'Tax Tables'!AE$227)*'Tax Tables'!AE$229,IF(AE193&gt;='Tax Tables'!AE$228,('Tax Tables'!AE$228-'Tax Tables'!AE$227)*'Tax Tables'!AE$229,0))),0)/Round_To,0)*Round_To</f>
        <v>10100</v>
      </c>
      <c r="AF197" s="1124">
        <f>ROUND(IF(Exclude_Taxes="n",IF(Filing_Status="m",IF(OR(AF7&lt;Single_Rate_Start,Single_Rate_Start=""),IF(AND(AF193&gt;='Tax Tables'!AF$148,AF193&lt;='Tax Tables'!AF$149),(AF193-'Tax Tables'!AF$148)*'Tax Tables'!AF$150,IF(AF193&gt;='Tax Tables'!AF$149,('Tax Tables'!AF$149-'Tax Tables'!AF$148)*'Tax Tables'!AF$150,0)),IF(AND(AF193&gt;='Tax Tables'!AF$227,AF193&lt;='Tax Tables'!AF$228),(AF193-'Tax Tables'!AF$227)*'Tax Tables'!AF$229,IF(AF193&gt;='Tax Tables'!AF$228,('Tax Tables'!AF$228-'Tax Tables'!AF$227)*'Tax Tables'!AF$229,0))),IF(AND(AF193&gt;='Tax Tables'!AF$227,AF193&lt;='Tax Tables'!AF$228),(AF193-'Tax Tables'!AF$227)*'Tax Tables'!AF$229,IF(AF193&gt;='Tax Tables'!AF$228,('Tax Tables'!AF$228-'Tax Tables'!AF$227)*'Tax Tables'!AF$229,0))),0)/Round_To,0)*Round_To</f>
        <v>10200</v>
      </c>
      <c r="AG197" s="1124">
        <f>ROUND(IF(Exclude_Taxes="n",IF(Filing_Status="m",IF(OR(AG7&lt;Single_Rate_Start,Single_Rate_Start=""),IF(AND(AG193&gt;='Tax Tables'!AG$148,AG193&lt;='Tax Tables'!AG$149),(AG193-'Tax Tables'!AG$148)*'Tax Tables'!AG$150,IF(AG193&gt;='Tax Tables'!AG$149,('Tax Tables'!AG$149-'Tax Tables'!AG$148)*'Tax Tables'!AG$150,0)),IF(AND(AG193&gt;='Tax Tables'!AG$227,AG193&lt;='Tax Tables'!AG$228),(AG193-'Tax Tables'!AG$227)*'Tax Tables'!AG$229,IF(AG193&gt;='Tax Tables'!AG$228,('Tax Tables'!AG$228-'Tax Tables'!AG$227)*'Tax Tables'!AG$229,0))),IF(AND(AG193&gt;='Tax Tables'!AG$227,AG193&lt;='Tax Tables'!AG$228),(AG193-'Tax Tables'!AG$227)*'Tax Tables'!AG$229,IF(AG193&gt;='Tax Tables'!AG$228,('Tax Tables'!AG$228-'Tax Tables'!AG$227)*'Tax Tables'!AG$229,0))),0)/Round_To,0)*Round_To</f>
        <v>8400</v>
      </c>
      <c r="AH197" s="1124">
        <f>ROUND(IF(Exclude_Taxes="n",IF(Filing_Status="m",IF(OR(AH7&lt;Single_Rate_Start,Single_Rate_Start=""),IF(AND(AH193&gt;='Tax Tables'!AH$148,AH193&lt;='Tax Tables'!AH$149),(AH193-'Tax Tables'!AH$148)*'Tax Tables'!AH$150,IF(AH193&gt;='Tax Tables'!AH$149,('Tax Tables'!AH$149-'Tax Tables'!AH$148)*'Tax Tables'!AH$150,0)),IF(AND(AH193&gt;='Tax Tables'!AH$227,AH193&lt;='Tax Tables'!AH$228),(AH193-'Tax Tables'!AH$227)*'Tax Tables'!AH$229,IF(AH193&gt;='Tax Tables'!AH$228,('Tax Tables'!AH$228-'Tax Tables'!AH$227)*'Tax Tables'!AH$229,0))),IF(AND(AH193&gt;='Tax Tables'!AH$227,AH193&lt;='Tax Tables'!AH$228),(AH193-'Tax Tables'!AH$227)*'Tax Tables'!AH$229,IF(AH193&gt;='Tax Tables'!AH$228,('Tax Tables'!AH$228-'Tax Tables'!AH$227)*'Tax Tables'!AH$229,0))),0)/Round_To,0)*Round_To</f>
        <v>8100</v>
      </c>
      <c r="AI197" s="1124">
        <f>ROUND(IF(Exclude_Taxes="n",IF(Filing_Status="m",IF(OR(AI7&lt;Single_Rate_Start,Single_Rate_Start=""),IF(AND(AI193&gt;='Tax Tables'!AI$148,AI193&lt;='Tax Tables'!AI$149),(AI193-'Tax Tables'!AI$148)*'Tax Tables'!AI$150,IF(AI193&gt;='Tax Tables'!AI$149,('Tax Tables'!AI$149-'Tax Tables'!AI$148)*'Tax Tables'!AI$150,0)),IF(AND(AI193&gt;='Tax Tables'!AI$227,AI193&lt;='Tax Tables'!AI$228),(AI193-'Tax Tables'!AI$227)*'Tax Tables'!AI$229,IF(AI193&gt;='Tax Tables'!AI$228,('Tax Tables'!AI$228-'Tax Tables'!AI$227)*'Tax Tables'!AI$229,0))),IF(AND(AI193&gt;='Tax Tables'!AI$227,AI193&lt;='Tax Tables'!AI$228),(AI193-'Tax Tables'!AI$227)*'Tax Tables'!AI$229,IF(AI193&gt;='Tax Tables'!AI$228,('Tax Tables'!AI$228-'Tax Tables'!AI$227)*'Tax Tables'!AI$229,0))),0)/Round_To,0)*Round_To</f>
        <v>8300</v>
      </c>
      <c r="AJ197" s="1124">
        <f>ROUND(IF(Exclude_Taxes="n",IF(Filing_Status="m",IF(OR(AJ7&lt;Single_Rate_Start,Single_Rate_Start=""),IF(AND(AJ193&gt;='Tax Tables'!AJ$148,AJ193&lt;='Tax Tables'!AJ$149),(AJ193-'Tax Tables'!AJ$148)*'Tax Tables'!AJ$150,IF(AJ193&gt;='Tax Tables'!AJ$149,('Tax Tables'!AJ$149-'Tax Tables'!AJ$148)*'Tax Tables'!AJ$150,0)),IF(AND(AJ193&gt;='Tax Tables'!AJ$227,AJ193&lt;='Tax Tables'!AJ$228),(AJ193-'Tax Tables'!AJ$227)*'Tax Tables'!AJ$229,IF(AJ193&gt;='Tax Tables'!AJ$228,('Tax Tables'!AJ$228-'Tax Tables'!AJ$227)*'Tax Tables'!AJ$229,0))),IF(AND(AJ193&gt;='Tax Tables'!AJ$227,AJ193&lt;='Tax Tables'!AJ$228),(AJ193-'Tax Tables'!AJ$227)*'Tax Tables'!AJ$229,IF(AJ193&gt;='Tax Tables'!AJ$228,('Tax Tables'!AJ$228-'Tax Tables'!AJ$227)*'Tax Tables'!AJ$229,0))),0)/Round_To,0)*Round_To</f>
        <v>0</v>
      </c>
      <c r="AK197" s="1124">
        <f>ROUND(IF(Exclude_Taxes="n",IF(Filing_Status="m",IF(OR(AK7&lt;Single_Rate_Start,Single_Rate_Start=""),IF(AND(AK193&gt;='Tax Tables'!AK$148,AK193&lt;='Tax Tables'!AK$149),(AK193-'Tax Tables'!AK$148)*'Tax Tables'!AK$150,IF(AK193&gt;='Tax Tables'!AK$149,('Tax Tables'!AK$149-'Tax Tables'!AK$148)*'Tax Tables'!AK$150,0)),IF(AND(AK193&gt;='Tax Tables'!AK$227,AK193&lt;='Tax Tables'!AK$228),(AK193-'Tax Tables'!AK$227)*'Tax Tables'!AK$229,IF(AK193&gt;='Tax Tables'!AK$228,('Tax Tables'!AK$228-'Tax Tables'!AK$227)*'Tax Tables'!AK$229,0))),IF(AND(AK193&gt;='Tax Tables'!AK$227,AK193&lt;='Tax Tables'!AK$228),(AK193-'Tax Tables'!AK$227)*'Tax Tables'!AK$229,IF(AK193&gt;='Tax Tables'!AK$228,('Tax Tables'!AK$228-'Tax Tables'!AK$227)*'Tax Tables'!AK$229,0))),0)/Round_To,0)*Round_To</f>
        <v>0</v>
      </c>
      <c r="AL197" s="1124">
        <f>ROUND(IF(Exclude_Taxes="n",IF(Filing_Status="m",IF(OR(AL7&lt;Single_Rate_Start,Single_Rate_Start=""),IF(AND(AL193&gt;='Tax Tables'!AL$148,AL193&lt;='Tax Tables'!AL$149),(AL193-'Tax Tables'!AL$148)*'Tax Tables'!AL$150,IF(AL193&gt;='Tax Tables'!AL$149,('Tax Tables'!AL$149-'Tax Tables'!AL$148)*'Tax Tables'!AL$150,0)),IF(AND(AL193&gt;='Tax Tables'!AL$227,AL193&lt;='Tax Tables'!AL$228),(AL193-'Tax Tables'!AL$227)*'Tax Tables'!AL$229,IF(AL193&gt;='Tax Tables'!AL$228,('Tax Tables'!AL$228-'Tax Tables'!AL$227)*'Tax Tables'!AL$229,0))),IF(AND(AL193&gt;='Tax Tables'!AL$227,AL193&lt;='Tax Tables'!AL$228),(AL193-'Tax Tables'!AL$227)*'Tax Tables'!AL$229,IF(AL193&gt;='Tax Tables'!AL$228,('Tax Tables'!AL$228-'Tax Tables'!AL$227)*'Tax Tables'!AL$229,0))),0)/Round_To,0)*Round_To</f>
        <v>0</v>
      </c>
      <c r="AM197" s="1124">
        <f>ROUND(IF(Exclude_Taxes="n",IF(Filing_Status="m",IF(OR(AM7&lt;Single_Rate_Start,Single_Rate_Start=""),IF(AND(AM193&gt;='Tax Tables'!AM$148,AM193&lt;='Tax Tables'!AM$149),(AM193-'Tax Tables'!AM$148)*'Tax Tables'!AM$150,IF(AM193&gt;='Tax Tables'!AM$149,('Tax Tables'!AM$149-'Tax Tables'!AM$148)*'Tax Tables'!AM$150,0)),IF(AND(AM193&gt;='Tax Tables'!AM$227,AM193&lt;='Tax Tables'!AM$228),(AM193-'Tax Tables'!AM$227)*'Tax Tables'!AM$229,IF(AM193&gt;='Tax Tables'!AM$228,('Tax Tables'!AM$228-'Tax Tables'!AM$227)*'Tax Tables'!AM$229,0))),IF(AND(AM193&gt;='Tax Tables'!AM$227,AM193&lt;='Tax Tables'!AM$228),(AM193-'Tax Tables'!AM$227)*'Tax Tables'!AM$229,IF(AM193&gt;='Tax Tables'!AM$228,('Tax Tables'!AM$228-'Tax Tables'!AM$227)*'Tax Tables'!AM$229,0))),0)/Round_To,0)*Round_To</f>
        <v>0</v>
      </c>
      <c r="AN197" s="1124">
        <f>ROUND(IF(Exclude_Taxes="n",IF(Filing_Status="m",IF(OR(AN7&lt;Single_Rate_Start,Single_Rate_Start=""),IF(AND(AN193&gt;='Tax Tables'!AN$148,AN193&lt;='Tax Tables'!AN$149),(AN193-'Tax Tables'!AN$148)*'Tax Tables'!AN$150,IF(AN193&gt;='Tax Tables'!AN$149,('Tax Tables'!AN$149-'Tax Tables'!AN$148)*'Tax Tables'!AN$150,0)),IF(AND(AN193&gt;='Tax Tables'!AN$227,AN193&lt;='Tax Tables'!AN$228),(AN193-'Tax Tables'!AN$227)*'Tax Tables'!AN$229,IF(AN193&gt;='Tax Tables'!AN$228,('Tax Tables'!AN$228-'Tax Tables'!AN$227)*'Tax Tables'!AN$229,0))),IF(AND(AN193&gt;='Tax Tables'!AN$227,AN193&lt;='Tax Tables'!AN$228),(AN193-'Tax Tables'!AN$227)*'Tax Tables'!AN$229,IF(AN193&gt;='Tax Tables'!AN$228,('Tax Tables'!AN$228-'Tax Tables'!AN$227)*'Tax Tables'!AN$229,0))),0)/Round_To,0)*Round_To</f>
        <v>0</v>
      </c>
      <c r="AO197" s="1124">
        <f>ROUND(IF(Exclude_Taxes="n",IF(Filing_Status="m",IF(OR(AO7&lt;Single_Rate_Start,Single_Rate_Start=""),IF(AND(AO193&gt;='Tax Tables'!AO$148,AO193&lt;='Tax Tables'!AO$149),(AO193-'Tax Tables'!AO$148)*'Tax Tables'!AO$150,IF(AO193&gt;='Tax Tables'!AO$149,('Tax Tables'!AO$149-'Tax Tables'!AO$148)*'Tax Tables'!AO$150,0)),IF(AND(AO193&gt;='Tax Tables'!AO$227,AO193&lt;='Tax Tables'!AO$228),(AO193-'Tax Tables'!AO$227)*'Tax Tables'!AO$229,IF(AO193&gt;='Tax Tables'!AO$228,('Tax Tables'!AO$228-'Tax Tables'!AO$227)*'Tax Tables'!AO$229,0))),IF(AND(AO193&gt;='Tax Tables'!AO$227,AO193&lt;='Tax Tables'!AO$228),(AO193-'Tax Tables'!AO$227)*'Tax Tables'!AO$229,IF(AO193&gt;='Tax Tables'!AO$228,('Tax Tables'!AO$228-'Tax Tables'!AO$227)*'Tax Tables'!AO$229,0))),0)/Round_To,0)*Round_To</f>
        <v>0</v>
      </c>
      <c r="AP197" s="1124">
        <f>ROUND(IF(Exclude_Taxes="n",IF(Filing_Status="m",IF(OR(AP7&lt;Single_Rate_Start,Single_Rate_Start=""),IF(AND(AP193&gt;='Tax Tables'!AP$148,AP193&lt;='Tax Tables'!AP$149),(AP193-'Tax Tables'!AP$148)*'Tax Tables'!AP$150,IF(AP193&gt;='Tax Tables'!AP$149,('Tax Tables'!AP$149-'Tax Tables'!AP$148)*'Tax Tables'!AP$150,0)),IF(AND(AP193&gt;='Tax Tables'!AP$227,AP193&lt;='Tax Tables'!AP$228),(AP193-'Tax Tables'!AP$227)*'Tax Tables'!AP$229,IF(AP193&gt;='Tax Tables'!AP$228,('Tax Tables'!AP$228-'Tax Tables'!AP$227)*'Tax Tables'!AP$229,0))),IF(AND(AP193&gt;='Tax Tables'!AP$227,AP193&lt;='Tax Tables'!AP$228),(AP193-'Tax Tables'!AP$227)*'Tax Tables'!AP$229,IF(AP193&gt;='Tax Tables'!AP$228,('Tax Tables'!AP$228-'Tax Tables'!AP$227)*'Tax Tables'!AP$229,0))),0)/Round_To,0)*Round_To</f>
        <v>0</v>
      </c>
      <c r="AQ197" s="1124">
        <f>ROUND(IF(Exclude_Taxes="n",IF(Filing_Status="m",IF(OR(AQ7&lt;Single_Rate_Start,Single_Rate_Start=""),IF(AND(AQ193&gt;='Tax Tables'!AQ$148,AQ193&lt;='Tax Tables'!AQ$149),(AQ193-'Tax Tables'!AQ$148)*'Tax Tables'!AQ$150,IF(AQ193&gt;='Tax Tables'!AQ$149,('Tax Tables'!AQ$149-'Tax Tables'!AQ$148)*'Tax Tables'!AQ$150,0)),IF(AND(AQ193&gt;='Tax Tables'!AQ$227,AQ193&lt;='Tax Tables'!AQ$228),(AQ193-'Tax Tables'!AQ$227)*'Tax Tables'!AQ$229,IF(AQ193&gt;='Tax Tables'!AQ$228,('Tax Tables'!AQ$228-'Tax Tables'!AQ$227)*'Tax Tables'!AQ$229,0))),IF(AND(AQ193&gt;='Tax Tables'!AQ$227,AQ193&lt;='Tax Tables'!AQ$228),(AQ193-'Tax Tables'!AQ$227)*'Tax Tables'!AQ$229,IF(AQ193&gt;='Tax Tables'!AQ$228,('Tax Tables'!AQ$228-'Tax Tables'!AQ$227)*'Tax Tables'!AQ$229,0))),0)/Round_To,0)*Round_To</f>
        <v>0</v>
      </c>
      <c r="AR197" s="1124">
        <f>ROUND(IF(Exclude_Taxes="n",IF(Filing_Status="m",IF(OR(AR7&lt;Single_Rate_Start,Single_Rate_Start=""),IF(AND(AR193&gt;='Tax Tables'!AR$148,AR193&lt;='Tax Tables'!AR$149),(AR193-'Tax Tables'!AR$148)*'Tax Tables'!AR$150,IF(AR193&gt;='Tax Tables'!AR$149,('Tax Tables'!AR$149-'Tax Tables'!AR$148)*'Tax Tables'!AR$150,0)),IF(AND(AR193&gt;='Tax Tables'!AR$227,AR193&lt;='Tax Tables'!AR$228),(AR193-'Tax Tables'!AR$227)*'Tax Tables'!AR$229,IF(AR193&gt;='Tax Tables'!AR$228,('Tax Tables'!AR$228-'Tax Tables'!AR$227)*'Tax Tables'!AR$229,0))),IF(AND(AR193&gt;='Tax Tables'!AR$227,AR193&lt;='Tax Tables'!AR$228),(AR193-'Tax Tables'!AR$227)*'Tax Tables'!AR$229,IF(AR193&gt;='Tax Tables'!AR$228,('Tax Tables'!AR$228-'Tax Tables'!AR$227)*'Tax Tables'!AR$229,0))),0)/Round_To,0)*Round_To</f>
        <v>0</v>
      </c>
      <c r="AS197" s="1124">
        <f>ROUND(IF(Exclude_Taxes="n",IF(Filing_Status="m",IF(OR(AS7&lt;Single_Rate_Start,Single_Rate_Start=""),IF(AND(AS193&gt;='Tax Tables'!AS$148,AS193&lt;='Tax Tables'!AS$149),(AS193-'Tax Tables'!AS$148)*'Tax Tables'!AS$150,IF(AS193&gt;='Tax Tables'!AS$149,('Tax Tables'!AS$149-'Tax Tables'!AS$148)*'Tax Tables'!AS$150,0)),IF(AND(AS193&gt;='Tax Tables'!AS$227,AS193&lt;='Tax Tables'!AS$228),(AS193-'Tax Tables'!AS$227)*'Tax Tables'!AS$229,IF(AS193&gt;='Tax Tables'!AS$228,('Tax Tables'!AS$228-'Tax Tables'!AS$227)*'Tax Tables'!AS$229,0))),IF(AND(AS193&gt;='Tax Tables'!AS$227,AS193&lt;='Tax Tables'!AS$228),(AS193-'Tax Tables'!AS$227)*'Tax Tables'!AS$229,IF(AS193&gt;='Tax Tables'!AS$228,('Tax Tables'!AS$228-'Tax Tables'!AS$227)*'Tax Tables'!AS$229,0))),0)/Round_To,0)*Round_To</f>
        <v>0</v>
      </c>
      <c r="AT197" s="42"/>
      <c r="AU197" s="78">
        <f>+Base!E197</f>
        <v>54600</v>
      </c>
      <c r="AV197" s="81">
        <f t="shared" si="181"/>
        <v>0</v>
      </c>
      <c r="AW197" s="29"/>
      <c r="AX197" s="49"/>
      <c r="AY197" s="49"/>
      <c r="AZ197" s="42"/>
      <c r="BA197" s="49"/>
      <c r="BB197" s="49"/>
      <c r="BC197" s="39"/>
      <c r="BD197" s="39"/>
      <c r="BE197" s="39"/>
      <c r="BF197" s="49"/>
      <c r="BG197" s="49"/>
      <c r="BH197" s="49"/>
      <c r="BI197" s="49"/>
      <c r="BJ197" s="39"/>
      <c r="BK197" s="49"/>
      <c r="BL197" s="39"/>
      <c r="BM197" s="39"/>
      <c r="BN197" s="49"/>
      <c r="BO197" s="49"/>
      <c r="BP197" s="49"/>
      <c r="BQ197" s="49"/>
      <c r="BR197" s="49"/>
      <c r="BS197" s="49"/>
      <c r="BT197" s="49"/>
      <c r="BU197" s="49"/>
      <c r="BV197" s="49"/>
      <c r="BW197" s="49"/>
      <c r="BX197" s="49"/>
      <c r="BY197" s="49"/>
      <c r="BZ197" s="49"/>
      <c r="CA197" s="44"/>
      <c r="CB197" s="49"/>
      <c r="CC197" s="49"/>
      <c r="CD197" s="49"/>
      <c r="CE197" s="49"/>
      <c r="CF197" s="49"/>
      <c r="CG197" s="49"/>
      <c r="CH197" s="49"/>
      <c r="CI197" s="49"/>
      <c r="CJ197" s="49"/>
      <c r="CK197" s="49"/>
      <c r="CL197" s="49"/>
      <c r="CM197" s="49"/>
      <c r="CN197" s="49"/>
    </row>
    <row r="198" spans="1:92" s="1" customFormat="1" hidden="1">
      <c r="A198" s="1427" t="s">
        <v>1578</v>
      </c>
      <c r="B198" s="425"/>
      <c r="C198" s="425" t="str">
        <f>IF(Tax_Rates_Alt="y",IF(Filing_Status="m",Setup!$E$236,Setup!$H$236),"")</f>
        <v/>
      </c>
      <c r="D198" s="67">
        <f>IF(Filing_Status="m",Setup!$D$236,Setup!$G$236)</f>
        <v>0.24</v>
      </c>
      <c r="E198" s="102">
        <f t="shared" si="180"/>
        <v>0</v>
      </c>
      <c r="F198" s="88">
        <f>ROUND(IF(Exclude_Taxes="n",IF(Filing_Status="m",IF(OR(F7&lt;Single_Rate_Start,Single_Rate_Start=""),IF(AND(F193&gt;='Tax Tables'!F$153,F193&lt;='Tax Tables'!F$154),(F193-'Tax Tables'!F$153)*'Tax Tables'!F$155,IF(F193&gt;='Tax Tables'!F$154,('Tax Tables'!F$154-'Tax Tables'!F$153)*'Tax Tables'!F$155,0)),IF(AND(F193&gt;='Tax Tables'!F$232,F193&lt;='Tax Tables'!F$233),(F193-'Tax Tables'!F$232)*'Tax Tables'!F$234,IF(F193&gt;='Tax Tables'!F$233,('Tax Tables'!F$233-'Tax Tables'!F$232)*'Tax Tables'!F$234,0))),IF(AND(F193&gt;='Tax Tables'!F$232,F193&lt;='Tax Tables'!F$233),(F193-'Tax Tables'!F$232)*'Tax Tables'!F$234,IF(F193&gt;='Tax Tables'!F$233,('Tax Tables'!F$233-'Tax Tables'!F$232)*'Tax Tables'!F$234,0))),0)/Round_To,0)*Round_To</f>
        <v>0</v>
      </c>
      <c r="G198" s="1124">
        <f>ROUND(IF(Exclude_Taxes="n",IF(Filing_Status="m",IF(OR(G7&lt;Single_Rate_Start,Single_Rate_Start=""),IF(AND(G193&gt;='Tax Tables'!G$153,G193&lt;='Tax Tables'!G$154),(G193-'Tax Tables'!G$153)*'Tax Tables'!G$155,IF(G193&gt;='Tax Tables'!G$154,('Tax Tables'!G$154-'Tax Tables'!G$153)*'Tax Tables'!G$155,0)),IF(AND(G193&gt;='Tax Tables'!G$232,G193&lt;='Tax Tables'!G$233),(G193-'Tax Tables'!G$232)*'Tax Tables'!G$234,IF(G193&gt;='Tax Tables'!G$233,('Tax Tables'!G$233-'Tax Tables'!G$232)*'Tax Tables'!G$234,0))),IF(AND(G193&gt;='Tax Tables'!G$232,G193&lt;='Tax Tables'!G$233),(G193-'Tax Tables'!G$232)*'Tax Tables'!G$234,IF(G193&gt;='Tax Tables'!G$233,('Tax Tables'!G$233-'Tax Tables'!G$232)*'Tax Tables'!G$234,0))),0)/Round_To,0)*Round_To</f>
        <v>0</v>
      </c>
      <c r="H198" s="1124">
        <f>ROUND(IF(Exclude_Taxes="n",IF(Filing_Status="m",IF(OR(H7&lt;Single_Rate_Start,Single_Rate_Start=""),IF(AND(H193&gt;='Tax Tables'!H$153,H193&lt;='Tax Tables'!H$154),(H193-'Tax Tables'!H$153)*'Tax Tables'!H$155,IF(H193&gt;='Tax Tables'!H$154,('Tax Tables'!H$154-'Tax Tables'!H$153)*'Tax Tables'!H$155,0)),IF(AND(H193&gt;='Tax Tables'!H$232,H193&lt;='Tax Tables'!H$233),(H193-'Tax Tables'!H$232)*'Tax Tables'!H$234,IF(H193&gt;='Tax Tables'!H$233,('Tax Tables'!H$233-'Tax Tables'!H$232)*'Tax Tables'!H$234,0))),IF(AND(H193&gt;='Tax Tables'!H$232,H193&lt;='Tax Tables'!H$233),(H193-'Tax Tables'!H$232)*'Tax Tables'!H$234,IF(H193&gt;='Tax Tables'!H$233,('Tax Tables'!H$233-'Tax Tables'!H$232)*'Tax Tables'!H$234,0))),0)/Round_To,0)*Round_To</f>
        <v>0</v>
      </c>
      <c r="I198" s="1124">
        <f>ROUND(IF(Exclude_Taxes="n",IF(Filing_Status="m",IF(OR(I7&lt;Single_Rate_Start,Single_Rate_Start=""),IF(AND(I193&gt;='Tax Tables'!I$153,I193&lt;='Tax Tables'!I$154),(I193-'Tax Tables'!I$153)*'Tax Tables'!I$155,IF(I193&gt;='Tax Tables'!I$154,('Tax Tables'!I$154-'Tax Tables'!I$153)*'Tax Tables'!I$155,0)),IF(AND(I193&gt;='Tax Tables'!I$232,I193&lt;='Tax Tables'!I$233),(I193-'Tax Tables'!I$232)*'Tax Tables'!I$234,IF(I193&gt;='Tax Tables'!I$233,('Tax Tables'!I$233-'Tax Tables'!I$232)*'Tax Tables'!I$234,0))),IF(AND(I193&gt;='Tax Tables'!I$232,I193&lt;='Tax Tables'!I$233),(I193-'Tax Tables'!I$232)*'Tax Tables'!I$234,IF(I193&gt;='Tax Tables'!I$233,('Tax Tables'!I$233-'Tax Tables'!I$232)*'Tax Tables'!I$234,0))),0)/Round_To,0)*Round_To</f>
        <v>0</v>
      </c>
      <c r="J198" s="1124">
        <f>ROUND(IF(Exclude_Taxes="n",IF(Filing_Status="m",IF(OR(J7&lt;Single_Rate_Start,Single_Rate_Start=""),IF(AND(J193&gt;='Tax Tables'!J$153,J193&lt;='Tax Tables'!J$154),(J193-'Tax Tables'!J$153)*'Tax Tables'!J$155,IF(J193&gt;='Tax Tables'!J$154,('Tax Tables'!J$154-'Tax Tables'!J$153)*'Tax Tables'!J$155,0)),IF(AND(J193&gt;='Tax Tables'!J$232,J193&lt;='Tax Tables'!J$233),(J193-'Tax Tables'!J$232)*'Tax Tables'!J$234,IF(J193&gt;='Tax Tables'!J$233,('Tax Tables'!J$233-'Tax Tables'!J$232)*'Tax Tables'!J$234,0))),IF(AND(J193&gt;='Tax Tables'!J$232,J193&lt;='Tax Tables'!J$233),(J193-'Tax Tables'!J$232)*'Tax Tables'!J$234,IF(J193&gt;='Tax Tables'!J$233,('Tax Tables'!J$233-'Tax Tables'!J$232)*'Tax Tables'!J$234,0))),0)/Round_To,0)*Round_To</f>
        <v>0</v>
      </c>
      <c r="K198" s="1124">
        <f>ROUND(IF(Exclude_Taxes="n",IF(Filing_Status="m",IF(OR(K7&lt;Single_Rate_Start,Single_Rate_Start=""),IF(AND(K193&gt;='Tax Tables'!K$153,K193&lt;='Tax Tables'!K$154),(K193-'Tax Tables'!K$153)*'Tax Tables'!K$155,IF(K193&gt;='Tax Tables'!K$154,('Tax Tables'!K$154-'Tax Tables'!K$153)*'Tax Tables'!K$155,0)),IF(AND(K193&gt;='Tax Tables'!K$232,K193&lt;='Tax Tables'!K$233),(K193-'Tax Tables'!K$232)*'Tax Tables'!K$234,IF(K193&gt;='Tax Tables'!K$233,('Tax Tables'!K$233-'Tax Tables'!K$232)*'Tax Tables'!K$234,0))),IF(AND(K193&gt;='Tax Tables'!K$232,K193&lt;='Tax Tables'!K$233),(K193-'Tax Tables'!K$232)*'Tax Tables'!K$234,IF(K193&gt;='Tax Tables'!K$233,('Tax Tables'!K$233-'Tax Tables'!K$232)*'Tax Tables'!K$234,0))),0)/Round_To,0)*Round_To</f>
        <v>0</v>
      </c>
      <c r="L198" s="1124">
        <f>ROUND(IF(Exclude_Taxes="n",IF(Filing_Status="m",IF(OR(L7&lt;Single_Rate_Start,Single_Rate_Start=""),IF(AND(L193&gt;='Tax Tables'!L$153,L193&lt;='Tax Tables'!L$154),(L193-'Tax Tables'!L$153)*'Tax Tables'!L$155,IF(L193&gt;='Tax Tables'!L$154,('Tax Tables'!L$154-'Tax Tables'!L$153)*'Tax Tables'!L$155,0)),IF(AND(L193&gt;='Tax Tables'!L$232,L193&lt;='Tax Tables'!L$233),(L193-'Tax Tables'!L$232)*'Tax Tables'!L$234,IF(L193&gt;='Tax Tables'!L$233,('Tax Tables'!L$233-'Tax Tables'!L$232)*'Tax Tables'!L$234,0))),IF(AND(L193&gt;='Tax Tables'!L$232,L193&lt;='Tax Tables'!L$233),(L193-'Tax Tables'!L$232)*'Tax Tables'!L$234,IF(L193&gt;='Tax Tables'!L$233,('Tax Tables'!L$233-'Tax Tables'!L$232)*'Tax Tables'!L$234,0))),0)/Round_To,0)*Round_To</f>
        <v>0</v>
      </c>
      <c r="M198" s="1124">
        <f>ROUND(IF(Exclude_Taxes="n",IF(Filing_Status="m",IF(OR(M7&lt;Single_Rate_Start,Single_Rate_Start=""),IF(AND(M193&gt;='Tax Tables'!M$153,M193&lt;='Tax Tables'!M$154),(M193-'Tax Tables'!M$153)*'Tax Tables'!M$155,IF(M193&gt;='Tax Tables'!M$154,('Tax Tables'!M$154-'Tax Tables'!M$153)*'Tax Tables'!M$155,0)),IF(AND(M193&gt;='Tax Tables'!M$232,M193&lt;='Tax Tables'!M$233),(M193-'Tax Tables'!M$232)*'Tax Tables'!M$234,IF(M193&gt;='Tax Tables'!M$233,('Tax Tables'!M$233-'Tax Tables'!M$232)*'Tax Tables'!M$234,0))),IF(AND(M193&gt;='Tax Tables'!M$232,M193&lt;='Tax Tables'!M$233),(M193-'Tax Tables'!M$232)*'Tax Tables'!M$234,IF(M193&gt;='Tax Tables'!M$233,('Tax Tables'!M$233-'Tax Tables'!M$232)*'Tax Tables'!M$234,0))),0)/Round_To,0)*Round_To</f>
        <v>0</v>
      </c>
      <c r="N198" s="1124">
        <f>ROUND(IF(Exclude_Taxes="n",IF(Filing_Status="m",IF(OR(N7&lt;Single_Rate_Start,Single_Rate_Start=""),IF(AND(N193&gt;='Tax Tables'!N$153,N193&lt;='Tax Tables'!N$154),(N193-'Tax Tables'!N$153)*'Tax Tables'!N$155,IF(N193&gt;='Tax Tables'!N$154,('Tax Tables'!N$154-'Tax Tables'!N$153)*'Tax Tables'!N$155,0)),IF(AND(N193&gt;='Tax Tables'!N$232,N193&lt;='Tax Tables'!N$233),(N193-'Tax Tables'!N$232)*'Tax Tables'!N$234,IF(N193&gt;='Tax Tables'!N$233,('Tax Tables'!N$233-'Tax Tables'!N$232)*'Tax Tables'!N$234,0))),IF(AND(N193&gt;='Tax Tables'!N$232,N193&lt;='Tax Tables'!N$233),(N193-'Tax Tables'!N$232)*'Tax Tables'!N$234,IF(N193&gt;='Tax Tables'!N$233,('Tax Tables'!N$233-'Tax Tables'!N$232)*'Tax Tables'!N$234,0))),0)/Round_To,0)*Round_To</f>
        <v>0</v>
      </c>
      <c r="O198" s="1124">
        <f>ROUND(IF(Exclude_Taxes="n",IF(Filing_Status="m",IF(OR(O7&lt;Single_Rate_Start,Single_Rate_Start=""),IF(AND(O193&gt;='Tax Tables'!O$153,O193&lt;='Tax Tables'!O$154),(O193-'Tax Tables'!O$153)*'Tax Tables'!O$155,IF(O193&gt;='Tax Tables'!O$154,('Tax Tables'!O$154-'Tax Tables'!O$153)*'Tax Tables'!O$155,0)),IF(AND(O193&gt;='Tax Tables'!O$232,O193&lt;='Tax Tables'!O$233),(O193-'Tax Tables'!O$232)*'Tax Tables'!O$234,IF(O193&gt;='Tax Tables'!O$233,('Tax Tables'!O$233-'Tax Tables'!O$232)*'Tax Tables'!O$234,0))),IF(AND(O193&gt;='Tax Tables'!O$232,O193&lt;='Tax Tables'!O$233),(O193-'Tax Tables'!O$232)*'Tax Tables'!O$234,IF(O193&gt;='Tax Tables'!O$233,('Tax Tables'!O$233-'Tax Tables'!O$232)*'Tax Tables'!O$234,0))),0)/Round_To,0)*Round_To</f>
        <v>0</v>
      </c>
      <c r="P198" s="1124">
        <f>ROUND(IF(Exclude_Taxes="n",IF(Filing_Status="m",IF(OR(P7&lt;Single_Rate_Start,Single_Rate_Start=""),IF(AND(P193&gt;='Tax Tables'!P$153,P193&lt;='Tax Tables'!P$154),(P193-'Tax Tables'!P$153)*'Tax Tables'!P$155,IF(P193&gt;='Tax Tables'!P$154,('Tax Tables'!P$154-'Tax Tables'!P$153)*'Tax Tables'!P$155,0)),IF(AND(P193&gt;='Tax Tables'!P$232,P193&lt;='Tax Tables'!P$233),(P193-'Tax Tables'!P$232)*'Tax Tables'!P$234,IF(P193&gt;='Tax Tables'!P$233,('Tax Tables'!P$233-'Tax Tables'!P$232)*'Tax Tables'!P$234,0))),IF(AND(P193&gt;='Tax Tables'!P$232,P193&lt;='Tax Tables'!P$233),(P193-'Tax Tables'!P$232)*'Tax Tables'!P$234,IF(P193&gt;='Tax Tables'!P$233,('Tax Tables'!P$233-'Tax Tables'!P$232)*'Tax Tables'!P$234,0))),0)/Round_To,0)*Round_To</f>
        <v>0</v>
      </c>
      <c r="Q198" s="1124">
        <f>ROUND(IF(Exclude_Taxes="n",IF(Filing_Status="m",IF(OR(Q7&lt;Single_Rate_Start,Single_Rate_Start=""),IF(AND(Q193&gt;='Tax Tables'!Q$153,Q193&lt;='Tax Tables'!Q$154),(Q193-'Tax Tables'!Q$153)*'Tax Tables'!Q$155,IF(Q193&gt;='Tax Tables'!Q$154,('Tax Tables'!Q$154-'Tax Tables'!Q$153)*'Tax Tables'!Q$155,0)),IF(AND(Q193&gt;='Tax Tables'!Q$232,Q193&lt;='Tax Tables'!Q$233),(Q193-'Tax Tables'!Q$232)*'Tax Tables'!Q$234,IF(Q193&gt;='Tax Tables'!Q$233,('Tax Tables'!Q$233-'Tax Tables'!Q$232)*'Tax Tables'!Q$234,0))),IF(AND(Q193&gt;='Tax Tables'!Q$232,Q193&lt;='Tax Tables'!Q$233),(Q193-'Tax Tables'!Q$232)*'Tax Tables'!Q$234,IF(Q193&gt;='Tax Tables'!Q$233,('Tax Tables'!Q$233-'Tax Tables'!Q$232)*'Tax Tables'!Q$234,0))),0)/Round_To,0)*Round_To</f>
        <v>0</v>
      </c>
      <c r="R198" s="1124">
        <f>ROUND(IF(Exclude_Taxes="n",IF(Filing_Status="m",IF(OR(R7&lt;Single_Rate_Start,Single_Rate_Start=""),IF(AND(R193&gt;='Tax Tables'!R$153,R193&lt;='Tax Tables'!R$154),(R193-'Tax Tables'!R$153)*'Tax Tables'!R$155,IF(R193&gt;='Tax Tables'!R$154,('Tax Tables'!R$154-'Tax Tables'!R$153)*'Tax Tables'!R$155,0)),IF(AND(R193&gt;='Tax Tables'!R$232,R193&lt;='Tax Tables'!R$233),(R193-'Tax Tables'!R$232)*'Tax Tables'!R$234,IF(R193&gt;='Tax Tables'!R$233,('Tax Tables'!R$233-'Tax Tables'!R$232)*'Tax Tables'!R$234,0))),IF(AND(R193&gt;='Tax Tables'!R$232,R193&lt;='Tax Tables'!R$233),(R193-'Tax Tables'!R$232)*'Tax Tables'!R$234,IF(R193&gt;='Tax Tables'!R$233,('Tax Tables'!R$233-'Tax Tables'!R$232)*'Tax Tables'!R$234,0))),0)/Round_To,0)*Round_To</f>
        <v>0</v>
      </c>
      <c r="S198" s="1124">
        <f>ROUND(IF(Exclude_Taxes="n",IF(Filing_Status="m",IF(OR(S7&lt;Single_Rate_Start,Single_Rate_Start=""),IF(AND(S193&gt;='Tax Tables'!S$153,S193&lt;='Tax Tables'!S$154),(S193-'Tax Tables'!S$153)*'Tax Tables'!S$155,IF(S193&gt;='Tax Tables'!S$154,('Tax Tables'!S$154-'Tax Tables'!S$153)*'Tax Tables'!S$155,0)),IF(AND(S193&gt;='Tax Tables'!S$232,S193&lt;='Tax Tables'!S$233),(S193-'Tax Tables'!S$232)*'Tax Tables'!S$234,IF(S193&gt;='Tax Tables'!S$233,('Tax Tables'!S$233-'Tax Tables'!S$232)*'Tax Tables'!S$234,0))),IF(AND(S193&gt;='Tax Tables'!S$232,S193&lt;='Tax Tables'!S$233),(S193-'Tax Tables'!S$232)*'Tax Tables'!S$234,IF(S193&gt;='Tax Tables'!S$233,('Tax Tables'!S$233-'Tax Tables'!S$232)*'Tax Tables'!S$234,0))),0)/Round_To,0)*Round_To</f>
        <v>0</v>
      </c>
      <c r="T198" s="1124">
        <f>ROUND(IF(Exclude_Taxes="n",IF(Filing_Status="m",IF(OR(T7&lt;Single_Rate_Start,Single_Rate_Start=""),IF(AND(T193&gt;='Tax Tables'!T$153,T193&lt;='Tax Tables'!T$154),(T193-'Tax Tables'!T$153)*'Tax Tables'!T$155,IF(T193&gt;='Tax Tables'!T$154,('Tax Tables'!T$154-'Tax Tables'!T$153)*'Tax Tables'!T$155,0)),IF(AND(T193&gt;='Tax Tables'!T$232,T193&lt;='Tax Tables'!T$233),(T193-'Tax Tables'!T$232)*'Tax Tables'!T$234,IF(T193&gt;='Tax Tables'!T$233,('Tax Tables'!T$233-'Tax Tables'!T$232)*'Tax Tables'!T$234,0))),IF(AND(T193&gt;='Tax Tables'!T$232,T193&lt;='Tax Tables'!T$233),(T193-'Tax Tables'!T$232)*'Tax Tables'!T$234,IF(T193&gt;='Tax Tables'!T$233,('Tax Tables'!T$233-'Tax Tables'!T$232)*'Tax Tables'!T$234,0))),0)/Round_To,0)*Round_To</f>
        <v>0</v>
      </c>
      <c r="U198" s="1124">
        <f>ROUND(IF(Exclude_Taxes="n",IF(Filing_Status="m",IF(OR(U7&lt;Single_Rate_Start,Single_Rate_Start=""),IF(AND(U193&gt;='Tax Tables'!U$153,U193&lt;='Tax Tables'!U$154),(U193-'Tax Tables'!U$153)*'Tax Tables'!U$155,IF(U193&gt;='Tax Tables'!U$154,('Tax Tables'!U$154-'Tax Tables'!U$153)*'Tax Tables'!U$155,0)),IF(AND(U193&gt;='Tax Tables'!U$232,U193&lt;='Tax Tables'!U$233),(U193-'Tax Tables'!U$232)*'Tax Tables'!U$234,IF(U193&gt;='Tax Tables'!U$233,('Tax Tables'!U$233-'Tax Tables'!U$232)*'Tax Tables'!U$234,0))),IF(AND(U193&gt;='Tax Tables'!U$232,U193&lt;='Tax Tables'!U$233),(U193-'Tax Tables'!U$232)*'Tax Tables'!U$234,IF(U193&gt;='Tax Tables'!U$233,('Tax Tables'!U$233-'Tax Tables'!U$232)*'Tax Tables'!U$234,0))),0)/Round_To,0)*Round_To</f>
        <v>0</v>
      </c>
      <c r="V198" s="1124">
        <f>ROUND(IF(Exclude_Taxes="n",IF(Filing_Status="m",IF(OR(V7&lt;Single_Rate_Start,Single_Rate_Start=""),IF(AND(V193&gt;='Tax Tables'!V$153,V193&lt;='Tax Tables'!V$154),(V193-'Tax Tables'!V$153)*'Tax Tables'!V$155,IF(V193&gt;='Tax Tables'!V$154,('Tax Tables'!V$154-'Tax Tables'!V$153)*'Tax Tables'!V$155,0)),IF(AND(V193&gt;='Tax Tables'!V$232,V193&lt;='Tax Tables'!V$233),(V193-'Tax Tables'!V$232)*'Tax Tables'!V$234,IF(V193&gt;='Tax Tables'!V$233,('Tax Tables'!V$233-'Tax Tables'!V$232)*'Tax Tables'!V$234,0))),IF(AND(V193&gt;='Tax Tables'!V$232,V193&lt;='Tax Tables'!V$233),(V193-'Tax Tables'!V$232)*'Tax Tables'!V$234,IF(V193&gt;='Tax Tables'!V$233,('Tax Tables'!V$233-'Tax Tables'!V$232)*'Tax Tables'!V$234,0))),0)/Round_To,0)*Round_To</f>
        <v>0</v>
      </c>
      <c r="W198" s="1124">
        <f>ROUND(IF(Exclude_Taxes="n",IF(Filing_Status="m",IF(OR(W7&lt;Single_Rate_Start,Single_Rate_Start=""),IF(AND(W193&gt;='Tax Tables'!W$153,W193&lt;='Tax Tables'!W$154),(W193-'Tax Tables'!W$153)*'Tax Tables'!W$155,IF(W193&gt;='Tax Tables'!W$154,('Tax Tables'!W$154-'Tax Tables'!W$153)*'Tax Tables'!W$155,0)),IF(AND(W193&gt;='Tax Tables'!W$232,W193&lt;='Tax Tables'!W$233),(W193-'Tax Tables'!W$232)*'Tax Tables'!W$234,IF(W193&gt;='Tax Tables'!W$233,('Tax Tables'!W$233-'Tax Tables'!W$232)*'Tax Tables'!W$234,0))),IF(AND(W193&gt;='Tax Tables'!W$232,W193&lt;='Tax Tables'!W$233),(W193-'Tax Tables'!W$232)*'Tax Tables'!W$234,IF(W193&gt;='Tax Tables'!W$233,('Tax Tables'!W$233-'Tax Tables'!W$232)*'Tax Tables'!W$234,0))),0)/Round_To,0)*Round_To</f>
        <v>0</v>
      </c>
      <c r="X198" s="1124">
        <f>ROUND(IF(Exclude_Taxes="n",IF(Filing_Status="m",IF(OR(X7&lt;Single_Rate_Start,Single_Rate_Start=""),IF(AND(X193&gt;='Tax Tables'!X$153,X193&lt;='Tax Tables'!X$154),(X193-'Tax Tables'!X$153)*'Tax Tables'!X$155,IF(X193&gt;='Tax Tables'!X$154,('Tax Tables'!X$154-'Tax Tables'!X$153)*'Tax Tables'!X$155,0)),IF(AND(X193&gt;='Tax Tables'!X$232,X193&lt;='Tax Tables'!X$233),(X193-'Tax Tables'!X$232)*'Tax Tables'!X$234,IF(X193&gt;='Tax Tables'!X$233,('Tax Tables'!X$233-'Tax Tables'!X$232)*'Tax Tables'!X$234,0))),IF(AND(X193&gt;='Tax Tables'!X$232,X193&lt;='Tax Tables'!X$233),(X193-'Tax Tables'!X$232)*'Tax Tables'!X$234,IF(X193&gt;='Tax Tables'!X$233,('Tax Tables'!X$233-'Tax Tables'!X$232)*'Tax Tables'!X$234,0))),0)/Round_To,0)*Round_To</f>
        <v>0</v>
      </c>
      <c r="Y198" s="1124">
        <f>ROUND(IF(Exclude_Taxes="n",IF(Filing_Status="m",IF(OR(Y7&lt;Single_Rate_Start,Single_Rate_Start=""),IF(AND(Y193&gt;='Tax Tables'!Y$153,Y193&lt;='Tax Tables'!Y$154),(Y193-'Tax Tables'!Y$153)*'Tax Tables'!Y$155,IF(Y193&gt;='Tax Tables'!Y$154,('Tax Tables'!Y$154-'Tax Tables'!Y$153)*'Tax Tables'!Y$155,0)),IF(AND(Y193&gt;='Tax Tables'!Y$232,Y193&lt;='Tax Tables'!Y$233),(Y193-'Tax Tables'!Y$232)*'Tax Tables'!Y$234,IF(Y193&gt;='Tax Tables'!Y$233,('Tax Tables'!Y$233-'Tax Tables'!Y$232)*'Tax Tables'!Y$234,0))),IF(AND(Y193&gt;='Tax Tables'!Y$232,Y193&lt;='Tax Tables'!Y$233),(Y193-'Tax Tables'!Y$232)*'Tax Tables'!Y$234,IF(Y193&gt;='Tax Tables'!Y$233,('Tax Tables'!Y$233-'Tax Tables'!Y$232)*'Tax Tables'!Y$234,0))),0)/Round_To,0)*Round_To</f>
        <v>0</v>
      </c>
      <c r="Z198" s="1124">
        <f>ROUND(IF(Exclude_Taxes="n",IF(Filing_Status="m",IF(OR(Z7&lt;Single_Rate_Start,Single_Rate_Start=""),IF(AND(Z193&gt;='Tax Tables'!Z$153,Z193&lt;='Tax Tables'!Z$154),(Z193-'Tax Tables'!Z$153)*'Tax Tables'!Z$155,IF(Z193&gt;='Tax Tables'!Z$154,('Tax Tables'!Z$154-'Tax Tables'!Z$153)*'Tax Tables'!Z$155,0)),IF(AND(Z193&gt;='Tax Tables'!Z$232,Z193&lt;='Tax Tables'!Z$233),(Z193-'Tax Tables'!Z$232)*'Tax Tables'!Z$234,IF(Z193&gt;='Tax Tables'!Z$233,('Tax Tables'!Z$233-'Tax Tables'!Z$232)*'Tax Tables'!Z$234,0))),IF(AND(Z193&gt;='Tax Tables'!Z$232,Z193&lt;='Tax Tables'!Z$233),(Z193-'Tax Tables'!Z$232)*'Tax Tables'!Z$234,IF(Z193&gt;='Tax Tables'!Z$233,('Tax Tables'!Z$233-'Tax Tables'!Z$232)*'Tax Tables'!Z$234,0))),0)/Round_To,0)*Round_To</f>
        <v>0</v>
      </c>
      <c r="AA198" s="1124">
        <f>ROUND(IF(Exclude_Taxes="n",IF(Filing_Status="m",IF(OR(AA7&lt;Single_Rate_Start,Single_Rate_Start=""),IF(AND(AA193&gt;='Tax Tables'!AA$153,AA193&lt;='Tax Tables'!AA$154),(AA193-'Tax Tables'!AA$153)*'Tax Tables'!AA$155,IF(AA193&gt;='Tax Tables'!AA$154,('Tax Tables'!AA$154-'Tax Tables'!AA$153)*'Tax Tables'!AA$155,0)),IF(AND(AA193&gt;='Tax Tables'!AA$232,AA193&lt;='Tax Tables'!AA$233),(AA193-'Tax Tables'!AA$232)*'Tax Tables'!AA$234,IF(AA193&gt;='Tax Tables'!AA$233,('Tax Tables'!AA$233-'Tax Tables'!AA$232)*'Tax Tables'!AA$234,0))),IF(AND(AA193&gt;='Tax Tables'!AA$232,AA193&lt;='Tax Tables'!AA$233),(AA193-'Tax Tables'!AA$232)*'Tax Tables'!AA$234,IF(AA193&gt;='Tax Tables'!AA$233,('Tax Tables'!AA$233-'Tax Tables'!AA$232)*'Tax Tables'!AA$234,0))),0)/Round_To,0)*Round_To</f>
        <v>0</v>
      </c>
      <c r="AB198" s="1124">
        <f>ROUND(IF(Exclude_Taxes="n",IF(Filing_Status="m",IF(OR(AB7&lt;Single_Rate_Start,Single_Rate_Start=""),IF(AND(AB193&gt;='Tax Tables'!AB$153,AB193&lt;='Tax Tables'!AB$154),(AB193-'Tax Tables'!AB$153)*'Tax Tables'!AB$155,IF(AB193&gt;='Tax Tables'!AB$154,('Tax Tables'!AB$154-'Tax Tables'!AB$153)*'Tax Tables'!AB$155,0)),IF(AND(AB193&gt;='Tax Tables'!AB$232,AB193&lt;='Tax Tables'!AB$233),(AB193-'Tax Tables'!AB$232)*'Tax Tables'!AB$234,IF(AB193&gt;='Tax Tables'!AB$233,('Tax Tables'!AB$233-'Tax Tables'!AB$232)*'Tax Tables'!AB$234,0))),IF(AND(AB193&gt;='Tax Tables'!AB$232,AB193&lt;='Tax Tables'!AB$233),(AB193-'Tax Tables'!AB$232)*'Tax Tables'!AB$234,IF(AB193&gt;='Tax Tables'!AB$233,('Tax Tables'!AB$233-'Tax Tables'!AB$232)*'Tax Tables'!AB$234,0))),0)/Round_To,0)*Round_To</f>
        <v>0</v>
      </c>
      <c r="AC198" s="1124">
        <f>ROUND(IF(Exclude_Taxes="n",IF(Filing_Status="m",IF(OR(AC7&lt;Single_Rate_Start,Single_Rate_Start=""),IF(AND(AC193&gt;='Tax Tables'!AC$153,AC193&lt;='Tax Tables'!AC$154),(AC193-'Tax Tables'!AC$153)*'Tax Tables'!AC$155,IF(AC193&gt;='Tax Tables'!AC$154,('Tax Tables'!AC$154-'Tax Tables'!AC$153)*'Tax Tables'!AC$155,0)),IF(AND(AC193&gt;='Tax Tables'!AC$232,AC193&lt;='Tax Tables'!AC$233),(AC193-'Tax Tables'!AC$232)*'Tax Tables'!AC$234,IF(AC193&gt;='Tax Tables'!AC$233,('Tax Tables'!AC$233-'Tax Tables'!AC$232)*'Tax Tables'!AC$234,0))),IF(AND(AC193&gt;='Tax Tables'!AC$232,AC193&lt;='Tax Tables'!AC$233),(AC193-'Tax Tables'!AC$232)*'Tax Tables'!AC$234,IF(AC193&gt;='Tax Tables'!AC$233,('Tax Tables'!AC$233-'Tax Tables'!AC$232)*'Tax Tables'!AC$234,0))),0)/Round_To,0)*Round_To</f>
        <v>0</v>
      </c>
      <c r="AD198" s="1124">
        <f>ROUND(IF(Exclude_Taxes="n",IF(Filing_Status="m",IF(OR(AD7&lt;Single_Rate_Start,Single_Rate_Start=""),IF(AND(AD193&gt;='Tax Tables'!AD$153,AD193&lt;='Tax Tables'!AD$154),(AD193-'Tax Tables'!AD$153)*'Tax Tables'!AD$155,IF(AD193&gt;='Tax Tables'!AD$154,('Tax Tables'!AD$154-'Tax Tables'!AD$153)*'Tax Tables'!AD$155,0)),IF(AND(AD193&gt;='Tax Tables'!AD$232,AD193&lt;='Tax Tables'!AD$233),(AD193-'Tax Tables'!AD$232)*'Tax Tables'!AD$234,IF(AD193&gt;='Tax Tables'!AD$233,('Tax Tables'!AD$233-'Tax Tables'!AD$232)*'Tax Tables'!AD$234,0))),IF(AND(AD193&gt;='Tax Tables'!AD$232,AD193&lt;='Tax Tables'!AD$233),(AD193-'Tax Tables'!AD$232)*'Tax Tables'!AD$234,IF(AD193&gt;='Tax Tables'!AD$233,('Tax Tables'!AD$233-'Tax Tables'!AD$232)*'Tax Tables'!AD$234,0))),0)/Round_To,0)*Round_To</f>
        <v>0</v>
      </c>
      <c r="AE198" s="1124">
        <f>ROUND(IF(Exclude_Taxes="n",IF(Filing_Status="m",IF(OR(AE7&lt;Single_Rate_Start,Single_Rate_Start=""),IF(AND(AE193&gt;='Tax Tables'!AE$153,AE193&lt;='Tax Tables'!AE$154),(AE193-'Tax Tables'!AE$153)*'Tax Tables'!AE$155,IF(AE193&gt;='Tax Tables'!AE$154,('Tax Tables'!AE$154-'Tax Tables'!AE$153)*'Tax Tables'!AE$155,0)),IF(AND(AE193&gt;='Tax Tables'!AE$232,AE193&lt;='Tax Tables'!AE$233),(AE193-'Tax Tables'!AE$232)*'Tax Tables'!AE$234,IF(AE193&gt;='Tax Tables'!AE$233,('Tax Tables'!AE$233-'Tax Tables'!AE$232)*'Tax Tables'!AE$234,0))),IF(AND(AE193&gt;='Tax Tables'!AE$232,AE193&lt;='Tax Tables'!AE$233),(AE193-'Tax Tables'!AE$232)*'Tax Tables'!AE$234,IF(AE193&gt;='Tax Tables'!AE$233,('Tax Tables'!AE$233-'Tax Tables'!AE$232)*'Tax Tables'!AE$234,0))),0)/Round_To,0)*Round_To</f>
        <v>0</v>
      </c>
      <c r="AF198" s="1124">
        <f>ROUND(IF(Exclude_Taxes="n",IF(Filing_Status="m",IF(OR(AF7&lt;Single_Rate_Start,Single_Rate_Start=""),IF(AND(AF193&gt;='Tax Tables'!AF$153,AF193&lt;='Tax Tables'!AF$154),(AF193-'Tax Tables'!AF$153)*'Tax Tables'!AF$155,IF(AF193&gt;='Tax Tables'!AF$154,('Tax Tables'!AF$154-'Tax Tables'!AF$153)*'Tax Tables'!AF$155,0)),IF(AND(AF193&gt;='Tax Tables'!AF$232,AF193&lt;='Tax Tables'!AF$233),(AF193-'Tax Tables'!AF$232)*'Tax Tables'!AF$234,IF(AF193&gt;='Tax Tables'!AF$233,('Tax Tables'!AF$233-'Tax Tables'!AF$232)*'Tax Tables'!AF$234,0))),IF(AND(AF193&gt;='Tax Tables'!AF$232,AF193&lt;='Tax Tables'!AF$233),(AF193-'Tax Tables'!AF$232)*'Tax Tables'!AF$234,IF(AF193&gt;='Tax Tables'!AF$233,('Tax Tables'!AF$233-'Tax Tables'!AF$232)*'Tax Tables'!AF$234,0))),0)/Round_To,0)*Round_To</f>
        <v>0</v>
      </c>
      <c r="AG198" s="1124">
        <f>ROUND(IF(Exclude_Taxes="n",IF(Filing_Status="m",IF(OR(AG7&lt;Single_Rate_Start,Single_Rate_Start=""),IF(AND(AG193&gt;='Tax Tables'!AG$153,AG193&lt;='Tax Tables'!AG$154),(AG193-'Tax Tables'!AG$153)*'Tax Tables'!AG$155,IF(AG193&gt;='Tax Tables'!AG$154,('Tax Tables'!AG$154-'Tax Tables'!AG$153)*'Tax Tables'!AG$155,0)),IF(AND(AG193&gt;='Tax Tables'!AG$232,AG193&lt;='Tax Tables'!AG$233),(AG193-'Tax Tables'!AG$232)*'Tax Tables'!AG$234,IF(AG193&gt;='Tax Tables'!AG$233,('Tax Tables'!AG$233-'Tax Tables'!AG$232)*'Tax Tables'!AG$234,0))),IF(AND(AG193&gt;='Tax Tables'!AG$232,AG193&lt;='Tax Tables'!AG$233),(AG193-'Tax Tables'!AG$232)*'Tax Tables'!AG$234,IF(AG193&gt;='Tax Tables'!AG$233,('Tax Tables'!AG$233-'Tax Tables'!AG$232)*'Tax Tables'!AG$234,0))),0)/Round_To,0)*Round_To</f>
        <v>0</v>
      </c>
      <c r="AH198" s="1124">
        <f>ROUND(IF(Exclude_Taxes="n",IF(Filing_Status="m",IF(OR(AH7&lt;Single_Rate_Start,Single_Rate_Start=""),IF(AND(AH193&gt;='Tax Tables'!AH$153,AH193&lt;='Tax Tables'!AH$154),(AH193-'Tax Tables'!AH$153)*'Tax Tables'!AH$155,IF(AH193&gt;='Tax Tables'!AH$154,('Tax Tables'!AH$154-'Tax Tables'!AH$153)*'Tax Tables'!AH$155,0)),IF(AND(AH193&gt;='Tax Tables'!AH$232,AH193&lt;='Tax Tables'!AH$233),(AH193-'Tax Tables'!AH$232)*'Tax Tables'!AH$234,IF(AH193&gt;='Tax Tables'!AH$233,('Tax Tables'!AH$233-'Tax Tables'!AH$232)*'Tax Tables'!AH$234,0))),IF(AND(AH193&gt;='Tax Tables'!AH$232,AH193&lt;='Tax Tables'!AH$233),(AH193-'Tax Tables'!AH$232)*'Tax Tables'!AH$234,IF(AH193&gt;='Tax Tables'!AH$233,('Tax Tables'!AH$233-'Tax Tables'!AH$232)*'Tax Tables'!AH$234,0))),0)/Round_To,0)*Round_To</f>
        <v>0</v>
      </c>
      <c r="AI198" s="1124">
        <f>ROUND(IF(Exclude_Taxes="n",IF(Filing_Status="m",IF(OR(AI7&lt;Single_Rate_Start,Single_Rate_Start=""),IF(AND(AI193&gt;='Tax Tables'!AI$153,AI193&lt;='Tax Tables'!AI$154),(AI193-'Tax Tables'!AI$153)*'Tax Tables'!AI$155,IF(AI193&gt;='Tax Tables'!AI$154,('Tax Tables'!AI$154-'Tax Tables'!AI$153)*'Tax Tables'!AI$155,0)),IF(AND(AI193&gt;='Tax Tables'!AI$232,AI193&lt;='Tax Tables'!AI$233),(AI193-'Tax Tables'!AI$232)*'Tax Tables'!AI$234,IF(AI193&gt;='Tax Tables'!AI$233,('Tax Tables'!AI$233-'Tax Tables'!AI$232)*'Tax Tables'!AI$234,0))),IF(AND(AI193&gt;='Tax Tables'!AI$232,AI193&lt;='Tax Tables'!AI$233),(AI193-'Tax Tables'!AI$232)*'Tax Tables'!AI$234,IF(AI193&gt;='Tax Tables'!AI$233,('Tax Tables'!AI$233-'Tax Tables'!AI$232)*'Tax Tables'!AI$234,0))),0)/Round_To,0)*Round_To</f>
        <v>0</v>
      </c>
      <c r="AJ198" s="1124">
        <f>ROUND(IF(Exclude_Taxes="n",IF(Filing_Status="m",IF(OR(AJ7&lt;Single_Rate_Start,Single_Rate_Start=""),IF(AND(AJ193&gt;='Tax Tables'!AJ$153,AJ193&lt;='Tax Tables'!AJ$154),(AJ193-'Tax Tables'!AJ$153)*'Tax Tables'!AJ$155,IF(AJ193&gt;='Tax Tables'!AJ$154,('Tax Tables'!AJ$154-'Tax Tables'!AJ$153)*'Tax Tables'!AJ$155,0)),IF(AND(AJ193&gt;='Tax Tables'!AJ$232,AJ193&lt;='Tax Tables'!AJ$233),(AJ193-'Tax Tables'!AJ$232)*'Tax Tables'!AJ$234,IF(AJ193&gt;='Tax Tables'!AJ$233,('Tax Tables'!AJ$233-'Tax Tables'!AJ$232)*'Tax Tables'!AJ$234,0))),IF(AND(AJ193&gt;='Tax Tables'!AJ$232,AJ193&lt;='Tax Tables'!AJ$233),(AJ193-'Tax Tables'!AJ$232)*'Tax Tables'!AJ$234,IF(AJ193&gt;='Tax Tables'!AJ$233,('Tax Tables'!AJ$233-'Tax Tables'!AJ$232)*'Tax Tables'!AJ$234,0))),0)/Round_To,0)*Round_To</f>
        <v>0</v>
      </c>
      <c r="AK198" s="1124">
        <f>ROUND(IF(Exclude_Taxes="n",IF(Filing_Status="m",IF(OR(AK7&lt;Single_Rate_Start,Single_Rate_Start=""),IF(AND(AK193&gt;='Tax Tables'!AK$153,AK193&lt;='Tax Tables'!AK$154),(AK193-'Tax Tables'!AK$153)*'Tax Tables'!AK$155,IF(AK193&gt;='Tax Tables'!AK$154,('Tax Tables'!AK$154-'Tax Tables'!AK$153)*'Tax Tables'!AK$155,0)),IF(AND(AK193&gt;='Tax Tables'!AK$232,AK193&lt;='Tax Tables'!AK$233),(AK193-'Tax Tables'!AK$232)*'Tax Tables'!AK$234,IF(AK193&gt;='Tax Tables'!AK$233,('Tax Tables'!AK$233-'Tax Tables'!AK$232)*'Tax Tables'!AK$234,0))),IF(AND(AK193&gt;='Tax Tables'!AK$232,AK193&lt;='Tax Tables'!AK$233),(AK193-'Tax Tables'!AK$232)*'Tax Tables'!AK$234,IF(AK193&gt;='Tax Tables'!AK$233,('Tax Tables'!AK$233-'Tax Tables'!AK$232)*'Tax Tables'!AK$234,0))),0)/Round_To,0)*Round_To</f>
        <v>0</v>
      </c>
      <c r="AL198" s="1124">
        <f>ROUND(IF(Exclude_Taxes="n",IF(Filing_Status="m",IF(OR(AL7&lt;Single_Rate_Start,Single_Rate_Start=""),IF(AND(AL193&gt;='Tax Tables'!AL$153,AL193&lt;='Tax Tables'!AL$154),(AL193-'Tax Tables'!AL$153)*'Tax Tables'!AL$155,IF(AL193&gt;='Tax Tables'!AL$154,('Tax Tables'!AL$154-'Tax Tables'!AL$153)*'Tax Tables'!AL$155,0)),IF(AND(AL193&gt;='Tax Tables'!AL$232,AL193&lt;='Tax Tables'!AL$233),(AL193-'Tax Tables'!AL$232)*'Tax Tables'!AL$234,IF(AL193&gt;='Tax Tables'!AL$233,('Tax Tables'!AL$233-'Tax Tables'!AL$232)*'Tax Tables'!AL$234,0))),IF(AND(AL193&gt;='Tax Tables'!AL$232,AL193&lt;='Tax Tables'!AL$233),(AL193-'Tax Tables'!AL$232)*'Tax Tables'!AL$234,IF(AL193&gt;='Tax Tables'!AL$233,('Tax Tables'!AL$233-'Tax Tables'!AL$232)*'Tax Tables'!AL$234,0))),0)/Round_To,0)*Round_To</f>
        <v>0</v>
      </c>
      <c r="AM198" s="1124">
        <f>ROUND(IF(Exclude_Taxes="n",IF(Filing_Status="m",IF(OR(AM7&lt;Single_Rate_Start,Single_Rate_Start=""),IF(AND(AM193&gt;='Tax Tables'!AM$153,AM193&lt;='Tax Tables'!AM$154),(AM193-'Tax Tables'!AM$153)*'Tax Tables'!AM$155,IF(AM193&gt;='Tax Tables'!AM$154,('Tax Tables'!AM$154-'Tax Tables'!AM$153)*'Tax Tables'!AM$155,0)),IF(AND(AM193&gt;='Tax Tables'!AM$232,AM193&lt;='Tax Tables'!AM$233),(AM193-'Tax Tables'!AM$232)*'Tax Tables'!AM$234,IF(AM193&gt;='Tax Tables'!AM$233,('Tax Tables'!AM$233-'Tax Tables'!AM$232)*'Tax Tables'!AM$234,0))),IF(AND(AM193&gt;='Tax Tables'!AM$232,AM193&lt;='Tax Tables'!AM$233),(AM193-'Tax Tables'!AM$232)*'Tax Tables'!AM$234,IF(AM193&gt;='Tax Tables'!AM$233,('Tax Tables'!AM$233-'Tax Tables'!AM$232)*'Tax Tables'!AM$234,0))),0)/Round_To,0)*Round_To</f>
        <v>0</v>
      </c>
      <c r="AN198" s="1124">
        <f>ROUND(IF(Exclude_Taxes="n",IF(Filing_Status="m",IF(OR(AN7&lt;Single_Rate_Start,Single_Rate_Start=""),IF(AND(AN193&gt;='Tax Tables'!AN$153,AN193&lt;='Tax Tables'!AN$154),(AN193-'Tax Tables'!AN$153)*'Tax Tables'!AN$155,IF(AN193&gt;='Tax Tables'!AN$154,('Tax Tables'!AN$154-'Tax Tables'!AN$153)*'Tax Tables'!AN$155,0)),IF(AND(AN193&gt;='Tax Tables'!AN$232,AN193&lt;='Tax Tables'!AN$233),(AN193-'Tax Tables'!AN$232)*'Tax Tables'!AN$234,IF(AN193&gt;='Tax Tables'!AN$233,('Tax Tables'!AN$233-'Tax Tables'!AN$232)*'Tax Tables'!AN$234,0))),IF(AND(AN193&gt;='Tax Tables'!AN$232,AN193&lt;='Tax Tables'!AN$233),(AN193-'Tax Tables'!AN$232)*'Tax Tables'!AN$234,IF(AN193&gt;='Tax Tables'!AN$233,('Tax Tables'!AN$233-'Tax Tables'!AN$232)*'Tax Tables'!AN$234,0))),0)/Round_To,0)*Round_To</f>
        <v>0</v>
      </c>
      <c r="AO198" s="1124">
        <f>ROUND(IF(Exclude_Taxes="n",IF(Filing_Status="m",IF(OR(AO7&lt;Single_Rate_Start,Single_Rate_Start=""),IF(AND(AO193&gt;='Tax Tables'!AO$153,AO193&lt;='Tax Tables'!AO$154),(AO193-'Tax Tables'!AO$153)*'Tax Tables'!AO$155,IF(AO193&gt;='Tax Tables'!AO$154,('Tax Tables'!AO$154-'Tax Tables'!AO$153)*'Tax Tables'!AO$155,0)),IF(AND(AO193&gt;='Tax Tables'!AO$232,AO193&lt;='Tax Tables'!AO$233),(AO193-'Tax Tables'!AO$232)*'Tax Tables'!AO$234,IF(AO193&gt;='Tax Tables'!AO$233,('Tax Tables'!AO$233-'Tax Tables'!AO$232)*'Tax Tables'!AO$234,0))),IF(AND(AO193&gt;='Tax Tables'!AO$232,AO193&lt;='Tax Tables'!AO$233),(AO193-'Tax Tables'!AO$232)*'Tax Tables'!AO$234,IF(AO193&gt;='Tax Tables'!AO$233,('Tax Tables'!AO$233-'Tax Tables'!AO$232)*'Tax Tables'!AO$234,0))),0)/Round_To,0)*Round_To</f>
        <v>0</v>
      </c>
      <c r="AP198" s="1124">
        <f>ROUND(IF(Exclude_Taxes="n",IF(Filing_Status="m",IF(OR(AP7&lt;Single_Rate_Start,Single_Rate_Start=""),IF(AND(AP193&gt;='Tax Tables'!AP$153,AP193&lt;='Tax Tables'!AP$154),(AP193-'Tax Tables'!AP$153)*'Tax Tables'!AP$155,IF(AP193&gt;='Tax Tables'!AP$154,('Tax Tables'!AP$154-'Tax Tables'!AP$153)*'Tax Tables'!AP$155,0)),IF(AND(AP193&gt;='Tax Tables'!AP$232,AP193&lt;='Tax Tables'!AP$233),(AP193-'Tax Tables'!AP$232)*'Tax Tables'!AP$234,IF(AP193&gt;='Tax Tables'!AP$233,('Tax Tables'!AP$233-'Tax Tables'!AP$232)*'Tax Tables'!AP$234,0))),IF(AND(AP193&gt;='Tax Tables'!AP$232,AP193&lt;='Tax Tables'!AP$233),(AP193-'Tax Tables'!AP$232)*'Tax Tables'!AP$234,IF(AP193&gt;='Tax Tables'!AP$233,('Tax Tables'!AP$233-'Tax Tables'!AP$232)*'Tax Tables'!AP$234,0))),0)/Round_To,0)*Round_To</f>
        <v>0</v>
      </c>
      <c r="AQ198" s="1124">
        <f>ROUND(IF(Exclude_Taxes="n",IF(Filing_Status="m",IF(OR(AQ7&lt;Single_Rate_Start,Single_Rate_Start=""),IF(AND(AQ193&gt;='Tax Tables'!AQ$153,AQ193&lt;='Tax Tables'!AQ$154),(AQ193-'Tax Tables'!AQ$153)*'Tax Tables'!AQ$155,IF(AQ193&gt;='Tax Tables'!AQ$154,('Tax Tables'!AQ$154-'Tax Tables'!AQ$153)*'Tax Tables'!AQ$155,0)),IF(AND(AQ193&gt;='Tax Tables'!AQ$232,AQ193&lt;='Tax Tables'!AQ$233),(AQ193-'Tax Tables'!AQ$232)*'Tax Tables'!AQ$234,IF(AQ193&gt;='Tax Tables'!AQ$233,('Tax Tables'!AQ$233-'Tax Tables'!AQ$232)*'Tax Tables'!AQ$234,0))),IF(AND(AQ193&gt;='Tax Tables'!AQ$232,AQ193&lt;='Tax Tables'!AQ$233),(AQ193-'Tax Tables'!AQ$232)*'Tax Tables'!AQ$234,IF(AQ193&gt;='Tax Tables'!AQ$233,('Tax Tables'!AQ$233-'Tax Tables'!AQ$232)*'Tax Tables'!AQ$234,0))),0)/Round_To,0)*Round_To</f>
        <v>0</v>
      </c>
      <c r="AR198" s="1124">
        <f>ROUND(IF(Exclude_Taxes="n",IF(Filing_Status="m",IF(OR(AR7&lt;Single_Rate_Start,Single_Rate_Start=""),IF(AND(AR193&gt;='Tax Tables'!AR$153,AR193&lt;='Tax Tables'!AR$154),(AR193-'Tax Tables'!AR$153)*'Tax Tables'!AR$155,IF(AR193&gt;='Tax Tables'!AR$154,('Tax Tables'!AR$154-'Tax Tables'!AR$153)*'Tax Tables'!AR$155,0)),IF(AND(AR193&gt;='Tax Tables'!AR$232,AR193&lt;='Tax Tables'!AR$233),(AR193-'Tax Tables'!AR$232)*'Tax Tables'!AR$234,IF(AR193&gt;='Tax Tables'!AR$233,('Tax Tables'!AR$233-'Tax Tables'!AR$232)*'Tax Tables'!AR$234,0))),IF(AND(AR193&gt;='Tax Tables'!AR$232,AR193&lt;='Tax Tables'!AR$233),(AR193-'Tax Tables'!AR$232)*'Tax Tables'!AR$234,IF(AR193&gt;='Tax Tables'!AR$233,('Tax Tables'!AR$233-'Tax Tables'!AR$232)*'Tax Tables'!AR$234,0))),0)/Round_To,0)*Round_To</f>
        <v>0</v>
      </c>
      <c r="AS198" s="1124">
        <f>ROUND(IF(Exclude_Taxes="n",IF(Filing_Status="m",IF(OR(AS7&lt;Single_Rate_Start,Single_Rate_Start=""),IF(AND(AS193&gt;='Tax Tables'!AS$153,AS193&lt;='Tax Tables'!AS$154),(AS193-'Tax Tables'!AS$153)*'Tax Tables'!AS$155,IF(AS193&gt;='Tax Tables'!AS$154,('Tax Tables'!AS$154-'Tax Tables'!AS$153)*'Tax Tables'!AS$155,0)),IF(AND(AS193&gt;='Tax Tables'!AS$232,AS193&lt;='Tax Tables'!AS$233),(AS193-'Tax Tables'!AS$232)*'Tax Tables'!AS$234,IF(AS193&gt;='Tax Tables'!AS$233,('Tax Tables'!AS$233-'Tax Tables'!AS$232)*'Tax Tables'!AS$234,0))),IF(AND(AS193&gt;='Tax Tables'!AS$232,AS193&lt;='Tax Tables'!AS$233),(AS193-'Tax Tables'!AS$232)*'Tax Tables'!AS$234,IF(AS193&gt;='Tax Tables'!AS$233,('Tax Tables'!AS$233-'Tax Tables'!AS$232)*'Tax Tables'!AS$234,0))),0)/Round_To,0)*Round_To</f>
        <v>0</v>
      </c>
      <c r="AT198" s="111"/>
      <c r="AU198" s="15">
        <f>+Base!E198</f>
        <v>0</v>
      </c>
      <c r="AV198" s="103">
        <f t="shared" si="181"/>
        <v>0</v>
      </c>
      <c r="AW198" s="102"/>
      <c r="AX198" s="120"/>
      <c r="AY198" s="120"/>
      <c r="AZ198" s="111"/>
      <c r="BA198" s="120"/>
      <c r="BB198" s="120"/>
      <c r="BC198" s="121"/>
      <c r="BD198" s="121"/>
      <c r="BE198" s="121"/>
      <c r="BF198" s="120"/>
      <c r="BG198" s="120"/>
      <c r="BH198" s="120"/>
      <c r="BI198" s="120"/>
      <c r="BJ198" s="121"/>
      <c r="BK198" s="120"/>
      <c r="BL198" s="121"/>
      <c r="BM198" s="121"/>
      <c r="BN198" s="120"/>
      <c r="BO198" s="120"/>
      <c r="BP198" s="120"/>
      <c r="BQ198" s="120"/>
      <c r="BR198" s="120"/>
      <c r="BS198" s="120"/>
      <c r="BT198" s="120"/>
      <c r="BU198" s="120"/>
      <c r="BV198" s="120"/>
      <c r="BW198" s="120"/>
      <c r="BX198" s="120"/>
      <c r="BY198" s="120"/>
      <c r="BZ198" s="120"/>
      <c r="CA198" s="122"/>
      <c r="CB198" s="120"/>
      <c r="CC198" s="120"/>
      <c r="CD198" s="120"/>
      <c r="CE198" s="120"/>
      <c r="CF198" s="120"/>
      <c r="CG198" s="120"/>
      <c r="CH198" s="120"/>
      <c r="CI198" s="120"/>
      <c r="CJ198" s="120"/>
      <c r="CK198" s="120"/>
      <c r="CL198" s="120"/>
      <c r="CM198" s="120"/>
      <c r="CN198" s="120"/>
    </row>
    <row r="199" spans="1:92" hidden="1">
      <c r="A199" s="1427" t="s">
        <v>1578</v>
      </c>
      <c r="B199" s="425"/>
      <c r="C199" s="425" t="str">
        <f>IF(Tax_Rates_Alt="y",IF(Filing_Status="m",Setup!$E$237,Setup!$H$237),"")</f>
        <v/>
      </c>
      <c r="D199" s="67">
        <f>IF(Filing_Status="m",Setup!$D$237,Setup!$G$237)</f>
        <v>0.32</v>
      </c>
      <c r="E199" s="102">
        <f t="shared" si="180"/>
        <v>0</v>
      </c>
      <c r="F199" s="88">
        <f>ROUND(IF(Exclude_Taxes="n",IF(Filing_Status="m",IF(OR(F$7&lt;Single_Rate_Start,Single_Rate_Start=""),IF(AND(F$193&gt;='Tax Tables'!F$158,F$193&lt;='Tax Tables'!F$159),(F$193-'Tax Tables'!F$158)*'Tax Tables'!F$160,IF(F$193&gt;='Tax Tables'!F$159,('Tax Tables'!F$159-'Tax Tables'!F$158)*'Tax Tables'!F$160,0)),IF(AND(F$193&gt;='Tax Tables'!F$237,F$193&lt;='Tax Tables'!F$238),(F$193-'Tax Tables'!F$237)*'Tax Tables'!F$239,IF(F$193&gt;='Tax Tables'!F$238,('Tax Tables'!F$238-'Tax Tables'!F$237)*'Tax Tables'!F$239,0))),IF(AND(F$193&gt;='Tax Tables'!F$237,F$193&lt;='Tax Tables'!F$238),(F$193-'Tax Tables'!F$237)*'Tax Tables'!F$239,IF(F$193&gt;='Tax Tables'!F$238,('Tax Tables'!F$238-'Tax Tables'!F$237)*'Tax Tables'!F$239,0))),0)/Round_To,0)*Round_To</f>
        <v>0</v>
      </c>
      <c r="G199" s="1124">
        <f>ROUND(IF(Exclude_Taxes="n",IF(Filing_Status="m",IF(OR(G$7&lt;Single_Rate_Start,Single_Rate_Start=""),IF(AND(G$193&gt;='Tax Tables'!G$158,G$193&lt;='Tax Tables'!G$159),(G$193-'Tax Tables'!G$158)*'Tax Tables'!G$160,IF(G$193&gt;='Tax Tables'!G$159,('Tax Tables'!G$159-'Tax Tables'!G$158)*'Tax Tables'!G$160,0)),IF(AND(G$193&gt;='Tax Tables'!G$237,G$193&lt;='Tax Tables'!G$238),(G$193-'Tax Tables'!G$237)*'Tax Tables'!G$239,IF(G$193&gt;='Tax Tables'!G$238,('Tax Tables'!G$238-'Tax Tables'!G$237)*'Tax Tables'!G$239,0))),IF(AND(G$193&gt;='Tax Tables'!G$237,G$193&lt;='Tax Tables'!G$238),(G$193-'Tax Tables'!G$237)*'Tax Tables'!G$239,IF(G$193&gt;='Tax Tables'!G$238,('Tax Tables'!G$238-'Tax Tables'!G$237)*'Tax Tables'!G$239,0))),0)/Round_To,0)*Round_To</f>
        <v>0</v>
      </c>
      <c r="H199" s="1124">
        <f>ROUND(IF(Exclude_Taxes="n",IF(Filing_Status="m",IF(OR(H$7&lt;Single_Rate_Start,Single_Rate_Start=""),IF(AND(H$193&gt;='Tax Tables'!H$158,H$193&lt;='Tax Tables'!H$159),(H$193-'Tax Tables'!H$158)*'Tax Tables'!H$160,IF(H$193&gt;='Tax Tables'!H$159,('Tax Tables'!H$159-'Tax Tables'!H$158)*'Tax Tables'!H$160,0)),IF(AND(H$193&gt;='Tax Tables'!H$237,H$193&lt;='Tax Tables'!H$238),(H$193-'Tax Tables'!H$237)*'Tax Tables'!H$239,IF(H$193&gt;='Tax Tables'!H$238,('Tax Tables'!H$238-'Tax Tables'!H$237)*'Tax Tables'!H$239,0))),IF(AND(H$193&gt;='Tax Tables'!H$237,H$193&lt;='Tax Tables'!H$238),(H$193-'Tax Tables'!H$237)*'Tax Tables'!H$239,IF(H$193&gt;='Tax Tables'!H$238,('Tax Tables'!H$238-'Tax Tables'!H$237)*'Tax Tables'!H$239,0))),0)/Round_To,0)*Round_To</f>
        <v>0</v>
      </c>
      <c r="I199" s="1124">
        <f>ROUND(IF(Exclude_Taxes="n",IF(Filing_Status="m",IF(OR(I$7&lt;Single_Rate_Start,Single_Rate_Start=""),IF(AND(I$193&gt;='Tax Tables'!I$158,I$193&lt;='Tax Tables'!I$159),(I$193-'Tax Tables'!I$158)*'Tax Tables'!I$160,IF(I$193&gt;='Tax Tables'!I$159,('Tax Tables'!I$159-'Tax Tables'!I$158)*'Tax Tables'!I$160,0)),IF(AND(I$193&gt;='Tax Tables'!I$237,I$193&lt;='Tax Tables'!I$238),(I$193-'Tax Tables'!I$237)*'Tax Tables'!I$239,IF(I$193&gt;='Tax Tables'!I$238,('Tax Tables'!I$238-'Tax Tables'!I$237)*'Tax Tables'!I$239,0))),IF(AND(I$193&gt;='Tax Tables'!I$237,I$193&lt;='Tax Tables'!I$238),(I$193-'Tax Tables'!I$237)*'Tax Tables'!I$239,IF(I$193&gt;='Tax Tables'!I$238,('Tax Tables'!I$238-'Tax Tables'!I$237)*'Tax Tables'!I$239,0))),0)/Round_To,0)*Round_To</f>
        <v>0</v>
      </c>
      <c r="J199" s="1124">
        <f>ROUND(IF(Exclude_Taxes="n",IF(Filing_Status="m",IF(OR(J$7&lt;Single_Rate_Start,Single_Rate_Start=""),IF(AND(J$193&gt;='Tax Tables'!J$158,J$193&lt;='Tax Tables'!J$159),(J$193-'Tax Tables'!J$158)*'Tax Tables'!J$160,IF(J$193&gt;='Tax Tables'!J$159,('Tax Tables'!J$159-'Tax Tables'!J$158)*'Tax Tables'!J$160,0)),IF(AND(J$193&gt;='Tax Tables'!J$237,J$193&lt;='Tax Tables'!J$238),(J$193-'Tax Tables'!J$237)*'Tax Tables'!J$239,IF(J$193&gt;='Tax Tables'!J$238,('Tax Tables'!J$238-'Tax Tables'!J$237)*'Tax Tables'!J$239,0))),IF(AND(J$193&gt;='Tax Tables'!J$237,J$193&lt;='Tax Tables'!J$238),(J$193-'Tax Tables'!J$237)*'Tax Tables'!J$239,IF(J$193&gt;='Tax Tables'!J$238,('Tax Tables'!J$238-'Tax Tables'!J$237)*'Tax Tables'!J$239,0))),0)/Round_To,0)*Round_To</f>
        <v>0</v>
      </c>
      <c r="K199" s="1124">
        <f>ROUND(IF(Exclude_Taxes="n",IF(Filing_Status="m",IF(OR(K$7&lt;Single_Rate_Start,Single_Rate_Start=""),IF(AND(K$193&gt;='Tax Tables'!K$158,K$193&lt;='Tax Tables'!K$159),(K$193-'Tax Tables'!K$158)*'Tax Tables'!K$160,IF(K$193&gt;='Tax Tables'!K$159,('Tax Tables'!K$159-'Tax Tables'!K$158)*'Tax Tables'!K$160,0)),IF(AND(K$193&gt;='Tax Tables'!K$237,K$193&lt;='Tax Tables'!K$238),(K$193-'Tax Tables'!K$237)*'Tax Tables'!K$239,IF(K$193&gt;='Tax Tables'!K$238,('Tax Tables'!K$238-'Tax Tables'!K$237)*'Tax Tables'!K$239,0))),IF(AND(K$193&gt;='Tax Tables'!K$237,K$193&lt;='Tax Tables'!K$238),(K$193-'Tax Tables'!K$237)*'Tax Tables'!K$239,IF(K$193&gt;='Tax Tables'!K$238,('Tax Tables'!K$238-'Tax Tables'!K$237)*'Tax Tables'!K$239,0))),0)/Round_To,0)*Round_To</f>
        <v>0</v>
      </c>
      <c r="L199" s="1124">
        <f>ROUND(IF(Exclude_Taxes="n",IF(Filing_Status="m",IF(OR(L$7&lt;Single_Rate_Start,Single_Rate_Start=""),IF(AND(L$193&gt;='Tax Tables'!L$158,L$193&lt;='Tax Tables'!L$159),(L$193-'Tax Tables'!L$158)*'Tax Tables'!L$160,IF(L$193&gt;='Tax Tables'!L$159,('Tax Tables'!L$159-'Tax Tables'!L$158)*'Tax Tables'!L$160,0)),IF(AND(L$193&gt;='Tax Tables'!L$237,L$193&lt;='Tax Tables'!L$238),(L$193-'Tax Tables'!L$237)*'Tax Tables'!L$239,IF(L$193&gt;='Tax Tables'!L$238,('Tax Tables'!L$238-'Tax Tables'!L$237)*'Tax Tables'!L$239,0))),IF(AND(L$193&gt;='Tax Tables'!L$237,L$193&lt;='Tax Tables'!L$238),(L$193-'Tax Tables'!L$237)*'Tax Tables'!L$239,IF(L$193&gt;='Tax Tables'!L$238,('Tax Tables'!L$238-'Tax Tables'!L$237)*'Tax Tables'!L$239,0))),0)/Round_To,0)*Round_To</f>
        <v>0</v>
      </c>
      <c r="M199" s="1124">
        <f>ROUND(IF(Exclude_Taxes="n",IF(Filing_Status="m",IF(OR(M$7&lt;Single_Rate_Start,Single_Rate_Start=""),IF(AND(M$193&gt;='Tax Tables'!M$158,M$193&lt;='Tax Tables'!M$159),(M$193-'Tax Tables'!M$158)*'Tax Tables'!M$160,IF(M$193&gt;='Tax Tables'!M$159,('Tax Tables'!M$159-'Tax Tables'!M$158)*'Tax Tables'!M$160,0)),IF(AND(M$193&gt;='Tax Tables'!M$237,M$193&lt;='Tax Tables'!M$238),(M$193-'Tax Tables'!M$237)*'Tax Tables'!M$239,IF(M$193&gt;='Tax Tables'!M$238,('Tax Tables'!M$238-'Tax Tables'!M$237)*'Tax Tables'!M$239,0))),IF(AND(M$193&gt;='Tax Tables'!M$237,M$193&lt;='Tax Tables'!M$238),(M$193-'Tax Tables'!M$237)*'Tax Tables'!M$239,IF(M$193&gt;='Tax Tables'!M$238,('Tax Tables'!M$238-'Tax Tables'!M$237)*'Tax Tables'!M$239,0))),0)/Round_To,0)*Round_To</f>
        <v>0</v>
      </c>
      <c r="N199" s="1124">
        <f>ROUND(IF(Exclude_Taxes="n",IF(Filing_Status="m",IF(OR(N$7&lt;Single_Rate_Start,Single_Rate_Start=""),IF(AND(N$193&gt;='Tax Tables'!N$158,N$193&lt;='Tax Tables'!N$159),(N$193-'Tax Tables'!N$158)*'Tax Tables'!N$160,IF(N$193&gt;='Tax Tables'!N$159,('Tax Tables'!N$159-'Tax Tables'!N$158)*'Tax Tables'!N$160,0)),IF(AND(N$193&gt;='Tax Tables'!N$237,N$193&lt;='Tax Tables'!N$238),(N$193-'Tax Tables'!N$237)*'Tax Tables'!N$239,IF(N$193&gt;='Tax Tables'!N$238,('Tax Tables'!N$238-'Tax Tables'!N$237)*'Tax Tables'!N$239,0))),IF(AND(N$193&gt;='Tax Tables'!N$237,N$193&lt;='Tax Tables'!N$238),(N$193-'Tax Tables'!N$237)*'Tax Tables'!N$239,IF(N$193&gt;='Tax Tables'!N$238,('Tax Tables'!N$238-'Tax Tables'!N$237)*'Tax Tables'!N$239,0))),0)/Round_To,0)*Round_To</f>
        <v>0</v>
      </c>
      <c r="O199" s="1124">
        <f>ROUND(IF(Exclude_Taxes="n",IF(Filing_Status="m",IF(OR(O$7&lt;Single_Rate_Start,Single_Rate_Start=""),IF(AND(O$193&gt;='Tax Tables'!O$158,O$193&lt;='Tax Tables'!O$159),(O$193-'Tax Tables'!O$158)*'Tax Tables'!O$160,IF(O$193&gt;='Tax Tables'!O$159,('Tax Tables'!O$159-'Tax Tables'!O$158)*'Tax Tables'!O$160,0)),IF(AND(O$193&gt;='Tax Tables'!O$237,O$193&lt;='Tax Tables'!O$238),(O$193-'Tax Tables'!O$237)*'Tax Tables'!O$239,IF(O$193&gt;='Tax Tables'!O$238,('Tax Tables'!O$238-'Tax Tables'!O$237)*'Tax Tables'!O$239,0))),IF(AND(O$193&gt;='Tax Tables'!O$237,O$193&lt;='Tax Tables'!O$238),(O$193-'Tax Tables'!O$237)*'Tax Tables'!O$239,IF(O$193&gt;='Tax Tables'!O$238,('Tax Tables'!O$238-'Tax Tables'!O$237)*'Tax Tables'!O$239,0))),0)/Round_To,0)*Round_To</f>
        <v>0</v>
      </c>
      <c r="P199" s="1124">
        <f>ROUND(IF(Exclude_Taxes="n",IF(Filing_Status="m",IF(OR(P$7&lt;Single_Rate_Start,Single_Rate_Start=""),IF(AND(P$193&gt;='Tax Tables'!P$158,P$193&lt;='Tax Tables'!P$159),(P$193-'Tax Tables'!P$158)*'Tax Tables'!P$160,IF(P$193&gt;='Tax Tables'!P$159,('Tax Tables'!P$159-'Tax Tables'!P$158)*'Tax Tables'!P$160,0)),IF(AND(P$193&gt;='Tax Tables'!P$237,P$193&lt;='Tax Tables'!P$238),(P$193-'Tax Tables'!P$237)*'Tax Tables'!P$239,IF(P$193&gt;='Tax Tables'!P$238,('Tax Tables'!P$238-'Tax Tables'!P$237)*'Tax Tables'!P$239,0))),IF(AND(P$193&gt;='Tax Tables'!P$237,P$193&lt;='Tax Tables'!P$238),(P$193-'Tax Tables'!P$237)*'Tax Tables'!P$239,IF(P$193&gt;='Tax Tables'!P$238,('Tax Tables'!P$238-'Tax Tables'!P$237)*'Tax Tables'!P$239,0))),0)/Round_To,0)*Round_To</f>
        <v>0</v>
      </c>
      <c r="Q199" s="1124">
        <f>ROUND(IF(Exclude_Taxes="n",IF(Filing_Status="m",IF(OR(Q$7&lt;Single_Rate_Start,Single_Rate_Start=""),IF(AND(Q$193&gt;='Tax Tables'!Q$158,Q$193&lt;='Tax Tables'!Q$159),(Q$193-'Tax Tables'!Q$158)*'Tax Tables'!Q$160,IF(Q$193&gt;='Tax Tables'!Q$159,('Tax Tables'!Q$159-'Tax Tables'!Q$158)*'Tax Tables'!Q$160,0)),IF(AND(Q$193&gt;='Tax Tables'!Q$237,Q$193&lt;='Tax Tables'!Q$238),(Q$193-'Tax Tables'!Q$237)*'Tax Tables'!Q$239,IF(Q$193&gt;='Tax Tables'!Q$238,('Tax Tables'!Q$238-'Tax Tables'!Q$237)*'Tax Tables'!Q$239,0))),IF(AND(Q$193&gt;='Tax Tables'!Q$237,Q$193&lt;='Tax Tables'!Q$238),(Q$193-'Tax Tables'!Q$237)*'Tax Tables'!Q$239,IF(Q$193&gt;='Tax Tables'!Q$238,('Tax Tables'!Q$238-'Tax Tables'!Q$237)*'Tax Tables'!Q$239,0))),0)/Round_To,0)*Round_To</f>
        <v>0</v>
      </c>
      <c r="R199" s="1124">
        <f>ROUND(IF(Exclude_Taxes="n",IF(Filing_Status="m",IF(OR(R$7&lt;Single_Rate_Start,Single_Rate_Start=""),IF(AND(R$193&gt;='Tax Tables'!R$158,R$193&lt;='Tax Tables'!R$159),(R$193-'Tax Tables'!R$158)*'Tax Tables'!R$160,IF(R$193&gt;='Tax Tables'!R$159,('Tax Tables'!R$159-'Tax Tables'!R$158)*'Tax Tables'!R$160,0)),IF(AND(R$193&gt;='Tax Tables'!R$237,R$193&lt;='Tax Tables'!R$238),(R$193-'Tax Tables'!R$237)*'Tax Tables'!R$239,IF(R$193&gt;='Tax Tables'!R$238,('Tax Tables'!R$238-'Tax Tables'!R$237)*'Tax Tables'!R$239,0))),IF(AND(R$193&gt;='Tax Tables'!R$237,R$193&lt;='Tax Tables'!R$238),(R$193-'Tax Tables'!R$237)*'Tax Tables'!R$239,IF(R$193&gt;='Tax Tables'!R$238,('Tax Tables'!R$238-'Tax Tables'!R$237)*'Tax Tables'!R$239,0))),0)/Round_To,0)*Round_To</f>
        <v>0</v>
      </c>
      <c r="S199" s="1124">
        <f>ROUND(IF(Exclude_Taxes="n",IF(Filing_Status="m",IF(OR(S$7&lt;Single_Rate_Start,Single_Rate_Start=""),IF(AND(S$193&gt;='Tax Tables'!S$158,S$193&lt;='Tax Tables'!S$159),(S$193-'Tax Tables'!S$158)*'Tax Tables'!S$160,IF(S$193&gt;='Tax Tables'!S$159,('Tax Tables'!S$159-'Tax Tables'!S$158)*'Tax Tables'!S$160,0)),IF(AND(S$193&gt;='Tax Tables'!S$237,S$193&lt;='Tax Tables'!S$238),(S$193-'Tax Tables'!S$237)*'Tax Tables'!S$239,IF(S$193&gt;='Tax Tables'!S$238,('Tax Tables'!S$238-'Tax Tables'!S$237)*'Tax Tables'!S$239,0))),IF(AND(S$193&gt;='Tax Tables'!S$237,S$193&lt;='Tax Tables'!S$238),(S$193-'Tax Tables'!S$237)*'Tax Tables'!S$239,IF(S$193&gt;='Tax Tables'!S$238,('Tax Tables'!S$238-'Tax Tables'!S$237)*'Tax Tables'!S$239,0))),0)/Round_To,0)*Round_To</f>
        <v>0</v>
      </c>
      <c r="T199" s="1124">
        <f>ROUND(IF(Exclude_Taxes="n",IF(Filing_Status="m",IF(OR(T$7&lt;Single_Rate_Start,Single_Rate_Start=""),IF(AND(T$193&gt;='Tax Tables'!T$158,T$193&lt;='Tax Tables'!T$159),(T$193-'Tax Tables'!T$158)*'Tax Tables'!T$160,IF(T$193&gt;='Tax Tables'!T$159,('Tax Tables'!T$159-'Tax Tables'!T$158)*'Tax Tables'!T$160,0)),IF(AND(T$193&gt;='Tax Tables'!T$237,T$193&lt;='Tax Tables'!T$238),(T$193-'Tax Tables'!T$237)*'Tax Tables'!T$239,IF(T$193&gt;='Tax Tables'!T$238,('Tax Tables'!T$238-'Tax Tables'!T$237)*'Tax Tables'!T$239,0))),IF(AND(T$193&gt;='Tax Tables'!T$237,T$193&lt;='Tax Tables'!T$238),(T$193-'Tax Tables'!T$237)*'Tax Tables'!T$239,IF(T$193&gt;='Tax Tables'!T$238,('Tax Tables'!T$238-'Tax Tables'!T$237)*'Tax Tables'!T$239,0))),0)/Round_To,0)*Round_To</f>
        <v>0</v>
      </c>
      <c r="U199" s="1124">
        <f>ROUND(IF(Exclude_Taxes="n",IF(Filing_Status="m",IF(OR(U$7&lt;Single_Rate_Start,Single_Rate_Start=""),IF(AND(U$193&gt;='Tax Tables'!U$158,U$193&lt;='Tax Tables'!U$159),(U$193-'Tax Tables'!U$158)*'Tax Tables'!U$160,IF(U$193&gt;='Tax Tables'!U$159,('Tax Tables'!U$159-'Tax Tables'!U$158)*'Tax Tables'!U$160,0)),IF(AND(U$193&gt;='Tax Tables'!U$237,U$193&lt;='Tax Tables'!U$238),(U$193-'Tax Tables'!U$237)*'Tax Tables'!U$239,IF(U$193&gt;='Tax Tables'!U$238,('Tax Tables'!U$238-'Tax Tables'!U$237)*'Tax Tables'!U$239,0))),IF(AND(U$193&gt;='Tax Tables'!U$237,U$193&lt;='Tax Tables'!U$238),(U$193-'Tax Tables'!U$237)*'Tax Tables'!U$239,IF(U$193&gt;='Tax Tables'!U$238,('Tax Tables'!U$238-'Tax Tables'!U$237)*'Tax Tables'!U$239,0))),0)/Round_To,0)*Round_To</f>
        <v>0</v>
      </c>
      <c r="V199" s="1124">
        <f>ROUND(IF(Exclude_Taxes="n",IF(Filing_Status="m",IF(OR(V$7&lt;Single_Rate_Start,Single_Rate_Start=""),IF(AND(V$193&gt;='Tax Tables'!V$158,V$193&lt;='Tax Tables'!V$159),(V$193-'Tax Tables'!V$158)*'Tax Tables'!V$160,IF(V$193&gt;='Tax Tables'!V$159,('Tax Tables'!V$159-'Tax Tables'!V$158)*'Tax Tables'!V$160,0)),IF(AND(V$193&gt;='Tax Tables'!V$237,V$193&lt;='Tax Tables'!V$238),(V$193-'Tax Tables'!V$237)*'Tax Tables'!V$239,IF(V$193&gt;='Tax Tables'!V$238,('Tax Tables'!V$238-'Tax Tables'!V$237)*'Tax Tables'!V$239,0))),IF(AND(V$193&gt;='Tax Tables'!V$237,V$193&lt;='Tax Tables'!V$238),(V$193-'Tax Tables'!V$237)*'Tax Tables'!V$239,IF(V$193&gt;='Tax Tables'!V$238,('Tax Tables'!V$238-'Tax Tables'!V$237)*'Tax Tables'!V$239,0))),0)/Round_To,0)*Round_To</f>
        <v>0</v>
      </c>
      <c r="W199" s="1124">
        <f>ROUND(IF(Exclude_Taxes="n",IF(Filing_Status="m",IF(OR(W$7&lt;Single_Rate_Start,Single_Rate_Start=""),IF(AND(W$193&gt;='Tax Tables'!W$158,W$193&lt;='Tax Tables'!W$159),(W$193-'Tax Tables'!W$158)*'Tax Tables'!W$160,IF(W$193&gt;='Tax Tables'!W$159,('Tax Tables'!W$159-'Tax Tables'!W$158)*'Tax Tables'!W$160,0)),IF(AND(W$193&gt;='Tax Tables'!W$237,W$193&lt;='Tax Tables'!W$238),(W$193-'Tax Tables'!W$237)*'Tax Tables'!W$239,IF(W$193&gt;='Tax Tables'!W$238,('Tax Tables'!W$238-'Tax Tables'!W$237)*'Tax Tables'!W$239,0))),IF(AND(W$193&gt;='Tax Tables'!W$237,W$193&lt;='Tax Tables'!W$238),(W$193-'Tax Tables'!W$237)*'Tax Tables'!W$239,IF(W$193&gt;='Tax Tables'!W$238,('Tax Tables'!W$238-'Tax Tables'!W$237)*'Tax Tables'!W$239,0))),0)/Round_To,0)*Round_To</f>
        <v>0</v>
      </c>
      <c r="X199" s="1124">
        <f>ROUND(IF(Exclude_Taxes="n",IF(Filing_Status="m",IF(OR(X$7&lt;Single_Rate_Start,Single_Rate_Start=""),IF(AND(X$193&gt;='Tax Tables'!X$158,X$193&lt;='Tax Tables'!X$159),(X$193-'Tax Tables'!X$158)*'Tax Tables'!X$160,IF(X$193&gt;='Tax Tables'!X$159,('Tax Tables'!X$159-'Tax Tables'!X$158)*'Tax Tables'!X$160,0)),IF(AND(X$193&gt;='Tax Tables'!X$237,X$193&lt;='Tax Tables'!X$238),(X$193-'Tax Tables'!X$237)*'Tax Tables'!X$239,IF(X$193&gt;='Tax Tables'!X$238,('Tax Tables'!X$238-'Tax Tables'!X$237)*'Tax Tables'!X$239,0))),IF(AND(X$193&gt;='Tax Tables'!X$237,X$193&lt;='Tax Tables'!X$238),(X$193-'Tax Tables'!X$237)*'Tax Tables'!X$239,IF(X$193&gt;='Tax Tables'!X$238,('Tax Tables'!X$238-'Tax Tables'!X$237)*'Tax Tables'!X$239,0))),0)/Round_To,0)*Round_To</f>
        <v>0</v>
      </c>
      <c r="Y199" s="1124">
        <f>ROUND(IF(Exclude_Taxes="n",IF(Filing_Status="m",IF(OR(Y$7&lt;Single_Rate_Start,Single_Rate_Start=""),IF(AND(Y$193&gt;='Tax Tables'!Y$158,Y$193&lt;='Tax Tables'!Y$159),(Y$193-'Tax Tables'!Y$158)*'Tax Tables'!Y$160,IF(Y$193&gt;='Tax Tables'!Y$159,('Tax Tables'!Y$159-'Tax Tables'!Y$158)*'Tax Tables'!Y$160,0)),IF(AND(Y$193&gt;='Tax Tables'!Y$237,Y$193&lt;='Tax Tables'!Y$238),(Y$193-'Tax Tables'!Y$237)*'Tax Tables'!Y$239,IF(Y$193&gt;='Tax Tables'!Y$238,('Tax Tables'!Y$238-'Tax Tables'!Y$237)*'Tax Tables'!Y$239,0))),IF(AND(Y$193&gt;='Tax Tables'!Y$237,Y$193&lt;='Tax Tables'!Y$238),(Y$193-'Tax Tables'!Y$237)*'Tax Tables'!Y$239,IF(Y$193&gt;='Tax Tables'!Y$238,('Tax Tables'!Y$238-'Tax Tables'!Y$237)*'Tax Tables'!Y$239,0))),0)/Round_To,0)*Round_To</f>
        <v>0</v>
      </c>
      <c r="Z199" s="1124">
        <f>ROUND(IF(Exclude_Taxes="n",IF(Filing_Status="m",IF(OR(Z$7&lt;Single_Rate_Start,Single_Rate_Start=""),IF(AND(Z$193&gt;='Tax Tables'!Z$158,Z$193&lt;='Tax Tables'!Z$159),(Z$193-'Tax Tables'!Z$158)*'Tax Tables'!Z$160,IF(Z$193&gt;='Tax Tables'!Z$159,('Tax Tables'!Z$159-'Tax Tables'!Z$158)*'Tax Tables'!Z$160,0)),IF(AND(Z$193&gt;='Tax Tables'!Z$237,Z$193&lt;='Tax Tables'!Z$238),(Z$193-'Tax Tables'!Z$237)*'Tax Tables'!Z$239,IF(Z$193&gt;='Tax Tables'!Z$238,('Tax Tables'!Z$238-'Tax Tables'!Z$237)*'Tax Tables'!Z$239,0))),IF(AND(Z$193&gt;='Tax Tables'!Z$237,Z$193&lt;='Tax Tables'!Z$238),(Z$193-'Tax Tables'!Z$237)*'Tax Tables'!Z$239,IF(Z$193&gt;='Tax Tables'!Z$238,('Tax Tables'!Z$238-'Tax Tables'!Z$237)*'Tax Tables'!Z$239,0))),0)/Round_To,0)*Round_To</f>
        <v>0</v>
      </c>
      <c r="AA199" s="1124">
        <f>ROUND(IF(Exclude_Taxes="n",IF(Filing_Status="m",IF(OR(AA$7&lt;Single_Rate_Start,Single_Rate_Start=""),IF(AND(AA$193&gt;='Tax Tables'!AA$158,AA$193&lt;='Tax Tables'!AA$159),(AA$193-'Tax Tables'!AA$158)*'Tax Tables'!AA$160,IF(AA$193&gt;='Tax Tables'!AA$159,('Tax Tables'!AA$159-'Tax Tables'!AA$158)*'Tax Tables'!AA$160,0)),IF(AND(AA$193&gt;='Tax Tables'!AA$237,AA$193&lt;='Tax Tables'!AA$238),(AA$193-'Tax Tables'!AA$237)*'Tax Tables'!AA$239,IF(AA$193&gt;='Tax Tables'!AA$238,('Tax Tables'!AA$238-'Tax Tables'!AA$237)*'Tax Tables'!AA$239,0))),IF(AND(AA$193&gt;='Tax Tables'!AA$237,AA$193&lt;='Tax Tables'!AA$238),(AA$193-'Tax Tables'!AA$237)*'Tax Tables'!AA$239,IF(AA$193&gt;='Tax Tables'!AA$238,('Tax Tables'!AA$238-'Tax Tables'!AA$237)*'Tax Tables'!AA$239,0))),0)/Round_To,0)*Round_To</f>
        <v>0</v>
      </c>
      <c r="AB199" s="1124">
        <f>ROUND(IF(Exclude_Taxes="n",IF(Filing_Status="m",IF(OR(AB$7&lt;Single_Rate_Start,Single_Rate_Start=""),IF(AND(AB$193&gt;='Tax Tables'!AB$158,AB$193&lt;='Tax Tables'!AB$159),(AB$193-'Tax Tables'!AB$158)*'Tax Tables'!AB$160,IF(AB$193&gt;='Tax Tables'!AB$159,('Tax Tables'!AB$159-'Tax Tables'!AB$158)*'Tax Tables'!AB$160,0)),IF(AND(AB$193&gt;='Tax Tables'!AB$237,AB$193&lt;='Tax Tables'!AB$238),(AB$193-'Tax Tables'!AB$237)*'Tax Tables'!AB$239,IF(AB$193&gt;='Tax Tables'!AB$238,('Tax Tables'!AB$238-'Tax Tables'!AB$237)*'Tax Tables'!AB$239,0))),IF(AND(AB$193&gt;='Tax Tables'!AB$237,AB$193&lt;='Tax Tables'!AB$238),(AB$193-'Tax Tables'!AB$237)*'Tax Tables'!AB$239,IF(AB$193&gt;='Tax Tables'!AB$238,('Tax Tables'!AB$238-'Tax Tables'!AB$237)*'Tax Tables'!AB$239,0))),0)/Round_To,0)*Round_To</f>
        <v>0</v>
      </c>
      <c r="AC199" s="1124">
        <f>ROUND(IF(Exclude_Taxes="n",IF(Filing_Status="m",IF(OR(AC$7&lt;Single_Rate_Start,Single_Rate_Start=""),IF(AND(AC$193&gt;='Tax Tables'!AC$158,AC$193&lt;='Tax Tables'!AC$159),(AC$193-'Tax Tables'!AC$158)*'Tax Tables'!AC$160,IF(AC$193&gt;='Tax Tables'!AC$159,('Tax Tables'!AC$159-'Tax Tables'!AC$158)*'Tax Tables'!AC$160,0)),IF(AND(AC$193&gt;='Tax Tables'!AC$237,AC$193&lt;='Tax Tables'!AC$238),(AC$193-'Tax Tables'!AC$237)*'Tax Tables'!AC$239,IF(AC$193&gt;='Tax Tables'!AC$238,('Tax Tables'!AC$238-'Tax Tables'!AC$237)*'Tax Tables'!AC$239,0))),IF(AND(AC$193&gt;='Tax Tables'!AC$237,AC$193&lt;='Tax Tables'!AC$238),(AC$193-'Tax Tables'!AC$237)*'Tax Tables'!AC$239,IF(AC$193&gt;='Tax Tables'!AC$238,('Tax Tables'!AC$238-'Tax Tables'!AC$237)*'Tax Tables'!AC$239,0))),0)/Round_To,0)*Round_To</f>
        <v>0</v>
      </c>
      <c r="AD199" s="1124">
        <f>ROUND(IF(Exclude_Taxes="n",IF(Filing_Status="m",IF(OR(AD$7&lt;Single_Rate_Start,Single_Rate_Start=""),IF(AND(AD$193&gt;='Tax Tables'!AD$158,AD$193&lt;='Tax Tables'!AD$159),(AD$193-'Tax Tables'!AD$158)*'Tax Tables'!AD$160,IF(AD$193&gt;='Tax Tables'!AD$159,('Tax Tables'!AD$159-'Tax Tables'!AD$158)*'Tax Tables'!AD$160,0)),IF(AND(AD$193&gt;='Tax Tables'!AD$237,AD$193&lt;='Tax Tables'!AD$238),(AD$193-'Tax Tables'!AD$237)*'Tax Tables'!AD$239,IF(AD$193&gt;='Tax Tables'!AD$238,('Tax Tables'!AD$238-'Tax Tables'!AD$237)*'Tax Tables'!AD$239,0))),IF(AND(AD$193&gt;='Tax Tables'!AD$237,AD$193&lt;='Tax Tables'!AD$238),(AD$193-'Tax Tables'!AD$237)*'Tax Tables'!AD$239,IF(AD$193&gt;='Tax Tables'!AD$238,('Tax Tables'!AD$238-'Tax Tables'!AD$237)*'Tax Tables'!AD$239,0))),0)/Round_To,0)*Round_To</f>
        <v>0</v>
      </c>
      <c r="AE199" s="1124">
        <f>ROUND(IF(Exclude_Taxes="n",IF(Filing_Status="m",IF(OR(AE$7&lt;Single_Rate_Start,Single_Rate_Start=""),IF(AND(AE$193&gt;='Tax Tables'!AE$158,AE$193&lt;='Tax Tables'!AE$159),(AE$193-'Tax Tables'!AE$158)*'Tax Tables'!AE$160,IF(AE$193&gt;='Tax Tables'!AE$159,('Tax Tables'!AE$159-'Tax Tables'!AE$158)*'Tax Tables'!AE$160,0)),IF(AND(AE$193&gt;='Tax Tables'!AE$237,AE$193&lt;='Tax Tables'!AE$238),(AE$193-'Tax Tables'!AE$237)*'Tax Tables'!AE$239,IF(AE$193&gt;='Tax Tables'!AE$238,('Tax Tables'!AE$238-'Tax Tables'!AE$237)*'Tax Tables'!AE$239,0))),IF(AND(AE$193&gt;='Tax Tables'!AE$237,AE$193&lt;='Tax Tables'!AE$238),(AE$193-'Tax Tables'!AE$237)*'Tax Tables'!AE$239,IF(AE$193&gt;='Tax Tables'!AE$238,('Tax Tables'!AE$238-'Tax Tables'!AE$237)*'Tax Tables'!AE$239,0))),0)/Round_To,0)*Round_To</f>
        <v>0</v>
      </c>
      <c r="AF199" s="1124">
        <f>ROUND(IF(Exclude_Taxes="n",IF(Filing_Status="m",IF(OR(AF$7&lt;Single_Rate_Start,Single_Rate_Start=""),IF(AND(AF$193&gt;='Tax Tables'!AF$158,AF$193&lt;='Tax Tables'!AF$159),(AF$193-'Tax Tables'!AF$158)*'Tax Tables'!AF$160,IF(AF$193&gt;='Tax Tables'!AF$159,('Tax Tables'!AF$159-'Tax Tables'!AF$158)*'Tax Tables'!AF$160,0)),IF(AND(AF$193&gt;='Tax Tables'!AF$237,AF$193&lt;='Tax Tables'!AF$238),(AF$193-'Tax Tables'!AF$237)*'Tax Tables'!AF$239,IF(AF$193&gt;='Tax Tables'!AF$238,('Tax Tables'!AF$238-'Tax Tables'!AF$237)*'Tax Tables'!AF$239,0))),IF(AND(AF$193&gt;='Tax Tables'!AF$237,AF$193&lt;='Tax Tables'!AF$238),(AF$193-'Tax Tables'!AF$237)*'Tax Tables'!AF$239,IF(AF$193&gt;='Tax Tables'!AF$238,('Tax Tables'!AF$238-'Tax Tables'!AF$237)*'Tax Tables'!AF$239,0))),0)/Round_To,0)*Round_To</f>
        <v>0</v>
      </c>
      <c r="AG199" s="1124">
        <f>ROUND(IF(Exclude_Taxes="n",IF(Filing_Status="m",IF(OR(AG$7&lt;Single_Rate_Start,Single_Rate_Start=""),IF(AND(AG$193&gt;='Tax Tables'!AG$158,AG$193&lt;='Tax Tables'!AG$159),(AG$193-'Tax Tables'!AG$158)*'Tax Tables'!AG$160,IF(AG$193&gt;='Tax Tables'!AG$159,('Tax Tables'!AG$159-'Tax Tables'!AG$158)*'Tax Tables'!AG$160,0)),IF(AND(AG$193&gt;='Tax Tables'!AG$237,AG$193&lt;='Tax Tables'!AG$238),(AG$193-'Tax Tables'!AG$237)*'Tax Tables'!AG$239,IF(AG$193&gt;='Tax Tables'!AG$238,('Tax Tables'!AG$238-'Tax Tables'!AG$237)*'Tax Tables'!AG$239,0))),IF(AND(AG$193&gt;='Tax Tables'!AG$237,AG$193&lt;='Tax Tables'!AG$238),(AG$193-'Tax Tables'!AG$237)*'Tax Tables'!AG$239,IF(AG$193&gt;='Tax Tables'!AG$238,('Tax Tables'!AG$238-'Tax Tables'!AG$237)*'Tax Tables'!AG$239,0))),0)/Round_To,0)*Round_To</f>
        <v>0</v>
      </c>
      <c r="AH199" s="1124">
        <f>ROUND(IF(Exclude_Taxes="n",IF(Filing_Status="m",IF(OR(AH$7&lt;Single_Rate_Start,Single_Rate_Start=""),IF(AND(AH$193&gt;='Tax Tables'!AH$158,AH$193&lt;='Tax Tables'!AH$159),(AH$193-'Tax Tables'!AH$158)*'Tax Tables'!AH$160,IF(AH$193&gt;='Tax Tables'!AH$159,('Tax Tables'!AH$159-'Tax Tables'!AH$158)*'Tax Tables'!AH$160,0)),IF(AND(AH$193&gt;='Tax Tables'!AH$237,AH$193&lt;='Tax Tables'!AH$238),(AH$193-'Tax Tables'!AH$237)*'Tax Tables'!AH$239,IF(AH$193&gt;='Tax Tables'!AH$238,('Tax Tables'!AH$238-'Tax Tables'!AH$237)*'Tax Tables'!AH$239,0))),IF(AND(AH$193&gt;='Tax Tables'!AH$237,AH$193&lt;='Tax Tables'!AH$238),(AH$193-'Tax Tables'!AH$237)*'Tax Tables'!AH$239,IF(AH$193&gt;='Tax Tables'!AH$238,('Tax Tables'!AH$238-'Tax Tables'!AH$237)*'Tax Tables'!AH$239,0))),0)/Round_To,0)*Round_To</f>
        <v>0</v>
      </c>
      <c r="AI199" s="1124">
        <f>ROUND(IF(Exclude_Taxes="n",IF(Filing_Status="m",IF(OR(AI$7&lt;Single_Rate_Start,Single_Rate_Start=""),IF(AND(AI$193&gt;='Tax Tables'!AI$158,AI$193&lt;='Tax Tables'!AI$159),(AI$193-'Tax Tables'!AI$158)*'Tax Tables'!AI$160,IF(AI$193&gt;='Tax Tables'!AI$159,('Tax Tables'!AI$159-'Tax Tables'!AI$158)*'Tax Tables'!AI$160,0)),IF(AND(AI$193&gt;='Tax Tables'!AI$237,AI$193&lt;='Tax Tables'!AI$238),(AI$193-'Tax Tables'!AI$237)*'Tax Tables'!AI$239,IF(AI$193&gt;='Tax Tables'!AI$238,('Tax Tables'!AI$238-'Tax Tables'!AI$237)*'Tax Tables'!AI$239,0))),IF(AND(AI$193&gt;='Tax Tables'!AI$237,AI$193&lt;='Tax Tables'!AI$238),(AI$193-'Tax Tables'!AI$237)*'Tax Tables'!AI$239,IF(AI$193&gt;='Tax Tables'!AI$238,('Tax Tables'!AI$238-'Tax Tables'!AI$237)*'Tax Tables'!AI$239,0))),0)/Round_To,0)*Round_To</f>
        <v>0</v>
      </c>
      <c r="AJ199" s="1124">
        <f>ROUND(IF(Exclude_Taxes="n",IF(Filing_Status="m",IF(OR(AJ$7&lt;Single_Rate_Start,Single_Rate_Start=""),IF(AND(AJ$193&gt;='Tax Tables'!AJ$158,AJ$193&lt;='Tax Tables'!AJ$159),(AJ$193-'Tax Tables'!AJ$158)*'Tax Tables'!AJ$160,IF(AJ$193&gt;='Tax Tables'!AJ$159,('Tax Tables'!AJ$159-'Tax Tables'!AJ$158)*'Tax Tables'!AJ$160,0)),IF(AND(AJ$193&gt;='Tax Tables'!AJ$237,AJ$193&lt;='Tax Tables'!AJ$238),(AJ$193-'Tax Tables'!AJ$237)*'Tax Tables'!AJ$239,IF(AJ$193&gt;='Tax Tables'!AJ$238,('Tax Tables'!AJ$238-'Tax Tables'!AJ$237)*'Tax Tables'!AJ$239,0))),IF(AND(AJ$193&gt;='Tax Tables'!AJ$237,AJ$193&lt;='Tax Tables'!AJ$238),(AJ$193-'Tax Tables'!AJ$237)*'Tax Tables'!AJ$239,IF(AJ$193&gt;='Tax Tables'!AJ$238,('Tax Tables'!AJ$238-'Tax Tables'!AJ$237)*'Tax Tables'!AJ$239,0))),0)/Round_To,0)*Round_To</f>
        <v>0</v>
      </c>
      <c r="AK199" s="1124">
        <f>ROUND(IF(Exclude_Taxes="n",IF(Filing_Status="m",IF(OR(AK$7&lt;Single_Rate_Start,Single_Rate_Start=""),IF(AND(AK$193&gt;='Tax Tables'!AK$158,AK$193&lt;='Tax Tables'!AK$159),(AK$193-'Tax Tables'!AK$158)*'Tax Tables'!AK$160,IF(AK$193&gt;='Tax Tables'!AK$159,('Tax Tables'!AK$159-'Tax Tables'!AK$158)*'Tax Tables'!AK$160,0)),IF(AND(AK$193&gt;='Tax Tables'!AK$237,AK$193&lt;='Tax Tables'!AK$238),(AK$193-'Tax Tables'!AK$237)*'Tax Tables'!AK$239,IF(AK$193&gt;='Tax Tables'!AK$238,('Tax Tables'!AK$238-'Tax Tables'!AK$237)*'Tax Tables'!AK$239,0))),IF(AND(AK$193&gt;='Tax Tables'!AK$237,AK$193&lt;='Tax Tables'!AK$238),(AK$193-'Tax Tables'!AK$237)*'Tax Tables'!AK$239,IF(AK$193&gt;='Tax Tables'!AK$238,('Tax Tables'!AK$238-'Tax Tables'!AK$237)*'Tax Tables'!AK$239,0))),0)/Round_To,0)*Round_To</f>
        <v>0</v>
      </c>
      <c r="AL199" s="1124">
        <f>ROUND(IF(Exclude_Taxes="n",IF(Filing_Status="m",IF(OR(AL$7&lt;Single_Rate_Start,Single_Rate_Start=""),IF(AND(AL$193&gt;='Tax Tables'!AL$158,AL$193&lt;='Tax Tables'!AL$159),(AL$193-'Tax Tables'!AL$158)*'Tax Tables'!AL$160,IF(AL$193&gt;='Tax Tables'!AL$159,('Tax Tables'!AL$159-'Tax Tables'!AL$158)*'Tax Tables'!AL$160,0)),IF(AND(AL$193&gt;='Tax Tables'!AL$237,AL$193&lt;='Tax Tables'!AL$238),(AL$193-'Tax Tables'!AL$237)*'Tax Tables'!AL$239,IF(AL$193&gt;='Tax Tables'!AL$238,('Tax Tables'!AL$238-'Tax Tables'!AL$237)*'Tax Tables'!AL$239,0))),IF(AND(AL$193&gt;='Tax Tables'!AL$237,AL$193&lt;='Tax Tables'!AL$238),(AL$193-'Tax Tables'!AL$237)*'Tax Tables'!AL$239,IF(AL$193&gt;='Tax Tables'!AL$238,('Tax Tables'!AL$238-'Tax Tables'!AL$237)*'Tax Tables'!AL$239,0))),0)/Round_To,0)*Round_To</f>
        <v>0</v>
      </c>
      <c r="AM199" s="1124">
        <f>ROUND(IF(Exclude_Taxes="n",IF(Filing_Status="m",IF(OR(AM$7&lt;Single_Rate_Start,Single_Rate_Start=""),IF(AND(AM$193&gt;='Tax Tables'!AM$158,AM$193&lt;='Tax Tables'!AM$159),(AM$193-'Tax Tables'!AM$158)*'Tax Tables'!AM$160,IF(AM$193&gt;='Tax Tables'!AM$159,('Tax Tables'!AM$159-'Tax Tables'!AM$158)*'Tax Tables'!AM$160,0)),IF(AND(AM$193&gt;='Tax Tables'!AM$237,AM$193&lt;='Tax Tables'!AM$238),(AM$193-'Tax Tables'!AM$237)*'Tax Tables'!AM$239,IF(AM$193&gt;='Tax Tables'!AM$238,('Tax Tables'!AM$238-'Tax Tables'!AM$237)*'Tax Tables'!AM$239,0))),IF(AND(AM$193&gt;='Tax Tables'!AM$237,AM$193&lt;='Tax Tables'!AM$238),(AM$193-'Tax Tables'!AM$237)*'Tax Tables'!AM$239,IF(AM$193&gt;='Tax Tables'!AM$238,('Tax Tables'!AM$238-'Tax Tables'!AM$237)*'Tax Tables'!AM$239,0))),0)/Round_To,0)*Round_To</f>
        <v>0</v>
      </c>
      <c r="AN199" s="1124">
        <f>ROUND(IF(Exclude_Taxes="n",IF(Filing_Status="m",IF(OR(AN$7&lt;Single_Rate_Start,Single_Rate_Start=""),IF(AND(AN$193&gt;='Tax Tables'!AN$158,AN$193&lt;='Tax Tables'!AN$159),(AN$193-'Tax Tables'!AN$158)*'Tax Tables'!AN$160,IF(AN$193&gt;='Tax Tables'!AN$159,('Tax Tables'!AN$159-'Tax Tables'!AN$158)*'Tax Tables'!AN$160,0)),IF(AND(AN$193&gt;='Tax Tables'!AN$237,AN$193&lt;='Tax Tables'!AN$238),(AN$193-'Tax Tables'!AN$237)*'Tax Tables'!AN$239,IF(AN$193&gt;='Tax Tables'!AN$238,('Tax Tables'!AN$238-'Tax Tables'!AN$237)*'Tax Tables'!AN$239,0))),IF(AND(AN$193&gt;='Tax Tables'!AN$237,AN$193&lt;='Tax Tables'!AN$238),(AN$193-'Tax Tables'!AN$237)*'Tax Tables'!AN$239,IF(AN$193&gt;='Tax Tables'!AN$238,('Tax Tables'!AN$238-'Tax Tables'!AN$237)*'Tax Tables'!AN$239,0))),0)/Round_To,0)*Round_To</f>
        <v>0</v>
      </c>
      <c r="AO199" s="1124">
        <f>ROUND(IF(Exclude_Taxes="n",IF(Filing_Status="m",IF(OR(AO$7&lt;Single_Rate_Start,Single_Rate_Start=""),IF(AND(AO$193&gt;='Tax Tables'!AO$158,AO$193&lt;='Tax Tables'!AO$159),(AO$193-'Tax Tables'!AO$158)*'Tax Tables'!AO$160,IF(AO$193&gt;='Tax Tables'!AO$159,('Tax Tables'!AO$159-'Tax Tables'!AO$158)*'Tax Tables'!AO$160,0)),IF(AND(AO$193&gt;='Tax Tables'!AO$237,AO$193&lt;='Tax Tables'!AO$238),(AO$193-'Tax Tables'!AO$237)*'Tax Tables'!AO$239,IF(AO$193&gt;='Tax Tables'!AO$238,('Tax Tables'!AO$238-'Tax Tables'!AO$237)*'Tax Tables'!AO$239,0))),IF(AND(AO$193&gt;='Tax Tables'!AO$237,AO$193&lt;='Tax Tables'!AO$238),(AO$193-'Tax Tables'!AO$237)*'Tax Tables'!AO$239,IF(AO$193&gt;='Tax Tables'!AO$238,('Tax Tables'!AO$238-'Tax Tables'!AO$237)*'Tax Tables'!AO$239,0))),0)/Round_To,0)*Round_To</f>
        <v>0</v>
      </c>
      <c r="AP199" s="1124">
        <f>ROUND(IF(Exclude_Taxes="n",IF(Filing_Status="m",IF(OR(AP$7&lt;Single_Rate_Start,Single_Rate_Start=""),IF(AND(AP$193&gt;='Tax Tables'!AP$158,AP$193&lt;='Tax Tables'!AP$159),(AP$193-'Tax Tables'!AP$158)*'Tax Tables'!AP$160,IF(AP$193&gt;='Tax Tables'!AP$159,('Tax Tables'!AP$159-'Tax Tables'!AP$158)*'Tax Tables'!AP$160,0)),IF(AND(AP$193&gt;='Tax Tables'!AP$237,AP$193&lt;='Tax Tables'!AP$238),(AP$193-'Tax Tables'!AP$237)*'Tax Tables'!AP$239,IF(AP$193&gt;='Tax Tables'!AP$238,('Tax Tables'!AP$238-'Tax Tables'!AP$237)*'Tax Tables'!AP$239,0))),IF(AND(AP$193&gt;='Tax Tables'!AP$237,AP$193&lt;='Tax Tables'!AP$238),(AP$193-'Tax Tables'!AP$237)*'Tax Tables'!AP$239,IF(AP$193&gt;='Tax Tables'!AP$238,('Tax Tables'!AP$238-'Tax Tables'!AP$237)*'Tax Tables'!AP$239,0))),0)/Round_To,0)*Round_To</f>
        <v>0</v>
      </c>
      <c r="AQ199" s="1124">
        <f>ROUND(IF(Exclude_Taxes="n",IF(Filing_Status="m",IF(OR(AQ$7&lt;Single_Rate_Start,Single_Rate_Start=""),IF(AND(AQ$193&gt;='Tax Tables'!AQ$158,AQ$193&lt;='Tax Tables'!AQ$159),(AQ$193-'Tax Tables'!AQ$158)*'Tax Tables'!AQ$160,IF(AQ$193&gt;='Tax Tables'!AQ$159,('Tax Tables'!AQ$159-'Tax Tables'!AQ$158)*'Tax Tables'!AQ$160,0)),IF(AND(AQ$193&gt;='Tax Tables'!AQ$237,AQ$193&lt;='Tax Tables'!AQ$238),(AQ$193-'Tax Tables'!AQ$237)*'Tax Tables'!AQ$239,IF(AQ$193&gt;='Tax Tables'!AQ$238,('Tax Tables'!AQ$238-'Tax Tables'!AQ$237)*'Tax Tables'!AQ$239,0))),IF(AND(AQ$193&gt;='Tax Tables'!AQ$237,AQ$193&lt;='Tax Tables'!AQ$238),(AQ$193-'Tax Tables'!AQ$237)*'Tax Tables'!AQ$239,IF(AQ$193&gt;='Tax Tables'!AQ$238,('Tax Tables'!AQ$238-'Tax Tables'!AQ$237)*'Tax Tables'!AQ$239,0))),0)/Round_To,0)*Round_To</f>
        <v>0</v>
      </c>
      <c r="AR199" s="1124">
        <f>ROUND(IF(Exclude_Taxes="n",IF(Filing_Status="m",IF(OR(AR$7&lt;Single_Rate_Start,Single_Rate_Start=""),IF(AND(AR$193&gt;='Tax Tables'!AR$158,AR$193&lt;='Tax Tables'!AR$159),(AR$193-'Tax Tables'!AR$158)*'Tax Tables'!AR$160,IF(AR$193&gt;='Tax Tables'!AR$159,('Tax Tables'!AR$159-'Tax Tables'!AR$158)*'Tax Tables'!AR$160,0)),IF(AND(AR$193&gt;='Tax Tables'!AR$237,AR$193&lt;='Tax Tables'!AR$238),(AR$193-'Tax Tables'!AR$237)*'Tax Tables'!AR$239,IF(AR$193&gt;='Tax Tables'!AR$238,('Tax Tables'!AR$238-'Tax Tables'!AR$237)*'Tax Tables'!AR$239,0))),IF(AND(AR$193&gt;='Tax Tables'!AR$237,AR$193&lt;='Tax Tables'!AR$238),(AR$193-'Tax Tables'!AR$237)*'Tax Tables'!AR$239,IF(AR$193&gt;='Tax Tables'!AR$238,('Tax Tables'!AR$238-'Tax Tables'!AR$237)*'Tax Tables'!AR$239,0))),0)/Round_To,0)*Round_To</f>
        <v>0</v>
      </c>
      <c r="AS199" s="1124">
        <f>ROUND(IF(Exclude_Taxes="n",IF(Filing_Status="m",IF(OR(AS$7&lt;Single_Rate_Start,Single_Rate_Start=""),IF(AND(AS$193&gt;='Tax Tables'!AS$158,AS$193&lt;='Tax Tables'!AS$159),(AS$193-'Tax Tables'!AS$158)*'Tax Tables'!AS$160,IF(AS$193&gt;='Tax Tables'!AS$159,('Tax Tables'!AS$159-'Tax Tables'!AS$158)*'Tax Tables'!AS$160,0)),IF(AND(AS$193&gt;='Tax Tables'!AS$237,AS$193&lt;='Tax Tables'!AS$238),(AS$193-'Tax Tables'!AS$237)*'Tax Tables'!AS$239,IF(AS$193&gt;='Tax Tables'!AS$238,('Tax Tables'!AS$238-'Tax Tables'!AS$237)*'Tax Tables'!AS$239,0))),IF(AND(AS$193&gt;='Tax Tables'!AS$237,AS$193&lt;='Tax Tables'!AS$238),(AS$193-'Tax Tables'!AS$237)*'Tax Tables'!AS$239,IF(AS$193&gt;='Tax Tables'!AS$238,('Tax Tables'!AS$238-'Tax Tables'!AS$237)*'Tax Tables'!AS$239,0))),0)/Round_To,0)*Round_To</f>
        <v>0</v>
      </c>
      <c r="AT199" s="42"/>
      <c r="AU199" s="15">
        <f>+Base!E199</f>
        <v>0</v>
      </c>
      <c r="AV199" s="103">
        <f t="shared" si="181"/>
        <v>0</v>
      </c>
      <c r="AW199" s="102"/>
      <c r="AX199" s="49"/>
      <c r="AY199" s="49"/>
      <c r="AZ199" s="42"/>
      <c r="BA199" s="49"/>
      <c r="BB199" s="49"/>
      <c r="BC199" s="39"/>
      <c r="BD199" s="39"/>
      <c r="BE199" s="39"/>
      <c r="BF199" s="49"/>
      <c r="BG199" s="49"/>
      <c r="BH199" s="49"/>
      <c r="BI199" s="49"/>
      <c r="BJ199" s="39"/>
      <c r="BK199" s="49"/>
      <c r="BL199" s="39"/>
      <c r="BM199" s="39"/>
      <c r="BN199" s="49"/>
      <c r="BO199" s="49"/>
      <c r="BP199" s="49"/>
      <c r="BQ199" s="49"/>
      <c r="BR199" s="49"/>
      <c r="BS199" s="49"/>
      <c r="BT199" s="49"/>
      <c r="BU199" s="49"/>
      <c r="BV199" s="49"/>
      <c r="BW199" s="49"/>
      <c r="BX199" s="49"/>
      <c r="BY199" s="49"/>
      <c r="BZ199" s="49"/>
      <c r="CA199" s="44"/>
      <c r="CB199" s="49"/>
      <c r="CC199" s="49"/>
      <c r="CD199" s="49"/>
      <c r="CE199" s="49"/>
      <c r="CF199" s="49"/>
      <c r="CG199" s="49"/>
      <c r="CH199" s="49"/>
      <c r="CI199" s="49"/>
      <c r="CJ199" s="49"/>
      <c r="CK199" s="49"/>
      <c r="CL199" s="49"/>
      <c r="CM199" s="49"/>
      <c r="CN199" s="49"/>
    </row>
    <row r="200" spans="1:92" hidden="1">
      <c r="A200" s="1427" t="s">
        <v>1578</v>
      </c>
      <c r="B200" s="425"/>
      <c r="C200" s="425" t="str">
        <f>IF(Tax_Rates_Alt="y",IF(Filing_Status="m",Setup!$E$238,Setup!$H$238),"")</f>
        <v/>
      </c>
      <c r="D200" s="67">
        <f>IF(Filing_Status="m",Setup!$D$238,Setup!$G$238)</f>
        <v>0.35</v>
      </c>
      <c r="E200" s="102">
        <f t="shared" si="180"/>
        <v>0</v>
      </c>
      <c r="F200" s="88">
        <f>ROUND(IF(Exclude_Taxes="n",IF(Filing_Status="m",IF(OR(F$7&lt;Single_Rate_Start,Single_Rate_Start=""),IF(AND(F$193&gt;='Tax Tables'!F$163,F$193&lt;='Tax Tables'!F$164),(F$193-'Tax Tables'!F$163)*'Tax Tables'!F$165,IF(F$193&gt;='Tax Tables'!F$164,('Tax Tables'!F$164-'Tax Tables'!F$163)*'Tax Tables'!F$165,0)),IF(AND(F$193&gt;='Tax Tables'!F$242,F$193&lt;='Tax Tables'!F$243),(F$193-'Tax Tables'!F$242)*'Tax Tables'!F$244,IF(F$193&gt;='Tax Tables'!F$243,('Tax Tables'!F$243-'Tax Tables'!F$242)*'Tax Tables'!F$244,0))),IF(AND(F$193&gt;='Tax Tables'!F$242,F$193&lt;='Tax Tables'!F$243),(F$193-'Tax Tables'!F$242)*'Tax Tables'!F$244,IF(F$193&gt;='Tax Tables'!F$243,('Tax Tables'!F$243-'Tax Tables'!F$242)*'Tax Tables'!F$244,0))),0)/Round_To,0)*Round_To</f>
        <v>0</v>
      </c>
      <c r="G200" s="1124">
        <f>ROUND(IF(Exclude_Taxes="n",IF(Filing_Status="m",IF(OR(G$7&lt;Single_Rate_Start,Single_Rate_Start=""),IF(AND(G$193&gt;='Tax Tables'!G$163,G$193&lt;='Tax Tables'!G$164),(G$193-'Tax Tables'!G$163)*'Tax Tables'!G$165,IF(G$193&gt;='Tax Tables'!G$164,('Tax Tables'!G$164-'Tax Tables'!G$163)*'Tax Tables'!G$165,0)),IF(AND(G$193&gt;='Tax Tables'!G$242,G$193&lt;='Tax Tables'!G$243),(G$193-'Tax Tables'!G$242)*'Tax Tables'!G$244,IF(G$193&gt;='Tax Tables'!G$243,('Tax Tables'!G$243-'Tax Tables'!G$242)*'Tax Tables'!G$244,0))),IF(AND(G$193&gt;='Tax Tables'!G$242,G$193&lt;='Tax Tables'!G$243),(G$193-'Tax Tables'!G$242)*'Tax Tables'!G$244,IF(G$193&gt;='Tax Tables'!G$243,('Tax Tables'!G$243-'Tax Tables'!G$242)*'Tax Tables'!G$244,0))),0)/Round_To,0)*Round_To</f>
        <v>0</v>
      </c>
      <c r="H200" s="1124">
        <f>ROUND(IF(Exclude_Taxes="n",IF(Filing_Status="m",IF(OR(H$7&lt;Single_Rate_Start,Single_Rate_Start=""),IF(AND(H$193&gt;='Tax Tables'!H$163,H$193&lt;='Tax Tables'!H$164),(H$193-'Tax Tables'!H$163)*'Tax Tables'!H$165,IF(H$193&gt;='Tax Tables'!H$164,('Tax Tables'!H$164-'Tax Tables'!H$163)*'Tax Tables'!H$165,0)),IF(AND(H$193&gt;='Tax Tables'!H$242,H$193&lt;='Tax Tables'!H$243),(H$193-'Tax Tables'!H$242)*'Tax Tables'!H$244,IF(H$193&gt;='Tax Tables'!H$243,('Tax Tables'!H$243-'Tax Tables'!H$242)*'Tax Tables'!H$244,0))),IF(AND(H$193&gt;='Tax Tables'!H$242,H$193&lt;='Tax Tables'!H$243),(H$193-'Tax Tables'!H$242)*'Tax Tables'!H$244,IF(H$193&gt;='Tax Tables'!H$243,('Tax Tables'!H$243-'Tax Tables'!H$242)*'Tax Tables'!H$244,0))),0)/Round_To,0)*Round_To</f>
        <v>0</v>
      </c>
      <c r="I200" s="1124">
        <f>ROUND(IF(Exclude_Taxes="n",IF(Filing_Status="m",IF(OR(I$7&lt;Single_Rate_Start,Single_Rate_Start=""),IF(AND(I$193&gt;='Tax Tables'!I$163,I$193&lt;='Tax Tables'!I$164),(I$193-'Tax Tables'!I$163)*'Tax Tables'!I$165,IF(I$193&gt;='Tax Tables'!I$164,('Tax Tables'!I$164-'Tax Tables'!I$163)*'Tax Tables'!I$165,0)),IF(AND(I$193&gt;='Tax Tables'!I$242,I$193&lt;='Tax Tables'!I$243),(I$193-'Tax Tables'!I$242)*'Tax Tables'!I$244,IF(I$193&gt;='Tax Tables'!I$243,('Tax Tables'!I$243-'Tax Tables'!I$242)*'Tax Tables'!I$244,0))),IF(AND(I$193&gt;='Tax Tables'!I$242,I$193&lt;='Tax Tables'!I$243),(I$193-'Tax Tables'!I$242)*'Tax Tables'!I$244,IF(I$193&gt;='Tax Tables'!I$243,('Tax Tables'!I$243-'Tax Tables'!I$242)*'Tax Tables'!I$244,0))),0)/Round_To,0)*Round_To</f>
        <v>0</v>
      </c>
      <c r="J200" s="1124">
        <f>ROUND(IF(Exclude_Taxes="n",IF(Filing_Status="m",IF(OR(J$7&lt;Single_Rate_Start,Single_Rate_Start=""),IF(AND(J$193&gt;='Tax Tables'!J$163,J$193&lt;='Tax Tables'!J$164),(J$193-'Tax Tables'!J$163)*'Tax Tables'!J$165,IF(J$193&gt;='Tax Tables'!J$164,('Tax Tables'!J$164-'Tax Tables'!J$163)*'Tax Tables'!J$165,0)),IF(AND(J$193&gt;='Tax Tables'!J$242,J$193&lt;='Tax Tables'!J$243),(J$193-'Tax Tables'!J$242)*'Tax Tables'!J$244,IF(J$193&gt;='Tax Tables'!J$243,('Tax Tables'!J$243-'Tax Tables'!J$242)*'Tax Tables'!J$244,0))),IF(AND(J$193&gt;='Tax Tables'!J$242,J$193&lt;='Tax Tables'!J$243),(J$193-'Tax Tables'!J$242)*'Tax Tables'!J$244,IF(J$193&gt;='Tax Tables'!J$243,('Tax Tables'!J$243-'Tax Tables'!J$242)*'Tax Tables'!J$244,0))),0)/Round_To,0)*Round_To</f>
        <v>0</v>
      </c>
      <c r="K200" s="1124">
        <f>ROUND(IF(Exclude_Taxes="n",IF(Filing_Status="m",IF(OR(K$7&lt;Single_Rate_Start,Single_Rate_Start=""),IF(AND(K$193&gt;='Tax Tables'!K$163,K$193&lt;='Tax Tables'!K$164),(K$193-'Tax Tables'!K$163)*'Tax Tables'!K$165,IF(K$193&gt;='Tax Tables'!K$164,('Tax Tables'!K$164-'Tax Tables'!K$163)*'Tax Tables'!K$165,0)),IF(AND(K$193&gt;='Tax Tables'!K$242,K$193&lt;='Tax Tables'!K$243),(K$193-'Tax Tables'!K$242)*'Tax Tables'!K$244,IF(K$193&gt;='Tax Tables'!K$243,('Tax Tables'!K$243-'Tax Tables'!K$242)*'Tax Tables'!K$244,0))),IF(AND(K$193&gt;='Tax Tables'!K$242,K$193&lt;='Tax Tables'!K$243),(K$193-'Tax Tables'!K$242)*'Tax Tables'!K$244,IF(K$193&gt;='Tax Tables'!K$243,('Tax Tables'!K$243-'Tax Tables'!K$242)*'Tax Tables'!K$244,0))),0)/Round_To,0)*Round_To</f>
        <v>0</v>
      </c>
      <c r="L200" s="1124">
        <f>ROUND(IF(Exclude_Taxes="n",IF(Filing_Status="m",IF(OR(L$7&lt;Single_Rate_Start,Single_Rate_Start=""),IF(AND(L$193&gt;='Tax Tables'!L$163,L$193&lt;='Tax Tables'!L$164),(L$193-'Tax Tables'!L$163)*'Tax Tables'!L$165,IF(L$193&gt;='Tax Tables'!L$164,('Tax Tables'!L$164-'Tax Tables'!L$163)*'Tax Tables'!L$165,0)),IF(AND(L$193&gt;='Tax Tables'!L$242,L$193&lt;='Tax Tables'!L$243),(L$193-'Tax Tables'!L$242)*'Tax Tables'!L$244,IF(L$193&gt;='Tax Tables'!L$243,('Tax Tables'!L$243-'Tax Tables'!L$242)*'Tax Tables'!L$244,0))),IF(AND(L$193&gt;='Tax Tables'!L$242,L$193&lt;='Tax Tables'!L$243),(L$193-'Tax Tables'!L$242)*'Tax Tables'!L$244,IF(L$193&gt;='Tax Tables'!L$243,('Tax Tables'!L$243-'Tax Tables'!L$242)*'Tax Tables'!L$244,0))),0)/Round_To,0)*Round_To</f>
        <v>0</v>
      </c>
      <c r="M200" s="1124">
        <f>ROUND(IF(Exclude_Taxes="n",IF(Filing_Status="m",IF(OR(M$7&lt;Single_Rate_Start,Single_Rate_Start=""),IF(AND(M$193&gt;='Tax Tables'!M$163,M$193&lt;='Tax Tables'!M$164),(M$193-'Tax Tables'!M$163)*'Tax Tables'!M$165,IF(M$193&gt;='Tax Tables'!M$164,('Tax Tables'!M$164-'Tax Tables'!M$163)*'Tax Tables'!M$165,0)),IF(AND(M$193&gt;='Tax Tables'!M$242,M$193&lt;='Tax Tables'!M$243),(M$193-'Tax Tables'!M$242)*'Tax Tables'!M$244,IF(M$193&gt;='Tax Tables'!M$243,('Tax Tables'!M$243-'Tax Tables'!M$242)*'Tax Tables'!M$244,0))),IF(AND(M$193&gt;='Tax Tables'!M$242,M$193&lt;='Tax Tables'!M$243),(M$193-'Tax Tables'!M$242)*'Tax Tables'!M$244,IF(M$193&gt;='Tax Tables'!M$243,('Tax Tables'!M$243-'Tax Tables'!M$242)*'Tax Tables'!M$244,0))),0)/Round_To,0)*Round_To</f>
        <v>0</v>
      </c>
      <c r="N200" s="1124">
        <f>ROUND(IF(Exclude_Taxes="n",IF(Filing_Status="m",IF(OR(N$7&lt;Single_Rate_Start,Single_Rate_Start=""),IF(AND(N$193&gt;='Tax Tables'!N$163,N$193&lt;='Tax Tables'!N$164),(N$193-'Tax Tables'!N$163)*'Tax Tables'!N$165,IF(N$193&gt;='Tax Tables'!N$164,('Tax Tables'!N$164-'Tax Tables'!N$163)*'Tax Tables'!N$165,0)),IF(AND(N$193&gt;='Tax Tables'!N$242,N$193&lt;='Tax Tables'!N$243),(N$193-'Tax Tables'!N$242)*'Tax Tables'!N$244,IF(N$193&gt;='Tax Tables'!N$243,('Tax Tables'!N$243-'Tax Tables'!N$242)*'Tax Tables'!N$244,0))),IF(AND(N$193&gt;='Tax Tables'!N$242,N$193&lt;='Tax Tables'!N$243),(N$193-'Tax Tables'!N$242)*'Tax Tables'!N$244,IF(N$193&gt;='Tax Tables'!N$243,('Tax Tables'!N$243-'Tax Tables'!N$242)*'Tax Tables'!N$244,0))),0)/Round_To,0)*Round_To</f>
        <v>0</v>
      </c>
      <c r="O200" s="1124">
        <f>ROUND(IF(Exclude_Taxes="n",IF(Filing_Status="m",IF(OR(O$7&lt;Single_Rate_Start,Single_Rate_Start=""),IF(AND(O$193&gt;='Tax Tables'!O$163,O$193&lt;='Tax Tables'!O$164),(O$193-'Tax Tables'!O$163)*'Tax Tables'!O$165,IF(O$193&gt;='Tax Tables'!O$164,('Tax Tables'!O$164-'Tax Tables'!O$163)*'Tax Tables'!O$165,0)),IF(AND(O$193&gt;='Tax Tables'!O$242,O$193&lt;='Tax Tables'!O$243),(O$193-'Tax Tables'!O$242)*'Tax Tables'!O$244,IF(O$193&gt;='Tax Tables'!O$243,('Tax Tables'!O$243-'Tax Tables'!O$242)*'Tax Tables'!O$244,0))),IF(AND(O$193&gt;='Tax Tables'!O$242,O$193&lt;='Tax Tables'!O$243),(O$193-'Tax Tables'!O$242)*'Tax Tables'!O$244,IF(O$193&gt;='Tax Tables'!O$243,('Tax Tables'!O$243-'Tax Tables'!O$242)*'Tax Tables'!O$244,0))),0)/Round_To,0)*Round_To</f>
        <v>0</v>
      </c>
      <c r="P200" s="1124">
        <f>ROUND(IF(Exclude_Taxes="n",IF(Filing_Status="m",IF(OR(P$7&lt;Single_Rate_Start,Single_Rate_Start=""),IF(AND(P$193&gt;='Tax Tables'!P$163,P$193&lt;='Tax Tables'!P$164),(P$193-'Tax Tables'!P$163)*'Tax Tables'!P$165,IF(P$193&gt;='Tax Tables'!P$164,('Tax Tables'!P$164-'Tax Tables'!P$163)*'Tax Tables'!P$165,0)),IF(AND(P$193&gt;='Tax Tables'!P$242,P$193&lt;='Tax Tables'!P$243),(P$193-'Tax Tables'!P$242)*'Tax Tables'!P$244,IF(P$193&gt;='Tax Tables'!P$243,('Tax Tables'!P$243-'Tax Tables'!P$242)*'Tax Tables'!P$244,0))),IF(AND(P$193&gt;='Tax Tables'!P$242,P$193&lt;='Tax Tables'!P$243),(P$193-'Tax Tables'!P$242)*'Tax Tables'!P$244,IF(P$193&gt;='Tax Tables'!P$243,('Tax Tables'!P$243-'Tax Tables'!P$242)*'Tax Tables'!P$244,0))),0)/Round_To,0)*Round_To</f>
        <v>0</v>
      </c>
      <c r="Q200" s="1124">
        <f>ROUND(IF(Exclude_Taxes="n",IF(Filing_Status="m",IF(OR(Q$7&lt;Single_Rate_Start,Single_Rate_Start=""),IF(AND(Q$193&gt;='Tax Tables'!Q$163,Q$193&lt;='Tax Tables'!Q$164),(Q$193-'Tax Tables'!Q$163)*'Tax Tables'!Q$165,IF(Q$193&gt;='Tax Tables'!Q$164,('Tax Tables'!Q$164-'Tax Tables'!Q$163)*'Tax Tables'!Q$165,0)),IF(AND(Q$193&gt;='Tax Tables'!Q$242,Q$193&lt;='Tax Tables'!Q$243),(Q$193-'Tax Tables'!Q$242)*'Tax Tables'!Q$244,IF(Q$193&gt;='Tax Tables'!Q$243,('Tax Tables'!Q$243-'Tax Tables'!Q$242)*'Tax Tables'!Q$244,0))),IF(AND(Q$193&gt;='Tax Tables'!Q$242,Q$193&lt;='Tax Tables'!Q$243),(Q$193-'Tax Tables'!Q$242)*'Tax Tables'!Q$244,IF(Q$193&gt;='Tax Tables'!Q$243,('Tax Tables'!Q$243-'Tax Tables'!Q$242)*'Tax Tables'!Q$244,0))),0)/Round_To,0)*Round_To</f>
        <v>0</v>
      </c>
      <c r="R200" s="1124">
        <f>ROUND(IF(Exclude_Taxes="n",IF(Filing_Status="m",IF(OR(R$7&lt;Single_Rate_Start,Single_Rate_Start=""),IF(AND(R$193&gt;='Tax Tables'!R$163,R$193&lt;='Tax Tables'!R$164),(R$193-'Tax Tables'!R$163)*'Tax Tables'!R$165,IF(R$193&gt;='Tax Tables'!R$164,('Tax Tables'!R$164-'Tax Tables'!R$163)*'Tax Tables'!R$165,0)),IF(AND(R$193&gt;='Tax Tables'!R$242,R$193&lt;='Tax Tables'!R$243),(R$193-'Tax Tables'!R$242)*'Tax Tables'!R$244,IF(R$193&gt;='Tax Tables'!R$243,('Tax Tables'!R$243-'Tax Tables'!R$242)*'Tax Tables'!R$244,0))),IF(AND(R$193&gt;='Tax Tables'!R$242,R$193&lt;='Tax Tables'!R$243),(R$193-'Tax Tables'!R$242)*'Tax Tables'!R$244,IF(R$193&gt;='Tax Tables'!R$243,('Tax Tables'!R$243-'Tax Tables'!R$242)*'Tax Tables'!R$244,0))),0)/Round_To,0)*Round_To</f>
        <v>0</v>
      </c>
      <c r="S200" s="1124">
        <f>ROUND(IF(Exclude_Taxes="n",IF(Filing_Status="m",IF(OR(S$7&lt;Single_Rate_Start,Single_Rate_Start=""),IF(AND(S$193&gt;='Tax Tables'!S$163,S$193&lt;='Tax Tables'!S$164),(S$193-'Tax Tables'!S$163)*'Tax Tables'!S$165,IF(S$193&gt;='Tax Tables'!S$164,('Tax Tables'!S$164-'Tax Tables'!S$163)*'Tax Tables'!S$165,0)),IF(AND(S$193&gt;='Tax Tables'!S$242,S$193&lt;='Tax Tables'!S$243),(S$193-'Tax Tables'!S$242)*'Tax Tables'!S$244,IF(S$193&gt;='Tax Tables'!S$243,('Tax Tables'!S$243-'Tax Tables'!S$242)*'Tax Tables'!S$244,0))),IF(AND(S$193&gt;='Tax Tables'!S$242,S$193&lt;='Tax Tables'!S$243),(S$193-'Tax Tables'!S$242)*'Tax Tables'!S$244,IF(S$193&gt;='Tax Tables'!S$243,('Tax Tables'!S$243-'Tax Tables'!S$242)*'Tax Tables'!S$244,0))),0)/Round_To,0)*Round_To</f>
        <v>0</v>
      </c>
      <c r="T200" s="1124">
        <f>ROUND(IF(Exclude_Taxes="n",IF(Filing_Status="m",IF(OR(T$7&lt;Single_Rate_Start,Single_Rate_Start=""),IF(AND(T$193&gt;='Tax Tables'!T$163,T$193&lt;='Tax Tables'!T$164),(T$193-'Tax Tables'!T$163)*'Tax Tables'!T$165,IF(T$193&gt;='Tax Tables'!T$164,('Tax Tables'!T$164-'Tax Tables'!T$163)*'Tax Tables'!T$165,0)),IF(AND(T$193&gt;='Tax Tables'!T$242,T$193&lt;='Tax Tables'!T$243),(T$193-'Tax Tables'!T$242)*'Tax Tables'!T$244,IF(T$193&gt;='Tax Tables'!T$243,('Tax Tables'!T$243-'Tax Tables'!T$242)*'Tax Tables'!T$244,0))),IF(AND(T$193&gt;='Tax Tables'!T$242,T$193&lt;='Tax Tables'!T$243),(T$193-'Tax Tables'!T$242)*'Tax Tables'!T$244,IF(T$193&gt;='Tax Tables'!T$243,('Tax Tables'!T$243-'Tax Tables'!T$242)*'Tax Tables'!T$244,0))),0)/Round_To,0)*Round_To</f>
        <v>0</v>
      </c>
      <c r="U200" s="1124">
        <f>ROUND(IF(Exclude_Taxes="n",IF(Filing_Status="m",IF(OR(U$7&lt;Single_Rate_Start,Single_Rate_Start=""),IF(AND(U$193&gt;='Tax Tables'!U$163,U$193&lt;='Tax Tables'!U$164),(U$193-'Tax Tables'!U$163)*'Tax Tables'!U$165,IF(U$193&gt;='Tax Tables'!U$164,('Tax Tables'!U$164-'Tax Tables'!U$163)*'Tax Tables'!U$165,0)),IF(AND(U$193&gt;='Tax Tables'!U$242,U$193&lt;='Tax Tables'!U$243),(U$193-'Tax Tables'!U$242)*'Tax Tables'!U$244,IF(U$193&gt;='Tax Tables'!U$243,('Tax Tables'!U$243-'Tax Tables'!U$242)*'Tax Tables'!U$244,0))),IF(AND(U$193&gt;='Tax Tables'!U$242,U$193&lt;='Tax Tables'!U$243),(U$193-'Tax Tables'!U$242)*'Tax Tables'!U$244,IF(U$193&gt;='Tax Tables'!U$243,('Tax Tables'!U$243-'Tax Tables'!U$242)*'Tax Tables'!U$244,0))),0)/Round_To,0)*Round_To</f>
        <v>0</v>
      </c>
      <c r="V200" s="1124">
        <f>ROUND(IF(Exclude_Taxes="n",IF(Filing_Status="m",IF(OR(V$7&lt;Single_Rate_Start,Single_Rate_Start=""),IF(AND(V$193&gt;='Tax Tables'!V$163,V$193&lt;='Tax Tables'!V$164),(V$193-'Tax Tables'!V$163)*'Tax Tables'!V$165,IF(V$193&gt;='Tax Tables'!V$164,('Tax Tables'!V$164-'Tax Tables'!V$163)*'Tax Tables'!V$165,0)),IF(AND(V$193&gt;='Tax Tables'!V$242,V$193&lt;='Tax Tables'!V$243),(V$193-'Tax Tables'!V$242)*'Tax Tables'!V$244,IF(V$193&gt;='Tax Tables'!V$243,('Tax Tables'!V$243-'Tax Tables'!V$242)*'Tax Tables'!V$244,0))),IF(AND(V$193&gt;='Tax Tables'!V$242,V$193&lt;='Tax Tables'!V$243),(V$193-'Tax Tables'!V$242)*'Tax Tables'!V$244,IF(V$193&gt;='Tax Tables'!V$243,('Tax Tables'!V$243-'Tax Tables'!V$242)*'Tax Tables'!V$244,0))),0)/Round_To,0)*Round_To</f>
        <v>0</v>
      </c>
      <c r="W200" s="1124">
        <f>ROUND(IF(Exclude_Taxes="n",IF(Filing_Status="m",IF(OR(W$7&lt;Single_Rate_Start,Single_Rate_Start=""),IF(AND(W$193&gt;='Tax Tables'!W$163,W$193&lt;='Tax Tables'!W$164),(W$193-'Tax Tables'!W$163)*'Tax Tables'!W$165,IF(W$193&gt;='Tax Tables'!W$164,('Tax Tables'!W$164-'Tax Tables'!W$163)*'Tax Tables'!W$165,0)),IF(AND(W$193&gt;='Tax Tables'!W$242,W$193&lt;='Tax Tables'!W$243),(W$193-'Tax Tables'!W$242)*'Tax Tables'!W$244,IF(W$193&gt;='Tax Tables'!W$243,('Tax Tables'!W$243-'Tax Tables'!W$242)*'Tax Tables'!W$244,0))),IF(AND(W$193&gt;='Tax Tables'!W$242,W$193&lt;='Tax Tables'!W$243),(W$193-'Tax Tables'!W$242)*'Tax Tables'!W$244,IF(W$193&gt;='Tax Tables'!W$243,('Tax Tables'!W$243-'Tax Tables'!W$242)*'Tax Tables'!W$244,0))),0)/Round_To,0)*Round_To</f>
        <v>0</v>
      </c>
      <c r="X200" s="1124">
        <f>ROUND(IF(Exclude_Taxes="n",IF(Filing_Status="m",IF(OR(X$7&lt;Single_Rate_Start,Single_Rate_Start=""),IF(AND(X$193&gt;='Tax Tables'!X$163,X$193&lt;='Tax Tables'!X$164),(X$193-'Tax Tables'!X$163)*'Tax Tables'!X$165,IF(X$193&gt;='Tax Tables'!X$164,('Tax Tables'!X$164-'Tax Tables'!X$163)*'Tax Tables'!X$165,0)),IF(AND(X$193&gt;='Tax Tables'!X$242,X$193&lt;='Tax Tables'!X$243),(X$193-'Tax Tables'!X$242)*'Tax Tables'!X$244,IF(X$193&gt;='Tax Tables'!X$243,('Tax Tables'!X$243-'Tax Tables'!X$242)*'Tax Tables'!X$244,0))),IF(AND(X$193&gt;='Tax Tables'!X$242,X$193&lt;='Tax Tables'!X$243),(X$193-'Tax Tables'!X$242)*'Tax Tables'!X$244,IF(X$193&gt;='Tax Tables'!X$243,('Tax Tables'!X$243-'Tax Tables'!X$242)*'Tax Tables'!X$244,0))),0)/Round_To,0)*Round_To</f>
        <v>0</v>
      </c>
      <c r="Y200" s="1124">
        <f>ROUND(IF(Exclude_Taxes="n",IF(Filing_Status="m",IF(OR(Y$7&lt;Single_Rate_Start,Single_Rate_Start=""),IF(AND(Y$193&gt;='Tax Tables'!Y$163,Y$193&lt;='Tax Tables'!Y$164),(Y$193-'Tax Tables'!Y$163)*'Tax Tables'!Y$165,IF(Y$193&gt;='Tax Tables'!Y$164,('Tax Tables'!Y$164-'Tax Tables'!Y$163)*'Tax Tables'!Y$165,0)),IF(AND(Y$193&gt;='Tax Tables'!Y$242,Y$193&lt;='Tax Tables'!Y$243),(Y$193-'Tax Tables'!Y$242)*'Tax Tables'!Y$244,IF(Y$193&gt;='Tax Tables'!Y$243,('Tax Tables'!Y$243-'Tax Tables'!Y$242)*'Tax Tables'!Y$244,0))),IF(AND(Y$193&gt;='Tax Tables'!Y$242,Y$193&lt;='Tax Tables'!Y$243),(Y$193-'Tax Tables'!Y$242)*'Tax Tables'!Y$244,IF(Y$193&gt;='Tax Tables'!Y$243,('Tax Tables'!Y$243-'Tax Tables'!Y$242)*'Tax Tables'!Y$244,0))),0)/Round_To,0)*Round_To</f>
        <v>0</v>
      </c>
      <c r="Z200" s="1124">
        <f>ROUND(IF(Exclude_Taxes="n",IF(Filing_Status="m",IF(OR(Z$7&lt;Single_Rate_Start,Single_Rate_Start=""),IF(AND(Z$193&gt;='Tax Tables'!Z$163,Z$193&lt;='Tax Tables'!Z$164),(Z$193-'Tax Tables'!Z$163)*'Tax Tables'!Z$165,IF(Z$193&gt;='Tax Tables'!Z$164,('Tax Tables'!Z$164-'Tax Tables'!Z$163)*'Tax Tables'!Z$165,0)),IF(AND(Z$193&gt;='Tax Tables'!Z$242,Z$193&lt;='Tax Tables'!Z$243),(Z$193-'Tax Tables'!Z$242)*'Tax Tables'!Z$244,IF(Z$193&gt;='Tax Tables'!Z$243,('Tax Tables'!Z$243-'Tax Tables'!Z$242)*'Tax Tables'!Z$244,0))),IF(AND(Z$193&gt;='Tax Tables'!Z$242,Z$193&lt;='Tax Tables'!Z$243),(Z$193-'Tax Tables'!Z$242)*'Tax Tables'!Z$244,IF(Z$193&gt;='Tax Tables'!Z$243,('Tax Tables'!Z$243-'Tax Tables'!Z$242)*'Tax Tables'!Z$244,0))),0)/Round_To,0)*Round_To</f>
        <v>0</v>
      </c>
      <c r="AA200" s="1124">
        <f>ROUND(IF(Exclude_Taxes="n",IF(Filing_Status="m",IF(OR(AA$7&lt;Single_Rate_Start,Single_Rate_Start=""),IF(AND(AA$193&gt;='Tax Tables'!AA$163,AA$193&lt;='Tax Tables'!AA$164),(AA$193-'Tax Tables'!AA$163)*'Tax Tables'!AA$165,IF(AA$193&gt;='Tax Tables'!AA$164,('Tax Tables'!AA$164-'Tax Tables'!AA$163)*'Tax Tables'!AA$165,0)),IF(AND(AA$193&gt;='Tax Tables'!AA$242,AA$193&lt;='Tax Tables'!AA$243),(AA$193-'Tax Tables'!AA$242)*'Tax Tables'!AA$244,IF(AA$193&gt;='Tax Tables'!AA$243,('Tax Tables'!AA$243-'Tax Tables'!AA$242)*'Tax Tables'!AA$244,0))),IF(AND(AA$193&gt;='Tax Tables'!AA$242,AA$193&lt;='Tax Tables'!AA$243),(AA$193-'Tax Tables'!AA$242)*'Tax Tables'!AA$244,IF(AA$193&gt;='Tax Tables'!AA$243,('Tax Tables'!AA$243-'Tax Tables'!AA$242)*'Tax Tables'!AA$244,0))),0)/Round_To,0)*Round_To</f>
        <v>0</v>
      </c>
      <c r="AB200" s="1124">
        <f>ROUND(IF(Exclude_Taxes="n",IF(Filing_Status="m",IF(OR(AB$7&lt;Single_Rate_Start,Single_Rate_Start=""),IF(AND(AB$193&gt;='Tax Tables'!AB$163,AB$193&lt;='Tax Tables'!AB$164),(AB$193-'Tax Tables'!AB$163)*'Tax Tables'!AB$165,IF(AB$193&gt;='Tax Tables'!AB$164,('Tax Tables'!AB$164-'Tax Tables'!AB$163)*'Tax Tables'!AB$165,0)),IF(AND(AB$193&gt;='Tax Tables'!AB$242,AB$193&lt;='Tax Tables'!AB$243),(AB$193-'Tax Tables'!AB$242)*'Tax Tables'!AB$244,IF(AB$193&gt;='Tax Tables'!AB$243,('Tax Tables'!AB$243-'Tax Tables'!AB$242)*'Tax Tables'!AB$244,0))),IF(AND(AB$193&gt;='Tax Tables'!AB$242,AB$193&lt;='Tax Tables'!AB$243),(AB$193-'Tax Tables'!AB$242)*'Tax Tables'!AB$244,IF(AB$193&gt;='Tax Tables'!AB$243,('Tax Tables'!AB$243-'Tax Tables'!AB$242)*'Tax Tables'!AB$244,0))),0)/Round_To,0)*Round_To</f>
        <v>0</v>
      </c>
      <c r="AC200" s="1124">
        <f>ROUND(IF(Exclude_Taxes="n",IF(Filing_Status="m",IF(OR(AC$7&lt;Single_Rate_Start,Single_Rate_Start=""),IF(AND(AC$193&gt;='Tax Tables'!AC$163,AC$193&lt;='Tax Tables'!AC$164),(AC$193-'Tax Tables'!AC$163)*'Tax Tables'!AC$165,IF(AC$193&gt;='Tax Tables'!AC$164,('Tax Tables'!AC$164-'Tax Tables'!AC$163)*'Tax Tables'!AC$165,0)),IF(AND(AC$193&gt;='Tax Tables'!AC$242,AC$193&lt;='Tax Tables'!AC$243),(AC$193-'Tax Tables'!AC$242)*'Tax Tables'!AC$244,IF(AC$193&gt;='Tax Tables'!AC$243,('Tax Tables'!AC$243-'Tax Tables'!AC$242)*'Tax Tables'!AC$244,0))),IF(AND(AC$193&gt;='Tax Tables'!AC$242,AC$193&lt;='Tax Tables'!AC$243),(AC$193-'Tax Tables'!AC$242)*'Tax Tables'!AC$244,IF(AC$193&gt;='Tax Tables'!AC$243,('Tax Tables'!AC$243-'Tax Tables'!AC$242)*'Tax Tables'!AC$244,0))),0)/Round_To,0)*Round_To</f>
        <v>0</v>
      </c>
      <c r="AD200" s="1124">
        <f>ROUND(IF(Exclude_Taxes="n",IF(Filing_Status="m",IF(OR(AD$7&lt;Single_Rate_Start,Single_Rate_Start=""),IF(AND(AD$193&gt;='Tax Tables'!AD$163,AD$193&lt;='Tax Tables'!AD$164),(AD$193-'Tax Tables'!AD$163)*'Tax Tables'!AD$165,IF(AD$193&gt;='Tax Tables'!AD$164,('Tax Tables'!AD$164-'Tax Tables'!AD$163)*'Tax Tables'!AD$165,0)),IF(AND(AD$193&gt;='Tax Tables'!AD$242,AD$193&lt;='Tax Tables'!AD$243),(AD$193-'Tax Tables'!AD$242)*'Tax Tables'!AD$244,IF(AD$193&gt;='Tax Tables'!AD$243,('Tax Tables'!AD$243-'Tax Tables'!AD$242)*'Tax Tables'!AD$244,0))),IF(AND(AD$193&gt;='Tax Tables'!AD$242,AD$193&lt;='Tax Tables'!AD$243),(AD$193-'Tax Tables'!AD$242)*'Tax Tables'!AD$244,IF(AD$193&gt;='Tax Tables'!AD$243,('Tax Tables'!AD$243-'Tax Tables'!AD$242)*'Tax Tables'!AD$244,0))),0)/Round_To,0)*Round_To</f>
        <v>0</v>
      </c>
      <c r="AE200" s="1124">
        <f>ROUND(IF(Exclude_Taxes="n",IF(Filing_Status="m",IF(OR(AE$7&lt;Single_Rate_Start,Single_Rate_Start=""),IF(AND(AE$193&gt;='Tax Tables'!AE$163,AE$193&lt;='Tax Tables'!AE$164),(AE$193-'Tax Tables'!AE$163)*'Tax Tables'!AE$165,IF(AE$193&gt;='Tax Tables'!AE$164,('Tax Tables'!AE$164-'Tax Tables'!AE$163)*'Tax Tables'!AE$165,0)),IF(AND(AE$193&gt;='Tax Tables'!AE$242,AE$193&lt;='Tax Tables'!AE$243),(AE$193-'Tax Tables'!AE$242)*'Tax Tables'!AE$244,IF(AE$193&gt;='Tax Tables'!AE$243,('Tax Tables'!AE$243-'Tax Tables'!AE$242)*'Tax Tables'!AE$244,0))),IF(AND(AE$193&gt;='Tax Tables'!AE$242,AE$193&lt;='Tax Tables'!AE$243),(AE$193-'Tax Tables'!AE$242)*'Tax Tables'!AE$244,IF(AE$193&gt;='Tax Tables'!AE$243,('Tax Tables'!AE$243-'Tax Tables'!AE$242)*'Tax Tables'!AE$244,0))),0)/Round_To,0)*Round_To</f>
        <v>0</v>
      </c>
      <c r="AF200" s="1124">
        <f>ROUND(IF(Exclude_Taxes="n",IF(Filing_Status="m",IF(OR(AF$7&lt;Single_Rate_Start,Single_Rate_Start=""),IF(AND(AF$193&gt;='Tax Tables'!AF$163,AF$193&lt;='Tax Tables'!AF$164),(AF$193-'Tax Tables'!AF$163)*'Tax Tables'!AF$165,IF(AF$193&gt;='Tax Tables'!AF$164,('Tax Tables'!AF$164-'Tax Tables'!AF$163)*'Tax Tables'!AF$165,0)),IF(AND(AF$193&gt;='Tax Tables'!AF$242,AF$193&lt;='Tax Tables'!AF$243),(AF$193-'Tax Tables'!AF$242)*'Tax Tables'!AF$244,IF(AF$193&gt;='Tax Tables'!AF$243,('Tax Tables'!AF$243-'Tax Tables'!AF$242)*'Tax Tables'!AF$244,0))),IF(AND(AF$193&gt;='Tax Tables'!AF$242,AF$193&lt;='Tax Tables'!AF$243),(AF$193-'Tax Tables'!AF$242)*'Tax Tables'!AF$244,IF(AF$193&gt;='Tax Tables'!AF$243,('Tax Tables'!AF$243-'Tax Tables'!AF$242)*'Tax Tables'!AF$244,0))),0)/Round_To,0)*Round_To</f>
        <v>0</v>
      </c>
      <c r="AG200" s="1124">
        <f>ROUND(IF(Exclude_Taxes="n",IF(Filing_Status="m",IF(OR(AG$7&lt;Single_Rate_Start,Single_Rate_Start=""),IF(AND(AG$193&gt;='Tax Tables'!AG$163,AG$193&lt;='Tax Tables'!AG$164),(AG$193-'Tax Tables'!AG$163)*'Tax Tables'!AG$165,IF(AG$193&gt;='Tax Tables'!AG$164,('Tax Tables'!AG$164-'Tax Tables'!AG$163)*'Tax Tables'!AG$165,0)),IF(AND(AG$193&gt;='Tax Tables'!AG$242,AG$193&lt;='Tax Tables'!AG$243),(AG$193-'Tax Tables'!AG$242)*'Tax Tables'!AG$244,IF(AG$193&gt;='Tax Tables'!AG$243,('Tax Tables'!AG$243-'Tax Tables'!AG$242)*'Tax Tables'!AG$244,0))),IF(AND(AG$193&gt;='Tax Tables'!AG$242,AG$193&lt;='Tax Tables'!AG$243),(AG$193-'Tax Tables'!AG$242)*'Tax Tables'!AG$244,IF(AG$193&gt;='Tax Tables'!AG$243,('Tax Tables'!AG$243-'Tax Tables'!AG$242)*'Tax Tables'!AG$244,0))),0)/Round_To,0)*Round_To</f>
        <v>0</v>
      </c>
      <c r="AH200" s="1124">
        <f>ROUND(IF(Exclude_Taxes="n",IF(Filing_Status="m",IF(OR(AH$7&lt;Single_Rate_Start,Single_Rate_Start=""),IF(AND(AH$193&gt;='Tax Tables'!AH$163,AH$193&lt;='Tax Tables'!AH$164),(AH$193-'Tax Tables'!AH$163)*'Tax Tables'!AH$165,IF(AH$193&gt;='Tax Tables'!AH$164,('Tax Tables'!AH$164-'Tax Tables'!AH$163)*'Tax Tables'!AH$165,0)),IF(AND(AH$193&gt;='Tax Tables'!AH$242,AH$193&lt;='Tax Tables'!AH$243),(AH$193-'Tax Tables'!AH$242)*'Tax Tables'!AH$244,IF(AH$193&gt;='Tax Tables'!AH$243,('Tax Tables'!AH$243-'Tax Tables'!AH$242)*'Tax Tables'!AH$244,0))),IF(AND(AH$193&gt;='Tax Tables'!AH$242,AH$193&lt;='Tax Tables'!AH$243),(AH$193-'Tax Tables'!AH$242)*'Tax Tables'!AH$244,IF(AH$193&gt;='Tax Tables'!AH$243,('Tax Tables'!AH$243-'Tax Tables'!AH$242)*'Tax Tables'!AH$244,0))),0)/Round_To,0)*Round_To</f>
        <v>0</v>
      </c>
      <c r="AI200" s="1124">
        <f>ROUND(IF(Exclude_Taxes="n",IF(Filing_Status="m",IF(OR(AI$7&lt;Single_Rate_Start,Single_Rate_Start=""),IF(AND(AI$193&gt;='Tax Tables'!AI$163,AI$193&lt;='Tax Tables'!AI$164),(AI$193-'Tax Tables'!AI$163)*'Tax Tables'!AI$165,IF(AI$193&gt;='Tax Tables'!AI$164,('Tax Tables'!AI$164-'Tax Tables'!AI$163)*'Tax Tables'!AI$165,0)),IF(AND(AI$193&gt;='Tax Tables'!AI$242,AI$193&lt;='Tax Tables'!AI$243),(AI$193-'Tax Tables'!AI$242)*'Tax Tables'!AI$244,IF(AI$193&gt;='Tax Tables'!AI$243,('Tax Tables'!AI$243-'Tax Tables'!AI$242)*'Tax Tables'!AI$244,0))),IF(AND(AI$193&gt;='Tax Tables'!AI$242,AI$193&lt;='Tax Tables'!AI$243),(AI$193-'Tax Tables'!AI$242)*'Tax Tables'!AI$244,IF(AI$193&gt;='Tax Tables'!AI$243,('Tax Tables'!AI$243-'Tax Tables'!AI$242)*'Tax Tables'!AI$244,0))),0)/Round_To,0)*Round_To</f>
        <v>0</v>
      </c>
      <c r="AJ200" s="1124">
        <f>ROUND(IF(Exclude_Taxes="n",IF(Filing_Status="m",IF(OR(AJ$7&lt;Single_Rate_Start,Single_Rate_Start=""),IF(AND(AJ$193&gt;='Tax Tables'!AJ$163,AJ$193&lt;='Tax Tables'!AJ$164),(AJ$193-'Tax Tables'!AJ$163)*'Tax Tables'!AJ$165,IF(AJ$193&gt;='Tax Tables'!AJ$164,('Tax Tables'!AJ$164-'Tax Tables'!AJ$163)*'Tax Tables'!AJ$165,0)),IF(AND(AJ$193&gt;='Tax Tables'!AJ$242,AJ$193&lt;='Tax Tables'!AJ$243),(AJ$193-'Tax Tables'!AJ$242)*'Tax Tables'!AJ$244,IF(AJ$193&gt;='Tax Tables'!AJ$243,('Tax Tables'!AJ$243-'Tax Tables'!AJ$242)*'Tax Tables'!AJ$244,0))),IF(AND(AJ$193&gt;='Tax Tables'!AJ$242,AJ$193&lt;='Tax Tables'!AJ$243),(AJ$193-'Tax Tables'!AJ$242)*'Tax Tables'!AJ$244,IF(AJ$193&gt;='Tax Tables'!AJ$243,('Tax Tables'!AJ$243-'Tax Tables'!AJ$242)*'Tax Tables'!AJ$244,0))),0)/Round_To,0)*Round_To</f>
        <v>0</v>
      </c>
      <c r="AK200" s="1124">
        <f>ROUND(IF(Exclude_Taxes="n",IF(Filing_Status="m",IF(OR(AK$7&lt;Single_Rate_Start,Single_Rate_Start=""),IF(AND(AK$193&gt;='Tax Tables'!AK$163,AK$193&lt;='Tax Tables'!AK$164),(AK$193-'Tax Tables'!AK$163)*'Tax Tables'!AK$165,IF(AK$193&gt;='Tax Tables'!AK$164,('Tax Tables'!AK$164-'Tax Tables'!AK$163)*'Tax Tables'!AK$165,0)),IF(AND(AK$193&gt;='Tax Tables'!AK$242,AK$193&lt;='Tax Tables'!AK$243),(AK$193-'Tax Tables'!AK$242)*'Tax Tables'!AK$244,IF(AK$193&gt;='Tax Tables'!AK$243,('Tax Tables'!AK$243-'Tax Tables'!AK$242)*'Tax Tables'!AK$244,0))),IF(AND(AK$193&gt;='Tax Tables'!AK$242,AK$193&lt;='Tax Tables'!AK$243),(AK$193-'Tax Tables'!AK$242)*'Tax Tables'!AK$244,IF(AK$193&gt;='Tax Tables'!AK$243,('Tax Tables'!AK$243-'Tax Tables'!AK$242)*'Tax Tables'!AK$244,0))),0)/Round_To,0)*Round_To</f>
        <v>0</v>
      </c>
      <c r="AL200" s="1124">
        <f>ROUND(IF(Exclude_Taxes="n",IF(Filing_Status="m",IF(OR(AL$7&lt;Single_Rate_Start,Single_Rate_Start=""),IF(AND(AL$193&gt;='Tax Tables'!AL$163,AL$193&lt;='Tax Tables'!AL$164),(AL$193-'Tax Tables'!AL$163)*'Tax Tables'!AL$165,IF(AL$193&gt;='Tax Tables'!AL$164,('Tax Tables'!AL$164-'Tax Tables'!AL$163)*'Tax Tables'!AL$165,0)),IF(AND(AL$193&gt;='Tax Tables'!AL$242,AL$193&lt;='Tax Tables'!AL$243),(AL$193-'Tax Tables'!AL$242)*'Tax Tables'!AL$244,IF(AL$193&gt;='Tax Tables'!AL$243,('Tax Tables'!AL$243-'Tax Tables'!AL$242)*'Tax Tables'!AL$244,0))),IF(AND(AL$193&gt;='Tax Tables'!AL$242,AL$193&lt;='Tax Tables'!AL$243),(AL$193-'Tax Tables'!AL$242)*'Tax Tables'!AL$244,IF(AL$193&gt;='Tax Tables'!AL$243,('Tax Tables'!AL$243-'Tax Tables'!AL$242)*'Tax Tables'!AL$244,0))),0)/Round_To,0)*Round_To</f>
        <v>0</v>
      </c>
      <c r="AM200" s="1124">
        <f>ROUND(IF(Exclude_Taxes="n",IF(Filing_Status="m",IF(OR(AM$7&lt;Single_Rate_Start,Single_Rate_Start=""),IF(AND(AM$193&gt;='Tax Tables'!AM$163,AM$193&lt;='Tax Tables'!AM$164),(AM$193-'Tax Tables'!AM$163)*'Tax Tables'!AM$165,IF(AM$193&gt;='Tax Tables'!AM$164,('Tax Tables'!AM$164-'Tax Tables'!AM$163)*'Tax Tables'!AM$165,0)),IF(AND(AM$193&gt;='Tax Tables'!AM$242,AM$193&lt;='Tax Tables'!AM$243),(AM$193-'Tax Tables'!AM$242)*'Tax Tables'!AM$244,IF(AM$193&gt;='Tax Tables'!AM$243,('Tax Tables'!AM$243-'Tax Tables'!AM$242)*'Tax Tables'!AM$244,0))),IF(AND(AM$193&gt;='Tax Tables'!AM$242,AM$193&lt;='Tax Tables'!AM$243),(AM$193-'Tax Tables'!AM$242)*'Tax Tables'!AM$244,IF(AM$193&gt;='Tax Tables'!AM$243,('Tax Tables'!AM$243-'Tax Tables'!AM$242)*'Tax Tables'!AM$244,0))),0)/Round_To,0)*Round_To</f>
        <v>0</v>
      </c>
      <c r="AN200" s="1124">
        <f>ROUND(IF(Exclude_Taxes="n",IF(Filing_Status="m",IF(OR(AN$7&lt;Single_Rate_Start,Single_Rate_Start=""),IF(AND(AN$193&gt;='Tax Tables'!AN$163,AN$193&lt;='Tax Tables'!AN$164),(AN$193-'Tax Tables'!AN$163)*'Tax Tables'!AN$165,IF(AN$193&gt;='Tax Tables'!AN$164,('Tax Tables'!AN$164-'Tax Tables'!AN$163)*'Tax Tables'!AN$165,0)),IF(AND(AN$193&gt;='Tax Tables'!AN$242,AN$193&lt;='Tax Tables'!AN$243),(AN$193-'Tax Tables'!AN$242)*'Tax Tables'!AN$244,IF(AN$193&gt;='Tax Tables'!AN$243,('Tax Tables'!AN$243-'Tax Tables'!AN$242)*'Tax Tables'!AN$244,0))),IF(AND(AN$193&gt;='Tax Tables'!AN$242,AN$193&lt;='Tax Tables'!AN$243),(AN$193-'Tax Tables'!AN$242)*'Tax Tables'!AN$244,IF(AN$193&gt;='Tax Tables'!AN$243,('Tax Tables'!AN$243-'Tax Tables'!AN$242)*'Tax Tables'!AN$244,0))),0)/Round_To,0)*Round_To</f>
        <v>0</v>
      </c>
      <c r="AO200" s="1124">
        <f>ROUND(IF(Exclude_Taxes="n",IF(Filing_Status="m",IF(OR(AO$7&lt;Single_Rate_Start,Single_Rate_Start=""),IF(AND(AO$193&gt;='Tax Tables'!AO$163,AO$193&lt;='Tax Tables'!AO$164),(AO$193-'Tax Tables'!AO$163)*'Tax Tables'!AO$165,IF(AO$193&gt;='Tax Tables'!AO$164,('Tax Tables'!AO$164-'Tax Tables'!AO$163)*'Tax Tables'!AO$165,0)),IF(AND(AO$193&gt;='Tax Tables'!AO$242,AO$193&lt;='Tax Tables'!AO$243),(AO$193-'Tax Tables'!AO$242)*'Tax Tables'!AO$244,IF(AO$193&gt;='Tax Tables'!AO$243,('Tax Tables'!AO$243-'Tax Tables'!AO$242)*'Tax Tables'!AO$244,0))),IF(AND(AO$193&gt;='Tax Tables'!AO$242,AO$193&lt;='Tax Tables'!AO$243),(AO$193-'Tax Tables'!AO$242)*'Tax Tables'!AO$244,IF(AO$193&gt;='Tax Tables'!AO$243,('Tax Tables'!AO$243-'Tax Tables'!AO$242)*'Tax Tables'!AO$244,0))),0)/Round_To,0)*Round_To</f>
        <v>0</v>
      </c>
      <c r="AP200" s="1124">
        <f>ROUND(IF(Exclude_Taxes="n",IF(Filing_Status="m",IF(OR(AP$7&lt;Single_Rate_Start,Single_Rate_Start=""),IF(AND(AP$193&gt;='Tax Tables'!AP$163,AP$193&lt;='Tax Tables'!AP$164),(AP$193-'Tax Tables'!AP$163)*'Tax Tables'!AP$165,IF(AP$193&gt;='Tax Tables'!AP$164,('Tax Tables'!AP$164-'Tax Tables'!AP$163)*'Tax Tables'!AP$165,0)),IF(AND(AP$193&gt;='Tax Tables'!AP$242,AP$193&lt;='Tax Tables'!AP$243),(AP$193-'Tax Tables'!AP$242)*'Tax Tables'!AP$244,IF(AP$193&gt;='Tax Tables'!AP$243,('Tax Tables'!AP$243-'Tax Tables'!AP$242)*'Tax Tables'!AP$244,0))),IF(AND(AP$193&gt;='Tax Tables'!AP$242,AP$193&lt;='Tax Tables'!AP$243),(AP$193-'Tax Tables'!AP$242)*'Tax Tables'!AP$244,IF(AP$193&gt;='Tax Tables'!AP$243,('Tax Tables'!AP$243-'Tax Tables'!AP$242)*'Tax Tables'!AP$244,0))),0)/Round_To,0)*Round_To</f>
        <v>0</v>
      </c>
      <c r="AQ200" s="1124">
        <f>ROUND(IF(Exclude_Taxes="n",IF(Filing_Status="m",IF(OR(AQ$7&lt;Single_Rate_Start,Single_Rate_Start=""),IF(AND(AQ$193&gt;='Tax Tables'!AQ$163,AQ$193&lt;='Tax Tables'!AQ$164),(AQ$193-'Tax Tables'!AQ$163)*'Tax Tables'!AQ$165,IF(AQ$193&gt;='Tax Tables'!AQ$164,('Tax Tables'!AQ$164-'Tax Tables'!AQ$163)*'Tax Tables'!AQ$165,0)),IF(AND(AQ$193&gt;='Tax Tables'!AQ$242,AQ$193&lt;='Tax Tables'!AQ$243),(AQ$193-'Tax Tables'!AQ$242)*'Tax Tables'!AQ$244,IF(AQ$193&gt;='Tax Tables'!AQ$243,('Tax Tables'!AQ$243-'Tax Tables'!AQ$242)*'Tax Tables'!AQ$244,0))),IF(AND(AQ$193&gt;='Tax Tables'!AQ$242,AQ$193&lt;='Tax Tables'!AQ$243),(AQ$193-'Tax Tables'!AQ$242)*'Tax Tables'!AQ$244,IF(AQ$193&gt;='Tax Tables'!AQ$243,('Tax Tables'!AQ$243-'Tax Tables'!AQ$242)*'Tax Tables'!AQ$244,0))),0)/Round_To,0)*Round_To</f>
        <v>0</v>
      </c>
      <c r="AR200" s="1124">
        <f>ROUND(IF(Exclude_Taxes="n",IF(Filing_Status="m",IF(OR(AR$7&lt;Single_Rate_Start,Single_Rate_Start=""),IF(AND(AR$193&gt;='Tax Tables'!AR$163,AR$193&lt;='Tax Tables'!AR$164),(AR$193-'Tax Tables'!AR$163)*'Tax Tables'!AR$165,IF(AR$193&gt;='Tax Tables'!AR$164,('Tax Tables'!AR$164-'Tax Tables'!AR$163)*'Tax Tables'!AR$165,0)),IF(AND(AR$193&gt;='Tax Tables'!AR$242,AR$193&lt;='Tax Tables'!AR$243),(AR$193-'Tax Tables'!AR$242)*'Tax Tables'!AR$244,IF(AR$193&gt;='Tax Tables'!AR$243,('Tax Tables'!AR$243-'Tax Tables'!AR$242)*'Tax Tables'!AR$244,0))),IF(AND(AR$193&gt;='Tax Tables'!AR$242,AR$193&lt;='Tax Tables'!AR$243),(AR$193-'Tax Tables'!AR$242)*'Tax Tables'!AR$244,IF(AR$193&gt;='Tax Tables'!AR$243,('Tax Tables'!AR$243-'Tax Tables'!AR$242)*'Tax Tables'!AR$244,0))),0)/Round_To,0)*Round_To</f>
        <v>0</v>
      </c>
      <c r="AS200" s="1124">
        <f>ROUND(IF(Exclude_Taxes="n",IF(Filing_Status="m",IF(OR(AS$7&lt;Single_Rate_Start,Single_Rate_Start=""),IF(AND(AS$193&gt;='Tax Tables'!AS$163,AS$193&lt;='Tax Tables'!AS$164),(AS$193-'Tax Tables'!AS$163)*'Tax Tables'!AS$165,IF(AS$193&gt;='Tax Tables'!AS$164,('Tax Tables'!AS$164-'Tax Tables'!AS$163)*'Tax Tables'!AS$165,0)),IF(AND(AS$193&gt;='Tax Tables'!AS$242,AS$193&lt;='Tax Tables'!AS$243),(AS$193-'Tax Tables'!AS$242)*'Tax Tables'!AS$244,IF(AS$193&gt;='Tax Tables'!AS$243,('Tax Tables'!AS$243-'Tax Tables'!AS$242)*'Tax Tables'!AS$244,0))),IF(AND(AS$193&gt;='Tax Tables'!AS$242,AS$193&lt;='Tax Tables'!AS$243),(AS$193-'Tax Tables'!AS$242)*'Tax Tables'!AS$244,IF(AS$193&gt;='Tax Tables'!AS$243,('Tax Tables'!AS$243-'Tax Tables'!AS$242)*'Tax Tables'!AS$244,0))),0)/Round_To,0)*Round_To</f>
        <v>0</v>
      </c>
      <c r="AT200" s="42"/>
      <c r="AU200" s="15">
        <f>+Base!E200</f>
        <v>0</v>
      </c>
      <c r="AV200" s="103">
        <f t="shared" si="181"/>
        <v>0</v>
      </c>
      <c r="AW200" s="102"/>
      <c r="AX200" s="49"/>
      <c r="AY200" s="49"/>
      <c r="AZ200" s="42"/>
      <c r="BA200" s="49"/>
      <c r="BB200" s="49"/>
      <c r="BC200" s="39"/>
      <c r="BD200" s="39"/>
      <c r="BE200" s="39"/>
      <c r="BF200" s="49"/>
      <c r="BG200" s="49"/>
      <c r="BH200" s="49"/>
      <c r="BI200" s="49"/>
      <c r="BJ200" s="39"/>
      <c r="BK200" s="49"/>
      <c r="BL200" s="39"/>
      <c r="BM200" s="39"/>
      <c r="BN200" s="49"/>
      <c r="BO200" s="49"/>
      <c r="BP200" s="49"/>
      <c r="BQ200" s="49"/>
      <c r="BR200" s="49"/>
      <c r="BS200" s="49"/>
      <c r="BT200" s="49"/>
      <c r="BU200" s="49"/>
      <c r="BV200" s="49"/>
      <c r="BW200" s="49"/>
      <c r="BX200" s="49"/>
      <c r="BY200" s="49"/>
      <c r="BZ200" s="49"/>
      <c r="CA200" s="44"/>
      <c r="CB200" s="49"/>
      <c r="CC200" s="49"/>
      <c r="CD200" s="49"/>
      <c r="CE200" s="49"/>
      <c r="CF200" s="49"/>
      <c r="CG200" s="49"/>
      <c r="CH200" s="49"/>
      <c r="CI200" s="49"/>
      <c r="CJ200" s="49"/>
      <c r="CK200" s="49"/>
      <c r="CL200" s="49"/>
      <c r="CM200" s="49"/>
      <c r="CN200" s="49"/>
    </row>
    <row r="201" spans="1:92" hidden="1">
      <c r="A201" s="1427" t="s">
        <v>1578</v>
      </c>
      <c r="B201" s="425"/>
      <c r="C201" s="425" t="str">
        <f>IF(Tax_Rates_Alt="y",IF(Filing_Status="m",Setup!$E$239,Setup!$H$239),"")</f>
        <v/>
      </c>
      <c r="D201" s="1435">
        <f>IF(Filing_Status="m",Setup!$D$239,Setup!$G$239)</f>
        <v>0.37</v>
      </c>
      <c r="E201" s="34">
        <f t="shared" si="180"/>
        <v>0</v>
      </c>
      <c r="F201" s="127">
        <f>ROUND(IF(Exclude_Taxes="n",IF(Filing_Status="m",IF(OR(F$7&lt;Single_Rate_Start,Single_Rate_Start=""),IF(F$193&gt;='Tax Tables'!F$168,(F$193-'Tax Tables'!F$168)*'Tax Tables'!F$169,0),IF(F$193&gt;='Tax Tables'!F$247,(F$193-'Tax Tables'!F$247)*'Tax Tables'!F$248,0)),IF(F$193&gt;='Tax Tables'!F$247,(F$193-'Tax Tables'!F$247)*'Tax Tables'!F$248,0)),0)/Round_To,0)*Round_To</f>
        <v>0</v>
      </c>
      <c r="G201" s="1125">
        <f>ROUND(IF(Exclude_Taxes="n",IF(Filing_Status="m",IF(OR(G$7&lt;Single_Rate_Start,Single_Rate_Start=""),IF(G$193&gt;='Tax Tables'!G$168,(G$193-'Tax Tables'!G$168)*'Tax Tables'!G$169,0),IF(G$193&gt;='Tax Tables'!G$247,(G$193-'Tax Tables'!G$247)*'Tax Tables'!G$248,0)),IF(G$193&gt;='Tax Tables'!G$247,(G$193-'Tax Tables'!G$247)*'Tax Tables'!G$248,0)),0)/Round_To,0)*Round_To</f>
        <v>0</v>
      </c>
      <c r="H201" s="1125">
        <f>ROUND(IF(Exclude_Taxes="n",IF(Filing_Status="m",IF(OR(H$7&lt;Single_Rate_Start,Single_Rate_Start=""),IF(H$193&gt;='Tax Tables'!H$168,(H$193-'Tax Tables'!H$168)*'Tax Tables'!H$169,0),IF(H$193&gt;='Tax Tables'!H$247,(H$193-'Tax Tables'!H$247)*'Tax Tables'!H$248,0)),IF(H$193&gt;='Tax Tables'!H$247,(H$193-'Tax Tables'!H$247)*'Tax Tables'!H$248,0)),0)/Round_To,0)*Round_To</f>
        <v>0</v>
      </c>
      <c r="I201" s="1125">
        <f>ROUND(IF(Exclude_Taxes="n",IF(Filing_Status="m",IF(OR(I$7&lt;Single_Rate_Start,Single_Rate_Start=""),IF(I$193&gt;='Tax Tables'!I$168,(I$193-'Tax Tables'!I$168)*'Tax Tables'!I$169,0),IF(I$193&gt;='Tax Tables'!I$247,(I$193-'Tax Tables'!I$247)*'Tax Tables'!I$248,0)),IF(I$193&gt;='Tax Tables'!I$247,(I$193-'Tax Tables'!I$247)*'Tax Tables'!I$248,0)),0)/Round_To,0)*Round_To</f>
        <v>0</v>
      </c>
      <c r="J201" s="1125">
        <f>ROUND(IF(Exclude_Taxes="n",IF(Filing_Status="m",IF(OR(J$7&lt;Single_Rate_Start,Single_Rate_Start=""),IF(J$193&gt;='Tax Tables'!J$168,(J$193-'Tax Tables'!J$168)*'Tax Tables'!J$169,0),IF(J$193&gt;='Tax Tables'!J$247,(J$193-'Tax Tables'!J$247)*'Tax Tables'!J$248,0)),IF(J$193&gt;='Tax Tables'!J$247,(J$193-'Tax Tables'!J$247)*'Tax Tables'!J$248,0)),0)/Round_To,0)*Round_To</f>
        <v>0</v>
      </c>
      <c r="K201" s="1125">
        <f>ROUND(IF(Exclude_Taxes="n",IF(Filing_Status="m",IF(OR(K$7&lt;Single_Rate_Start,Single_Rate_Start=""),IF(K$193&gt;='Tax Tables'!K$168,(K$193-'Tax Tables'!K$168)*'Tax Tables'!K$169,0),IF(K$193&gt;='Tax Tables'!K$247,(K$193-'Tax Tables'!K$247)*'Tax Tables'!K$248,0)),IF(K$193&gt;='Tax Tables'!K$247,(K$193-'Tax Tables'!K$247)*'Tax Tables'!K$248,0)),0)/Round_To,0)*Round_To</f>
        <v>0</v>
      </c>
      <c r="L201" s="1125">
        <f>ROUND(IF(Exclude_Taxes="n",IF(Filing_Status="m",IF(OR(L$7&lt;Single_Rate_Start,Single_Rate_Start=""),IF(L$193&gt;='Tax Tables'!L$168,(L$193-'Tax Tables'!L$168)*'Tax Tables'!L$169,0),IF(L$193&gt;='Tax Tables'!L$247,(L$193-'Tax Tables'!L$247)*'Tax Tables'!L$248,0)),IF(L$193&gt;='Tax Tables'!L$247,(L$193-'Tax Tables'!L$247)*'Tax Tables'!L$248,0)),0)/Round_To,0)*Round_To</f>
        <v>0</v>
      </c>
      <c r="M201" s="1125">
        <f>ROUND(IF(Exclude_Taxes="n",IF(Filing_Status="m",IF(OR(M$7&lt;Single_Rate_Start,Single_Rate_Start=""),IF(M$193&gt;='Tax Tables'!M$168,(M$193-'Tax Tables'!M$168)*'Tax Tables'!M$169,0),IF(M$193&gt;='Tax Tables'!M$247,(M$193-'Tax Tables'!M$247)*'Tax Tables'!M$248,0)),IF(M$193&gt;='Tax Tables'!M$247,(M$193-'Tax Tables'!M$247)*'Tax Tables'!M$248,0)),0)/Round_To,0)*Round_To</f>
        <v>0</v>
      </c>
      <c r="N201" s="1125">
        <f>ROUND(IF(Exclude_Taxes="n",IF(Filing_Status="m",IF(OR(N$7&lt;Single_Rate_Start,Single_Rate_Start=""),IF(N$193&gt;='Tax Tables'!N$168,(N$193-'Tax Tables'!N$168)*'Tax Tables'!N$169,0),IF(N$193&gt;='Tax Tables'!N$247,(N$193-'Tax Tables'!N$247)*'Tax Tables'!N$248,0)),IF(N$193&gt;='Tax Tables'!N$247,(N$193-'Tax Tables'!N$247)*'Tax Tables'!N$248,0)),0)/Round_To,0)*Round_To</f>
        <v>0</v>
      </c>
      <c r="O201" s="1125">
        <f>ROUND(IF(Exclude_Taxes="n",IF(Filing_Status="m",IF(OR(O$7&lt;Single_Rate_Start,Single_Rate_Start=""),IF(O$193&gt;='Tax Tables'!O$168,(O$193-'Tax Tables'!O$168)*'Tax Tables'!O$169,0),IF(O$193&gt;='Tax Tables'!O$247,(O$193-'Tax Tables'!O$247)*'Tax Tables'!O$248,0)),IF(O$193&gt;='Tax Tables'!O$247,(O$193-'Tax Tables'!O$247)*'Tax Tables'!O$248,0)),0)/Round_To,0)*Round_To</f>
        <v>0</v>
      </c>
      <c r="P201" s="1125">
        <f>ROUND(IF(Exclude_Taxes="n",IF(Filing_Status="m",IF(OR(P$7&lt;Single_Rate_Start,Single_Rate_Start=""),IF(P$193&gt;='Tax Tables'!P$168,(P$193-'Tax Tables'!P$168)*'Tax Tables'!P$169,0),IF(P$193&gt;='Tax Tables'!P$247,(P$193-'Tax Tables'!P$247)*'Tax Tables'!P$248,0)),IF(P$193&gt;='Tax Tables'!P$247,(P$193-'Tax Tables'!P$247)*'Tax Tables'!P$248,0)),0)/Round_To,0)*Round_To</f>
        <v>0</v>
      </c>
      <c r="Q201" s="1125">
        <f>ROUND(IF(Exclude_Taxes="n",IF(Filing_Status="m",IF(OR(Q$7&lt;Single_Rate_Start,Single_Rate_Start=""),IF(Q$193&gt;='Tax Tables'!Q$168,(Q$193-'Tax Tables'!Q$168)*'Tax Tables'!Q$169,0),IF(Q$193&gt;='Tax Tables'!Q$247,(Q$193-'Tax Tables'!Q$247)*'Tax Tables'!Q$248,0)),IF(Q$193&gt;='Tax Tables'!Q$247,(Q$193-'Tax Tables'!Q$247)*'Tax Tables'!Q$248,0)),0)/Round_To,0)*Round_To</f>
        <v>0</v>
      </c>
      <c r="R201" s="1125">
        <f>ROUND(IF(Exclude_Taxes="n",IF(Filing_Status="m",IF(OR(R$7&lt;Single_Rate_Start,Single_Rate_Start=""),IF(R$193&gt;='Tax Tables'!R$168,(R$193-'Tax Tables'!R$168)*'Tax Tables'!R$169,0),IF(R$193&gt;='Tax Tables'!R$247,(R$193-'Tax Tables'!R$247)*'Tax Tables'!R$248,0)),IF(R$193&gt;='Tax Tables'!R$247,(R$193-'Tax Tables'!R$247)*'Tax Tables'!R$248,0)),0)/Round_To,0)*Round_To</f>
        <v>0</v>
      </c>
      <c r="S201" s="1125">
        <f>ROUND(IF(Exclude_Taxes="n",IF(Filing_Status="m",IF(OR(S$7&lt;Single_Rate_Start,Single_Rate_Start=""),IF(S$193&gt;='Tax Tables'!S$168,(S$193-'Tax Tables'!S$168)*'Tax Tables'!S$169,0),IF(S$193&gt;='Tax Tables'!S$247,(S$193-'Tax Tables'!S$247)*'Tax Tables'!S$248,0)),IF(S$193&gt;='Tax Tables'!S$247,(S$193-'Tax Tables'!S$247)*'Tax Tables'!S$248,0)),0)/Round_To,0)*Round_To</f>
        <v>0</v>
      </c>
      <c r="T201" s="1125">
        <f>ROUND(IF(Exclude_Taxes="n",IF(Filing_Status="m",IF(OR(T$7&lt;Single_Rate_Start,Single_Rate_Start=""),IF(T$193&gt;='Tax Tables'!T$168,(T$193-'Tax Tables'!T$168)*'Tax Tables'!T$169,0),IF(T$193&gt;='Tax Tables'!T$247,(T$193-'Tax Tables'!T$247)*'Tax Tables'!T$248,0)),IF(T$193&gt;='Tax Tables'!T$247,(T$193-'Tax Tables'!T$247)*'Tax Tables'!T$248,0)),0)/Round_To,0)*Round_To</f>
        <v>0</v>
      </c>
      <c r="U201" s="1125">
        <f>ROUND(IF(Exclude_Taxes="n",IF(Filing_Status="m",IF(OR(U$7&lt;Single_Rate_Start,Single_Rate_Start=""),IF(U$193&gt;='Tax Tables'!U$168,(U$193-'Tax Tables'!U$168)*'Tax Tables'!U$169,0),IF(U$193&gt;='Tax Tables'!U$247,(U$193-'Tax Tables'!U$247)*'Tax Tables'!U$248,0)),IF(U$193&gt;='Tax Tables'!U$247,(U$193-'Tax Tables'!U$247)*'Tax Tables'!U$248,0)),0)/Round_To,0)*Round_To</f>
        <v>0</v>
      </c>
      <c r="V201" s="1125">
        <f>ROUND(IF(Exclude_Taxes="n",IF(Filing_Status="m",IF(OR(V$7&lt;Single_Rate_Start,Single_Rate_Start=""),IF(V$193&gt;='Tax Tables'!V$168,(V$193-'Tax Tables'!V$168)*'Tax Tables'!V$169,0),IF(V$193&gt;='Tax Tables'!V$247,(V$193-'Tax Tables'!V$247)*'Tax Tables'!V$248,0)),IF(V$193&gt;='Tax Tables'!V$247,(V$193-'Tax Tables'!V$247)*'Tax Tables'!V$248,0)),0)/Round_To,0)*Round_To</f>
        <v>0</v>
      </c>
      <c r="W201" s="1125">
        <f>ROUND(IF(Exclude_Taxes="n",IF(Filing_Status="m",IF(OR(W$7&lt;Single_Rate_Start,Single_Rate_Start=""),IF(W$193&gt;='Tax Tables'!W$168,(W$193-'Tax Tables'!W$168)*'Tax Tables'!W$169,0),IF(W$193&gt;='Tax Tables'!W$247,(W$193-'Tax Tables'!W$247)*'Tax Tables'!W$248,0)),IF(W$193&gt;='Tax Tables'!W$247,(W$193-'Tax Tables'!W$247)*'Tax Tables'!W$248,0)),0)/Round_To,0)*Round_To</f>
        <v>0</v>
      </c>
      <c r="X201" s="1125">
        <f>ROUND(IF(Exclude_Taxes="n",IF(Filing_Status="m",IF(OR(X$7&lt;Single_Rate_Start,Single_Rate_Start=""),IF(X$193&gt;='Tax Tables'!X$168,(X$193-'Tax Tables'!X$168)*'Tax Tables'!X$169,0),IF(X$193&gt;='Tax Tables'!X$247,(X$193-'Tax Tables'!X$247)*'Tax Tables'!X$248,0)),IF(X$193&gt;='Tax Tables'!X$247,(X$193-'Tax Tables'!X$247)*'Tax Tables'!X$248,0)),0)/Round_To,0)*Round_To</f>
        <v>0</v>
      </c>
      <c r="Y201" s="1125">
        <f>ROUND(IF(Exclude_Taxes="n",IF(Filing_Status="m",IF(OR(Y$7&lt;Single_Rate_Start,Single_Rate_Start=""),IF(Y$193&gt;='Tax Tables'!Y$168,(Y$193-'Tax Tables'!Y$168)*'Tax Tables'!Y$169,0),IF(Y$193&gt;='Tax Tables'!Y$247,(Y$193-'Tax Tables'!Y$247)*'Tax Tables'!Y$248,0)),IF(Y$193&gt;='Tax Tables'!Y$247,(Y$193-'Tax Tables'!Y$247)*'Tax Tables'!Y$248,0)),0)/Round_To,0)*Round_To</f>
        <v>0</v>
      </c>
      <c r="Z201" s="1125">
        <f>ROUND(IF(Exclude_Taxes="n",IF(Filing_Status="m",IF(OR(Z$7&lt;Single_Rate_Start,Single_Rate_Start=""),IF(Z$193&gt;='Tax Tables'!Z$168,(Z$193-'Tax Tables'!Z$168)*'Tax Tables'!Z$169,0),IF(Z$193&gt;='Tax Tables'!Z$247,(Z$193-'Tax Tables'!Z$247)*'Tax Tables'!Z$248,0)),IF(Z$193&gt;='Tax Tables'!Z$247,(Z$193-'Tax Tables'!Z$247)*'Tax Tables'!Z$248,0)),0)/Round_To,0)*Round_To</f>
        <v>0</v>
      </c>
      <c r="AA201" s="1125">
        <f>ROUND(IF(Exclude_Taxes="n",IF(Filing_Status="m",IF(OR(AA$7&lt;Single_Rate_Start,Single_Rate_Start=""),IF(AA$193&gt;='Tax Tables'!AA$168,(AA$193-'Tax Tables'!AA$168)*'Tax Tables'!AA$169,0),IF(AA$193&gt;='Tax Tables'!AA$247,(AA$193-'Tax Tables'!AA$247)*'Tax Tables'!AA$248,0)),IF(AA$193&gt;='Tax Tables'!AA$247,(AA$193-'Tax Tables'!AA$247)*'Tax Tables'!AA$248,0)),0)/Round_To,0)*Round_To</f>
        <v>0</v>
      </c>
      <c r="AB201" s="1125">
        <f>ROUND(IF(Exclude_Taxes="n",IF(Filing_Status="m",IF(OR(AB$7&lt;Single_Rate_Start,Single_Rate_Start=""),IF(AB$193&gt;='Tax Tables'!AB$168,(AB$193-'Tax Tables'!AB$168)*'Tax Tables'!AB$169,0),IF(AB$193&gt;='Tax Tables'!AB$247,(AB$193-'Tax Tables'!AB$247)*'Tax Tables'!AB$248,0)),IF(AB$193&gt;='Tax Tables'!AB$247,(AB$193-'Tax Tables'!AB$247)*'Tax Tables'!AB$248,0)),0)/Round_To,0)*Round_To</f>
        <v>0</v>
      </c>
      <c r="AC201" s="1125">
        <f>ROUND(IF(Exclude_Taxes="n",IF(Filing_Status="m",IF(OR(AC$7&lt;Single_Rate_Start,Single_Rate_Start=""),IF(AC$193&gt;='Tax Tables'!AC$168,(AC$193-'Tax Tables'!AC$168)*'Tax Tables'!AC$169,0),IF(AC$193&gt;='Tax Tables'!AC$247,(AC$193-'Tax Tables'!AC$247)*'Tax Tables'!AC$248,0)),IF(AC$193&gt;='Tax Tables'!AC$247,(AC$193-'Tax Tables'!AC$247)*'Tax Tables'!AC$248,0)),0)/Round_To,0)*Round_To</f>
        <v>0</v>
      </c>
      <c r="AD201" s="1125">
        <f>ROUND(IF(Exclude_Taxes="n",IF(Filing_Status="m",IF(OR(AD$7&lt;Single_Rate_Start,Single_Rate_Start=""),IF(AD$193&gt;='Tax Tables'!AD$168,(AD$193-'Tax Tables'!AD$168)*'Tax Tables'!AD$169,0),IF(AD$193&gt;='Tax Tables'!AD$247,(AD$193-'Tax Tables'!AD$247)*'Tax Tables'!AD$248,0)),IF(AD$193&gt;='Tax Tables'!AD$247,(AD$193-'Tax Tables'!AD$247)*'Tax Tables'!AD$248,0)),0)/Round_To,0)*Round_To</f>
        <v>0</v>
      </c>
      <c r="AE201" s="1125">
        <f>ROUND(IF(Exclude_Taxes="n",IF(Filing_Status="m",IF(OR(AE$7&lt;Single_Rate_Start,Single_Rate_Start=""),IF(AE$193&gt;='Tax Tables'!AE$168,(AE$193-'Tax Tables'!AE$168)*'Tax Tables'!AE$169,0),IF(AE$193&gt;='Tax Tables'!AE$247,(AE$193-'Tax Tables'!AE$247)*'Tax Tables'!AE$248,0)),IF(AE$193&gt;='Tax Tables'!AE$247,(AE$193-'Tax Tables'!AE$247)*'Tax Tables'!AE$248,0)),0)/Round_To,0)*Round_To</f>
        <v>0</v>
      </c>
      <c r="AF201" s="1125">
        <f>ROUND(IF(Exclude_Taxes="n",IF(Filing_Status="m",IF(OR(AF$7&lt;Single_Rate_Start,Single_Rate_Start=""),IF(AF$193&gt;='Tax Tables'!AF$168,(AF$193-'Tax Tables'!AF$168)*'Tax Tables'!AF$169,0),IF(AF$193&gt;='Tax Tables'!AF$247,(AF$193-'Tax Tables'!AF$247)*'Tax Tables'!AF$248,0)),IF(AF$193&gt;='Tax Tables'!AF$247,(AF$193-'Tax Tables'!AF$247)*'Tax Tables'!AF$248,0)),0)/Round_To,0)*Round_To</f>
        <v>0</v>
      </c>
      <c r="AG201" s="1125">
        <f>ROUND(IF(Exclude_Taxes="n",IF(Filing_Status="m",IF(OR(AG$7&lt;Single_Rate_Start,Single_Rate_Start=""),IF(AG$193&gt;='Tax Tables'!AG$168,(AG$193-'Tax Tables'!AG$168)*'Tax Tables'!AG$169,0),IF(AG$193&gt;='Tax Tables'!AG$247,(AG$193-'Tax Tables'!AG$247)*'Tax Tables'!AG$248,0)),IF(AG$193&gt;='Tax Tables'!AG$247,(AG$193-'Tax Tables'!AG$247)*'Tax Tables'!AG$248,0)),0)/Round_To,0)*Round_To</f>
        <v>0</v>
      </c>
      <c r="AH201" s="1125">
        <f>ROUND(IF(Exclude_Taxes="n",IF(Filing_Status="m",IF(OR(AH$7&lt;Single_Rate_Start,Single_Rate_Start=""),IF(AH$193&gt;='Tax Tables'!AH$168,(AH$193-'Tax Tables'!AH$168)*'Tax Tables'!AH$169,0),IF(AH$193&gt;='Tax Tables'!AH$247,(AH$193-'Tax Tables'!AH$247)*'Tax Tables'!AH$248,0)),IF(AH$193&gt;='Tax Tables'!AH$247,(AH$193-'Tax Tables'!AH$247)*'Tax Tables'!AH$248,0)),0)/Round_To,0)*Round_To</f>
        <v>0</v>
      </c>
      <c r="AI201" s="1125">
        <f>ROUND(IF(Exclude_Taxes="n",IF(Filing_Status="m",IF(OR(AI$7&lt;Single_Rate_Start,Single_Rate_Start=""),IF(AI$193&gt;='Tax Tables'!AI$168,(AI$193-'Tax Tables'!AI$168)*'Tax Tables'!AI$169,0),IF(AI$193&gt;='Tax Tables'!AI$247,(AI$193-'Tax Tables'!AI$247)*'Tax Tables'!AI$248,0)),IF(AI$193&gt;='Tax Tables'!AI$247,(AI$193-'Tax Tables'!AI$247)*'Tax Tables'!AI$248,0)),0)/Round_To,0)*Round_To</f>
        <v>0</v>
      </c>
      <c r="AJ201" s="1125">
        <f>ROUND(IF(Exclude_Taxes="n",IF(Filing_Status="m",IF(OR(AJ$7&lt;Single_Rate_Start,Single_Rate_Start=""),IF(AJ$193&gt;='Tax Tables'!AJ$168,(AJ$193-'Tax Tables'!AJ$168)*'Tax Tables'!AJ$169,0),IF(AJ$193&gt;='Tax Tables'!AJ$247,(AJ$193-'Tax Tables'!AJ$247)*'Tax Tables'!AJ$248,0)),IF(AJ$193&gt;='Tax Tables'!AJ$247,(AJ$193-'Tax Tables'!AJ$247)*'Tax Tables'!AJ$248,0)),0)/Round_To,0)*Round_To</f>
        <v>0</v>
      </c>
      <c r="AK201" s="1125">
        <f>ROUND(IF(Exclude_Taxes="n",IF(Filing_Status="m",IF(OR(AK$7&lt;Single_Rate_Start,Single_Rate_Start=""),IF(AK$193&gt;='Tax Tables'!AK$168,(AK$193-'Tax Tables'!AK$168)*'Tax Tables'!AK$169,0),IF(AK$193&gt;='Tax Tables'!AK$247,(AK$193-'Tax Tables'!AK$247)*'Tax Tables'!AK$248,0)),IF(AK$193&gt;='Tax Tables'!AK$247,(AK$193-'Tax Tables'!AK$247)*'Tax Tables'!AK$248,0)),0)/Round_To,0)*Round_To</f>
        <v>0</v>
      </c>
      <c r="AL201" s="1125">
        <f>ROUND(IF(Exclude_Taxes="n",IF(Filing_Status="m",IF(OR(AL$7&lt;Single_Rate_Start,Single_Rate_Start=""),IF(AL$193&gt;='Tax Tables'!AL$168,(AL$193-'Tax Tables'!AL$168)*'Tax Tables'!AL$169,0),IF(AL$193&gt;='Tax Tables'!AL$247,(AL$193-'Tax Tables'!AL$247)*'Tax Tables'!AL$248,0)),IF(AL$193&gt;='Tax Tables'!AL$247,(AL$193-'Tax Tables'!AL$247)*'Tax Tables'!AL$248,0)),0)/Round_To,0)*Round_To</f>
        <v>0</v>
      </c>
      <c r="AM201" s="1125">
        <f>ROUND(IF(Exclude_Taxes="n",IF(Filing_Status="m",IF(OR(AM$7&lt;Single_Rate_Start,Single_Rate_Start=""),IF(AM$193&gt;='Tax Tables'!AM$168,(AM$193-'Tax Tables'!AM$168)*'Tax Tables'!AM$169,0),IF(AM$193&gt;='Tax Tables'!AM$247,(AM$193-'Tax Tables'!AM$247)*'Tax Tables'!AM$248,0)),IF(AM$193&gt;='Tax Tables'!AM$247,(AM$193-'Tax Tables'!AM$247)*'Tax Tables'!AM$248,0)),0)/Round_To,0)*Round_To</f>
        <v>0</v>
      </c>
      <c r="AN201" s="1125">
        <f>ROUND(IF(Exclude_Taxes="n",IF(Filing_Status="m",IF(OR(AN$7&lt;Single_Rate_Start,Single_Rate_Start=""),IF(AN$193&gt;='Tax Tables'!AN$168,(AN$193-'Tax Tables'!AN$168)*'Tax Tables'!AN$169,0),IF(AN$193&gt;='Tax Tables'!AN$247,(AN$193-'Tax Tables'!AN$247)*'Tax Tables'!AN$248,0)),IF(AN$193&gt;='Tax Tables'!AN$247,(AN$193-'Tax Tables'!AN$247)*'Tax Tables'!AN$248,0)),0)/Round_To,0)*Round_To</f>
        <v>0</v>
      </c>
      <c r="AO201" s="1125">
        <f>ROUND(IF(Exclude_Taxes="n",IF(Filing_Status="m",IF(OR(AO$7&lt;Single_Rate_Start,Single_Rate_Start=""),IF(AO$193&gt;='Tax Tables'!AO$168,(AO$193-'Tax Tables'!AO$168)*'Tax Tables'!AO$169,0),IF(AO$193&gt;='Tax Tables'!AO$247,(AO$193-'Tax Tables'!AO$247)*'Tax Tables'!AO$248,0)),IF(AO$193&gt;='Tax Tables'!AO$247,(AO$193-'Tax Tables'!AO$247)*'Tax Tables'!AO$248,0)),0)/Round_To,0)*Round_To</f>
        <v>0</v>
      </c>
      <c r="AP201" s="1125">
        <f>ROUND(IF(Exclude_Taxes="n",IF(Filing_Status="m",IF(OR(AP$7&lt;Single_Rate_Start,Single_Rate_Start=""),IF(AP$193&gt;='Tax Tables'!AP$168,(AP$193-'Tax Tables'!AP$168)*'Tax Tables'!AP$169,0),IF(AP$193&gt;='Tax Tables'!AP$247,(AP$193-'Tax Tables'!AP$247)*'Tax Tables'!AP$248,0)),IF(AP$193&gt;='Tax Tables'!AP$247,(AP$193-'Tax Tables'!AP$247)*'Tax Tables'!AP$248,0)),0)/Round_To,0)*Round_To</f>
        <v>0</v>
      </c>
      <c r="AQ201" s="1125">
        <f>ROUND(IF(Exclude_Taxes="n",IF(Filing_Status="m",IF(OR(AQ$7&lt;Single_Rate_Start,Single_Rate_Start=""),IF(AQ$193&gt;='Tax Tables'!AQ$168,(AQ$193-'Tax Tables'!AQ$168)*'Tax Tables'!AQ$169,0),IF(AQ$193&gt;='Tax Tables'!AQ$247,(AQ$193-'Tax Tables'!AQ$247)*'Tax Tables'!AQ$248,0)),IF(AQ$193&gt;='Tax Tables'!AQ$247,(AQ$193-'Tax Tables'!AQ$247)*'Tax Tables'!AQ$248,0)),0)/Round_To,0)*Round_To</f>
        <v>0</v>
      </c>
      <c r="AR201" s="1125">
        <f>ROUND(IF(Exclude_Taxes="n",IF(Filing_Status="m",IF(OR(AR$7&lt;Single_Rate_Start,Single_Rate_Start=""),IF(AR$193&gt;='Tax Tables'!AR$168,(AR$193-'Tax Tables'!AR$168)*'Tax Tables'!AR$169,0),IF(AR$193&gt;='Tax Tables'!AR$247,(AR$193-'Tax Tables'!AR$247)*'Tax Tables'!AR$248,0)),IF(AR$193&gt;='Tax Tables'!AR$247,(AR$193-'Tax Tables'!AR$247)*'Tax Tables'!AR$248,0)),0)/Round_To,0)*Round_To</f>
        <v>0</v>
      </c>
      <c r="AS201" s="1125">
        <f>ROUND(IF(Exclude_Taxes="n",IF(Filing_Status="m",IF(OR(AS$7&lt;Single_Rate_Start,Single_Rate_Start=""),IF(AS$193&gt;='Tax Tables'!AS$168,(AS$193-'Tax Tables'!AS$168)*'Tax Tables'!AS$169,0),IF(AS$193&gt;='Tax Tables'!AS$247,(AS$193-'Tax Tables'!AS$247)*'Tax Tables'!AS$248,0)),IF(AS$193&gt;='Tax Tables'!AS$247,(AS$193-'Tax Tables'!AS$247)*'Tax Tables'!AS$248,0)),0)/Round_To,0)*Round_To</f>
        <v>0</v>
      </c>
      <c r="AT201" s="42"/>
      <c r="AU201" s="82">
        <f>+Base!E201</f>
        <v>0</v>
      </c>
      <c r="AV201" s="83">
        <f t="shared" si="181"/>
        <v>0</v>
      </c>
      <c r="AW201" s="102"/>
      <c r="AX201" s="49"/>
      <c r="AY201" s="49"/>
      <c r="AZ201" s="42"/>
      <c r="BA201" s="49"/>
      <c r="BB201" s="49"/>
      <c r="BC201" s="39"/>
      <c r="BD201" s="39"/>
      <c r="BE201" s="39"/>
      <c r="BF201" s="49"/>
      <c r="BG201" s="49"/>
      <c r="BH201" s="49"/>
      <c r="BI201" s="49"/>
      <c r="BJ201" s="39"/>
      <c r="BK201" s="49"/>
      <c r="BL201" s="39"/>
      <c r="BM201" s="39"/>
      <c r="BN201" s="49"/>
      <c r="BO201" s="49"/>
      <c r="BP201" s="49"/>
      <c r="BQ201" s="49"/>
      <c r="BR201" s="49"/>
      <c r="BS201" s="49"/>
      <c r="BT201" s="49"/>
      <c r="BU201" s="49"/>
      <c r="BV201" s="49"/>
      <c r="BW201" s="49"/>
      <c r="BX201" s="49"/>
      <c r="BY201" s="49"/>
      <c r="BZ201" s="49"/>
      <c r="CA201" s="44"/>
      <c r="CB201" s="49"/>
      <c r="CC201" s="49"/>
      <c r="CD201" s="49"/>
      <c r="CE201" s="49"/>
      <c r="CF201" s="49"/>
      <c r="CG201" s="49"/>
      <c r="CH201" s="49"/>
      <c r="CI201" s="49"/>
      <c r="CJ201" s="49"/>
      <c r="CK201" s="49"/>
      <c r="CL201" s="49"/>
      <c r="CM201" s="49"/>
      <c r="CN201" s="49"/>
    </row>
    <row r="202" spans="1:92" ht="17.399999999999999">
      <c r="A202" s="1425"/>
      <c r="B202" s="1026" t="s">
        <v>1102</v>
      </c>
      <c r="C202" s="426"/>
      <c r="D202" s="29"/>
      <c r="E202" s="29">
        <f t="shared" si="180"/>
        <v>279600</v>
      </c>
      <c r="F202" s="31">
        <f>SUM(F195:F201)</f>
        <v>3900</v>
      </c>
      <c r="G202" s="1124">
        <f t="shared" ref="G202:AS202" si="182">SUM(G195:G201)</f>
        <v>5800</v>
      </c>
      <c r="H202" s="1124">
        <f t="shared" si="182"/>
        <v>4000</v>
      </c>
      <c r="I202" s="1124">
        <f t="shared" si="182"/>
        <v>4100</v>
      </c>
      <c r="J202" s="1124">
        <f t="shared" si="182"/>
        <v>4100</v>
      </c>
      <c r="K202" s="1124">
        <f t="shared" si="182"/>
        <v>6500</v>
      </c>
      <c r="L202" s="1124">
        <f t="shared" si="182"/>
        <v>6500</v>
      </c>
      <c r="M202" s="1124">
        <f t="shared" si="182"/>
        <v>7100</v>
      </c>
      <c r="N202" s="1124">
        <f t="shared" si="182"/>
        <v>4100</v>
      </c>
      <c r="O202" s="1124">
        <f t="shared" si="182"/>
        <v>4200</v>
      </c>
      <c r="P202" s="1124">
        <f t="shared" si="182"/>
        <v>4300</v>
      </c>
      <c r="Q202" s="1124">
        <f t="shared" si="182"/>
        <v>4600</v>
      </c>
      <c r="R202" s="1124">
        <f t="shared" si="182"/>
        <v>5900</v>
      </c>
      <c r="S202" s="1124">
        <f t="shared" si="182"/>
        <v>6300</v>
      </c>
      <c r="T202" s="1124">
        <f t="shared" si="182"/>
        <v>9300</v>
      </c>
      <c r="U202" s="1124">
        <f t="shared" si="182"/>
        <v>10900</v>
      </c>
      <c r="V202" s="1124">
        <f t="shared" si="182"/>
        <v>10200</v>
      </c>
      <c r="W202" s="1124">
        <f t="shared" si="182"/>
        <v>10500</v>
      </c>
      <c r="X202" s="1124">
        <f t="shared" si="182"/>
        <v>9700</v>
      </c>
      <c r="Y202" s="1124">
        <f t="shared" si="182"/>
        <v>9900</v>
      </c>
      <c r="Z202" s="1124">
        <f t="shared" si="182"/>
        <v>10300</v>
      </c>
      <c r="AA202" s="1124">
        <f t="shared" si="182"/>
        <v>10800</v>
      </c>
      <c r="AB202" s="1124">
        <f t="shared" si="182"/>
        <v>11200</v>
      </c>
      <c r="AC202" s="1124">
        <f t="shared" si="182"/>
        <v>12200</v>
      </c>
      <c r="AD202" s="1124">
        <f t="shared" si="182"/>
        <v>17200</v>
      </c>
      <c r="AE202" s="1124">
        <f t="shared" si="182"/>
        <v>17900</v>
      </c>
      <c r="AF202" s="1124">
        <f t="shared" si="182"/>
        <v>18200</v>
      </c>
      <c r="AG202" s="1124">
        <f t="shared" si="182"/>
        <v>16600</v>
      </c>
      <c r="AH202" s="1124">
        <f t="shared" si="182"/>
        <v>16500</v>
      </c>
      <c r="AI202" s="1124">
        <f t="shared" si="182"/>
        <v>16800</v>
      </c>
      <c r="AJ202" s="1124">
        <f t="shared" si="182"/>
        <v>0</v>
      </c>
      <c r="AK202" s="1124">
        <f t="shared" si="182"/>
        <v>0</v>
      </c>
      <c r="AL202" s="1124">
        <f t="shared" si="182"/>
        <v>0</v>
      </c>
      <c r="AM202" s="1124">
        <f t="shared" si="182"/>
        <v>0</v>
      </c>
      <c r="AN202" s="1124">
        <f t="shared" si="182"/>
        <v>0</v>
      </c>
      <c r="AO202" s="1124">
        <f t="shared" si="182"/>
        <v>0</v>
      </c>
      <c r="AP202" s="1124">
        <f t="shared" si="182"/>
        <v>0</v>
      </c>
      <c r="AQ202" s="1124">
        <f t="shared" si="182"/>
        <v>0</v>
      </c>
      <c r="AR202" s="1124">
        <f t="shared" si="182"/>
        <v>0</v>
      </c>
      <c r="AS202" s="1124">
        <f t="shared" si="182"/>
        <v>0</v>
      </c>
      <c r="AT202" s="42"/>
      <c r="AU202" s="78">
        <f>+Base!E202</f>
        <v>279600</v>
      </c>
      <c r="AV202" s="81">
        <f t="shared" si="181"/>
        <v>0</v>
      </c>
      <c r="AW202" s="29"/>
      <c r="AX202" s="49"/>
      <c r="AY202" s="49"/>
      <c r="AZ202" s="42"/>
      <c r="BA202" s="49"/>
      <c r="BB202" s="49"/>
      <c r="BC202" s="39"/>
      <c r="BD202" s="39"/>
      <c r="BE202" s="39"/>
      <c r="BF202" s="49"/>
      <c r="BG202" s="49"/>
      <c r="BH202" s="49"/>
      <c r="BI202" s="49"/>
      <c r="BJ202" s="39"/>
      <c r="BK202" s="49"/>
      <c r="BL202" s="39"/>
      <c r="BM202" s="39"/>
      <c r="BN202" s="49"/>
      <c r="BO202" s="49"/>
      <c r="BP202" s="49"/>
      <c r="BQ202" s="49"/>
      <c r="BR202" s="49"/>
      <c r="BS202" s="49"/>
      <c r="BT202" s="49"/>
      <c r="BU202" s="49"/>
      <c r="BV202" s="49"/>
      <c r="BW202" s="49"/>
      <c r="BX202" s="49"/>
      <c r="BY202" s="49"/>
      <c r="BZ202" s="49"/>
      <c r="CA202" s="44"/>
      <c r="CB202" s="49"/>
      <c r="CC202" s="49"/>
      <c r="CD202" s="49"/>
      <c r="CE202" s="49"/>
      <c r="CF202" s="49"/>
      <c r="CG202" s="49"/>
      <c r="CH202" s="49"/>
      <c r="CI202" s="49"/>
      <c r="CJ202" s="49"/>
      <c r="CK202" s="49"/>
      <c r="CL202" s="49"/>
      <c r="CM202" s="49"/>
      <c r="CN202" s="49"/>
    </row>
    <row r="203" spans="1:92" ht="15.6">
      <c r="A203" s="1425"/>
      <c r="B203" s="72" t="s">
        <v>1315</v>
      </c>
      <c r="C203" s="173" t="str">
        <f>IF(Tax_Rates_Alt="y","Using alternative tax rates","")</f>
        <v/>
      </c>
      <c r="D203" s="173"/>
      <c r="E203" s="44">
        <f>+E202/E193</f>
        <v>0.12487717731129969</v>
      </c>
      <c r="F203" s="44">
        <f t="shared" ref="F203:AJ203" si="183">IF(F193=0,0,+F202/F193)</f>
        <v>0.1092436974789916</v>
      </c>
      <c r="G203" s="1129">
        <f t="shared" si="183"/>
        <v>0.11350293542074363</v>
      </c>
      <c r="H203" s="1129">
        <f t="shared" si="183"/>
        <v>0.10928961748633879</v>
      </c>
      <c r="I203" s="1129">
        <f t="shared" si="183"/>
        <v>0.11021505376344086</v>
      </c>
      <c r="J203" s="1129">
        <f t="shared" si="183"/>
        <v>0.10846560846560846</v>
      </c>
      <c r="K203" s="1129">
        <f t="shared" si="183"/>
        <v>0.11363636363636363</v>
      </c>
      <c r="L203" s="1129">
        <f t="shared" si="183"/>
        <v>0.11168384879725086</v>
      </c>
      <c r="M203" s="1129">
        <f t="shared" si="183"/>
        <v>0.1126984126984127</v>
      </c>
      <c r="N203" s="1129">
        <f t="shared" si="183"/>
        <v>0.10875331564986737</v>
      </c>
      <c r="O203" s="1129">
        <f t="shared" si="183"/>
        <v>0.10824742268041238</v>
      </c>
      <c r="P203" s="1129">
        <f t="shared" si="183"/>
        <v>0.10723192019950124</v>
      </c>
      <c r="Q203" s="1129">
        <f t="shared" si="183"/>
        <v>0.10874704491725769</v>
      </c>
      <c r="R203" s="1129">
        <f t="shared" si="183"/>
        <v>0.11090225563909774</v>
      </c>
      <c r="S203" s="1129">
        <f t="shared" si="183"/>
        <v>0.1111111111111111</v>
      </c>
      <c r="T203" s="1129">
        <f t="shared" si="183"/>
        <v>0.11286407766990292</v>
      </c>
      <c r="U203" s="1129">
        <f t="shared" si="183"/>
        <v>0.11401673640167365</v>
      </c>
      <c r="V203" s="1129">
        <f t="shared" si="183"/>
        <v>0.11434977578475336</v>
      </c>
      <c r="W203" s="1129">
        <f t="shared" si="183"/>
        <v>0.11375947995666305</v>
      </c>
      <c r="X203" s="1129">
        <f t="shared" si="183"/>
        <v>0.11318553092182031</v>
      </c>
      <c r="Y203" s="1129">
        <f t="shared" si="183"/>
        <v>0.11314285714285714</v>
      </c>
      <c r="Z203" s="1129">
        <f t="shared" si="183"/>
        <v>0.11356119073869901</v>
      </c>
      <c r="AA203" s="1129">
        <f t="shared" si="183"/>
        <v>0.11440677966101695</v>
      </c>
      <c r="AB203" s="1129">
        <f t="shared" si="183"/>
        <v>0.11370558375634518</v>
      </c>
      <c r="AC203" s="1129">
        <f t="shared" si="183"/>
        <v>0.11380597014925373</v>
      </c>
      <c r="AD203" s="1129">
        <f t="shared" si="183"/>
        <v>0.1565059144676979</v>
      </c>
      <c r="AE203" s="1129">
        <f t="shared" si="183"/>
        <v>0.15743183817062445</v>
      </c>
      <c r="AF203" s="1129">
        <f t="shared" si="183"/>
        <v>0.15716753022452504</v>
      </c>
      <c r="AG203" s="1129">
        <f t="shared" si="183"/>
        <v>0.15229357798165138</v>
      </c>
      <c r="AH203" s="1129">
        <f t="shared" si="183"/>
        <v>0.15054744525547445</v>
      </c>
      <c r="AI203" s="1129">
        <f t="shared" si="183"/>
        <v>0.15013404825737264</v>
      </c>
      <c r="AJ203" s="1129">
        <f t="shared" si="183"/>
        <v>0</v>
      </c>
      <c r="AK203" s="1129">
        <f t="shared" ref="AK203:AS203" si="184">IF(AK193=0,0,+AK202/AK193)</f>
        <v>0</v>
      </c>
      <c r="AL203" s="1129">
        <f t="shared" si="184"/>
        <v>0</v>
      </c>
      <c r="AM203" s="1129">
        <f t="shared" si="184"/>
        <v>0</v>
      </c>
      <c r="AN203" s="1129">
        <f t="shared" si="184"/>
        <v>0</v>
      </c>
      <c r="AO203" s="1129">
        <f t="shared" si="184"/>
        <v>0</v>
      </c>
      <c r="AP203" s="1129">
        <f t="shared" si="184"/>
        <v>0</v>
      </c>
      <c r="AQ203" s="1129">
        <f t="shared" si="184"/>
        <v>0</v>
      </c>
      <c r="AR203" s="1129">
        <f t="shared" si="184"/>
        <v>0</v>
      </c>
      <c r="AS203" s="1129">
        <f t="shared" si="184"/>
        <v>0</v>
      </c>
      <c r="AT203" s="3"/>
      <c r="AU203" s="117">
        <f>+Base!E203</f>
        <v>0.12487717731129969</v>
      </c>
      <c r="AV203" s="118">
        <f t="shared" si="181"/>
        <v>0</v>
      </c>
      <c r="AW203" s="44"/>
    </row>
    <row r="204" spans="1:92">
      <c r="A204" s="1425"/>
      <c r="B204" s="72" t="s">
        <v>1316</v>
      </c>
      <c r="D204" s="29"/>
      <c r="E204" s="44"/>
      <c r="F204" s="44">
        <f>IF(F201&gt;0,'Tax Tables'!F311,IF(F200&gt;0,'Tax Tables'!F310,IF(F199&gt;0,'Tax Tables'!F309,IF(F198&gt;0,'Tax Tables'!F308,IF(F197&gt;0,'Tax Tables'!F307,IF(F196&gt;0,'Tax Tables'!F306,IF(F195&gt;0,'Tax Tables'!F305,0)))))))</f>
        <v>0.12</v>
      </c>
      <c r="G204" s="1129">
        <f>IF(G201&gt;0,'Tax Tables'!G311,IF(G200&gt;0,'Tax Tables'!G310,IF(G199&gt;0,'Tax Tables'!G309,IF(G198&gt;0,'Tax Tables'!G308,IF(G197&gt;0,'Tax Tables'!G307,IF(G196&gt;0,'Tax Tables'!G306,IF(G195&gt;0,'Tax Tables'!G305,0)))))))</f>
        <v>0.12</v>
      </c>
      <c r="H204" s="1129">
        <f>IF(H201&gt;0,'Tax Tables'!H311,IF(H200&gt;0,'Tax Tables'!H310,IF(H199&gt;0,'Tax Tables'!H309,IF(H198&gt;0,'Tax Tables'!H308,IF(H197&gt;0,'Tax Tables'!H307,IF(H196&gt;0,'Tax Tables'!H306,IF(H195&gt;0,'Tax Tables'!H305,0)))))))</f>
        <v>0.12</v>
      </c>
      <c r="I204" s="1129">
        <f>IF(I201&gt;0,'Tax Tables'!I311,IF(I200&gt;0,'Tax Tables'!I310,IF(I199&gt;0,'Tax Tables'!I309,IF(I198&gt;0,'Tax Tables'!I308,IF(I197&gt;0,'Tax Tables'!I307,IF(I196&gt;0,'Tax Tables'!I306,IF(I195&gt;0,'Tax Tables'!I305,0)))))))</f>
        <v>0.12</v>
      </c>
      <c r="J204" s="1129">
        <f>IF(J201&gt;0,'Tax Tables'!J311,IF(J200&gt;0,'Tax Tables'!J310,IF(J199&gt;0,'Tax Tables'!J309,IF(J198&gt;0,'Tax Tables'!J308,IF(J197&gt;0,'Tax Tables'!J307,IF(J196&gt;0,'Tax Tables'!J306,IF(J195&gt;0,'Tax Tables'!J305,0)))))))</f>
        <v>0.12</v>
      </c>
      <c r="K204" s="1129">
        <f>IF(K201&gt;0,'Tax Tables'!K311,IF(K200&gt;0,'Tax Tables'!K310,IF(K199&gt;0,'Tax Tables'!K309,IF(K198&gt;0,'Tax Tables'!K308,IF(K197&gt;0,'Tax Tables'!K307,IF(K196&gt;0,'Tax Tables'!K306,IF(K195&gt;0,'Tax Tables'!K305,0)))))))</f>
        <v>0.12</v>
      </c>
      <c r="L204" s="1129">
        <f>IF(L201&gt;0,'Tax Tables'!L311,IF(L200&gt;0,'Tax Tables'!L310,IF(L199&gt;0,'Tax Tables'!L309,IF(L198&gt;0,'Tax Tables'!L308,IF(L197&gt;0,'Tax Tables'!L307,IF(L196&gt;0,'Tax Tables'!L306,IF(L195&gt;0,'Tax Tables'!L305,0)))))))</f>
        <v>0.12</v>
      </c>
      <c r="M204" s="1129">
        <f>IF(M201&gt;0,'Tax Tables'!M311,IF(M200&gt;0,'Tax Tables'!M310,IF(M199&gt;0,'Tax Tables'!M309,IF(M198&gt;0,'Tax Tables'!M308,IF(M197&gt;0,'Tax Tables'!M307,IF(M196&gt;0,'Tax Tables'!M306,IF(M195&gt;0,'Tax Tables'!M305,0)))))))</f>
        <v>0.12</v>
      </c>
      <c r="N204" s="1129">
        <f>IF(N201&gt;0,'Tax Tables'!N311,IF(N200&gt;0,'Tax Tables'!N310,IF(N199&gt;0,'Tax Tables'!N309,IF(N198&gt;0,'Tax Tables'!N308,IF(N197&gt;0,'Tax Tables'!N307,IF(N196&gt;0,'Tax Tables'!N306,IF(N195&gt;0,'Tax Tables'!N305,0)))))))</f>
        <v>0.12</v>
      </c>
      <c r="O204" s="1129">
        <f>IF(O201&gt;0,'Tax Tables'!O311,IF(O200&gt;0,'Tax Tables'!O310,IF(O199&gt;0,'Tax Tables'!O309,IF(O198&gt;0,'Tax Tables'!O308,IF(O197&gt;0,'Tax Tables'!O307,IF(O196&gt;0,'Tax Tables'!O306,IF(O195&gt;0,'Tax Tables'!O305,0)))))))</f>
        <v>0.12</v>
      </c>
      <c r="P204" s="1129">
        <f>IF(P201&gt;0,'Tax Tables'!P311,IF(P200&gt;0,'Tax Tables'!P310,IF(P199&gt;0,'Tax Tables'!P309,IF(P198&gt;0,'Tax Tables'!P308,IF(P197&gt;0,'Tax Tables'!P307,IF(P196&gt;0,'Tax Tables'!P306,IF(P195&gt;0,'Tax Tables'!P305,0)))))))</f>
        <v>0.12</v>
      </c>
      <c r="Q204" s="1129">
        <f>IF(Q201&gt;0,'Tax Tables'!Q311,IF(Q200&gt;0,'Tax Tables'!Q310,IF(Q199&gt;0,'Tax Tables'!Q309,IF(Q198&gt;0,'Tax Tables'!Q308,IF(Q197&gt;0,'Tax Tables'!Q307,IF(Q196&gt;0,'Tax Tables'!Q306,IF(Q195&gt;0,'Tax Tables'!Q305,0)))))))</f>
        <v>0.12</v>
      </c>
      <c r="R204" s="1129">
        <f>IF(R201&gt;0,'Tax Tables'!R311,IF(R200&gt;0,'Tax Tables'!R310,IF(R199&gt;0,'Tax Tables'!R309,IF(R198&gt;0,'Tax Tables'!R308,IF(R197&gt;0,'Tax Tables'!R307,IF(R196&gt;0,'Tax Tables'!R306,IF(R195&gt;0,'Tax Tables'!R305,0)))))))</f>
        <v>0.12</v>
      </c>
      <c r="S204" s="1129">
        <f>IF(S201&gt;0,'Tax Tables'!S311,IF(S200&gt;0,'Tax Tables'!S310,IF(S199&gt;0,'Tax Tables'!S309,IF(S198&gt;0,'Tax Tables'!S308,IF(S197&gt;0,'Tax Tables'!S307,IF(S196&gt;0,'Tax Tables'!S306,IF(S195&gt;0,'Tax Tables'!S305,0)))))))</f>
        <v>0.12</v>
      </c>
      <c r="T204" s="1129">
        <f>IF(T201&gt;0,'Tax Tables'!T311,IF(T200&gt;0,'Tax Tables'!T310,IF(T199&gt;0,'Tax Tables'!T309,IF(T198&gt;0,'Tax Tables'!T308,IF(T197&gt;0,'Tax Tables'!T307,IF(T196&gt;0,'Tax Tables'!T306,IF(T195&gt;0,'Tax Tables'!T305,0)))))))</f>
        <v>0.12</v>
      </c>
      <c r="U204" s="1129">
        <f>IF(U201&gt;0,'Tax Tables'!U311,IF(U200&gt;0,'Tax Tables'!U310,IF(U199&gt;0,'Tax Tables'!U309,IF(U198&gt;0,'Tax Tables'!U308,IF(U197&gt;0,'Tax Tables'!U307,IF(U196&gt;0,'Tax Tables'!U306,IF(U195&gt;0,'Tax Tables'!U305,0)))))))</f>
        <v>0.12</v>
      </c>
      <c r="V204" s="1129">
        <f>IF(V201&gt;0,'Tax Tables'!V311,IF(V200&gt;0,'Tax Tables'!V310,IF(V199&gt;0,'Tax Tables'!V309,IF(V198&gt;0,'Tax Tables'!V308,IF(V197&gt;0,'Tax Tables'!V307,IF(V196&gt;0,'Tax Tables'!V306,IF(V195&gt;0,'Tax Tables'!V305,0)))))))</f>
        <v>0.12</v>
      </c>
      <c r="W204" s="1129">
        <f>IF(W201&gt;0,'Tax Tables'!W311,IF(W200&gt;0,'Tax Tables'!W310,IF(W199&gt;0,'Tax Tables'!W309,IF(W198&gt;0,'Tax Tables'!W308,IF(W197&gt;0,'Tax Tables'!W307,IF(W196&gt;0,'Tax Tables'!W306,IF(W195&gt;0,'Tax Tables'!W305,0)))))))</f>
        <v>0.12</v>
      </c>
      <c r="X204" s="1129">
        <f>IF(X201&gt;0,'Tax Tables'!X311,IF(X200&gt;0,'Tax Tables'!X310,IF(X199&gt;0,'Tax Tables'!X309,IF(X198&gt;0,'Tax Tables'!X308,IF(X197&gt;0,'Tax Tables'!X307,IF(X196&gt;0,'Tax Tables'!X306,IF(X195&gt;0,'Tax Tables'!X305,0)))))))</f>
        <v>0.12</v>
      </c>
      <c r="Y204" s="1129">
        <f>IF(Y201&gt;0,'Tax Tables'!Y311,IF(Y200&gt;0,'Tax Tables'!Y310,IF(Y199&gt;0,'Tax Tables'!Y309,IF(Y198&gt;0,'Tax Tables'!Y308,IF(Y197&gt;0,'Tax Tables'!Y307,IF(Y196&gt;0,'Tax Tables'!Y306,IF(Y195&gt;0,'Tax Tables'!Y305,0)))))))</f>
        <v>0.12</v>
      </c>
      <c r="Z204" s="1129">
        <f>IF(Z201&gt;0,'Tax Tables'!Z311,IF(Z200&gt;0,'Tax Tables'!Z310,IF(Z199&gt;0,'Tax Tables'!Z309,IF(Z198&gt;0,'Tax Tables'!Z308,IF(Z197&gt;0,'Tax Tables'!Z307,IF(Z196&gt;0,'Tax Tables'!Z306,IF(Z195&gt;0,'Tax Tables'!Z305,0)))))))</f>
        <v>0.12</v>
      </c>
      <c r="AA204" s="1129">
        <f>IF(AA201&gt;0,'Tax Tables'!AA311,IF(AA200&gt;0,'Tax Tables'!AA310,IF(AA199&gt;0,'Tax Tables'!AA309,IF(AA198&gt;0,'Tax Tables'!AA308,IF(AA197&gt;0,'Tax Tables'!AA307,IF(AA196&gt;0,'Tax Tables'!AA306,IF(AA195&gt;0,'Tax Tables'!AA305,0)))))))</f>
        <v>0.12</v>
      </c>
      <c r="AB204" s="1129">
        <f>IF(AB201&gt;0,'Tax Tables'!AB311,IF(AB200&gt;0,'Tax Tables'!AB310,IF(AB199&gt;0,'Tax Tables'!AB309,IF(AB198&gt;0,'Tax Tables'!AB308,IF(AB197&gt;0,'Tax Tables'!AB307,IF(AB196&gt;0,'Tax Tables'!AB306,IF(AB195&gt;0,'Tax Tables'!AB305,0)))))))</f>
        <v>0.12</v>
      </c>
      <c r="AC204" s="1129">
        <f>IF(AC201&gt;0,'Tax Tables'!AC311,IF(AC200&gt;0,'Tax Tables'!AC310,IF(AC199&gt;0,'Tax Tables'!AC309,IF(AC198&gt;0,'Tax Tables'!AC308,IF(AC197&gt;0,'Tax Tables'!AC307,IF(AC196&gt;0,'Tax Tables'!AC306,IF(AC195&gt;0,'Tax Tables'!AC305,0)))))))</f>
        <v>0.12</v>
      </c>
      <c r="AD204" s="1129">
        <f>IF(AD201&gt;0,'Tax Tables'!AD311,IF(AD200&gt;0,'Tax Tables'!AD310,IF(AD199&gt;0,'Tax Tables'!AD309,IF(AD198&gt;0,'Tax Tables'!AD308,IF(AD197&gt;0,'Tax Tables'!AD307,IF(AD196&gt;0,'Tax Tables'!AD306,IF(AD195&gt;0,'Tax Tables'!AD305,0)))))))</f>
        <v>0.22</v>
      </c>
      <c r="AE204" s="1129">
        <f>IF(AE201&gt;0,'Tax Tables'!AE311,IF(AE200&gt;0,'Tax Tables'!AE310,IF(AE199&gt;0,'Tax Tables'!AE309,IF(AE198&gt;0,'Tax Tables'!AE308,IF(AE197&gt;0,'Tax Tables'!AE307,IF(AE196&gt;0,'Tax Tables'!AE306,IF(AE195&gt;0,'Tax Tables'!AE305,0)))))))</f>
        <v>0.22</v>
      </c>
      <c r="AF204" s="1129">
        <f>IF(AF201&gt;0,'Tax Tables'!AF311,IF(AF200&gt;0,'Tax Tables'!AF310,IF(AF199&gt;0,'Tax Tables'!AF309,IF(AF198&gt;0,'Tax Tables'!AF308,IF(AF197&gt;0,'Tax Tables'!AF307,IF(AF196&gt;0,'Tax Tables'!AF306,IF(AF195&gt;0,'Tax Tables'!AF305,0)))))))</f>
        <v>0.22</v>
      </c>
      <c r="AG204" s="1129">
        <f>IF(AG201&gt;0,'Tax Tables'!AG311,IF(AG200&gt;0,'Tax Tables'!AG310,IF(AG199&gt;0,'Tax Tables'!AG309,IF(AG198&gt;0,'Tax Tables'!AG308,IF(AG197&gt;0,'Tax Tables'!AG307,IF(AG196&gt;0,'Tax Tables'!AG306,IF(AG195&gt;0,'Tax Tables'!AG305,0)))))))</f>
        <v>0.22</v>
      </c>
      <c r="AH204" s="1129">
        <f>IF(AH201&gt;0,'Tax Tables'!AH311,IF(AH200&gt;0,'Tax Tables'!AH310,IF(AH199&gt;0,'Tax Tables'!AH309,IF(AH198&gt;0,'Tax Tables'!AH308,IF(AH197&gt;0,'Tax Tables'!AH307,IF(AH196&gt;0,'Tax Tables'!AH306,IF(AH195&gt;0,'Tax Tables'!AH305,0)))))))</f>
        <v>0.22</v>
      </c>
      <c r="AI204" s="1129">
        <f>IF(AI201&gt;0,'Tax Tables'!AI311,IF(AI200&gt;0,'Tax Tables'!AI310,IF(AI199&gt;0,'Tax Tables'!AI309,IF(AI198&gt;0,'Tax Tables'!AI308,IF(AI197&gt;0,'Tax Tables'!AI307,IF(AI196&gt;0,'Tax Tables'!AI306,IF(AI195&gt;0,'Tax Tables'!AI305,0)))))))</f>
        <v>0.22</v>
      </c>
      <c r="AJ204" s="1129">
        <f>IF(AJ201&gt;0,'Tax Tables'!AJ311,IF(AJ200&gt;0,'Tax Tables'!AJ310,IF(AJ199&gt;0,'Tax Tables'!AJ309,IF(AJ198&gt;0,'Tax Tables'!AJ308,IF(AJ197&gt;0,'Tax Tables'!AJ307,IF(AJ196&gt;0,'Tax Tables'!AJ306,IF(AJ195&gt;0,'Tax Tables'!AJ305,0)))))))</f>
        <v>0</v>
      </c>
      <c r="AK204" s="1129">
        <f>IF(AK201&gt;0,'Tax Tables'!AK311,IF(AK200&gt;0,'Tax Tables'!AK310,IF(AK199&gt;0,'Tax Tables'!AK309,IF(AK198&gt;0,'Tax Tables'!AK308,IF(AK197&gt;0,'Tax Tables'!AK307,IF(AK196&gt;0,'Tax Tables'!AK306,IF(AK195&gt;0,'Tax Tables'!AK305,0)))))))</f>
        <v>0</v>
      </c>
      <c r="AL204" s="1129">
        <f>IF(AL201&gt;0,'Tax Tables'!AL311,IF(AL200&gt;0,'Tax Tables'!AL310,IF(AL199&gt;0,'Tax Tables'!AL309,IF(AL198&gt;0,'Tax Tables'!AL308,IF(AL197&gt;0,'Tax Tables'!AL307,IF(AL196&gt;0,'Tax Tables'!AL306,IF(AL195&gt;0,'Tax Tables'!AL305,0)))))))</f>
        <v>0</v>
      </c>
      <c r="AM204" s="1129">
        <f>IF(AM201&gt;0,'Tax Tables'!AM311,IF(AM200&gt;0,'Tax Tables'!AM310,IF(AM199&gt;0,'Tax Tables'!AM309,IF(AM198&gt;0,'Tax Tables'!AM308,IF(AM197&gt;0,'Tax Tables'!AM307,IF(AM196&gt;0,'Tax Tables'!AM306,IF(AM195&gt;0,'Tax Tables'!AM305,0)))))))</f>
        <v>0</v>
      </c>
      <c r="AN204" s="1129">
        <f>IF(AN201&gt;0,'Tax Tables'!AN311,IF(AN200&gt;0,'Tax Tables'!AN310,IF(AN199&gt;0,'Tax Tables'!AN309,IF(AN198&gt;0,'Tax Tables'!AN308,IF(AN197&gt;0,'Tax Tables'!AN307,IF(AN196&gt;0,'Tax Tables'!AN306,IF(AN195&gt;0,'Tax Tables'!AN305,0)))))))</f>
        <v>0</v>
      </c>
      <c r="AO204" s="1129">
        <f>IF(AO201&gt;0,'Tax Tables'!AO311,IF(AO200&gt;0,'Tax Tables'!AO310,IF(AO199&gt;0,'Tax Tables'!AO309,IF(AO198&gt;0,'Tax Tables'!AO308,IF(AO197&gt;0,'Tax Tables'!AO307,IF(AO196&gt;0,'Tax Tables'!AO306,IF(AO195&gt;0,'Tax Tables'!AO305,0)))))))</f>
        <v>0</v>
      </c>
      <c r="AP204" s="1129">
        <f>IF(AP201&gt;0,'Tax Tables'!AP311,IF(AP200&gt;0,'Tax Tables'!AP310,IF(AP199&gt;0,'Tax Tables'!AP309,IF(AP198&gt;0,'Tax Tables'!AP308,IF(AP197&gt;0,'Tax Tables'!AP307,IF(AP196&gt;0,'Tax Tables'!AP306,IF(AP195&gt;0,'Tax Tables'!AP305,0)))))))</f>
        <v>0</v>
      </c>
      <c r="AQ204" s="1129">
        <f>IF(AQ201&gt;0,'Tax Tables'!AQ311,IF(AQ200&gt;0,'Tax Tables'!AQ310,IF(AQ199&gt;0,'Tax Tables'!AQ309,IF(AQ198&gt;0,'Tax Tables'!AQ308,IF(AQ197&gt;0,'Tax Tables'!AQ307,IF(AQ196&gt;0,'Tax Tables'!AQ306,IF(AQ195&gt;0,'Tax Tables'!AQ305,0)))))))</f>
        <v>0</v>
      </c>
      <c r="AR204" s="1129">
        <f>IF(AR201&gt;0,'Tax Tables'!AR311,IF(AR200&gt;0,'Tax Tables'!AR310,IF(AR199&gt;0,'Tax Tables'!AR309,IF(AR198&gt;0,'Tax Tables'!AR308,IF(AR197&gt;0,'Tax Tables'!AR307,IF(AR196&gt;0,'Tax Tables'!AR306,IF(AR195&gt;0,'Tax Tables'!AR305,0)))))))</f>
        <v>0</v>
      </c>
      <c r="AS204" s="1129">
        <f>IF(AS201&gt;0,'Tax Tables'!AS311,IF(AS200&gt;0,'Tax Tables'!AS310,IF(AS199&gt;0,'Tax Tables'!AS309,IF(AS198&gt;0,'Tax Tables'!AS308,IF(AS197&gt;0,'Tax Tables'!AS307,IF(AS196&gt;0,'Tax Tables'!AS306,IF(AS195&gt;0,'Tax Tables'!AS305,0)))))))</f>
        <v>0</v>
      </c>
      <c r="AT204" s="3"/>
      <c r="AU204" s="117">
        <f>+Base!E204</f>
        <v>0</v>
      </c>
      <c r="AV204" s="118">
        <f t="shared" si="181"/>
        <v>0</v>
      </c>
      <c r="AW204" s="44"/>
    </row>
    <row r="205" spans="1:92">
      <c r="A205" s="1425"/>
      <c r="B205" s="72"/>
      <c r="D205" s="29"/>
      <c r="E205" s="845"/>
      <c r="F205" s="843"/>
      <c r="G205" s="843"/>
      <c r="H205" s="843"/>
      <c r="I205" s="843"/>
      <c r="J205" s="843"/>
      <c r="K205" s="843"/>
      <c r="L205" s="843"/>
      <c r="M205" s="843"/>
      <c r="N205" s="843"/>
      <c r="O205" s="843"/>
      <c r="P205" s="843"/>
      <c r="Q205" s="843"/>
      <c r="R205" s="843"/>
      <c r="S205" s="843"/>
      <c r="T205" s="843"/>
      <c r="U205" s="843"/>
      <c r="V205" s="843"/>
      <c r="W205" s="843"/>
      <c r="X205" s="843"/>
      <c r="Y205" s="843"/>
      <c r="Z205" s="843"/>
      <c r="AA205" s="843"/>
      <c r="AB205" s="843"/>
      <c r="AC205" s="843"/>
      <c r="AD205" s="843"/>
      <c r="AE205" s="843"/>
      <c r="AF205" s="843"/>
      <c r="AG205" s="843"/>
      <c r="AH205" s="843"/>
      <c r="AI205" s="843"/>
      <c r="AJ205" s="843"/>
      <c r="AK205" s="843"/>
      <c r="AL205" s="843"/>
      <c r="AM205" s="843"/>
      <c r="AN205" s="843"/>
      <c r="AO205" s="44"/>
      <c r="AP205" s="44"/>
      <c r="AQ205" s="44"/>
      <c r="AR205" s="44"/>
      <c r="AS205" s="44"/>
      <c r="AT205" s="3"/>
      <c r="AU205" s="117"/>
      <c r="AV205" s="118"/>
      <c r="AW205" s="44"/>
    </row>
    <row r="206" spans="1:92" ht="17.399999999999999">
      <c r="A206" s="1425"/>
      <c r="B206" s="1026" t="s">
        <v>1697</v>
      </c>
      <c r="E206" s="78"/>
      <c r="F206" s="819" t="str">
        <f t="shared" ref="F206:AS206" si="185">IF(End_Itemized+1=F$4,"std ded","") &amp; IF(Single_Rate_Start=F$7,"single rate",".") &amp; IF(State_Move_Age=F$4,"new state","")</f>
        <v>.</v>
      </c>
      <c r="G206" s="819" t="str">
        <f t="shared" si="185"/>
        <v>.</v>
      </c>
      <c r="H206" s="819" t="str">
        <f t="shared" si="185"/>
        <v>.</v>
      </c>
      <c r="I206" s="819" t="str">
        <f t="shared" si="185"/>
        <v>.</v>
      </c>
      <c r="J206" s="819" t="str">
        <f t="shared" si="185"/>
        <v>.</v>
      </c>
      <c r="K206" s="819" t="str">
        <f t="shared" si="185"/>
        <v>.</v>
      </c>
      <c r="L206" s="819" t="str">
        <f t="shared" si="185"/>
        <v>.</v>
      </c>
      <c r="M206" s="819" t="str">
        <f t="shared" si="185"/>
        <v>std ded.</v>
      </c>
      <c r="N206" s="819" t="str">
        <f t="shared" si="185"/>
        <v>.</v>
      </c>
      <c r="O206" s="819" t="str">
        <f t="shared" si="185"/>
        <v>.</v>
      </c>
      <c r="P206" s="819" t="str">
        <f t="shared" si="185"/>
        <v>.</v>
      </c>
      <c r="Q206" s="819" t="str">
        <f t="shared" si="185"/>
        <v>.</v>
      </c>
      <c r="R206" s="819" t="str">
        <f t="shared" si="185"/>
        <v>.</v>
      </c>
      <c r="S206" s="819" t="str">
        <f t="shared" si="185"/>
        <v>.</v>
      </c>
      <c r="T206" s="819" t="str">
        <f t="shared" si="185"/>
        <v>.</v>
      </c>
      <c r="U206" s="819" t="str">
        <f t="shared" si="185"/>
        <v>.</v>
      </c>
      <c r="V206" s="819" t="str">
        <f t="shared" si="185"/>
        <v>.</v>
      </c>
      <c r="W206" s="819" t="str">
        <f t="shared" si="185"/>
        <v>.</v>
      </c>
      <c r="X206" s="819" t="str">
        <f t="shared" si="185"/>
        <v>.</v>
      </c>
      <c r="Y206" s="819" t="str">
        <f t="shared" si="185"/>
        <v>.</v>
      </c>
      <c r="Z206" s="819" t="str">
        <f t="shared" si="185"/>
        <v>.</v>
      </c>
      <c r="AA206" s="819" t="str">
        <f t="shared" si="185"/>
        <v>.</v>
      </c>
      <c r="AB206" s="819" t="str">
        <f t="shared" si="185"/>
        <v>.new state</v>
      </c>
      <c r="AC206" s="819" t="str">
        <f t="shared" si="185"/>
        <v>.</v>
      </c>
      <c r="AD206" s="819" t="str">
        <f t="shared" si="185"/>
        <v>single rate</v>
      </c>
      <c r="AE206" s="819" t="str">
        <f t="shared" si="185"/>
        <v>.</v>
      </c>
      <c r="AF206" s="819" t="str">
        <f t="shared" si="185"/>
        <v>.</v>
      </c>
      <c r="AG206" s="819" t="str">
        <f t="shared" si="185"/>
        <v>.</v>
      </c>
      <c r="AH206" s="819" t="str">
        <f t="shared" si="185"/>
        <v>.</v>
      </c>
      <c r="AI206" s="819" t="str">
        <f t="shared" si="185"/>
        <v>.</v>
      </c>
      <c r="AJ206" s="819" t="str">
        <f t="shared" si="185"/>
        <v>.</v>
      </c>
      <c r="AK206" s="819" t="str">
        <f t="shared" si="185"/>
        <v>.</v>
      </c>
      <c r="AL206" s="819" t="str">
        <f t="shared" si="185"/>
        <v>.</v>
      </c>
      <c r="AM206" s="819" t="str">
        <f t="shared" si="185"/>
        <v>.</v>
      </c>
      <c r="AN206" s="819" t="str">
        <f t="shared" si="185"/>
        <v>.</v>
      </c>
      <c r="AO206" s="819" t="str">
        <f t="shared" si="185"/>
        <v>.</v>
      </c>
      <c r="AP206" s="819" t="str">
        <f t="shared" si="185"/>
        <v>.</v>
      </c>
      <c r="AQ206" s="819" t="str">
        <f t="shared" si="185"/>
        <v>.</v>
      </c>
      <c r="AR206" s="819" t="str">
        <f t="shared" si="185"/>
        <v>.</v>
      </c>
      <c r="AS206" s="819" t="str">
        <f t="shared" si="185"/>
        <v>.</v>
      </c>
      <c r="AT206" s="3"/>
      <c r="AU206" s="117"/>
      <c r="AV206" s="118"/>
      <c r="AW206" s="44"/>
    </row>
    <row r="207" spans="1:92">
      <c r="A207" s="1425"/>
      <c r="B207" s="634" t="s">
        <v>1036</v>
      </c>
      <c r="D207" s="29"/>
      <c r="E207" s="102">
        <f t="shared" ref="E207:E222" si="186">SUM(F207:AS207)</f>
        <v>1833700</v>
      </c>
      <c r="F207" s="88">
        <f t="shared" ref="F207:AS207" si="187">+F182-F66</f>
        <v>54700</v>
      </c>
      <c r="G207" s="1124">
        <f t="shared" si="187"/>
        <v>71200</v>
      </c>
      <c r="H207" s="1124">
        <f t="shared" si="187"/>
        <v>57700</v>
      </c>
      <c r="I207" s="1124">
        <f t="shared" si="187"/>
        <v>59200</v>
      </c>
      <c r="J207" s="1124">
        <f t="shared" si="187"/>
        <v>60800</v>
      </c>
      <c r="K207" s="1124">
        <f t="shared" si="187"/>
        <v>62600</v>
      </c>
      <c r="L207" s="1124">
        <f t="shared" si="187"/>
        <v>64700</v>
      </c>
      <c r="M207" s="1124">
        <f t="shared" si="187"/>
        <v>66700</v>
      </c>
      <c r="N207" s="1124">
        <f t="shared" si="187"/>
        <v>28200</v>
      </c>
      <c r="O207" s="1124">
        <f t="shared" si="187"/>
        <v>28500</v>
      </c>
      <c r="P207" s="1124">
        <f t="shared" si="187"/>
        <v>29000</v>
      </c>
      <c r="Q207" s="1124">
        <f t="shared" si="187"/>
        <v>29900</v>
      </c>
      <c r="R207" s="1124">
        <f t="shared" si="187"/>
        <v>35500</v>
      </c>
      <c r="S207" s="1124">
        <f t="shared" si="187"/>
        <v>37200</v>
      </c>
      <c r="T207" s="1124">
        <f t="shared" si="187"/>
        <v>50700</v>
      </c>
      <c r="U207" s="1124">
        <f t="shared" si="187"/>
        <v>57500</v>
      </c>
      <c r="V207" s="1124">
        <f t="shared" si="187"/>
        <v>65600</v>
      </c>
      <c r="W207" s="1124">
        <f t="shared" si="187"/>
        <v>68800</v>
      </c>
      <c r="X207" s="1124">
        <f t="shared" si="187"/>
        <v>59600</v>
      </c>
      <c r="Y207" s="1124">
        <f t="shared" si="187"/>
        <v>60900</v>
      </c>
      <c r="Z207" s="1124">
        <f t="shared" si="187"/>
        <v>63800</v>
      </c>
      <c r="AA207" s="1124">
        <f t="shared" si="187"/>
        <v>67000</v>
      </c>
      <c r="AB207" s="1124">
        <f t="shared" si="187"/>
        <v>72200</v>
      </c>
      <c r="AC207" s="1124">
        <f t="shared" si="187"/>
        <v>81400</v>
      </c>
      <c r="AD207" s="1124">
        <f t="shared" si="187"/>
        <v>83000</v>
      </c>
      <c r="AE207" s="1124">
        <f t="shared" si="187"/>
        <v>86400</v>
      </c>
      <c r="AF207" s="1124">
        <f t="shared" si="187"/>
        <v>87800</v>
      </c>
      <c r="AG207" s="1124">
        <f t="shared" si="187"/>
        <v>80500</v>
      </c>
      <c r="AH207" s="1124">
        <f t="shared" si="187"/>
        <v>80500</v>
      </c>
      <c r="AI207" s="1124">
        <f t="shared" si="187"/>
        <v>82100</v>
      </c>
      <c r="AJ207" s="1124">
        <f t="shared" si="187"/>
        <v>0</v>
      </c>
      <c r="AK207" s="1124">
        <f t="shared" si="187"/>
        <v>0</v>
      </c>
      <c r="AL207" s="1124">
        <f t="shared" si="187"/>
        <v>0</v>
      </c>
      <c r="AM207" s="1124">
        <f t="shared" si="187"/>
        <v>0</v>
      </c>
      <c r="AN207" s="1124">
        <f t="shared" si="187"/>
        <v>0</v>
      </c>
      <c r="AO207" s="1124">
        <f t="shared" si="187"/>
        <v>0</v>
      </c>
      <c r="AP207" s="1124">
        <f t="shared" si="187"/>
        <v>0</v>
      </c>
      <c r="AQ207" s="1124">
        <f t="shared" si="187"/>
        <v>0</v>
      </c>
      <c r="AR207" s="1124">
        <f t="shared" si="187"/>
        <v>0</v>
      </c>
      <c r="AS207" s="1124">
        <f t="shared" si="187"/>
        <v>0</v>
      </c>
      <c r="AT207" s="88"/>
      <c r="AU207" s="15">
        <f>+Base!E207</f>
        <v>1833700</v>
      </c>
      <c r="AV207" s="103">
        <f t="shared" ref="AV207:AV225" si="188">+E207-AU207</f>
        <v>0</v>
      </c>
      <c r="AW207" s="44"/>
    </row>
    <row r="208" spans="1:92">
      <c r="A208" s="1425"/>
      <c r="B208" s="72" t="s">
        <v>962</v>
      </c>
      <c r="D208" s="1374" t="str">
        <f>"state1: " &amp; SS_Tax_State &amp; ", state2: " &amp; SS_Tax_State2</f>
        <v>state1: n, state2: y</v>
      </c>
      <c r="E208" s="102">
        <f t="shared" si="186"/>
        <v>384700</v>
      </c>
      <c r="F208" s="88">
        <f t="shared" ref="F208:AS208" si="189">ROUND(IF(AND(State_Move_Age&lt;=F$4,State_Move_Age&lt;&gt;0),IF(SS_Tax_State2="y",+F$183,0),IF(SS_Tax_State="y",F$183,0))/Round_To,0)*Round_To</f>
        <v>0</v>
      </c>
      <c r="G208" s="1124">
        <f t="shared" si="189"/>
        <v>0</v>
      </c>
      <c r="H208" s="1124">
        <f t="shared" si="189"/>
        <v>0</v>
      </c>
      <c r="I208" s="1124">
        <f t="shared" si="189"/>
        <v>0</v>
      </c>
      <c r="J208" s="1124">
        <f t="shared" si="189"/>
        <v>0</v>
      </c>
      <c r="K208" s="1124">
        <f t="shared" si="189"/>
        <v>0</v>
      </c>
      <c r="L208" s="1124">
        <f t="shared" si="189"/>
        <v>0</v>
      </c>
      <c r="M208" s="1124">
        <f t="shared" si="189"/>
        <v>0</v>
      </c>
      <c r="N208" s="1124">
        <f t="shared" si="189"/>
        <v>0</v>
      </c>
      <c r="O208" s="1124">
        <f t="shared" si="189"/>
        <v>0</v>
      </c>
      <c r="P208" s="1124">
        <f t="shared" si="189"/>
        <v>0</v>
      </c>
      <c r="Q208" s="1124">
        <f t="shared" si="189"/>
        <v>0</v>
      </c>
      <c r="R208" s="1124">
        <f t="shared" si="189"/>
        <v>0</v>
      </c>
      <c r="S208" s="1124">
        <f t="shared" si="189"/>
        <v>0</v>
      </c>
      <c r="T208" s="1124">
        <f t="shared" si="189"/>
        <v>0</v>
      </c>
      <c r="U208" s="1124">
        <f t="shared" si="189"/>
        <v>0</v>
      </c>
      <c r="V208" s="1124">
        <f t="shared" si="189"/>
        <v>0</v>
      </c>
      <c r="W208" s="1124">
        <f t="shared" si="189"/>
        <v>0</v>
      </c>
      <c r="X208" s="1124">
        <f t="shared" si="189"/>
        <v>0</v>
      </c>
      <c r="Y208" s="1124">
        <f t="shared" si="189"/>
        <v>0</v>
      </c>
      <c r="Z208" s="1124">
        <f t="shared" si="189"/>
        <v>0</v>
      </c>
      <c r="AA208" s="1124">
        <f t="shared" si="189"/>
        <v>0</v>
      </c>
      <c r="AB208" s="1124">
        <f t="shared" si="189"/>
        <v>60300</v>
      </c>
      <c r="AC208" s="1124">
        <f t="shared" si="189"/>
        <v>61500</v>
      </c>
      <c r="AD208" s="1124">
        <f t="shared" si="189"/>
        <v>41700</v>
      </c>
      <c r="AE208" s="1124">
        <f t="shared" si="189"/>
        <v>42500</v>
      </c>
      <c r="AF208" s="1124">
        <f t="shared" si="189"/>
        <v>43400</v>
      </c>
      <c r="AG208" s="1124">
        <f t="shared" si="189"/>
        <v>44200</v>
      </c>
      <c r="AH208" s="1124">
        <f t="shared" si="189"/>
        <v>45100</v>
      </c>
      <c r="AI208" s="1124">
        <f t="shared" si="189"/>
        <v>46000</v>
      </c>
      <c r="AJ208" s="1124">
        <f t="shared" si="189"/>
        <v>0</v>
      </c>
      <c r="AK208" s="1124">
        <f t="shared" si="189"/>
        <v>0</v>
      </c>
      <c r="AL208" s="1124">
        <f t="shared" si="189"/>
        <v>0</v>
      </c>
      <c r="AM208" s="1124">
        <f t="shared" si="189"/>
        <v>0</v>
      </c>
      <c r="AN208" s="1124">
        <f t="shared" si="189"/>
        <v>0</v>
      </c>
      <c r="AO208" s="1124">
        <f t="shared" si="189"/>
        <v>0</v>
      </c>
      <c r="AP208" s="1124">
        <f t="shared" si="189"/>
        <v>0</v>
      </c>
      <c r="AQ208" s="1124">
        <f t="shared" si="189"/>
        <v>0</v>
      </c>
      <c r="AR208" s="1124">
        <f t="shared" si="189"/>
        <v>0</v>
      </c>
      <c r="AS208" s="1124">
        <f t="shared" si="189"/>
        <v>0</v>
      </c>
      <c r="AT208" s="88"/>
      <c r="AU208" s="15">
        <f>+Base!E208</f>
        <v>384700</v>
      </c>
      <c r="AV208" s="103">
        <f t="shared" si="188"/>
        <v>0</v>
      </c>
      <c r="AW208" s="44"/>
    </row>
    <row r="209" spans="1:49">
      <c r="A209" s="1425"/>
      <c r="B209" s="72" t="s">
        <v>963</v>
      </c>
      <c r="D209" s="1374" t="str">
        <f>"state1: " &amp; Pen_Tax_State*100 &amp; "%, state2: " &amp; Pen_Tax_State2*100 &amp; "%"</f>
        <v>state1: 100%, state2: 50%</v>
      </c>
      <c r="E209" s="102">
        <f t="shared" si="186"/>
        <v>313200</v>
      </c>
      <c r="F209" s="88">
        <f t="shared" ref="F209:AS209" si="190">ROUND(IF(OR(F$4&lt;State_Move_Age,State_Move_Age=0),Pen_Tax_State*F$66,Pen_Tax_State2*F$66)/Round_To,0)*Round_To</f>
        <v>8000</v>
      </c>
      <c r="G209" s="1124">
        <f t="shared" si="190"/>
        <v>8200</v>
      </c>
      <c r="H209" s="1124">
        <f t="shared" si="190"/>
        <v>8400</v>
      </c>
      <c r="I209" s="1124">
        <f t="shared" si="190"/>
        <v>8700</v>
      </c>
      <c r="J209" s="1124">
        <f t="shared" si="190"/>
        <v>9000</v>
      </c>
      <c r="K209" s="1124">
        <f t="shared" si="190"/>
        <v>9300</v>
      </c>
      <c r="L209" s="1124">
        <f t="shared" si="190"/>
        <v>9600</v>
      </c>
      <c r="M209" s="1124">
        <f t="shared" si="190"/>
        <v>9900</v>
      </c>
      <c r="N209" s="1124">
        <f t="shared" si="190"/>
        <v>10200</v>
      </c>
      <c r="O209" s="1124">
        <f t="shared" si="190"/>
        <v>10500</v>
      </c>
      <c r="P209" s="1124">
        <f t="shared" si="190"/>
        <v>10800</v>
      </c>
      <c r="Q209" s="1124">
        <f t="shared" si="190"/>
        <v>11100</v>
      </c>
      <c r="R209" s="1124">
        <f t="shared" si="190"/>
        <v>11400</v>
      </c>
      <c r="S209" s="1124">
        <f t="shared" si="190"/>
        <v>11700</v>
      </c>
      <c r="T209" s="1124">
        <f t="shared" si="190"/>
        <v>12100</v>
      </c>
      <c r="U209" s="1124">
        <f t="shared" si="190"/>
        <v>12500</v>
      </c>
      <c r="V209" s="1124">
        <f t="shared" si="190"/>
        <v>12900</v>
      </c>
      <c r="W209" s="1124">
        <f t="shared" si="190"/>
        <v>13300</v>
      </c>
      <c r="X209" s="1124">
        <f t="shared" si="190"/>
        <v>13700</v>
      </c>
      <c r="Y209" s="1124">
        <f t="shared" si="190"/>
        <v>14100</v>
      </c>
      <c r="Z209" s="1124">
        <f t="shared" si="190"/>
        <v>14500</v>
      </c>
      <c r="AA209" s="1124">
        <f t="shared" si="190"/>
        <v>14900</v>
      </c>
      <c r="AB209" s="1124">
        <f t="shared" si="190"/>
        <v>7700</v>
      </c>
      <c r="AC209" s="1124">
        <f t="shared" si="190"/>
        <v>7900</v>
      </c>
      <c r="AD209" s="1124">
        <f t="shared" si="190"/>
        <v>8200</v>
      </c>
      <c r="AE209" s="1124">
        <f t="shared" si="190"/>
        <v>8400</v>
      </c>
      <c r="AF209" s="1124">
        <f t="shared" si="190"/>
        <v>8700</v>
      </c>
      <c r="AG209" s="1124">
        <f t="shared" si="190"/>
        <v>8900</v>
      </c>
      <c r="AH209" s="1124">
        <f t="shared" si="190"/>
        <v>9200</v>
      </c>
      <c r="AI209" s="1124">
        <f t="shared" si="190"/>
        <v>9400</v>
      </c>
      <c r="AJ209" s="1124">
        <f t="shared" si="190"/>
        <v>0</v>
      </c>
      <c r="AK209" s="1124">
        <f t="shared" si="190"/>
        <v>0</v>
      </c>
      <c r="AL209" s="1124">
        <f t="shared" si="190"/>
        <v>0</v>
      </c>
      <c r="AM209" s="1124">
        <f t="shared" si="190"/>
        <v>0</v>
      </c>
      <c r="AN209" s="1124">
        <f t="shared" si="190"/>
        <v>0</v>
      </c>
      <c r="AO209" s="1124">
        <f t="shared" si="190"/>
        <v>0</v>
      </c>
      <c r="AP209" s="1124">
        <f t="shared" si="190"/>
        <v>0</v>
      </c>
      <c r="AQ209" s="1124">
        <f t="shared" si="190"/>
        <v>0</v>
      </c>
      <c r="AR209" s="1124">
        <f t="shared" si="190"/>
        <v>0</v>
      </c>
      <c r="AS209" s="1124">
        <f t="shared" si="190"/>
        <v>0</v>
      </c>
      <c r="AT209" s="88"/>
      <c r="AU209" s="15">
        <f>+Base!E209</f>
        <v>313200</v>
      </c>
      <c r="AV209" s="103">
        <f t="shared" si="188"/>
        <v>0</v>
      </c>
      <c r="AW209" s="122"/>
    </row>
    <row r="210" spans="1:49" s="1" customFormat="1">
      <c r="A210" s="1426"/>
      <c r="B210" s="552" t="s">
        <v>139</v>
      </c>
      <c r="D210" s="829"/>
      <c r="E210" s="102">
        <f t="shared" si="186"/>
        <v>117200</v>
      </c>
      <c r="F210" s="88">
        <f t="shared" ref="F210:AS210" si="191">ROUND(IF(AND(State_Move_Age&gt;F$4,State_Move_Age&lt;&gt;0),TaxEx_State*-F$170,TaxEx_State2*-F$170)/Round_To,0)*Round_To</f>
        <v>2900</v>
      </c>
      <c r="G210" s="1147">
        <f t="shared" si="191"/>
        <v>2800</v>
      </c>
      <c r="H210" s="1147">
        <f t="shared" si="191"/>
        <v>2700</v>
      </c>
      <c r="I210" s="1147">
        <f t="shared" si="191"/>
        <v>2500</v>
      </c>
      <c r="J210" s="1147">
        <f t="shared" si="191"/>
        <v>2300</v>
      </c>
      <c r="K210" s="1147">
        <f t="shared" si="191"/>
        <v>2300</v>
      </c>
      <c r="L210" s="1147">
        <f t="shared" si="191"/>
        <v>2400</v>
      </c>
      <c r="M210" s="1147">
        <f t="shared" si="191"/>
        <v>2600</v>
      </c>
      <c r="N210" s="1147">
        <f t="shared" si="191"/>
        <v>2800</v>
      </c>
      <c r="O210" s="1147">
        <f t="shared" si="191"/>
        <v>3300</v>
      </c>
      <c r="P210" s="1147">
        <f t="shared" si="191"/>
        <v>3200</v>
      </c>
      <c r="Q210" s="1147">
        <f t="shared" si="191"/>
        <v>3500</v>
      </c>
      <c r="R210" s="1147">
        <f t="shared" si="191"/>
        <v>4200</v>
      </c>
      <c r="S210" s="1147">
        <f t="shared" si="191"/>
        <v>4700</v>
      </c>
      <c r="T210" s="1147">
        <f t="shared" si="191"/>
        <v>4800</v>
      </c>
      <c r="U210" s="1147">
        <f t="shared" si="191"/>
        <v>5400</v>
      </c>
      <c r="V210" s="1147">
        <f t="shared" si="191"/>
        <v>6700</v>
      </c>
      <c r="W210" s="1147">
        <f t="shared" si="191"/>
        <v>7600</v>
      </c>
      <c r="X210" s="1147">
        <f t="shared" si="191"/>
        <v>11500</v>
      </c>
      <c r="Y210" s="1147">
        <f t="shared" si="191"/>
        <v>12200</v>
      </c>
      <c r="Z210" s="1147">
        <f t="shared" si="191"/>
        <v>13000</v>
      </c>
      <c r="AA210" s="1147">
        <f t="shared" si="191"/>
        <v>13800</v>
      </c>
      <c r="AB210" s="1147">
        <f t="shared" si="191"/>
        <v>0</v>
      </c>
      <c r="AC210" s="1147">
        <f t="shared" si="191"/>
        <v>0</v>
      </c>
      <c r="AD210" s="1147">
        <f t="shared" si="191"/>
        <v>0</v>
      </c>
      <c r="AE210" s="1147">
        <f t="shared" si="191"/>
        <v>0</v>
      </c>
      <c r="AF210" s="1147">
        <f t="shared" si="191"/>
        <v>0</v>
      </c>
      <c r="AG210" s="1147">
        <f t="shared" si="191"/>
        <v>0</v>
      </c>
      <c r="AH210" s="1147">
        <f t="shared" si="191"/>
        <v>0</v>
      </c>
      <c r="AI210" s="1147">
        <f t="shared" si="191"/>
        <v>0</v>
      </c>
      <c r="AJ210" s="1147">
        <f t="shared" si="191"/>
        <v>0</v>
      </c>
      <c r="AK210" s="1147">
        <f t="shared" si="191"/>
        <v>0</v>
      </c>
      <c r="AL210" s="1147">
        <f t="shared" si="191"/>
        <v>0</v>
      </c>
      <c r="AM210" s="1147">
        <f t="shared" si="191"/>
        <v>0</v>
      </c>
      <c r="AN210" s="1147">
        <f t="shared" si="191"/>
        <v>0</v>
      </c>
      <c r="AO210" s="1147">
        <f t="shared" si="191"/>
        <v>0</v>
      </c>
      <c r="AP210" s="1147">
        <f t="shared" si="191"/>
        <v>0</v>
      </c>
      <c r="AQ210" s="1147">
        <f t="shared" si="191"/>
        <v>0</v>
      </c>
      <c r="AR210" s="1147">
        <f t="shared" si="191"/>
        <v>0</v>
      </c>
      <c r="AS210" s="1147">
        <f t="shared" si="191"/>
        <v>0</v>
      </c>
      <c r="AT210" s="88"/>
      <c r="AU210" s="15">
        <f>+Base!E210</f>
        <v>117200</v>
      </c>
      <c r="AV210" s="103">
        <f>+E210-AU210</f>
        <v>0</v>
      </c>
      <c r="AW210" s="122"/>
    </row>
    <row r="211" spans="1:49" ht="15.6">
      <c r="A211" s="1425"/>
      <c r="B211" s="1449" t="s">
        <v>793</v>
      </c>
      <c r="D211" s="1038" t="s">
        <v>871</v>
      </c>
      <c r="E211" s="1377">
        <f>SUM(F211:AS211)</f>
        <v>0</v>
      </c>
      <c r="F211" s="1547"/>
      <c r="G211" s="1450"/>
      <c r="H211" s="1450"/>
      <c r="I211" s="1547"/>
      <c r="J211" s="1450"/>
      <c r="K211" s="1450"/>
      <c r="L211" s="1450"/>
      <c r="M211" s="1450"/>
      <c r="N211" s="1450"/>
      <c r="O211" s="1450"/>
      <c r="P211" s="1450"/>
      <c r="Q211" s="1450"/>
      <c r="R211" s="1450"/>
      <c r="S211" s="1450"/>
      <c r="T211" s="1450"/>
      <c r="U211" s="1450"/>
      <c r="V211" s="1450"/>
      <c r="W211" s="1450"/>
      <c r="X211" s="1450"/>
      <c r="Y211" s="1450"/>
      <c r="Z211" s="1450"/>
      <c r="AA211" s="1450"/>
      <c r="AB211" s="1450"/>
      <c r="AC211" s="1450"/>
      <c r="AD211" s="1450"/>
      <c r="AE211" s="1450"/>
      <c r="AF211" s="1450"/>
      <c r="AG211" s="1450"/>
      <c r="AH211" s="1450"/>
      <c r="AI211" s="1450"/>
      <c r="AJ211" s="1450"/>
      <c r="AK211" s="1450"/>
      <c r="AL211" s="1450"/>
      <c r="AM211" s="1450"/>
      <c r="AN211" s="1450"/>
      <c r="AO211" s="1450"/>
      <c r="AP211" s="1450"/>
      <c r="AQ211" s="1450"/>
      <c r="AR211" s="1450"/>
      <c r="AS211" s="1450"/>
      <c r="AT211" s="1"/>
      <c r="AU211" s="82">
        <f>+Base!E211</f>
        <v>0</v>
      </c>
      <c r="AV211" s="83">
        <f>+E211-AU211</f>
        <v>0</v>
      </c>
    </row>
    <row r="212" spans="1:49" ht="15.6">
      <c r="A212" s="1425"/>
      <c r="B212" s="28" t="s">
        <v>968</v>
      </c>
      <c r="C212" s="1543"/>
      <c r="D212" s="29"/>
      <c r="E212" s="102">
        <f t="shared" si="186"/>
        <v>2648800</v>
      </c>
      <c r="F212" s="88">
        <f>+F207+F208+F209+F210+F211</f>
        <v>65600</v>
      </c>
      <c r="G212" s="1124">
        <f>+G207+G208+G209+G210+G211</f>
        <v>82200</v>
      </c>
      <c r="H212" s="1124">
        <f t="shared" ref="H212:AS212" si="192">+H207+H208+H209+H210+H211</f>
        <v>68800</v>
      </c>
      <c r="I212" s="1124">
        <f t="shared" si="192"/>
        <v>70400</v>
      </c>
      <c r="J212" s="1124">
        <f t="shared" si="192"/>
        <v>72100</v>
      </c>
      <c r="K212" s="1124">
        <f t="shared" si="192"/>
        <v>74200</v>
      </c>
      <c r="L212" s="1124">
        <f t="shared" si="192"/>
        <v>76700</v>
      </c>
      <c r="M212" s="1124">
        <f t="shared" si="192"/>
        <v>79200</v>
      </c>
      <c r="N212" s="1124">
        <f t="shared" si="192"/>
        <v>41200</v>
      </c>
      <c r="O212" s="1124">
        <f t="shared" si="192"/>
        <v>42300</v>
      </c>
      <c r="P212" s="1124">
        <f t="shared" si="192"/>
        <v>43000</v>
      </c>
      <c r="Q212" s="1124">
        <f t="shared" si="192"/>
        <v>44500</v>
      </c>
      <c r="R212" s="1124">
        <f t="shared" si="192"/>
        <v>51100</v>
      </c>
      <c r="S212" s="1124">
        <f t="shared" si="192"/>
        <v>53600</v>
      </c>
      <c r="T212" s="1124">
        <f t="shared" si="192"/>
        <v>67600</v>
      </c>
      <c r="U212" s="1124">
        <f t="shared" si="192"/>
        <v>75400</v>
      </c>
      <c r="V212" s="1124">
        <f t="shared" si="192"/>
        <v>85200</v>
      </c>
      <c r="W212" s="1124">
        <f t="shared" si="192"/>
        <v>89700</v>
      </c>
      <c r="X212" s="1124">
        <f t="shared" si="192"/>
        <v>84800</v>
      </c>
      <c r="Y212" s="1124">
        <f t="shared" si="192"/>
        <v>87200</v>
      </c>
      <c r="Z212" s="1124">
        <f t="shared" si="192"/>
        <v>91300</v>
      </c>
      <c r="AA212" s="1124">
        <f t="shared" si="192"/>
        <v>95700</v>
      </c>
      <c r="AB212" s="1124">
        <f t="shared" si="192"/>
        <v>140200</v>
      </c>
      <c r="AC212" s="1124">
        <f t="shared" si="192"/>
        <v>150800</v>
      </c>
      <c r="AD212" s="1124">
        <f t="shared" si="192"/>
        <v>132900</v>
      </c>
      <c r="AE212" s="1124">
        <f t="shared" si="192"/>
        <v>137300</v>
      </c>
      <c r="AF212" s="1124">
        <f t="shared" si="192"/>
        <v>139900</v>
      </c>
      <c r="AG212" s="1124">
        <f t="shared" si="192"/>
        <v>133600</v>
      </c>
      <c r="AH212" s="1124">
        <f t="shared" si="192"/>
        <v>134800</v>
      </c>
      <c r="AI212" s="1124">
        <f t="shared" si="192"/>
        <v>137500</v>
      </c>
      <c r="AJ212" s="1124">
        <f t="shared" si="192"/>
        <v>0</v>
      </c>
      <c r="AK212" s="1124">
        <f t="shared" si="192"/>
        <v>0</v>
      </c>
      <c r="AL212" s="1124">
        <f t="shared" si="192"/>
        <v>0</v>
      </c>
      <c r="AM212" s="1124">
        <f t="shared" si="192"/>
        <v>0</v>
      </c>
      <c r="AN212" s="1124">
        <f t="shared" si="192"/>
        <v>0</v>
      </c>
      <c r="AO212" s="1124">
        <f t="shared" si="192"/>
        <v>0</v>
      </c>
      <c r="AP212" s="1124">
        <f t="shared" si="192"/>
        <v>0</v>
      </c>
      <c r="AQ212" s="1124">
        <f t="shared" si="192"/>
        <v>0</v>
      </c>
      <c r="AR212" s="1124">
        <f t="shared" si="192"/>
        <v>0</v>
      </c>
      <c r="AS212" s="1124">
        <f t="shared" si="192"/>
        <v>0</v>
      </c>
      <c r="AT212" s="88"/>
      <c r="AU212" s="15">
        <f>+Base!E212</f>
        <v>2648800</v>
      </c>
      <c r="AV212" s="103">
        <f t="shared" si="188"/>
        <v>0</v>
      </c>
      <c r="AW212" s="44"/>
    </row>
    <row r="213" spans="1:49" ht="15.6">
      <c r="A213" s="1425"/>
      <c r="B213" s="72"/>
      <c r="C213" s="231"/>
      <c r="D213" s="29"/>
      <c r="E213" s="845"/>
      <c r="F213" s="845"/>
      <c r="G213" s="845"/>
      <c r="H213" s="845"/>
      <c r="I213" s="845"/>
      <c r="J213" s="845"/>
      <c r="K213" s="845"/>
      <c r="L213" s="845"/>
      <c r="M213" s="845"/>
      <c r="N213" s="845"/>
      <c r="O213" s="845"/>
      <c r="P213" s="845"/>
      <c r="Q213" s="845"/>
      <c r="R213" s="845"/>
      <c r="S213" s="845"/>
      <c r="T213" s="845"/>
      <c r="U213" s="845"/>
      <c r="V213" s="845"/>
      <c r="W213" s="845"/>
      <c r="X213" s="845"/>
      <c r="Y213" s="845"/>
      <c r="Z213" s="845"/>
      <c r="AA213" s="845"/>
      <c r="AB213" s="845"/>
      <c r="AC213" s="845"/>
      <c r="AD213" s="845"/>
      <c r="AE213" s="845"/>
      <c r="AF213" s="845"/>
      <c r="AG213" s="845"/>
      <c r="AH213" s="845"/>
      <c r="AI213" s="845"/>
      <c r="AJ213" s="845"/>
      <c r="AK213" s="88"/>
      <c r="AL213" s="88"/>
      <c r="AM213" s="88"/>
      <c r="AN213" s="88"/>
      <c r="AO213" s="88"/>
      <c r="AP213" s="88"/>
      <c r="AQ213" s="88"/>
      <c r="AR213" s="88"/>
      <c r="AS213" s="88"/>
      <c r="AT213" s="88"/>
      <c r="AU213" s="15"/>
      <c r="AV213" s="103"/>
      <c r="AW213" s="44"/>
    </row>
    <row r="214" spans="1:49" hidden="1">
      <c r="A214" s="1427" t="s">
        <v>1578</v>
      </c>
      <c r="B214" s="72" t="s">
        <v>1213</v>
      </c>
      <c r="C214" s="425"/>
      <c r="D214" s="1374" t="str">
        <f>IF(Itemized&gt;0,"Itemized "&amp;Your_Age&amp;"-"&amp;End_Itemized&amp;IF(End_Itemized&lt;Your_Age_End," "," ")," ")</f>
        <v xml:space="preserve">Itemized 62-68 </v>
      </c>
      <c r="E214" s="102">
        <f t="shared" si="186"/>
        <v>-203550</v>
      </c>
      <c r="F214" s="88">
        <f>IF(Filing_Status="m",IF(OR(F$7&lt;Single_Rate_Start,Single_Rate_Start=""),-'Tax Tables'!F$102,-'Tax Tables'!F$180),-'Tax Tables'!F$180)*IF(F$7-$F7&lt;=Total_Years-1,1,0)</f>
        <v>-25000</v>
      </c>
      <c r="G214" s="1124">
        <f>IF(Filing_Status="m",IF(OR(G$7&lt;Single_Rate_Start,Single_Rate_Start=""),-'Tax Tables'!G$102,-'Tax Tables'!G$180),-'Tax Tables'!G$180)*IF(G$7-$F7&lt;=Total_Years-1,1,0)</f>
        <v>-26250</v>
      </c>
      <c r="H214" s="1124">
        <f>IF(Filing_Status="m",IF(OR(H$7&lt;Single_Rate_Start,Single_Rate_Start=""),-'Tax Tables'!H$102,-'Tax Tables'!H$180),-'Tax Tables'!H$180)*IF(H$7-$F7&lt;=Total_Years-1,1,0)</f>
        <v>-27550</v>
      </c>
      <c r="I214" s="1124">
        <f>IF(Filing_Status="m",IF(OR(I$7&lt;Single_Rate_Start,Single_Rate_Start=""),-'Tax Tables'!I$102,-'Tax Tables'!I$180),-'Tax Tables'!I$180)*IF(I$7-$F7&lt;=Total_Years-1,1,0)</f>
        <v>-28950</v>
      </c>
      <c r="J214" s="1124">
        <f>IF(Filing_Status="m",IF(OR(J$7&lt;Single_Rate_Start,Single_Rate_Start=""),-'Tax Tables'!J$102,-'Tax Tables'!J$180),-'Tax Tables'!J$180)*IF(J$7-$F7&lt;=Total_Years-1,1,0)</f>
        <v>-30400</v>
      </c>
      <c r="K214" s="1124">
        <f>IF(Filing_Status="m",IF(OR(K$7&lt;Single_Rate_Start,Single_Rate_Start=""),-'Tax Tables'!K$102,-'Tax Tables'!K$180),-'Tax Tables'!K$180)*IF(K$7-$F7&lt;=Total_Years-1,1,0)</f>
        <v>-31900</v>
      </c>
      <c r="L214" s="1124">
        <f>IF(Filing_Status="m",IF(OR(L$7&lt;Single_Rate_Start,Single_Rate_Start=""),-'Tax Tables'!L$102,-'Tax Tables'!L$180),-'Tax Tables'!L$180)*IF(L$7-$F7&lt;=Total_Years-1,1,0)</f>
        <v>-33500</v>
      </c>
      <c r="M214" s="1124">
        <f>IF(Filing_Status="m",IF(OR(M$7&lt;Single_Rate_Start,Single_Rate_Start=""),-'Tax Tables'!M$102,-'Tax Tables'!M$180),-'Tax Tables'!M$180)*IF(M$7-$F7&lt;=Total_Years-1,1,0)</f>
        <v>0</v>
      </c>
      <c r="N214" s="1124">
        <f>IF(Filing_Status="m",IF(OR(N$7&lt;Single_Rate_Start,Single_Rate_Start=""),-'Tax Tables'!N$102,-'Tax Tables'!N$180),-'Tax Tables'!N$180)*IF(N$7-$F7&lt;=Total_Years-1,1,0)</f>
        <v>0</v>
      </c>
      <c r="O214" s="1124">
        <f>IF(Filing_Status="m",IF(OR(O$7&lt;Single_Rate_Start,Single_Rate_Start=""),-'Tax Tables'!O$102,-'Tax Tables'!O$180),-'Tax Tables'!O$180)*IF(O$7-$F7&lt;=Total_Years-1,1,0)</f>
        <v>0</v>
      </c>
      <c r="P214" s="1124">
        <f>IF(Filing_Status="m",IF(OR(P$7&lt;Single_Rate_Start,Single_Rate_Start=""),-'Tax Tables'!P$102,-'Tax Tables'!P$180),-'Tax Tables'!P$180)*IF(P$7-$F7&lt;=Total_Years-1,1,0)</f>
        <v>0</v>
      </c>
      <c r="Q214" s="1124">
        <f>IF(Filing_Status="m",IF(OR(Q$7&lt;Single_Rate_Start,Single_Rate_Start=""),-'Tax Tables'!Q$102,-'Tax Tables'!Q$180),-'Tax Tables'!Q$180)*IF(Q$7-$F7&lt;=Total_Years-1,1,0)</f>
        <v>0</v>
      </c>
      <c r="R214" s="1124">
        <f>IF(Filing_Status="m",IF(OR(R$7&lt;Single_Rate_Start,Single_Rate_Start=""),-'Tax Tables'!R$102,-'Tax Tables'!R$180),-'Tax Tables'!R$180)*IF(R$7-$F7&lt;=Total_Years-1,1,0)</f>
        <v>0</v>
      </c>
      <c r="S214" s="1124">
        <f>IF(Filing_Status="m",IF(OR(S$7&lt;Single_Rate_Start,Single_Rate_Start=""),-'Tax Tables'!S$102,-'Tax Tables'!S$180),-'Tax Tables'!S$180)*IF(S$7-$F7&lt;=Total_Years-1,1,0)</f>
        <v>0</v>
      </c>
      <c r="T214" s="1124">
        <f>IF(Filing_Status="m",IF(OR(T$7&lt;Single_Rate_Start,Single_Rate_Start=""),-'Tax Tables'!T$102,-'Tax Tables'!T$180),-'Tax Tables'!T$180)*IF(T$7-$F7&lt;=Total_Years-1,1,0)</f>
        <v>0</v>
      </c>
      <c r="U214" s="1124">
        <f>IF(Filing_Status="m",IF(OR(U$7&lt;Single_Rate_Start,Single_Rate_Start=""),-'Tax Tables'!U$102,-'Tax Tables'!U$180),-'Tax Tables'!U$180)*IF(U$7-$F7&lt;=Total_Years-1,1,0)</f>
        <v>0</v>
      </c>
      <c r="V214" s="1124">
        <f>IF(Filing_Status="m",IF(OR(V$7&lt;Single_Rate_Start,Single_Rate_Start=""),-'Tax Tables'!V$102,-'Tax Tables'!V$180),-'Tax Tables'!V$180)*IF(V$7-$F7&lt;=Total_Years-1,1,0)</f>
        <v>0</v>
      </c>
      <c r="W214" s="1124">
        <f>IF(Filing_Status="m",IF(OR(W$7&lt;Single_Rate_Start,Single_Rate_Start=""),-'Tax Tables'!W$102,-'Tax Tables'!W$180),-'Tax Tables'!W$180)*IF(W$7-$F7&lt;=Total_Years-1,1,0)</f>
        <v>0</v>
      </c>
      <c r="X214" s="1124">
        <f>IF(Filing_Status="m",IF(OR(X$7&lt;Single_Rate_Start,Single_Rate_Start=""),-'Tax Tables'!X$102,-'Tax Tables'!X$180),-'Tax Tables'!X$180)*IF(X$7-$F7&lt;=Total_Years-1,1,0)</f>
        <v>0</v>
      </c>
      <c r="Y214" s="1124">
        <f>IF(Filing_Status="m",IF(OR(Y$7&lt;Single_Rate_Start,Single_Rate_Start=""),-'Tax Tables'!Y$102,-'Tax Tables'!Y$180),-'Tax Tables'!Y$180)*IF(Y$7-$F7&lt;=Total_Years-1,1,0)</f>
        <v>0</v>
      </c>
      <c r="Z214" s="1124">
        <f>IF(Filing_Status="m",IF(OR(Z$7&lt;Single_Rate_Start,Single_Rate_Start=""),-'Tax Tables'!Z$102,-'Tax Tables'!Z$180),-'Tax Tables'!Z$180)*IF(Z$7-$F7&lt;=Total_Years-1,1,0)</f>
        <v>0</v>
      </c>
      <c r="AA214" s="1124">
        <f>IF(Filing_Status="m",IF(OR(AA$7&lt;Single_Rate_Start,Single_Rate_Start=""),-'Tax Tables'!AA$102,-'Tax Tables'!AA$180),-'Tax Tables'!AA$180)*IF(AA$7-$F7&lt;=Total_Years-1,1,0)</f>
        <v>0</v>
      </c>
      <c r="AB214" s="1124">
        <f>IF(Filing_Status="m",IF(OR(AB$7&lt;Single_Rate_Start,Single_Rate_Start=""),-'Tax Tables'!AB$102,-'Tax Tables'!AB$180),-'Tax Tables'!AB$180)*IF(AB$7-$F7&lt;=Total_Years-1,1,0)</f>
        <v>0</v>
      </c>
      <c r="AC214" s="1124">
        <f>IF(Filing_Status="m",IF(OR(AC$7&lt;Single_Rate_Start,Single_Rate_Start=""),-'Tax Tables'!AC$102,-'Tax Tables'!AC$180),-'Tax Tables'!AC$180)*IF(AC$7-$F7&lt;=Total_Years-1,1,0)</f>
        <v>0</v>
      </c>
      <c r="AD214" s="1124">
        <f>IF(Filing_Status="m",IF(OR(AD$7&lt;Single_Rate_Start,Single_Rate_Start=""),-'Tax Tables'!AD$102,-'Tax Tables'!AD$180),-'Tax Tables'!AD$180)*IF(AD$7-$F7&lt;=Total_Years-1,1,0)</f>
        <v>0</v>
      </c>
      <c r="AE214" s="1124">
        <f>IF(Filing_Status="m",IF(OR(AE$7&lt;Single_Rate_Start,Single_Rate_Start=""),-'Tax Tables'!AE$102,-'Tax Tables'!AE$180),-'Tax Tables'!AE$180)*IF(AE$7-$F7&lt;=Total_Years-1,1,0)</f>
        <v>0</v>
      </c>
      <c r="AF214" s="1124">
        <f>IF(Filing_Status="m",IF(OR(AF$7&lt;Single_Rate_Start,Single_Rate_Start=""),-'Tax Tables'!AF$102,-'Tax Tables'!AF$180),-'Tax Tables'!AF$180)*IF(AF$7-$F7&lt;=Total_Years-1,1,0)</f>
        <v>0</v>
      </c>
      <c r="AG214" s="1124">
        <f>IF(Filing_Status="m",IF(OR(AG$7&lt;Single_Rate_Start,Single_Rate_Start=""),-'Tax Tables'!AG$102,-'Tax Tables'!AG$180),-'Tax Tables'!AG$180)*IF(AG$7-$F7&lt;=Total_Years-1,1,0)</f>
        <v>0</v>
      </c>
      <c r="AH214" s="1124">
        <f>IF(Filing_Status="m",IF(OR(AH$7&lt;Single_Rate_Start,Single_Rate_Start=""),-'Tax Tables'!AH$102,-'Tax Tables'!AH$180),-'Tax Tables'!AH$180)*IF(AH$7-$F7&lt;=Total_Years-1,1,0)</f>
        <v>0</v>
      </c>
      <c r="AI214" s="1124">
        <f>IF(Filing_Status="m",IF(OR(AI$7&lt;Single_Rate_Start,Single_Rate_Start=""),-'Tax Tables'!AI$102,-'Tax Tables'!AI$180),-'Tax Tables'!AI$180)*IF(AI$7-$F7&lt;=Total_Years-1,1,0)</f>
        <v>0</v>
      </c>
      <c r="AJ214" s="1124">
        <f>IF(Filing_Status="m",IF(OR(AJ$7&lt;Single_Rate_Start,Single_Rate_Start=""),-'Tax Tables'!AJ$102,-'Tax Tables'!AJ$180),-'Tax Tables'!AJ$180)*IF(AJ$7-$F7&lt;=Total_Years-1,1,0)</f>
        <v>0</v>
      </c>
      <c r="AK214" s="1124">
        <f>IF(Filing_Status="m",IF(OR(AK$7&lt;Single_Rate_Start,Single_Rate_Start=""),-'Tax Tables'!AK$102,-'Tax Tables'!AK$180),-'Tax Tables'!AK$180)*IF(AK$7-$F7&lt;=Total_Years-1,1,0)</f>
        <v>0</v>
      </c>
      <c r="AL214" s="1124">
        <f>IF(Filing_Status="m",IF(OR(AL$7&lt;Single_Rate_Start,Single_Rate_Start=""),-'Tax Tables'!AL$102,-'Tax Tables'!AL$180),-'Tax Tables'!AL$180)*IF(AL$7-$F7&lt;=Total_Years-1,1,0)</f>
        <v>0</v>
      </c>
      <c r="AM214" s="1124">
        <f>IF(Filing_Status="m",IF(OR(AM$7&lt;Single_Rate_Start,Single_Rate_Start=""),-'Tax Tables'!AM$102,-'Tax Tables'!AM$180),-'Tax Tables'!AM$180)*IF(AM$7-$F7&lt;=Total_Years-1,1,0)</f>
        <v>0</v>
      </c>
      <c r="AN214" s="1124">
        <f>IF(Filing_Status="m",IF(OR(AN$7&lt;Single_Rate_Start,Single_Rate_Start=""),-'Tax Tables'!AN$102,-'Tax Tables'!AN$180),-'Tax Tables'!AN$180)*IF(AN$7-$F7&lt;=Total_Years-1,1,0)</f>
        <v>0</v>
      </c>
      <c r="AO214" s="1124">
        <f>IF(Filing_Status="m",IF(OR(AO$7&lt;Single_Rate_Start,Single_Rate_Start=""),-'Tax Tables'!AO$102,-'Tax Tables'!AO$180),-'Tax Tables'!AO$180)*IF(AO$7-$F7&lt;=Total_Years-1,1,0)</f>
        <v>0</v>
      </c>
      <c r="AP214" s="1124">
        <f>IF(Filing_Status="m",IF(OR(AP$7&lt;Single_Rate_Start,Single_Rate_Start=""),-'Tax Tables'!AP$102,-'Tax Tables'!AP$180),-'Tax Tables'!AP$180)*IF(AP$7-$F7&lt;=Total_Years-1,1,0)</f>
        <v>0</v>
      </c>
      <c r="AQ214" s="1124">
        <f>IF(Filing_Status="m",IF(OR(AQ$7&lt;Single_Rate_Start,Single_Rate_Start=""),-'Tax Tables'!AQ$102,-'Tax Tables'!AQ$180),-'Tax Tables'!AQ$180)*IF(AQ$7-$F7&lt;=Total_Years-1,1,0)</f>
        <v>0</v>
      </c>
      <c r="AR214" s="1124">
        <f>IF(Filing_Status="m",IF(OR(AR$7&lt;Single_Rate_Start,Single_Rate_Start=""),-'Tax Tables'!AR$102,-'Tax Tables'!AR$180),-'Tax Tables'!AR$180)*IF(AR$7-$F7&lt;=Total_Years-1,1,0)</f>
        <v>0</v>
      </c>
      <c r="AS214" s="1124">
        <f>IF(Filing_Status="m",IF(OR(AS$7&lt;Single_Rate_Start,Single_Rate_Start=""),-'Tax Tables'!AS$102,-'Tax Tables'!AS$180),-'Tax Tables'!AS$180)*IF(AS$7-$F7&lt;=Total_Years-1,1,0)</f>
        <v>0</v>
      </c>
      <c r="AT214" s="88"/>
      <c r="AU214" s="15">
        <f>+Base!E214</f>
        <v>-203550</v>
      </c>
      <c r="AV214" s="103">
        <f>+E214-AU214</f>
        <v>0</v>
      </c>
      <c r="AW214" s="44"/>
    </row>
    <row r="215" spans="1:49" hidden="1">
      <c r="A215" s="1427" t="s">
        <v>1578</v>
      </c>
      <c r="B215" s="72" t="s">
        <v>1345</v>
      </c>
      <c r="C215" s="425"/>
      <c r="D215" s="968"/>
      <c r="E215" s="102">
        <f t="shared" si="186"/>
        <v>-381850</v>
      </c>
      <c r="F215" s="88">
        <f>IF(OR(State_Move_Age&gt;F$4,State_Move_Age=0),-'Tax Tables'!F$255,-'Tax Tables'!F$262)</f>
        <v>-10000</v>
      </c>
      <c r="G215" s="1124">
        <f>IF(OR(State_Move_Age&gt;G$4,State_Move_Age=0),-'Tax Tables'!G$255,-'Tax Tables'!G$262)</f>
        <v>-10200</v>
      </c>
      <c r="H215" s="1124">
        <f>IF(OR(State_Move_Age&gt;H$4,State_Move_Age=0),-'Tax Tables'!H$255,-'Tax Tables'!H$262)</f>
        <v>-10400</v>
      </c>
      <c r="I215" s="1124">
        <f>IF(OR(State_Move_Age&gt;I$4,State_Move_Age=0),-'Tax Tables'!I$255,-'Tax Tables'!I$262)</f>
        <v>-10650</v>
      </c>
      <c r="J215" s="1124">
        <f>IF(OR(State_Move_Age&gt;J$4,State_Move_Age=0),-'Tax Tables'!J$255,-'Tax Tables'!J$262)</f>
        <v>-10900</v>
      </c>
      <c r="K215" s="1124">
        <f>IF(OR(State_Move_Age&gt;K$4,State_Move_Age=0),-'Tax Tables'!K$255,-'Tax Tables'!K$262)</f>
        <v>-11150</v>
      </c>
      <c r="L215" s="1124">
        <f>IF(OR(State_Move_Age&gt;L$4,State_Move_Age=0),-'Tax Tables'!L$255,-'Tax Tables'!L$262)</f>
        <v>-11400</v>
      </c>
      <c r="M215" s="1124">
        <f>IF(OR(State_Move_Age&gt;M$4,State_Move_Age=0),-'Tax Tables'!M$255,-'Tax Tables'!M$262)</f>
        <v>-11650</v>
      </c>
      <c r="N215" s="1124">
        <f>IF(OR(State_Move_Age&gt;N$4,State_Move_Age=0),-'Tax Tables'!N$255,-'Tax Tables'!N$262)</f>
        <v>-11900</v>
      </c>
      <c r="O215" s="1124">
        <f>IF(OR(State_Move_Age&gt;O$4,State_Move_Age=0),-'Tax Tables'!O$255,-'Tax Tables'!O$262)</f>
        <v>-12150</v>
      </c>
      <c r="P215" s="1124">
        <f>IF(OR(State_Move_Age&gt;P$4,State_Move_Age=0),-'Tax Tables'!P$255,-'Tax Tables'!P$262)</f>
        <v>-12400</v>
      </c>
      <c r="Q215" s="1124">
        <f>IF(OR(State_Move_Age&gt;Q$4,State_Move_Age=0),-'Tax Tables'!Q$255,-'Tax Tables'!Q$262)</f>
        <v>-12650</v>
      </c>
      <c r="R215" s="1124">
        <f>IF(OR(State_Move_Age&gt;R$4,State_Move_Age=0),-'Tax Tables'!R$255,-'Tax Tables'!R$262)</f>
        <v>-12950</v>
      </c>
      <c r="S215" s="1124">
        <f>IF(OR(State_Move_Age&gt;S$4,State_Move_Age=0),-'Tax Tables'!S$255,-'Tax Tables'!S$262)</f>
        <v>-13250</v>
      </c>
      <c r="T215" s="1124">
        <f>IF(OR(State_Move_Age&gt;T$4,State_Move_Age=0),-'Tax Tables'!T$255,-'Tax Tables'!T$262)</f>
        <v>-13550</v>
      </c>
      <c r="U215" s="1124">
        <f>IF(OR(State_Move_Age&gt;U$4,State_Move_Age=0),-'Tax Tables'!U$255,-'Tax Tables'!U$262)</f>
        <v>-13850</v>
      </c>
      <c r="V215" s="1124">
        <f>IF(OR(State_Move_Age&gt;V$4,State_Move_Age=0),-'Tax Tables'!V$255,-'Tax Tables'!V$262)</f>
        <v>-14150</v>
      </c>
      <c r="W215" s="1124">
        <f>IF(OR(State_Move_Age&gt;W$4,State_Move_Age=0),-'Tax Tables'!W$255,-'Tax Tables'!W$262)</f>
        <v>-14450</v>
      </c>
      <c r="X215" s="1124">
        <f>IF(OR(State_Move_Age&gt;X$4,State_Move_Age=0),-'Tax Tables'!X$255,-'Tax Tables'!X$262)</f>
        <v>-14750</v>
      </c>
      <c r="Y215" s="1124">
        <f>IF(OR(State_Move_Age&gt;Y$4,State_Move_Age=0),-'Tax Tables'!Y$255,-'Tax Tables'!Y$262)</f>
        <v>-15050</v>
      </c>
      <c r="Z215" s="1124">
        <f>IF(OR(State_Move_Age&gt;Z$4,State_Move_Age=0),-'Tax Tables'!Z$255,-'Tax Tables'!Z$262)</f>
        <v>-15400</v>
      </c>
      <c r="AA215" s="1124">
        <f>IF(OR(State_Move_Age&gt;AA$4,State_Move_Age=0),-'Tax Tables'!AA$255,-'Tax Tables'!AA$262)</f>
        <v>-15750</v>
      </c>
      <c r="AB215" s="1124">
        <f>IF(OR(State_Move_Age&gt;AB$4,State_Move_Age=0),-'Tax Tables'!AB$255,-'Tax Tables'!AB$262)</f>
        <v>-19350</v>
      </c>
      <c r="AC215" s="1124">
        <f>IF(OR(State_Move_Age&gt;AC$4,State_Move_Age=0),-'Tax Tables'!AC$255,-'Tax Tables'!AC$262)</f>
        <v>-19800</v>
      </c>
      <c r="AD215" s="1124">
        <f>IF(OR(State_Move_Age&gt;AD$4,State_Move_Age=0),-'Tax Tables'!AD$255,-'Tax Tables'!AD$262)</f>
        <v>-10100</v>
      </c>
      <c r="AE215" s="1124">
        <f>IF(OR(State_Move_Age&gt;AE$4,State_Move_Age=0),-'Tax Tables'!AE$255,-'Tax Tables'!AE$262)</f>
        <v>-10300</v>
      </c>
      <c r="AF215" s="1124">
        <f>IF(OR(State_Move_Age&gt;AF$4,State_Move_Age=0),-'Tax Tables'!AF$255,-'Tax Tables'!AF$262)</f>
        <v>-10550</v>
      </c>
      <c r="AG215" s="1124">
        <f>IF(OR(State_Move_Age&gt;AG$4,State_Move_Age=0),-'Tax Tables'!AG$255,-'Tax Tables'!AG$262)</f>
        <v>-10800</v>
      </c>
      <c r="AH215" s="1124">
        <f>IF(OR(State_Move_Age&gt;AH$4,State_Move_Age=0),-'Tax Tables'!AH$255,-'Tax Tables'!AH$262)</f>
        <v>-11050</v>
      </c>
      <c r="AI215" s="1124">
        <f>IF(OR(State_Move_Age&gt;AI$4,State_Move_Age=0),-'Tax Tables'!AI$255,-'Tax Tables'!AI$262)</f>
        <v>-11300</v>
      </c>
      <c r="AJ215" s="1124">
        <f>IF(OR(State_Move_Age&gt;AJ$4,State_Move_Age=0),-'Tax Tables'!AJ$255,-'Tax Tables'!AJ$262)</f>
        <v>0</v>
      </c>
      <c r="AK215" s="1124">
        <f>IF(OR(State_Move_Age&gt;AK$4,State_Move_Age=0),-'Tax Tables'!AK$255,-'Tax Tables'!AK$262)</f>
        <v>0</v>
      </c>
      <c r="AL215" s="1124">
        <f>IF(OR(State_Move_Age&gt;AL$4,State_Move_Age=0),-'Tax Tables'!AL$255,-'Tax Tables'!AL$262)</f>
        <v>0</v>
      </c>
      <c r="AM215" s="1124">
        <f>IF(OR(State_Move_Age&gt;AM$4,State_Move_Age=0),-'Tax Tables'!AM$255,-'Tax Tables'!AM$262)</f>
        <v>0</v>
      </c>
      <c r="AN215" s="1124">
        <f>IF(OR(State_Move_Age&gt;AN$4,State_Move_Age=0),-'Tax Tables'!AN$255,-'Tax Tables'!AN$262)</f>
        <v>0</v>
      </c>
      <c r="AO215" s="1124">
        <f>IF(OR(State_Move_Age&gt;AO$4,State_Move_Age=0),-'Tax Tables'!AO$255,-'Tax Tables'!AO$262)</f>
        <v>0</v>
      </c>
      <c r="AP215" s="1124">
        <f>IF(OR(State_Move_Age&gt;AP$4,State_Move_Age=0),-'Tax Tables'!AP$255,-'Tax Tables'!AP$262)</f>
        <v>0</v>
      </c>
      <c r="AQ215" s="1124">
        <f>IF(OR(State_Move_Age&gt;AQ$4,State_Move_Age=0),-'Tax Tables'!AQ$255,-'Tax Tables'!AQ$262)</f>
        <v>0</v>
      </c>
      <c r="AR215" s="1124">
        <f>IF(OR(State_Move_Age&gt;AR$4,State_Move_Age=0),-'Tax Tables'!AR$255,-'Tax Tables'!AR$262)</f>
        <v>0</v>
      </c>
      <c r="AS215" s="1124">
        <f>IF(OR(State_Move_Age&gt;AS$4,State_Move_Age=0),-'Tax Tables'!AS$255,-'Tax Tables'!AS$262)</f>
        <v>0</v>
      </c>
      <c r="AT215" s="88"/>
      <c r="AU215" s="15">
        <f>+Base!E215</f>
        <v>-381850</v>
      </c>
      <c r="AV215" s="103">
        <f>+E215-AU215</f>
        <v>0</v>
      </c>
      <c r="AW215" s="44"/>
    </row>
    <row r="216" spans="1:49">
      <c r="A216" s="1425"/>
      <c r="B216" s="634" t="s">
        <v>936</v>
      </c>
      <c r="C216" s="3"/>
      <c r="D216" s="1374" t="str">
        <f>IF(State_Deduct="i","State1: Fed","State1 std ded") &amp; IF(State2_Deduct="i","-State2 Fed","-State2: std ded")</f>
        <v>State1: Fed-State2: std ded</v>
      </c>
      <c r="E216" s="102">
        <f t="shared" si="186"/>
        <v>-510700</v>
      </c>
      <c r="F216" s="88">
        <f>IF(State_Move_Age=0,-'Tax Tables'!F258,IF(AND(State_Move_Age&gt;F$4,State_Move_Age&lt;&gt;0),-'Tax Tables'!F258,-'Tax Tables'!F265))</f>
        <v>-25000</v>
      </c>
      <c r="G216" s="1124">
        <f>IF(State_Move_Age=0,-'Tax Tables'!G258,IF(AND(State_Move_Age&gt;G$4,State_Move_Age&lt;&gt;0),-'Tax Tables'!G258,-'Tax Tables'!G265))</f>
        <v>-26250</v>
      </c>
      <c r="H216" s="1124">
        <f>IF(State_Move_Age=0,-'Tax Tables'!H258,IF(AND(State_Move_Age&gt;H$4,State_Move_Age&lt;&gt;0),-'Tax Tables'!H258,-'Tax Tables'!H265))</f>
        <v>-27550</v>
      </c>
      <c r="I216" s="1124">
        <f>IF(State_Move_Age=0,-'Tax Tables'!I258,IF(AND(State_Move_Age&gt;I$4,State_Move_Age&lt;&gt;0),-'Tax Tables'!I258,-'Tax Tables'!I265))</f>
        <v>-28950</v>
      </c>
      <c r="J216" s="1124">
        <f>IF(State_Move_Age=0,-'Tax Tables'!J258,IF(AND(State_Move_Age&gt;J$4,State_Move_Age&lt;&gt;0),-'Tax Tables'!J258,-'Tax Tables'!J265))</f>
        <v>-30400</v>
      </c>
      <c r="K216" s="1124">
        <f>IF(State_Move_Age=0,-'Tax Tables'!K258,IF(AND(State_Move_Age&gt;K$4,State_Move_Age&lt;&gt;0),-'Tax Tables'!K258,-'Tax Tables'!K265))</f>
        <v>-31900</v>
      </c>
      <c r="L216" s="1124">
        <f>IF(State_Move_Age=0,-'Tax Tables'!L258,IF(AND(State_Move_Age&gt;L$4,State_Move_Age&lt;&gt;0),-'Tax Tables'!L258,-'Tax Tables'!L265))</f>
        <v>-33500</v>
      </c>
      <c r="M216" s="1124">
        <f>IF(State_Move_Age=0,-'Tax Tables'!M258,IF(AND(State_Move_Age&gt;M$4,State_Move_Age&lt;&gt;0),-'Tax Tables'!M258,-'Tax Tables'!M265))</f>
        <v>-11650</v>
      </c>
      <c r="N216" s="1124">
        <f>IF(State_Move_Age=0,-'Tax Tables'!N258,IF(AND(State_Move_Age&gt;N$4,State_Move_Age&lt;&gt;0),-'Tax Tables'!N258,-'Tax Tables'!N265))</f>
        <v>-11900</v>
      </c>
      <c r="O216" s="1124">
        <f>IF(State_Move_Age=0,-'Tax Tables'!O258,IF(AND(State_Move_Age&gt;O$4,State_Move_Age&lt;&gt;0),-'Tax Tables'!O258,-'Tax Tables'!O265))</f>
        <v>-12150</v>
      </c>
      <c r="P216" s="1124">
        <f>IF(State_Move_Age=0,-'Tax Tables'!P258,IF(AND(State_Move_Age&gt;P$4,State_Move_Age&lt;&gt;0),-'Tax Tables'!P258,-'Tax Tables'!P265))</f>
        <v>-12400</v>
      </c>
      <c r="Q216" s="1124">
        <f>IF(State_Move_Age=0,-'Tax Tables'!Q258,IF(AND(State_Move_Age&gt;Q$4,State_Move_Age&lt;&gt;0),-'Tax Tables'!Q258,-'Tax Tables'!Q265))</f>
        <v>-12650</v>
      </c>
      <c r="R216" s="1124">
        <f>IF(State_Move_Age=0,-'Tax Tables'!R258,IF(AND(State_Move_Age&gt;R$4,State_Move_Age&lt;&gt;0),-'Tax Tables'!R258,-'Tax Tables'!R265))</f>
        <v>-12950</v>
      </c>
      <c r="S216" s="1124">
        <f>IF(State_Move_Age=0,-'Tax Tables'!S258,IF(AND(State_Move_Age&gt;S$4,State_Move_Age&lt;&gt;0),-'Tax Tables'!S258,-'Tax Tables'!S265))</f>
        <v>-13250</v>
      </c>
      <c r="T216" s="1124">
        <f>IF(State_Move_Age=0,-'Tax Tables'!T258,IF(AND(State_Move_Age&gt;T$4,State_Move_Age&lt;&gt;0),-'Tax Tables'!T258,-'Tax Tables'!T265))</f>
        <v>-13550</v>
      </c>
      <c r="U216" s="1124">
        <f>IF(State_Move_Age=0,-'Tax Tables'!U258,IF(AND(State_Move_Age&gt;U$4,State_Move_Age&lt;&gt;0),-'Tax Tables'!U258,-'Tax Tables'!U265))</f>
        <v>-13850</v>
      </c>
      <c r="V216" s="1124">
        <f>IF(State_Move_Age=0,-'Tax Tables'!V258,IF(AND(State_Move_Age&gt;V$4,State_Move_Age&lt;&gt;0),-'Tax Tables'!V258,-'Tax Tables'!V265))</f>
        <v>-14150</v>
      </c>
      <c r="W216" s="1124">
        <f>IF(State_Move_Age=0,-'Tax Tables'!W258,IF(AND(State_Move_Age&gt;W$4,State_Move_Age&lt;&gt;0),-'Tax Tables'!W258,-'Tax Tables'!W265))</f>
        <v>-14450</v>
      </c>
      <c r="X216" s="1124">
        <f>IF(State_Move_Age=0,-'Tax Tables'!X258,IF(AND(State_Move_Age&gt;X$4,State_Move_Age&lt;&gt;0),-'Tax Tables'!X258,-'Tax Tables'!X265))</f>
        <v>-14750</v>
      </c>
      <c r="Y216" s="1124">
        <f>IF(State_Move_Age=0,-'Tax Tables'!Y258,IF(AND(State_Move_Age&gt;Y$4,State_Move_Age&lt;&gt;0),-'Tax Tables'!Y258,-'Tax Tables'!Y265))</f>
        <v>-15050</v>
      </c>
      <c r="Z216" s="1124">
        <f>IF(State_Move_Age=0,-'Tax Tables'!Z258,IF(AND(State_Move_Age&gt;Z$4,State_Move_Age&lt;&gt;0),-'Tax Tables'!Z258,-'Tax Tables'!Z265))</f>
        <v>-15400</v>
      </c>
      <c r="AA216" s="1124">
        <f>IF(State_Move_Age=0,-'Tax Tables'!AA258,IF(AND(State_Move_Age&gt;AA$4,State_Move_Age&lt;&gt;0),-'Tax Tables'!AA258,-'Tax Tables'!AA265))</f>
        <v>-15750</v>
      </c>
      <c r="AB216" s="1124">
        <f>IF(State_Move_Age=0,-'Tax Tables'!AB258,IF(AND(State_Move_Age&gt;AB$4,State_Move_Age&lt;&gt;0),-'Tax Tables'!AB258,-'Tax Tables'!AB265))</f>
        <v>-19350</v>
      </c>
      <c r="AC216" s="1124">
        <f>IF(State_Move_Age=0,-'Tax Tables'!AC258,IF(AND(State_Move_Age&gt;AC$4,State_Move_Age&lt;&gt;0),-'Tax Tables'!AC258,-'Tax Tables'!AC265))</f>
        <v>-19800</v>
      </c>
      <c r="AD216" s="1124">
        <f>IF(State_Move_Age=0,-'Tax Tables'!AD258,IF(AND(State_Move_Age&gt;AD$4,State_Move_Age&lt;&gt;0),-'Tax Tables'!AD258,-'Tax Tables'!AD265))</f>
        <v>-10100</v>
      </c>
      <c r="AE216" s="1124">
        <f>IF(State_Move_Age=0,-'Tax Tables'!AE258,IF(AND(State_Move_Age&gt;AE$4,State_Move_Age&lt;&gt;0),-'Tax Tables'!AE258,-'Tax Tables'!AE265))</f>
        <v>-10300</v>
      </c>
      <c r="AF216" s="1124">
        <f>IF(State_Move_Age=0,-'Tax Tables'!AF258,IF(AND(State_Move_Age&gt;AF$4,State_Move_Age&lt;&gt;0),-'Tax Tables'!AF258,-'Tax Tables'!AF265))</f>
        <v>-10550</v>
      </c>
      <c r="AG216" s="1124">
        <f>IF(State_Move_Age=0,-'Tax Tables'!AG258,IF(AND(State_Move_Age&gt;AG$4,State_Move_Age&lt;&gt;0),-'Tax Tables'!AG258,-'Tax Tables'!AG265))</f>
        <v>-10800</v>
      </c>
      <c r="AH216" s="1124">
        <f>IF(State_Move_Age=0,-'Tax Tables'!AH258,IF(AND(State_Move_Age&gt;AH$4,State_Move_Age&lt;&gt;0),-'Tax Tables'!AH258,-'Tax Tables'!AH265))</f>
        <v>-11050</v>
      </c>
      <c r="AI216" s="1124">
        <f>IF(State_Move_Age=0,-'Tax Tables'!AI258,IF(AND(State_Move_Age&gt;AI$4,State_Move_Age&lt;&gt;0),-'Tax Tables'!AI258,-'Tax Tables'!AI265))</f>
        <v>-11300</v>
      </c>
      <c r="AJ216" s="1124">
        <f>IF(State_Move_Age=0,-'Tax Tables'!AJ258,IF(AND(State_Move_Age&gt;AJ$4,State_Move_Age&lt;&gt;0),-'Tax Tables'!AJ258,-'Tax Tables'!AJ265))</f>
        <v>0</v>
      </c>
      <c r="AK216" s="1124">
        <f>IF(State_Move_Age=0,-'Tax Tables'!AK258,IF(AND(State_Move_Age&gt;AK$4,State_Move_Age&lt;&gt;0),-'Tax Tables'!AK258,-'Tax Tables'!AK265))</f>
        <v>0</v>
      </c>
      <c r="AL216" s="1124">
        <f>IF(State_Move_Age=0,-'Tax Tables'!AL258,IF(AND(State_Move_Age&gt;AL$4,State_Move_Age&lt;&gt;0),-'Tax Tables'!AL258,-'Tax Tables'!AL265))</f>
        <v>0</v>
      </c>
      <c r="AM216" s="1124">
        <f>IF(State_Move_Age=0,-'Tax Tables'!AM258,IF(AND(State_Move_Age&gt;AM$4,State_Move_Age&lt;&gt;0),-'Tax Tables'!AM258,-'Tax Tables'!AM265))</f>
        <v>0</v>
      </c>
      <c r="AN216" s="1124">
        <f>IF(State_Move_Age=0,-'Tax Tables'!AN258,IF(AND(State_Move_Age&gt;AN$4,State_Move_Age&lt;&gt;0),-'Tax Tables'!AN258,-'Tax Tables'!AN265))</f>
        <v>0</v>
      </c>
      <c r="AO216" s="1124">
        <f>IF(State_Move_Age=0,-'Tax Tables'!AO258,IF(AND(State_Move_Age&gt;AO$4,State_Move_Age&lt;&gt;0),-'Tax Tables'!AO258,-'Tax Tables'!AO265))</f>
        <v>0</v>
      </c>
      <c r="AP216" s="1124">
        <f>IF(State_Move_Age=0,-'Tax Tables'!AP258,IF(AND(State_Move_Age&gt;AP$4,State_Move_Age&lt;&gt;0),-'Tax Tables'!AP258,-'Tax Tables'!AP265))</f>
        <v>0</v>
      </c>
      <c r="AQ216" s="1124">
        <f>IF(State_Move_Age=0,-'Tax Tables'!AQ258,IF(AND(State_Move_Age&gt;AQ$4,State_Move_Age&lt;&gt;0),-'Tax Tables'!AQ258,-'Tax Tables'!AQ265))</f>
        <v>0</v>
      </c>
      <c r="AR216" s="1124">
        <f>IF(State_Move_Age=0,-'Tax Tables'!AR258,IF(AND(State_Move_Age&gt;AR$4,State_Move_Age&lt;&gt;0),-'Tax Tables'!AR258,-'Tax Tables'!AR265))</f>
        <v>0</v>
      </c>
      <c r="AS216" s="1124">
        <f>IF(State_Move_Age=0,-'Tax Tables'!AS258,IF(AND(State_Move_Age&gt;AS$4,State_Move_Age&lt;&gt;0),-'Tax Tables'!AS258,-'Tax Tables'!AS265))</f>
        <v>0</v>
      </c>
      <c r="AT216" s="88"/>
      <c r="AU216" s="15">
        <f>+Base!E216</f>
        <v>-510700</v>
      </c>
      <c r="AV216" s="103">
        <f t="shared" si="188"/>
        <v>0</v>
      </c>
      <c r="AW216" s="44"/>
    </row>
    <row r="217" spans="1:49">
      <c r="A217" s="1425"/>
      <c r="B217" s="72" t="s">
        <v>969</v>
      </c>
      <c r="C217" s="3"/>
      <c r="D217" s="1069" t="str">
        <f>IF(Esc_Fed_Ded="n","Escalation turned off",".")</f>
        <v>.</v>
      </c>
      <c r="E217" s="34">
        <f t="shared" si="186"/>
        <v>-180550</v>
      </c>
      <c r="F217" s="38">
        <f>IF(OR(State_Move_Age&gt;F$4,State_Move_Age=0),-'Tax Tables'!F254,-'Tax Tables'!F261)</f>
        <v>-4000</v>
      </c>
      <c r="G217" s="1125">
        <f>IF(OR(State_Move_Age&gt;G$4,State_Move_Age=0),-'Tax Tables'!G254,-'Tax Tables'!G261)</f>
        <v>-4100</v>
      </c>
      <c r="H217" s="1125">
        <f>IF(OR(State_Move_Age&gt;H$4,State_Move_Age=0),-'Tax Tables'!H254,-'Tax Tables'!H261)</f>
        <v>-4200</v>
      </c>
      <c r="I217" s="1125">
        <f>IF(OR(State_Move_Age&gt;I$4,State_Move_Age=0),-'Tax Tables'!I254,-'Tax Tables'!I261)</f>
        <v>-4300</v>
      </c>
      <c r="J217" s="1125">
        <f>IF(OR(State_Move_Age&gt;J$4,State_Move_Age=0),-'Tax Tables'!J254,-'Tax Tables'!J261)</f>
        <v>-4400</v>
      </c>
      <c r="K217" s="1125">
        <f>IF(OR(State_Move_Age&gt;K$4,State_Move_Age=0),-'Tax Tables'!K254,-'Tax Tables'!K261)</f>
        <v>-4500</v>
      </c>
      <c r="L217" s="1125">
        <f>IF(OR(State_Move_Age&gt;L$4,State_Move_Age=0),-'Tax Tables'!L254,-'Tax Tables'!L261)</f>
        <v>-4600</v>
      </c>
      <c r="M217" s="1125">
        <f>IF(OR(State_Move_Age&gt;M$4,State_Move_Age=0),-'Tax Tables'!M254,-'Tax Tables'!M261)</f>
        <v>-4700</v>
      </c>
      <c r="N217" s="1125">
        <f>IF(OR(State_Move_Age&gt;N$4,State_Move_Age=0),-'Tax Tables'!N254,-'Tax Tables'!N261)</f>
        <v>-4800</v>
      </c>
      <c r="O217" s="1125">
        <f>IF(OR(State_Move_Age&gt;O$4,State_Move_Age=0),-'Tax Tables'!O254,-'Tax Tables'!O261)</f>
        <v>-4900</v>
      </c>
      <c r="P217" s="1125">
        <f>IF(OR(State_Move_Age&gt;P$4,State_Move_Age=0),-'Tax Tables'!P254,-'Tax Tables'!P261)</f>
        <v>-5000</v>
      </c>
      <c r="Q217" s="1125">
        <f>IF(OR(State_Move_Age&gt;Q$4,State_Move_Age=0),-'Tax Tables'!Q254,-'Tax Tables'!Q261)</f>
        <v>-5100</v>
      </c>
      <c r="R217" s="1125">
        <f>IF(OR(State_Move_Age&gt;R$4,State_Move_Age=0),-'Tax Tables'!R254,-'Tax Tables'!R261)</f>
        <v>-5200</v>
      </c>
      <c r="S217" s="1125">
        <f>IF(OR(State_Move_Age&gt;S$4,State_Move_Age=0),-'Tax Tables'!S254,-'Tax Tables'!S261)</f>
        <v>-5300</v>
      </c>
      <c r="T217" s="1125">
        <f>IF(OR(State_Move_Age&gt;T$4,State_Move_Age=0),-'Tax Tables'!T254,-'Tax Tables'!T261)</f>
        <v>-5400</v>
      </c>
      <c r="U217" s="1125">
        <f>IF(OR(State_Move_Age&gt;U$4,State_Move_Age=0),-'Tax Tables'!U254,-'Tax Tables'!U261)</f>
        <v>-5500</v>
      </c>
      <c r="V217" s="1125">
        <f>IF(OR(State_Move_Age&gt;V$4,State_Move_Age=0),-'Tax Tables'!V254,-'Tax Tables'!V261)</f>
        <v>-5600</v>
      </c>
      <c r="W217" s="1125">
        <f>IF(OR(State_Move_Age&gt;W$4,State_Move_Age=0),-'Tax Tables'!W254,-'Tax Tables'!W261)</f>
        <v>-5700</v>
      </c>
      <c r="X217" s="1125">
        <f>IF(OR(State_Move_Age&gt;X$4,State_Move_Age=0),-'Tax Tables'!X254,-'Tax Tables'!X261)</f>
        <v>-5850</v>
      </c>
      <c r="Y217" s="1125">
        <f>IF(OR(State_Move_Age&gt;Y$4,State_Move_Age=0),-'Tax Tables'!Y254,-'Tax Tables'!Y261)</f>
        <v>-6000</v>
      </c>
      <c r="Z217" s="1125">
        <f>IF(OR(State_Move_Age&gt;Z$4,State_Move_Age=0),-'Tax Tables'!Z254,-'Tax Tables'!Z261)</f>
        <v>-6150</v>
      </c>
      <c r="AA217" s="1125">
        <f>IF(OR(State_Move_Age&gt;AA$4,State_Move_Age=0),-'Tax Tables'!AA254,-'Tax Tables'!AA261)</f>
        <v>-6300</v>
      </c>
      <c r="AB217" s="1125">
        <f>IF(OR(State_Move_Age&gt;AB$4,State_Move_Age=0),-'Tax Tables'!AB254,-'Tax Tables'!AB261)</f>
        <v>-12950</v>
      </c>
      <c r="AC217" s="1125">
        <f>IF(OR(State_Move_Age&gt;AC$4,State_Move_Age=0),-'Tax Tables'!AC254,-'Tax Tables'!AC261)</f>
        <v>-13250</v>
      </c>
      <c r="AD217" s="1125">
        <f>IF(OR(State_Move_Age&gt;AD$4,State_Move_Age=0),-'Tax Tables'!AD254,-'Tax Tables'!AD261)</f>
        <v>-6750</v>
      </c>
      <c r="AE217" s="1125">
        <f>IF(OR(State_Move_Age&gt;AE$4,State_Move_Age=0),-'Tax Tables'!AE254,-'Tax Tables'!AE261)</f>
        <v>-6900</v>
      </c>
      <c r="AF217" s="1125">
        <f>IF(OR(State_Move_Age&gt;AF$4,State_Move_Age=0),-'Tax Tables'!AF254,-'Tax Tables'!AF261)</f>
        <v>-7050</v>
      </c>
      <c r="AG217" s="1125">
        <f>IF(OR(State_Move_Age&gt;AG$4,State_Move_Age=0),-'Tax Tables'!AG254,-'Tax Tables'!AG261)</f>
        <v>-7200</v>
      </c>
      <c r="AH217" s="1125">
        <f>IF(OR(State_Move_Age&gt;AH$4,State_Move_Age=0),-'Tax Tables'!AH254,-'Tax Tables'!AH261)</f>
        <v>-7350</v>
      </c>
      <c r="AI217" s="1125">
        <f>IF(OR(State_Move_Age&gt;AI$4,State_Move_Age=0),-'Tax Tables'!AI254,-'Tax Tables'!AI261)</f>
        <v>-7500</v>
      </c>
      <c r="AJ217" s="1125">
        <f>IF(OR(State_Move_Age&gt;AJ$4,State_Move_Age=0),-'Tax Tables'!AJ254,-'Tax Tables'!AJ261)</f>
        <v>0</v>
      </c>
      <c r="AK217" s="1125">
        <f>IF(OR(State_Move_Age&gt;AK$4,State_Move_Age=0),-'Tax Tables'!AK254,-'Tax Tables'!AK261)</f>
        <v>0</v>
      </c>
      <c r="AL217" s="1125">
        <f>IF(OR(State_Move_Age&gt;AL$4,State_Move_Age=0),-'Tax Tables'!AL254,-'Tax Tables'!AL261)</f>
        <v>0</v>
      </c>
      <c r="AM217" s="1125">
        <f>IF(OR(State_Move_Age&gt;AM$4,State_Move_Age=0),-'Tax Tables'!AM254,-'Tax Tables'!AM261)</f>
        <v>0</v>
      </c>
      <c r="AN217" s="1125">
        <f>IF(OR(State_Move_Age&gt;AN$4,State_Move_Age=0),-'Tax Tables'!AN254,-'Tax Tables'!AN261)</f>
        <v>0</v>
      </c>
      <c r="AO217" s="1125">
        <f>IF(OR(State_Move_Age&gt;AO$4,State_Move_Age=0),-'Tax Tables'!AO254,-'Tax Tables'!AO261)</f>
        <v>0</v>
      </c>
      <c r="AP217" s="1125">
        <f>IF(OR(State_Move_Age&gt;AP$4,State_Move_Age=0),-'Tax Tables'!AP254,-'Tax Tables'!AP261)</f>
        <v>0</v>
      </c>
      <c r="AQ217" s="1125">
        <f>IF(OR(State_Move_Age&gt;AQ$4,State_Move_Age=0),-'Tax Tables'!AQ254,-'Tax Tables'!AQ261)</f>
        <v>0</v>
      </c>
      <c r="AR217" s="1125">
        <f>IF(OR(State_Move_Age&gt;AR$4,State_Move_Age=0),-'Tax Tables'!AR254,-'Tax Tables'!AR261)</f>
        <v>0</v>
      </c>
      <c r="AS217" s="1125">
        <f>IF(OR(State_Move_Age&gt;AS$4,State_Move_Age=0),-'Tax Tables'!AS254,-'Tax Tables'!AS261)</f>
        <v>0</v>
      </c>
      <c r="AT217" s="88"/>
      <c r="AU217" s="82">
        <f>+Base!E217</f>
        <v>-180550</v>
      </c>
      <c r="AV217" s="83">
        <f t="shared" si="188"/>
        <v>0</v>
      </c>
      <c r="AW217" s="44"/>
    </row>
    <row r="218" spans="1:49">
      <c r="A218" s="1425"/>
      <c r="B218" s="72" t="s">
        <v>937</v>
      </c>
      <c r="C218" s="3"/>
      <c r="D218" s="29"/>
      <c r="E218" s="102">
        <f t="shared" si="186"/>
        <v>1957550</v>
      </c>
      <c r="F218" s="1124">
        <f>IF(F212+F216+F217&lt;0,0,F212+F216+F217)</f>
        <v>36600</v>
      </c>
      <c r="G218" s="1124">
        <f>IF(G212+G216+G217&lt;0,0,G212+G216+G217)</f>
        <v>51850</v>
      </c>
      <c r="H218" s="1124">
        <f t="shared" ref="H218:AS218" si="193">IF(H212+H216+H217&lt;0,0,H212+H216+H217)</f>
        <v>37050</v>
      </c>
      <c r="I218" s="1124">
        <f t="shared" si="193"/>
        <v>37150</v>
      </c>
      <c r="J218" s="1124">
        <f t="shared" si="193"/>
        <v>37300</v>
      </c>
      <c r="K218" s="1124">
        <f t="shared" si="193"/>
        <v>37800</v>
      </c>
      <c r="L218" s="1124">
        <f t="shared" si="193"/>
        <v>38600</v>
      </c>
      <c r="M218" s="1124">
        <f t="shared" si="193"/>
        <v>62850</v>
      </c>
      <c r="N218" s="1124">
        <f t="shared" si="193"/>
        <v>24500</v>
      </c>
      <c r="O218" s="1124">
        <f t="shared" si="193"/>
        <v>25250</v>
      </c>
      <c r="P218" s="1124">
        <f t="shared" si="193"/>
        <v>25600</v>
      </c>
      <c r="Q218" s="1124">
        <f t="shared" si="193"/>
        <v>26750</v>
      </c>
      <c r="R218" s="1124">
        <f t="shared" si="193"/>
        <v>32950</v>
      </c>
      <c r="S218" s="1124">
        <f t="shared" si="193"/>
        <v>35050</v>
      </c>
      <c r="T218" s="1124">
        <f t="shared" si="193"/>
        <v>48650</v>
      </c>
      <c r="U218" s="1124">
        <f t="shared" si="193"/>
        <v>56050</v>
      </c>
      <c r="V218" s="1124">
        <f t="shared" si="193"/>
        <v>65450</v>
      </c>
      <c r="W218" s="1124">
        <f t="shared" si="193"/>
        <v>69550</v>
      </c>
      <c r="X218" s="1124">
        <f t="shared" si="193"/>
        <v>64200</v>
      </c>
      <c r="Y218" s="1124">
        <f t="shared" si="193"/>
        <v>66150</v>
      </c>
      <c r="Z218" s="1124">
        <f t="shared" si="193"/>
        <v>69750</v>
      </c>
      <c r="AA218" s="1124">
        <f t="shared" si="193"/>
        <v>73650</v>
      </c>
      <c r="AB218" s="1124">
        <f t="shared" si="193"/>
        <v>107900</v>
      </c>
      <c r="AC218" s="1124">
        <f t="shared" si="193"/>
        <v>117750</v>
      </c>
      <c r="AD218" s="1124">
        <f t="shared" si="193"/>
        <v>116050</v>
      </c>
      <c r="AE218" s="1124">
        <f t="shared" si="193"/>
        <v>120100</v>
      </c>
      <c r="AF218" s="1124">
        <f t="shared" si="193"/>
        <v>122300</v>
      </c>
      <c r="AG218" s="1124">
        <f t="shared" si="193"/>
        <v>115600</v>
      </c>
      <c r="AH218" s="1124">
        <f t="shared" si="193"/>
        <v>116400</v>
      </c>
      <c r="AI218" s="1124">
        <f t="shared" si="193"/>
        <v>118700</v>
      </c>
      <c r="AJ218" s="1124">
        <f t="shared" si="193"/>
        <v>0</v>
      </c>
      <c r="AK218" s="1124">
        <f t="shared" si="193"/>
        <v>0</v>
      </c>
      <c r="AL218" s="1124">
        <f t="shared" si="193"/>
        <v>0</v>
      </c>
      <c r="AM218" s="1124">
        <f t="shared" si="193"/>
        <v>0</v>
      </c>
      <c r="AN218" s="1124">
        <f t="shared" si="193"/>
        <v>0</v>
      </c>
      <c r="AO218" s="1124">
        <f t="shared" si="193"/>
        <v>0</v>
      </c>
      <c r="AP218" s="1124">
        <f t="shared" si="193"/>
        <v>0</v>
      </c>
      <c r="AQ218" s="1124">
        <f t="shared" si="193"/>
        <v>0</v>
      </c>
      <c r="AR218" s="1124">
        <f t="shared" si="193"/>
        <v>0</v>
      </c>
      <c r="AS218" s="1124">
        <f t="shared" si="193"/>
        <v>0</v>
      </c>
      <c r="AT218" s="88"/>
      <c r="AU218" s="15">
        <f>+Base!E218</f>
        <v>1957550</v>
      </c>
      <c r="AV218" s="103">
        <f t="shared" si="188"/>
        <v>0</v>
      </c>
      <c r="AW218" s="44"/>
    </row>
    <row r="219" spans="1:49" ht="15.6" hidden="1">
      <c r="A219" s="1427" t="s">
        <v>1578</v>
      </c>
      <c r="B219" s="827" t="s">
        <v>2161</v>
      </c>
      <c r="C219" s="827" t="str">
        <f>IF(State_Move_Age&gt;0,"state 2"," ")</f>
        <v>state 2</v>
      </c>
      <c r="D219" s="1659" t="str">
        <f>IF(Esc_Fed_Ded="y","escalating","non-escalating")</f>
        <v>escalating</v>
      </c>
      <c r="E219" s="844"/>
      <c r="F219" s="845"/>
      <c r="G219" s="844"/>
      <c r="H219" s="844"/>
      <c r="I219" s="844"/>
      <c r="J219" s="844"/>
      <c r="K219" s="844"/>
      <c r="L219" s="844"/>
      <c r="M219" s="844"/>
      <c r="N219" s="844"/>
      <c r="O219" s="844"/>
      <c r="P219" s="844"/>
      <c r="Q219" s="844"/>
      <c r="R219" s="844"/>
      <c r="S219" s="844"/>
      <c r="T219" s="844"/>
      <c r="U219" s="844"/>
      <c r="V219" s="844"/>
      <c r="W219" s="844"/>
      <c r="X219" s="844"/>
      <c r="Y219" s="844"/>
      <c r="Z219" s="844"/>
      <c r="AA219" s="844"/>
      <c r="AB219" s="844"/>
      <c r="AC219" s="844"/>
      <c r="AD219" s="844"/>
      <c r="AE219" s="844"/>
      <c r="AF219" s="844"/>
      <c r="AG219" s="844"/>
      <c r="AH219" s="844"/>
      <c r="AI219" s="844"/>
      <c r="AJ219" s="844"/>
      <c r="AK219" s="844"/>
      <c r="AL219" s="844"/>
      <c r="AM219" s="844"/>
      <c r="AN219" s="844"/>
      <c r="AO219" s="844"/>
      <c r="AP219" s="844"/>
      <c r="AQ219" s="844"/>
      <c r="AR219" s="844"/>
      <c r="AS219" s="844"/>
      <c r="AT219" s="88"/>
      <c r="AU219" s="15"/>
      <c r="AV219" s="103"/>
      <c r="AW219" s="44"/>
    </row>
    <row r="220" spans="1:49" hidden="1">
      <c r="A220" s="1427" t="s">
        <v>1578</v>
      </c>
      <c r="B220" s="825" t="str">
        <f>State_Br_Per1*100 &amp; "%" &amp; " for $0-$" &amp; State_Br_Amt1</f>
        <v>2% for $0-$10000</v>
      </c>
      <c r="C220" s="825" t="str">
        <f>IF(State_Move_Age&gt;0,State2_Br_Per1*100 &amp; "%" &amp; " for $0-$" &amp; State2_Br_Amt1," ")</f>
        <v>5% for $0-$25000</v>
      </c>
      <c r="D220" s="67"/>
      <c r="E220" s="102">
        <f t="shared" si="186"/>
        <v>23100</v>
      </c>
      <c r="F220" s="31">
        <f>ROUND(IF(OR(F$4&lt;State_Move_Age,State_Move_Age=""),
IF(F$218&gt;'Tax Tables'!F$268,'Tax Tables'!F$270,F$218*'Tax Tables'!F$269),
IF(F$218&gt;'Tax Tables'!F$282,'Tax Tables'!F$284,F$218*'Tax Tables'!F$283))
/Round_To,0)*Round_To*IF(Exclude_Taxes="n",1,0)</f>
        <v>200</v>
      </c>
      <c r="G220" s="1124">
        <f>ROUND(IF(OR(G$4&lt;State_Move_Age,State_Move_Age=""),IF(G$218&gt;'Tax Tables'!G$268,'Tax Tables'!G$270,G$218*'Tax Tables'!G$269),IF(G$218&gt;'Tax Tables'!G$282,'Tax Tables'!G$284,G$218*'Tax Tables'!G$283))/Round_To,0)*Round_To*IF(Exclude_Taxes="n",1,0)</f>
        <v>200</v>
      </c>
      <c r="H220" s="1124">
        <f>ROUND(IF(OR(H$4&lt;State_Move_Age,State_Move_Age=""),IF(H$218&gt;'Tax Tables'!H$268,'Tax Tables'!H$270,H$218*'Tax Tables'!H$269),IF(H$218&gt;'Tax Tables'!H$282,'Tax Tables'!H$284,H$218*'Tax Tables'!H$283))/Round_To,0)*Round_To*IF(Exclude_Taxes="n",1,0)</f>
        <v>200</v>
      </c>
      <c r="I220" s="1124">
        <f>ROUND(IF(OR(I$4&lt;State_Move_Age,State_Move_Age=""),IF(I$218&gt;'Tax Tables'!I$268,'Tax Tables'!I$270,I$218*'Tax Tables'!I$269),IF(I$218&gt;'Tax Tables'!I$282,'Tax Tables'!I$284,I$218*'Tax Tables'!I$283))/Round_To,0)*Round_To*IF(Exclude_Taxes="n",1,0)</f>
        <v>200</v>
      </c>
      <c r="J220" s="1124">
        <f>ROUND(IF(OR(J$4&lt;State_Move_Age,State_Move_Age=""),IF(J$218&gt;'Tax Tables'!J$268,'Tax Tables'!J$270,J$218*'Tax Tables'!J$269),IF(J$218&gt;'Tax Tables'!J$282,'Tax Tables'!J$284,J$218*'Tax Tables'!J$283))/Round_To,0)*Round_To*IF(Exclude_Taxes="n",1,0)</f>
        <v>200</v>
      </c>
      <c r="K220" s="1124">
        <f>ROUND(IF(OR(K$4&lt;State_Move_Age,State_Move_Age=""),IF(K$218&gt;'Tax Tables'!K$268,'Tax Tables'!K$270,K$218*'Tax Tables'!K$269),IF(K$218&gt;'Tax Tables'!K$282,'Tax Tables'!K$284,K$218*'Tax Tables'!K$283))/Round_To,0)*Round_To*IF(Exclude_Taxes="n",1,0)</f>
        <v>200</v>
      </c>
      <c r="L220" s="1124">
        <f>ROUND(IF(OR(L$4&lt;State_Move_Age,State_Move_Age=""),IF(L$218&gt;'Tax Tables'!L$268,'Tax Tables'!L$270,L$218*'Tax Tables'!L$269),IF(L$218&gt;'Tax Tables'!L$282,'Tax Tables'!L$284,L$218*'Tax Tables'!L$283))/Round_To,0)*Round_To*IF(Exclude_Taxes="n",1,0)</f>
        <v>200</v>
      </c>
      <c r="M220" s="1124">
        <f>ROUND(IF(OR(M$4&lt;State_Move_Age,State_Move_Age=""),IF(M$218&gt;'Tax Tables'!M$268,'Tax Tables'!M$270,M$218*'Tax Tables'!M$269),IF(M$218&gt;'Tax Tables'!M$282,'Tax Tables'!M$284,M$218*'Tax Tables'!M$283))/Round_To,0)*Round_To*IF(Exclude_Taxes="n",1,0)</f>
        <v>200</v>
      </c>
      <c r="N220" s="1124">
        <f>ROUND(IF(OR(N$4&lt;State_Move_Age,State_Move_Age=""),IF(N$218&gt;'Tax Tables'!N$268,'Tax Tables'!N$270,N$218*'Tax Tables'!N$269),IF(N$218&gt;'Tax Tables'!N$282,'Tax Tables'!N$284,N$218*'Tax Tables'!N$283))/Round_To,0)*Round_To*IF(Exclude_Taxes="n",1,0)</f>
        <v>200</v>
      </c>
      <c r="O220" s="1124">
        <f>ROUND(IF(OR(O$4&lt;State_Move_Age,State_Move_Age=""),IF(O$218&gt;'Tax Tables'!O$268,'Tax Tables'!O$270,O$218*'Tax Tables'!O$269),IF(O$218&gt;'Tax Tables'!O$282,'Tax Tables'!O$284,O$218*'Tax Tables'!O$283))/Round_To,0)*Round_To*IF(Exclude_Taxes="n",1,0)</f>
        <v>200</v>
      </c>
      <c r="P220" s="1124">
        <f>ROUND(IF(OR(P$4&lt;State_Move_Age,State_Move_Age=""),IF(P$218&gt;'Tax Tables'!P$268,'Tax Tables'!P$270,P$218*'Tax Tables'!P$269),IF(P$218&gt;'Tax Tables'!P$282,'Tax Tables'!P$284,P$218*'Tax Tables'!P$283))/Round_To,0)*Round_To*IF(Exclude_Taxes="n",1,0)</f>
        <v>200</v>
      </c>
      <c r="Q220" s="1124">
        <f>ROUND(IF(OR(Q$4&lt;State_Move_Age,State_Move_Age=""),IF(Q$218&gt;'Tax Tables'!Q$268,'Tax Tables'!Q$270,Q$218*'Tax Tables'!Q$269),IF(Q$218&gt;'Tax Tables'!Q$282,'Tax Tables'!Q$284,Q$218*'Tax Tables'!Q$283))/Round_To,0)*Round_To*IF(Exclude_Taxes="n",1,0)</f>
        <v>300</v>
      </c>
      <c r="R220" s="1124">
        <f>ROUND(IF(OR(R$4&lt;State_Move_Age,State_Move_Age=""),IF(R$218&gt;'Tax Tables'!R$268,'Tax Tables'!R$270,R$218*'Tax Tables'!R$269),IF(R$218&gt;'Tax Tables'!R$282,'Tax Tables'!R$284,R$218*'Tax Tables'!R$283))/Round_To,0)*Round_To*IF(Exclude_Taxes="n",1,0)</f>
        <v>300</v>
      </c>
      <c r="S220" s="1124">
        <f>ROUND(IF(OR(S$4&lt;State_Move_Age,State_Move_Age=""),IF(S$218&gt;'Tax Tables'!S$268,'Tax Tables'!S$270,S$218*'Tax Tables'!S$269),IF(S$218&gt;'Tax Tables'!S$282,'Tax Tables'!S$284,S$218*'Tax Tables'!S$283))/Round_To,0)*Round_To*IF(Exclude_Taxes="n",1,0)</f>
        <v>300</v>
      </c>
      <c r="T220" s="1124">
        <f>ROUND(IF(OR(T$4&lt;State_Move_Age,State_Move_Age=""),IF(T$218&gt;'Tax Tables'!T$268,'Tax Tables'!T$270,T$218*'Tax Tables'!T$269),IF(T$218&gt;'Tax Tables'!T$282,'Tax Tables'!T$284,T$218*'Tax Tables'!T$283))/Round_To,0)*Round_To*IF(Exclude_Taxes="n",1,0)</f>
        <v>300</v>
      </c>
      <c r="U220" s="1124">
        <f>ROUND(IF(OR(U$4&lt;State_Move_Age,State_Move_Age=""),IF(U$218&gt;'Tax Tables'!U$268,'Tax Tables'!U$270,U$218*'Tax Tables'!U$269),IF(U$218&gt;'Tax Tables'!U$282,'Tax Tables'!U$284,U$218*'Tax Tables'!U$283))/Round_To,0)*Round_To*IF(Exclude_Taxes="n",1,0)</f>
        <v>300</v>
      </c>
      <c r="V220" s="1124">
        <f>ROUND(IF(OR(V$4&lt;State_Move_Age,State_Move_Age=""),IF(V$218&gt;'Tax Tables'!V$268,'Tax Tables'!V$270,V$218*'Tax Tables'!V$269),IF(V$218&gt;'Tax Tables'!V$282,'Tax Tables'!V$284,V$218*'Tax Tables'!V$283))/Round_To,0)*Round_To*IF(Exclude_Taxes="n",1,0)</f>
        <v>300</v>
      </c>
      <c r="W220" s="1124">
        <f>ROUND(IF(OR(W$4&lt;State_Move_Age,State_Move_Age=""),IF(W$218&gt;'Tax Tables'!W$268,'Tax Tables'!W$270,W$218*'Tax Tables'!W$269),IF(W$218&gt;'Tax Tables'!W$282,'Tax Tables'!W$284,W$218*'Tax Tables'!W$283))/Round_To,0)*Round_To*IF(Exclude_Taxes="n",1,0)</f>
        <v>300</v>
      </c>
      <c r="X220" s="1124">
        <f>ROUND(IF(OR(X$4&lt;State_Move_Age,State_Move_Age=""),IF(X$218&gt;'Tax Tables'!X$268,'Tax Tables'!X$270,X$218*'Tax Tables'!X$269),IF(X$218&gt;'Tax Tables'!X$282,'Tax Tables'!X$284,X$218*'Tax Tables'!X$283))/Round_To,0)*Round_To*IF(Exclude_Taxes="n",1,0)</f>
        <v>300</v>
      </c>
      <c r="Y220" s="1124">
        <f>ROUND(IF(OR(Y$4&lt;State_Move_Age,State_Move_Age=""),IF(Y$218&gt;'Tax Tables'!Y$268,'Tax Tables'!Y$270,Y$218*'Tax Tables'!Y$269),IF(Y$218&gt;'Tax Tables'!Y$282,'Tax Tables'!Y$284,Y$218*'Tax Tables'!Y$283))/Round_To,0)*Round_To*IF(Exclude_Taxes="n",1,0)</f>
        <v>300</v>
      </c>
      <c r="Z220" s="1124">
        <f>ROUND(IF(OR(Z$4&lt;State_Move_Age,State_Move_Age=""),IF(Z$218&gt;'Tax Tables'!Z$268,'Tax Tables'!Z$270,Z$218*'Tax Tables'!Z$269),IF(Z$218&gt;'Tax Tables'!Z$282,'Tax Tables'!Z$284,Z$218*'Tax Tables'!Z$283))/Round_To,0)*Round_To*IF(Exclude_Taxes="n",1,0)</f>
        <v>300</v>
      </c>
      <c r="AA220" s="1124">
        <f>ROUND(IF(OR(AA$4&lt;State_Move_Age,State_Move_Age=""),IF(AA$218&gt;'Tax Tables'!AA$268,'Tax Tables'!AA$270,AA$218*'Tax Tables'!AA$269),IF(AA$218&gt;'Tax Tables'!AA$282,'Tax Tables'!AA$284,AA$218*'Tax Tables'!AA$283))/Round_To,0)*Round_To*IF(Exclude_Taxes="n",1,0)</f>
        <v>300</v>
      </c>
      <c r="AB220" s="1124">
        <f>ROUND(IF(OR(AB$4&lt;State_Move_Age,State_Move_Age=""),IF(AB$218&gt;'Tax Tables'!AB$268,'Tax Tables'!AB$270,AB$218*'Tax Tables'!AB$269),IF(AB$218&gt;'Tax Tables'!AB$282,'Tax Tables'!AB$284,AB$218*'Tax Tables'!AB$283))/Round_To,0)*Round_To*IF(Exclude_Taxes="n",1,0)</f>
        <v>2000</v>
      </c>
      <c r="AC220" s="1124">
        <f>ROUND(IF(OR(AC$4&lt;State_Move_Age,State_Move_Age=""),IF(AC$218&gt;'Tax Tables'!AC$268,'Tax Tables'!AC$270,AC$218*'Tax Tables'!AC$269),IF(AC$218&gt;'Tax Tables'!AC$282,'Tax Tables'!AC$284,AC$218*'Tax Tables'!AC$283))/Round_To,0)*Round_To*IF(Exclude_Taxes="n",1,0)</f>
        <v>2100</v>
      </c>
      <c r="AD220" s="1124">
        <f>ROUND(IF(OR(AD$4&lt;State_Move_Age,State_Move_Age=""),IF(AD$218&gt;'Tax Tables'!AD$268,'Tax Tables'!AD$270,AD$218*'Tax Tables'!AD$269),IF(AD$218&gt;'Tax Tables'!AD$282,'Tax Tables'!AD$284,AD$218*'Tax Tables'!AD$283))/Round_To,0)*Round_To*IF(Exclude_Taxes="n",1,0)</f>
        <v>2100</v>
      </c>
      <c r="AE220" s="1124">
        <f>ROUND(IF(OR(AE$4&lt;State_Move_Age,State_Move_Age=""),IF(AE$218&gt;'Tax Tables'!AE$268,'Tax Tables'!AE$270,AE$218*'Tax Tables'!AE$269),IF(AE$218&gt;'Tax Tables'!AE$282,'Tax Tables'!AE$284,AE$218*'Tax Tables'!AE$283))/Round_To,0)*Round_To*IF(Exclude_Taxes="n",1,0)</f>
        <v>2200</v>
      </c>
      <c r="AF220" s="1124">
        <f>ROUND(IF(OR(AF$4&lt;State_Move_Age,State_Move_Age=""),IF(AF$218&gt;'Tax Tables'!AF$268,'Tax Tables'!AF$270,AF$218*'Tax Tables'!AF$269),IF(AF$218&gt;'Tax Tables'!AF$282,'Tax Tables'!AF$284,AF$218*'Tax Tables'!AF$283))/Round_To,0)*Round_To*IF(Exclude_Taxes="n",1,0)</f>
        <v>2200</v>
      </c>
      <c r="AG220" s="1124">
        <f>ROUND(IF(OR(AG$4&lt;State_Move_Age,State_Move_Age=""),IF(AG$218&gt;'Tax Tables'!AG$268,'Tax Tables'!AG$270,AG$218*'Tax Tables'!AG$269),IF(AG$218&gt;'Tax Tables'!AG$282,'Tax Tables'!AG$284,AG$218*'Tax Tables'!AG$283))/Round_To,0)*Round_To*IF(Exclude_Taxes="n",1,0)</f>
        <v>2300</v>
      </c>
      <c r="AH220" s="1124">
        <f>ROUND(IF(OR(AH$4&lt;State_Move_Age,State_Move_Age=""),IF(AH$218&gt;'Tax Tables'!AH$268,'Tax Tables'!AH$270,AH$218*'Tax Tables'!AH$269),IF(AH$218&gt;'Tax Tables'!AH$282,'Tax Tables'!AH$284,AH$218*'Tax Tables'!AH$283))/Round_To,0)*Round_To*IF(Exclude_Taxes="n",1,0)</f>
        <v>2300</v>
      </c>
      <c r="AI220" s="1124">
        <f>ROUND(IF(OR(AI$4&lt;State_Move_Age,State_Move_Age=""),IF(AI$218&gt;'Tax Tables'!AI$268,'Tax Tables'!AI$270,AI$218*'Tax Tables'!AI$269),IF(AI$218&gt;'Tax Tables'!AI$282,'Tax Tables'!AI$284,AI$218*'Tax Tables'!AI$283))/Round_To,0)*Round_To*IF(Exclude_Taxes="n",1,0)</f>
        <v>2400</v>
      </c>
      <c r="AJ220" s="1124">
        <f>ROUND(IF(OR(AJ$4&lt;State_Move_Age,State_Move_Age=""),IF(AJ$218&gt;'Tax Tables'!AJ$268,'Tax Tables'!AJ$270,AJ$218*'Tax Tables'!AJ$269),IF(AJ$218&gt;'Tax Tables'!AJ$282,'Tax Tables'!AJ$284,AJ$218*'Tax Tables'!AJ$283))/Round_To,0)*Round_To*IF(Exclude_Taxes="n",1,0)</f>
        <v>0</v>
      </c>
      <c r="AK220" s="1124">
        <f>ROUND(IF(OR(AK$4&lt;State_Move_Age,State_Move_Age=""),IF(AK$218&gt;'Tax Tables'!AK$268,'Tax Tables'!AK$270,AK$218*'Tax Tables'!AK$269),IF(AK$218&gt;'Tax Tables'!AK$282,'Tax Tables'!AK$284,AK$218*'Tax Tables'!AK$283))/Round_To,0)*Round_To*IF(Exclude_Taxes="n",1,0)</f>
        <v>0</v>
      </c>
      <c r="AL220" s="1124">
        <f>ROUND(IF(OR(AL$4&lt;State_Move_Age,State_Move_Age=""),IF(AL$218&gt;'Tax Tables'!AL$268,'Tax Tables'!AL$270,AL$218*'Tax Tables'!AL$269),IF(AL$218&gt;'Tax Tables'!AL$282,'Tax Tables'!AL$284,AL$218*'Tax Tables'!AL$283))/Round_To,0)*Round_To*IF(Exclude_Taxes="n",1,0)</f>
        <v>0</v>
      </c>
      <c r="AM220" s="1124">
        <f>ROUND(IF(OR(AM$4&lt;State_Move_Age,State_Move_Age=""),IF(AM$218&gt;'Tax Tables'!AM$268,'Tax Tables'!AM$270,AM$218*'Tax Tables'!AM$269),IF(AM$218&gt;'Tax Tables'!AM$282,'Tax Tables'!AM$284,AM$218*'Tax Tables'!AM$283))/Round_To,0)*Round_To*IF(Exclude_Taxes="n",1,0)</f>
        <v>0</v>
      </c>
      <c r="AN220" s="1124">
        <f>ROUND(IF(OR(AN$4&lt;State_Move_Age,State_Move_Age=""),IF(AN$218&gt;'Tax Tables'!AN$268,'Tax Tables'!AN$270,AN$218*'Tax Tables'!AN$269),IF(AN$218&gt;'Tax Tables'!AN$282,'Tax Tables'!AN$284,AN$218*'Tax Tables'!AN$283))/Round_To,0)*Round_To*IF(Exclude_Taxes="n",1,0)</f>
        <v>0</v>
      </c>
      <c r="AO220" s="1124">
        <f>ROUND(IF(OR(AO$4&lt;State_Move_Age,State_Move_Age=""),IF(AO$218&gt;'Tax Tables'!AO$268,'Tax Tables'!AO$270,AO$218*'Tax Tables'!AO$269),IF(AO$218&gt;'Tax Tables'!AO$282,'Tax Tables'!AO$284,AO$218*'Tax Tables'!AO$283))/Round_To,0)*Round_To*IF(Exclude_Taxes="n",1,0)</f>
        <v>0</v>
      </c>
      <c r="AP220" s="1124">
        <f>ROUND(IF(OR(AP$4&lt;State_Move_Age,State_Move_Age=""),IF(AP$218&gt;'Tax Tables'!AP$268,'Tax Tables'!AP$270,AP$218*'Tax Tables'!AP$269),IF(AP$218&gt;'Tax Tables'!AP$282,'Tax Tables'!AP$284,AP$218*'Tax Tables'!AP$283))/Round_To,0)*Round_To*IF(Exclude_Taxes="n",1,0)</f>
        <v>0</v>
      </c>
      <c r="AQ220" s="1124">
        <f>ROUND(IF(OR(AQ$4&lt;State_Move_Age,State_Move_Age=""),IF(AQ$218&gt;'Tax Tables'!AQ$268,'Tax Tables'!AQ$270,AQ$218*'Tax Tables'!AQ$269),IF(AQ$218&gt;'Tax Tables'!AQ$282,'Tax Tables'!AQ$284,AQ$218*'Tax Tables'!AQ$283))/Round_To,0)*Round_To*IF(Exclude_Taxes="n",1,0)</f>
        <v>0</v>
      </c>
      <c r="AR220" s="1124">
        <f>ROUND(IF(OR(AR$4&lt;State_Move_Age,State_Move_Age=""),IF(AR$218&gt;'Tax Tables'!AR$268,'Tax Tables'!AR$270,AR$218*'Tax Tables'!AR$269),IF(AR$218&gt;'Tax Tables'!AR$282,'Tax Tables'!AR$284,AR$218*'Tax Tables'!AR$283))/Round_To,0)*Round_To*IF(Exclude_Taxes="n",1,0)</f>
        <v>0</v>
      </c>
      <c r="AS220" s="1124">
        <f>ROUND(IF(OR(AS$4&lt;State_Move_Age,State_Move_Age=""),IF(AS$218&gt;'Tax Tables'!AS$268,'Tax Tables'!AS$270,AS$218*'Tax Tables'!AS$269),IF(AS$218&gt;'Tax Tables'!AS$282,'Tax Tables'!AS$284,AS$218*'Tax Tables'!AS$283))/Round_To,0)*Round_To*IF(Exclude_Taxes="n",1,0)</f>
        <v>0</v>
      </c>
      <c r="AT220" s="88"/>
      <c r="AU220" s="15">
        <f>+Base!E220</f>
        <v>23100</v>
      </c>
      <c r="AV220" s="103">
        <f t="shared" si="188"/>
        <v>0</v>
      </c>
      <c r="AW220" s="44"/>
    </row>
    <row r="221" spans="1:49" ht="15" hidden="1" customHeight="1">
      <c r="A221" s="1427" t="s">
        <v>1578</v>
      </c>
      <c r="B221" s="825" t="str">
        <f>State_Br_Per2*100 &amp; "%" &amp; " for $" &amp; State_Br_Amt1+1 &amp; "-$" &amp; State_Br_Amt2</f>
        <v>3% for $10001-$30000</v>
      </c>
      <c r="C221" s="825" t="str">
        <f>IF(State_Move_Age&gt;0,State2_Br_Per2*100 &amp; "%" &amp; " for $" &amp; State2_Br_Amt1+1 &amp; "-$" &amp; State2_Br_Amt2,"")</f>
        <v>7% for $25001-$80000</v>
      </c>
      <c r="D221" s="67"/>
      <c r="E221" s="102">
        <f t="shared" si="186"/>
        <v>56100</v>
      </c>
      <c r="F221" s="31">
        <f>ROUND(IF(OR(F$4&lt;State_Move_Age,State_Move_Age=""),
IF(AND(F$218&gt;'Tax Tables'!F$272,F$218&lt;='Tax Tables'!F$273),(F$218-'Tax Tables'!F$272)*'Tax Tables'!F$274,IF(F$218&gt;'Tax Tables'!F$277,
('Tax Tables'!F$277-'Tax Tables'!F$272)*'Tax Tables'!F$274)),
IF(AND(F$218&gt;'Tax Tables'!F$286,F$218&lt;='Tax Tables'!F$287),(F$218-'Tax Tables'!F$286)*'Tax Tables'!F$288,IF(F$218&gt;'Tax Tables'!F$291,
('Tax Tables'!F$291-'Tax Tables'!F$286)*'Tax Tables'!F288))
)/Round_To,0)*Round_To*IF(Exclude_Taxes="n",1,0)</f>
        <v>600</v>
      </c>
      <c r="G221" s="1147">
        <f>ROUND(IF(OR(G$4&lt;State_Move_Age,State_Move_Age=""),
IF(AND(G$218&gt;'Tax Tables'!G$272,G$218&lt;='Tax Tables'!G$273),(G$218-'Tax Tables'!G$272)*'Tax Tables'!G$274,IF(G$218&gt;'Tax Tables'!G$277,
('Tax Tables'!G$277-'Tax Tables'!G$272)*'Tax Tables'!G$274)),
IF(AND(G$218&gt;'Tax Tables'!G$286,G$218&lt;='Tax Tables'!G$287),(G$218-'Tax Tables'!G$286)*'Tax Tables'!G$288,IF(G$218&gt;'Tax Tables'!G$291,
('Tax Tables'!G$291-'Tax Tables'!G$286)*'Tax Tables'!G288))
)/Round_To,0)*Round_To*IF(Exclude_Taxes="n",1,0)</f>
        <v>600</v>
      </c>
      <c r="H221" s="1147">
        <f>ROUND(IF(OR(H$4&lt;State_Move_Age,State_Move_Age=""),
IF(AND(H$218&gt;'Tax Tables'!H$272,H$218&lt;='Tax Tables'!H$273),(H$218-'Tax Tables'!H$272)*'Tax Tables'!H$274,IF(H$218&gt;'Tax Tables'!H$277,
('Tax Tables'!H$277-'Tax Tables'!H$272)*'Tax Tables'!H$274)),
IF(AND(H$218&gt;'Tax Tables'!H$286,H$218&lt;='Tax Tables'!H$287),(H$218-'Tax Tables'!H$286)*'Tax Tables'!H$288,IF(H$218&gt;'Tax Tables'!H$291,
('Tax Tables'!H$291-'Tax Tables'!H$286)*'Tax Tables'!H288))
)/Round_To,0)*Round_To*IF(Exclude_Taxes="n",1,0)</f>
        <v>600</v>
      </c>
      <c r="I221" s="1147">
        <f>ROUND(IF(OR(I$4&lt;State_Move_Age,State_Move_Age=""),
IF(AND(I$218&gt;'Tax Tables'!I$272,I$218&lt;='Tax Tables'!I$273),(I$218-'Tax Tables'!I$272)*'Tax Tables'!I$274,IF(I$218&gt;'Tax Tables'!I$277,
('Tax Tables'!I$277-'Tax Tables'!I$272)*'Tax Tables'!I$274)),
IF(AND(I$218&gt;'Tax Tables'!I$286,I$218&lt;='Tax Tables'!I$287),(I$218-'Tax Tables'!I$286)*'Tax Tables'!I$288,IF(I$218&gt;'Tax Tables'!I$291,
('Tax Tables'!I$291-'Tax Tables'!I$286)*'Tax Tables'!I288))
)/Round_To,0)*Round_To*IF(Exclude_Taxes="n",1,0)</f>
        <v>600</v>
      </c>
      <c r="J221" s="1147">
        <f>ROUND(IF(OR(J$4&lt;State_Move_Age,State_Move_Age=""),
IF(AND(J$218&gt;'Tax Tables'!J$272,J$218&lt;='Tax Tables'!J$273),(J$218-'Tax Tables'!J$272)*'Tax Tables'!J$274,IF(J$218&gt;'Tax Tables'!J$277,
('Tax Tables'!J$277-'Tax Tables'!J$272)*'Tax Tables'!J$274)),
IF(AND(J$218&gt;'Tax Tables'!J$286,J$218&lt;='Tax Tables'!J$287),(J$218-'Tax Tables'!J$286)*'Tax Tables'!J$288,IF(J$218&gt;'Tax Tables'!J$291,
('Tax Tables'!J$291-'Tax Tables'!J$286)*'Tax Tables'!J288))
)/Round_To,0)*Round_To*IF(Exclude_Taxes="n",1,0)</f>
        <v>700</v>
      </c>
      <c r="K221" s="1147">
        <f>ROUND(IF(OR(K$4&lt;State_Move_Age,State_Move_Age=""),
IF(AND(K$218&gt;'Tax Tables'!K$272,K$218&lt;='Tax Tables'!K$273),(K$218-'Tax Tables'!K$272)*'Tax Tables'!K$274,IF(K$218&gt;'Tax Tables'!K$277,
('Tax Tables'!K$277-'Tax Tables'!K$272)*'Tax Tables'!K$274)),
IF(AND(K$218&gt;'Tax Tables'!K$286,K$218&lt;='Tax Tables'!K$287),(K$218-'Tax Tables'!K$286)*'Tax Tables'!K$288,IF(K$218&gt;'Tax Tables'!K$291,
('Tax Tables'!K$291-'Tax Tables'!K$286)*'Tax Tables'!K288))
)/Round_To,0)*Round_To*IF(Exclude_Taxes="n",1,0)</f>
        <v>700</v>
      </c>
      <c r="L221" s="1147">
        <f>ROUND(IF(OR(L$4&lt;State_Move_Age,State_Move_Age=""),
IF(AND(L$218&gt;'Tax Tables'!L$272,L$218&lt;='Tax Tables'!L$273),(L$218-'Tax Tables'!L$272)*'Tax Tables'!L$274,IF(L$218&gt;'Tax Tables'!L$277,
('Tax Tables'!L$277-'Tax Tables'!L$272)*'Tax Tables'!L$274)),
IF(AND(L$218&gt;'Tax Tables'!L$286,L$218&lt;='Tax Tables'!L$287),(L$218-'Tax Tables'!L$286)*'Tax Tables'!L$288,IF(L$218&gt;'Tax Tables'!L$291,
('Tax Tables'!L$291-'Tax Tables'!L$286)*'Tax Tables'!L288))
)/Round_To,0)*Round_To*IF(Exclude_Taxes="n",1,0)</f>
        <v>700</v>
      </c>
      <c r="M221" s="1147">
        <f>ROUND(IF(OR(M$4&lt;State_Move_Age,State_Move_Age=""),
IF(AND(M$218&gt;'Tax Tables'!M$272,M$218&lt;='Tax Tables'!M$273),(M$218-'Tax Tables'!M$272)*'Tax Tables'!M$274,IF(M$218&gt;'Tax Tables'!M$277,
('Tax Tables'!M$277-'Tax Tables'!M$272)*'Tax Tables'!M$274)),
IF(AND(M$218&gt;'Tax Tables'!M$286,M$218&lt;='Tax Tables'!M$287),(M$218-'Tax Tables'!M$286)*'Tax Tables'!M$288,IF(M$218&gt;'Tax Tables'!M$291,
('Tax Tables'!M$291-'Tax Tables'!M$286)*'Tax Tables'!M288))
)/Round_To,0)*Round_To*IF(Exclude_Taxes="n",1,0)</f>
        <v>700</v>
      </c>
      <c r="N221" s="1147">
        <f>ROUND(IF(OR(N$4&lt;State_Move_Age,State_Move_Age=""),
IF(AND(N$218&gt;'Tax Tables'!N$272,N$218&lt;='Tax Tables'!N$273),(N$218-'Tax Tables'!N$272)*'Tax Tables'!N$274,IF(N$218&gt;'Tax Tables'!N$277,
('Tax Tables'!N$277-'Tax Tables'!N$272)*'Tax Tables'!N$274)),
IF(AND(N$218&gt;'Tax Tables'!N$286,N$218&lt;='Tax Tables'!N$287),(N$218-'Tax Tables'!N$286)*'Tax Tables'!N$288,IF(N$218&gt;'Tax Tables'!N$291,
('Tax Tables'!N$291-'Tax Tables'!N$286)*'Tax Tables'!N288))
)/Round_To,0)*Round_To*IF(Exclude_Taxes="n",1,0)</f>
        <v>400</v>
      </c>
      <c r="O221" s="1147">
        <f>ROUND(IF(OR(O$4&lt;State_Move_Age,State_Move_Age=""),
IF(AND(O$218&gt;'Tax Tables'!O$272,O$218&lt;='Tax Tables'!O$273),(O$218-'Tax Tables'!O$272)*'Tax Tables'!O$274,IF(O$218&gt;'Tax Tables'!O$277,
('Tax Tables'!O$277-'Tax Tables'!O$272)*'Tax Tables'!O$274)),
IF(AND(O$218&gt;'Tax Tables'!O$286,O$218&lt;='Tax Tables'!O$287),(O$218-'Tax Tables'!O$286)*'Tax Tables'!O$288,IF(O$218&gt;'Tax Tables'!O$291,
('Tax Tables'!O$291-'Tax Tables'!O$286)*'Tax Tables'!O288))
)/Round_To,0)*Round_To*IF(Exclude_Taxes="n",1,0)</f>
        <v>400</v>
      </c>
      <c r="P221" s="1147">
        <f>ROUND(IF(OR(P$4&lt;State_Move_Age,State_Move_Age=""),
IF(AND(P$218&gt;'Tax Tables'!P$272,P$218&lt;='Tax Tables'!P$273),(P$218-'Tax Tables'!P$272)*'Tax Tables'!P$274,IF(P$218&gt;'Tax Tables'!P$277,
('Tax Tables'!P$277-'Tax Tables'!P$272)*'Tax Tables'!P$274)),
IF(AND(P$218&gt;'Tax Tables'!P$286,P$218&lt;='Tax Tables'!P$287),(P$218-'Tax Tables'!P$286)*'Tax Tables'!P$288,IF(P$218&gt;'Tax Tables'!P$291,
('Tax Tables'!P$291-'Tax Tables'!P$286)*'Tax Tables'!P288))
)/Round_To,0)*Round_To*IF(Exclude_Taxes="n",1,0)</f>
        <v>400</v>
      </c>
      <c r="Q221" s="1147">
        <f>ROUND(IF(OR(Q$4&lt;State_Move_Age,State_Move_Age=""),
IF(AND(Q$218&gt;'Tax Tables'!Q$272,Q$218&lt;='Tax Tables'!Q$273),(Q$218-'Tax Tables'!Q$272)*'Tax Tables'!Q$274,IF(Q$218&gt;'Tax Tables'!Q$277,
('Tax Tables'!Q$277-'Tax Tables'!Q$272)*'Tax Tables'!Q$274)),
IF(AND(Q$218&gt;'Tax Tables'!Q$286,Q$218&lt;='Tax Tables'!Q$287),(Q$218-'Tax Tables'!Q$286)*'Tax Tables'!Q$288,IF(Q$218&gt;'Tax Tables'!Q$291,
('Tax Tables'!Q$291-'Tax Tables'!Q$286)*'Tax Tables'!Q288))
)/Round_To,0)*Round_To*IF(Exclude_Taxes="n",1,0)</f>
        <v>400</v>
      </c>
      <c r="R221" s="1147">
        <f>ROUND(IF(OR(R$4&lt;State_Move_Age,State_Move_Age=""),
IF(AND(R$218&gt;'Tax Tables'!R$272,R$218&lt;='Tax Tables'!R$273),(R$218-'Tax Tables'!R$272)*'Tax Tables'!R$274,IF(R$218&gt;'Tax Tables'!R$277,
('Tax Tables'!R$277-'Tax Tables'!R$272)*'Tax Tables'!R$274)),
IF(AND(R$218&gt;'Tax Tables'!R$286,R$218&lt;='Tax Tables'!R$287),(R$218-'Tax Tables'!R$286)*'Tax Tables'!R$288,IF(R$218&gt;'Tax Tables'!R$291,
('Tax Tables'!R$291-'Tax Tables'!R$286)*'Tax Tables'!R288))
)/Round_To,0)*Round_To*IF(Exclude_Taxes="n",1,0)</f>
        <v>600</v>
      </c>
      <c r="S221" s="1147">
        <f>ROUND(IF(OR(S$4&lt;State_Move_Age,State_Move_Age=""),
IF(AND(S$218&gt;'Tax Tables'!S$272,S$218&lt;='Tax Tables'!S$273),(S$218-'Tax Tables'!S$272)*'Tax Tables'!S$274,IF(S$218&gt;'Tax Tables'!S$277,
('Tax Tables'!S$277-'Tax Tables'!S$272)*'Tax Tables'!S$274)),
IF(AND(S$218&gt;'Tax Tables'!S$286,S$218&lt;='Tax Tables'!S$287),(S$218-'Tax Tables'!S$286)*'Tax Tables'!S$288,IF(S$218&gt;'Tax Tables'!S$291,
('Tax Tables'!S$291-'Tax Tables'!S$286)*'Tax Tables'!S288))
)/Round_To,0)*Round_To*IF(Exclude_Taxes="n",1,0)</f>
        <v>700</v>
      </c>
      <c r="T221" s="1147">
        <f>ROUND(IF(OR(T$4&lt;State_Move_Age,State_Move_Age=""),
IF(AND(T$218&gt;'Tax Tables'!T$272,T$218&lt;='Tax Tables'!T$273),(T$218-'Tax Tables'!T$272)*'Tax Tables'!T$274,IF(T$218&gt;'Tax Tables'!T$277,
('Tax Tables'!T$277-'Tax Tables'!T$272)*'Tax Tables'!T$274)),
IF(AND(T$218&gt;'Tax Tables'!T$286,T$218&lt;='Tax Tables'!T$287),(T$218-'Tax Tables'!T$286)*'Tax Tables'!T$288,IF(T$218&gt;'Tax Tables'!T$291,
('Tax Tables'!T$291-'Tax Tables'!T$286)*'Tax Tables'!T288))
)/Round_To,0)*Round_To*IF(Exclude_Taxes="n",1,0)</f>
        <v>800</v>
      </c>
      <c r="U221" s="1147">
        <f>ROUND(IF(OR(U$4&lt;State_Move_Age,State_Move_Age=""),
IF(AND(U$218&gt;'Tax Tables'!U$272,U$218&lt;='Tax Tables'!U$273),(U$218-'Tax Tables'!U$272)*'Tax Tables'!U$274,IF(U$218&gt;'Tax Tables'!U$277,
('Tax Tables'!U$277-'Tax Tables'!U$272)*'Tax Tables'!U$274)),
IF(AND(U$218&gt;'Tax Tables'!U$286,U$218&lt;='Tax Tables'!U$287),(U$218-'Tax Tables'!U$286)*'Tax Tables'!U$288,IF(U$218&gt;'Tax Tables'!U$291,
('Tax Tables'!U$291-'Tax Tables'!U$286)*'Tax Tables'!U288))
)/Round_To,0)*Round_To*IF(Exclude_Taxes="n",1,0)</f>
        <v>800</v>
      </c>
      <c r="V221" s="1147">
        <f>ROUND(IF(OR(V$4&lt;State_Move_Age,State_Move_Age=""),
IF(AND(V$218&gt;'Tax Tables'!V$272,V$218&lt;='Tax Tables'!V$273),(V$218-'Tax Tables'!V$272)*'Tax Tables'!V$274,IF(V$218&gt;'Tax Tables'!V$277,
('Tax Tables'!V$277-'Tax Tables'!V$272)*'Tax Tables'!V$274)),
IF(AND(V$218&gt;'Tax Tables'!V$286,V$218&lt;='Tax Tables'!V$287),(V$218-'Tax Tables'!V$286)*'Tax Tables'!V$288,IF(V$218&gt;'Tax Tables'!V$291,
('Tax Tables'!V$291-'Tax Tables'!V$286)*'Tax Tables'!V288))
)/Round_To,0)*Round_To*IF(Exclude_Taxes="n",1,0)</f>
        <v>900</v>
      </c>
      <c r="W221" s="1147">
        <f>ROUND(IF(OR(W$4&lt;State_Move_Age,State_Move_Age=""),
IF(AND(W$218&gt;'Tax Tables'!W$272,W$218&lt;='Tax Tables'!W$273),(W$218-'Tax Tables'!W$272)*'Tax Tables'!W$274,IF(W$218&gt;'Tax Tables'!W$277,
('Tax Tables'!W$277-'Tax Tables'!W$272)*'Tax Tables'!W$274)),
IF(AND(W$218&gt;'Tax Tables'!W$286,W$218&lt;='Tax Tables'!W$287),(W$218-'Tax Tables'!W$286)*'Tax Tables'!W$288,IF(W$218&gt;'Tax Tables'!W$291,
('Tax Tables'!W$291-'Tax Tables'!W$286)*'Tax Tables'!W288))
)/Round_To,0)*Round_To*IF(Exclude_Taxes="n",1,0)</f>
        <v>900</v>
      </c>
      <c r="X221" s="1147">
        <f>ROUND(IF(OR(X$4&lt;State_Move_Age,State_Move_Age=""),
IF(AND(X$218&gt;'Tax Tables'!X$272,X$218&lt;='Tax Tables'!X$273),(X$218-'Tax Tables'!X$272)*'Tax Tables'!X$274,IF(X$218&gt;'Tax Tables'!X$277,
('Tax Tables'!X$277-'Tax Tables'!X$272)*'Tax Tables'!X$274)),
IF(AND(X$218&gt;'Tax Tables'!X$286,X$218&lt;='Tax Tables'!X$287),(X$218-'Tax Tables'!X$286)*'Tax Tables'!X$288,IF(X$218&gt;'Tax Tables'!X$291,
('Tax Tables'!X$291-'Tax Tables'!X$286)*'Tax Tables'!X288))
)/Round_To,0)*Round_To*IF(Exclude_Taxes="n",1,0)</f>
        <v>900</v>
      </c>
      <c r="Y221" s="1147">
        <f>ROUND(IF(OR(Y$4&lt;State_Move_Age,State_Move_Age=""),
IF(AND(Y$218&gt;'Tax Tables'!Y$272,Y$218&lt;='Tax Tables'!Y$273),(Y$218-'Tax Tables'!Y$272)*'Tax Tables'!Y$274,IF(Y$218&gt;'Tax Tables'!Y$277,
('Tax Tables'!Y$277-'Tax Tables'!Y$272)*'Tax Tables'!Y$274)),
IF(AND(Y$218&gt;'Tax Tables'!Y$286,Y$218&lt;='Tax Tables'!Y$287),(Y$218-'Tax Tables'!Y$286)*'Tax Tables'!Y$288,IF(Y$218&gt;'Tax Tables'!Y$291,
('Tax Tables'!Y$291-'Tax Tables'!Y$286)*'Tax Tables'!Y288))
)/Round_To,0)*Round_To*IF(Exclude_Taxes="n",1,0)</f>
        <v>900</v>
      </c>
      <c r="Z221" s="1147">
        <f>ROUND(IF(OR(Z$4&lt;State_Move_Age,State_Move_Age=""),
IF(AND(Z$218&gt;'Tax Tables'!Z$272,Z$218&lt;='Tax Tables'!Z$273),(Z$218-'Tax Tables'!Z$272)*'Tax Tables'!Z$274,IF(Z$218&gt;'Tax Tables'!Z$277,
('Tax Tables'!Z$277-'Tax Tables'!Z$272)*'Tax Tables'!Z$274)),
IF(AND(Z$218&gt;'Tax Tables'!Z$286,Z$218&lt;='Tax Tables'!Z$287),(Z$218-'Tax Tables'!Z$286)*'Tax Tables'!Z$288,IF(Z$218&gt;'Tax Tables'!Z$291,
('Tax Tables'!Z$291-'Tax Tables'!Z$286)*'Tax Tables'!Z288))
)/Round_To,0)*Round_To*IF(Exclude_Taxes="n",1,0)</f>
        <v>900</v>
      </c>
      <c r="AA221" s="1147">
        <f>ROUND(IF(OR(AA$4&lt;State_Move_Age,State_Move_Age=""),
IF(AND(AA$218&gt;'Tax Tables'!AA$272,AA$218&lt;='Tax Tables'!AA$273),(AA$218-'Tax Tables'!AA$272)*'Tax Tables'!AA$274,IF(AA$218&gt;'Tax Tables'!AA$277,
('Tax Tables'!AA$277-'Tax Tables'!AA$272)*'Tax Tables'!AA$274)),
IF(AND(AA$218&gt;'Tax Tables'!AA$286,AA$218&lt;='Tax Tables'!AA$287),(AA$218-'Tax Tables'!AA$286)*'Tax Tables'!AA$288,IF(AA$218&gt;'Tax Tables'!AA$291,
('Tax Tables'!AA$291-'Tax Tables'!AA$286)*'Tax Tables'!AA288))
)/Round_To,0)*Round_To*IF(Exclude_Taxes="n",1,0)</f>
        <v>1000</v>
      </c>
      <c r="AB221" s="1147">
        <f>ROUND(IF(OR(AB$4&lt;State_Move_Age,State_Move_Age=""),
IF(AND(AB$218&gt;'Tax Tables'!AB$272,AB$218&lt;='Tax Tables'!AB$273),(AB$218-'Tax Tables'!AB$272)*'Tax Tables'!AB$274,IF(AB$218&gt;'Tax Tables'!AB$277,
('Tax Tables'!AB$277-'Tax Tables'!AB$272)*'Tax Tables'!AB$274)),
IF(AND(AB$218&gt;'Tax Tables'!AB$286,AB$218&lt;='Tax Tables'!AB$287),(AB$218-'Tax Tables'!AB$286)*'Tax Tables'!AB$288,IF(AB$218&gt;'Tax Tables'!AB$291,
('Tax Tables'!AB$291-'Tax Tables'!AB$286)*'Tax Tables'!AB288))
)/Round_To,0)*Round_To*IF(Exclude_Taxes="n",1,0)</f>
        <v>4700</v>
      </c>
      <c r="AC221" s="1147">
        <f>ROUND(IF(OR(AC$4&lt;State_Move_Age,State_Move_Age=""),
IF(AND(AC$218&gt;'Tax Tables'!AC$272,AC$218&lt;='Tax Tables'!AC$273),(AC$218-'Tax Tables'!AC$272)*'Tax Tables'!AC$274,IF(AC$218&gt;'Tax Tables'!AC$277,
('Tax Tables'!AC$277-'Tax Tables'!AC$272)*'Tax Tables'!AC$274)),
IF(AND(AC$218&gt;'Tax Tables'!AC$286,AC$218&lt;='Tax Tables'!AC$287),(AC$218-'Tax Tables'!AC$286)*'Tax Tables'!AC$288,IF(AC$218&gt;'Tax Tables'!AC$291,
('Tax Tables'!AC$291-'Tax Tables'!AC$286)*'Tax Tables'!AC288))
)/Round_To,0)*Round_To*IF(Exclude_Taxes="n",1,0)</f>
        <v>5300</v>
      </c>
      <c r="AD221" s="1147">
        <f>ROUND(IF(OR(AD$4&lt;State_Move_Age,State_Move_Age=""),
IF(AND(AD$218&gt;'Tax Tables'!AD$272,AD$218&lt;='Tax Tables'!AD$273),(AD$218-'Tax Tables'!AD$272)*'Tax Tables'!AD$274,IF(AD$218&gt;'Tax Tables'!AD$277,
('Tax Tables'!AD$277-'Tax Tables'!AD$272)*'Tax Tables'!AD$274)),
IF(AND(AD$218&gt;'Tax Tables'!AD$286,AD$218&lt;='Tax Tables'!AD$287),(AD$218-'Tax Tables'!AD$286)*'Tax Tables'!AD$288,IF(AD$218&gt;'Tax Tables'!AD$291,
('Tax Tables'!AD$291-'Tax Tables'!AD$286)*'Tax Tables'!AD288))
)/Round_To,0)*Round_To*IF(Exclude_Taxes="n",1,0)</f>
        <v>5200</v>
      </c>
      <c r="AE221" s="1147">
        <f>ROUND(IF(OR(AE$4&lt;State_Move_Age,State_Move_Age=""),
IF(AND(AE$218&gt;'Tax Tables'!AE$272,AE$218&lt;='Tax Tables'!AE$273),(AE$218-'Tax Tables'!AE$272)*'Tax Tables'!AE$274,IF(AE$218&gt;'Tax Tables'!AE$277,
('Tax Tables'!AE$277-'Tax Tables'!AE$272)*'Tax Tables'!AE$274)),
IF(AND(AE$218&gt;'Tax Tables'!AE$286,AE$218&lt;='Tax Tables'!AE$287),(AE$218-'Tax Tables'!AE$286)*'Tax Tables'!AE$288,IF(AE$218&gt;'Tax Tables'!AE$291,
('Tax Tables'!AE$291-'Tax Tables'!AE$286)*'Tax Tables'!AE288))
)/Round_To,0)*Round_To*IF(Exclude_Taxes="n",1,0)</f>
        <v>5400</v>
      </c>
      <c r="AF221" s="1147">
        <f>ROUND(IF(OR(AF$4&lt;State_Move_Age,State_Move_Age=""),
IF(AND(AF$218&gt;'Tax Tables'!AF$272,AF$218&lt;='Tax Tables'!AF$273),(AF$218-'Tax Tables'!AF$272)*'Tax Tables'!AF$274,IF(AF$218&gt;'Tax Tables'!AF$277,
('Tax Tables'!AF$277-'Tax Tables'!AF$272)*'Tax Tables'!AF$274)),
IF(AND(AF$218&gt;'Tax Tables'!AF$286,AF$218&lt;='Tax Tables'!AF$287),(AF$218-'Tax Tables'!AF$286)*'Tax Tables'!AF$288,IF(AF$218&gt;'Tax Tables'!AF$291,
('Tax Tables'!AF$291-'Tax Tables'!AF$286)*'Tax Tables'!AF288))
)/Round_To,0)*Round_To*IF(Exclude_Taxes="n",1,0)</f>
        <v>5500</v>
      </c>
      <c r="AG221" s="1147">
        <f>ROUND(IF(OR(AG$4&lt;State_Move_Age,State_Move_Age=""),
IF(AND(AG$218&gt;'Tax Tables'!AG$272,AG$218&lt;='Tax Tables'!AG$273),(AG$218-'Tax Tables'!AG$272)*'Tax Tables'!AG$274,IF(AG$218&gt;'Tax Tables'!AG$277,
('Tax Tables'!AG$277-'Tax Tables'!AG$272)*'Tax Tables'!AG$274)),
IF(AND(AG$218&gt;'Tax Tables'!AG$286,AG$218&lt;='Tax Tables'!AG$287),(AG$218-'Tax Tables'!AG$286)*'Tax Tables'!AG$288,IF(AG$218&gt;'Tax Tables'!AG$291,
('Tax Tables'!AG$291-'Tax Tables'!AG$286)*'Tax Tables'!AG288))
)/Round_To,0)*Round_To*IF(Exclude_Taxes="n",1,0)</f>
        <v>4900</v>
      </c>
      <c r="AH221" s="1147">
        <f>ROUND(IF(OR(AH$4&lt;State_Move_Age,State_Move_Age=""),
IF(AND(AH$218&gt;'Tax Tables'!AH$272,AH$218&lt;='Tax Tables'!AH$273),(AH$218-'Tax Tables'!AH$272)*'Tax Tables'!AH$274,IF(AH$218&gt;'Tax Tables'!AH$277,
('Tax Tables'!AH$277-'Tax Tables'!AH$272)*'Tax Tables'!AH$274)),
IF(AND(AH$218&gt;'Tax Tables'!AH$286,AH$218&lt;='Tax Tables'!AH$287),(AH$218-'Tax Tables'!AH$286)*'Tax Tables'!AH$288,IF(AH$218&gt;'Tax Tables'!AH$291,
('Tax Tables'!AH$291-'Tax Tables'!AH$286)*'Tax Tables'!AH288))
)/Round_To,0)*Round_To*IF(Exclude_Taxes="n",1,0)</f>
        <v>4900</v>
      </c>
      <c r="AI221" s="1147">
        <f>ROUND(IF(OR(AI$4&lt;State_Move_Age,State_Move_Age=""),
IF(AND(AI$218&gt;'Tax Tables'!AI$272,AI$218&lt;='Tax Tables'!AI$273),(AI$218-'Tax Tables'!AI$272)*'Tax Tables'!AI$274,IF(AI$218&gt;'Tax Tables'!AI$277,
('Tax Tables'!AI$277-'Tax Tables'!AI$272)*'Tax Tables'!AI$274)),
IF(AND(AI$218&gt;'Tax Tables'!AI$286,AI$218&lt;='Tax Tables'!AI$287),(AI$218-'Tax Tables'!AI$286)*'Tax Tables'!AI$288,IF(AI$218&gt;'Tax Tables'!AI$291,
('Tax Tables'!AI$291-'Tax Tables'!AI$286)*'Tax Tables'!AI288))
)/Round_To,0)*Round_To*IF(Exclude_Taxes="n",1,0)</f>
        <v>5000</v>
      </c>
      <c r="AJ221" s="1147">
        <f>ROUND(IF(OR(AJ$4&lt;State_Move_Age,State_Move_Age=""),
IF(AND(AJ$218&gt;'Tax Tables'!AJ$272,AJ$218&lt;='Tax Tables'!AJ$273),(AJ$218-'Tax Tables'!AJ$272)*'Tax Tables'!AJ$274,IF(AJ$218&gt;'Tax Tables'!AJ$277,
('Tax Tables'!AJ$277-'Tax Tables'!AJ$272)*'Tax Tables'!AJ$274)),
IF(AND(AJ$218&gt;'Tax Tables'!AJ$286,AJ$218&lt;='Tax Tables'!AJ$287),(AJ$218-'Tax Tables'!AJ$286)*'Tax Tables'!AJ$288,IF(AJ$218&gt;'Tax Tables'!AJ$291,
('Tax Tables'!AJ$291-'Tax Tables'!AJ$286)*'Tax Tables'!AJ288))
)/Round_To,0)*Round_To*IF(Exclude_Taxes="n",1,0)</f>
        <v>0</v>
      </c>
      <c r="AK221" s="1147">
        <f>ROUND(IF(OR(AK$4&lt;State_Move_Age,State_Move_Age=""),
IF(AND(AK$218&gt;'Tax Tables'!AK$272,AK$218&lt;='Tax Tables'!AK$273),(AK$218-'Tax Tables'!AK$272)*'Tax Tables'!AK$274,IF(AK$218&gt;'Tax Tables'!AK$277,
('Tax Tables'!AK$277-'Tax Tables'!AK$272)*'Tax Tables'!AK$274)),
IF(AND(AK$218&gt;'Tax Tables'!AK$286,AK$218&lt;='Tax Tables'!AK$287),(AK$218-'Tax Tables'!AK$286)*'Tax Tables'!AK$288,IF(AK$218&gt;'Tax Tables'!AK$291,
('Tax Tables'!AK$291-'Tax Tables'!AK$286)*'Tax Tables'!AK288))
)/Round_To,0)*Round_To*IF(Exclude_Taxes="n",1,0)</f>
        <v>0</v>
      </c>
      <c r="AL221" s="1147">
        <f>ROUND(IF(OR(AL$4&lt;State_Move_Age,State_Move_Age=""),
IF(AND(AL$218&gt;'Tax Tables'!AL$272,AL$218&lt;='Tax Tables'!AL$273),(AL$218-'Tax Tables'!AL$272)*'Tax Tables'!AL$274,IF(AL$218&gt;'Tax Tables'!AL$277,
('Tax Tables'!AL$277-'Tax Tables'!AL$272)*'Tax Tables'!AL$274)),
IF(AND(AL$218&gt;'Tax Tables'!AL$286,AL$218&lt;='Tax Tables'!AL$287),(AL$218-'Tax Tables'!AL$286)*'Tax Tables'!AL$288,IF(AL$218&gt;'Tax Tables'!AL$291,
('Tax Tables'!AL$291-'Tax Tables'!AL$286)*'Tax Tables'!AL288))
)/Round_To,0)*Round_To*IF(Exclude_Taxes="n",1,0)</f>
        <v>0</v>
      </c>
      <c r="AM221" s="1147">
        <f>ROUND(IF(OR(AM$4&lt;State_Move_Age,State_Move_Age=""),
IF(AND(AM$218&gt;'Tax Tables'!AM$272,AM$218&lt;='Tax Tables'!AM$273),(AM$218-'Tax Tables'!AM$272)*'Tax Tables'!AM$274,IF(AM$218&gt;'Tax Tables'!AM$277,
('Tax Tables'!AM$277-'Tax Tables'!AM$272)*'Tax Tables'!AM$274)),
IF(AND(AM$218&gt;'Tax Tables'!AM$286,AM$218&lt;='Tax Tables'!AM$287),(AM$218-'Tax Tables'!AM$286)*'Tax Tables'!AM$288,IF(AM$218&gt;'Tax Tables'!AM$291,
('Tax Tables'!AM$291-'Tax Tables'!AM$286)*'Tax Tables'!AM288))
)/Round_To,0)*Round_To*IF(Exclude_Taxes="n",1,0)</f>
        <v>0</v>
      </c>
      <c r="AN221" s="1147">
        <f>ROUND(IF(OR(AN$4&lt;State_Move_Age,State_Move_Age=""),
IF(AND(AN$218&gt;'Tax Tables'!AN$272,AN$218&lt;='Tax Tables'!AN$273),(AN$218-'Tax Tables'!AN$272)*'Tax Tables'!AN$274,IF(AN$218&gt;'Tax Tables'!AN$277,
('Tax Tables'!AN$277-'Tax Tables'!AN$272)*'Tax Tables'!AN$274)),
IF(AND(AN$218&gt;'Tax Tables'!AN$286,AN$218&lt;='Tax Tables'!AN$287),(AN$218-'Tax Tables'!AN$286)*'Tax Tables'!AN$288,IF(AN$218&gt;'Tax Tables'!AN$291,
('Tax Tables'!AN$291-'Tax Tables'!AN$286)*'Tax Tables'!AN288))
)/Round_To,0)*Round_To*IF(Exclude_Taxes="n",1,0)</f>
        <v>0</v>
      </c>
      <c r="AO221" s="1147">
        <f>ROUND(IF(OR(AO$4&lt;State_Move_Age,State_Move_Age=""),
IF(AND(AO$218&gt;'Tax Tables'!AO$272,AO$218&lt;='Tax Tables'!AO$273),(AO$218-'Tax Tables'!AO$272)*'Tax Tables'!AO$274,IF(AO$218&gt;'Tax Tables'!AO$277,
('Tax Tables'!AO$277-'Tax Tables'!AO$272)*'Tax Tables'!AO$274)),
IF(AND(AO$218&gt;'Tax Tables'!AO$286,AO$218&lt;='Tax Tables'!AO$287),(AO$218-'Tax Tables'!AO$286)*'Tax Tables'!AO$288,IF(AO$218&gt;'Tax Tables'!AO$291,
('Tax Tables'!AO$291-'Tax Tables'!AO$286)*'Tax Tables'!AO288))
)/Round_To,0)*Round_To*IF(Exclude_Taxes="n",1,0)</f>
        <v>0</v>
      </c>
      <c r="AP221" s="1147">
        <f>ROUND(IF(OR(AP$4&lt;State_Move_Age,State_Move_Age=""),
IF(AND(AP$218&gt;'Tax Tables'!AP$272,AP$218&lt;='Tax Tables'!AP$273),(AP$218-'Tax Tables'!AP$272)*'Tax Tables'!AP$274,IF(AP$218&gt;'Tax Tables'!AP$277,
('Tax Tables'!AP$277-'Tax Tables'!AP$272)*'Tax Tables'!AP$274)),
IF(AND(AP$218&gt;'Tax Tables'!AP$286,AP$218&lt;='Tax Tables'!AP$287),(AP$218-'Tax Tables'!AP$286)*'Tax Tables'!AP$288,IF(AP$218&gt;'Tax Tables'!AP$291,
('Tax Tables'!AP$291-'Tax Tables'!AP$286)*'Tax Tables'!AP288))
)/Round_To,0)*Round_To*IF(Exclude_Taxes="n",1,0)</f>
        <v>0</v>
      </c>
      <c r="AQ221" s="1147">
        <f>ROUND(IF(OR(AQ$4&lt;State_Move_Age,State_Move_Age=""),
IF(AND(AQ$218&gt;'Tax Tables'!AQ$272,AQ$218&lt;='Tax Tables'!AQ$273),(AQ$218-'Tax Tables'!AQ$272)*'Tax Tables'!AQ$274,IF(AQ$218&gt;'Tax Tables'!AQ$277,
('Tax Tables'!AQ$277-'Tax Tables'!AQ$272)*'Tax Tables'!AQ$274)),
IF(AND(AQ$218&gt;'Tax Tables'!AQ$286,AQ$218&lt;='Tax Tables'!AQ$287),(AQ$218-'Tax Tables'!AQ$286)*'Tax Tables'!AQ$288,IF(AQ$218&gt;'Tax Tables'!AQ$291,
('Tax Tables'!AQ$291-'Tax Tables'!AQ$286)*'Tax Tables'!AQ288))
)/Round_To,0)*Round_To*IF(Exclude_Taxes="n",1,0)</f>
        <v>0</v>
      </c>
      <c r="AR221" s="1147">
        <f>ROUND(IF(OR(AR$4&lt;State_Move_Age,State_Move_Age=""),
IF(AND(AR$218&gt;'Tax Tables'!AR$272,AR$218&lt;='Tax Tables'!AR$273),(AR$218-'Tax Tables'!AR$272)*'Tax Tables'!AR$274,IF(AR$218&gt;'Tax Tables'!AR$277,
('Tax Tables'!AR$277-'Tax Tables'!AR$272)*'Tax Tables'!AR$274)),
IF(AND(AR$218&gt;'Tax Tables'!AR$286,AR$218&lt;='Tax Tables'!AR$287),(AR$218-'Tax Tables'!AR$286)*'Tax Tables'!AR$288,IF(AR$218&gt;'Tax Tables'!AR$291,
('Tax Tables'!AR$291-'Tax Tables'!AR$286)*'Tax Tables'!AR288))
)/Round_To,0)*Round_To*IF(Exclude_Taxes="n",1,0)</f>
        <v>0</v>
      </c>
      <c r="AS221" s="1147">
        <f>ROUND(IF(OR(AS$4&lt;State_Move_Age,State_Move_Age=""),
IF(AND(AS$218&gt;'Tax Tables'!AS$272,AS$218&lt;='Tax Tables'!AS$273),(AS$218-'Tax Tables'!AS$272)*'Tax Tables'!AS$274,IF(AS$218&gt;'Tax Tables'!AS$277,
('Tax Tables'!AS$277-'Tax Tables'!AS$272)*'Tax Tables'!AS$274)),
IF(AND(AS$218&gt;'Tax Tables'!AS$286,AS$218&lt;='Tax Tables'!AS$287),(AS$218-'Tax Tables'!AS$286)*'Tax Tables'!AS$288,IF(AS$218&gt;'Tax Tables'!AS$291,
('Tax Tables'!AS$291-'Tax Tables'!AS$286)*'Tax Tables'!AS288))
)/Round_To,0)*Round_To*IF(Exclude_Taxes="n",1,0)</f>
        <v>0</v>
      </c>
      <c r="AT221" s="88"/>
      <c r="AU221" s="15">
        <f>+Base!E221</f>
        <v>56100</v>
      </c>
      <c r="AV221" s="103">
        <f t="shared" si="188"/>
        <v>0</v>
      </c>
      <c r="AW221" s="44"/>
    </row>
    <row r="222" spans="1:49" hidden="1">
      <c r="A222" s="1427" t="s">
        <v>1578</v>
      </c>
      <c r="B222" s="825" t="str">
        <f>State_Br_Per3*100 &amp; "%" &amp; " for over $" &amp; State_Br_Amt2</f>
        <v>4% for over $30000</v>
      </c>
      <c r="C222" s="825" t="str">
        <f>IF(State_Move_Age&gt;0,State2_Br_Per3*100 &amp; "%" &amp; " for over $" &amp; State2_Br_Amt2,"")</f>
        <v>8% for over $80000</v>
      </c>
      <c r="D222" s="67"/>
      <c r="E222" s="34">
        <f t="shared" si="186"/>
        <v>9500</v>
      </c>
      <c r="F222" s="38">
        <f>ROUND(IF(OR(F$4&lt;State_Move_Age,State_Move_Age=""),
IF(F$218&gt;'Tax Tables'!F$277,(F$218-'Tax Tables'!F$277)*'Tax Tables'!F$278,0),
IF(F$218&gt;'Tax Tables'!F$291,(F$218-'Tax Tables'!F$291)*'Tax Tables'!F$292,0))
/Round_To,0)*Round_To*IF(Exclude_Taxes="n",1,0)</f>
        <v>300</v>
      </c>
      <c r="G222" s="1125">
        <f>ROUND(IF(OR(G$4&lt;State_Move_Age,State_Move_Age=""),
IF(G$218&gt;'Tax Tables'!G$277,(G$218-'Tax Tables'!G$277)*'Tax Tables'!G$278,0),
IF(G$218&gt;'Tax Tables'!G$291,(G$218-'Tax Tables'!G$291)*'Tax Tables'!G$292,0))
/Round_To,0)*Round_To*IF(Exclude_Taxes="n",1,0)</f>
        <v>800</v>
      </c>
      <c r="H222" s="1125">
        <f>ROUND(IF(OR(H$4&lt;State_Move_Age,State_Move_Age=""),
IF(H$218&gt;'Tax Tables'!H$277,(H$218-'Tax Tables'!H$277)*'Tax Tables'!H$278,0),
IF(H$218&gt;'Tax Tables'!H$291,(H$218-'Tax Tables'!H$291)*'Tax Tables'!H$292,0))
/Round_To,0)*Round_To*IF(Exclude_Taxes="n",1,0)</f>
        <v>200</v>
      </c>
      <c r="I222" s="1125">
        <f>ROUND(IF(OR(I$4&lt;State_Move_Age,State_Move_Age=""),
IF(I$218&gt;'Tax Tables'!I$277,(I$218-'Tax Tables'!I$277)*'Tax Tables'!I$278,0),
IF(I$218&gt;'Tax Tables'!I$291,(I$218-'Tax Tables'!I$291)*'Tax Tables'!I$292,0))
/Round_To,0)*Round_To*IF(Exclude_Taxes="n",1,0)</f>
        <v>200</v>
      </c>
      <c r="J222" s="1125">
        <f>ROUND(IF(OR(J$4&lt;State_Move_Age,State_Move_Age=""),
IF(J$218&gt;'Tax Tables'!J$277,(J$218-'Tax Tables'!J$277)*'Tax Tables'!J$278,0),
IF(J$218&gt;'Tax Tables'!J$291,(J$218-'Tax Tables'!J$291)*'Tax Tables'!J$292,0))
/Round_To,0)*Round_To*IF(Exclude_Taxes="n",1,0)</f>
        <v>200</v>
      </c>
      <c r="K222" s="1125">
        <f>ROUND(IF(OR(K$4&lt;State_Move_Age,State_Move_Age=""),
IF(K$218&gt;'Tax Tables'!K$277,(K$218-'Tax Tables'!K$277)*'Tax Tables'!K$278,0),
IF(K$218&gt;'Tax Tables'!K$291,(K$218-'Tax Tables'!K$291)*'Tax Tables'!K$292,0))
/Round_To,0)*Round_To*IF(Exclude_Taxes="n",1,0)</f>
        <v>200</v>
      </c>
      <c r="L222" s="1125">
        <f>ROUND(IF(OR(L$4&lt;State_Move_Age,State_Move_Age=""),
IF(L$218&gt;'Tax Tables'!L$277,(L$218-'Tax Tables'!L$277)*'Tax Tables'!L$278,0),
IF(L$218&gt;'Tax Tables'!L$291,(L$218-'Tax Tables'!L$291)*'Tax Tables'!L$292,0))
/Round_To,0)*Round_To*IF(Exclude_Taxes="n",1,0)</f>
        <v>200</v>
      </c>
      <c r="M222" s="1125">
        <f>ROUND(IF(OR(M$4&lt;State_Move_Age,State_Move_Age=""),
IF(M$218&gt;'Tax Tables'!M$277,(M$218-'Tax Tables'!M$277)*'Tax Tables'!M$278,0),
IF(M$218&gt;'Tax Tables'!M$291,(M$218-'Tax Tables'!M$291)*'Tax Tables'!M$292,0))
/Round_To,0)*Round_To*IF(Exclude_Taxes="n",1,0)</f>
        <v>1100</v>
      </c>
      <c r="N222" s="1125">
        <f>ROUND(IF(OR(N$4&lt;State_Move_Age,State_Move_Age=""),
IF(N$218&gt;'Tax Tables'!N$277,(N$218-'Tax Tables'!N$277)*'Tax Tables'!N$278,0),
IF(N$218&gt;'Tax Tables'!N$291,(N$218-'Tax Tables'!N$291)*'Tax Tables'!N$292,0))
/Round_To,0)*Round_To*IF(Exclude_Taxes="n",1,0)</f>
        <v>0</v>
      </c>
      <c r="O222" s="1125">
        <f>ROUND(IF(OR(O$4&lt;State_Move_Age,State_Move_Age=""),
IF(O$218&gt;'Tax Tables'!O$277,(O$218-'Tax Tables'!O$277)*'Tax Tables'!O$278,0),
IF(O$218&gt;'Tax Tables'!O$291,(O$218-'Tax Tables'!O$291)*'Tax Tables'!O$292,0))
/Round_To,0)*Round_To*IF(Exclude_Taxes="n",1,0)</f>
        <v>0</v>
      </c>
      <c r="P222" s="1125">
        <f>ROUND(IF(OR(P$4&lt;State_Move_Age,State_Move_Age=""),
IF(P$218&gt;'Tax Tables'!P$277,(P$218-'Tax Tables'!P$277)*'Tax Tables'!P$278,0),
IF(P$218&gt;'Tax Tables'!P$291,(P$218-'Tax Tables'!P$291)*'Tax Tables'!P$292,0))
/Round_To,0)*Round_To*IF(Exclude_Taxes="n",1,0)</f>
        <v>0</v>
      </c>
      <c r="Q222" s="1125">
        <f>ROUND(IF(OR(Q$4&lt;State_Move_Age,State_Move_Age=""),
IF(Q$218&gt;'Tax Tables'!Q$277,(Q$218-'Tax Tables'!Q$277)*'Tax Tables'!Q$278,0),
IF(Q$218&gt;'Tax Tables'!Q$291,(Q$218-'Tax Tables'!Q$291)*'Tax Tables'!Q$292,0))
/Round_To,0)*Round_To*IF(Exclude_Taxes="n",1,0)</f>
        <v>0</v>
      </c>
      <c r="R222" s="1125">
        <f>ROUND(IF(OR(R$4&lt;State_Move_Age,State_Move_Age=""),
IF(R$218&gt;'Tax Tables'!R$277,(R$218-'Tax Tables'!R$277)*'Tax Tables'!R$278,0),
IF(R$218&gt;'Tax Tables'!R$291,(R$218-'Tax Tables'!R$291)*'Tax Tables'!R$292,0))
/Round_To,0)*Round_To*IF(Exclude_Taxes="n",1,0)</f>
        <v>0</v>
      </c>
      <c r="S222" s="1125">
        <f>ROUND(IF(OR(S$4&lt;State_Move_Age,State_Move_Age=""),
IF(S$218&gt;'Tax Tables'!S$277,(S$218-'Tax Tables'!S$277)*'Tax Tables'!S$278,0),
IF(S$218&gt;'Tax Tables'!S$291,(S$218-'Tax Tables'!S$291)*'Tax Tables'!S$292,0))
/Round_To,0)*Round_To*IF(Exclude_Taxes="n",1,0)</f>
        <v>0</v>
      </c>
      <c r="T222" s="1125">
        <f>ROUND(IF(OR(T$4&lt;State_Move_Age,State_Move_Age=""),
IF(T$218&gt;'Tax Tables'!T$277,(T$218-'Tax Tables'!T$277)*'Tax Tables'!T$278,0),
IF(T$218&gt;'Tax Tables'!T$291,(T$218-'Tax Tables'!T$291)*'Tax Tables'!T$292,0))
/Round_To,0)*Round_To*IF(Exclude_Taxes="n",1,0)</f>
        <v>300</v>
      </c>
      <c r="U222" s="1125">
        <f>ROUND(IF(OR(U$4&lt;State_Move_Age,State_Move_Age=""),
IF(U$218&gt;'Tax Tables'!U$277,(U$218-'Tax Tables'!U$277)*'Tax Tables'!U$278,0),
IF(U$218&gt;'Tax Tables'!U$291,(U$218-'Tax Tables'!U$291)*'Tax Tables'!U$292,0))
/Round_To,0)*Round_To*IF(Exclude_Taxes="n",1,0)</f>
        <v>600</v>
      </c>
      <c r="V222" s="1125">
        <f>ROUND(IF(OR(V$4&lt;State_Move_Age,State_Move_Age=""),
IF(V$218&gt;'Tax Tables'!V$277,(V$218-'Tax Tables'!V$277)*'Tax Tables'!V$278,0),
IF(V$218&gt;'Tax Tables'!V$291,(V$218-'Tax Tables'!V$291)*'Tax Tables'!V$292,0))
/Round_To,0)*Round_To*IF(Exclude_Taxes="n",1,0)</f>
        <v>900</v>
      </c>
      <c r="W222" s="1125">
        <f>ROUND(IF(OR(W$4&lt;State_Move_Age,State_Move_Age=""),
IF(W$218&gt;'Tax Tables'!W$277,(W$218-'Tax Tables'!W$277)*'Tax Tables'!W$278,0),
IF(W$218&gt;'Tax Tables'!W$291,(W$218-'Tax Tables'!W$291)*'Tax Tables'!W$292,0))
/Round_To,0)*Round_To*IF(Exclude_Taxes="n",1,0)</f>
        <v>1000</v>
      </c>
      <c r="X222" s="1125">
        <f>ROUND(IF(OR(X$4&lt;State_Move_Age,State_Move_Age=""),
IF(X$218&gt;'Tax Tables'!X$277,(X$218-'Tax Tables'!X$277)*'Tax Tables'!X$278,0),
IF(X$218&gt;'Tax Tables'!X$291,(X$218-'Tax Tables'!X$291)*'Tax Tables'!X$292,0))
/Round_To,0)*Round_To*IF(Exclude_Taxes="n",1,0)</f>
        <v>800</v>
      </c>
      <c r="Y222" s="1125">
        <f>ROUND(IF(OR(Y$4&lt;State_Move_Age,State_Move_Age=""),
IF(Y$218&gt;'Tax Tables'!Y$277,(Y$218-'Tax Tables'!Y$277)*'Tax Tables'!Y$278,0),
IF(Y$218&gt;'Tax Tables'!Y$291,(Y$218-'Tax Tables'!Y$291)*'Tax Tables'!Y$292,0))
/Round_To,0)*Round_To*IF(Exclude_Taxes="n",1,0)</f>
        <v>800</v>
      </c>
      <c r="Z222" s="1125">
        <f>ROUND(IF(OR(Z$4&lt;State_Move_Age,State_Move_Age=""),
IF(Z$218&gt;'Tax Tables'!Z$277,(Z$218-'Tax Tables'!Z$277)*'Tax Tables'!Z$278,0),
IF(Z$218&gt;'Tax Tables'!Z$291,(Z$218-'Tax Tables'!Z$291)*'Tax Tables'!Z$292,0))
/Round_To,0)*Round_To*IF(Exclude_Taxes="n",1,0)</f>
        <v>900</v>
      </c>
      <c r="AA222" s="1125">
        <f>ROUND(IF(OR(AA$4&lt;State_Move_Age,State_Move_Age=""),
IF(AA$218&gt;'Tax Tables'!AA$277,(AA$218-'Tax Tables'!AA$277)*'Tax Tables'!AA$278,0),
IF(AA$218&gt;'Tax Tables'!AA$291,(AA$218-'Tax Tables'!AA$291)*'Tax Tables'!AA$292,0))
/Round_To,0)*Round_To*IF(Exclude_Taxes="n",1,0)</f>
        <v>1000</v>
      </c>
      <c r="AB222" s="1125">
        <f>ROUND(IF(OR(AB$4&lt;State_Move_Age,State_Move_Age=""),
IF(AB$218&gt;'Tax Tables'!AB$277,(AB$218-'Tax Tables'!AB$277)*'Tax Tables'!AB$278,0),
IF(AB$218&gt;'Tax Tables'!AB$291,(AB$218-'Tax Tables'!AB$291)*'Tax Tables'!AB$292,0))
/Round_To,0)*Round_To*IF(Exclude_Taxes="n",1,0)</f>
        <v>0</v>
      </c>
      <c r="AC222" s="1125">
        <f>ROUND(IF(OR(AC$4&lt;State_Move_Age,State_Move_Age=""),
IF(AC$218&gt;'Tax Tables'!AC$277,(AC$218-'Tax Tables'!AC$277)*'Tax Tables'!AC$278,0),
IF(AC$218&gt;'Tax Tables'!AC$291,(AC$218-'Tax Tables'!AC$291)*'Tax Tables'!AC$292,0))
/Round_To,0)*Round_To*IF(Exclude_Taxes="n",1,0)</f>
        <v>0</v>
      </c>
      <c r="AD222" s="1125">
        <f>ROUND(IF(OR(AD$4&lt;State_Move_Age,State_Move_Age=""),
IF(AD$218&gt;'Tax Tables'!AD$277,(AD$218-'Tax Tables'!AD$277)*'Tax Tables'!AD$278,0),
IF(AD$218&gt;'Tax Tables'!AD$291,(AD$218-'Tax Tables'!AD$291)*'Tax Tables'!AD$292,0))
/Round_To,0)*Round_To*IF(Exclude_Taxes="n",1,0)</f>
        <v>0</v>
      </c>
      <c r="AE222" s="1125">
        <f>ROUND(IF(OR(AE$4&lt;State_Move_Age,State_Move_Age=""),
IF(AE$218&gt;'Tax Tables'!AE$277,(AE$218-'Tax Tables'!AE$277)*'Tax Tables'!AE$278,0),
IF(AE$218&gt;'Tax Tables'!AE$291,(AE$218-'Tax Tables'!AE$291)*'Tax Tables'!AE$292,0))
/Round_To,0)*Round_To*IF(Exclude_Taxes="n",1,0)</f>
        <v>0</v>
      </c>
      <c r="AF222" s="1125">
        <f>ROUND(IF(OR(AF$4&lt;State_Move_Age,State_Move_Age=""),
IF(AF$218&gt;'Tax Tables'!AF$277,(AF$218-'Tax Tables'!AF$277)*'Tax Tables'!AF$278,0),
IF(AF$218&gt;'Tax Tables'!AF$291,(AF$218-'Tax Tables'!AF$291)*'Tax Tables'!AF$292,0))
/Round_To,0)*Round_To*IF(Exclude_Taxes="n",1,0)</f>
        <v>0</v>
      </c>
      <c r="AG222" s="1125">
        <f>ROUND(IF(OR(AG$4&lt;State_Move_Age,State_Move_Age=""),
IF(AG$218&gt;'Tax Tables'!AG$277,(AG$218-'Tax Tables'!AG$277)*'Tax Tables'!AG$278,0),
IF(AG$218&gt;'Tax Tables'!AG$291,(AG$218-'Tax Tables'!AG$291)*'Tax Tables'!AG$292,0))
/Round_To,0)*Round_To*IF(Exclude_Taxes="n",1,0)</f>
        <v>0</v>
      </c>
      <c r="AH222" s="1125">
        <f>ROUND(IF(OR(AH$4&lt;State_Move_Age,State_Move_Age=""),
IF(AH$218&gt;'Tax Tables'!AH$277,(AH$218-'Tax Tables'!AH$277)*'Tax Tables'!AH$278,0),
IF(AH$218&gt;'Tax Tables'!AH$291,(AH$218-'Tax Tables'!AH$291)*'Tax Tables'!AH$292,0))
/Round_To,0)*Round_To*IF(Exclude_Taxes="n",1,0)</f>
        <v>0</v>
      </c>
      <c r="AI222" s="1125">
        <f>ROUND(IF(OR(AI$4&lt;State_Move_Age,State_Move_Age=""),
IF(AI$218&gt;'Tax Tables'!AI$277,(AI$218-'Tax Tables'!AI$277)*'Tax Tables'!AI$278,0),
IF(AI$218&gt;'Tax Tables'!AI$291,(AI$218-'Tax Tables'!AI$291)*'Tax Tables'!AI$292,0))
/Round_To,0)*Round_To*IF(Exclude_Taxes="n",1,0)</f>
        <v>0</v>
      </c>
      <c r="AJ222" s="1125">
        <f>ROUND(IF(OR(AJ$4&lt;State_Move_Age,State_Move_Age=""),
IF(AJ$218&gt;'Tax Tables'!AJ$277,(AJ$218-'Tax Tables'!AJ$277)*'Tax Tables'!AJ$278,0),
IF(AJ$218&gt;'Tax Tables'!AJ$291,(AJ$218-'Tax Tables'!AJ$291)*'Tax Tables'!AJ$292,0))
/Round_To,0)*Round_To*IF(Exclude_Taxes="n",1,0)</f>
        <v>0</v>
      </c>
      <c r="AK222" s="1125">
        <f>ROUND(IF(OR(AK$4&lt;State_Move_Age,State_Move_Age=""),
IF(AK$218&gt;'Tax Tables'!AK$277,(AK$218-'Tax Tables'!AK$277)*'Tax Tables'!AK$278,0),
IF(AK$218&gt;'Tax Tables'!AK$291,(AK$218-'Tax Tables'!AK$291)*'Tax Tables'!AK$292,0))
/Round_To,0)*Round_To*IF(Exclude_Taxes="n",1,0)</f>
        <v>0</v>
      </c>
      <c r="AL222" s="1125">
        <f>ROUND(IF(OR(AL$4&lt;State_Move_Age,State_Move_Age=""),
IF(AL$218&gt;'Tax Tables'!AL$277,(AL$218-'Tax Tables'!AL$277)*'Tax Tables'!AL$278,0),
IF(AL$218&gt;'Tax Tables'!AL$291,(AL$218-'Tax Tables'!AL$291)*'Tax Tables'!AL$292,0))
/Round_To,0)*Round_To*IF(Exclude_Taxes="n",1,0)</f>
        <v>0</v>
      </c>
      <c r="AM222" s="1125">
        <f>ROUND(IF(OR(AM$4&lt;State_Move_Age,State_Move_Age=""),
IF(AM$218&gt;'Tax Tables'!AM$277,(AM$218-'Tax Tables'!AM$277)*'Tax Tables'!AM$278,0),
IF(AM$218&gt;'Tax Tables'!AM$291,(AM$218-'Tax Tables'!AM$291)*'Tax Tables'!AM$292,0))
/Round_To,0)*Round_To*IF(Exclude_Taxes="n",1,0)</f>
        <v>0</v>
      </c>
      <c r="AN222" s="1125">
        <f>ROUND(IF(OR(AN$4&lt;State_Move_Age,State_Move_Age=""),
IF(AN$218&gt;'Tax Tables'!AN$277,(AN$218-'Tax Tables'!AN$277)*'Tax Tables'!AN$278,0),
IF(AN$218&gt;'Tax Tables'!AN$291,(AN$218-'Tax Tables'!AN$291)*'Tax Tables'!AN$292,0))
/Round_To,0)*Round_To*IF(Exclude_Taxes="n",1,0)</f>
        <v>0</v>
      </c>
      <c r="AO222" s="1125">
        <f>ROUND(IF(OR(AO$4&lt;State_Move_Age,State_Move_Age=""),
IF(AO$218&gt;'Tax Tables'!AO$277,(AO$218-'Tax Tables'!AO$277)*'Tax Tables'!AO$278,0),
IF(AO$218&gt;'Tax Tables'!AO$291,(AO$218-'Tax Tables'!AO$291)*'Tax Tables'!AO$292,0))
/Round_To,0)*Round_To*IF(Exclude_Taxes="n",1,0)</f>
        <v>0</v>
      </c>
      <c r="AP222" s="1125">
        <f>ROUND(IF(OR(AP$4&lt;State_Move_Age,State_Move_Age=""),
IF(AP$218&gt;'Tax Tables'!AP$277,(AP$218-'Tax Tables'!AP$277)*'Tax Tables'!AP$278,0),
IF(AP$218&gt;'Tax Tables'!AP$291,(AP$218-'Tax Tables'!AP$291)*'Tax Tables'!AP$292,0))
/Round_To,0)*Round_To*IF(Exclude_Taxes="n",1,0)</f>
        <v>0</v>
      </c>
      <c r="AQ222" s="1125">
        <f>ROUND(IF(OR(AQ$4&lt;State_Move_Age,State_Move_Age=""),
IF(AQ$218&gt;'Tax Tables'!AQ$277,(AQ$218-'Tax Tables'!AQ$277)*'Tax Tables'!AQ$278,0),
IF(AQ$218&gt;'Tax Tables'!AQ$291,(AQ$218-'Tax Tables'!AQ$291)*'Tax Tables'!AQ$292,0))
/Round_To,0)*Round_To*IF(Exclude_Taxes="n",1,0)</f>
        <v>0</v>
      </c>
      <c r="AR222" s="1125">
        <f>ROUND(IF(OR(AR$4&lt;State_Move_Age,State_Move_Age=""),
IF(AR$218&gt;'Tax Tables'!AR$277,(AR$218-'Tax Tables'!AR$277)*'Tax Tables'!AR$278,0),
IF(AR$218&gt;'Tax Tables'!AR$291,(AR$218-'Tax Tables'!AR$291)*'Tax Tables'!AR$292,0))
/Round_To,0)*Round_To*IF(Exclude_Taxes="n",1,0)</f>
        <v>0</v>
      </c>
      <c r="AS222" s="1125">
        <f>ROUND(IF(OR(AS$4&lt;State_Move_Age,State_Move_Age=""),
IF(AS$218&gt;'Tax Tables'!AS$277,(AS$218-'Tax Tables'!AS$277)*'Tax Tables'!AS$278,0),
IF(AS$218&gt;'Tax Tables'!AS$291,(AS$218-'Tax Tables'!AS$291)*'Tax Tables'!AS$292,0))
/Round_To,0)*Round_To*IF(Exclude_Taxes="n",1,0)</f>
        <v>0</v>
      </c>
      <c r="AT222" s="88"/>
      <c r="AU222" s="82">
        <f>+Base!E222</f>
        <v>9500</v>
      </c>
      <c r="AV222" s="83">
        <f t="shared" si="188"/>
        <v>0</v>
      </c>
      <c r="AW222" s="44"/>
    </row>
    <row r="223" spans="1:49" ht="19.95" customHeight="1">
      <c r="A223" s="1425"/>
      <c r="B223" s="424" t="s">
        <v>1103</v>
      </c>
      <c r="D223" s="1375" t="str">
        <f>IF(State_Method="bracket"," using","")</f>
        <v xml:space="preserve"> using</v>
      </c>
      <c r="E223" s="102">
        <f>+E220+E221+E222</f>
        <v>88700</v>
      </c>
      <c r="F223" s="102">
        <f>IF((+F220+F221+F222)&lt;0,0,+F220+F221+F222)</f>
        <v>1100</v>
      </c>
      <c r="G223" s="1124">
        <f t="shared" ref="G223:AS223" si="194">IF((+G220+G221+G222)&lt;0,0,+G220+G221+G222)</f>
        <v>1600</v>
      </c>
      <c r="H223" s="1124">
        <f t="shared" si="194"/>
        <v>1000</v>
      </c>
      <c r="I223" s="1124">
        <f t="shared" si="194"/>
        <v>1000</v>
      </c>
      <c r="J223" s="1124">
        <f t="shared" si="194"/>
        <v>1100</v>
      </c>
      <c r="K223" s="1124">
        <f t="shared" si="194"/>
        <v>1100</v>
      </c>
      <c r="L223" s="1124">
        <f t="shared" si="194"/>
        <v>1100</v>
      </c>
      <c r="M223" s="1124">
        <f t="shared" si="194"/>
        <v>2000</v>
      </c>
      <c r="N223" s="1124">
        <f t="shared" si="194"/>
        <v>600</v>
      </c>
      <c r="O223" s="1124">
        <f t="shared" si="194"/>
        <v>600</v>
      </c>
      <c r="P223" s="1124">
        <f t="shared" si="194"/>
        <v>600</v>
      </c>
      <c r="Q223" s="1124">
        <f t="shared" si="194"/>
        <v>700</v>
      </c>
      <c r="R223" s="1124">
        <f t="shared" si="194"/>
        <v>900</v>
      </c>
      <c r="S223" s="1124">
        <f t="shared" si="194"/>
        <v>1000</v>
      </c>
      <c r="T223" s="1124">
        <f t="shared" si="194"/>
        <v>1400</v>
      </c>
      <c r="U223" s="1124">
        <f t="shared" si="194"/>
        <v>1700</v>
      </c>
      <c r="V223" s="1124">
        <f t="shared" si="194"/>
        <v>2100</v>
      </c>
      <c r="W223" s="1124">
        <f t="shared" si="194"/>
        <v>2200</v>
      </c>
      <c r="X223" s="1124">
        <f t="shared" si="194"/>
        <v>2000</v>
      </c>
      <c r="Y223" s="1124">
        <f t="shared" si="194"/>
        <v>2000</v>
      </c>
      <c r="Z223" s="1124">
        <f t="shared" si="194"/>
        <v>2100</v>
      </c>
      <c r="AA223" s="1124">
        <f t="shared" si="194"/>
        <v>2300</v>
      </c>
      <c r="AB223" s="1124">
        <f t="shared" si="194"/>
        <v>6700</v>
      </c>
      <c r="AC223" s="1124">
        <f t="shared" si="194"/>
        <v>7400</v>
      </c>
      <c r="AD223" s="1124">
        <f t="shared" si="194"/>
        <v>7300</v>
      </c>
      <c r="AE223" s="1124">
        <f t="shared" si="194"/>
        <v>7600</v>
      </c>
      <c r="AF223" s="1124">
        <f t="shared" si="194"/>
        <v>7700</v>
      </c>
      <c r="AG223" s="1124">
        <f t="shared" si="194"/>
        <v>7200</v>
      </c>
      <c r="AH223" s="1124">
        <f t="shared" si="194"/>
        <v>7200</v>
      </c>
      <c r="AI223" s="1124">
        <f t="shared" si="194"/>
        <v>7400</v>
      </c>
      <c r="AJ223" s="1124">
        <f t="shared" si="194"/>
        <v>0</v>
      </c>
      <c r="AK223" s="1124">
        <f t="shared" si="194"/>
        <v>0</v>
      </c>
      <c r="AL223" s="1124">
        <f t="shared" si="194"/>
        <v>0</v>
      </c>
      <c r="AM223" s="1124">
        <f t="shared" si="194"/>
        <v>0</v>
      </c>
      <c r="AN223" s="1124">
        <f t="shared" si="194"/>
        <v>0</v>
      </c>
      <c r="AO223" s="1124">
        <f t="shared" si="194"/>
        <v>0</v>
      </c>
      <c r="AP223" s="1124">
        <f t="shared" si="194"/>
        <v>0</v>
      </c>
      <c r="AQ223" s="1124">
        <f t="shared" si="194"/>
        <v>0</v>
      </c>
      <c r="AR223" s="1124">
        <f t="shared" si="194"/>
        <v>0</v>
      </c>
      <c r="AS223" s="1124">
        <f t="shared" si="194"/>
        <v>0</v>
      </c>
      <c r="AT223" s="88"/>
      <c r="AU223" s="15">
        <f>+Base!E223</f>
        <v>88700</v>
      </c>
      <c r="AV223" s="103">
        <f t="shared" si="188"/>
        <v>0</v>
      </c>
      <c r="AW223" s="44"/>
    </row>
    <row r="224" spans="1:49" ht="4.95" customHeight="1">
      <c r="A224" s="1425"/>
      <c r="B224" s="825"/>
      <c r="D224" s="67"/>
      <c r="E224" s="102"/>
      <c r="F224" s="31"/>
      <c r="G224" s="31"/>
      <c r="H224" s="31"/>
      <c r="I224" s="31"/>
      <c r="J224" s="31"/>
      <c r="K224" s="31"/>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c r="AI224" s="31"/>
      <c r="AJ224" s="31"/>
      <c r="AK224" s="31"/>
      <c r="AL224" s="31"/>
      <c r="AM224" s="31"/>
      <c r="AN224" s="31"/>
      <c r="AO224" s="31"/>
      <c r="AP224" s="31"/>
      <c r="AQ224" s="31"/>
      <c r="AR224" s="31"/>
      <c r="AS224" s="31"/>
      <c r="AT224" s="88"/>
      <c r="AU224" s="15"/>
      <c r="AV224" s="103"/>
      <c r="AW224" s="44"/>
    </row>
    <row r="225" spans="1:49" ht="15.6">
      <c r="A225" s="1425"/>
      <c r="B225" s="827" t="str">
        <f>"State taxes by percent of state AGI - " &amp; State_Rate*100 &amp; "% then " &amp; IF(State_Move_Age&gt;0,State_Rate2*100 &amp; "%","")</f>
        <v>State taxes by percent of state AGI - 1% then 2%</v>
      </c>
      <c r="D225" s="1375" t="str">
        <f>IF(State_Method="percent","using","")</f>
        <v/>
      </c>
      <c r="E225" s="102">
        <f>SUM(F225:AS225)</f>
        <v>37600</v>
      </c>
      <c r="F225" s="88">
        <f t="shared" ref="F225:AS225" si="195">ROUND(IF(AND(State_Move_Age&lt;=F$4,State_Move_Age&lt;&gt;0),+F$212*State_Rate2,+F$212*State_Rate)/Round_To,0)*Round_To*IF(Exclude_Taxes="y",0,1)</f>
        <v>700</v>
      </c>
      <c r="G225" s="1124">
        <f t="shared" si="195"/>
        <v>800</v>
      </c>
      <c r="H225" s="1124">
        <f t="shared" si="195"/>
        <v>700</v>
      </c>
      <c r="I225" s="1124">
        <f t="shared" si="195"/>
        <v>700</v>
      </c>
      <c r="J225" s="1124">
        <f t="shared" si="195"/>
        <v>700</v>
      </c>
      <c r="K225" s="1124">
        <f t="shared" si="195"/>
        <v>700</v>
      </c>
      <c r="L225" s="1124">
        <f t="shared" si="195"/>
        <v>800</v>
      </c>
      <c r="M225" s="1124">
        <f t="shared" si="195"/>
        <v>800</v>
      </c>
      <c r="N225" s="1124">
        <f t="shared" si="195"/>
        <v>400</v>
      </c>
      <c r="O225" s="1124">
        <f t="shared" si="195"/>
        <v>400</v>
      </c>
      <c r="P225" s="1124">
        <f t="shared" si="195"/>
        <v>400</v>
      </c>
      <c r="Q225" s="1124">
        <f t="shared" si="195"/>
        <v>400</v>
      </c>
      <c r="R225" s="1124">
        <f t="shared" si="195"/>
        <v>500</v>
      </c>
      <c r="S225" s="1124">
        <f t="shared" si="195"/>
        <v>500</v>
      </c>
      <c r="T225" s="1124">
        <f t="shared" si="195"/>
        <v>700</v>
      </c>
      <c r="U225" s="1124">
        <f t="shared" si="195"/>
        <v>800</v>
      </c>
      <c r="V225" s="1124">
        <f t="shared" si="195"/>
        <v>900</v>
      </c>
      <c r="W225" s="1124">
        <f t="shared" si="195"/>
        <v>900</v>
      </c>
      <c r="X225" s="1124">
        <f t="shared" si="195"/>
        <v>800</v>
      </c>
      <c r="Y225" s="1124">
        <f t="shared" si="195"/>
        <v>900</v>
      </c>
      <c r="Z225" s="1124">
        <f t="shared" si="195"/>
        <v>900</v>
      </c>
      <c r="AA225" s="1124">
        <f t="shared" si="195"/>
        <v>1000</v>
      </c>
      <c r="AB225" s="1124">
        <f t="shared" si="195"/>
        <v>2800</v>
      </c>
      <c r="AC225" s="1124">
        <f t="shared" si="195"/>
        <v>3000</v>
      </c>
      <c r="AD225" s="1124">
        <f t="shared" si="195"/>
        <v>2700</v>
      </c>
      <c r="AE225" s="1124">
        <f t="shared" si="195"/>
        <v>2700</v>
      </c>
      <c r="AF225" s="1124">
        <f t="shared" si="195"/>
        <v>2800</v>
      </c>
      <c r="AG225" s="1124">
        <f t="shared" si="195"/>
        <v>2700</v>
      </c>
      <c r="AH225" s="1124">
        <f t="shared" si="195"/>
        <v>2700</v>
      </c>
      <c r="AI225" s="1124">
        <f t="shared" si="195"/>
        <v>2800</v>
      </c>
      <c r="AJ225" s="1124">
        <f t="shared" si="195"/>
        <v>0</v>
      </c>
      <c r="AK225" s="1124">
        <f t="shared" si="195"/>
        <v>0</v>
      </c>
      <c r="AL225" s="1124">
        <f t="shared" si="195"/>
        <v>0</v>
      </c>
      <c r="AM225" s="1124">
        <f t="shared" si="195"/>
        <v>0</v>
      </c>
      <c r="AN225" s="1124">
        <f t="shared" si="195"/>
        <v>0</v>
      </c>
      <c r="AO225" s="1124">
        <f t="shared" si="195"/>
        <v>0</v>
      </c>
      <c r="AP225" s="1124">
        <f t="shared" si="195"/>
        <v>0</v>
      </c>
      <c r="AQ225" s="1124">
        <f t="shared" si="195"/>
        <v>0</v>
      </c>
      <c r="AR225" s="1124">
        <f t="shared" si="195"/>
        <v>0</v>
      </c>
      <c r="AS225" s="1124">
        <f t="shared" si="195"/>
        <v>0</v>
      </c>
      <c r="AT225" s="88"/>
      <c r="AU225" s="15">
        <f>+Base!E225</f>
        <v>37600</v>
      </c>
      <c r="AV225" s="103">
        <f t="shared" si="188"/>
        <v>0</v>
      </c>
      <c r="AW225" s="44"/>
    </row>
    <row r="226" spans="1:49">
      <c r="A226" s="1425"/>
      <c r="B226" s="72"/>
      <c r="D226" s="29"/>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c r="AQ226" s="88"/>
      <c r="AR226" s="88"/>
      <c r="AS226" s="88"/>
      <c r="AT226" s="88"/>
      <c r="AU226" s="88"/>
      <c r="AV226" s="88"/>
      <c r="AW226" s="44"/>
    </row>
    <row r="227" spans="1:49" ht="17.399999999999999">
      <c r="A227" s="1425"/>
      <c r="B227" s="1026" t="s">
        <v>1317</v>
      </c>
      <c r="C227" s="145"/>
      <c r="D227" s="829" t="str">
        <f>"using " &amp; State_Method</f>
        <v>using bracket</v>
      </c>
      <c r="E227" s="102">
        <f>SUM(F227:AS227)</f>
        <v>88700</v>
      </c>
      <c r="F227" s="88">
        <f t="shared" ref="F227:AS227" si="196">IF(State_Method="percent",F225,F223)</f>
        <v>1100</v>
      </c>
      <c r="G227" s="1124">
        <f t="shared" si="196"/>
        <v>1600</v>
      </c>
      <c r="H227" s="1124">
        <f t="shared" si="196"/>
        <v>1000</v>
      </c>
      <c r="I227" s="1124">
        <f t="shared" si="196"/>
        <v>1000</v>
      </c>
      <c r="J227" s="1124">
        <f t="shared" si="196"/>
        <v>1100</v>
      </c>
      <c r="K227" s="1124">
        <f t="shared" si="196"/>
        <v>1100</v>
      </c>
      <c r="L227" s="1124">
        <f t="shared" si="196"/>
        <v>1100</v>
      </c>
      <c r="M227" s="1124">
        <f t="shared" si="196"/>
        <v>2000</v>
      </c>
      <c r="N227" s="1124">
        <f t="shared" si="196"/>
        <v>600</v>
      </c>
      <c r="O227" s="1124">
        <f t="shared" si="196"/>
        <v>600</v>
      </c>
      <c r="P227" s="1124">
        <f t="shared" si="196"/>
        <v>600</v>
      </c>
      <c r="Q227" s="1124">
        <f t="shared" si="196"/>
        <v>700</v>
      </c>
      <c r="R227" s="1124">
        <f t="shared" si="196"/>
        <v>900</v>
      </c>
      <c r="S227" s="1124">
        <f t="shared" si="196"/>
        <v>1000</v>
      </c>
      <c r="T227" s="1124">
        <f t="shared" si="196"/>
        <v>1400</v>
      </c>
      <c r="U227" s="1124">
        <f t="shared" si="196"/>
        <v>1700</v>
      </c>
      <c r="V227" s="1124">
        <f t="shared" si="196"/>
        <v>2100</v>
      </c>
      <c r="W227" s="1124">
        <f t="shared" si="196"/>
        <v>2200</v>
      </c>
      <c r="X227" s="1124">
        <f t="shared" si="196"/>
        <v>2000</v>
      </c>
      <c r="Y227" s="1124">
        <f t="shared" si="196"/>
        <v>2000</v>
      </c>
      <c r="Z227" s="1124">
        <f t="shared" si="196"/>
        <v>2100</v>
      </c>
      <c r="AA227" s="1124">
        <f t="shared" si="196"/>
        <v>2300</v>
      </c>
      <c r="AB227" s="1124">
        <f t="shared" si="196"/>
        <v>6700</v>
      </c>
      <c r="AC227" s="1124">
        <f t="shared" si="196"/>
        <v>7400</v>
      </c>
      <c r="AD227" s="1124">
        <f t="shared" si="196"/>
        <v>7300</v>
      </c>
      <c r="AE227" s="1124">
        <f t="shared" si="196"/>
        <v>7600</v>
      </c>
      <c r="AF227" s="1124">
        <f t="shared" si="196"/>
        <v>7700</v>
      </c>
      <c r="AG227" s="1124">
        <f t="shared" si="196"/>
        <v>7200</v>
      </c>
      <c r="AH227" s="1124">
        <f t="shared" si="196"/>
        <v>7200</v>
      </c>
      <c r="AI227" s="1124">
        <f t="shared" si="196"/>
        <v>7400</v>
      </c>
      <c r="AJ227" s="1124">
        <f t="shared" si="196"/>
        <v>0</v>
      </c>
      <c r="AK227" s="1124">
        <f t="shared" si="196"/>
        <v>0</v>
      </c>
      <c r="AL227" s="1124">
        <f t="shared" si="196"/>
        <v>0</v>
      </c>
      <c r="AM227" s="1124">
        <f t="shared" si="196"/>
        <v>0</v>
      </c>
      <c r="AN227" s="1124">
        <f t="shared" si="196"/>
        <v>0</v>
      </c>
      <c r="AO227" s="1124">
        <f t="shared" si="196"/>
        <v>0</v>
      </c>
      <c r="AP227" s="1124">
        <f t="shared" si="196"/>
        <v>0</v>
      </c>
      <c r="AQ227" s="1124">
        <f t="shared" si="196"/>
        <v>0</v>
      </c>
      <c r="AR227" s="1124">
        <f t="shared" si="196"/>
        <v>0</v>
      </c>
      <c r="AS227" s="1124">
        <f t="shared" si="196"/>
        <v>0</v>
      </c>
      <c r="AT227" s="89"/>
      <c r="AU227" s="15">
        <f>+Base!E227</f>
        <v>88700</v>
      </c>
      <c r="AV227" s="103">
        <f>+E227-AU227</f>
        <v>0</v>
      </c>
      <c r="AW227" s="102"/>
    </row>
    <row r="228" spans="1:49" ht="15.6">
      <c r="A228" s="1425"/>
      <c r="B228" s="72" t="s">
        <v>1315</v>
      </c>
      <c r="C228" s="173"/>
      <c r="D228" s="173"/>
      <c r="E228" s="44">
        <f>+E227/E218</f>
        <v>4.5311741717963781E-2</v>
      </c>
      <c r="F228" s="44">
        <f t="shared" ref="F228:AS228" si="197">IF(F218=0,0,+F227/F218)</f>
        <v>3.0054644808743168E-2</v>
      </c>
      <c r="G228" s="44">
        <f t="shared" si="197"/>
        <v>3.0858244937319191E-2</v>
      </c>
      <c r="H228" s="44">
        <f t="shared" si="197"/>
        <v>2.6990553306342781E-2</v>
      </c>
      <c r="I228" s="44">
        <f t="shared" si="197"/>
        <v>2.6917900403768506E-2</v>
      </c>
      <c r="J228" s="44">
        <f t="shared" si="197"/>
        <v>2.9490616621983913E-2</v>
      </c>
      <c r="K228" s="44">
        <f t="shared" si="197"/>
        <v>2.9100529100529099E-2</v>
      </c>
      <c r="L228" s="44">
        <f t="shared" si="197"/>
        <v>2.8497409326424871E-2</v>
      </c>
      <c r="M228" s="44">
        <f t="shared" si="197"/>
        <v>3.1821797931583136E-2</v>
      </c>
      <c r="N228" s="44">
        <f t="shared" si="197"/>
        <v>2.4489795918367346E-2</v>
      </c>
      <c r="O228" s="44">
        <f t="shared" si="197"/>
        <v>2.3762376237623763E-2</v>
      </c>
      <c r="P228" s="44">
        <f t="shared" si="197"/>
        <v>2.34375E-2</v>
      </c>
      <c r="Q228" s="44">
        <f t="shared" si="197"/>
        <v>2.6168224299065422E-2</v>
      </c>
      <c r="R228" s="44">
        <f t="shared" si="197"/>
        <v>2.7314112291350532E-2</v>
      </c>
      <c r="S228" s="44">
        <f t="shared" si="197"/>
        <v>2.8530670470756064E-2</v>
      </c>
      <c r="T228" s="44">
        <f t="shared" si="197"/>
        <v>2.8776978417266189E-2</v>
      </c>
      <c r="U228" s="44">
        <f t="shared" si="197"/>
        <v>3.0330062444246207E-2</v>
      </c>
      <c r="V228" s="44">
        <f t="shared" si="197"/>
        <v>3.2085561497326207E-2</v>
      </c>
      <c r="W228" s="44">
        <f t="shared" si="197"/>
        <v>3.1631919482386771E-2</v>
      </c>
      <c r="X228" s="44">
        <f t="shared" si="197"/>
        <v>3.1152647975077882E-2</v>
      </c>
      <c r="Y228" s="44">
        <f t="shared" si="197"/>
        <v>3.0234315948601664E-2</v>
      </c>
      <c r="Z228" s="44">
        <f t="shared" si="197"/>
        <v>3.0107526881720432E-2</v>
      </c>
      <c r="AA228" s="44">
        <f t="shared" si="197"/>
        <v>3.1228784792939578E-2</v>
      </c>
      <c r="AB228" s="44">
        <f t="shared" si="197"/>
        <v>6.2094531974050043E-2</v>
      </c>
      <c r="AC228" s="44">
        <f t="shared" si="197"/>
        <v>6.2845010615711253E-2</v>
      </c>
      <c r="AD228" s="44">
        <f t="shared" si="197"/>
        <v>6.2903920723825932E-2</v>
      </c>
      <c r="AE228" s="44">
        <f t="shared" si="197"/>
        <v>6.3280599500416326E-2</v>
      </c>
      <c r="AF228" s="44">
        <f t="shared" si="197"/>
        <v>6.2959934587080948E-2</v>
      </c>
      <c r="AG228" s="44">
        <f t="shared" si="197"/>
        <v>6.228373702422145E-2</v>
      </c>
      <c r="AH228" s="44">
        <f t="shared" si="197"/>
        <v>6.1855670103092786E-2</v>
      </c>
      <c r="AI228" s="44">
        <f t="shared" si="197"/>
        <v>6.2342038753159225E-2</v>
      </c>
      <c r="AJ228" s="44">
        <f t="shared" si="197"/>
        <v>0</v>
      </c>
      <c r="AK228" s="44">
        <f t="shared" si="197"/>
        <v>0</v>
      </c>
      <c r="AL228" s="44">
        <f t="shared" si="197"/>
        <v>0</v>
      </c>
      <c r="AM228" s="44">
        <f t="shared" si="197"/>
        <v>0</v>
      </c>
      <c r="AN228" s="44">
        <f t="shared" si="197"/>
        <v>0</v>
      </c>
      <c r="AO228" s="44">
        <f t="shared" si="197"/>
        <v>0</v>
      </c>
      <c r="AP228" s="44">
        <f t="shared" si="197"/>
        <v>0</v>
      </c>
      <c r="AQ228" s="44">
        <f t="shared" si="197"/>
        <v>0</v>
      </c>
      <c r="AR228" s="44">
        <f t="shared" si="197"/>
        <v>0</v>
      </c>
      <c r="AS228" s="44">
        <f t="shared" si="197"/>
        <v>0</v>
      </c>
      <c r="AT228" s="3"/>
      <c r="AU228" s="15"/>
      <c r="AV228" s="103"/>
      <c r="AW228" s="102"/>
    </row>
    <row r="229" spans="1:49" ht="25.2" customHeight="1">
      <c r="A229" s="1425"/>
      <c r="B229" s="1027" t="s">
        <v>804</v>
      </c>
      <c r="C229" s="426"/>
      <c r="D229" s="426"/>
      <c r="E229" s="102">
        <f>SUM(F229:AS229)</f>
        <v>4406700</v>
      </c>
      <c r="F229" s="88">
        <f t="shared" ref="F229:AS229" si="198">+F71-F145</f>
        <v>73900</v>
      </c>
      <c r="G229" s="1124">
        <f t="shared" si="198"/>
        <v>87700</v>
      </c>
      <c r="H229" s="1124">
        <f t="shared" si="198"/>
        <v>76200</v>
      </c>
      <c r="I229" s="1124">
        <f t="shared" si="198"/>
        <v>77100</v>
      </c>
      <c r="J229" s="1124">
        <f t="shared" si="198"/>
        <v>77900</v>
      </c>
      <c r="K229" s="1124">
        <f t="shared" si="198"/>
        <v>99000</v>
      </c>
      <c r="L229" s="1124">
        <f t="shared" si="198"/>
        <v>101300</v>
      </c>
      <c r="M229" s="1124">
        <f t="shared" si="198"/>
        <v>102300</v>
      </c>
      <c r="N229" s="1124">
        <f t="shared" si="198"/>
        <v>156900</v>
      </c>
      <c r="O229" s="1124">
        <f t="shared" si="198"/>
        <v>148100</v>
      </c>
      <c r="P229" s="1124">
        <f t="shared" si="198"/>
        <v>150400</v>
      </c>
      <c r="Q229" s="1124">
        <f t="shared" si="198"/>
        <v>153500</v>
      </c>
      <c r="R229" s="1124">
        <f t="shared" si="198"/>
        <v>160600</v>
      </c>
      <c r="S229" s="1124">
        <f t="shared" si="198"/>
        <v>164400</v>
      </c>
      <c r="T229" s="1124">
        <f t="shared" si="198"/>
        <v>173100</v>
      </c>
      <c r="U229" s="1124">
        <f t="shared" si="198"/>
        <v>176500</v>
      </c>
      <c r="V229" s="1124">
        <f t="shared" si="198"/>
        <v>168000</v>
      </c>
      <c r="W229" s="1124">
        <f t="shared" si="198"/>
        <v>172800</v>
      </c>
      <c r="X229" s="1124">
        <f t="shared" si="198"/>
        <v>164800</v>
      </c>
      <c r="Y229" s="1124">
        <f t="shared" si="198"/>
        <v>167900</v>
      </c>
      <c r="Z229" s="1124">
        <f t="shared" si="198"/>
        <v>171000</v>
      </c>
      <c r="AA229" s="1124">
        <f t="shared" si="198"/>
        <v>173700</v>
      </c>
      <c r="AB229" s="1124">
        <f t="shared" si="198"/>
        <v>180500</v>
      </c>
      <c r="AC229" s="1124">
        <f t="shared" si="198"/>
        <v>190900</v>
      </c>
      <c r="AD229" s="1124">
        <f t="shared" si="198"/>
        <v>164900</v>
      </c>
      <c r="AE229" s="1124">
        <f t="shared" si="198"/>
        <v>168700</v>
      </c>
      <c r="AF229" s="1124">
        <f t="shared" si="198"/>
        <v>170500</v>
      </c>
      <c r="AG229" s="1124">
        <f t="shared" si="198"/>
        <v>175300</v>
      </c>
      <c r="AH229" s="1124">
        <f t="shared" si="198"/>
        <v>178300</v>
      </c>
      <c r="AI229" s="1124">
        <f t="shared" si="198"/>
        <v>180500</v>
      </c>
      <c r="AJ229" s="1124">
        <f t="shared" si="198"/>
        <v>0</v>
      </c>
      <c r="AK229" s="1124">
        <f t="shared" si="198"/>
        <v>0</v>
      </c>
      <c r="AL229" s="1124">
        <f t="shared" si="198"/>
        <v>0</v>
      </c>
      <c r="AM229" s="1124">
        <f t="shared" si="198"/>
        <v>0</v>
      </c>
      <c r="AN229" s="1124">
        <f t="shared" si="198"/>
        <v>0</v>
      </c>
      <c r="AO229" s="1124">
        <f t="shared" si="198"/>
        <v>0</v>
      </c>
      <c r="AP229" s="1124">
        <f t="shared" si="198"/>
        <v>0</v>
      </c>
      <c r="AQ229" s="1124">
        <f t="shared" si="198"/>
        <v>0</v>
      </c>
      <c r="AR229" s="1124">
        <f t="shared" si="198"/>
        <v>0</v>
      </c>
      <c r="AS229" s="1124">
        <f t="shared" si="198"/>
        <v>0</v>
      </c>
      <c r="AT229" s="3"/>
      <c r="AU229" s="78">
        <f>+Base!E229</f>
        <v>4406700</v>
      </c>
      <c r="AV229" s="81">
        <f>+E229-AU229</f>
        <v>0</v>
      </c>
      <c r="AW229" s="102"/>
    </row>
    <row r="230" spans="1:49">
      <c r="A230" s="1425"/>
      <c r="E230" s="841"/>
      <c r="F230" s="841"/>
      <c r="G230" s="841"/>
      <c r="H230" s="841"/>
      <c r="I230" s="841"/>
      <c r="J230" s="841"/>
      <c r="K230" s="841"/>
      <c r="L230" s="841"/>
      <c r="M230" s="841"/>
      <c r="N230" s="841"/>
      <c r="O230" s="841"/>
      <c r="P230" s="841"/>
      <c r="Q230" s="841"/>
      <c r="R230" s="841"/>
      <c r="S230" s="841"/>
      <c r="T230" s="841"/>
      <c r="U230" s="841"/>
      <c r="V230" s="841"/>
      <c r="W230" s="841"/>
      <c r="X230" s="841"/>
      <c r="Y230" s="841"/>
      <c r="Z230" s="841"/>
      <c r="AA230" s="841"/>
      <c r="AB230" s="841"/>
      <c r="AC230" s="841"/>
      <c r="AD230" s="841"/>
      <c r="AE230" s="841"/>
      <c r="AF230" s="841"/>
      <c r="AG230" s="841"/>
      <c r="AH230" s="841"/>
      <c r="AI230" s="841"/>
      <c r="AJ230" s="841"/>
      <c r="AK230" s="841"/>
      <c r="AT230" s="3"/>
      <c r="AW230" s="21"/>
    </row>
    <row r="231" spans="1:49" ht="17.399999999999999">
      <c r="A231" s="1425"/>
      <c r="B231" s="133" t="s">
        <v>805</v>
      </c>
      <c r="C231" s="9"/>
      <c r="D231" s="1"/>
      <c r="E231" s="14"/>
      <c r="F231" s="14"/>
      <c r="G231" s="2"/>
      <c r="H231" s="4"/>
      <c r="I231" s="1"/>
      <c r="J231" s="14"/>
      <c r="K231" s="14"/>
      <c r="L231" s="2"/>
      <c r="M231" s="4"/>
      <c r="N231" s="1"/>
      <c r="AT231" s="3"/>
      <c r="AW231" s="14"/>
    </row>
    <row r="232" spans="1:49" ht="15.6">
      <c r="A232" s="1425"/>
      <c r="B232" s="28" t="s">
        <v>230</v>
      </c>
      <c r="C232" s="31"/>
      <c r="E232" s="33">
        <f ca="1">INDIRECT(ADDRESS(ROW(),Total_Years+5))</f>
        <v>2670800</v>
      </c>
      <c r="F232" s="31">
        <f t="shared" ref="F232:AS232" si="199">+F19</f>
        <v>1000000</v>
      </c>
      <c r="G232" s="1124">
        <f t="shared" si="199"/>
        <v>1003900</v>
      </c>
      <c r="H232" s="1124">
        <f t="shared" si="199"/>
        <v>1020200</v>
      </c>
      <c r="I232" s="1124">
        <f t="shared" si="199"/>
        <v>1023600</v>
      </c>
      <c r="J232" s="1124">
        <f t="shared" si="199"/>
        <v>1026400</v>
      </c>
      <c r="K232" s="1124">
        <f t="shared" si="199"/>
        <v>1028500</v>
      </c>
      <c r="L232" s="1124">
        <f t="shared" si="199"/>
        <v>1050200</v>
      </c>
      <c r="M232" s="1124">
        <f t="shared" si="199"/>
        <v>1072700</v>
      </c>
      <c r="N232" s="1124">
        <f t="shared" si="199"/>
        <v>1094600</v>
      </c>
      <c r="O232" s="1124">
        <f t="shared" si="199"/>
        <v>1169500</v>
      </c>
      <c r="P232" s="1124">
        <f t="shared" si="199"/>
        <v>1219000</v>
      </c>
      <c r="Q232" s="1124">
        <f t="shared" si="199"/>
        <v>1189100</v>
      </c>
      <c r="R232" s="1124">
        <f t="shared" si="199"/>
        <v>1340600</v>
      </c>
      <c r="S232" s="1124">
        <f t="shared" si="199"/>
        <v>1377500</v>
      </c>
      <c r="T232" s="1124">
        <f t="shared" si="199"/>
        <v>1436400</v>
      </c>
      <c r="U232" s="1124">
        <f t="shared" si="199"/>
        <v>1417200</v>
      </c>
      <c r="V232" s="1124">
        <f t="shared" si="199"/>
        <v>1599600</v>
      </c>
      <c r="W232" s="1124">
        <f t="shared" si="199"/>
        <v>1671600</v>
      </c>
      <c r="X232" s="1124">
        <f t="shared" si="199"/>
        <v>1746500</v>
      </c>
      <c r="Y232" s="1124">
        <f t="shared" si="199"/>
        <v>1786500</v>
      </c>
      <c r="Z232" s="1124">
        <f t="shared" si="199"/>
        <v>1827200</v>
      </c>
      <c r="AA232" s="1124">
        <f t="shared" si="199"/>
        <v>1868600</v>
      </c>
      <c r="AB232" s="1124">
        <f t="shared" si="199"/>
        <v>1910200</v>
      </c>
      <c r="AC232" s="1124">
        <f t="shared" si="199"/>
        <v>2356100</v>
      </c>
      <c r="AD232" s="1124">
        <f t="shared" si="199"/>
        <v>2414800</v>
      </c>
      <c r="AE232" s="1124">
        <f t="shared" si="199"/>
        <v>2544900</v>
      </c>
      <c r="AF232" s="1124">
        <f t="shared" si="199"/>
        <v>2576100</v>
      </c>
      <c r="AG232" s="1124">
        <f t="shared" si="199"/>
        <v>2606300</v>
      </c>
      <c r="AH232" s="1124">
        <f t="shared" si="199"/>
        <v>2638500</v>
      </c>
      <c r="AI232" s="1124">
        <f t="shared" si="199"/>
        <v>2670800</v>
      </c>
      <c r="AJ232" s="1124">
        <f t="shared" si="199"/>
        <v>0</v>
      </c>
      <c r="AK232" s="1124">
        <f t="shared" si="199"/>
        <v>0</v>
      </c>
      <c r="AL232" s="1124">
        <f t="shared" si="199"/>
        <v>0</v>
      </c>
      <c r="AM232" s="1124">
        <f t="shared" si="199"/>
        <v>0</v>
      </c>
      <c r="AN232" s="1124">
        <f t="shared" si="199"/>
        <v>0</v>
      </c>
      <c r="AO232" s="1124">
        <f t="shared" si="199"/>
        <v>0</v>
      </c>
      <c r="AP232" s="1124">
        <f t="shared" si="199"/>
        <v>0</v>
      </c>
      <c r="AQ232" s="1124">
        <f t="shared" si="199"/>
        <v>0</v>
      </c>
      <c r="AR232" s="1124">
        <f t="shared" si="199"/>
        <v>0</v>
      </c>
      <c r="AS232" s="1124">
        <f t="shared" si="199"/>
        <v>0</v>
      </c>
      <c r="AT232" s="3"/>
      <c r="AU232" s="1312">
        <f ca="1">+Base!E232</f>
        <v>2670800</v>
      </c>
      <c r="AV232" s="81">
        <f ca="1">+E232-AU232</f>
        <v>0</v>
      </c>
      <c r="AW232" s="97"/>
    </row>
    <row r="233" spans="1:49" ht="15.6">
      <c r="A233" s="1425"/>
      <c r="B233" s="28" t="s">
        <v>568</v>
      </c>
      <c r="E233" s="97"/>
      <c r="F233" s="31"/>
      <c r="G233" s="31"/>
      <c r="H233" s="31"/>
      <c r="I233" s="31"/>
      <c r="J233" s="31"/>
      <c r="K233" s="31"/>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c r="AI233" s="31"/>
      <c r="AJ233" s="31"/>
      <c r="AK233" s="31"/>
      <c r="AL233" s="31"/>
      <c r="AM233" s="31"/>
      <c r="AN233" s="31"/>
      <c r="AO233" s="31"/>
      <c r="AP233" s="31"/>
      <c r="AQ233" s="31"/>
      <c r="AR233" s="31"/>
      <c r="AS233" s="31"/>
      <c r="AT233" s="3"/>
      <c r="AU233" s="116"/>
      <c r="AV233" s="81"/>
      <c r="AW233" s="97"/>
    </row>
    <row r="234" spans="1:49">
      <c r="A234" s="1425"/>
      <c r="B234" s="175" t="s">
        <v>806</v>
      </c>
      <c r="E234" s="29">
        <f t="shared" ref="E234:E239" si="200">SUM(F234:AS234)</f>
        <v>100000</v>
      </c>
      <c r="F234" s="31">
        <f t="shared" ref="F234:AS234" si="201">+F78+F79</f>
        <v>0</v>
      </c>
      <c r="G234" s="1124">
        <f t="shared" si="201"/>
        <v>0</v>
      </c>
      <c r="H234" s="1124">
        <f t="shared" si="201"/>
        <v>0</v>
      </c>
      <c r="I234" s="1124">
        <f t="shared" si="201"/>
        <v>0</v>
      </c>
      <c r="J234" s="1124">
        <f t="shared" si="201"/>
        <v>0</v>
      </c>
      <c r="K234" s="1124">
        <f t="shared" si="201"/>
        <v>0</v>
      </c>
      <c r="L234" s="1124">
        <f t="shared" si="201"/>
        <v>0</v>
      </c>
      <c r="M234" s="1124">
        <f t="shared" si="201"/>
        <v>0</v>
      </c>
      <c r="N234" s="1124">
        <f t="shared" si="201"/>
        <v>0</v>
      </c>
      <c r="O234" s="1124">
        <f t="shared" si="201"/>
        <v>0</v>
      </c>
      <c r="P234" s="1124">
        <f t="shared" si="201"/>
        <v>0</v>
      </c>
      <c r="Q234" s="1124">
        <f t="shared" si="201"/>
        <v>40000</v>
      </c>
      <c r="R234" s="1124">
        <f t="shared" si="201"/>
        <v>0</v>
      </c>
      <c r="S234" s="1124">
        <f t="shared" si="201"/>
        <v>0</v>
      </c>
      <c r="T234" s="1124">
        <f t="shared" si="201"/>
        <v>0</v>
      </c>
      <c r="U234" s="1124">
        <f t="shared" si="201"/>
        <v>60000</v>
      </c>
      <c r="V234" s="1124">
        <f t="shared" si="201"/>
        <v>0</v>
      </c>
      <c r="W234" s="1124">
        <f t="shared" si="201"/>
        <v>0</v>
      </c>
      <c r="X234" s="1124">
        <f t="shared" si="201"/>
        <v>0</v>
      </c>
      <c r="Y234" s="1124">
        <f t="shared" si="201"/>
        <v>0</v>
      </c>
      <c r="Z234" s="1124">
        <f t="shared" si="201"/>
        <v>0</v>
      </c>
      <c r="AA234" s="1124">
        <f t="shared" si="201"/>
        <v>0</v>
      </c>
      <c r="AB234" s="1124">
        <f t="shared" si="201"/>
        <v>0</v>
      </c>
      <c r="AC234" s="1124">
        <f t="shared" si="201"/>
        <v>0</v>
      </c>
      <c r="AD234" s="1124">
        <f t="shared" si="201"/>
        <v>0</v>
      </c>
      <c r="AE234" s="1124">
        <f t="shared" si="201"/>
        <v>0</v>
      </c>
      <c r="AF234" s="1124">
        <f t="shared" si="201"/>
        <v>0</v>
      </c>
      <c r="AG234" s="1124">
        <f t="shared" si="201"/>
        <v>0</v>
      </c>
      <c r="AH234" s="1124">
        <f t="shared" si="201"/>
        <v>0</v>
      </c>
      <c r="AI234" s="1124">
        <f t="shared" si="201"/>
        <v>0</v>
      </c>
      <c r="AJ234" s="1124">
        <f t="shared" si="201"/>
        <v>0</v>
      </c>
      <c r="AK234" s="1124">
        <f t="shared" si="201"/>
        <v>0</v>
      </c>
      <c r="AL234" s="1124">
        <f t="shared" si="201"/>
        <v>0</v>
      </c>
      <c r="AM234" s="1124">
        <f t="shared" si="201"/>
        <v>0</v>
      </c>
      <c r="AN234" s="1124">
        <f t="shared" si="201"/>
        <v>0</v>
      </c>
      <c r="AO234" s="1124">
        <f t="shared" si="201"/>
        <v>0</v>
      </c>
      <c r="AP234" s="1124">
        <f t="shared" si="201"/>
        <v>0</v>
      </c>
      <c r="AQ234" s="1124">
        <f t="shared" si="201"/>
        <v>0</v>
      </c>
      <c r="AR234" s="1124">
        <f t="shared" si="201"/>
        <v>0</v>
      </c>
      <c r="AS234" s="1124">
        <f t="shared" si="201"/>
        <v>0</v>
      </c>
      <c r="AT234" s="3"/>
      <c r="AU234" s="15">
        <f>+Base!E234</f>
        <v>100000</v>
      </c>
      <c r="AV234" s="103">
        <f t="shared" ref="AV234:AV239" si="202">+E234-AU234</f>
        <v>0</v>
      </c>
      <c r="AW234" s="97"/>
    </row>
    <row r="235" spans="1:49">
      <c r="A235" s="1425"/>
      <c r="B235" s="175" t="s">
        <v>170</v>
      </c>
      <c r="E235" s="29">
        <f t="shared" si="200"/>
        <v>100000</v>
      </c>
      <c r="F235" s="31">
        <f t="shared" ref="F235:AS235" si="203">+F107</f>
        <v>0</v>
      </c>
      <c r="G235" s="1124">
        <f t="shared" si="203"/>
        <v>0</v>
      </c>
      <c r="H235" s="1124">
        <f t="shared" si="203"/>
        <v>0</v>
      </c>
      <c r="I235" s="1124">
        <f t="shared" si="203"/>
        <v>0</v>
      </c>
      <c r="J235" s="1124">
        <f t="shared" si="203"/>
        <v>0</v>
      </c>
      <c r="K235" s="1124">
        <f t="shared" si="203"/>
        <v>0</v>
      </c>
      <c r="L235" s="1124">
        <f t="shared" si="203"/>
        <v>0</v>
      </c>
      <c r="M235" s="1124">
        <f t="shared" si="203"/>
        <v>0</v>
      </c>
      <c r="N235" s="1124">
        <f t="shared" si="203"/>
        <v>0</v>
      </c>
      <c r="O235" s="1124">
        <f t="shared" si="203"/>
        <v>0</v>
      </c>
      <c r="P235" s="1124">
        <f t="shared" si="203"/>
        <v>0</v>
      </c>
      <c r="Q235" s="1124">
        <f t="shared" si="203"/>
        <v>60000</v>
      </c>
      <c r="R235" s="1124">
        <f t="shared" si="203"/>
        <v>0</v>
      </c>
      <c r="S235" s="1124">
        <f t="shared" si="203"/>
        <v>0</v>
      </c>
      <c r="T235" s="1124">
        <f t="shared" si="203"/>
        <v>0</v>
      </c>
      <c r="U235" s="1124">
        <f t="shared" si="203"/>
        <v>40000</v>
      </c>
      <c r="V235" s="1124">
        <f t="shared" si="203"/>
        <v>0</v>
      </c>
      <c r="W235" s="1124">
        <f t="shared" si="203"/>
        <v>0</v>
      </c>
      <c r="X235" s="1124">
        <f t="shared" si="203"/>
        <v>0</v>
      </c>
      <c r="Y235" s="1124">
        <f t="shared" si="203"/>
        <v>0</v>
      </c>
      <c r="Z235" s="1124">
        <f t="shared" si="203"/>
        <v>0</v>
      </c>
      <c r="AA235" s="1124">
        <f t="shared" si="203"/>
        <v>0</v>
      </c>
      <c r="AB235" s="1124">
        <f t="shared" si="203"/>
        <v>0</v>
      </c>
      <c r="AC235" s="1124">
        <f t="shared" si="203"/>
        <v>0</v>
      </c>
      <c r="AD235" s="1124">
        <f t="shared" si="203"/>
        <v>0</v>
      </c>
      <c r="AE235" s="1124">
        <f t="shared" si="203"/>
        <v>0</v>
      </c>
      <c r="AF235" s="1124">
        <f t="shared" si="203"/>
        <v>0</v>
      </c>
      <c r="AG235" s="1124">
        <f t="shared" si="203"/>
        <v>0</v>
      </c>
      <c r="AH235" s="1124">
        <f t="shared" si="203"/>
        <v>0</v>
      </c>
      <c r="AI235" s="1124">
        <f t="shared" si="203"/>
        <v>0</v>
      </c>
      <c r="AJ235" s="1124">
        <f t="shared" si="203"/>
        <v>0</v>
      </c>
      <c r="AK235" s="1124">
        <f t="shared" si="203"/>
        <v>0</v>
      </c>
      <c r="AL235" s="1124">
        <f t="shared" si="203"/>
        <v>0</v>
      </c>
      <c r="AM235" s="1124">
        <f t="shared" si="203"/>
        <v>0</v>
      </c>
      <c r="AN235" s="1124">
        <f t="shared" si="203"/>
        <v>0</v>
      </c>
      <c r="AO235" s="1124">
        <f t="shared" si="203"/>
        <v>0</v>
      </c>
      <c r="AP235" s="1124">
        <f t="shared" si="203"/>
        <v>0</v>
      </c>
      <c r="AQ235" s="1124">
        <f t="shared" si="203"/>
        <v>0</v>
      </c>
      <c r="AR235" s="1124">
        <f t="shared" si="203"/>
        <v>0</v>
      </c>
      <c r="AS235" s="1124">
        <f t="shared" si="203"/>
        <v>0</v>
      </c>
      <c r="AT235" s="3"/>
      <c r="AU235" s="15">
        <f>+Base!E235</f>
        <v>100000</v>
      </c>
      <c r="AV235" s="103">
        <f t="shared" si="202"/>
        <v>0</v>
      </c>
      <c r="AW235" s="97"/>
    </row>
    <row r="236" spans="1:49">
      <c r="A236" s="1425"/>
      <c r="B236" s="175" t="s">
        <v>1322</v>
      </c>
      <c r="E236" s="29">
        <f t="shared" si="200"/>
        <v>500000</v>
      </c>
      <c r="F236" s="31">
        <f t="shared" ref="F236:AS236" si="204">+F80+F81</f>
        <v>0</v>
      </c>
      <c r="G236" s="1124">
        <f t="shared" si="204"/>
        <v>0</v>
      </c>
      <c r="H236" s="1124">
        <f t="shared" si="204"/>
        <v>0</v>
      </c>
      <c r="I236" s="1124">
        <f t="shared" si="204"/>
        <v>0</v>
      </c>
      <c r="J236" s="1124">
        <f t="shared" si="204"/>
        <v>0</v>
      </c>
      <c r="K236" s="1124">
        <f t="shared" si="204"/>
        <v>0</v>
      </c>
      <c r="L236" s="1124">
        <f t="shared" si="204"/>
        <v>0</v>
      </c>
      <c r="M236" s="1124">
        <f t="shared" si="204"/>
        <v>0</v>
      </c>
      <c r="N236" s="1124">
        <f t="shared" si="204"/>
        <v>0</v>
      </c>
      <c r="O236" s="1124">
        <f t="shared" si="204"/>
        <v>0</v>
      </c>
      <c r="P236" s="1124">
        <f t="shared" si="204"/>
        <v>0</v>
      </c>
      <c r="Q236" s="1124">
        <f t="shared" si="204"/>
        <v>0</v>
      </c>
      <c r="R236" s="1124">
        <f t="shared" si="204"/>
        <v>0</v>
      </c>
      <c r="S236" s="1124">
        <f t="shared" si="204"/>
        <v>0</v>
      </c>
      <c r="T236" s="1124">
        <f t="shared" si="204"/>
        <v>0</v>
      </c>
      <c r="U236" s="1124">
        <f t="shared" si="204"/>
        <v>0</v>
      </c>
      <c r="V236" s="1124">
        <f t="shared" si="204"/>
        <v>0</v>
      </c>
      <c r="W236" s="1124">
        <f t="shared" si="204"/>
        <v>0</v>
      </c>
      <c r="X236" s="1124">
        <f t="shared" si="204"/>
        <v>0</v>
      </c>
      <c r="Y236" s="1124">
        <f t="shared" si="204"/>
        <v>0</v>
      </c>
      <c r="Z236" s="1124">
        <f t="shared" si="204"/>
        <v>0</v>
      </c>
      <c r="AA236" s="1124">
        <f t="shared" si="204"/>
        <v>0</v>
      </c>
      <c r="AB236" s="1124">
        <f t="shared" si="204"/>
        <v>400000</v>
      </c>
      <c r="AC236" s="1124">
        <f t="shared" si="204"/>
        <v>0</v>
      </c>
      <c r="AD236" s="1124">
        <f t="shared" si="204"/>
        <v>100000</v>
      </c>
      <c r="AE236" s="1124">
        <f t="shared" si="204"/>
        <v>0</v>
      </c>
      <c r="AF236" s="1124">
        <f t="shared" si="204"/>
        <v>0</v>
      </c>
      <c r="AG236" s="1124">
        <f t="shared" si="204"/>
        <v>0</v>
      </c>
      <c r="AH236" s="1124">
        <f t="shared" si="204"/>
        <v>0</v>
      </c>
      <c r="AI236" s="1124">
        <f t="shared" si="204"/>
        <v>0</v>
      </c>
      <c r="AJ236" s="1124">
        <f t="shared" si="204"/>
        <v>0</v>
      </c>
      <c r="AK236" s="1124">
        <f t="shared" si="204"/>
        <v>0</v>
      </c>
      <c r="AL236" s="1124">
        <f t="shared" si="204"/>
        <v>0</v>
      </c>
      <c r="AM236" s="1124">
        <f t="shared" si="204"/>
        <v>0</v>
      </c>
      <c r="AN236" s="1124">
        <f t="shared" si="204"/>
        <v>0</v>
      </c>
      <c r="AO236" s="1124">
        <f t="shared" si="204"/>
        <v>0</v>
      </c>
      <c r="AP236" s="1124">
        <f t="shared" si="204"/>
        <v>0</v>
      </c>
      <c r="AQ236" s="1124">
        <f t="shared" si="204"/>
        <v>0</v>
      </c>
      <c r="AR236" s="1124">
        <f t="shared" si="204"/>
        <v>0</v>
      </c>
      <c r="AS236" s="1124">
        <f t="shared" si="204"/>
        <v>0</v>
      </c>
      <c r="AT236" s="3"/>
      <c r="AU236" s="15">
        <f>+Base!E236</f>
        <v>500000</v>
      </c>
      <c r="AV236" s="103">
        <f t="shared" si="202"/>
        <v>0</v>
      </c>
      <c r="AW236" s="97"/>
    </row>
    <row r="237" spans="1:49">
      <c r="A237" s="1425"/>
      <c r="B237" s="175" t="s">
        <v>511</v>
      </c>
      <c r="E237" s="29">
        <f t="shared" si="200"/>
        <v>-100000</v>
      </c>
      <c r="F237" s="31">
        <f t="shared" ref="F237:AS237" si="205">+F82+F83</f>
        <v>0</v>
      </c>
      <c r="G237" s="1124">
        <f t="shared" si="205"/>
        <v>0</v>
      </c>
      <c r="H237" s="1124">
        <f t="shared" si="205"/>
        <v>0</v>
      </c>
      <c r="I237" s="1124">
        <f t="shared" si="205"/>
        <v>0</v>
      </c>
      <c r="J237" s="1124">
        <f t="shared" si="205"/>
        <v>0</v>
      </c>
      <c r="K237" s="1124">
        <f t="shared" si="205"/>
        <v>0</v>
      </c>
      <c r="L237" s="1124">
        <f t="shared" si="205"/>
        <v>0</v>
      </c>
      <c r="M237" s="1124">
        <f t="shared" si="205"/>
        <v>0</v>
      </c>
      <c r="N237" s="1124">
        <f t="shared" si="205"/>
        <v>0</v>
      </c>
      <c r="O237" s="1124">
        <f t="shared" si="205"/>
        <v>0</v>
      </c>
      <c r="P237" s="1124">
        <f t="shared" si="205"/>
        <v>-80000</v>
      </c>
      <c r="Q237" s="1124">
        <f t="shared" si="205"/>
        <v>0</v>
      </c>
      <c r="R237" s="1124">
        <f t="shared" si="205"/>
        <v>-20000</v>
      </c>
      <c r="S237" s="1124">
        <f t="shared" si="205"/>
        <v>0</v>
      </c>
      <c r="T237" s="1124">
        <f t="shared" si="205"/>
        <v>0</v>
      </c>
      <c r="U237" s="1124">
        <f t="shared" si="205"/>
        <v>0</v>
      </c>
      <c r="V237" s="1124">
        <f t="shared" si="205"/>
        <v>0</v>
      </c>
      <c r="W237" s="1124">
        <f t="shared" si="205"/>
        <v>0</v>
      </c>
      <c r="X237" s="1124">
        <f t="shared" si="205"/>
        <v>0</v>
      </c>
      <c r="Y237" s="1124">
        <f t="shared" si="205"/>
        <v>0</v>
      </c>
      <c r="Z237" s="1124">
        <f t="shared" si="205"/>
        <v>0</v>
      </c>
      <c r="AA237" s="1124">
        <f t="shared" si="205"/>
        <v>0</v>
      </c>
      <c r="AB237" s="1124">
        <f t="shared" si="205"/>
        <v>0</v>
      </c>
      <c r="AC237" s="1124">
        <f t="shared" si="205"/>
        <v>0</v>
      </c>
      <c r="AD237" s="1124">
        <f t="shared" si="205"/>
        <v>0</v>
      </c>
      <c r="AE237" s="1124">
        <f t="shared" si="205"/>
        <v>0</v>
      </c>
      <c r="AF237" s="1124">
        <f t="shared" si="205"/>
        <v>0</v>
      </c>
      <c r="AG237" s="1124">
        <f t="shared" si="205"/>
        <v>0</v>
      </c>
      <c r="AH237" s="1124">
        <f t="shared" si="205"/>
        <v>0</v>
      </c>
      <c r="AI237" s="1124">
        <f t="shared" si="205"/>
        <v>0</v>
      </c>
      <c r="AJ237" s="1124">
        <f t="shared" si="205"/>
        <v>0</v>
      </c>
      <c r="AK237" s="1124">
        <f t="shared" si="205"/>
        <v>0</v>
      </c>
      <c r="AL237" s="1124">
        <f t="shared" si="205"/>
        <v>0</v>
      </c>
      <c r="AM237" s="1124">
        <f t="shared" si="205"/>
        <v>0</v>
      </c>
      <c r="AN237" s="1124">
        <f t="shared" si="205"/>
        <v>0</v>
      </c>
      <c r="AO237" s="1124">
        <f t="shared" si="205"/>
        <v>0</v>
      </c>
      <c r="AP237" s="1124">
        <f t="shared" si="205"/>
        <v>0</v>
      </c>
      <c r="AQ237" s="1124">
        <f t="shared" si="205"/>
        <v>0</v>
      </c>
      <c r="AR237" s="1124">
        <f t="shared" si="205"/>
        <v>0</v>
      </c>
      <c r="AS237" s="1124">
        <f t="shared" si="205"/>
        <v>0</v>
      </c>
      <c r="AT237" s="3"/>
      <c r="AU237" s="15">
        <f>+Base!E237</f>
        <v>-100000</v>
      </c>
      <c r="AV237" s="103">
        <f t="shared" si="202"/>
        <v>0</v>
      </c>
      <c r="AW237" s="97"/>
    </row>
    <row r="238" spans="1:49" s="1" customFormat="1" ht="15.75" customHeight="1">
      <c r="A238" s="1426"/>
      <c r="B238" s="1048" t="s">
        <v>1128</v>
      </c>
      <c r="C238" s="89"/>
      <c r="E238" s="102">
        <f t="shared" si="200"/>
        <v>-100000</v>
      </c>
      <c r="F238" s="88">
        <f t="shared" ref="F238:AS238" si="206">+F84</f>
        <v>0</v>
      </c>
      <c r="G238" s="1124">
        <f t="shared" si="206"/>
        <v>0</v>
      </c>
      <c r="H238" s="1124">
        <f t="shared" si="206"/>
        <v>0</v>
      </c>
      <c r="I238" s="1124">
        <f t="shared" si="206"/>
        <v>0</v>
      </c>
      <c r="J238" s="1124">
        <f t="shared" si="206"/>
        <v>0</v>
      </c>
      <c r="K238" s="1124">
        <f t="shared" si="206"/>
        <v>0</v>
      </c>
      <c r="L238" s="1124">
        <f t="shared" si="206"/>
        <v>0</v>
      </c>
      <c r="M238" s="1124">
        <f t="shared" si="206"/>
        <v>0</v>
      </c>
      <c r="N238" s="1124">
        <f t="shared" si="206"/>
        <v>0</v>
      </c>
      <c r="O238" s="1124">
        <f t="shared" si="206"/>
        <v>0</v>
      </c>
      <c r="P238" s="1124">
        <f t="shared" si="206"/>
        <v>0</v>
      </c>
      <c r="Q238" s="1124">
        <f t="shared" si="206"/>
        <v>0</v>
      </c>
      <c r="R238" s="1124">
        <f t="shared" si="206"/>
        <v>0</v>
      </c>
      <c r="S238" s="1124">
        <f t="shared" si="206"/>
        <v>0</v>
      </c>
      <c r="T238" s="1124">
        <f t="shared" si="206"/>
        <v>-100000</v>
      </c>
      <c r="U238" s="1124">
        <f t="shared" si="206"/>
        <v>0</v>
      </c>
      <c r="V238" s="1124">
        <f t="shared" si="206"/>
        <v>0</v>
      </c>
      <c r="W238" s="1124">
        <f t="shared" si="206"/>
        <v>0</v>
      </c>
      <c r="X238" s="1124">
        <f t="shared" si="206"/>
        <v>0</v>
      </c>
      <c r="Y238" s="1124">
        <f t="shared" si="206"/>
        <v>0</v>
      </c>
      <c r="Z238" s="1124">
        <f t="shared" si="206"/>
        <v>0</v>
      </c>
      <c r="AA238" s="1124">
        <f t="shared" si="206"/>
        <v>0</v>
      </c>
      <c r="AB238" s="1124">
        <f t="shared" si="206"/>
        <v>0</v>
      </c>
      <c r="AC238" s="1124">
        <f t="shared" si="206"/>
        <v>0</v>
      </c>
      <c r="AD238" s="1124">
        <f t="shared" si="206"/>
        <v>0</v>
      </c>
      <c r="AE238" s="1124">
        <f t="shared" si="206"/>
        <v>0</v>
      </c>
      <c r="AF238" s="1124">
        <f t="shared" si="206"/>
        <v>0</v>
      </c>
      <c r="AG238" s="1124">
        <f t="shared" si="206"/>
        <v>0</v>
      </c>
      <c r="AH238" s="1124">
        <f t="shared" si="206"/>
        <v>0</v>
      </c>
      <c r="AI238" s="1124">
        <f t="shared" si="206"/>
        <v>0</v>
      </c>
      <c r="AJ238" s="1124">
        <f t="shared" si="206"/>
        <v>0</v>
      </c>
      <c r="AK238" s="1124">
        <f t="shared" si="206"/>
        <v>0</v>
      </c>
      <c r="AL238" s="1124">
        <f t="shared" si="206"/>
        <v>0</v>
      </c>
      <c r="AM238" s="1124">
        <f t="shared" si="206"/>
        <v>0</v>
      </c>
      <c r="AN238" s="1124">
        <f t="shared" si="206"/>
        <v>0</v>
      </c>
      <c r="AO238" s="1124">
        <f t="shared" si="206"/>
        <v>0</v>
      </c>
      <c r="AP238" s="1124">
        <f t="shared" si="206"/>
        <v>0</v>
      </c>
      <c r="AQ238" s="1124">
        <f t="shared" si="206"/>
        <v>0</v>
      </c>
      <c r="AR238" s="1124">
        <f t="shared" si="206"/>
        <v>0</v>
      </c>
      <c r="AS238" s="1124">
        <f t="shared" si="206"/>
        <v>0</v>
      </c>
      <c r="AT238" s="89"/>
      <c r="AU238" s="15">
        <f>+Base!E238</f>
        <v>-100000</v>
      </c>
      <c r="AV238" s="103">
        <f t="shared" si="202"/>
        <v>0</v>
      </c>
      <c r="AW238" s="91"/>
    </row>
    <row r="239" spans="1:49" ht="15.75" customHeight="1">
      <c r="A239" s="1425"/>
      <c r="B239" s="175" t="s">
        <v>1205</v>
      </c>
      <c r="C239" s="190"/>
      <c r="E239" s="34">
        <f t="shared" si="200"/>
        <v>-100000</v>
      </c>
      <c r="F239" s="38">
        <f t="shared" ref="F239:AS239" si="207">F137</f>
        <v>0</v>
      </c>
      <c r="G239" s="1125">
        <f t="shared" si="207"/>
        <v>0</v>
      </c>
      <c r="H239" s="1125">
        <f t="shared" si="207"/>
        <v>0</v>
      </c>
      <c r="I239" s="1125">
        <f t="shared" si="207"/>
        <v>0</v>
      </c>
      <c r="J239" s="1125">
        <f t="shared" si="207"/>
        <v>0</v>
      </c>
      <c r="K239" s="1125">
        <f t="shared" si="207"/>
        <v>0</v>
      </c>
      <c r="L239" s="1125">
        <f t="shared" si="207"/>
        <v>0</v>
      </c>
      <c r="M239" s="1125">
        <f t="shared" si="207"/>
        <v>0</v>
      </c>
      <c r="N239" s="1125">
        <f t="shared" si="207"/>
        <v>0</v>
      </c>
      <c r="O239" s="1125">
        <f t="shared" si="207"/>
        <v>-15000</v>
      </c>
      <c r="P239" s="1125">
        <f t="shared" si="207"/>
        <v>-15000</v>
      </c>
      <c r="Q239" s="1125">
        <f t="shared" si="207"/>
        <v>-15000</v>
      </c>
      <c r="R239" s="1125">
        <f t="shared" si="207"/>
        <v>-15000</v>
      </c>
      <c r="S239" s="1125">
        <f t="shared" si="207"/>
        <v>-15000</v>
      </c>
      <c r="T239" s="1125">
        <f t="shared" si="207"/>
        <v>0</v>
      </c>
      <c r="U239" s="1125">
        <f t="shared" si="207"/>
        <v>0</v>
      </c>
      <c r="V239" s="1125">
        <f t="shared" si="207"/>
        <v>0</v>
      </c>
      <c r="W239" s="1125">
        <f t="shared" si="207"/>
        <v>0</v>
      </c>
      <c r="X239" s="1125">
        <f t="shared" si="207"/>
        <v>-5000</v>
      </c>
      <c r="Y239" s="1125">
        <f t="shared" si="207"/>
        <v>-5000</v>
      </c>
      <c r="Z239" s="1125">
        <f t="shared" si="207"/>
        <v>-5000</v>
      </c>
      <c r="AA239" s="1125">
        <f t="shared" si="207"/>
        <v>-5000</v>
      </c>
      <c r="AB239" s="1125">
        <f t="shared" si="207"/>
        <v>-5000</v>
      </c>
      <c r="AC239" s="1125">
        <f t="shared" si="207"/>
        <v>0</v>
      </c>
      <c r="AD239" s="1125">
        <f t="shared" si="207"/>
        <v>0</v>
      </c>
      <c r="AE239" s="1125">
        <f t="shared" si="207"/>
        <v>0</v>
      </c>
      <c r="AF239" s="1125">
        <f t="shared" si="207"/>
        <v>0</v>
      </c>
      <c r="AG239" s="1125">
        <f t="shared" si="207"/>
        <v>0</v>
      </c>
      <c r="AH239" s="1125">
        <f t="shared" si="207"/>
        <v>0</v>
      </c>
      <c r="AI239" s="1125">
        <f t="shared" si="207"/>
        <v>0</v>
      </c>
      <c r="AJ239" s="1125">
        <f t="shared" si="207"/>
        <v>0</v>
      </c>
      <c r="AK239" s="1125">
        <f t="shared" si="207"/>
        <v>0</v>
      </c>
      <c r="AL239" s="1125">
        <f t="shared" si="207"/>
        <v>0</v>
      </c>
      <c r="AM239" s="1125">
        <f t="shared" si="207"/>
        <v>0</v>
      </c>
      <c r="AN239" s="1125">
        <f t="shared" si="207"/>
        <v>0</v>
      </c>
      <c r="AO239" s="1125">
        <f t="shared" si="207"/>
        <v>0</v>
      </c>
      <c r="AP239" s="1125">
        <f t="shared" si="207"/>
        <v>0</v>
      </c>
      <c r="AQ239" s="1125">
        <f t="shared" si="207"/>
        <v>0</v>
      </c>
      <c r="AR239" s="1125">
        <f t="shared" si="207"/>
        <v>0</v>
      </c>
      <c r="AS239" s="1125">
        <f t="shared" si="207"/>
        <v>0</v>
      </c>
      <c r="AT239" s="3"/>
      <c r="AU239" s="82">
        <f>+Base!E239</f>
        <v>-100000</v>
      </c>
      <c r="AV239" s="83">
        <f t="shared" si="202"/>
        <v>0</v>
      </c>
      <c r="AW239" s="21"/>
    </row>
    <row r="240" spans="1:49" ht="15.6">
      <c r="A240" s="1425"/>
      <c r="B240" s="426" t="s">
        <v>567</v>
      </c>
      <c r="C240" s="423"/>
      <c r="D240" s="1011"/>
      <c r="E240" s="29">
        <f t="shared" ref="E240:E245" si="208">SUM(F240:AS240)</f>
        <v>400000</v>
      </c>
      <c r="F240" s="31">
        <f>SUM(F234:F239)</f>
        <v>0</v>
      </c>
      <c r="G240" s="1124">
        <f t="shared" ref="G240:AS240" si="209">SUM(G234:G239)</f>
        <v>0</v>
      </c>
      <c r="H240" s="1124">
        <f t="shared" si="209"/>
        <v>0</v>
      </c>
      <c r="I240" s="1124">
        <f t="shared" si="209"/>
        <v>0</v>
      </c>
      <c r="J240" s="1124">
        <f t="shared" si="209"/>
        <v>0</v>
      </c>
      <c r="K240" s="1124">
        <f t="shared" si="209"/>
        <v>0</v>
      </c>
      <c r="L240" s="1124">
        <f t="shared" si="209"/>
        <v>0</v>
      </c>
      <c r="M240" s="1124">
        <f t="shared" si="209"/>
        <v>0</v>
      </c>
      <c r="N240" s="1124">
        <f t="shared" si="209"/>
        <v>0</v>
      </c>
      <c r="O240" s="1124">
        <f t="shared" si="209"/>
        <v>-15000</v>
      </c>
      <c r="P240" s="1124">
        <f t="shared" si="209"/>
        <v>-95000</v>
      </c>
      <c r="Q240" s="1124">
        <f t="shared" si="209"/>
        <v>85000</v>
      </c>
      <c r="R240" s="1124">
        <f t="shared" si="209"/>
        <v>-35000</v>
      </c>
      <c r="S240" s="1124">
        <f t="shared" si="209"/>
        <v>-15000</v>
      </c>
      <c r="T240" s="1124">
        <f t="shared" si="209"/>
        <v>-100000</v>
      </c>
      <c r="U240" s="1124">
        <f t="shared" si="209"/>
        <v>100000</v>
      </c>
      <c r="V240" s="1124">
        <f t="shared" si="209"/>
        <v>0</v>
      </c>
      <c r="W240" s="1124">
        <f t="shared" si="209"/>
        <v>0</v>
      </c>
      <c r="X240" s="1124">
        <f t="shared" si="209"/>
        <v>-5000</v>
      </c>
      <c r="Y240" s="1124">
        <f t="shared" si="209"/>
        <v>-5000</v>
      </c>
      <c r="Z240" s="1124">
        <f t="shared" si="209"/>
        <v>-5000</v>
      </c>
      <c r="AA240" s="1124">
        <f t="shared" si="209"/>
        <v>-5000</v>
      </c>
      <c r="AB240" s="1124">
        <f t="shared" si="209"/>
        <v>395000</v>
      </c>
      <c r="AC240" s="1124">
        <f t="shared" si="209"/>
        <v>0</v>
      </c>
      <c r="AD240" s="1124">
        <f t="shared" si="209"/>
        <v>100000</v>
      </c>
      <c r="AE240" s="1124">
        <f t="shared" si="209"/>
        <v>0</v>
      </c>
      <c r="AF240" s="1124">
        <f t="shared" si="209"/>
        <v>0</v>
      </c>
      <c r="AG240" s="1124">
        <f t="shared" si="209"/>
        <v>0</v>
      </c>
      <c r="AH240" s="1124">
        <f t="shared" si="209"/>
        <v>0</v>
      </c>
      <c r="AI240" s="1124">
        <f t="shared" si="209"/>
        <v>0</v>
      </c>
      <c r="AJ240" s="1124">
        <f t="shared" si="209"/>
        <v>0</v>
      </c>
      <c r="AK240" s="1124">
        <f t="shared" si="209"/>
        <v>0</v>
      </c>
      <c r="AL240" s="1124">
        <f t="shared" si="209"/>
        <v>0</v>
      </c>
      <c r="AM240" s="1124">
        <f t="shared" si="209"/>
        <v>0</v>
      </c>
      <c r="AN240" s="1124">
        <f t="shared" si="209"/>
        <v>0</v>
      </c>
      <c r="AO240" s="1124">
        <f t="shared" si="209"/>
        <v>0</v>
      </c>
      <c r="AP240" s="1124">
        <f t="shared" si="209"/>
        <v>0</v>
      </c>
      <c r="AQ240" s="1124">
        <f t="shared" si="209"/>
        <v>0</v>
      </c>
      <c r="AR240" s="1124">
        <f t="shared" si="209"/>
        <v>0</v>
      </c>
      <c r="AS240" s="1124">
        <f t="shared" si="209"/>
        <v>0</v>
      </c>
      <c r="AT240" s="3"/>
      <c r="AU240" s="78">
        <f>+Base!E240</f>
        <v>400000</v>
      </c>
      <c r="AV240" s="81">
        <f t="shared" ref="AV240:AV245" si="210">+E240-AU240</f>
        <v>0</v>
      </c>
      <c r="AW240" s="29"/>
    </row>
    <row r="241" spans="1:49">
      <c r="A241" s="1425"/>
      <c r="B241" s="175" t="s">
        <v>50</v>
      </c>
      <c r="C241" s="31"/>
      <c r="D241" s="1011"/>
      <c r="E241" s="29">
        <f t="shared" si="208"/>
        <v>3258100</v>
      </c>
      <c r="F241" s="31">
        <f t="shared" ref="F241:AS241" si="211">F28+F31+F34+F37+F38+F62+F63+F64+F70</f>
        <v>78900</v>
      </c>
      <c r="G241" s="1124">
        <f t="shared" si="211"/>
        <v>95100</v>
      </c>
      <c r="H241" s="1124">
        <f t="shared" si="211"/>
        <v>81200</v>
      </c>
      <c r="I241" s="1124">
        <f t="shared" si="211"/>
        <v>82200</v>
      </c>
      <c r="J241" s="1124">
        <f t="shared" si="211"/>
        <v>83100</v>
      </c>
      <c r="K241" s="1124">
        <f t="shared" si="211"/>
        <v>84500</v>
      </c>
      <c r="L241" s="1124">
        <f t="shared" si="211"/>
        <v>86400</v>
      </c>
      <c r="M241" s="1124">
        <f t="shared" si="211"/>
        <v>88400</v>
      </c>
      <c r="N241" s="1124">
        <f t="shared" si="211"/>
        <v>91700</v>
      </c>
      <c r="O241" s="1124">
        <f t="shared" si="211"/>
        <v>81600</v>
      </c>
      <c r="P241" s="1124">
        <f t="shared" si="211"/>
        <v>82600</v>
      </c>
      <c r="Q241" s="1124">
        <f t="shared" si="211"/>
        <v>84600</v>
      </c>
      <c r="R241" s="1124">
        <f t="shared" si="211"/>
        <v>91700</v>
      </c>
      <c r="S241" s="1124">
        <f t="shared" si="211"/>
        <v>94500</v>
      </c>
      <c r="T241" s="1124">
        <f t="shared" si="211"/>
        <v>105100</v>
      </c>
      <c r="U241" s="1124">
        <f t="shared" si="211"/>
        <v>108900</v>
      </c>
      <c r="V241" s="1124">
        <f t="shared" si="211"/>
        <v>117300</v>
      </c>
      <c r="W241" s="1124">
        <f t="shared" si="211"/>
        <v>121300</v>
      </c>
      <c r="X241" s="1124">
        <f t="shared" si="211"/>
        <v>111000</v>
      </c>
      <c r="Y241" s="1124">
        <f t="shared" si="211"/>
        <v>113000</v>
      </c>
      <c r="Z241" s="1124">
        <f t="shared" si="211"/>
        <v>115300</v>
      </c>
      <c r="AA241" s="1124">
        <f t="shared" si="211"/>
        <v>117300</v>
      </c>
      <c r="AB241" s="1124">
        <f t="shared" si="211"/>
        <v>127500</v>
      </c>
      <c r="AC241" s="1124">
        <f t="shared" si="211"/>
        <v>138200</v>
      </c>
      <c r="AD241" s="1124">
        <f t="shared" si="211"/>
        <v>140400</v>
      </c>
      <c r="AE241" s="1124">
        <f t="shared" si="211"/>
        <v>144200</v>
      </c>
      <c r="AF241" s="1124">
        <f t="shared" si="211"/>
        <v>145400</v>
      </c>
      <c r="AG241" s="1124">
        <f t="shared" si="211"/>
        <v>147100</v>
      </c>
      <c r="AH241" s="1124">
        <f t="shared" si="211"/>
        <v>149000</v>
      </c>
      <c r="AI241" s="1124">
        <f t="shared" si="211"/>
        <v>150600</v>
      </c>
      <c r="AJ241" s="1124">
        <f t="shared" si="211"/>
        <v>0</v>
      </c>
      <c r="AK241" s="1124">
        <f t="shared" si="211"/>
        <v>0</v>
      </c>
      <c r="AL241" s="1124">
        <f t="shared" si="211"/>
        <v>0</v>
      </c>
      <c r="AM241" s="1124">
        <f t="shared" si="211"/>
        <v>0</v>
      </c>
      <c r="AN241" s="1124">
        <f t="shared" si="211"/>
        <v>0</v>
      </c>
      <c r="AO241" s="1124">
        <f t="shared" si="211"/>
        <v>0</v>
      </c>
      <c r="AP241" s="1124">
        <f t="shared" si="211"/>
        <v>0</v>
      </c>
      <c r="AQ241" s="1124">
        <f t="shared" si="211"/>
        <v>0</v>
      </c>
      <c r="AR241" s="1124">
        <f t="shared" si="211"/>
        <v>0</v>
      </c>
      <c r="AS241" s="1124">
        <f t="shared" si="211"/>
        <v>0</v>
      </c>
      <c r="AU241" s="78">
        <f>+Base!E241</f>
        <v>3258100</v>
      </c>
      <c r="AV241" s="81">
        <f t="shared" si="210"/>
        <v>0</v>
      </c>
      <c r="AW241" s="29"/>
    </row>
    <row r="242" spans="1:49">
      <c r="A242" s="1425"/>
      <c r="B242" s="72" t="s">
        <v>1318</v>
      </c>
      <c r="E242" s="29">
        <f t="shared" si="208"/>
        <v>1516900</v>
      </c>
      <c r="F242" s="31">
        <f t="shared" ref="F242:AS242" si="212">+F61</f>
        <v>0</v>
      </c>
      <c r="G242" s="1124">
        <f t="shared" si="212"/>
        <v>0</v>
      </c>
      <c r="H242" s="1124">
        <f t="shared" si="212"/>
        <v>0</v>
      </c>
      <c r="I242" s="1124">
        <f t="shared" si="212"/>
        <v>0</v>
      </c>
      <c r="J242" s="1124">
        <f t="shared" si="212"/>
        <v>0</v>
      </c>
      <c r="K242" s="1124">
        <f t="shared" si="212"/>
        <v>22100</v>
      </c>
      <c r="L242" s="1124">
        <f t="shared" si="212"/>
        <v>22500</v>
      </c>
      <c r="M242" s="1124">
        <f t="shared" si="212"/>
        <v>23000</v>
      </c>
      <c r="N242" s="1124">
        <f t="shared" si="212"/>
        <v>69900</v>
      </c>
      <c r="O242" s="1124">
        <f t="shared" si="212"/>
        <v>71300</v>
      </c>
      <c r="P242" s="1124">
        <f t="shared" si="212"/>
        <v>72700</v>
      </c>
      <c r="Q242" s="1124">
        <f t="shared" si="212"/>
        <v>74200</v>
      </c>
      <c r="R242" s="1124">
        <f t="shared" si="212"/>
        <v>75700</v>
      </c>
      <c r="S242" s="1124">
        <f t="shared" si="212"/>
        <v>77200</v>
      </c>
      <c r="T242" s="1124">
        <f t="shared" si="212"/>
        <v>78700</v>
      </c>
      <c r="U242" s="1124">
        <f t="shared" si="212"/>
        <v>80200</v>
      </c>
      <c r="V242" s="1124">
        <f t="shared" si="212"/>
        <v>63000</v>
      </c>
      <c r="W242" s="1124">
        <f t="shared" si="212"/>
        <v>64200</v>
      </c>
      <c r="X242" s="1124">
        <f t="shared" si="212"/>
        <v>65500</v>
      </c>
      <c r="Y242" s="1124">
        <f t="shared" si="212"/>
        <v>66800</v>
      </c>
      <c r="Z242" s="1124">
        <f t="shared" si="212"/>
        <v>68100</v>
      </c>
      <c r="AA242" s="1124">
        <f t="shared" si="212"/>
        <v>69500</v>
      </c>
      <c r="AB242" s="1124">
        <f t="shared" si="212"/>
        <v>70900</v>
      </c>
      <c r="AC242" s="1124">
        <f t="shared" si="212"/>
        <v>72300</v>
      </c>
      <c r="AD242" s="1124">
        <f t="shared" si="212"/>
        <v>49000</v>
      </c>
      <c r="AE242" s="1124">
        <f t="shared" si="212"/>
        <v>50000</v>
      </c>
      <c r="AF242" s="1124">
        <f t="shared" si="212"/>
        <v>51000</v>
      </c>
      <c r="AG242" s="1124">
        <f t="shared" si="212"/>
        <v>52000</v>
      </c>
      <c r="AH242" s="1124">
        <f t="shared" si="212"/>
        <v>53000</v>
      </c>
      <c r="AI242" s="1124">
        <f t="shared" si="212"/>
        <v>54100</v>
      </c>
      <c r="AJ242" s="1124">
        <f t="shared" si="212"/>
        <v>0</v>
      </c>
      <c r="AK242" s="1124">
        <f t="shared" si="212"/>
        <v>0</v>
      </c>
      <c r="AL242" s="1124">
        <f t="shared" si="212"/>
        <v>0</v>
      </c>
      <c r="AM242" s="1124">
        <f t="shared" si="212"/>
        <v>0</v>
      </c>
      <c r="AN242" s="1124">
        <f t="shared" si="212"/>
        <v>0</v>
      </c>
      <c r="AO242" s="1124">
        <f t="shared" si="212"/>
        <v>0</v>
      </c>
      <c r="AP242" s="1124">
        <f t="shared" si="212"/>
        <v>0</v>
      </c>
      <c r="AQ242" s="1124">
        <f t="shared" si="212"/>
        <v>0</v>
      </c>
      <c r="AR242" s="1124">
        <f t="shared" si="212"/>
        <v>0</v>
      </c>
      <c r="AS242" s="1124">
        <f t="shared" si="212"/>
        <v>0</v>
      </c>
      <c r="AU242" s="78">
        <f>+Base!E242</f>
        <v>1516900</v>
      </c>
      <c r="AV242" s="81">
        <f t="shared" si="210"/>
        <v>0</v>
      </c>
      <c r="AW242" s="29"/>
    </row>
    <row r="243" spans="1:49">
      <c r="A243" s="1425"/>
      <c r="B243" s="72" t="s">
        <v>1319</v>
      </c>
      <c r="E243" s="29">
        <f t="shared" si="208"/>
        <v>-3104300</v>
      </c>
      <c r="F243" s="190">
        <f t="shared" ref="F243:AS243" si="213">-F144</f>
        <v>-70000</v>
      </c>
      <c r="G243" s="1124">
        <f t="shared" si="213"/>
        <v>-71400</v>
      </c>
      <c r="H243" s="1124">
        <f t="shared" si="213"/>
        <v>-72800</v>
      </c>
      <c r="I243" s="1124">
        <f t="shared" si="213"/>
        <v>-74300</v>
      </c>
      <c r="J243" s="1124">
        <f t="shared" si="213"/>
        <v>-75800</v>
      </c>
      <c r="K243" s="1124">
        <f t="shared" si="213"/>
        <v>-77300</v>
      </c>
      <c r="L243" s="1124">
        <f t="shared" si="213"/>
        <v>-78800</v>
      </c>
      <c r="M243" s="1124">
        <f t="shared" si="213"/>
        <v>-80400</v>
      </c>
      <c r="N243" s="1124">
        <f t="shared" si="213"/>
        <v>-82000</v>
      </c>
      <c r="O243" s="1124">
        <f t="shared" si="213"/>
        <v>-83600</v>
      </c>
      <c r="P243" s="1124">
        <f t="shared" si="213"/>
        <v>-85300</v>
      </c>
      <c r="Q243" s="1124">
        <f t="shared" si="213"/>
        <v>-87000</v>
      </c>
      <c r="R243" s="1124">
        <f t="shared" si="213"/>
        <v>-88700</v>
      </c>
      <c r="S243" s="1124">
        <f t="shared" si="213"/>
        <v>-90500</v>
      </c>
      <c r="T243" s="1124">
        <f t="shared" si="213"/>
        <v>-92300</v>
      </c>
      <c r="U243" s="1124">
        <f t="shared" si="213"/>
        <v>-94100</v>
      </c>
      <c r="V243" s="1124">
        <f t="shared" si="213"/>
        <v>-96000</v>
      </c>
      <c r="W243" s="1124">
        <f t="shared" si="213"/>
        <v>-97900</v>
      </c>
      <c r="X243" s="1124">
        <f t="shared" si="213"/>
        <v>-119800</v>
      </c>
      <c r="Y243" s="1124">
        <f t="shared" si="213"/>
        <v>-122200</v>
      </c>
      <c r="Z243" s="1124">
        <f t="shared" si="213"/>
        <v>-124600</v>
      </c>
      <c r="AA243" s="1124">
        <f t="shared" si="213"/>
        <v>-127100</v>
      </c>
      <c r="AB243" s="1124">
        <f t="shared" si="213"/>
        <v>-129600</v>
      </c>
      <c r="AC243" s="1124">
        <f t="shared" si="213"/>
        <v>-132200</v>
      </c>
      <c r="AD243" s="1124">
        <f t="shared" si="213"/>
        <v>-134800</v>
      </c>
      <c r="AE243" s="1124">
        <f t="shared" si="213"/>
        <v>-137500</v>
      </c>
      <c r="AF243" s="1124">
        <f t="shared" si="213"/>
        <v>-140300</v>
      </c>
      <c r="AG243" s="1124">
        <f t="shared" si="213"/>
        <v>-143100</v>
      </c>
      <c r="AH243" s="1124">
        <f t="shared" si="213"/>
        <v>-146000</v>
      </c>
      <c r="AI243" s="1124">
        <f t="shared" si="213"/>
        <v>-148900</v>
      </c>
      <c r="AJ243" s="1124">
        <f t="shared" si="213"/>
        <v>0</v>
      </c>
      <c r="AK243" s="1124">
        <f t="shared" si="213"/>
        <v>0</v>
      </c>
      <c r="AL243" s="1124">
        <f t="shared" si="213"/>
        <v>0</v>
      </c>
      <c r="AM243" s="1124">
        <f t="shared" si="213"/>
        <v>0</v>
      </c>
      <c r="AN243" s="1124">
        <f t="shared" si="213"/>
        <v>0</v>
      </c>
      <c r="AO243" s="1124">
        <f t="shared" si="213"/>
        <v>0</v>
      </c>
      <c r="AP243" s="1124">
        <f t="shared" si="213"/>
        <v>0</v>
      </c>
      <c r="AQ243" s="1124">
        <f t="shared" si="213"/>
        <v>0</v>
      </c>
      <c r="AR243" s="1124">
        <f t="shared" si="213"/>
        <v>0</v>
      </c>
      <c r="AS243" s="1124">
        <f t="shared" si="213"/>
        <v>0</v>
      </c>
      <c r="AU243" s="78">
        <f>+Base!E243</f>
        <v>-3104300</v>
      </c>
      <c r="AV243" s="81">
        <f t="shared" si="210"/>
        <v>0</v>
      </c>
      <c r="AW243" s="29"/>
    </row>
    <row r="244" spans="1:49">
      <c r="A244" s="1425"/>
      <c r="B244" s="72" t="s">
        <v>468</v>
      </c>
      <c r="C244" s="31"/>
      <c r="E244" s="34">
        <f t="shared" si="208"/>
        <v>-368300</v>
      </c>
      <c r="F244" s="193">
        <f t="shared" ref="F244:AS244" si="214">-F145</f>
        <v>-5000</v>
      </c>
      <c r="G244" s="1125">
        <f t="shared" si="214"/>
        <v>-7400</v>
      </c>
      <c r="H244" s="1125">
        <f t="shared" si="214"/>
        <v>-5000</v>
      </c>
      <c r="I244" s="1125">
        <f t="shared" si="214"/>
        <v>-5100</v>
      </c>
      <c r="J244" s="1125">
        <f t="shared" si="214"/>
        <v>-5200</v>
      </c>
      <c r="K244" s="1125">
        <f t="shared" si="214"/>
        <v>-7600</v>
      </c>
      <c r="L244" s="1125">
        <f t="shared" si="214"/>
        <v>-7600</v>
      </c>
      <c r="M244" s="1125">
        <f t="shared" si="214"/>
        <v>-9100</v>
      </c>
      <c r="N244" s="1125">
        <f t="shared" si="214"/>
        <v>-4700</v>
      </c>
      <c r="O244" s="1125">
        <f t="shared" si="214"/>
        <v>-4800</v>
      </c>
      <c r="P244" s="1125">
        <f t="shared" si="214"/>
        <v>-4900</v>
      </c>
      <c r="Q244" s="1125">
        <f t="shared" si="214"/>
        <v>-5300</v>
      </c>
      <c r="R244" s="1125">
        <f t="shared" si="214"/>
        <v>-6800</v>
      </c>
      <c r="S244" s="1125">
        <f t="shared" si="214"/>
        <v>-7300</v>
      </c>
      <c r="T244" s="1125">
        <f t="shared" si="214"/>
        <v>-10700</v>
      </c>
      <c r="U244" s="1125">
        <f t="shared" si="214"/>
        <v>-12600</v>
      </c>
      <c r="V244" s="1125">
        <f t="shared" si="214"/>
        <v>-12300</v>
      </c>
      <c r="W244" s="1125">
        <f t="shared" si="214"/>
        <v>-12700</v>
      </c>
      <c r="X244" s="1125">
        <f t="shared" si="214"/>
        <v>-11700</v>
      </c>
      <c r="Y244" s="1125">
        <f t="shared" si="214"/>
        <v>-11900</v>
      </c>
      <c r="Z244" s="1125">
        <f t="shared" si="214"/>
        <v>-12400</v>
      </c>
      <c r="AA244" s="1125">
        <f t="shared" si="214"/>
        <v>-13100</v>
      </c>
      <c r="AB244" s="1125">
        <f t="shared" si="214"/>
        <v>-17900</v>
      </c>
      <c r="AC244" s="1125">
        <f t="shared" si="214"/>
        <v>-19600</v>
      </c>
      <c r="AD244" s="1125">
        <f t="shared" si="214"/>
        <v>-24500</v>
      </c>
      <c r="AE244" s="1125">
        <f t="shared" si="214"/>
        <v>-25500</v>
      </c>
      <c r="AF244" s="1125">
        <f t="shared" si="214"/>
        <v>-25900</v>
      </c>
      <c r="AG244" s="1125">
        <f t="shared" si="214"/>
        <v>-23800</v>
      </c>
      <c r="AH244" s="1125">
        <f t="shared" si="214"/>
        <v>-23700</v>
      </c>
      <c r="AI244" s="1125">
        <f t="shared" si="214"/>
        <v>-24200</v>
      </c>
      <c r="AJ244" s="1125">
        <f t="shared" si="214"/>
        <v>0</v>
      </c>
      <c r="AK244" s="1125">
        <f t="shared" si="214"/>
        <v>0</v>
      </c>
      <c r="AL244" s="1125">
        <f t="shared" si="214"/>
        <v>0</v>
      </c>
      <c r="AM244" s="1125">
        <f t="shared" si="214"/>
        <v>0</v>
      </c>
      <c r="AN244" s="1125">
        <f t="shared" si="214"/>
        <v>0</v>
      </c>
      <c r="AO244" s="1125">
        <f t="shared" si="214"/>
        <v>0</v>
      </c>
      <c r="AP244" s="1125">
        <f t="shared" si="214"/>
        <v>0</v>
      </c>
      <c r="AQ244" s="1125">
        <f t="shared" si="214"/>
        <v>0</v>
      </c>
      <c r="AR244" s="1125">
        <f t="shared" si="214"/>
        <v>0</v>
      </c>
      <c r="AS244" s="1125">
        <f t="shared" si="214"/>
        <v>0</v>
      </c>
      <c r="AU244" s="82">
        <f>+Base!E244</f>
        <v>-368300</v>
      </c>
      <c r="AV244" s="83">
        <f t="shared" si="210"/>
        <v>0</v>
      </c>
      <c r="AW244" s="102"/>
    </row>
    <row r="245" spans="1:49" ht="15.6">
      <c r="A245" s="1425"/>
      <c r="B245" s="28" t="s">
        <v>149</v>
      </c>
      <c r="C245" s="31"/>
      <c r="E245" s="29">
        <f t="shared" si="208"/>
        <v>1702400</v>
      </c>
      <c r="F245" s="31">
        <f t="shared" ref="F245:AS245" si="215">+F240+SUM(F241:F244)</f>
        <v>3900</v>
      </c>
      <c r="G245" s="1124">
        <f t="shared" si="215"/>
        <v>16300</v>
      </c>
      <c r="H245" s="1124">
        <f t="shared" si="215"/>
        <v>3400</v>
      </c>
      <c r="I245" s="1124">
        <f t="shared" si="215"/>
        <v>2800</v>
      </c>
      <c r="J245" s="1124">
        <f t="shared" si="215"/>
        <v>2100</v>
      </c>
      <c r="K245" s="1124">
        <f t="shared" si="215"/>
        <v>21700</v>
      </c>
      <c r="L245" s="1124">
        <f t="shared" si="215"/>
        <v>22500</v>
      </c>
      <c r="M245" s="1124">
        <f t="shared" si="215"/>
        <v>21900</v>
      </c>
      <c r="N245" s="1124">
        <f t="shared" si="215"/>
        <v>74900</v>
      </c>
      <c r="O245" s="1124">
        <f t="shared" si="215"/>
        <v>49500</v>
      </c>
      <c r="P245" s="1124">
        <f t="shared" si="215"/>
        <v>-29900</v>
      </c>
      <c r="Q245" s="1124">
        <f t="shared" si="215"/>
        <v>151500</v>
      </c>
      <c r="R245" s="1124">
        <f t="shared" si="215"/>
        <v>36900</v>
      </c>
      <c r="S245" s="1124">
        <f t="shared" si="215"/>
        <v>58900</v>
      </c>
      <c r="T245" s="1124">
        <f t="shared" si="215"/>
        <v>-19200</v>
      </c>
      <c r="U245" s="1124">
        <f t="shared" si="215"/>
        <v>182400</v>
      </c>
      <c r="V245" s="1124">
        <f t="shared" si="215"/>
        <v>72000</v>
      </c>
      <c r="W245" s="1124">
        <f t="shared" si="215"/>
        <v>74900</v>
      </c>
      <c r="X245" s="1124">
        <f t="shared" si="215"/>
        <v>40000</v>
      </c>
      <c r="Y245" s="1124">
        <f t="shared" si="215"/>
        <v>40700</v>
      </c>
      <c r="Z245" s="1124">
        <f t="shared" si="215"/>
        <v>41400</v>
      </c>
      <c r="AA245" s="1124">
        <f t="shared" si="215"/>
        <v>41600</v>
      </c>
      <c r="AB245" s="1124">
        <f t="shared" si="215"/>
        <v>445900</v>
      </c>
      <c r="AC245" s="1124">
        <f t="shared" si="215"/>
        <v>58700</v>
      </c>
      <c r="AD245" s="1124">
        <f t="shared" si="215"/>
        <v>130100</v>
      </c>
      <c r="AE245" s="1124">
        <f t="shared" si="215"/>
        <v>31200</v>
      </c>
      <c r="AF245" s="1124">
        <f t="shared" si="215"/>
        <v>30200</v>
      </c>
      <c r="AG245" s="1124">
        <f t="shared" si="215"/>
        <v>32200</v>
      </c>
      <c r="AH245" s="1124">
        <f t="shared" si="215"/>
        <v>32300</v>
      </c>
      <c r="AI245" s="1124">
        <f t="shared" si="215"/>
        <v>31600</v>
      </c>
      <c r="AJ245" s="1124">
        <f t="shared" si="215"/>
        <v>0</v>
      </c>
      <c r="AK245" s="1124">
        <f t="shared" si="215"/>
        <v>0</v>
      </c>
      <c r="AL245" s="1124">
        <f t="shared" si="215"/>
        <v>0</v>
      </c>
      <c r="AM245" s="1124">
        <f t="shared" si="215"/>
        <v>0</v>
      </c>
      <c r="AN245" s="1124">
        <f t="shared" si="215"/>
        <v>0</v>
      </c>
      <c r="AO245" s="1124">
        <f t="shared" si="215"/>
        <v>0</v>
      </c>
      <c r="AP245" s="1124">
        <f t="shared" si="215"/>
        <v>0</v>
      </c>
      <c r="AQ245" s="1124">
        <f t="shared" si="215"/>
        <v>0</v>
      </c>
      <c r="AR245" s="1124">
        <f t="shared" si="215"/>
        <v>0</v>
      </c>
      <c r="AS245" s="1124">
        <f t="shared" si="215"/>
        <v>0</v>
      </c>
      <c r="AU245" s="78">
        <f>+Base!E245</f>
        <v>1702400</v>
      </c>
      <c r="AV245" s="81">
        <f t="shared" si="210"/>
        <v>0</v>
      </c>
      <c r="AW245" s="102"/>
    </row>
    <row r="246" spans="1:49" ht="7.95" customHeight="1">
      <c r="A246" s="1425"/>
      <c r="B246" s="72"/>
      <c r="F246" s="31"/>
      <c r="G246" s="31"/>
      <c r="H246" s="31"/>
      <c r="I246" s="31"/>
      <c r="J246" s="31"/>
      <c r="K246" s="31"/>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c r="AI246" s="31"/>
      <c r="AJ246" s="31"/>
      <c r="AK246" s="31"/>
      <c r="AL246" s="31"/>
      <c r="AM246" s="31"/>
      <c r="AN246" s="31"/>
      <c r="AO246" s="31"/>
      <c r="AP246" s="31"/>
      <c r="AQ246" s="31"/>
      <c r="AR246" s="31"/>
      <c r="AS246" s="31"/>
      <c r="AU246" s="78"/>
      <c r="AW246" s="1"/>
    </row>
    <row r="247" spans="1:49" ht="15.6">
      <c r="A247" s="1425"/>
      <c r="B247" s="25" t="s">
        <v>638</v>
      </c>
      <c r="F247" s="31"/>
      <c r="G247" s="31"/>
      <c r="H247" s="31"/>
      <c r="I247" s="31"/>
      <c r="J247" s="31"/>
      <c r="K247" s="31"/>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c r="AI247" s="31"/>
      <c r="AJ247" s="31"/>
      <c r="AK247" s="31"/>
      <c r="AL247" s="31"/>
      <c r="AM247" s="31"/>
      <c r="AN247" s="31"/>
      <c r="AO247" s="31"/>
      <c r="AP247" s="31"/>
      <c r="AQ247" s="31"/>
      <c r="AR247" s="31"/>
      <c r="AS247" s="31"/>
      <c r="AU247" s="78"/>
      <c r="AW247" s="1"/>
    </row>
    <row r="248" spans="1:49">
      <c r="A248" s="1425"/>
      <c r="B248" s="72" t="s">
        <v>979</v>
      </c>
      <c r="E248" s="33">
        <f t="shared" ref="E248:E259" ca="1" si="216">INDIRECT(ADDRESS(ROW(),Total_Years+5))</f>
        <v>1538900</v>
      </c>
      <c r="F248" s="31">
        <f t="shared" ref="F248:AS248" si="217">ROUND(F8+F148,0)</f>
        <v>187100</v>
      </c>
      <c r="G248" s="1124">
        <f t="shared" si="217"/>
        <v>186800</v>
      </c>
      <c r="H248" s="1124">
        <f t="shared" si="217"/>
        <v>173800</v>
      </c>
      <c r="I248" s="1124">
        <f t="shared" si="217"/>
        <v>160500</v>
      </c>
      <c r="J248" s="1124">
        <f t="shared" si="217"/>
        <v>148300</v>
      </c>
      <c r="K248" s="1124">
        <f t="shared" si="217"/>
        <v>156400</v>
      </c>
      <c r="L248" s="1124">
        <f t="shared" si="217"/>
        <v>166100</v>
      </c>
      <c r="M248" s="1124">
        <f t="shared" si="217"/>
        <v>175900</v>
      </c>
      <c r="N248" s="1124">
        <f t="shared" si="217"/>
        <v>202800</v>
      </c>
      <c r="O248" s="1124">
        <f t="shared" si="217"/>
        <v>238100</v>
      </c>
      <c r="P248" s="1124">
        <f t="shared" si="217"/>
        <v>194200</v>
      </c>
      <c r="Q248" s="1124">
        <f t="shared" si="217"/>
        <v>272100</v>
      </c>
      <c r="R248" s="1124">
        <f t="shared" si="217"/>
        <v>296700</v>
      </c>
      <c r="S248" s="1124">
        <f t="shared" si="217"/>
        <v>344500</v>
      </c>
      <c r="T248" s="1124">
        <f t="shared" si="217"/>
        <v>301300</v>
      </c>
      <c r="U248" s="1124">
        <f t="shared" si="217"/>
        <v>424600</v>
      </c>
      <c r="V248" s="1124">
        <f t="shared" si="217"/>
        <v>480700</v>
      </c>
      <c r="W248" s="1124">
        <f t="shared" si="217"/>
        <v>541400</v>
      </c>
      <c r="X248" s="1124">
        <f t="shared" si="217"/>
        <v>574700</v>
      </c>
      <c r="Y248" s="1124">
        <f t="shared" si="217"/>
        <v>609500</v>
      </c>
      <c r="Z248" s="1124">
        <f t="shared" si="217"/>
        <v>647200</v>
      </c>
      <c r="AA248" s="1124">
        <f t="shared" si="217"/>
        <v>688000</v>
      </c>
      <c r="AB248" s="1124">
        <f t="shared" si="217"/>
        <v>1136000</v>
      </c>
      <c r="AC248" s="1124">
        <f t="shared" si="217"/>
        <v>1199500</v>
      </c>
      <c r="AD248" s="1124">
        <f t="shared" si="217"/>
        <v>1337600</v>
      </c>
      <c r="AE248" s="1124">
        <f t="shared" si="217"/>
        <v>1379900</v>
      </c>
      <c r="AF248" s="1124">
        <f t="shared" si="217"/>
        <v>1423300</v>
      </c>
      <c r="AG248" s="1124">
        <f t="shared" si="217"/>
        <v>1461500</v>
      </c>
      <c r="AH248" s="1124">
        <f t="shared" si="217"/>
        <v>1499700</v>
      </c>
      <c r="AI248" s="1124">
        <f t="shared" si="217"/>
        <v>1538900</v>
      </c>
      <c r="AJ248" s="1124">
        <f t="shared" si="217"/>
        <v>0</v>
      </c>
      <c r="AK248" s="1124">
        <f t="shared" si="217"/>
        <v>0</v>
      </c>
      <c r="AL248" s="1124">
        <f t="shared" si="217"/>
        <v>0</v>
      </c>
      <c r="AM248" s="1124">
        <f t="shared" si="217"/>
        <v>0</v>
      </c>
      <c r="AN248" s="1124">
        <f t="shared" si="217"/>
        <v>0</v>
      </c>
      <c r="AO248" s="1124">
        <f t="shared" si="217"/>
        <v>0</v>
      </c>
      <c r="AP248" s="1124">
        <f t="shared" si="217"/>
        <v>0</v>
      </c>
      <c r="AQ248" s="1124">
        <f t="shared" si="217"/>
        <v>0</v>
      </c>
      <c r="AR248" s="1124">
        <f t="shared" si="217"/>
        <v>0</v>
      </c>
      <c r="AS248" s="1124">
        <f t="shared" si="217"/>
        <v>0</v>
      </c>
      <c r="AU248" s="33">
        <f ca="1">+Base!E248</f>
        <v>1538900</v>
      </c>
      <c r="AV248" s="81">
        <f t="shared" ref="AV248:AV259" ca="1" si="218">+E248-AU248</f>
        <v>0</v>
      </c>
      <c r="AW248" s="562"/>
    </row>
    <row r="249" spans="1:49" hidden="1">
      <c r="A249" s="1427" t="s">
        <v>1578</v>
      </c>
      <c r="B249" s="72" t="s">
        <v>1535</v>
      </c>
      <c r="C249" s="3"/>
      <c r="D249" s="3"/>
      <c r="E249" s="433">
        <f t="shared" ca="1" si="216"/>
        <v>337700</v>
      </c>
      <c r="F249" s="447">
        <f t="shared" ref="F249:AS249" si="219">ROUND(+F9+F29+F63+F87+F91+F94+F95+F96-F133,0)</f>
        <v>491200</v>
      </c>
      <c r="G249" s="1124">
        <f t="shared" si="219"/>
        <v>480600</v>
      </c>
      <c r="H249" s="1124">
        <f t="shared" si="219"/>
        <v>468100</v>
      </c>
      <c r="I249" s="1124">
        <f t="shared" si="219"/>
        <v>453400</v>
      </c>
      <c r="J249" s="1124">
        <f t="shared" si="219"/>
        <v>436400</v>
      </c>
      <c r="K249" s="1124">
        <f t="shared" si="219"/>
        <v>416900</v>
      </c>
      <c r="L249" s="1124">
        <f t="shared" si="219"/>
        <v>394600</v>
      </c>
      <c r="M249" s="1124">
        <f t="shared" si="219"/>
        <v>369500</v>
      </c>
      <c r="N249" s="1124">
        <f t="shared" si="219"/>
        <v>383200</v>
      </c>
      <c r="O249" s="1124">
        <f t="shared" si="219"/>
        <v>383800</v>
      </c>
      <c r="P249" s="1124">
        <f t="shared" si="219"/>
        <v>384900</v>
      </c>
      <c r="Q249" s="1124">
        <f t="shared" si="219"/>
        <v>386300</v>
      </c>
      <c r="R249" s="1124">
        <f t="shared" si="219"/>
        <v>387900</v>
      </c>
      <c r="S249" s="1124">
        <f t="shared" si="219"/>
        <v>389600</v>
      </c>
      <c r="T249" s="1124">
        <f t="shared" si="219"/>
        <v>396600</v>
      </c>
      <c r="U249" s="1124">
        <f t="shared" si="219"/>
        <v>403100</v>
      </c>
      <c r="V249" s="1124">
        <f t="shared" si="219"/>
        <v>408800</v>
      </c>
      <c r="W249" s="1124">
        <f t="shared" si="219"/>
        <v>413700</v>
      </c>
      <c r="X249" s="1124">
        <f t="shared" si="219"/>
        <v>414100</v>
      </c>
      <c r="Y249" s="1124">
        <f t="shared" si="219"/>
        <v>413500</v>
      </c>
      <c r="Z249" s="1124">
        <f t="shared" si="219"/>
        <v>411800</v>
      </c>
      <c r="AA249" s="1124">
        <f t="shared" si="219"/>
        <v>408900</v>
      </c>
      <c r="AB249" s="1124">
        <f t="shared" si="219"/>
        <v>404700</v>
      </c>
      <c r="AC249" s="1124">
        <f t="shared" si="219"/>
        <v>399300</v>
      </c>
      <c r="AD249" s="1124">
        <f t="shared" si="219"/>
        <v>392600</v>
      </c>
      <c r="AE249" s="1124">
        <f t="shared" si="219"/>
        <v>384500</v>
      </c>
      <c r="AF249" s="1124">
        <f t="shared" si="219"/>
        <v>374900</v>
      </c>
      <c r="AG249" s="1124">
        <f t="shared" si="219"/>
        <v>363800</v>
      </c>
      <c r="AH249" s="1124">
        <f t="shared" si="219"/>
        <v>351400</v>
      </c>
      <c r="AI249" s="1124">
        <f t="shared" si="219"/>
        <v>337700</v>
      </c>
      <c r="AJ249" s="1124">
        <f t="shared" si="219"/>
        <v>0</v>
      </c>
      <c r="AK249" s="1124">
        <f t="shared" si="219"/>
        <v>0</v>
      </c>
      <c r="AL249" s="1124">
        <f t="shared" si="219"/>
        <v>0</v>
      </c>
      <c r="AM249" s="1124">
        <f t="shared" si="219"/>
        <v>0</v>
      </c>
      <c r="AN249" s="1124">
        <f t="shared" si="219"/>
        <v>0</v>
      </c>
      <c r="AO249" s="1124">
        <f t="shared" si="219"/>
        <v>0</v>
      </c>
      <c r="AP249" s="1124">
        <f t="shared" si="219"/>
        <v>0</v>
      </c>
      <c r="AQ249" s="1124">
        <f t="shared" si="219"/>
        <v>0</v>
      </c>
      <c r="AR249" s="1124">
        <f t="shared" si="219"/>
        <v>0</v>
      </c>
      <c r="AS249" s="1124">
        <f t="shared" si="219"/>
        <v>0</v>
      </c>
      <c r="AU249" s="33">
        <f ca="1">+Base!E249</f>
        <v>337700</v>
      </c>
      <c r="AV249" s="81">
        <f t="shared" ca="1" si="218"/>
        <v>0</v>
      </c>
      <c r="AW249" s="1489"/>
    </row>
    <row r="250" spans="1:49" hidden="1">
      <c r="A250" s="1427" t="s">
        <v>1578</v>
      </c>
      <c r="B250" s="72" t="s">
        <v>1536</v>
      </c>
      <c r="C250" s="3"/>
      <c r="D250" s="3"/>
      <c r="E250" s="1301">
        <f t="shared" ca="1" si="216"/>
        <v>388100</v>
      </c>
      <c r="F250" s="127">
        <f t="shared" ref="F250:AS250" si="220">ROUND(+F10+F30+F98+F99+F102+F103,0)</f>
        <v>218500</v>
      </c>
      <c r="G250" s="1125">
        <f t="shared" si="220"/>
        <v>238100</v>
      </c>
      <c r="H250" s="1125">
        <f t="shared" si="220"/>
        <v>258800</v>
      </c>
      <c r="I250" s="1125">
        <f t="shared" si="220"/>
        <v>280800</v>
      </c>
      <c r="J250" s="1125">
        <f t="shared" si="220"/>
        <v>304100</v>
      </c>
      <c r="K250" s="1125">
        <f t="shared" si="220"/>
        <v>328700</v>
      </c>
      <c r="L250" s="1125">
        <f t="shared" si="220"/>
        <v>354800</v>
      </c>
      <c r="M250" s="1125">
        <f t="shared" si="220"/>
        <v>382400</v>
      </c>
      <c r="N250" s="1125">
        <f t="shared" si="220"/>
        <v>411700</v>
      </c>
      <c r="O250" s="1125">
        <f t="shared" si="220"/>
        <v>420500</v>
      </c>
      <c r="P250" s="1125">
        <f t="shared" si="220"/>
        <v>428900</v>
      </c>
      <c r="Q250" s="1125">
        <f t="shared" si="220"/>
        <v>436900</v>
      </c>
      <c r="R250" s="1125">
        <f t="shared" si="220"/>
        <v>444500</v>
      </c>
      <c r="S250" s="1125">
        <f t="shared" si="220"/>
        <v>451500</v>
      </c>
      <c r="T250" s="1125">
        <f t="shared" si="220"/>
        <v>457900</v>
      </c>
      <c r="U250" s="1125">
        <f t="shared" si="220"/>
        <v>463500</v>
      </c>
      <c r="V250" s="1125">
        <f t="shared" si="220"/>
        <v>468300</v>
      </c>
      <c r="W250" s="1125">
        <f t="shared" si="220"/>
        <v>472100</v>
      </c>
      <c r="X250" s="1125">
        <f t="shared" si="220"/>
        <v>472300</v>
      </c>
      <c r="Y250" s="1125">
        <f t="shared" si="220"/>
        <v>471400</v>
      </c>
      <c r="Z250" s="1125">
        <f t="shared" si="220"/>
        <v>469400</v>
      </c>
      <c r="AA250" s="1125">
        <f t="shared" si="220"/>
        <v>466000</v>
      </c>
      <c r="AB250" s="1125">
        <f t="shared" si="220"/>
        <v>461300</v>
      </c>
      <c r="AC250" s="1125">
        <f t="shared" si="220"/>
        <v>455200</v>
      </c>
      <c r="AD250" s="1125">
        <f t="shared" si="220"/>
        <v>447700</v>
      </c>
      <c r="AE250" s="1125">
        <f t="shared" si="220"/>
        <v>438800</v>
      </c>
      <c r="AF250" s="1125">
        <f t="shared" si="220"/>
        <v>428500</v>
      </c>
      <c r="AG250" s="1125">
        <f t="shared" si="220"/>
        <v>416600</v>
      </c>
      <c r="AH250" s="1125">
        <f t="shared" si="220"/>
        <v>403100</v>
      </c>
      <c r="AI250" s="1125">
        <f t="shared" si="220"/>
        <v>388100</v>
      </c>
      <c r="AJ250" s="1125">
        <f t="shared" si="220"/>
        <v>0</v>
      </c>
      <c r="AK250" s="1125">
        <f t="shared" si="220"/>
        <v>0</v>
      </c>
      <c r="AL250" s="1125">
        <f t="shared" si="220"/>
        <v>0</v>
      </c>
      <c r="AM250" s="1125">
        <f t="shared" si="220"/>
        <v>0</v>
      </c>
      <c r="AN250" s="1125">
        <f t="shared" si="220"/>
        <v>0</v>
      </c>
      <c r="AO250" s="1125">
        <f t="shared" si="220"/>
        <v>0</v>
      </c>
      <c r="AP250" s="1125">
        <f t="shared" si="220"/>
        <v>0</v>
      </c>
      <c r="AQ250" s="1125">
        <f t="shared" si="220"/>
        <v>0</v>
      </c>
      <c r="AR250" s="1125">
        <f t="shared" si="220"/>
        <v>0</v>
      </c>
      <c r="AS250" s="1125">
        <f t="shared" si="220"/>
        <v>0</v>
      </c>
      <c r="AU250" s="35">
        <f ca="1">+Base!E250</f>
        <v>388100</v>
      </c>
      <c r="AV250" s="83">
        <f t="shared" ca="1" si="218"/>
        <v>0</v>
      </c>
      <c r="AW250" s="1489"/>
    </row>
    <row r="251" spans="1:49">
      <c r="A251" s="1425"/>
      <c r="B251" s="72" t="s">
        <v>927</v>
      </c>
      <c r="C251" s="3"/>
      <c r="E251" s="433">
        <f t="shared" ca="1" si="216"/>
        <v>725800</v>
      </c>
      <c r="F251" s="447">
        <f>+F249+F250</f>
        <v>709700</v>
      </c>
      <c r="G251" s="1124">
        <f t="shared" ref="G251:AS251" si="221">+G249+G250</f>
        <v>718700</v>
      </c>
      <c r="H251" s="1124">
        <f t="shared" si="221"/>
        <v>726900</v>
      </c>
      <c r="I251" s="1124">
        <f t="shared" si="221"/>
        <v>734200</v>
      </c>
      <c r="J251" s="1124">
        <f t="shared" si="221"/>
        <v>740500</v>
      </c>
      <c r="K251" s="1124">
        <f t="shared" si="221"/>
        <v>745600</v>
      </c>
      <c r="L251" s="1124">
        <f t="shared" si="221"/>
        <v>749400</v>
      </c>
      <c r="M251" s="1124">
        <f t="shared" si="221"/>
        <v>751900</v>
      </c>
      <c r="N251" s="1124">
        <f t="shared" si="221"/>
        <v>794900</v>
      </c>
      <c r="O251" s="1124">
        <f t="shared" si="221"/>
        <v>804300</v>
      </c>
      <c r="P251" s="1124">
        <f t="shared" si="221"/>
        <v>813800</v>
      </c>
      <c r="Q251" s="1124">
        <f t="shared" si="221"/>
        <v>823200</v>
      </c>
      <c r="R251" s="1124">
        <f t="shared" si="221"/>
        <v>832400</v>
      </c>
      <c r="S251" s="1124">
        <f t="shared" si="221"/>
        <v>841100</v>
      </c>
      <c r="T251" s="1124">
        <f t="shared" si="221"/>
        <v>854500</v>
      </c>
      <c r="U251" s="1124">
        <f t="shared" si="221"/>
        <v>866600</v>
      </c>
      <c r="V251" s="1124">
        <f t="shared" si="221"/>
        <v>877100</v>
      </c>
      <c r="W251" s="1124">
        <f t="shared" si="221"/>
        <v>885800</v>
      </c>
      <c r="X251" s="1124">
        <f t="shared" si="221"/>
        <v>886400</v>
      </c>
      <c r="Y251" s="1124">
        <f t="shared" si="221"/>
        <v>884900</v>
      </c>
      <c r="Z251" s="1124">
        <f t="shared" si="221"/>
        <v>881200</v>
      </c>
      <c r="AA251" s="1124">
        <f t="shared" si="221"/>
        <v>874900</v>
      </c>
      <c r="AB251" s="1124">
        <f t="shared" si="221"/>
        <v>866000</v>
      </c>
      <c r="AC251" s="1124">
        <f t="shared" si="221"/>
        <v>854500</v>
      </c>
      <c r="AD251" s="1124">
        <f t="shared" si="221"/>
        <v>840300</v>
      </c>
      <c r="AE251" s="1124">
        <f t="shared" si="221"/>
        <v>823300</v>
      </c>
      <c r="AF251" s="1124">
        <f t="shared" si="221"/>
        <v>803400</v>
      </c>
      <c r="AG251" s="1124">
        <f t="shared" si="221"/>
        <v>780400</v>
      </c>
      <c r="AH251" s="1124">
        <f t="shared" si="221"/>
        <v>754500</v>
      </c>
      <c r="AI251" s="1124">
        <f t="shared" si="221"/>
        <v>725800</v>
      </c>
      <c r="AJ251" s="1124">
        <f t="shared" si="221"/>
        <v>0</v>
      </c>
      <c r="AK251" s="1124">
        <f t="shared" si="221"/>
        <v>0</v>
      </c>
      <c r="AL251" s="1124">
        <f t="shared" si="221"/>
        <v>0</v>
      </c>
      <c r="AM251" s="1124">
        <f t="shared" si="221"/>
        <v>0</v>
      </c>
      <c r="AN251" s="1124">
        <f t="shared" si="221"/>
        <v>0</v>
      </c>
      <c r="AO251" s="1124">
        <f t="shared" si="221"/>
        <v>0</v>
      </c>
      <c r="AP251" s="1124">
        <f t="shared" si="221"/>
        <v>0</v>
      </c>
      <c r="AQ251" s="1124">
        <f t="shared" si="221"/>
        <v>0</v>
      </c>
      <c r="AR251" s="1124">
        <f t="shared" si="221"/>
        <v>0</v>
      </c>
      <c r="AS251" s="1124">
        <f t="shared" si="221"/>
        <v>0</v>
      </c>
      <c r="AU251" s="33">
        <f ca="1">+Base!E251</f>
        <v>725800</v>
      </c>
      <c r="AV251" s="81">
        <f t="shared" ca="1" si="218"/>
        <v>0</v>
      </c>
      <c r="AW251" s="1489"/>
    </row>
    <row r="252" spans="1:49" hidden="1">
      <c r="A252" s="1427" t="s">
        <v>1578</v>
      </c>
      <c r="B252" s="234" t="s">
        <v>1118</v>
      </c>
      <c r="C252" s="3"/>
      <c r="E252" s="433">
        <f t="shared" ca="1" si="216"/>
        <v>0</v>
      </c>
      <c r="F252" s="447">
        <f t="shared" ref="F252:AS252" si="222">ROUND(+F12+F32+F105+F110+F113+F116,0)</f>
        <v>0</v>
      </c>
      <c r="G252" s="1124">
        <f t="shared" si="222"/>
        <v>0</v>
      </c>
      <c r="H252" s="1124">
        <f t="shared" si="222"/>
        <v>0</v>
      </c>
      <c r="I252" s="1124">
        <f t="shared" si="222"/>
        <v>0</v>
      </c>
      <c r="J252" s="1124">
        <f t="shared" si="222"/>
        <v>0</v>
      </c>
      <c r="K252" s="1124">
        <f t="shared" si="222"/>
        <v>0</v>
      </c>
      <c r="L252" s="1124">
        <f t="shared" si="222"/>
        <v>0</v>
      </c>
      <c r="M252" s="1124">
        <f t="shared" si="222"/>
        <v>0</v>
      </c>
      <c r="N252" s="1124">
        <f t="shared" si="222"/>
        <v>0</v>
      </c>
      <c r="O252" s="1124">
        <f t="shared" si="222"/>
        <v>0</v>
      </c>
      <c r="P252" s="1124">
        <f t="shared" si="222"/>
        <v>0</v>
      </c>
      <c r="Q252" s="1124">
        <f t="shared" si="222"/>
        <v>0</v>
      </c>
      <c r="R252" s="1124">
        <f t="shared" si="222"/>
        <v>0</v>
      </c>
      <c r="S252" s="1124">
        <f t="shared" si="222"/>
        <v>0</v>
      </c>
      <c r="T252" s="1124">
        <f t="shared" si="222"/>
        <v>0</v>
      </c>
      <c r="U252" s="1124">
        <f t="shared" si="222"/>
        <v>36000</v>
      </c>
      <c r="V252" s="1124">
        <f t="shared" si="222"/>
        <v>31000</v>
      </c>
      <c r="W252" s="1124">
        <f t="shared" si="222"/>
        <v>25900</v>
      </c>
      <c r="X252" s="1124">
        <f t="shared" si="222"/>
        <v>24500</v>
      </c>
      <c r="Y252" s="1124">
        <f t="shared" si="222"/>
        <v>22900</v>
      </c>
      <c r="Z252" s="1124">
        <f t="shared" si="222"/>
        <v>21000</v>
      </c>
      <c r="AA252" s="1124">
        <f t="shared" si="222"/>
        <v>18800</v>
      </c>
      <c r="AB252" s="1124">
        <f t="shared" si="222"/>
        <v>16300</v>
      </c>
      <c r="AC252" s="1124">
        <f t="shared" si="222"/>
        <v>13400</v>
      </c>
      <c r="AD252" s="1124">
        <f t="shared" si="222"/>
        <v>10100</v>
      </c>
      <c r="AE252" s="1124">
        <f t="shared" si="222"/>
        <v>6300</v>
      </c>
      <c r="AF252" s="1124">
        <f t="shared" si="222"/>
        <v>2000</v>
      </c>
      <c r="AG252" s="1124">
        <f t="shared" si="222"/>
        <v>0</v>
      </c>
      <c r="AH252" s="1124">
        <f t="shared" si="222"/>
        <v>0</v>
      </c>
      <c r="AI252" s="1124">
        <f t="shared" si="222"/>
        <v>0</v>
      </c>
      <c r="AJ252" s="1124">
        <f t="shared" si="222"/>
        <v>0</v>
      </c>
      <c r="AK252" s="1124">
        <f t="shared" si="222"/>
        <v>0</v>
      </c>
      <c r="AL252" s="1124">
        <f t="shared" si="222"/>
        <v>0</v>
      </c>
      <c r="AM252" s="1124">
        <f t="shared" si="222"/>
        <v>0</v>
      </c>
      <c r="AN252" s="1124">
        <f t="shared" si="222"/>
        <v>0</v>
      </c>
      <c r="AO252" s="1124">
        <f t="shared" si="222"/>
        <v>0</v>
      </c>
      <c r="AP252" s="1124">
        <f t="shared" si="222"/>
        <v>0</v>
      </c>
      <c r="AQ252" s="1124">
        <f t="shared" si="222"/>
        <v>0</v>
      </c>
      <c r="AR252" s="1124">
        <f t="shared" si="222"/>
        <v>0</v>
      </c>
      <c r="AS252" s="1124">
        <f t="shared" si="222"/>
        <v>0</v>
      </c>
      <c r="AU252" s="33">
        <f ca="1">+Base!E252</f>
        <v>0</v>
      </c>
      <c r="AV252" s="81">
        <f t="shared" ca="1" si="218"/>
        <v>0</v>
      </c>
      <c r="AW252" s="1489"/>
    </row>
    <row r="253" spans="1:49" hidden="1">
      <c r="A253" s="1427" t="s">
        <v>1578</v>
      </c>
      <c r="B253" s="234" t="s">
        <v>1119</v>
      </c>
      <c r="C253" s="3"/>
      <c r="E253" s="1301">
        <f t="shared" ca="1" si="216"/>
        <v>0</v>
      </c>
      <c r="F253" s="127">
        <f t="shared" ref="F253:AS253" si="223">ROUND(+F13+F33+F106+F111+F114+F117,0)</f>
        <v>0</v>
      </c>
      <c r="G253" s="1125">
        <f t="shared" si="223"/>
        <v>0</v>
      </c>
      <c r="H253" s="1125">
        <f t="shared" si="223"/>
        <v>0</v>
      </c>
      <c r="I253" s="1125">
        <f t="shared" si="223"/>
        <v>0</v>
      </c>
      <c r="J253" s="1125">
        <f t="shared" si="223"/>
        <v>0</v>
      </c>
      <c r="K253" s="1125">
        <f t="shared" si="223"/>
        <v>0</v>
      </c>
      <c r="L253" s="1125">
        <f t="shared" si="223"/>
        <v>0</v>
      </c>
      <c r="M253" s="1125">
        <f t="shared" si="223"/>
        <v>0</v>
      </c>
      <c r="N253" s="1125">
        <f t="shared" si="223"/>
        <v>0</v>
      </c>
      <c r="O253" s="1125">
        <f t="shared" si="223"/>
        <v>0</v>
      </c>
      <c r="P253" s="1125">
        <f t="shared" si="223"/>
        <v>0</v>
      </c>
      <c r="Q253" s="1125">
        <f t="shared" si="223"/>
        <v>60000</v>
      </c>
      <c r="R253" s="1125">
        <f t="shared" si="223"/>
        <v>59300</v>
      </c>
      <c r="S253" s="1125">
        <f t="shared" si="223"/>
        <v>58400</v>
      </c>
      <c r="T253" s="1125">
        <f t="shared" si="223"/>
        <v>57100</v>
      </c>
      <c r="U253" s="1125">
        <f t="shared" si="223"/>
        <v>55500</v>
      </c>
      <c r="V253" s="1125">
        <f t="shared" si="223"/>
        <v>52500</v>
      </c>
      <c r="W253" s="1125">
        <f t="shared" si="223"/>
        <v>48900</v>
      </c>
      <c r="X253" s="1125">
        <f t="shared" si="223"/>
        <v>44500</v>
      </c>
      <c r="Y253" s="1125">
        <f t="shared" si="223"/>
        <v>41000</v>
      </c>
      <c r="Z253" s="1125">
        <f t="shared" si="223"/>
        <v>37000</v>
      </c>
      <c r="AA253" s="1125">
        <f t="shared" si="223"/>
        <v>32400</v>
      </c>
      <c r="AB253" s="1125">
        <f t="shared" si="223"/>
        <v>27100</v>
      </c>
      <c r="AC253" s="1125">
        <f t="shared" si="223"/>
        <v>21200</v>
      </c>
      <c r="AD253" s="1125">
        <f t="shared" si="223"/>
        <v>14500</v>
      </c>
      <c r="AE253" s="1125">
        <f t="shared" si="223"/>
        <v>7000</v>
      </c>
      <c r="AF253" s="1125">
        <f t="shared" si="223"/>
        <v>0</v>
      </c>
      <c r="AG253" s="1125">
        <f t="shared" si="223"/>
        <v>0</v>
      </c>
      <c r="AH253" s="1125">
        <f t="shared" si="223"/>
        <v>0</v>
      </c>
      <c r="AI253" s="1125">
        <f t="shared" si="223"/>
        <v>0</v>
      </c>
      <c r="AJ253" s="1125">
        <f t="shared" si="223"/>
        <v>0</v>
      </c>
      <c r="AK253" s="1125">
        <f t="shared" si="223"/>
        <v>0</v>
      </c>
      <c r="AL253" s="1125">
        <f t="shared" si="223"/>
        <v>0</v>
      </c>
      <c r="AM253" s="1125">
        <f t="shared" si="223"/>
        <v>0</v>
      </c>
      <c r="AN253" s="1125">
        <f t="shared" si="223"/>
        <v>0</v>
      </c>
      <c r="AO253" s="1125">
        <f t="shared" si="223"/>
        <v>0</v>
      </c>
      <c r="AP253" s="1125">
        <f t="shared" si="223"/>
        <v>0</v>
      </c>
      <c r="AQ253" s="1125">
        <f t="shared" si="223"/>
        <v>0</v>
      </c>
      <c r="AR253" s="1125">
        <f t="shared" si="223"/>
        <v>0</v>
      </c>
      <c r="AS253" s="1125">
        <f t="shared" si="223"/>
        <v>0</v>
      </c>
      <c r="AU253" s="35">
        <f ca="1">+Base!E253</f>
        <v>0</v>
      </c>
      <c r="AV253" s="83">
        <f t="shared" ca="1" si="218"/>
        <v>0</v>
      </c>
      <c r="AW253" s="1489"/>
    </row>
    <row r="254" spans="1:49">
      <c r="A254" s="1425"/>
      <c r="B254" s="72" t="s">
        <v>807</v>
      </c>
      <c r="C254" s="3"/>
      <c r="E254" s="433">
        <f t="shared" ca="1" si="216"/>
        <v>0</v>
      </c>
      <c r="F254" s="447">
        <f>+F252+F253</f>
        <v>0</v>
      </c>
      <c r="G254" s="1124">
        <f t="shared" ref="G254:AS254" si="224">+G252+G253</f>
        <v>0</v>
      </c>
      <c r="H254" s="1124">
        <f t="shared" si="224"/>
        <v>0</v>
      </c>
      <c r="I254" s="1124">
        <f t="shared" si="224"/>
        <v>0</v>
      </c>
      <c r="J254" s="1124">
        <f t="shared" si="224"/>
        <v>0</v>
      </c>
      <c r="K254" s="1124">
        <f t="shared" si="224"/>
        <v>0</v>
      </c>
      <c r="L254" s="1124">
        <f t="shared" si="224"/>
        <v>0</v>
      </c>
      <c r="M254" s="1124">
        <f t="shared" si="224"/>
        <v>0</v>
      </c>
      <c r="N254" s="1124">
        <f t="shared" si="224"/>
        <v>0</v>
      </c>
      <c r="O254" s="1124">
        <f t="shared" si="224"/>
        <v>0</v>
      </c>
      <c r="P254" s="1124">
        <f t="shared" si="224"/>
        <v>0</v>
      </c>
      <c r="Q254" s="1124">
        <f t="shared" si="224"/>
        <v>60000</v>
      </c>
      <c r="R254" s="1124">
        <f t="shared" si="224"/>
        <v>59300</v>
      </c>
      <c r="S254" s="1124">
        <f t="shared" si="224"/>
        <v>58400</v>
      </c>
      <c r="T254" s="1124">
        <f t="shared" si="224"/>
        <v>57100</v>
      </c>
      <c r="U254" s="1124">
        <f t="shared" si="224"/>
        <v>91500</v>
      </c>
      <c r="V254" s="1124">
        <f t="shared" si="224"/>
        <v>83500</v>
      </c>
      <c r="W254" s="1124">
        <f t="shared" si="224"/>
        <v>74800</v>
      </c>
      <c r="X254" s="1124">
        <f t="shared" si="224"/>
        <v>69000</v>
      </c>
      <c r="Y254" s="1124">
        <f t="shared" si="224"/>
        <v>63900</v>
      </c>
      <c r="Z254" s="1124">
        <f t="shared" si="224"/>
        <v>58000</v>
      </c>
      <c r="AA254" s="1124">
        <f t="shared" si="224"/>
        <v>51200</v>
      </c>
      <c r="AB254" s="1124">
        <f t="shared" si="224"/>
        <v>43400</v>
      </c>
      <c r="AC254" s="1124">
        <f t="shared" si="224"/>
        <v>34600</v>
      </c>
      <c r="AD254" s="1124">
        <f t="shared" si="224"/>
        <v>24600</v>
      </c>
      <c r="AE254" s="1124">
        <f t="shared" si="224"/>
        <v>13300</v>
      </c>
      <c r="AF254" s="1124">
        <f t="shared" si="224"/>
        <v>2000</v>
      </c>
      <c r="AG254" s="1124">
        <f t="shared" si="224"/>
        <v>0</v>
      </c>
      <c r="AH254" s="1124">
        <f t="shared" si="224"/>
        <v>0</v>
      </c>
      <c r="AI254" s="1124">
        <f t="shared" si="224"/>
        <v>0</v>
      </c>
      <c r="AJ254" s="1124">
        <f t="shared" si="224"/>
        <v>0</v>
      </c>
      <c r="AK254" s="1124">
        <f t="shared" si="224"/>
        <v>0</v>
      </c>
      <c r="AL254" s="1124">
        <f t="shared" si="224"/>
        <v>0</v>
      </c>
      <c r="AM254" s="1124">
        <f t="shared" si="224"/>
        <v>0</v>
      </c>
      <c r="AN254" s="1124">
        <f t="shared" si="224"/>
        <v>0</v>
      </c>
      <c r="AO254" s="1124">
        <f t="shared" si="224"/>
        <v>0</v>
      </c>
      <c r="AP254" s="1124">
        <f t="shared" si="224"/>
        <v>0</v>
      </c>
      <c r="AQ254" s="1124">
        <f t="shared" si="224"/>
        <v>0</v>
      </c>
      <c r="AR254" s="1124">
        <f t="shared" si="224"/>
        <v>0</v>
      </c>
      <c r="AS254" s="1124">
        <f t="shared" si="224"/>
        <v>0</v>
      </c>
      <c r="AU254" s="33">
        <f ca="1">+Base!E254</f>
        <v>0</v>
      </c>
      <c r="AV254" s="81">
        <f t="shared" ca="1" si="218"/>
        <v>0</v>
      </c>
      <c r="AW254" s="363"/>
    </row>
    <row r="255" spans="1:49">
      <c r="A255" s="1425"/>
      <c r="B255" s="234" t="s">
        <v>760</v>
      </c>
      <c r="C255" s="3"/>
      <c r="E255" s="33">
        <f t="shared" ca="1" si="216"/>
        <v>416600</v>
      </c>
      <c r="F255" s="447">
        <f>ROUND(+F15+F35+F64+F120+F123+F126+F127,0)</f>
        <v>80700</v>
      </c>
      <c r="G255" s="1124">
        <f t="shared" ref="G255:AS255" si="225">ROUND(+G15+G35+G64+G120+G123+G126+G127,0)</f>
        <v>86800</v>
      </c>
      <c r="H255" s="1124">
        <f t="shared" si="225"/>
        <v>93400</v>
      </c>
      <c r="I255" s="1124">
        <f t="shared" si="225"/>
        <v>100500</v>
      </c>
      <c r="J255" s="1124">
        <f t="shared" si="225"/>
        <v>106700</v>
      </c>
      <c r="K255" s="1124">
        <f t="shared" si="225"/>
        <v>113300</v>
      </c>
      <c r="L255" s="1124">
        <f t="shared" si="225"/>
        <v>120300</v>
      </c>
      <c r="M255" s="1124">
        <f t="shared" si="225"/>
        <v>127800</v>
      </c>
      <c r="N255" s="1124">
        <f t="shared" si="225"/>
        <v>135700</v>
      </c>
      <c r="O255" s="1124">
        <f t="shared" si="225"/>
        <v>144100</v>
      </c>
      <c r="P255" s="1124">
        <f t="shared" si="225"/>
        <v>153000</v>
      </c>
      <c r="Q255" s="1124">
        <f t="shared" si="225"/>
        <v>162500</v>
      </c>
      <c r="R255" s="1124">
        <f t="shared" si="225"/>
        <v>172600</v>
      </c>
      <c r="S255" s="1124">
        <f t="shared" si="225"/>
        <v>183300</v>
      </c>
      <c r="T255" s="1124">
        <f t="shared" si="225"/>
        <v>194700</v>
      </c>
      <c r="U255" s="1124">
        <f t="shared" si="225"/>
        <v>206800</v>
      </c>
      <c r="V255" s="1124">
        <f t="shared" si="225"/>
        <v>219600</v>
      </c>
      <c r="W255" s="1124">
        <f t="shared" si="225"/>
        <v>233200</v>
      </c>
      <c r="X255" s="1124">
        <f t="shared" si="225"/>
        <v>244500</v>
      </c>
      <c r="Y255" s="1124">
        <f t="shared" si="225"/>
        <v>256400</v>
      </c>
      <c r="Z255" s="1124">
        <f t="shared" si="225"/>
        <v>269000</v>
      </c>
      <c r="AA255" s="1124">
        <f t="shared" si="225"/>
        <v>282200</v>
      </c>
      <c r="AB255" s="1124">
        <f t="shared" si="225"/>
        <v>296100</v>
      </c>
      <c r="AC255" s="1124">
        <f t="shared" si="225"/>
        <v>310800</v>
      </c>
      <c r="AD255" s="1124">
        <f t="shared" si="225"/>
        <v>326200</v>
      </c>
      <c r="AE255" s="1124">
        <f t="shared" si="225"/>
        <v>342500</v>
      </c>
      <c r="AF255" s="1124">
        <f t="shared" si="225"/>
        <v>359600</v>
      </c>
      <c r="AG255" s="1124">
        <f t="shared" si="225"/>
        <v>377600</v>
      </c>
      <c r="AH255" s="1124">
        <f t="shared" si="225"/>
        <v>396600</v>
      </c>
      <c r="AI255" s="1124">
        <f t="shared" si="225"/>
        <v>416600</v>
      </c>
      <c r="AJ255" s="1124">
        <f t="shared" si="225"/>
        <v>0</v>
      </c>
      <c r="AK255" s="1124">
        <f t="shared" si="225"/>
        <v>0</v>
      </c>
      <c r="AL255" s="1124">
        <f t="shared" si="225"/>
        <v>0</v>
      </c>
      <c r="AM255" s="1124">
        <f t="shared" si="225"/>
        <v>0</v>
      </c>
      <c r="AN255" s="1124">
        <f t="shared" si="225"/>
        <v>0</v>
      </c>
      <c r="AO255" s="1124">
        <f t="shared" si="225"/>
        <v>0</v>
      </c>
      <c r="AP255" s="1124">
        <f t="shared" si="225"/>
        <v>0</v>
      </c>
      <c r="AQ255" s="1124">
        <f t="shared" si="225"/>
        <v>0</v>
      </c>
      <c r="AR255" s="1124">
        <f t="shared" si="225"/>
        <v>0</v>
      </c>
      <c r="AS255" s="1124">
        <f t="shared" si="225"/>
        <v>0</v>
      </c>
      <c r="AU255" s="33">
        <f ca="1">+Base!E255</f>
        <v>416600</v>
      </c>
      <c r="AV255" s="81">
        <f t="shared" ca="1" si="218"/>
        <v>0</v>
      </c>
      <c r="AW255" s="363"/>
    </row>
    <row r="256" spans="1:49">
      <c r="A256" s="1425"/>
      <c r="B256" s="72" t="s">
        <v>761</v>
      </c>
      <c r="C256" s="3"/>
      <c r="E256" s="35">
        <f t="shared" ca="1" si="216"/>
        <v>21100</v>
      </c>
      <c r="F256" s="127">
        <f t="shared" ref="F256:AS256" si="226">ROUND(+F16+F36+F124,0)</f>
        <v>26400</v>
      </c>
      <c r="G256" s="1125">
        <f t="shared" si="226"/>
        <v>27900</v>
      </c>
      <c r="H256" s="1125">
        <f t="shared" si="226"/>
        <v>29500</v>
      </c>
      <c r="I256" s="1125">
        <f t="shared" si="226"/>
        <v>31200</v>
      </c>
      <c r="J256" s="1125">
        <f t="shared" si="226"/>
        <v>33000</v>
      </c>
      <c r="K256" s="1125">
        <f t="shared" si="226"/>
        <v>34900</v>
      </c>
      <c r="L256" s="1125">
        <f t="shared" si="226"/>
        <v>36900</v>
      </c>
      <c r="M256" s="1125">
        <f t="shared" si="226"/>
        <v>39000</v>
      </c>
      <c r="N256" s="1125">
        <f t="shared" si="226"/>
        <v>36100</v>
      </c>
      <c r="O256" s="1125">
        <f t="shared" si="226"/>
        <v>32500</v>
      </c>
      <c r="P256" s="1125">
        <f t="shared" si="226"/>
        <v>28100</v>
      </c>
      <c r="Q256" s="1125">
        <f t="shared" si="226"/>
        <v>22800</v>
      </c>
      <c r="R256" s="1125">
        <f t="shared" si="226"/>
        <v>16500</v>
      </c>
      <c r="S256" s="1125">
        <f t="shared" si="226"/>
        <v>9100</v>
      </c>
      <c r="T256" s="1125">
        <f t="shared" si="226"/>
        <v>9600</v>
      </c>
      <c r="U256" s="1125">
        <f t="shared" si="226"/>
        <v>10100</v>
      </c>
      <c r="V256" s="1125">
        <f t="shared" si="226"/>
        <v>10700</v>
      </c>
      <c r="W256" s="1125">
        <f t="shared" si="226"/>
        <v>11300</v>
      </c>
      <c r="X256" s="1125">
        <f t="shared" si="226"/>
        <v>11900</v>
      </c>
      <c r="Y256" s="1125">
        <f t="shared" si="226"/>
        <v>12500</v>
      </c>
      <c r="Z256" s="1125">
        <f t="shared" si="226"/>
        <v>13200</v>
      </c>
      <c r="AA256" s="1125">
        <f t="shared" si="226"/>
        <v>13900</v>
      </c>
      <c r="AB256" s="1125">
        <f t="shared" si="226"/>
        <v>14600</v>
      </c>
      <c r="AC256" s="1125">
        <f t="shared" si="226"/>
        <v>15400</v>
      </c>
      <c r="AD256" s="1125">
        <f t="shared" si="226"/>
        <v>16200</v>
      </c>
      <c r="AE256" s="1125">
        <f t="shared" si="226"/>
        <v>17100</v>
      </c>
      <c r="AF256" s="1125">
        <f t="shared" si="226"/>
        <v>18000</v>
      </c>
      <c r="AG256" s="1125">
        <f t="shared" si="226"/>
        <v>19000</v>
      </c>
      <c r="AH256" s="1125">
        <f t="shared" si="226"/>
        <v>20000</v>
      </c>
      <c r="AI256" s="1125">
        <f t="shared" si="226"/>
        <v>21100</v>
      </c>
      <c r="AJ256" s="1125">
        <f t="shared" si="226"/>
        <v>0</v>
      </c>
      <c r="AK256" s="1125">
        <f t="shared" si="226"/>
        <v>0</v>
      </c>
      <c r="AL256" s="1125">
        <f t="shared" si="226"/>
        <v>0</v>
      </c>
      <c r="AM256" s="1125">
        <f t="shared" si="226"/>
        <v>0</v>
      </c>
      <c r="AN256" s="1125">
        <f t="shared" si="226"/>
        <v>0</v>
      </c>
      <c r="AO256" s="1125">
        <f t="shared" si="226"/>
        <v>0</v>
      </c>
      <c r="AP256" s="1125">
        <f t="shared" si="226"/>
        <v>0</v>
      </c>
      <c r="AQ256" s="1125">
        <f t="shared" si="226"/>
        <v>0</v>
      </c>
      <c r="AR256" s="1125">
        <f t="shared" si="226"/>
        <v>0</v>
      </c>
      <c r="AS256" s="1125">
        <f t="shared" si="226"/>
        <v>0</v>
      </c>
      <c r="AU256" s="35">
        <f ca="1">+Base!E256</f>
        <v>21100</v>
      </c>
      <c r="AV256" s="83">
        <f t="shared" ca="1" si="218"/>
        <v>0</v>
      </c>
      <c r="AW256" s="363"/>
    </row>
    <row r="257" spans="1:49">
      <c r="A257" s="1425"/>
      <c r="B257" s="72" t="s">
        <v>938</v>
      </c>
      <c r="C257" s="3"/>
      <c r="E257" s="33">
        <f t="shared" ca="1" si="216"/>
        <v>437700</v>
      </c>
      <c r="F257" s="31">
        <f>+F255+F256</f>
        <v>107100</v>
      </c>
      <c r="G257" s="1124">
        <f t="shared" ref="G257:AS257" si="227">+G255+G256</f>
        <v>114700</v>
      </c>
      <c r="H257" s="1124">
        <f t="shared" si="227"/>
        <v>122900</v>
      </c>
      <c r="I257" s="1124">
        <f t="shared" si="227"/>
        <v>131700</v>
      </c>
      <c r="J257" s="1124">
        <f t="shared" si="227"/>
        <v>139700</v>
      </c>
      <c r="K257" s="1124">
        <f t="shared" si="227"/>
        <v>148200</v>
      </c>
      <c r="L257" s="1124">
        <f t="shared" si="227"/>
        <v>157200</v>
      </c>
      <c r="M257" s="1124">
        <f t="shared" si="227"/>
        <v>166800</v>
      </c>
      <c r="N257" s="1124">
        <f t="shared" si="227"/>
        <v>171800</v>
      </c>
      <c r="O257" s="1124">
        <f t="shared" si="227"/>
        <v>176600</v>
      </c>
      <c r="P257" s="1124">
        <f t="shared" si="227"/>
        <v>181100</v>
      </c>
      <c r="Q257" s="1124">
        <f t="shared" si="227"/>
        <v>185300</v>
      </c>
      <c r="R257" s="1124">
        <f t="shared" si="227"/>
        <v>189100</v>
      </c>
      <c r="S257" s="1124">
        <f t="shared" si="227"/>
        <v>192400</v>
      </c>
      <c r="T257" s="1124">
        <f t="shared" si="227"/>
        <v>204300</v>
      </c>
      <c r="U257" s="1124">
        <f t="shared" si="227"/>
        <v>216900</v>
      </c>
      <c r="V257" s="1124">
        <f t="shared" si="227"/>
        <v>230300</v>
      </c>
      <c r="W257" s="1124">
        <f t="shared" si="227"/>
        <v>244500</v>
      </c>
      <c r="X257" s="1124">
        <f t="shared" si="227"/>
        <v>256400</v>
      </c>
      <c r="Y257" s="1124">
        <f t="shared" si="227"/>
        <v>268900</v>
      </c>
      <c r="Z257" s="1124">
        <f t="shared" si="227"/>
        <v>282200</v>
      </c>
      <c r="AA257" s="1124">
        <f t="shared" si="227"/>
        <v>296100</v>
      </c>
      <c r="AB257" s="1124">
        <f t="shared" si="227"/>
        <v>310700</v>
      </c>
      <c r="AC257" s="1124">
        <f t="shared" si="227"/>
        <v>326200</v>
      </c>
      <c r="AD257" s="1124">
        <f t="shared" si="227"/>
        <v>342400</v>
      </c>
      <c r="AE257" s="1124">
        <f t="shared" si="227"/>
        <v>359600</v>
      </c>
      <c r="AF257" s="1124">
        <f t="shared" si="227"/>
        <v>377600</v>
      </c>
      <c r="AG257" s="1124">
        <f t="shared" si="227"/>
        <v>396600</v>
      </c>
      <c r="AH257" s="1124">
        <f t="shared" si="227"/>
        <v>416600</v>
      </c>
      <c r="AI257" s="1124">
        <f t="shared" si="227"/>
        <v>437700</v>
      </c>
      <c r="AJ257" s="1124">
        <f t="shared" si="227"/>
        <v>0</v>
      </c>
      <c r="AK257" s="1124">
        <f t="shared" si="227"/>
        <v>0</v>
      </c>
      <c r="AL257" s="1124">
        <f t="shared" si="227"/>
        <v>0</v>
      </c>
      <c r="AM257" s="1124">
        <f t="shared" si="227"/>
        <v>0</v>
      </c>
      <c r="AN257" s="1124">
        <f t="shared" si="227"/>
        <v>0</v>
      </c>
      <c r="AO257" s="1124">
        <f t="shared" si="227"/>
        <v>0</v>
      </c>
      <c r="AP257" s="1124">
        <f t="shared" si="227"/>
        <v>0</v>
      </c>
      <c r="AQ257" s="1124">
        <f t="shared" si="227"/>
        <v>0</v>
      </c>
      <c r="AR257" s="1124">
        <f t="shared" si="227"/>
        <v>0</v>
      </c>
      <c r="AS257" s="1124">
        <f t="shared" si="227"/>
        <v>0</v>
      </c>
      <c r="AU257" s="33">
        <f ca="1">+Base!E257</f>
        <v>437700</v>
      </c>
      <c r="AV257" s="81">
        <f t="shared" ca="1" si="218"/>
        <v>0</v>
      </c>
      <c r="AW257" s="97"/>
    </row>
    <row r="258" spans="1:49">
      <c r="A258" s="1425"/>
      <c r="B258" s="72" t="s">
        <v>939</v>
      </c>
      <c r="C258" s="3"/>
      <c r="E258" s="35">
        <f t="shared" ca="1" si="216"/>
        <v>0</v>
      </c>
      <c r="F258" s="38">
        <f t="shared" ref="F258:AS258" si="228">ROUND(+F18+F38+F133+F134+F135,0)</f>
        <v>0</v>
      </c>
      <c r="G258" s="1125">
        <f t="shared" si="228"/>
        <v>0</v>
      </c>
      <c r="H258" s="1125">
        <f t="shared" si="228"/>
        <v>0</v>
      </c>
      <c r="I258" s="1125">
        <f t="shared" si="228"/>
        <v>0</v>
      </c>
      <c r="J258" s="1125">
        <f t="shared" si="228"/>
        <v>0</v>
      </c>
      <c r="K258" s="1125">
        <f t="shared" si="228"/>
        <v>0</v>
      </c>
      <c r="L258" s="1125">
        <f t="shared" si="228"/>
        <v>0</v>
      </c>
      <c r="M258" s="1125">
        <f t="shared" si="228"/>
        <v>0</v>
      </c>
      <c r="N258" s="1125">
        <f t="shared" si="228"/>
        <v>0</v>
      </c>
      <c r="O258" s="1125">
        <f t="shared" si="228"/>
        <v>0</v>
      </c>
      <c r="P258" s="1125">
        <f t="shared" si="228"/>
        <v>0</v>
      </c>
      <c r="Q258" s="1125">
        <f t="shared" si="228"/>
        <v>0</v>
      </c>
      <c r="R258" s="1125">
        <f t="shared" si="228"/>
        <v>0</v>
      </c>
      <c r="S258" s="1125">
        <f t="shared" si="228"/>
        <v>0</v>
      </c>
      <c r="T258" s="1125">
        <f t="shared" si="228"/>
        <v>0</v>
      </c>
      <c r="U258" s="1125">
        <f t="shared" si="228"/>
        <v>0</v>
      </c>
      <c r="V258" s="1125">
        <f t="shared" si="228"/>
        <v>0</v>
      </c>
      <c r="W258" s="1125">
        <f t="shared" si="228"/>
        <v>0</v>
      </c>
      <c r="X258" s="1125">
        <f t="shared" si="228"/>
        <v>0</v>
      </c>
      <c r="Y258" s="1125">
        <f t="shared" si="228"/>
        <v>0</v>
      </c>
      <c r="Z258" s="1125">
        <f t="shared" si="228"/>
        <v>0</v>
      </c>
      <c r="AA258" s="1125">
        <f t="shared" si="228"/>
        <v>0</v>
      </c>
      <c r="AB258" s="1125">
        <f t="shared" si="228"/>
        <v>0</v>
      </c>
      <c r="AC258" s="1125">
        <f t="shared" si="228"/>
        <v>0</v>
      </c>
      <c r="AD258" s="1125">
        <f t="shared" si="228"/>
        <v>0</v>
      </c>
      <c r="AE258" s="1125">
        <f t="shared" si="228"/>
        <v>0</v>
      </c>
      <c r="AF258" s="1125">
        <f t="shared" si="228"/>
        <v>0</v>
      </c>
      <c r="AG258" s="1125">
        <f t="shared" si="228"/>
        <v>0</v>
      </c>
      <c r="AH258" s="1125">
        <f t="shared" si="228"/>
        <v>0</v>
      </c>
      <c r="AI258" s="1125">
        <f t="shared" si="228"/>
        <v>0</v>
      </c>
      <c r="AJ258" s="1125">
        <f t="shared" si="228"/>
        <v>0</v>
      </c>
      <c r="AK258" s="1125">
        <f t="shared" si="228"/>
        <v>0</v>
      </c>
      <c r="AL258" s="1125">
        <f t="shared" si="228"/>
        <v>0</v>
      </c>
      <c r="AM258" s="1125">
        <f t="shared" si="228"/>
        <v>0</v>
      </c>
      <c r="AN258" s="1125">
        <f t="shared" si="228"/>
        <v>0</v>
      </c>
      <c r="AO258" s="1125">
        <f t="shared" si="228"/>
        <v>0</v>
      </c>
      <c r="AP258" s="1125">
        <f t="shared" si="228"/>
        <v>0</v>
      </c>
      <c r="AQ258" s="1125">
        <f t="shared" si="228"/>
        <v>0</v>
      </c>
      <c r="AR258" s="1125">
        <f t="shared" si="228"/>
        <v>0</v>
      </c>
      <c r="AS258" s="1125">
        <f t="shared" si="228"/>
        <v>0</v>
      </c>
      <c r="AU258" s="35">
        <f ca="1">+Base!E258</f>
        <v>0</v>
      </c>
      <c r="AV258" s="83">
        <f t="shared" ca="1" si="218"/>
        <v>0</v>
      </c>
      <c r="AW258" s="562"/>
    </row>
    <row r="259" spans="1:49" ht="15.6">
      <c r="A259" s="1425"/>
      <c r="B259" s="72" t="s">
        <v>635</v>
      </c>
      <c r="C259" s="3"/>
      <c r="D259" s="1260" t="str">
        <f ca="1">IF((F232+E245)&lt;&gt;E259,"Error: " &amp; (F232+E245)-E259,".")</f>
        <v>.</v>
      </c>
      <c r="E259" s="33">
        <f t="shared" ca="1" si="216"/>
        <v>2702400</v>
      </c>
      <c r="F259" s="31">
        <f t="shared" ref="F259:R259" si="229">+F248+F251+F254+F257+F258</f>
        <v>1003900</v>
      </c>
      <c r="G259" s="1124">
        <f t="shared" si="229"/>
        <v>1020200</v>
      </c>
      <c r="H259" s="1124">
        <f t="shared" si="229"/>
        <v>1023600</v>
      </c>
      <c r="I259" s="1124">
        <f t="shared" si="229"/>
        <v>1026400</v>
      </c>
      <c r="J259" s="1124">
        <f t="shared" si="229"/>
        <v>1028500</v>
      </c>
      <c r="K259" s="1124">
        <f t="shared" si="229"/>
        <v>1050200</v>
      </c>
      <c r="L259" s="1124">
        <f t="shared" si="229"/>
        <v>1072700</v>
      </c>
      <c r="M259" s="1124">
        <f t="shared" si="229"/>
        <v>1094600</v>
      </c>
      <c r="N259" s="1124">
        <f t="shared" si="229"/>
        <v>1169500</v>
      </c>
      <c r="O259" s="1124">
        <f t="shared" si="229"/>
        <v>1219000</v>
      </c>
      <c r="P259" s="1124">
        <f t="shared" si="229"/>
        <v>1189100</v>
      </c>
      <c r="Q259" s="1124">
        <f t="shared" si="229"/>
        <v>1340600</v>
      </c>
      <c r="R259" s="1124">
        <f t="shared" si="229"/>
        <v>1377500</v>
      </c>
      <c r="S259" s="1124">
        <f>+S248+S251+S254+S257+S258</f>
        <v>1436400</v>
      </c>
      <c r="T259" s="1124">
        <f t="shared" ref="T259:AS259" si="230">+T248+T251+T254+T257+T258</f>
        <v>1417200</v>
      </c>
      <c r="U259" s="1124">
        <f t="shared" si="230"/>
        <v>1599600</v>
      </c>
      <c r="V259" s="1124">
        <f t="shared" si="230"/>
        <v>1671600</v>
      </c>
      <c r="W259" s="1124">
        <f t="shared" si="230"/>
        <v>1746500</v>
      </c>
      <c r="X259" s="1124">
        <f t="shared" si="230"/>
        <v>1786500</v>
      </c>
      <c r="Y259" s="1124">
        <f t="shared" si="230"/>
        <v>1827200</v>
      </c>
      <c r="Z259" s="1124">
        <f t="shared" si="230"/>
        <v>1868600</v>
      </c>
      <c r="AA259" s="1124">
        <f t="shared" si="230"/>
        <v>1910200</v>
      </c>
      <c r="AB259" s="1124">
        <f t="shared" si="230"/>
        <v>2356100</v>
      </c>
      <c r="AC259" s="1124">
        <f t="shared" si="230"/>
        <v>2414800</v>
      </c>
      <c r="AD259" s="1124">
        <f t="shared" si="230"/>
        <v>2544900</v>
      </c>
      <c r="AE259" s="1124">
        <f t="shared" si="230"/>
        <v>2576100</v>
      </c>
      <c r="AF259" s="1124">
        <f t="shared" si="230"/>
        <v>2606300</v>
      </c>
      <c r="AG259" s="1124">
        <f t="shared" si="230"/>
        <v>2638500</v>
      </c>
      <c r="AH259" s="1124">
        <f t="shared" si="230"/>
        <v>2670800</v>
      </c>
      <c r="AI259" s="1124">
        <f t="shared" si="230"/>
        <v>2702400</v>
      </c>
      <c r="AJ259" s="1124">
        <f t="shared" si="230"/>
        <v>0</v>
      </c>
      <c r="AK259" s="1124">
        <f t="shared" si="230"/>
        <v>0</v>
      </c>
      <c r="AL259" s="1124">
        <f t="shared" si="230"/>
        <v>0</v>
      </c>
      <c r="AM259" s="1124">
        <f t="shared" si="230"/>
        <v>0</v>
      </c>
      <c r="AN259" s="1124">
        <f t="shared" si="230"/>
        <v>0</v>
      </c>
      <c r="AO259" s="1124">
        <f t="shared" si="230"/>
        <v>0</v>
      </c>
      <c r="AP259" s="1124">
        <f t="shared" si="230"/>
        <v>0</v>
      </c>
      <c r="AQ259" s="1124">
        <f t="shared" si="230"/>
        <v>0</v>
      </c>
      <c r="AR259" s="1124">
        <f t="shared" si="230"/>
        <v>0</v>
      </c>
      <c r="AS259" s="1124">
        <f t="shared" si="230"/>
        <v>0</v>
      </c>
      <c r="AU259" s="33">
        <f ca="1">+Base!E259</f>
        <v>2702400</v>
      </c>
      <c r="AV259" s="81">
        <f t="shared" ca="1" si="218"/>
        <v>0</v>
      </c>
      <c r="AW259" s="97"/>
    </row>
    <row r="260" spans="1:49" hidden="1">
      <c r="A260" s="1427" t="s">
        <v>1578</v>
      </c>
      <c r="B260" s="72" t="s">
        <v>521</v>
      </c>
      <c r="C260" s="3"/>
      <c r="D260" s="8" t="s">
        <v>895</v>
      </c>
      <c r="E260" s="29">
        <f ca="1">SUM(F260:AS260)-E259</f>
        <v>47687100</v>
      </c>
      <c r="F260" s="31">
        <f t="shared" ref="F260:AR260" si="231">+F232+F245</f>
        <v>1003900</v>
      </c>
      <c r="G260" s="1124">
        <f t="shared" si="231"/>
        <v>1020200</v>
      </c>
      <c r="H260" s="1124">
        <f t="shared" si="231"/>
        <v>1023600</v>
      </c>
      <c r="I260" s="1124">
        <f t="shared" si="231"/>
        <v>1026400</v>
      </c>
      <c r="J260" s="1124">
        <f t="shared" si="231"/>
        <v>1028500</v>
      </c>
      <c r="K260" s="1124">
        <f t="shared" si="231"/>
        <v>1050200</v>
      </c>
      <c r="L260" s="1124">
        <f t="shared" si="231"/>
        <v>1072700</v>
      </c>
      <c r="M260" s="1124">
        <f t="shared" si="231"/>
        <v>1094600</v>
      </c>
      <c r="N260" s="1124">
        <f t="shared" si="231"/>
        <v>1169500</v>
      </c>
      <c r="O260" s="1124">
        <f t="shared" si="231"/>
        <v>1219000</v>
      </c>
      <c r="P260" s="1124">
        <f t="shared" si="231"/>
        <v>1189100</v>
      </c>
      <c r="Q260" s="1124">
        <f t="shared" si="231"/>
        <v>1340600</v>
      </c>
      <c r="R260" s="1124">
        <f t="shared" si="231"/>
        <v>1377500</v>
      </c>
      <c r="S260" s="1124">
        <f t="shared" si="231"/>
        <v>1436400</v>
      </c>
      <c r="T260" s="1124">
        <f t="shared" si="231"/>
        <v>1417200</v>
      </c>
      <c r="U260" s="1124">
        <f t="shared" si="231"/>
        <v>1599600</v>
      </c>
      <c r="V260" s="1124">
        <f t="shared" si="231"/>
        <v>1671600</v>
      </c>
      <c r="W260" s="1124">
        <f t="shared" si="231"/>
        <v>1746500</v>
      </c>
      <c r="X260" s="1124">
        <f t="shared" si="231"/>
        <v>1786500</v>
      </c>
      <c r="Y260" s="1124">
        <f t="shared" si="231"/>
        <v>1827200</v>
      </c>
      <c r="Z260" s="1124">
        <f t="shared" si="231"/>
        <v>1868600</v>
      </c>
      <c r="AA260" s="1124">
        <f t="shared" si="231"/>
        <v>1910200</v>
      </c>
      <c r="AB260" s="1124">
        <f t="shared" si="231"/>
        <v>2356100</v>
      </c>
      <c r="AC260" s="1124">
        <f t="shared" si="231"/>
        <v>2414800</v>
      </c>
      <c r="AD260" s="1124">
        <f t="shared" si="231"/>
        <v>2544900</v>
      </c>
      <c r="AE260" s="1124">
        <f t="shared" si="231"/>
        <v>2576100</v>
      </c>
      <c r="AF260" s="1124">
        <f t="shared" si="231"/>
        <v>2606300</v>
      </c>
      <c r="AG260" s="1124">
        <f t="shared" si="231"/>
        <v>2638500</v>
      </c>
      <c r="AH260" s="1124">
        <f t="shared" si="231"/>
        <v>2670800</v>
      </c>
      <c r="AI260" s="1124">
        <f t="shared" si="231"/>
        <v>2702400</v>
      </c>
      <c r="AJ260" s="1124">
        <f t="shared" si="231"/>
        <v>0</v>
      </c>
      <c r="AK260" s="1124">
        <f t="shared" si="231"/>
        <v>0</v>
      </c>
      <c r="AL260" s="1124">
        <f t="shared" si="231"/>
        <v>0</v>
      </c>
      <c r="AM260" s="1124">
        <f t="shared" si="231"/>
        <v>0</v>
      </c>
      <c r="AN260" s="1124">
        <f t="shared" si="231"/>
        <v>0</v>
      </c>
      <c r="AO260" s="1124">
        <f t="shared" si="231"/>
        <v>0</v>
      </c>
      <c r="AP260" s="1124">
        <f t="shared" si="231"/>
        <v>0</v>
      </c>
      <c r="AQ260" s="1124">
        <f t="shared" si="231"/>
        <v>0</v>
      </c>
      <c r="AR260" s="1124">
        <f t="shared" si="231"/>
        <v>0</v>
      </c>
      <c r="AS260" s="1124"/>
      <c r="AU260" s="97"/>
      <c r="AV260" s="81"/>
      <c r="AW260" s="97"/>
    </row>
    <row r="261" spans="1:49">
      <c r="A261" s="1427" t="s">
        <v>1578</v>
      </c>
      <c r="B261" s="72" t="s">
        <v>69</v>
      </c>
      <c r="C261" s="3"/>
      <c r="D261" s="8" t="s">
        <v>896</v>
      </c>
      <c r="E261" s="29">
        <f>SUM(F261:AS261)</f>
        <v>47687100</v>
      </c>
      <c r="F261" s="31">
        <f t="shared" ref="F261:AJ261" si="232">+G19</f>
        <v>1003900</v>
      </c>
      <c r="G261" s="1124">
        <f t="shared" si="232"/>
        <v>1020200</v>
      </c>
      <c r="H261" s="1124">
        <f t="shared" si="232"/>
        <v>1023600</v>
      </c>
      <c r="I261" s="1124">
        <f t="shared" si="232"/>
        <v>1026400</v>
      </c>
      <c r="J261" s="1124">
        <f t="shared" si="232"/>
        <v>1028500</v>
      </c>
      <c r="K261" s="1124">
        <f t="shared" si="232"/>
        <v>1050200</v>
      </c>
      <c r="L261" s="1124">
        <f t="shared" si="232"/>
        <v>1072700</v>
      </c>
      <c r="M261" s="1124">
        <f t="shared" si="232"/>
        <v>1094600</v>
      </c>
      <c r="N261" s="1124">
        <f t="shared" si="232"/>
        <v>1169500</v>
      </c>
      <c r="O261" s="1124">
        <f t="shared" si="232"/>
        <v>1219000</v>
      </c>
      <c r="P261" s="1124">
        <f t="shared" si="232"/>
        <v>1189100</v>
      </c>
      <c r="Q261" s="1124">
        <f t="shared" si="232"/>
        <v>1340600</v>
      </c>
      <c r="R261" s="1124">
        <f t="shared" si="232"/>
        <v>1377500</v>
      </c>
      <c r="S261" s="1124">
        <f t="shared" si="232"/>
        <v>1436400</v>
      </c>
      <c r="T261" s="1124">
        <f t="shared" si="232"/>
        <v>1417200</v>
      </c>
      <c r="U261" s="1124">
        <f t="shared" si="232"/>
        <v>1599600</v>
      </c>
      <c r="V261" s="1124">
        <f t="shared" si="232"/>
        <v>1671600</v>
      </c>
      <c r="W261" s="1124">
        <f t="shared" si="232"/>
        <v>1746500</v>
      </c>
      <c r="X261" s="1124">
        <f t="shared" si="232"/>
        <v>1786500</v>
      </c>
      <c r="Y261" s="1124">
        <f t="shared" si="232"/>
        <v>1827200</v>
      </c>
      <c r="Z261" s="1124">
        <f t="shared" si="232"/>
        <v>1868600</v>
      </c>
      <c r="AA261" s="1124">
        <f t="shared" si="232"/>
        <v>1910200</v>
      </c>
      <c r="AB261" s="1124">
        <f t="shared" si="232"/>
        <v>2356100</v>
      </c>
      <c r="AC261" s="1124">
        <f t="shared" si="232"/>
        <v>2414800</v>
      </c>
      <c r="AD261" s="1124">
        <f t="shared" si="232"/>
        <v>2544900</v>
      </c>
      <c r="AE261" s="1124">
        <f t="shared" si="232"/>
        <v>2576100</v>
      </c>
      <c r="AF261" s="1124">
        <f t="shared" si="232"/>
        <v>2606300</v>
      </c>
      <c r="AG261" s="1124">
        <f t="shared" si="232"/>
        <v>2638500</v>
      </c>
      <c r="AH261" s="1124">
        <f t="shared" si="232"/>
        <v>2670800</v>
      </c>
      <c r="AI261" s="1124">
        <f t="shared" si="232"/>
        <v>0</v>
      </c>
      <c r="AJ261" s="1124">
        <f t="shared" si="232"/>
        <v>0</v>
      </c>
      <c r="AK261" s="1124">
        <f t="shared" ref="AK261:AS261" si="233">+AK259-AK260</f>
        <v>0</v>
      </c>
      <c r="AL261" s="1124">
        <f t="shared" si="233"/>
        <v>0</v>
      </c>
      <c r="AM261" s="1124">
        <f t="shared" si="233"/>
        <v>0</v>
      </c>
      <c r="AN261" s="1124">
        <f t="shared" si="233"/>
        <v>0</v>
      </c>
      <c r="AO261" s="1124">
        <f t="shared" si="233"/>
        <v>0</v>
      </c>
      <c r="AP261" s="1124">
        <f t="shared" si="233"/>
        <v>0</v>
      </c>
      <c r="AQ261" s="1124">
        <f t="shared" si="233"/>
        <v>0</v>
      </c>
      <c r="AR261" s="1124">
        <f t="shared" si="233"/>
        <v>0</v>
      </c>
      <c r="AS261" s="1124">
        <f t="shared" si="233"/>
        <v>0</v>
      </c>
      <c r="AU261" s="97"/>
      <c r="AV261" s="81"/>
      <c r="AW261" s="97"/>
    </row>
    <row r="262" spans="1:49">
      <c r="A262" s="1425"/>
      <c r="C262" s="3"/>
      <c r="D262" s="8" t="s">
        <v>792</v>
      </c>
      <c r="E262" s="29">
        <f>SUM(F262:AS262)</f>
        <v>0</v>
      </c>
      <c r="F262" s="31">
        <f>+F260-F261</f>
        <v>0</v>
      </c>
      <c r="G262" s="1124">
        <f t="shared" ref="G262:AH262" si="234">+G260-G261</f>
        <v>0</v>
      </c>
      <c r="H262" s="1124">
        <f t="shared" si="234"/>
        <v>0</v>
      </c>
      <c r="I262" s="1124">
        <f t="shared" si="234"/>
        <v>0</v>
      </c>
      <c r="J262" s="1124">
        <f t="shared" si="234"/>
        <v>0</v>
      </c>
      <c r="K262" s="1124">
        <f t="shared" si="234"/>
        <v>0</v>
      </c>
      <c r="L262" s="1124">
        <f t="shared" si="234"/>
        <v>0</v>
      </c>
      <c r="M262" s="1124">
        <f t="shared" si="234"/>
        <v>0</v>
      </c>
      <c r="N262" s="1124">
        <f t="shared" si="234"/>
        <v>0</v>
      </c>
      <c r="O262" s="1124">
        <f t="shared" si="234"/>
        <v>0</v>
      </c>
      <c r="P262" s="1124">
        <f t="shared" si="234"/>
        <v>0</v>
      </c>
      <c r="Q262" s="1124">
        <f t="shared" si="234"/>
        <v>0</v>
      </c>
      <c r="R262" s="1124">
        <f t="shared" si="234"/>
        <v>0</v>
      </c>
      <c r="S262" s="1124">
        <f t="shared" si="234"/>
        <v>0</v>
      </c>
      <c r="T262" s="1124">
        <f t="shared" si="234"/>
        <v>0</v>
      </c>
      <c r="U262" s="1124">
        <f t="shared" si="234"/>
        <v>0</v>
      </c>
      <c r="V262" s="1124">
        <f t="shared" si="234"/>
        <v>0</v>
      </c>
      <c r="W262" s="1124">
        <f t="shared" si="234"/>
        <v>0</v>
      </c>
      <c r="X262" s="1124">
        <f t="shared" si="234"/>
        <v>0</v>
      </c>
      <c r="Y262" s="1124">
        <f t="shared" si="234"/>
        <v>0</v>
      </c>
      <c r="Z262" s="1124">
        <f t="shared" si="234"/>
        <v>0</v>
      </c>
      <c r="AA262" s="1124">
        <f t="shared" si="234"/>
        <v>0</v>
      </c>
      <c r="AB262" s="1124">
        <f t="shared" si="234"/>
        <v>0</v>
      </c>
      <c r="AC262" s="1124">
        <f t="shared" si="234"/>
        <v>0</v>
      </c>
      <c r="AD262" s="1124">
        <f t="shared" si="234"/>
        <v>0</v>
      </c>
      <c r="AE262" s="1124">
        <f t="shared" si="234"/>
        <v>0</v>
      </c>
      <c r="AF262" s="1124">
        <f t="shared" si="234"/>
        <v>0</v>
      </c>
      <c r="AG262" s="1124">
        <f t="shared" si="234"/>
        <v>0</v>
      </c>
      <c r="AH262" s="1124">
        <f t="shared" si="234"/>
        <v>0</v>
      </c>
      <c r="AI262" s="1124"/>
      <c r="AJ262" s="1124"/>
      <c r="AK262" s="1124"/>
      <c r="AL262" s="1124"/>
      <c r="AM262" s="1124"/>
      <c r="AN262" s="1124"/>
      <c r="AO262" s="1124"/>
      <c r="AP262" s="1124"/>
      <c r="AQ262" s="1124"/>
      <c r="AR262" s="1124"/>
      <c r="AS262" s="1124"/>
      <c r="AU262" s="97"/>
      <c r="AV262" s="81"/>
      <c r="AW262" s="97"/>
    </row>
    <row r="263" spans="1:49" ht="17.399999999999999">
      <c r="A263" s="1425"/>
      <c r="B263" s="596" t="s">
        <v>1035</v>
      </c>
      <c r="C263" s="595"/>
      <c r="D263" s="595"/>
      <c r="E263" s="595"/>
      <c r="F263" s="31"/>
      <c r="G263" s="31"/>
      <c r="H263" s="31"/>
      <c r="I263" s="31"/>
      <c r="J263" s="31"/>
      <c r="K263" s="31"/>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c r="AI263" s="31"/>
      <c r="AJ263" s="31"/>
      <c r="AK263" s="31"/>
      <c r="AL263" s="31"/>
      <c r="AM263" s="31"/>
      <c r="AN263" s="31"/>
      <c r="AO263" s="31"/>
      <c r="AP263" s="31"/>
      <c r="AQ263" s="31"/>
      <c r="AR263" s="31"/>
      <c r="AS263" s="31"/>
      <c r="AU263" s="97"/>
      <c r="AV263" s="81"/>
      <c r="AW263" s="753"/>
    </row>
    <row r="264" spans="1:49">
      <c r="A264" s="1425"/>
      <c r="E264" s="1440" t="s">
        <v>1820</v>
      </c>
      <c r="F264" s="62">
        <f t="shared" ref="F264:AS264" si="235">IF(F$7-$F7&lt;=Total_Years-1,1,0)</f>
        <v>1</v>
      </c>
      <c r="G264" s="62">
        <f t="shared" si="235"/>
        <v>1</v>
      </c>
      <c r="H264" s="62">
        <f t="shared" si="235"/>
        <v>1</v>
      </c>
      <c r="I264" s="62">
        <f t="shared" si="235"/>
        <v>1</v>
      </c>
      <c r="J264" s="62">
        <f t="shared" si="235"/>
        <v>1</v>
      </c>
      <c r="K264" s="62">
        <f t="shared" si="235"/>
        <v>1</v>
      </c>
      <c r="L264" s="62">
        <f t="shared" si="235"/>
        <v>1</v>
      </c>
      <c r="M264" s="62">
        <f t="shared" si="235"/>
        <v>1</v>
      </c>
      <c r="N264" s="62">
        <f t="shared" si="235"/>
        <v>1</v>
      </c>
      <c r="O264" s="62">
        <f t="shared" si="235"/>
        <v>1</v>
      </c>
      <c r="P264" s="62">
        <f t="shared" si="235"/>
        <v>1</v>
      </c>
      <c r="Q264" s="62">
        <f t="shared" si="235"/>
        <v>1</v>
      </c>
      <c r="R264" s="62">
        <f t="shared" si="235"/>
        <v>1</v>
      </c>
      <c r="S264" s="62">
        <f t="shared" si="235"/>
        <v>1</v>
      </c>
      <c r="T264" s="62">
        <f t="shared" si="235"/>
        <v>1</v>
      </c>
      <c r="U264" s="62">
        <f t="shared" si="235"/>
        <v>1</v>
      </c>
      <c r="V264" s="62">
        <f t="shared" si="235"/>
        <v>1</v>
      </c>
      <c r="W264" s="62">
        <f t="shared" si="235"/>
        <v>1</v>
      </c>
      <c r="X264" s="62">
        <f t="shared" si="235"/>
        <v>1</v>
      </c>
      <c r="Y264" s="62">
        <f t="shared" si="235"/>
        <v>1</v>
      </c>
      <c r="Z264" s="62">
        <f t="shared" si="235"/>
        <v>1</v>
      </c>
      <c r="AA264" s="62">
        <f t="shared" si="235"/>
        <v>1</v>
      </c>
      <c r="AB264" s="62">
        <f t="shared" si="235"/>
        <v>1</v>
      </c>
      <c r="AC264" s="62">
        <f t="shared" si="235"/>
        <v>1</v>
      </c>
      <c r="AD264" s="62">
        <f t="shared" si="235"/>
        <v>1</v>
      </c>
      <c r="AE264" s="62">
        <f t="shared" si="235"/>
        <v>1</v>
      </c>
      <c r="AF264" s="62">
        <f t="shared" si="235"/>
        <v>1</v>
      </c>
      <c r="AG264" s="62">
        <f t="shared" si="235"/>
        <v>1</v>
      </c>
      <c r="AH264" s="62">
        <f t="shared" si="235"/>
        <v>1</v>
      </c>
      <c r="AI264" s="62">
        <f t="shared" si="235"/>
        <v>1</v>
      </c>
      <c r="AJ264" s="62">
        <f t="shared" si="235"/>
        <v>0</v>
      </c>
      <c r="AK264" s="62">
        <f t="shared" si="235"/>
        <v>0</v>
      </c>
      <c r="AL264" s="62">
        <f t="shared" si="235"/>
        <v>0</v>
      </c>
      <c r="AM264" s="62">
        <f t="shared" si="235"/>
        <v>0</v>
      </c>
      <c r="AN264" s="62">
        <f t="shared" si="235"/>
        <v>0</v>
      </c>
      <c r="AO264" s="62">
        <f t="shared" si="235"/>
        <v>0</v>
      </c>
      <c r="AP264" s="62">
        <f t="shared" si="235"/>
        <v>0</v>
      </c>
      <c r="AQ264" s="62">
        <f t="shared" si="235"/>
        <v>0</v>
      </c>
      <c r="AR264" s="62">
        <f t="shared" si="235"/>
        <v>0</v>
      </c>
      <c r="AS264" s="62">
        <f t="shared" si="235"/>
        <v>0</v>
      </c>
      <c r="AU264" s="97"/>
      <c r="AV264" s="81"/>
      <c r="AW264" s="97"/>
    </row>
    <row r="265" spans="1:49" ht="15.6">
      <c r="A265" s="1425"/>
      <c r="B265" s="25" t="s">
        <v>22</v>
      </c>
      <c r="C265" s="632"/>
      <c r="E265" s="97"/>
      <c r="F265" s="31"/>
      <c r="G265" s="31"/>
      <c r="H265" s="31"/>
      <c r="I265" s="31"/>
      <c r="J265" s="31"/>
      <c r="K265" s="31"/>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c r="AI265" s="31"/>
      <c r="AJ265" s="31"/>
      <c r="AK265" s="31"/>
      <c r="AL265" s="31"/>
      <c r="AM265" s="31"/>
      <c r="AN265" s="31"/>
      <c r="AO265" s="31"/>
      <c r="AP265" s="31"/>
      <c r="AQ265" s="31"/>
      <c r="AR265" s="31"/>
      <c r="AS265" s="31"/>
      <c r="AU265" s="97"/>
      <c r="AV265" s="81"/>
      <c r="AW265" s="97"/>
    </row>
    <row r="266" spans="1:49">
      <c r="A266" s="1425"/>
      <c r="B266" s="175" t="s">
        <v>1040</v>
      </c>
      <c r="C266" s="3" t="s">
        <v>23</v>
      </c>
      <c r="E266" s="29">
        <f t="shared" ref="E266:E274" si="236">SUM(F266:AS266)</f>
        <v>3354900</v>
      </c>
      <c r="F266" s="31">
        <f t="shared" ref="F266:AS266" si="237">+F184</f>
        <v>62700</v>
      </c>
      <c r="G266" s="1124">
        <f t="shared" si="237"/>
        <v>79400</v>
      </c>
      <c r="H266" s="1124">
        <f t="shared" si="237"/>
        <v>66100</v>
      </c>
      <c r="I266" s="1124">
        <f t="shared" si="237"/>
        <v>67900</v>
      </c>
      <c r="J266" s="1124">
        <f t="shared" si="237"/>
        <v>69800</v>
      </c>
      <c r="K266" s="1124">
        <f t="shared" si="237"/>
        <v>90700</v>
      </c>
      <c r="L266" s="1124">
        <f t="shared" si="237"/>
        <v>93400</v>
      </c>
      <c r="M266" s="1124">
        <f t="shared" si="237"/>
        <v>96200</v>
      </c>
      <c r="N266" s="1124">
        <f t="shared" si="237"/>
        <v>71800</v>
      </c>
      <c r="O266" s="1124">
        <f t="shared" si="237"/>
        <v>73900</v>
      </c>
      <c r="P266" s="1124">
        <f t="shared" si="237"/>
        <v>75900</v>
      </c>
      <c r="Q266" s="1124">
        <f t="shared" si="237"/>
        <v>79000</v>
      </c>
      <c r="R266" s="1124">
        <f t="shared" si="237"/>
        <v>91200</v>
      </c>
      <c r="S266" s="1124">
        <f t="shared" si="237"/>
        <v>95900</v>
      </c>
      <c r="T266" s="1124">
        <f t="shared" si="237"/>
        <v>122400</v>
      </c>
      <c r="U266" s="1124">
        <f t="shared" si="237"/>
        <v>136800</v>
      </c>
      <c r="V266" s="1124">
        <f t="shared" si="237"/>
        <v>132100</v>
      </c>
      <c r="W266" s="1124">
        <f t="shared" si="237"/>
        <v>136700</v>
      </c>
      <c r="X266" s="1124">
        <f t="shared" si="237"/>
        <v>129000</v>
      </c>
      <c r="Y266" s="1124">
        <f t="shared" si="237"/>
        <v>131800</v>
      </c>
      <c r="Z266" s="1124">
        <f t="shared" si="237"/>
        <v>136200</v>
      </c>
      <c r="AA266" s="1124">
        <f t="shared" si="237"/>
        <v>141000</v>
      </c>
      <c r="AB266" s="1124">
        <f t="shared" si="237"/>
        <v>147800</v>
      </c>
      <c r="AC266" s="1124">
        <f t="shared" si="237"/>
        <v>158700</v>
      </c>
      <c r="AD266" s="1124">
        <f t="shared" si="237"/>
        <v>141000</v>
      </c>
      <c r="AE266" s="1124">
        <f t="shared" si="237"/>
        <v>145700</v>
      </c>
      <c r="AF266" s="1124">
        <f t="shared" si="237"/>
        <v>148500</v>
      </c>
      <c r="AG266" s="1124">
        <f t="shared" si="237"/>
        <v>142500</v>
      </c>
      <c r="AH266" s="1124">
        <f t="shared" si="237"/>
        <v>143900</v>
      </c>
      <c r="AI266" s="1124">
        <f t="shared" si="237"/>
        <v>146900</v>
      </c>
      <c r="AJ266" s="1124">
        <f t="shared" si="237"/>
        <v>0</v>
      </c>
      <c r="AK266" s="1124">
        <f t="shared" si="237"/>
        <v>0</v>
      </c>
      <c r="AL266" s="1124">
        <f t="shared" si="237"/>
        <v>0</v>
      </c>
      <c r="AM266" s="1124">
        <f t="shared" si="237"/>
        <v>0</v>
      </c>
      <c r="AN266" s="1124">
        <f t="shared" si="237"/>
        <v>0</v>
      </c>
      <c r="AO266" s="1124">
        <f t="shared" si="237"/>
        <v>0</v>
      </c>
      <c r="AP266" s="1124">
        <f t="shared" si="237"/>
        <v>0</v>
      </c>
      <c r="AQ266" s="1124">
        <f t="shared" si="237"/>
        <v>0</v>
      </c>
      <c r="AR266" s="1124">
        <f t="shared" si="237"/>
        <v>0</v>
      </c>
      <c r="AS266" s="1124">
        <f t="shared" si="237"/>
        <v>0</v>
      </c>
      <c r="AU266" s="78">
        <f>+Base!E266</f>
        <v>3354900</v>
      </c>
      <c r="AV266" s="81">
        <f t="shared" ref="AV266:AV272" si="238">+E266-AU266</f>
        <v>0</v>
      </c>
      <c r="AW266" s="97"/>
    </row>
    <row r="267" spans="1:49" ht="15.6">
      <c r="A267" s="1425"/>
      <c r="B267" s="175" t="s">
        <v>1593</v>
      </c>
      <c r="C267" s="3"/>
      <c r="D267" s="1418" t="s">
        <v>2339</v>
      </c>
      <c r="E267" s="29">
        <f t="shared" si="236"/>
        <v>376900</v>
      </c>
      <c r="F267" s="31">
        <f>+F151-F165</f>
        <v>0</v>
      </c>
      <c r="G267" s="1124">
        <f>+G151-G165</f>
        <v>0</v>
      </c>
      <c r="H267" s="1124">
        <f t="shared" ref="H267:AS267" si="239">+H151-H165</f>
        <v>0</v>
      </c>
      <c r="I267" s="1124">
        <f t="shared" si="239"/>
        <v>0</v>
      </c>
      <c r="J267" s="1124">
        <f t="shared" si="239"/>
        <v>0</v>
      </c>
      <c r="K267" s="1124">
        <f t="shared" si="239"/>
        <v>3300</v>
      </c>
      <c r="L267" s="1124">
        <f t="shared" si="239"/>
        <v>3400</v>
      </c>
      <c r="M267" s="1124">
        <f t="shared" si="239"/>
        <v>3400</v>
      </c>
      <c r="N267" s="1124">
        <f t="shared" si="239"/>
        <v>36500</v>
      </c>
      <c r="O267" s="1124">
        <f t="shared" si="239"/>
        <v>36400</v>
      </c>
      <c r="P267" s="1124">
        <f t="shared" si="239"/>
        <v>36600</v>
      </c>
      <c r="Q267" s="1124">
        <f t="shared" si="239"/>
        <v>36200</v>
      </c>
      <c r="R267" s="1124">
        <f t="shared" si="239"/>
        <v>31400</v>
      </c>
      <c r="S267" s="1124">
        <f t="shared" si="239"/>
        <v>30200</v>
      </c>
      <c r="T267" s="1124">
        <f t="shared" si="239"/>
        <v>19100</v>
      </c>
      <c r="U267" s="1124">
        <f t="shared" si="239"/>
        <v>13400</v>
      </c>
      <c r="V267" s="1124">
        <f t="shared" si="239"/>
        <v>9400</v>
      </c>
      <c r="W267" s="1124">
        <f t="shared" si="239"/>
        <v>9600</v>
      </c>
      <c r="X267" s="1124">
        <f t="shared" si="239"/>
        <v>9800</v>
      </c>
      <c r="Y267" s="1124">
        <f t="shared" si="239"/>
        <v>10000</v>
      </c>
      <c r="Z267" s="1124">
        <f t="shared" si="239"/>
        <v>10200</v>
      </c>
      <c r="AA267" s="1124">
        <f t="shared" si="239"/>
        <v>10400</v>
      </c>
      <c r="AB267" s="1124">
        <f t="shared" si="239"/>
        <v>10600</v>
      </c>
      <c r="AC267" s="1124">
        <f t="shared" si="239"/>
        <v>10800</v>
      </c>
      <c r="AD267" s="1124">
        <f t="shared" si="239"/>
        <v>7300</v>
      </c>
      <c r="AE267" s="1124">
        <f t="shared" si="239"/>
        <v>7500</v>
      </c>
      <c r="AF267" s="1124">
        <f t="shared" si="239"/>
        <v>7600</v>
      </c>
      <c r="AG267" s="1124">
        <f t="shared" si="239"/>
        <v>7800</v>
      </c>
      <c r="AH267" s="1124">
        <f t="shared" si="239"/>
        <v>7900</v>
      </c>
      <c r="AI267" s="1124">
        <f t="shared" si="239"/>
        <v>8100</v>
      </c>
      <c r="AJ267" s="1124">
        <f t="shared" si="239"/>
        <v>0</v>
      </c>
      <c r="AK267" s="1124">
        <f t="shared" si="239"/>
        <v>0</v>
      </c>
      <c r="AL267" s="1124">
        <f t="shared" si="239"/>
        <v>0</v>
      </c>
      <c r="AM267" s="1124">
        <f t="shared" si="239"/>
        <v>0</v>
      </c>
      <c r="AN267" s="1124">
        <f t="shared" si="239"/>
        <v>0</v>
      </c>
      <c r="AO267" s="1124">
        <f t="shared" si="239"/>
        <v>0</v>
      </c>
      <c r="AP267" s="1124">
        <f t="shared" si="239"/>
        <v>0</v>
      </c>
      <c r="AQ267" s="1124">
        <f t="shared" si="239"/>
        <v>0</v>
      </c>
      <c r="AR267" s="1124">
        <f t="shared" si="239"/>
        <v>0</v>
      </c>
      <c r="AS267" s="1124">
        <f t="shared" si="239"/>
        <v>0</v>
      </c>
      <c r="AU267" s="78">
        <f>+Base!E267</f>
        <v>376900</v>
      </c>
      <c r="AV267" s="81">
        <f t="shared" si="238"/>
        <v>0</v>
      </c>
      <c r="AW267" s="97"/>
    </row>
    <row r="268" spans="1:49">
      <c r="A268" s="1425"/>
      <c r="B268" s="175" t="s">
        <v>20</v>
      </c>
      <c r="C268" s="3" t="s">
        <v>24</v>
      </c>
      <c r="E268" s="29">
        <f t="shared" si="236"/>
        <v>334400</v>
      </c>
      <c r="F268" s="88">
        <f t="shared" ref="F268:AS268" si="240">-F170</f>
        <v>2900</v>
      </c>
      <c r="G268" s="1147">
        <f t="shared" si="240"/>
        <v>2800</v>
      </c>
      <c r="H268" s="1147">
        <f t="shared" si="240"/>
        <v>2700</v>
      </c>
      <c r="I268" s="1147">
        <f t="shared" si="240"/>
        <v>2500</v>
      </c>
      <c r="J268" s="1147">
        <f t="shared" si="240"/>
        <v>2300</v>
      </c>
      <c r="K268" s="1147">
        <f t="shared" si="240"/>
        <v>2300</v>
      </c>
      <c r="L268" s="1147">
        <f t="shared" si="240"/>
        <v>2400</v>
      </c>
      <c r="M268" s="1147">
        <f t="shared" si="240"/>
        <v>2600</v>
      </c>
      <c r="N268" s="1147">
        <f t="shared" si="240"/>
        <v>2800</v>
      </c>
      <c r="O268" s="1147">
        <f t="shared" si="240"/>
        <v>3300</v>
      </c>
      <c r="P268" s="1147">
        <f t="shared" si="240"/>
        <v>3200</v>
      </c>
      <c r="Q268" s="1147">
        <f t="shared" si="240"/>
        <v>3500</v>
      </c>
      <c r="R268" s="1147">
        <f t="shared" si="240"/>
        <v>4200</v>
      </c>
      <c r="S268" s="1147">
        <f t="shared" si="240"/>
        <v>4700</v>
      </c>
      <c r="T268" s="1147">
        <f t="shared" si="240"/>
        <v>4800</v>
      </c>
      <c r="U268" s="1147">
        <f t="shared" si="240"/>
        <v>5400</v>
      </c>
      <c r="V268" s="1147">
        <f t="shared" si="240"/>
        <v>6700</v>
      </c>
      <c r="W268" s="1147">
        <f t="shared" si="240"/>
        <v>7600</v>
      </c>
      <c r="X268" s="1147">
        <f t="shared" si="240"/>
        <v>11500</v>
      </c>
      <c r="Y268" s="1147">
        <f t="shared" si="240"/>
        <v>12200</v>
      </c>
      <c r="Z268" s="1147">
        <f t="shared" si="240"/>
        <v>13000</v>
      </c>
      <c r="AA268" s="1147">
        <f t="shared" si="240"/>
        <v>13800</v>
      </c>
      <c r="AB268" s="1147">
        <f t="shared" si="240"/>
        <v>17700</v>
      </c>
      <c r="AC268" s="1147">
        <f t="shared" si="240"/>
        <v>24100</v>
      </c>
      <c r="AD268" s="1147">
        <f t="shared" si="240"/>
        <v>26000</v>
      </c>
      <c r="AE268" s="1147">
        <f t="shared" si="240"/>
        <v>28200</v>
      </c>
      <c r="AF268" s="1147">
        <f t="shared" si="240"/>
        <v>29100</v>
      </c>
      <c r="AG268" s="1147">
        <f t="shared" si="240"/>
        <v>29900</v>
      </c>
      <c r="AH268" s="1147">
        <f t="shared" si="240"/>
        <v>30700</v>
      </c>
      <c r="AI268" s="1147">
        <f t="shared" si="240"/>
        <v>31500</v>
      </c>
      <c r="AJ268" s="1147">
        <f t="shared" si="240"/>
        <v>0</v>
      </c>
      <c r="AK268" s="1147">
        <f t="shared" si="240"/>
        <v>0</v>
      </c>
      <c r="AL268" s="1147">
        <f t="shared" si="240"/>
        <v>0</v>
      </c>
      <c r="AM268" s="1147">
        <f t="shared" si="240"/>
        <v>0</v>
      </c>
      <c r="AN268" s="1147">
        <f t="shared" si="240"/>
        <v>0</v>
      </c>
      <c r="AO268" s="1147">
        <f t="shared" si="240"/>
        <v>0</v>
      </c>
      <c r="AP268" s="1147">
        <f t="shared" si="240"/>
        <v>0</v>
      </c>
      <c r="AQ268" s="1147">
        <f t="shared" si="240"/>
        <v>0</v>
      </c>
      <c r="AR268" s="1147">
        <f t="shared" si="240"/>
        <v>0</v>
      </c>
      <c r="AS268" s="1147">
        <f t="shared" si="240"/>
        <v>0</v>
      </c>
      <c r="AU268" s="78">
        <f>+Base!E268</f>
        <v>334400</v>
      </c>
      <c r="AV268" s="81">
        <f t="shared" si="238"/>
        <v>0</v>
      </c>
      <c r="AW268" s="97"/>
    </row>
    <row r="269" spans="1:49" ht="15.6">
      <c r="A269" s="1425"/>
      <c r="B269" s="1630" t="s">
        <v>1842</v>
      </c>
      <c r="C269" s="3" t="s">
        <v>1308</v>
      </c>
      <c r="D269" s="1038" t="s">
        <v>871</v>
      </c>
      <c r="E269" s="102">
        <f t="shared" si="236"/>
        <v>0</v>
      </c>
      <c r="F269" s="1816"/>
      <c r="G269" s="1816"/>
      <c r="H269" s="1816"/>
      <c r="I269" s="1816"/>
      <c r="J269" s="1816"/>
      <c r="K269" s="1816"/>
      <c r="L269" s="1816"/>
      <c r="M269" s="1816"/>
      <c r="N269" s="1816"/>
      <c r="O269" s="1816"/>
      <c r="P269" s="1816"/>
      <c r="Q269" s="1816"/>
      <c r="R269" s="1816"/>
      <c r="S269" s="1816"/>
      <c r="T269" s="1816"/>
      <c r="U269" s="1816"/>
      <c r="V269" s="1816"/>
      <c r="W269" s="1816"/>
      <c r="X269" s="1816"/>
      <c r="Y269" s="1816"/>
      <c r="Z269" s="1816"/>
      <c r="AA269" s="1816"/>
      <c r="AB269" s="1816"/>
      <c r="AC269" s="1816"/>
      <c r="AD269" s="1816"/>
      <c r="AE269" s="1816"/>
      <c r="AF269" s="1816"/>
      <c r="AG269" s="1816"/>
      <c r="AH269" s="1816"/>
      <c r="AI269" s="1816"/>
      <c r="AJ269" s="1816"/>
      <c r="AK269" s="1816"/>
      <c r="AL269" s="1816"/>
      <c r="AM269" s="1816"/>
      <c r="AN269" s="1816"/>
      <c r="AO269" s="1816"/>
      <c r="AP269" s="1816"/>
      <c r="AQ269" s="1816"/>
      <c r="AR269" s="1816"/>
      <c r="AS269" s="1816"/>
      <c r="AT269" s="1"/>
      <c r="AU269" s="15">
        <f>+Base!E269</f>
        <v>0</v>
      </c>
      <c r="AV269" s="103">
        <f t="shared" si="238"/>
        <v>0</v>
      </c>
      <c r="AW269" s="97"/>
    </row>
    <row r="270" spans="1:49" ht="15.6">
      <c r="A270" s="1425"/>
      <c r="B270" s="28" t="s">
        <v>2337</v>
      </c>
      <c r="C270" s="3"/>
      <c r="E270" s="29">
        <f t="shared" si="236"/>
        <v>3689300</v>
      </c>
      <c r="F270" s="31">
        <f>+F266+F268+F269</f>
        <v>65600</v>
      </c>
      <c r="G270" s="1124">
        <f>+G266+G268+G269</f>
        <v>82200</v>
      </c>
      <c r="H270" s="1124">
        <f t="shared" ref="H270:AS270" si="241">+H266+H268+H269</f>
        <v>68800</v>
      </c>
      <c r="I270" s="1124">
        <f t="shared" si="241"/>
        <v>70400</v>
      </c>
      <c r="J270" s="1124">
        <f t="shared" si="241"/>
        <v>72100</v>
      </c>
      <c r="K270" s="1124">
        <f t="shared" si="241"/>
        <v>93000</v>
      </c>
      <c r="L270" s="1124">
        <f t="shared" si="241"/>
        <v>95800</v>
      </c>
      <c r="M270" s="1124">
        <f t="shared" si="241"/>
        <v>98800</v>
      </c>
      <c r="N270" s="1124">
        <f t="shared" si="241"/>
        <v>74600</v>
      </c>
      <c r="O270" s="1124">
        <f t="shared" si="241"/>
        <v>77200</v>
      </c>
      <c r="P270" s="1124">
        <f t="shared" si="241"/>
        <v>79100</v>
      </c>
      <c r="Q270" s="1124">
        <f t="shared" si="241"/>
        <v>82500</v>
      </c>
      <c r="R270" s="1124">
        <f t="shared" si="241"/>
        <v>95400</v>
      </c>
      <c r="S270" s="1124">
        <f t="shared" si="241"/>
        <v>100600</v>
      </c>
      <c r="T270" s="1124">
        <f t="shared" si="241"/>
        <v>127200</v>
      </c>
      <c r="U270" s="1124">
        <f t="shared" si="241"/>
        <v>142200</v>
      </c>
      <c r="V270" s="1124">
        <f t="shared" si="241"/>
        <v>138800</v>
      </c>
      <c r="W270" s="1124">
        <f t="shared" si="241"/>
        <v>144300</v>
      </c>
      <c r="X270" s="1124">
        <f t="shared" si="241"/>
        <v>140500</v>
      </c>
      <c r="Y270" s="1124">
        <f t="shared" si="241"/>
        <v>144000</v>
      </c>
      <c r="Z270" s="1124">
        <f t="shared" si="241"/>
        <v>149200</v>
      </c>
      <c r="AA270" s="1124">
        <f t="shared" si="241"/>
        <v>154800</v>
      </c>
      <c r="AB270" s="1124">
        <f t="shared" si="241"/>
        <v>165500</v>
      </c>
      <c r="AC270" s="1124">
        <f t="shared" si="241"/>
        <v>182800</v>
      </c>
      <c r="AD270" s="1124">
        <f t="shared" si="241"/>
        <v>167000</v>
      </c>
      <c r="AE270" s="1124">
        <f t="shared" si="241"/>
        <v>173900</v>
      </c>
      <c r="AF270" s="1124">
        <f t="shared" si="241"/>
        <v>177600</v>
      </c>
      <c r="AG270" s="1124">
        <f t="shared" si="241"/>
        <v>172400</v>
      </c>
      <c r="AH270" s="1124">
        <f t="shared" si="241"/>
        <v>174600</v>
      </c>
      <c r="AI270" s="1124">
        <f t="shared" si="241"/>
        <v>178400</v>
      </c>
      <c r="AJ270" s="1124">
        <f t="shared" si="241"/>
        <v>0</v>
      </c>
      <c r="AK270" s="1124">
        <f t="shared" si="241"/>
        <v>0</v>
      </c>
      <c r="AL270" s="1124">
        <f t="shared" si="241"/>
        <v>0</v>
      </c>
      <c r="AM270" s="1124">
        <f t="shared" si="241"/>
        <v>0</v>
      </c>
      <c r="AN270" s="1124">
        <f t="shared" si="241"/>
        <v>0</v>
      </c>
      <c r="AO270" s="1124">
        <f t="shared" si="241"/>
        <v>0</v>
      </c>
      <c r="AP270" s="1124">
        <f t="shared" si="241"/>
        <v>0</v>
      </c>
      <c r="AQ270" s="1124">
        <f t="shared" si="241"/>
        <v>0</v>
      </c>
      <c r="AR270" s="1124">
        <f t="shared" si="241"/>
        <v>0</v>
      </c>
      <c r="AS270" s="1124">
        <f t="shared" si="241"/>
        <v>0</v>
      </c>
      <c r="AU270" s="78">
        <f>+Base!E270</f>
        <v>3689300</v>
      </c>
      <c r="AV270" s="81">
        <f t="shared" si="238"/>
        <v>0</v>
      </c>
      <c r="AW270" s="97"/>
    </row>
    <row r="271" spans="1:49" ht="16.2" customHeight="1">
      <c r="A271" s="1425"/>
      <c r="B271" s="28" t="s">
        <v>2338</v>
      </c>
      <c r="C271" s="3"/>
      <c r="D271" s="1418" t="s">
        <v>2340</v>
      </c>
      <c r="E271" s="29">
        <f t="shared" si="236"/>
        <v>4066200</v>
      </c>
      <c r="F271" s="31">
        <f>F266+F267+F268+F269</f>
        <v>65600</v>
      </c>
      <c r="G271" s="1124">
        <f>G266+G267+G268+G269</f>
        <v>82200</v>
      </c>
      <c r="H271" s="1124">
        <f t="shared" ref="H271:AS271" si="242">H266+H267+H268+H269</f>
        <v>68800</v>
      </c>
      <c r="I271" s="1124">
        <f t="shared" si="242"/>
        <v>70400</v>
      </c>
      <c r="J271" s="1124">
        <f t="shared" si="242"/>
        <v>72100</v>
      </c>
      <c r="K271" s="1124">
        <f t="shared" si="242"/>
        <v>96300</v>
      </c>
      <c r="L271" s="1124">
        <f t="shared" si="242"/>
        <v>99200</v>
      </c>
      <c r="M271" s="1124">
        <f t="shared" si="242"/>
        <v>102200</v>
      </c>
      <c r="N271" s="1124">
        <f t="shared" si="242"/>
        <v>111100</v>
      </c>
      <c r="O271" s="1124">
        <f t="shared" si="242"/>
        <v>113600</v>
      </c>
      <c r="P271" s="1124">
        <f t="shared" si="242"/>
        <v>115700</v>
      </c>
      <c r="Q271" s="1124">
        <f t="shared" si="242"/>
        <v>118700</v>
      </c>
      <c r="R271" s="1124">
        <f t="shared" si="242"/>
        <v>126800</v>
      </c>
      <c r="S271" s="1124">
        <f t="shared" si="242"/>
        <v>130800</v>
      </c>
      <c r="T271" s="1124">
        <f t="shared" si="242"/>
        <v>146300</v>
      </c>
      <c r="U271" s="1124">
        <f t="shared" si="242"/>
        <v>155600</v>
      </c>
      <c r="V271" s="1124">
        <f t="shared" si="242"/>
        <v>148200</v>
      </c>
      <c r="W271" s="1124">
        <f t="shared" si="242"/>
        <v>153900</v>
      </c>
      <c r="X271" s="1124">
        <f t="shared" si="242"/>
        <v>150300</v>
      </c>
      <c r="Y271" s="1124">
        <f t="shared" si="242"/>
        <v>154000</v>
      </c>
      <c r="Z271" s="1124">
        <f t="shared" si="242"/>
        <v>159400</v>
      </c>
      <c r="AA271" s="1124">
        <f t="shared" si="242"/>
        <v>165200</v>
      </c>
      <c r="AB271" s="1124">
        <f t="shared" si="242"/>
        <v>176100</v>
      </c>
      <c r="AC271" s="1124">
        <f t="shared" si="242"/>
        <v>193600</v>
      </c>
      <c r="AD271" s="1124">
        <f t="shared" si="242"/>
        <v>174300</v>
      </c>
      <c r="AE271" s="1124">
        <f t="shared" si="242"/>
        <v>181400</v>
      </c>
      <c r="AF271" s="1124">
        <f t="shared" si="242"/>
        <v>185200</v>
      </c>
      <c r="AG271" s="1124">
        <f t="shared" si="242"/>
        <v>180200</v>
      </c>
      <c r="AH271" s="1124">
        <f t="shared" si="242"/>
        <v>182500</v>
      </c>
      <c r="AI271" s="1124">
        <f t="shared" si="242"/>
        <v>186500</v>
      </c>
      <c r="AJ271" s="1124">
        <f t="shared" si="242"/>
        <v>0</v>
      </c>
      <c r="AK271" s="1124">
        <f t="shared" si="242"/>
        <v>0</v>
      </c>
      <c r="AL271" s="1124">
        <f t="shared" si="242"/>
        <v>0</v>
      </c>
      <c r="AM271" s="1124">
        <f t="shared" si="242"/>
        <v>0</v>
      </c>
      <c r="AN271" s="1124">
        <f t="shared" si="242"/>
        <v>0</v>
      </c>
      <c r="AO271" s="1124">
        <f t="shared" si="242"/>
        <v>0</v>
      </c>
      <c r="AP271" s="1124">
        <f t="shared" si="242"/>
        <v>0</v>
      </c>
      <c r="AQ271" s="1124">
        <f t="shared" si="242"/>
        <v>0</v>
      </c>
      <c r="AR271" s="1124">
        <f t="shared" si="242"/>
        <v>0</v>
      </c>
      <c r="AS271" s="1124">
        <f t="shared" si="242"/>
        <v>0</v>
      </c>
    </row>
    <row r="272" spans="1:49" ht="15.6">
      <c r="A272" s="1425"/>
      <c r="B272" s="1477" t="s">
        <v>1903</v>
      </c>
      <c r="C272" s="3"/>
      <c r="D272" s="81" t="str">
        <f>+'Tax Tables'!C59 &amp; " years"</f>
        <v>4 years</v>
      </c>
      <c r="E272" s="29">
        <f t="shared" si="236"/>
        <v>5376</v>
      </c>
      <c r="F272" s="31">
        <f>('Tax Tables'!F59*12)*('Tax Tables'!F62)</f>
        <v>0</v>
      </c>
      <c r="G272" s="1124">
        <f>('Tax Tables'!G59*12)*('Tax Tables'!G62)</f>
        <v>0</v>
      </c>
      <c r="H272" s="1124">
        <f>('Tax Tables'!H59*12)*('Tax Tables'!H62)</f>
        <v>0</v>
      </c>
      <c r="I272" s="1124">
        <f>('Tax Tables'!I59*12)*('Tax Tables'!I62)</f>
        <v>0</v>
      </c>
      <c r="J272" s="1124">
        <f>('Tax Tables'!J59*12)*('Tax Tables'!J62)</f>
        <v>0</v>
      </c>
      <c r="K272" s="1124">
        <f>('Tax Tables'!K59*12)*('Tax Tables'!K62)</f>
        <v>0</v>
      </c>
      <c r="L272" s="1124">
        <f>('Tax Tables'!L59*12)*('Tax Tables'!L62)</f>
        <v>0</v>
      </c>
      <c r="M272" s="1124">
        <f>('Tax Tables'!M59*12)*('Tax Tables'!M62)</f>
        <v>0</v>
      </c>
      <c r="N272" s="1124">
        <f>('Tax Tables'!N59*12)*('Tax Tables'!N62)</f>
        <v>0</v>
      </c>
      <c r="O272" s="1124">
        <f>('Tax Tables'!O59*12)*('Tax Tables'!O62)</f>
        <v>0</v>
      </c>
      <c r="P272" s="1124">
        <f>('Tax Tables'!P59*12)*('Tax Tables'!P62)</f>
        <v>0</v>
      </c>
      <c r="Q272" s="1124">
        <f>('Tax Tables'!Q59*12)*('Tax Tables'!Q62)</f>
        <v>0</v>
      </c>
      <c r="R272" s="1124">
        <f>('Tax Tables'!R59*12)*('Tax Tables'!R62)</f>
        <v>0</v>
      </c>
      <c r="S272" s="1124">
        <f>('Tax Tables'!S59*12)*('Tax Tables'!S62)</f>
        <v>0</v>
      </c>
      <c r="T272" s="1124">
        <f>('Tax Tables'!T59*12)*('Tax Tables'!T62)</f>
        <v>0</v>
      </c>
      <c r="U272" s="1124">
        <f>('Tax Tables'!U59*12)*('Tax Tables'!U62)</f>
        <v>0</v>
      </c>
      <c r="V272" s="1124">
        <f>('Tax Tables'!V59*12)*('Tax Tables'!V62)</f>
        <v>0</v>
      </c>
      <c r="W272" s="1124">
        <f>('Tax Tables'!W59*12)*('Tax Tables'!W62)</f>
        <v>0</v>
      </c>
      <c r="X272" s="1124">
        <f>('Tax Tables'!X59*12)*('Tax Tables'!X62)</f>
        <v>0</v>
      </c>
      <c r="Y272" s="1124">
        <f>('Tax Tables'!Y59*12)*('Tax Tables'!Y62)</f>
        <v>0</v>
      </c>
      <c r="Z272" s="1124">
        <f>('Tax Tables'!Z59*12)*('Tax Tables'!Z62)</f>
        <v>0</v>
      </c>
      <c r="AA272" s="1124">
        <f>('Tax Tables'!AA59*12)*('Tax Tables'!AA62)</f>
        <v>0</v>
      </c>
      <c r="AB272" s="1124">
        <f>('Tax Tables'!AB59*12)*('Tax Tables'!AB62)</f>
        <v>0</v>
      </c>
      <c r="AC272" s="1124">
        <f>('Tax Tables'!AC59*12)*('Tax Tables'!AC62)</f>
        <v>0</v>
      </c>
      <c r="AD272" s="1124">
        <f>('Tax Tables'!AD59*12)*('Tax Tables'!AD62)</f>
        <v>0</v>
      </c>
      <c r="AE272" s="1124">
        <f>('Tax Tables'!AE59*12)*('Tax Tables'!AE62)</f>
        <v>0</v>
      </c>
      <c r="AF272" s="1124">
        <f>('Tax Tables'!AF59*12)*('Tax Tables'!AF62)</f>
        <v>1308</v>
      </c>
      <c r="AG272" s="1124">
        <f>('Tax Tables'!AG59*12)*('Tax Tables'!AG62)</f>
        <v>1332</v>
      </c>
      <c r="AH272" s="1124">
        <f>('Tax Tables'!AH59*12)*('Tax Tables'!AH62)</f>
        <v>1356</v>
      </c>
      <c r="AI272" s="1124">
        <f>('Tax Tables'!AI59*12)*('Tax Tables'!AI62)</f>
        <v>1380</v>
      </c>
      <c r="AJ272" s="1124">
        <f>('Tax Tables'!AJ59*12)*('Tax Tables'!AJ62)</f>
        <v>0</v>
      </c>
      <c r="AK272" s="1124">
        <f>('Tax Tables'!AK59*12)*('Tax Tables'!AK62)</f>
        <v>0</v>
      </c>
      <c r="AL272" s="1124">
        <f>('Tax Tables'!AL59*12)*('Tax Tables'!AL62)</f>
        <v>0</v>
      </c>
      <c r="AM272" s="1124">
        <f>('Tax Tables'!AM59*12)*('Tax Tables'!AM62)</f>
        <v>0</v>
      </c>
      <c r="AN272" s="1124">
        <f>('Tax Tables'!AN59*12)*('Tax Tables'!AN62)</f>
        <v>0</v>
      </c>
      <c r="AO272" s="1124">
        <f>('Tax Tables'!AO59*12)*('Tax Tables'!AO62)</f>
        <v>0</v>
      </c>
      <c r="AP272" s="1124">
        <f>('Tax Tables'!AP59*12)*('Tax Tables'!AP62)</f>
        <v>0</v>
      </c>
      <c r="AQ272" s="1124">
        <f>('Tax Tables'!AQ59*12)*('Tax Tables'!AQ62)</f>
        <v>0</v>
      </c>
      <c r="AR272" s="1124">
        <f>('Tax Tables'!AR59*12)*('Tax Tables'!AR62)</f>
        <v>0</v>
      </c>
      <c r="AS272" s="1124">
        <f>('Tax Tables'!AS59*12)*('Tax Tables'!AS62)</f>
        <v>0</v>
      </c>
      <c r="AU272" s="78">
        <f>+Base!E272</f>
        <v>5376</v>
      </c>
      <c r="AV272" s="81">
        <f t="shared" si="238"/>
        <v>0</v>
      </c>
      <c r="AW272" s="97"/>
    </row>
    <row r="273" spans="1:49" ht="15.6">
      <c r="B273" s="28" t="s">
        <v>2004</v>
      </c>
      <c r="C273" s="524" t="s">
        <v>538</v>
      </c>
      <c r="D273" s="81" t="str">
        <f>+E273 &amp; " years"</f>
        <v>1 years</v>
      </c>
      <c r="E273" s="29">
        <f t="shared" si="236"/>
        <v>1</v>
      </c>
      <c r="F273" s="31">
        <f>+'Tax Tables'!F88</f>
        <v>1</v>
      </c>
      <c r="G273" s="31">
        <f>+'Tax Tables'!G88</f>
        <v>0</v>
      </c>
      <c r="H273" s="31">
        <f>+'Tax Tables'!H88</f>
        <v>0</v>
      </c>
      <c r="I273" s="31">
        <f>+'Tax Tables'!I88</f>
        <v>0</v>
      </c>
      <c r="J273" s="31">
        <f>+'Tax Tables'!J88</f>
        <v>0</v>
      </c>
      <c r="K273" s="31">
        <f>+'Tax Tables'!K88</f>
        <v>0</v>
      </c>
      <c r="L273" s="31">
        <f>+'Tax Tables'!L88</f>
        <v>0</v>
      </c>
      <c r="M273" s="31">
        <f>+'Tax Tables'!M88</f>
        <v>0</v>
      </c>
      <c r="N273" s="31">
        <f>+'Tax Tables'!N88</f>
        <v>0</v>
      </c>
      <c r="O273" s="31">
        <f>+'Tax Tables'!O88</f>
        <v>0</v>
      </c>
      <c r="P273" s="31">
        <f>+'Tax Tables'!P88</f>
        <v>0</v>
      </c>
      <c r="Q273" s="31">
        <f>+'Tax Tables'!Q88</f>
        <v>0</v>
      </c>
      <c r="R273" s="31">
        <f>+'Tax Tables'!R88</f>
        <v>0</v>
      </c>
      <c r="S273" s="31">
        <f>+'Tax Tables'!S88</f>
        <v>0</v>
      </c>
      <c r="T273" s="31">
        <f>+'Tax Tables'!T88</f>
        <v>0</v>
      </c>
      <c r="U273" s="31">
        <f>+'Tax Tables'!U88</f>
        <v>0</v>
      </c>
      <c r="V273" s="31">
        <f>+'Tax Tables'!V88</f>
        <v>0</v>
      </c>
      <c r="W273" s="31">
        <f>+'Tax Tables'!W88</f>
        <v>0</v>
      </c>
      <c r="X273" s="31">
        <f>+'Tax Tables'!X88</f>
        <v>0</v>
      </c>
      <c r="Y273" s="31">
        <f>+'Tax Tables'!Y88</f>
        <v>0</v>
      </c>
      <c r="Z273" s="31">
        <f>+'Tax Tables'!Z88</f>
        <v>0</v>
      </c>
      <c r="AA273" s="31">
        <f>+'Tax Tables'!AA88</f>
        <v>0</v>
      </c>
      <c r="AB273" s="31">
        <f>+'Tax Tables'!AB88</f>
        <v>0</v>
      </c>
      <c r="AC273" s="31">
        <f>+'Tax Tables'!AC88</f>
        <v>0</v>
      </c>
      <c r="AD273" s="31">
        <f>+'Tax Tables'!AD88</f>
        <v>0</v>
      </c>
      <c r="AE273" s="31">
        <f>+'Tax Tables'!AE88</f>
        <v>0</v>
      </c>
      <c r="AF273" s="31">
        <f>+'Tax Tables'!AF88</f>
        <v>0</v>
      </c>
      <c r="AG273" s="31">
        <f>+'Tax Tables'!AG88</f>
        <v>0</v>
      </c>
      <c r="AH273" s="31">
        <f>+'Tax Tables'!AH88</f>
        <v>0</v>
      </c>
      <c r="AI273" s="31">
        <f>+'Tax Tables'!AI88</f>
        <v>0</v>
      </c>
      <c r="AJ273" s="31">
        <f>+'Tax Tables'!AJ88</f>
        <v>0</v>
      </c>
      <c r="AK273" s="31">
        <f>+'Tax Tables'!AK88</f>
        <v>0</v>
      </c>
      <c r="AL273" s="31">
        <f>+'Tax Tables'!AL88</f>
        <v>0</v>
      </c>
      <c r="AM273" s="31">
        <f>+'Tax Tables'!AM88</f>
        <v>0</v>
      </c>
      <c r="AN273" s="31">
        <f>+'Tax Tables'!AN88</f>
        <v>0</v>
      </c>
      <c r="AO273" s="31">
        <f>+'Tax Tables'!AO88</f>
        <v>0</v>
      </c>
      <c r="AP273" s="31">
        <f>+'Tax Tables'!AP88</f>
        <v>0</v>
      </c>
      <c r="AQ273" s="31">
        <f>+'Tax Tables'!AQ88</f>
        <v>0</v>
      </c>
      <c r="AR273" s="31">
        <f>+'Tax Tables'!AR88</f>
        <v>0</v>
      </c>
      <c r="AS273" s="31">
        <f>+'Tax Tables'!AS88</f>
        <v>0</v>
      </c>
      <c r="AU273" s="78">
        <f>+Base!E273</f>
        <v>0</v>
      </c>
      <c r="AV273" s="81">
        <f t="shared" ref="AV273:AV274" si="243">+E273-AU273</f>
        <v>1</v>
      </c>
      <c r="AW273" s="97"/>
    </row>
    <row r="274" spans="1:49">
      <c r="C274" s="539" t="s">
        <v>643</v>
      </c>
      <c r="D274" s="81" t="str">
        <f>+E274 &amp; " years"</f>
        <v>1 years</v>
      </c>
      <c r="E274" s="29">
        <f t="shared" si="236"/>
        <v>1</v>
      </c>
      <c r="F274" s="31">
        <f>+'Tax Tables'!F89</f>
        <v>1</v>
      </c>
      <c r="G274" s="31">
        <f>+'Tax Tables'!G89</f>
        <v>0</v>
      </c>
      <c r="H274" s="31">
        <f>+'Tax Tables'!H89</f>
        <v>0</v>
      </c>
      <c r="I274" s="31">
        <f>+'Tax Tables'!I89</f>
        <v>0</v>
      </c>
      <c r="J274" s="31">
        <f>+'Tax Tables'!J89</f>
        <v>0</v>
      </c>
      <c r="K274" s="31">
        <f>+'Tax Tables'!K89</f>
        <v>0</v>
      </c>
      <c r="L274" s="31">
        <f>+'Tax Tables'!L89</f>
        <v>0</v>
      </c>
      <c r="M274" s="31">
        <f>+'Tax Tables'!M89</f>
        <v>0</v>
      </c>
      <c r="N274" s="31">
        <f>+'Tax Tables'!N89</f>
        <v>0</v>
      </c>
      <c r="O274" s="31">
        <f>+'Tax Tables'!O89</f>
        <v>0</v>
      </c>
      <c r="P274" s="31">
        <f>+'Tax Tables'!P89</f>
        <v>0</v>
      </c>
      <c r="Q274" s="31">
        <f>+'Tax Tables'!Q89</f>
        <v>0</v>
      </c>
      <c r="R274" s="31">
        <f>+'Tax Tables'!R89</f>
        <v>0</v>
      </c>
      <c r="S274" s="31">
        <f>+'Tax Tables'!S89</f>
        <v>0</v>
      </c>
      <c r="T274" s="31">
        <f>+'Tax Tables'!T89</f>
        <v>0</v>
      </c>
      <c r="U274" s="31">
        <f>+'Tax Tables'!U89</f>
        <v>0</v>
      </c>
      <c r="V274" s="31">
        <f>+'Tax Tables'!V89</f>
        <v>0</v>
      </c>
      <c r="W274" s="31">
        <f>+'Tax Tables'!W89</f>
        <v>0</v>
      </c>
      <c r="X274" s="31">
        <f>+'Tax Tables'!X89</f>
        <v>0</v>
      </c>
      <c r="Y274" s="31">
        <f>+'Tax Tables'!Y89</f>
        <v>0</v>
      </c>
      <c r="Z274" s="31">
        <f>+'Tax Tables'!Z89</f>
        <v>0</v>
      </c>
      <c r="AA274" s="31">
        <f>+'Tax Tables'!AA89</f>
        <v>0</v>
      </c>
      <c r="AB274" s="31">
        <f>+'Tax Tables'!AB89</f>
        <v>0</v>
      </c>
      <c r="AC274" s="31">
        <f>+'Tax Tables'!AC89</f>
        <v>0</v>
      </c>
      <c r="AD274" s="31">
        <f>+'Tax Tables'!AD89</f>
        <v>0</v>
      </c>
      <c r="AE274" s="31">
        <f>+'Tax Tables'!AE89</f>
        <v>0</v>
      </c>
      <c r="AF274" s="31">
        <f>+'Tax Tables'!AF89</f>
        <v>0</v>
      </c>
      <c r="AG274" s="31">
        <f>+'Tax Tables'!AG89</f>
        <v>0</v>
      </c>
      <c r="AH274" s="31">
        <f>+'Tax Tables'!AH89</f>
        <v>0</v>
      </c>
      <c r="AI274" s="31">
        <f>+'Tax Tables'!AI89</f>
        <v>0</v>
      </c>
      <c r="AJ274" s="31">
        <f>+'Tax Tables'!AJ89</f>
        <v>0</v>
      </c>
      <c r="AK274" s="31">
        <f>+'Tax Tables'!AK89</f>
        <v>0</v>
      </c>
      <c r="AL274" s="31">
        <f>+'Tax Tables'!AL89</f>
        <v>0</v>
      </c>
      <c r="AM274" s="31">
        <f>+'Tax Tables'!AM89</f>
        <v>0</v>
      </c>
      <c r="AN274" s="31">
        <f>+'Tax Tables'!AN89</f>
        <v>0</v>
      </c>
      <c r="AO274" s="31">
        <f>+'Tax Tables'!AO89</f>
        <v>0</v>
      </c>
      <c r="AP274" s="31">
        <f>+'Tax Tables'!AP89</f>
        <v>0</v>
      </c>
      <c r="AQ274" s="31">
        <f>+'Tax Tables'!AQ89</f>
        <v>0</v>
      </c>
      <c r="AR274" s="31">
        <f>+'Tax Tables'!AR89</f>
        <v>0</v>
      </c>
      <c r="AS274" s="31">
        <f>+'Tax Tables'!AS89</f>
        <v>0</v>
      </c>
      <c r="AU274" s="78">
        <f>+Base!E274</f>
        <v>0</v>
      </c>
      <c r="AV274" s="81">
        <f t="shared" si="243"/>
        <v>1</v>
      </c>
    </row>
    <row r="275" spans="1:49">
      <c r="B275" s="72"/>
      <c r="C275" s="3"/>
      <c r="E275" s="29"/>
      <c r="F275" s="31"/>
      <c r="G275" s="31"/>
      <c r="H275" s="31"/>
      <c r="I275" s="31"/>
      <c r="J275" s="31"/>
      <c r="K275" s="31"/>
      <c r="L275" s="31"/>
      <c r="M275" s="31"/>
      <c r="N275" s="31"/>
      <c r="O275" s="31"/>
      <c r="P275" s="31"/>
      <c r="Q275" s="31"/>
      <c r="R275" s="31"/>
      <c r="S275" s="31"/>
      <c r="T275" s="31"/>
      <c r="U275" s="31"/>
      <c r="V275" s="31"/>
      <c r="W275" s="31"/>
      <c r="X275" s="31"/>
      <c r="Y275" s="31"/>
      <c r="Z275" s="31"/>
      <c r="AA275" s="31"/>
      <c r="AB275" s="31"/>
      <c r="AC275" s="31"/>
      <c r="AD275" s="31"/>
      <c r="AE275" s="31"/>
      <c r="AF275" s="31"/>
      <c r="AG275" s="31"/>
      <c r="AH275" s="31"/>
      <c r="AI275" s="31"/>
      <c r="AJ275" s="31"/>
      <c r="AK275" s="31"/>
      <c r="AL275" s="31"/>
      <c r="AM275" s="31"/>
      <c r="AN275" s="31"/>
      <c r="AO275" s="31"/>
      <c r="AP275" s="31"/>
      <c r="AQ275" s="31"/>
      <c r="AR275" s="31"/>
      <c r="AS275" s="31"/>
      <c r="AU275" s="97"/>
      <c r="AV275" s="81"/>
      <c r="AW275" s="97"/>
    </row>
    <row r="276" spans="1:49" ht="15.6">
      <c r="B276" s="717" t="s">
        <v>1580</v>
      </c>
      <c r="C276" s="3"/>
      <c r="D276" s="897"/>
      <c r="E276" s="897"/>
      <c r="F276" s="1171" t="s">
        <v>577</v>
      </c>
      <c r="G276" s="31"/>
      <c r="H276" s="31"/>
      <c r="I276" s="31"/>
      <c r="J276" s="31"/>
      <c r="K276" s="31"/>
      <c r="L276" s="31"/>
      <c r="M276" s="31"/>
      <c r="N276" s="31"/>
      <c r="O276" s="31"/>
      <c r="P276" s="31"/>
      <c r="Q276" s="31"/>
      <c r="R276" s="31"/>
      <c r="S276" s="31"/>
      <c r="T276" s="31"/>
      <c r="U276" s="31"/>
      <c r="V276" s="31"/>
      <c r="W276" s="31"/>
      <c r="X276" s="31"/>
      <c r="Y276" s="31"/>
      <c r="Z276" s="31"/>
      <c r="AA276" s="31"/>
      <c r="AB276" s="31"/>
      <c r="AC276" s="31"/>
      <c r="AD276" s="31"/>
      <c r="AE276" s="31"/>
      <c r="AF276" s="31"/>
      <c r="AG276" s="31"/>
      <c r="AH276" s="31"/>
      <c r="AI276" s="31"/>
      <c r="AJ276" s="31"/>
      <c r="AK276" s="31"/>
      <c r="AL276" s="31"/>
      <c r="AM276" s="31"/>
      <c r="AN276" s="31"/>
      <c r="AO276" s="31"/>
      <c r="AP276" s="31"/>
      <c r="AQ276" s="31"/>
      <c r="AR276" s="31"/>
      <c r="AS276" s="31"/>
      <c r="AU276" s="97"/>
      <c r="AV276" s="81"/>
      <c r="AW276" s="97"/>
    </row>
    <row r="277" spans="1:49" ht="15.6" hidden="1">
      <c r="A277" s="1432" t="s">
        <v>639</v>
      </c>
      <c r="B277" s="25" t="s">
        <v>1592</v>
      </c>
      <c r="C277" s="632"/>
      <c r="D277" s="139"/>
      <c r="E277" s="97"/>
      <c r="F277" s="31"/>
      <c r="G277" s="31"/>
      <c r="H277" s="31"/>
      <c r="I277" s="31"/>
      <c r="J277" s="31"/>
      <c r="K277" s="31"/>
      <c r="L277" s="31"/>
      <c r="M277" s="31"/>
      <c r="N277" s="31"/>
      <c r="O277" s="31"/>
      <c r="P277" s="31"/>
      <c r="Q277" s="31"/>
      <c r="R277" s="31"/>
      <c r="S277" s="31"/>
      <c r="T277" s="31"/>
      <c r="U277" s="31"/>
      <c r="V277" s="31"/>
      <c r="W277" s="31"/>
      <c r="X277" s="31"/>
      <c r="Y277" s="31"/>
      <c r="Z277" s="31"/>
      <c r="AA277" s="31"/>
      <c r="AB277" s="31"/>
      <c r="AC277" s="31"/>
      <c r="AD277" s="31"/>
      <c r="AE277" s="31"/>
      <c r="AF277" s="31"/>
      <c r="AG277" s="31"/>
      <c r="AH277" s="31"/>
      <c r="AI277" s="31"/>
      <c r="AJ277" s="31"/>
      <c r="AK277" s="31"/>
      <c r="AL277" s="31"/>
      <c r="AM277" s="31"/>
      <c r="AN277" s="31"/>
      <c r="AO277" s="31"/>
      <c r="AP277" s="31"/>
      <c r="AQ277" s="31"/>
      <c r="AR277" s="31"/>
      <c r="AS277" s="31"/>
      <c r="AU277" s="97"/>
      <c r="AV277" s="81"/>
      <c r="AW277" s="97"/>
    </row>
    <row r="278" spans="1:49" hidden="1">
      <c r="A278" s="1432" t="s">
        <v>639</v>
      </c>
      <c r="B278" s="234" t="s">
        <v>1583</v>
      </c>
      <c r="C278" s="3"/>
      <c r="E278" s="29">
        <f t="shared" ref="E278:E283" si="244">SUM(F278:AS278)</f>
        <v>549600</v>
      </c>
      <c r="F278" s="31">
        <f t="shared" ref="F278:AS278" si="245">+F172</f>
        <v>20000</v>
      </c>
      <c r="G278" s="1124">
        <f t="shared" si="245"/>
        <v>35600</v>
      </c>
      <c r="H278" s="1124">
        <f t="shared" si="245"/>
        <v>21200</v>
      </c>
      <c r="I278" s="1124">
        <f t="shared" si="245"/>
        <v>21900</v>
      </c>
      <c r="J278" s="1124">
        <f t="shared" si="245"/>
        <v>22600</v>
      </c>
      <c r="K278" s="1124">
        <f t="shared" si="245"/>
        <v>23400</v>
      </c>
      <c r="L278" s="1124">
        <f t="shared" si="245"/>
        <v>24200</v>
      </c>
      <c r="M278" s="1124">
        <f t="shared" si="245"/>
        <v>25000</v>
      </c>
      <c r="N278" s="1124">
        <f t="shared" si="245"/>
        <v>25800</v>
      </c>
      <c r="O278" s="1124">
        <f t="shared" si="245"/>
        <v>12500</v>
      </c>
      <c r="P278" s="1124">
        <f t="shared" si="245"/>
        <v>12800</v>
      </c>
      <c r="Q278" s="1124">
        <f t="shared" si="245"/>
        <v>13100</v>
      </c>
      <c r="R278" s="1124">
        <f t="shared" si="245"/>
        <v>13400</v>
      </c>
      <c r="S278" s="1124">
        <f t="shared" si="245"/>
        <v>13700</v>
      </c>
      <c r="T278" s="1124">
        <f t="shared" si="245"/>
        <v>14100</v>
      </c>
      <c r="U278" s="1124">
        <f t="shared" si="245"/>
        <v>14500</v>
      </c>
      <c r="V278" s="1124">
        <f t="shared" si="245"/>
        <v>14900</v>
      </c>
      <c r="W278" s="1124">
        <f t="shared" si="245"/>
        <v>15300</v>
      </c>
      <c r="X278" s="1124">
        <f t="shared" si="245"/>
        <v>15700</v>
      </c>
      <c r="Y278" s="1124">
        <f t="shared" si="245"/>
        <v>16100</v>
      </c>
      <c r="Z278" s="1124">
        <f t="shared" si="245"/>
        <v>16500</v>
      </c>
      <c r="AA278" s="1124">
        <f t="shared" si="245"/>
        <v>16900</v>
      </c>
      <c r="AB278" s="1124">
        <f t="shared" si="245"/>
        <v>17300</v>
      </c>
      <c r="AC278" s="1124">
        <f t="shared" si="245"/>
        <v>17800</v>
      </c>
      <c r="AD278" s="1124">
        <f t="shared" si="245"/>
        <v>16300</v>
      </c>
      <c r="AE278" s="1124">
        <f t="shared" si="245"/>
        <v>16800</v>
      </c>
      <c r="AF278" s="1124">
        <f t="shared" si="245"/>
        <v>17300</v>
      </c>
      <c r="AG278" s="1124">
        <f t="shared" si="245"/>
        <v>17800</v>
      </c>
      <c r="AH278" s="1124">
        <f t="shared" si="245"/>
        <v>18300</v>
      </c>
      <c r="AI278" s="1124">
        <f t="shared" si="245"/>
        <v>18800</v>
      </c>
      <c r="AJ278" s="1124">
        <f t="shared" si="245"/>
        <v>0</v>
      </c>
      <c r="AK278" s="1124">
        <f t="shared" si="245"/>
        <v>0</v>
      </c>
      <c r="AL278" s="1124">
        <f t="shared" si="245"/>
        <v>0</v>
      </c>
      <c r="AM278" s="1124">
        <f t="shared" si="245"/>
        <v>0</v>
      </c>
      <c r="AN278" s="1124">
        <f t="shared" si="245"/>
        <v>0</v>
      </c>
      <c r="AO278" s="1124">
        <f t="shared" si="245"/>
        <v>0</v>
      </c>
      <c r="AP278" s="1124">
        <f t="shared" si="245"/>
        <v>0</v>
      </c>
      <c r="AQ278" s="1124">
        <f t="shared" si="245"/>
        <v>0</v>
      </c>
      <c r="AR278" s="1124">
        <f t="shared" si="245"/>
        <v>0</v>
      </c>
      <c r="AS278" s="1124">
        <f t="shared" si="245"/>
        <v>0</v>
      </c>
      <c r="AU278" s="78">
        <f>+Base!E278</f>
        <v>549600</v>
      </c>
      <c r="AV278" s="81">
        <f t="shared" ref="AV278:AV284" si="246">+E278-AU278</f>
        <v>0</v>
      </c>
      <c r="AW278" s="97"/>
    </row>
    <row r="279" spans="1:49" hidden="1">
      <c r="A279" s="1432" t="s">
        <v>639</v>
      </c>
      <c r="B279" s="275" t="s">
        <v>808</v>
      </c>
      <c r="C279" s="3"/>
      <c r="E279" s="29">
        <f t="shared" si="244"/>
        <v>144000</v>
      </c>
      <c r="F279" s="31">
        <f t="shared" ref="F279:AS279" si="247">+F173</f>
        <v>0</v>
      </c>
      <c r="G279" s="1124">
        <f t="shared" si="247"/>
        <v>0</v>
      </c>
      <c r="H279" s="1124">
        <f t="shared" si="247"/>
        <v>0</v>
      </c>
      <c r="I279" s="1124">
        <f t="shared" si="247"/>
        <v>0</v>
      </c>
      <c r="J279" s="1124">
        <f t="shared" si="247"/>
        <v>0</v>
      </c>
      <c r="K279" s="1124">
        <f t="shared" si="247"/>
        <v>0</v>
      </c>
      <c r="L279" s="1124">
        <f t="shared" si="247"/>
        <v>0</v>
      </c>
      <c r="M279" s="1124">
        <f t="shared" si="247"/>
        <v>0</v>
      </c>
      <c r="N279" s="1124">
        <f t="shared" si="247"/>
        <v>0</v>
      </c>
      <c r="O279" s="1124">
        <f t="shared" si="247"/>
        <v>0</v>
      </c>
      <c r="P279" s="1124">
        <f t="shared" si="247"/>
        <v>0</v>
      </c>
      <c r="Q279" s="1124">
        <f t="shared" si="247"/>
        <v>0</v>
      </c>
      <c r="R279" s="1124">
        <f t="shared" si="247"/>
        <v>0</v>
      </c>
      <c r="S279" s="1124">
        <f t="shared" si="247"/>
        <v>0</v>
      </c>
      <c r="T279" s="1124">
        <f t="shared" si="247"/>
        <v>9000</v>
      </c>
      <c r="U279" s="1124">
        <f t="shared" si="247"/>
        <v>9000</v>
      </c>
      <c r="V279" s="1124">
        <f t="shared" si="247"/>
        <v>9000</v>
      </c>
      <c r="W279" s="1124">
        <f t="shared" si="247"/>
        <v>9000</v>
      </c>
      <c r="X279" s="1124">
        <f t="shared" si="247"/>
        <v>9000</v>
      </c>
      <c r="Y279" s="1124">
        <f t="shared" si="247"/>
        <v>9000</v>
      </c>
      <c r="Z279" s="1124">
        <f t="shared" si="247"/>
        <v>9000</v>
      </c>
      <c r="AA279" s="1124">
        <f t="shared" si="247"/>
        <v>9000</v>
      </c>
      <c r="AB279" s="1124">
        <f t="shared" si="247"/>
        <v>9000</v>
      </c>
      <c r="AC279" s="1124">
        <f t="shared" si="247"/>
        <v>9000</v>
      </c>
      <c r="AD279" s="1124">
        <f t="shared" si="247"/>
        <v>9000</v>
      </c>
      <c r="AE279" s="1124">
        <f t="shared" si="247"/>
        <v>9000</v>
      </c>
      <c r="AF279" s="1124">
        <f t="shared" si="247"/>
        <v>9000</v>
      </c>
      <c r="AG279" s="1124">
        <f t="shared" si="247"/>
        <v>9000</v>
      </c>
      <c r="AH279" s="1124">
        <f t="shared" si="247"/>
        <v>9000</v>
      </c>
      <c r="AI279" s="1124">
        <f t="shared" si="247"/>
        <v>9000</v>
      </c>
      <c r="AJ279" s="1124">
        <f t="shared" si="247"/>
        <v>0</v>
      </c>
      <c r="AK279" s="1124">
        <f t="shared" si="247"/>
        <v>0</v>
      </c>
      <c r="AL279" s="1124">
        <f t="shared" si="247"/>
        <v>0</v>
      </c>
      <c r="AM279" s="1124">
        <f t="shared" si="247"/>
        <v>0</v>
      </c>
      <c r="AN279" s="1124">
        <f t="shared" si="247"/>
        <v>0</v>
      </c>
      <c r="AO279" s="1124">
        <f t="shared" si="247"/>
        <v>0</v>
      </c>
      <c r="AP279" s="1124">
        <f t="shared" si="247"/>
        <v>0</v>
      </c>
      <c r="AQ279" s="1124">
        <f t="shared" si="247"/>
        <v>0</v>
      </c>
      <c r="AR279" s="1124">
        <f t="shared" si="247"/>
        <v>0</v>
      </c>
      <c r="AS279" s="1124">
        <f t="shared" si="247"/>
        <v>0</v>
      </c>
      <c r="AU279" s="78">
        <f>+Base!E279</f>
        <v>144000</v>
      </c>
      <c r="AV279" s="81">
        <f t="shared" si="246"/>
        <v>0</v>
      </c>
      <c r="AW279" s="97"/>
    </row>
    <row r="280" spans="1:49" hidden="1">
      <c r="A280" s="1432" t="s">
        <v>639</v>
      </c>
      <c r="B280" s="234" t="s">
        <v>1711</v>
      </c>
      <c r="C280" s="3"/>
      <c r="E280" s="29">
        <f t="shared" si="244"/>
        <v>-108800</v>
      </c>
      <c r="F280" s="31">
        <f t="shared" ref="F280:AS280" si="248">+F174</f>
        <v>0</v>
      </c>
      <c r="G280" s="1124">
        <f t="shared" si="248"/>
        <v>0</v>
      </c>
      <c r="H280" s="1124">
        <f t="shared" si="248"/>
        <v>0</v>
      </c>
      <c r="I280" s="1124">
        <f t="shared" si="248"/>
        <v>0</v>
      </c>
      <c r="J280" s="1124">
        <f t="shared" si="248"/>
        <v>0</v>
      </c>
      <c r="K280" s="1124">
        <f t="shared" si="248"/>
        <v>0</v>
      </c>
      <c r="L280" s="1124">
        <f t="shared" si="248"/>
        <v>0</v>
      </c>
      <c r="M280" s="1124">
        <f t="shared" si="248"/>
        <v>0</v>
      </c>
      <c r="N280" s="1124">
        <f t="shared" si="248"/>
        <v>0</v>
      </c>
      <c r="O280" s="1124">
        <f t="shared" si="248"/>
        <v>0</v>
      </c>
      <c r="P280" s="1124">
        <f t="shared" si="248"/>
        <v>0</v>
      </c>
      <c r="Q280" s="1124">
        <f t="shared" si="248"/>
        <v>0</v>
      </c>
      <c r="R280" s="1124">
        <f t="shared" si="248"/>
        <v>0</v>
      </c>
      <c r="S280" s="1124">
        <f t="shared" si="248"/>
        <v>0</v>
      </c>
      <c r="T280" s="1124">
        <f t="shared" si="248"/>
        <v>-6800</v>
      </c>
      <c r="U280" s="1124">
        <f t="shared" si="248"/>
        <v>-6800</v>
      </c>
      <c r="V280" s="1124">
        <f t="shared" si="248"/>
        <v>-6800</v>
      </c>
      <c r="W280" s="1124">
        <f t="shared" si="248"/>
        <v>-6800</v>
      </c>
      <c r="X280" s="1124">
        <f t="shared" si="248"/>
        <v>-6800</v>
      </c>
      <c r="Y280" s="1124">
        <f t="shared" si="248"/>
        <v>-6800</v>
      </c>
      <c r="Z280" s="1124">
        <f t="shared" si="248"/>
        <v>-6800</v>
      </c>
      <c r="AA280" s="1124">
        <f t="shared" si="248"/>
        <v>-6800</v>
      </c>
      <c r="AB280" s="1124">
        <f t="shared" si="248"/>
        <v>-6800</v>
      </c>
      <c r="AC280" s="1124">
        <f t="shared" si="248"/>
        <v>-6800</v>
      </c>
      <c r="AD280" s="1124">
        <f t="shared" si="248"/>
        <v>-6800</v>
      </c>
      <c r="AE280" s="1124">
        <f t="shared" si="248"/>
        <v>-6800</v>
      </c>
      <c r="AF280" s="1124">
        <f t="shared" si="248"/>
        <v>-6800</v>
      </c>
      <c r="AG280" s="1124">
        <f t="shared" si="248"/>
        <v>-6800</v>
      </c>
      <c r="AH280" s="1124">
        <f t="shared" si="248"/>
        <v>-6800</v>
      </c>
      <c r="AI280" s="1124">
        <f t="shared" si="248"/>
        <v>-6800</v>
      </c>
      <c r="AJ280" s="1124">
        <f t="shared" si="248"/>
        <v>0</v>
      </c>
      <c r="AK280" s="1124">
        <f t="shared" si="248"/>
        <v>0</v>
      </c>
      <c r="AL280" s="1124">
        <f t="shared" si="248"/>
        <v>0</v>
      </c>
      <c r="AM280" s="1124">
        <f t="shared" si="248"/>
        <v>0</v>
      </c>
      <c r="AN280" s="1124">
        <f t="shared" si="248"/>
        <v>0</v>
      </c>
      <c r="AO280" s="1124">
        <f t="shared" si="248"/>
        <v>0</v>
      </c>
      <c r="AP280" s="1124">
        <f t="shared" si="248"/>
        <v>0</v>
      </c>
      <c r="AQ280" s="1124">
        <f t="shared" si="248"/>
        <v>0</v>
      </c>
      <c r="AR280" s="1124">
        <f t="shared" si="248"/>
        <v>0</v>
      </c>
      <c r="AS280" s="1124">
        <f t="shared" si="248"/>
        <v>0</v>
      </c>
      <c r="AU280" s="78">
        <f>+Base!E280</f>
        <v>-108800</v>
      </c>
      <c r="AV280" s="81">
        <f t="shared" si="246"/>
        <v>0</v>
      </c>
      <c r="AW280" s="97"/>
    </row>
    <row r="281" spans="1:49" hidden="1">
      <c r="A281" s="1432" t="s">
        <v>639</v>
      </c>
      <c r="B281" s="234" t="s">
        <v>422</v>
      </c>
      <c r="C281" s="3"/>
      <c r="E281" s="29">
        <f t="shared" si="244"/>
        <v>402600</v>
      </c>
      <c r="F281" s="31">
        <f t="shared" ref="F281:AS281" si="249">+F175</f>
        <v>40000</v>
      </c>
      <c r="G281" s="1124">
        <f t="shared" si="249"/>
        <v>41200</v>
      </c>
      <c r="H281" s="1124">
        <f t="shared" si="249"/>
        <v>42400</v>
      </c>
      <c r="I281" s="1124">
        <f t="shared" si="249"/>
        <v>43700</v>
      </c>
      <c r="J281" s="1124">
        <f t="shared" si="249"/>
        <v>45000</v>
      </c>
      <c r="K281" s="1124">
        <f t="shared" si="249"/>
        <v>46400</v>
      </c>
      <c r="L281" s="1124">
        <f t="shared" si="249"/>
        <v>47800</v>
      </c>
      <c r="M281" s="1124">
        <f t="shared" si="249"/>
        <v>49200</v>
      </c>
      <c r="N281" s="1124">
        <f t="shared" si="249"/>
        <v>10000</v>
      </c>
      <c r="O281" s="1124">
        <f t="shared" si="249"/>
        <v>9000</v>
      </c>
      <c r="P281" s="1124">
        <f t="shared" si="249"/>
        <v>8100</v>
      </c>
      <c r="Q281" s="1124">
        <f t="shared" si="249"/>
        <v>7300</v>
      </c>
      <c r="R281" s="1124">
        <f t="shared" si="249"/>
        <v>6600</v>
      </c>
      <c r="S281" s="1124">
        <f t="shared" si="249"/>
        <v>5900</v>
      </c>
      <c r="T281" s="1124">
        <f t="shared" si="249"/>
        <v>0</v>
      </c>
      <c r="U281" s="1124">
        <f t="shared" si="249"/>
        <v>0</v>
      </c>
      <c r="V281" s="1124">
        <f t="shared" si="249"/>
        <v>0</v>
      </c>
      <c r="W281" s="1124">
        <f t="shared" si="249"/>
        <v>0</v>
      </c>
      <c r="X281" s="1124">
        <f t="shared" si="249"/>
        <v>0</v>
      </c>
      <c r="Y281" s="1124">
        <f t="shared" si="249"/>
        <v>0</v>
      </c>
      <c r="Z281" s="1124">
        <f t="shared" si="249"/>
        <v>0</v>
      </c>
      <c r="AA281" s="1124">
        <f t="shared" si="249"/>
        <v>0</v>
      </c>
      <c r="AB281" s="1124">
        <f t="shared" si="249"/>
        <v>0</v>
      </c>
      <c r="AC281" s="1124">
        <f t="shared" si="249"/>
        <v>0</v>
      </c>
      <c r="AD281" s="1124">
        <f t="shared" si="249"/>
        <v>0</v>
      </c>
      <c r="AE281" s="1124">
        <f t="shared" si="249"/>
        <v>0</v>
      </c>
      <c r="AF281" s="1124">
        <f t="shared" si="249"/>
        <v>0</v>
      </c>
      <c r="AG281" s="1124">
        <f t="shared" si="249"/>
        <v>0</v>
      </c>
      <c r="AH281" s="1124">
        <f t="shared" si="249"/>
        <v>0</v>
      </c>
      <c r="AI281" s="1124">
        <f t="shared" si="249"/>
        <v>0</v>
      </c>
      <c r="AJ281" s="1124">
        <f t="shared" si="249"/>
        <v>0</v>
      </c>
      <c r="AK281" s="1124">
        <f t="shared" si="249"/>
        <v>0</v>
      </c>
      <c r="AL281" s="1124">
        <f t="shared" si="249"/>
        <v>0</v>
      </c>
      <c r="AM281" s="1124">
        <f t="shared" si="249"/>
        <v>0</v>
      </c>
      <c r="AN281" s="1124">
        <f t="shared" si="249"/>
        <v>0</v>
      </c>
      <c r="AO281" s="1124">
        <f t="shared" si="249"/>
        <v>0</v>
      </c>
      <c r="AP281" s="1124">
        <f t="shared" si="249"/>
        <v>0</v>
      </c>
      <c r="AQ281" s="1124">
        <f t="shared" si="249"/>
        <v>0</v>
      </c>
      <c r="AR281" s="1124">
        <f t="shared" si="249"/>
        <v>0</v>
      </c>
      <c r="AS281" s="1124">
        <f t="shared" si="249"/>
        <v>0</v>
      </c>
      <c r="AU281" s="78">
        <f>+Base!E281</f>
        <v>402600</v>
      </c>
      <c r="AV281" s="81">
        <f t="shared" si="246"/>
        <v>0</v>
      </c>
      <c r="AW281" s="97"/>
    </row>
    <row r="282" spans="1:49" hidden="1">
      <c r="A282" s="1432" t="s">
        <v>639</v>
      </c>
      <c r="B282" s="234" t="s">
        <v>1272</v>
      </c>
      <c r="C282" s="3"/>
      <c r="E282" s="29">
        <f t="shared" si="244"/>
        <v>15300</v>
      </c>
      <c r="F282" s="31">
        <f t="shared" ref="F282:AS282" si="250">+F177</f>
        <v>0</v>
      </c>
      <c r="G282" s="1124">
        <f t="shared" si="250"/>
        <v>0</v>
      </c>
      <c r="H282" s="1124">
        <f t="shared" si="250"/>
        <v>0</v>
      </c>
      <c r="I282" s="1124">
        <f t="shared" si="250"/>
        <v>0</v>
      </c>
      <c r="J282" s="1124">
        <f t="shared" si="250"/>
        <v>0</v>
      </c>
      <c r="K282" s="1124">
        <f t="shared" si="250"/>
        <v>0</v>
      </c>
      <c r="L282" s="1124">
        <f t="shared" si="250"/>
        <v>0</v>
      </c>
      <c r="M282" s="1124">
        <f t="shared" si="250"/>
        <v>0</v>
      </c>
      <c r="N282" s="1124">
        <f t="shared" si="250"/>
        <v>0</v>
      </c>
      <c r="O282" s="1124">
        <f t="shared" si="250"/>
        <v>0</v>
      </c>
      <c r="P282" s="1124">
        <f t="shared" si="250"/>
        <v>0</v>
      </c>
      <c r="Q282" s="1124">
        <f t="shared" si="250"/>
        <v>0</v>
      </c>
      <c r="R282" s="1124">
        <f t="shared" si="250"/>
        <v>0</v>
      </c>
      <c r="S282" s="1124">
        <f t="shared" si="250"/>
        <v>0</v>
      </c>
      <c r="T282" s="1124">
        <f t="shared" si="250"/>
        <v>0</v>
      </c>
      <c r="U282" s="1124">
        <f t="shared" si="250"/>
        <v>4000</v>
      </c>
      <c r="V282" s="1124">
        <f t="shared" si="250"/>
        <v>5000</v>
      </c>
      <c r="W282" s="1124">
        <f t="shared" si="250"/>
        <v>5100</v>
      </c>
      <c r="X282" s="1124">
        <f t="shared" si="250"/>
        <v>1200</v>
      </c>
      <c r="Y282" s="1124">
        <f t="shared" si="250"/>
        <v>0</v>
      </c>
      <c r="Z282" s="1124">
        <f t="shared" si="250"/>
        <v>0</v>
      </c>
      <c r="AA282" s="1124">
        <f t="shared" si="250"/>
        <v>0</v>
      </c>
      <c r="AB282" s="1124">
        <f t="shared" si="250"/>
        <v>0</v>
      </c>
      <c r="AC282" s="1124">
        <f t="shared" si="250"/>
        <v>0</v>
      </c>
      <c r="AD282" s="1124">
        <f t="shared" si="250"/>
        <v>0</v>
      </c>
      <c r="AE282" s="1124">
        <f t="shared" si="250"/>
        <v>0</v>
      </c>
      <c r="AF282" s="1124">
        <f t="shared" si="250"/>
        <v>0</v>
      </c>
      <c r="AG282" s="1124">
        <f t="shared" si="250"/>
        <v>0</v>
      </c>
      <c r="AH282" s="1124">
        <f t="shared" si="250"/>
        <v>0</v>
      </c>
      <c r="AI282" s="1124">
        <f t="shared" si="250"/>
        <v>0</v>
      </c>
      <c r="AJ282" s="1124">
        <f t="shared" si="250"/>
        <v>0</v>
      </c>
      <c r="AK282" s="1124">
        <f t="shared" si="250"/>
        <v>0</v>
      </c>
      <c r="AL282" s="1124">
        <f t="shared" si="250"/>
        <v>0</v>
      </c>
      <c r="AM282" s="1124">
        <f t="shared" si="250"/>
        <v>0</v>
      </c>
      <c r="AN282" s="1124">
        <f t="shared" si="250"/>
        <v>0</v>
      </c>
      <c r="AO282" s="1124">
        <f t="shared" si="250"/>
        <v>0</v>
      </c>
      <c r="AP282" s="1124">
        <f t="shared" si="250"/>
        <v>0</v>
      </c>
      <c r="AQ282" s="1124">
        <f t="shared" si="250"/>
        <v>0</v>
      </c>
      <c r="AR282" s="1124">
        <f t="shared" si="250"/>
        <v>0</v>
      </c>
      <c r="AS282" s="1124">
        <f t="shared" si="250"/>
        <v>0</v>
      </c>
      <c r="AU282" s="78">
        <f>+Base!E282</f>
        <v>15300</v>
      </c>
      <c r="AV282" s="81">
        <f t="shared" si="246"/>
        <v>0</v>
      </c>
      <c r="AW282" s="97"/>
    </row>
    <row r="283" spans="1:49" hidden="1">
      <c r="A283" s="1432" t="s">
        <v>639</v>
      </c>
      <c r="B283" s="234" t="s">
        <v>1504</v>
      </c>
      <c r="C283" s="3"/>
      <c r="E283" s="34">
        <f t="shared" si="244"/>
        <v>0</v>
      </c>
      <c r="F283" s="38">
        <f t="shared" ref="F283:AS283" si="251">+F180</f>
        <v>0</v>
      </c>
      <c r="G283" s="1125">
        <f t="shared" si="251"/>
        <v>0</v>
      </c>
      <c r="H283" s="1125">
        <f t="shared" si="251"/>
        <v>0</v>
      </c>
      <c r="I283" s="1125">
        <f t="shared" si="251"/>
        <v>0</v>
      </c>
      <c r="J283" s="1125">
        <f t="shared" si="251"/>
        <v>0</v>
      </c>
      <c r="K283" s="1125">
        <f t="shared" si="251"/>
        <v>0</v>
      </c>
      <c r="L283" s="1125">
        <f t="shared" si="251"/>
        <v>0</v>
      </c>
      <c r="M283" s="1125">
        <f t="shared" si="251"/>
        <v>0</v>
      </c>
      <c r="N283" s="1125">
        <f t="shared" si="251"/>
        <v>0</v>
      </c>
      <c r="O283" s="1125">
        <f t="shared" si="251"/>
        <v>0</v>
      </c>
      <c r="P283" s="1125">
        <f t="shared" si="251"/>
        <v>0</v>
      </c>
      <c r="Q283" s="1125">
        <f t="shared" si="251"/>
        <v>0</v>
      </c>
      <c r="R283" s="1125">
        <f t="shared" si="251"/>
        <v>0</v>
      </c>
      <c r="S283" s="1125">
        <f t="shared" si="251"/>
        <v>0</v>
      </c>
      <c r="T283" s="1125">
        <f t="shared" si="251"/>
        <v>0</v>
      </c>
      <c r="U283" s="1125">
        <f t="shared" si="251"/>
        <v>0</v>
      </c>
      <c r="V283" s="1125">
        <f t="shared" si="251"/>
        <v>0</v>
      </c>
      <c r="W283" s="1125">
        <f t="shared" si="251"/>
        <v>0</v>
      </c>
      <c r="X283" s="1125">
        <f t="shared" si="251"/>
        <v>0</v>
      </c>
      <c r="Y283" s="1125">
        <f t="shared" si="251"/>
        <v>0</v>
      </c>
      <c r="Z283" s="1125">
        <f t="shared" si="251"/>
        <v>0</v>
      </c>
      <c r="AA283" s="1125">
        <f t="shared" si="251"/>
        <v>0</v>
      </c>
      <c r="AB283" s="1125">
        <f t="shared" si="251"/>
        <v>0</v>
      </c>
      <c r="AC283" s="1125">
        <f t="shared" si="251"/>
        <v>0</v>
      </c>
      <c r="AD283" s="1125">
        <f t="shared" si="251"/>
        <v>0</v>
      </c>
      <c r="AE283" s="1125">
        <f t="shared" si="251"/>
        <v>0</v>
      </c>
      <c r="AF283" s="1125">
        <f t="shared" si="251"/>
        <v>0</v>
      </c>
      <c r="AG283" s="1125">
        <f t="shared" si="251"/>
        <v>0</v>
      </c>
      <c r="AH283" s="1125">
        <f t="shared" si="251"/>
        <v>0</v>
      </c>
      <c r="AI283" s="1125">
        <f t="shared" si="251"/>
        <v>0</v>
      </c>
      <c r="AJ283" s="1125">
        <f t="shared" si="251"/>
        <v>0</v>
      </c>
      <c r="AK283" s="1125">
        <f t="shared" si="251"/>
        <v>0</v>
      </c>
      <c r="AL283" s="1125">
        <f t="shared" si="251"/>
        <v>0</v>
      </c>
      <c r="AM283" s="1125">
        <f t="shared" si="251"/>
        <v>0</v>
      </c>
      <c r="AN283" s="1125">
        <f t="shared" si="251"/>
        <v>0</v>
      </c>
      <c r="AO283" s="1125">
        <f t="shared" si="251"/>
        <v>0</v>
      </c>
      <c r="AP283" s="1125">
        <f t="shared" si="251"/>
        <v>0</v>
      </c>
      <c r="AQ283" s="1125">
        <f t="shared" si="251"/>
        <v>0</v>
      </c>
      <c r="AR283" s="1125">
        <f t="shared" si="251"/>
        <v>0</v>
      </c>
      <c r="AS283" s="1125">
        <f t="shared" si="251"/>
        <v>0</v>
      </c>
      <c r="AU283" s="82">
        <f>+Base!E283</f>
        <v>0</v>
      </c>
      <c r="AV283" s="83">
        <f t="shared" si="246"/>
        <v>0</v>
      </c>
      <c r="AW283" s="97"/>
    </row>
    <row r="284" spans="1:49" hidden="1">
      <c r="A284" s="1432" t="s">
        <v>639</v>
      </c>
      <c r="B284" s="234" t="s">
        <v>635</v>
      </c>
      <c r="C284" s="3"/>
      <c r="E284" s="29">
        <f>SUM(F284:AS284)</f>
        <v>1002700</v>
      </c>
      <c r="F284" s="447">
        <f>SUM(F278:F283)</f>
        <v>60000</v>
      </c>
      <c r="G284" s="1124">
        <f t="shared" ref="G284:AS284" si="252">SUM(G278:G283)</f>
        <v>76800</v>
      </c>
      <c r="H284" s="1124">
        <f t="shared" si="252"/>
        <v>63600</v>
      </c>
      <c r="I284" s="1124">
        <f t="shared" si="252"/>
        <v>65600</v>
      </c>
      <c r="J284" s="1124">
        <f t="shared" si="252"/>
        <v>67600</v>
      </c>
      <c r="K284" s="1124">
        <f t="shared" si="252"/>
        <v>69800</v>
      </c>
      <c r="L284" s="1124">
        <f t="shared" si="252"/>
        <v>72000</v>
      </c>
      <c r="M284" s="1124">
        <f t="shared" si="252"/>
        <v>74200</v>
      </c>
      <c r="N284" s="1124">
        <f t="shared" si="252"/>
        <v>35800</v>
      </c>
      <c r="O284" s="1124">
        <f t="shared" si="252"/>
        <v>21500</v>
      </c>
      <c r="P284" s="1124">
        <f t="shared" si="252"/>
        <v>20900</v>
      </c>
      <c r="Q284" s="1124">
        <f t="shared" si="252"/>
        <v>20400</v>
      </c>
      <c r="R284" s="1124">
        <f t="shared" si="252"/>
        <v>20000</v>
      </c>
      <c r="S284" s="1124">
        <f t="shared" si="252"/>
        <v>19600</v>
      </c>
      <c r="T284" s="1124">
        <f t="shared" si="252"/>
        <v>16300</v>
      </c>
      <c r="U284" s="1124">
        <f t="shared" si="252"/>
        <v>20700</v>
      </c>
      <c r="V284" s="1124">
        <f t="shared" si="252"/>
        <v>22100</v>
      </c>
      <c r="W284" s="1124">
        <f t="shared" si="252"/>
        <v>22600</v>
      </c>
      <c r="X284" s="1124">
        <f t="shared" si="252"/>
        <v>19100</v>
      </c>
      <c r="Y284" s="1124">
        <f t="shared" si="252"/>
        <v>18300</v>
      </c>
      <c r="Z284" s="1124">
        <f t="shared" si="252"/>
        <v>18700</v>
      </c>
      <c r="AA284" s="1124">
        <f t="shared" si="252"/>
        <v>19100</v>
      </c>
      <c r="AB284" s="1124">
        <f t="shared" si="252"/>
        <v>19500</v>
      </c>
      <c r="AC284" s="1124">
        <f t="shared" si="252"/>
        <v>20000</v>
      </c>
      <c r="AD284" s="1124">
        <f t="shared" si="252"/>
        <v>18500</v>
      </c>
      <c r="AE284" s="1124">
        <f t="shared" si="252"/>
        <v>19000</v>
      </c>
      <c r="AF284" s="1124">
        <f t="shared" si="252"/>
        <v>19500</v>
      </c>
      <c r="AG284" s="1124">
        <f t="shared" si="252"/>
        <v>20000</v>
      </c>
      <c r="AH284" s="1124">
        <f t="shared" si="252"/>
        <v>20500</v>
      </c>
      <c r="AI284" s="1124">
        <f t="shared" si="252"/>
        <v>21000</v>
      </c>
      <c r="AJ284" s="1124">
        <f t="shared" si="252"/>
        <v>0</v>
      </c>
      <c r="AK284" s="1124">
        <f t="shared" si="252"/>
        <v>0</v>
      </c>
      <c r="AL284" s="1124">
        <f t="shared" si="252"/>
        <v>0</v>
      </c>
      <c r="AM284" s="1124">
        <f t="shared" si="252"/>
        <v>0</v>
      </c>
      <c r="AN284" s="1124">
        <f t="shared" si="252"/>
        <v>0</v>
      </c>
      <c r="AO284" s="1124">
        <f t="shared" si="252"/>
        <v>0</v>
      </c>
      <c r="AP284" s="1124">
        <f t="shared" si="252"/>
        <v>0</v>
      </c>
      <c r="AQ284" s="1124">
        <f t="shared" si="252"/>
        <v>0</v>
      </c>
      <c r="AR284" s="1124">
        <f t="shared" si="252"/>
        <v>0</v>
      </c>
      <c r="AS284" s="1124">
        <f t="shared" si="252"/>
        <v>0</v>
      </c>
      <c r="AU284" s="78">
        <f>+Base!E284</f>
        <v>1002700</v>
      </c>
      <c r="AV284" s="81">
        <f t="shared" si="246"/>
        <v>0</v>
      </c>
      <c r="AW284" s="29"/>
    </row>
    <row r="285" spans="1:49" hidden="1">
      <c r="A285" s="1432" t="s">
        <v>639</v>
      </c>
      <c r="B285" s="72"/>
      <c r="C285" s="3"/>
      <c r="E285" s="29"/>
      <c r="F285" s="447"/>
      <c r="G285" s="447"/>
      <c r="H285" s="447"/>
      <c r="I285" s="447"/>
      <c r="J285" s="447"/>
      <c r="K285" s="447"/>
      <c r="L285" s="447"/>
      <c r="M285" s="447"/>
      <c r="N285" s="447"/>
      <c r="O285" s="447"/>
      <c r="P285" s="447"/>
      <c r="Q285" s="447"/>
      <c r="R285" s="447"/>
      <c r="S285" s="447"/>
      <c r="T285" s="447"/>
      <c r="U285" s="447"/>
      <c r="V285" s="447"/>
      <c r="W285" s="447"/>
      <c r="X285" s="447"/>
      <c r="Y285" s="447"/>
      <c r="Z285" s="447"/>
      <c r="AA285" s="447"/>
      <c r="AB285" s="447"/>
      <c r="AC285" s="447"/>
      <c r="AD285" s="447"/>
      <c r="AE285" s="447"/>
      <c r="AF285" s="447"/>
      <c r="AG285" s="447"/>
      <c r="AH285" s="447"/>
      <c r="AI285" s="447"/>
      <c r="AJ285" s="447"/>
      <c r="AK285" s="447"/>
      <c r="AL285" s="447"/>
      <c r="AM285" s="447"/>
      <c r="AN285" s="447"/>
      <c r="AO285" s="447"/>
      <c r="AP285" s="447"/>
      <c r="AQ285" s="447"/>
      <c r="AR285" s="447"/>
      <c r="AS285" s="447"/>
      <c r="AU285" s="97"/>
      <c r="AV285" s="81"/>
      <c r="AW285" s="29"/>
    </row>
    <row r="286" spans="1:49" ht="15.6" hidden="1">
      <c r="A286" s="1432" t="s">
        <v>639</v>
      </c>
      <c r="B286" s="424" t="s">
        <v>1437</v>
      </c>
      <c r="C286" s="3"/>
      <c r="E286" s="29"/>
      <c r="F286" s="447"/>
      <c r="G286" s="31"/>
      <c r="H286" s="31"/>
      <c r="I286" s="31"/>
      <c r="J286" s="31"/>
      <c r="K286" s="31"/>
      <c r="L286" s="31"/>
      <c r="M286" s="31"/>
      <c r="N286" s="31"/>
      <c r="O286" s="31"/>
      <c r="P286" s="31"/>
      <c r="Q286" s="31"/>
      <c r="R286" s="31"/>
      <c r="S286" s="31"/>
      <c r="T286" s="31"/>
      <c r="U286" s="31"/>
      <c r="V286" s="31"/>
      <c r="W286" s="31"/>
      <c r="X286" s="31"/>
      <c r="Y286" s="31"/>
      <c r="Z286" s="31"/>
      <c r="AA286" s="31"/>
      <c r="AB286" s="31"/>
      <c r="AC286" s="31"/>
      <c r="AD286" s="31"/>
      <c r="AE286" s="31"/>
      <c r="AF286" s="31"/>
      <c r="AG286" s="31"/>
      <c r="AH286" s="31"/>
      <c r="AI286" s="31"/>
      <c r="AJ286" s="31"/>
      <c r="AK286" s="31"/>
      <c r="AL286" s="31"/>
      <c r="AM286" s="31"/>
      <c r="AN286" s="31"/>
      <c r="AO286" s="31"/>
      <c r="AP286" s="31"/>
      <c r="AQ286" s="31"/>
      <c r="AR286" s="31"/>
      <c r="AS286" s="31"/>
      <c r="AU286" s="78"/>
      <c r="AV286" s="81"/>
      <c r="AW286" s="29"/>
    </row>
    <row r="287" spans="1:49" ht="15.6" hidden="1">
      <c r="A287" s="1432" t="s">
        <v>639</v>
      </c>
      <c r="B287" s="354" t="s">
        <v>1084</v>
      </c>
      <c r="C287" s="646" t="s">
        <v>700</v>
      </c>
      <c r="D287" s="1278" t="s">
        <v>286</v>
      </c>
      <c r="E287" s="65">
        <f t="shared" ref="E287:E302" si="253">SUM(F287:AS287)</f>
        <v>750300</v>
      </c>
      <c r="F287" s="447">
        <f t="shared" ref="F287:AS287" si="254">ROUND(IF((F8+F61+F62+F70+F85-F91-F94-F99-F102-F112-F115-F125-F134-F137-F144)&lt;=0,0,(+F8+(F8+F61+F62+F70+F85-F91-F94-F99-F102-F112-F115-F125-F134+F137-F144))/2*F22)/Round_To,0)*Round_To</f>
        <v>9800</v>
      </c>
      <c r="G287" s="1124">
        <f t="shared" si="254"/>
        <v>9500</v>
      </c>
      <c r="H287" s="1124">
        <f t="shared" si="254"/>
        <v>9100</v>
      </c>
      <c r="I287" s="1124">
        <f t="shared" si="254"/>
        <v>8500</v>
      </c>
      <c r="J287" s="1124">
        <f t="shared" si="254"/>
        <v>7800</v>
      </c>
      <c r="K287" s="1124">
        <f t="shared" si="254"/>
        <v>7800</v>
      </c>
      <c r="L287" s="1124">
        <f t="shared" si="254"/>
        <v>8200</v>
      </c>
      <c r="M287" s="1124">
        <f t="shared" si="254"/>
        <v>8700</v>
      </c>
      <c r="N287" s="1124">
        <f t="shared" si="254"/>
        <v>9500</v>
      </c>
      <c r="O287" s="1124">
        <f t="shared" si="254"/>
        <v>10900</v>
      </c>
      <c r="P287" s="1124">
        <f t="shared" si="254"/>
        <v>10700</v>
      </c>
      <c r="Q287" s="1124">
        <f t="shared" si="254"/>
        <v>11500</v>
      </c>
      <c r="R287" s="1124">
        <f t="shared" si="254"/>
        <v>14000</v>
      </c>
      <c r="S287" s="1124">
        <f t="shared" si="254"/>
        <v>15800</v>
      </c>
      <c r="T287" s="1124">
        <f t="shared" si="254"/>
        <v>16000</v>
      </c>
      <c r="U287" s="1124">
        <f t="shared" si="254"/>
        <v>18000</v>
      </c>
      <c r="V287" s="1124">
        <f t="shared" si="254"/>
        <v>22400</v>
      </c>
      <c r="W287" s="1124">
        <f t="shared" si="254"/>
        <v>25200</v>
      </c>
      <c r="X287" s="1124">
        <f t="shared" si="254"/>
        <v>22700</v>
      </c>
      <c r="Y287" s="1124">
        <f t="shared" si="254"/>
        <v>24000</v>
      </c>
      <c r="Z287" s="1124">
        <f t="shared" si="254"/>
        <v>25500</v>
      </c>
      <c r="AA287" s="1124">
        <f t="shared" si="254"/>
        <v>27100</v>
      </c>
      <c r="AB287" s="1124">
        <f t="shared" si="254"/>
        <v>37000</v>
      </c>
      <c r="AC287" s="1124">
        <f t="shared" si="254"/>
        <v>47300</v>
      </c>
      <c r="AD287" s="1124">
        <f t="shared" si="254"/>
        <v>51500</v>
      </c>
      <c r="AE287" s="1124">
        <f t="shared" si="254"/>
        <v>55100</v>
      </c>
      <c r="AF287" s="1124">
        <f t="shared" si="254"/>
        <v>56800</v>
      </c>
      <c r="AG287" s="1124">
        <f t="shared" si="254"/>
        <v>58400</v>
      </c>
      <c r="AH287" s="1124">
        <f t="shared" si="254"/>
        <v>60000</v>
      </c>
      <c r="AI287" s="1124">
        <f t="shared" si="254"/>
        <v>61500</v>
      </c>
      <c r="AJ287" s="1124">
        <f t="shared" si="254"/>
        <v>0</v>
      </c>
      <c r="AK287" s="1124">
        <f t="shared" si="254"/>
        <v>0</v>
      </c>
      <c r="AL287" s="1124">
        <f t="shared" si="254"/>
        <v>0</v>
      </c>
      <c r="AM287" s="1124">
        <f t="shared" si="254"/>
        <v>0</v>
      </c>
      <c r="AN287" s="1124">
        <f t="shared" si="254"/>
        <v>0</v>
      </c>
      <c r="AO287" s="1124">
        <f t="shared" si="254"/>
        <v>0</v>
      </c>
      <c r="AP287" s="1124">
        <f t="shared" si="254"/>
        <v>0</v>
      </c>
      <c r="AQ287" s="1124">
        <f t="shared" si="254"/>
        <v>0</v>
      </c>
      <c r="AR287" s="1124">
        <f t="shared" si="254"/>
        <v>0</v>
      </c>
      <c r="AS287" s="1124">
        <f t="shared" si="254"/>
        <v>0</v>
      </c>
      <c r="AU287" s="78">
        <f>+Base!E287</f>
        <v>750300</v>
      </c>
      <c r="AV287" s="81">
        <f t="shared" ref="AV287:AV302" si="255">+E287-AU287</f>
        <v>0</v>
      </c>
      <c r="AW287" s="29"/>
    </row>
    <row r="288" spans="1:49" hidden="1">
      <c r="A288" s="1432" t="s">
        <v>639</v>
      </c>
      <c r="B288" s="354" t="s">
        <v>195</v>
      </c>
      <c r="C288" s="3"/>
      <c r="E288" s="65">
        <f t="shared" si="253"/>
        <v>1516900</v>
      </c>
      <c r="F288" s="31">
        <f t="shared" ref="F288:AS288" si="256">+F61</f>
        <v>0</v>
      </c>
      <c r="G288" s="1124">
        <f t="shared" si="256"/>
        <v>0</v>
      </c>
      <c r="H288" s="1124">
        <f t="shared" si="256"/>
        <v>0</v>
      </c>
      <c r="I288" s="1124">
        <f t="shared" si="256"/>
        <v>0</v>
      </c>
      <c r="J288" s="1124">
        <f t="shared" si="256"/>
        <v>0</v>
      </c>
      <c r="K288" s="1124">
        <f t="shared" si="256"/>
        <v>22100</v>
      </c>
      <c r="L288" s="1124">
        <f t="shared" si="256"/>
        <v>22500</v>
      </c>
      <c r="M288" s="1124">
        <f t="shared" si="256"/>
        <v>23000</v>
      </c>
      <c r="N288" s="1124">
        <f t="shared" si="256"/>
        <v>69900</v>
      </c>
      <c r="O288" s="1124">
        <f t="shared" si="256"/>
        <v>71300</v>
      </c>
      <c r="P288" s="1124">
        <f t="shared" si="256"/>
        <v>72700</v>
      </c>
      <c r="Q288" s="1124">
        <f t="shared" si="256"/>
        <v>74200</v>
      </c>
      <c r="R288" s="1124">
        <f t="shared" si="256"/>
        <v>75700</v>
      </c>
      <c r="S288" s="1124">
        <f t="shared" si="256"/>
        <v>77200</v>
      </c>
      <c r="T288" s="1124">
        <f t="shared" si="256"/>
        <v>78700</v>
      </c>
      <c r="U288" s="1124">
        <f t="shared" si="256"/>
        <v>80200</v>
      </c>
      <c r="V288" s="1124">
        <f t="shared" si="256"/>
        <v>63000</v>
      </c>
      <c r="W288" s="1124">
        <f t="shared" si="256"/>
        <v>64200</v>
      </c>
      <c r="X288" s="1124">
        <f t="shared" si="256"/>
        <v>65500</v>
      </c>
      <c r="Y288" s="1124">
        <f t="shared" si="256"/>
        <v>66800</v>
      </c>
      <c r="Z288" s="1124">
        <f t="shared" si="256"/>
        <v>68100</v>
      </c>
      <c r="AA288" s="1124">
        <f t="shared" si="256"/>
        <v>69500</v>
      </c>
      <c r="AB288" s="1124">
        <f t="shared" si="256"/>
        <v>70900</v>
      </c>
      <c r="AC288" s="1124">
        <f t="shared" si="256"/>
        <v>72300</v>
      </c>
      <c r="AD288" s="1124">
        <f t="shared" si="256"/>
        <v>49000</v>
      </c>
      <c r="AE288" s="1124">
        <f t="shared" si="256"/>
        <v>50000</v>
      </c>
      <c r="AF288" s="1124">
        <f t="shared" si="256"/>
        <v>51000</v>
      </c>
      <c r="AG288" s="1124">
        <f t="shared" si="256"/>
        <v>52000</v>
      </c>
      <c r="AH288" s="1124">
        <f t="shared" si="256"/>
        <v>53000</v>
      </c>
      <c r="AI288" s="1124">
        <f t="shared" si="256"/>
        <v>54100</v>
      </c>
      <c r="AJ288" s="1124">
        <f t="shared" si="256"/>
        <v>0</v>
      </c>
      <c r="AK288" s="1124">
        <f t="shared" si="256"/>
        <v>0</v>
      </c>
      <c r="AL288" s="1124">
        <f t="shared" si="256"/>
        <v>0</v>
      </c>
      <c r="AM288" s="1124">
        <f t="shared" si="256"/>
        <v>0</v>
      </c>
      <c r="AN288" s="1124">
        <f t="shared" si="256"/>
        <v>0</v>
      </c>
      <c r="AO288" s="1124">
        <f t="shared" si="256"/>
        <v>0</v>
      </c>
      <c r="AP288" s="1124">
        <f t="shared" si="256"/>
        <v>0</v>
      </c>
      <c r="AQ288" s="1124">
        <f t="shared" si="256"/>
        <v>0</v>
      </c>
      <c r="AR288" s="1124">
        <f t="shared" si="256"/>
        <v>0</v>
      </c>
      <c r="AS288" s="1124">
        <f t="shared" si="256"/>
        <v>0</v>
      </c>
      <c r="AU288" s="78">
        <f>+Base!E288</f>
        <v>1516900</v>
      </c>
      <c r="AV288" s="81">
        <f t="shared" si="255"/>
        <v>0</v>
      </c>
      <c r="AW288" s="29"/>
    </row>
    <row r="289" spans="1:49" hidden="1">
      <c r="A289" s="1432" t="s">
        <v>639</v>
      </c>
      <c r="B289" s="354" t="s">
        <v>1509</v>
      </c>
      <c r="C289" s="3"/>
      <c r="E289" s="65">
        <f t="shared" si="253"/>
        <v>549600</v>
      </c>
      <c r="F289" s="31">
        <f t="shared" ref="F289:AS289" si="257">+F70</f>
        <v>20000</v>
      </c>
      <c r="G289" s="1124">
        <f t="shared" si="257"/>
        <v>35600</v>
      </c>
      <c r="H289" s="1124">
        <f t="shared" si="257"/>
        <v>21200</v>
      </c>
      <c r="I289" s="1124">
        <f t="shared" si="257"/>
        <v>21900</v>
      </c>
      <c r="J289" s="1124">
        <f t="shared" si="257"/>
        <v>22600</v>
      </c>
      <c r="K289" s="1124">
        <f t="shared" si="257"/>
        <v>23400</v>
      </c>
      <c r="L289" s="1124">
        <f t="shared" si="257"/>
        <v>24200</v>
      </c>
      <c r="M289" s="1124">
        <f t="shared" si="257"/>
        <v>25000</v>
      </c>
      <c r="N289" s="1124">
        <f t="shared" si="257"/>
        <v>25800</v>
      </c>
      <c r="O289" s="1124">
        <f t="shared" si="257"/>
        <v>12500</v>
      </c>
      <c r="P289" s="1124">
        <f t="shared" si="257"/>
        <v>12800</v>
      </c>
      <c r="Q289" s="1124">
        <f t="shared" si="257"/>
        <v>13100</v>
      </c>
      <c r="R289" s="1124">
        <f t="shared" si="257"/>
        <v>13400</v>
      </c>
      <c r="S289" s="1124">
        <f t="shared" si="257"/>
        <v>13700</v>
      </c>
      <c r="T289" s="1124">
        <f t="shared" si="257"/>
        <v>14100</v>
      </c>
      <c r="U289" s="1124">
        <f t="shared" si="257"/>
        <v>14500</v>
      </c>
      <c r="V289" s="1124">
        <f t="shared" si="257"/>
        <v>14900</v>
      </c>
      <c r="W289" s="1124">
        <f t="shared" si="257"/>
        <v>15300</v>
      </c>
      <c r="X289" s="1124">
        <f t="shared" si="257"/>
        <v>15700</v>
      </c>
      <c r="Y289" s="1124">
        <f t="shared" si="257"/>
        <v>16100</v>
      </c>
      <c r="Z289" s="1124">
        <f t="shared" si="257"/>
        <v>16500</v>
      </c>
      <c r="AA289" s="1124">
        <f t="shared" si="257"/>
        <v>16900</v>
      </c>
      <c r="AB289" s="1124">
        <f t="shared" si="257"/>
        <v>17300</v>
      </c>
      <c r="AC289" s="1124">
        <f t="shared" si="257"/>
        <v>17800</v>
      </c>
      <c r="AD289" s="1124">
        <f t="shared" si="257"/>
        <v>16300</v>
      </c>
      <c r="AE289" s="1124">
        <f t="shared" si="257"/>
        <v>16800</v>
      </c>
      <c r="AF289" s="1124">
        <f t="shared" si="257"/>
        <v>17300</v>
      </c>
      <c r="AG289" s="1124">
        <f t="shared" si="257"/>
        <v>17800</v>
      </c>
      <c r="AH289" s="1124">
        <f t="shared" si="257"/>
        <v>18300</v>
      </c>
      <c r="AI289" s="1124">
        <f t="shared" si="257"/>
        <v>18800</v>
      </c>
      <c r="AJ289" s="1124">
        <f t="shared" si="257"/>
        <v>0</v>
      </c>
      <c r="AK289" s="1124">
        <f t="shared" si="257"/>
        <v>0</v>
      </c>
      <c r="AL289" s="1124">
        <f t="shared" si="257"/>
        <v>0</v>
      </c>
      <c r="AM289" s="1124">
        <f t="shared" si="257"/>
        <v>0</v>
      </c>
      <c r="AN289" s="1124">
        <f t="shared" si="257"/>
        <v>0</v>
      </c>
      <c r="AO289" s="1124">
        <f t="shared" si="257"/>
        <v>0</v>
      </c>
      <c r="AP289" s="1124">
        <f t="shared" si="257"/>
        <v>0</v>
      </c>
      <c r="AQ289" s="1124">
        <f t="shared" si="257"/>
        <v>0</v>
      </c>
      <c r="AR289" s="1124">
        <f t="shared" si="257"/>
        <v>0</v>
      </c>
      <c r="AS289" s="1124">
        <f t="shared" si="257"/>
        <v>0</v>
      </c>
      <c r="AU289" s="78">
        <f>+Base!E289</f>
        <v>549600</v>
      </c>
      <c r="AV289" s="81">
        <f t="shared" si="255"/>
        <v>0</v>
      </c>
      <c r="AW289" s="29"/>
    </row>
    <row r="290" spans="1:49" hidden="1">
      <c r="A290" s="1432" t="s">
        <v>639</v>
      </c>
      <c r="B290" s="354" t="s">
        <v>536</v>
      </c>
      <c r="C290" s="3"/>
      <c r="E290" s="65">
        <f t="shared" si="253"/>
        <v>300000</v>
      </c>
      <c r="F290" s="31">
        <f t="shared" ref="F290:AS290" si="258">+F85+F137</f>
        <v>0</v>
      </c>
      <c r="G290" s="1124">
        <f t="shared" si="258"/>
        <v>0</v>
      </c>
      <c r="H290" s="1124">
        <f t="shared" si="258"/>
        <v>0</v>
      </c>
      <c r="I290" s="1124">
        <f t="shared" si="258"/>
        <v>0</v>
      </c>
      <c r="J290" s="1124">
        <f t="shared" si="258"/>
        <v>0</v>
      </c>
      <c r="K290" s="1124">
        <f t="shared" si="258"/>
        <v>0</v>
      </c>
      <c r="L290" s="1124">
        <f t="shared" si="258"/>
        <v>0</v>
      </c>
      <c r="M290" s="1124">
        <f t="shared" si="258"/>
        <v>0</v>
      </c>
      <c r="N290" s="1124">
        <f t="shared" si="258"/>
        <v>0</v>
      </c>
      <c r="O290" s="1124">
        <f t="shared" si="258"/>
        <v>-15000</v>
      </c>
      <c r="P290" s="1124">
        <f t="shared" si="258"/>
        <v>-95000</v>
      </c>
      <c r="Q290" s="1124">
        <f t="shared" si="258"/>
        <v>25000</v>
      </c>
      <c r="R290" s="1124">
        <f t="shared" si="258"/>
        <v>-35000</v>
      </c>
      <c r="S290" s="1124">
        <f t="shared" si="258"/>
        <v>-15000</v>
      </c>
      <c r="T290" s="1124">
        <f t="shared" si="258"/>
        <v>-100000</v>
      </c>
      <c r="U290" s="1124">
        <f t="shared" si="258"/>
        <v>60000</v>
      </c>
      <c r="V290" s="1124">
        <f t="shared" si="258"/>
        <v>0</v>
      </c>
      <c r="W290" s="1124">
        <f t="shared" si="258"/>
        <v>0</v>
      </c>
      <c r="X290" s="1124">
        <f t="shared" si="258"/>
        <v>-5000</v>
      </c>
      <c r="Y290" s="1124">
        <f t="shared" si="258"/>
        <v>-5000</v>
      </c>
      <c r="Z290" s="1124">
        <f t="shared" si="258"/>
        <v>-5000</v>
      </c>
      <c r="AA290" s="1124">
        <f t="shared" si="258"/>
        <v>-5000</v>
      </c>
      <c r="AB290" s="1124">
        <f t="shared" si="258"/>
        <v>395000</v>
      </c>
      <c r="AC290" s="1124">
        <f t="shared" si="258"/>
        <v>0</v>
      </c>
      <c r="AD290" s="1124">
        <f t="shared" si="258"/>
        <v>100000</v>
      </c>
      <c r="AE290" s="1124">
        <f t="shared" si="258"/>
        <v>0</v>
      </c>
      <c r="AF290" s="1124">
        <f t="shared" si="258"/>
        <v>0</v>
      </c>
      <c r="AG290" s="1124">
        <f t="shared" si="258"/>
        <v>0</v>
      </c>
      <c r="AH290" s="1124">
        <f t="shared" si="258"/>
        <v>0</v>
      </c>
      <c r="AI290" s="1124">
        <f t="shared" si="258"/>
        <v>0</v>
      </c>
      <c r="AJ290" s="1124">
        <f t="shared" si="258"/>
        <v>0</v>
      </c>
      <c r="AK290" s="1124">
        <f t="shared" si="258"/>
        <v>0</v>
      </c>
      <c r="AL290" s="1124">
        <f t="shared" si="258"/>
        <v>0</v>
      </c>
      <c r="AM290" s="1124">
        <f t="shared" si="258"/>
        <v>0</v>
      </c>
      <c r="AN290" s="1124">
        <f t="shared" si="258"/>
        <v>0</v>
      </c>
      <c r="AO290" s="1124">
        <f t="shared" si="258"/>
        <v>0</v>
      </c>
      <c r="AP290" s="1124">
        <f t="shared" si="258"/>
        <v>0</v>
      </c>
      <c r="AQ290" s="1124">
        <f t="shared" si="258"/>
        <v>0</v>
      </c>
      <c r="AR290" s="1124">
        <f t="shared" si="258"/>
        <v>0</v>
      </c>
      <c r="AS290" s="1124">
        <f t="shared" si="258"/>
        <v>0</v>
      </c>
      <c r="AU290" s="78">
        <f>+Base!E290</f>
        <v>300000</v>
      </c>
      <c r="AV290" s="81">
        <f t="shared" si="255"/>
        <v>0</v>
      </c>
      <c r="AW290" s="29"/>
    </row>
    <row r="291" spans="1:49" hidden="1">
      <c r="A291" s="1432" t="s">
        <v>639</v>
      </c>
      <c r="B291" s="1018" t="s">
        <v>1829</v>
      </c>
      <c r="C291" s="3"/>
      <c r="E291" s="65">
        <f t="shared" si="253"/>
        <v>0</v>
      </c>
      <c r="F291" s="31">
        <f>F74</f>
        <v>0</v>
      </c>
      <c r="G291" s="1124">
        <f t="shared" ref="G291:AS291" si="259">+G74</f>
        <v>0</v>
      </c>
      <c r="H291" s="1124">
        <f t="shared" si="259"/>
        <v>0</v>
      </c>
      <c r="I291" s="1124">
        <f t="shared" si="259"/>
        <v>0</v>
      </c>
      <c r="J291" s="1124">
        <f t="shared" si="259"/>
        <v>0</v>
      </c>
      <c r="K291" s="1124">
        <f t="shared" si="259"/>
        <v>0</v>
      </c>
      <c r="L291" s="1124">
        <f t="shared" si="259"/>
        <v>0</v>
      </c>
      <c r="M291" s="1124">
        <f t="shared" si="259"/>
        <v>0</v>
      </c>
      <c r="N291" s="1124">
        <f t="shared" si="259"/>
        <v>0</v>
      </c>
      <c r="O291" s="1124">
        <f t="shared" si="259"/>
        <v>0</v>
      </c>
      <c r="P291" s="1124">
        <f t="shared" si="259"/>
        <v>0</v>
      </c>
      <c r="Q291" s="1124">
        <f t="shared" si="259"/>
        <v>0</v>
      </c>
      <c r="R291" s="1124">
        <f t="shared" si="259"/>
        <v>0</v>
      </c>
      <c r="S291" s="1124">
        <f t="shared" si="259"/>
        <v>0</v>
      </c>
      <c r="T291" s="1124">
        <f t="shared" si="259"/>
        <v>0</v>
      </c>
      <c r="U291" s="1124">
        <f t="shared" si="259"/>
        <v>0</v>
      </c>
      <c r="V291" s="1124">
        <f t="shared" si="259"/>
        <v>0</v>
      </c>
      <c r="W291" s="1124">
        <f t="shared" si="259"/>
        <v>0</v>
      </c>
      <c r="X291" s="1124">
        <f t="shared" si="259"/>
        <v>0</v>
      </c>
      <c r="Y291" s="1124">
        <f t="shared" si="259"/>
        <v>0</v>
      </c>
      <c r="Z291" s="1124">
        <f t="shared" si="259"/>
        <v>0</v>
      </c>
      <c r="AA291" s="1124">
        <f t="shared" si="259"/>
        <v>0</v>
      </c>
      <c r="AB291" s="1124">
        <f t="shared" si="259"/>
        <v>0</v>
      </c>
      <c r="AC291" s="1124">
        <f t="shared" si="259"/>
        <v>0</v>
      </c>
      <c r="AD291" s="1124">
        <f t="shared" si="259"/>
        <v>0</v>
      </c>
      <c r="AE291" s="1124">
        <f t="shared" si="259"/>
        <v>0</v>
      </c>
      <c r="AF291" s="1124">
        <f t="shared" si="259"/>
        <v>0</v>
      </c>
      <c r="AG291" s="1124">
        <f t="shared" si="259"/>
        <v>0</v>
      </c>
      <c r="AH291" s="1124">
        <f t="shared" si="259"/>
        <v>0</v>
      </c>
      <c r="AI291" s="1124">
        <f t="shared" si="259"/>
        <v>0</v>
      </c>
      <c r="AJ291" s="1124">
        <f t="shared" si="259"/>
        <v>0</v>
      </c>
      <c r="AK291" s="1124">
        <f t="shared" si="259"/>
        <v>0</v>
      </c>
      <c r="AL291" s="1124">
        <f t="shared" si="259"/>
        <v>0</v>
      </c>
      <c r="AM291" s="1124">
        <f t="shared" si="259"/>
        <v>0</v>
      </c>
      <c r="AN291" s="1124">
        <f t="shared" si="259"/>
        <v>0</v>
      </c>
      <c r="AO291" s="1124">
        <f t="shared" si="259"/>
        <v>0</v>
      </c>
      <c r="AP291" s="1124">
        <f t="shared" si="259"/>
        <v>0</v>
      </c>
      <c r="AQ291" s="1124">
        <f t="shared" si="259"/>
        <v>0</v>
      </c>
      <c r="AR291" s="1124">
        <f t="shared" si="259"/>
        <v>0</v>
      </c>
      <c r="AS291" s="1124">
        <f t="shared" si="259"/>
        <v>0</v>
      </c>
      <c r="AU291" s="78">
        <f>+Base!E291</f>
        <v>0</v>
      </c>
      <c r="AV291" s="81">
        <f t="shared" ref="AV291" si="260">+E291-AU291</f>
        <v>0</v>
      </c>
      <c r="AW291" s="29"/>
    </row>
    <row r="292" spans="1:49" hidden="1">
      <c r="A292" s="1432" t="s">
        <v>639</v>
      </c>
      <c r="B292" s="633" t="s">
        <v>745</v>
      </c>
      <c r="C292" s="3"/>
      <c r="E292" s="65">
        <f t="shared" si="253"/>
        <v>402600</v>
      </c>
      <c r="F292" s="31">
        <f t="shared" ref="F292:AS292" si="261">-F91</f>
        <v>40000</v>
      </c>
      <c r="G292" s="1124">
        <f t="shared" si="261"/>
        <v>41200</v>
      </c>
      <c r="H292" s="1124">
        <f t="shared" si="261"/>
        <v>42400</v>
      </c>
      <c r="I292" s="1124">
        <f t="shared" si="261"/>
        <v>43700</v>
      </c>
      <c r="J292" s="1124">
        <f t="shared" si="261"/>
        <v>45000</v>
      </c>
      <c r="K292" s="1124">
        <f t="shared" si="261"/>
        <v>46400</v>
      </c>
      <c r="L292" s="1124">
        <f t="shared" si="261"/>
        <v>47800</v>
      </c>
      <c r="M292" s="1124">
        <f t="shared" si="261"/>
        <v>49200</v>
      </c>
      <c r="N292" s="1124">
        <f t="shared" si="261"/>
        <v>10000</v>
      </c>
      <c r="O292" s="1124">
        <f t="shared" si="261"/>
        <v>9000</v>
      </c>
      <c r="P292" s="1124">
        <f t="shared" si="261"/>
        <v>8100</v>
      </c>
      <c r="Q292" s="1124">
        <f t="shared" si="261"/>
        <v>7300</v>
      </c>
      <c r="R292" s="1124">
        <f t="shared" si="261"/>
        <v>6600</v>
      </c>
      <c r="S292" s="1124">
        <f t="shared" si="261"/>
        <v>5900</v>
      </c>
      <c r="T292" s="1124">
        <f t="shared" si="261"/>
        <v>0</v>
      </c>
      <c r="U292" s="1124">
        <f t="shared" si="261"/>
        <v>0</v>
      </c>
      <c r="V292" s="1124">
        <f t="shared" si="261"/>
        <v>0</v>
      </c>
      <c r="W292" s="1124">
        <f t="shared" si="261"/>
        <v>0</v>
      </c>
      <c r="X292" s="1124">
        <f t="shared" si="261"/>
        <v>0</v>
      </c>
      <c r="Y292" s="1124">
        <f t="shared" si="261"/>
        <v>0</v>
      </c>
      <c r="Z292" s="1124">
        <f t="shared" si="261"/>
        <v>0</v>
      </c>
      <c r="AA292" s="1124">
        <f t="shared" si="261"/>
        <v>0</v>
      </c>
      <c r="AB292" s="1124">
        <f t="shared" si="261"/>
        <v>0</v>
      </c>
      <c r="AC292" s="1124">
        <f t="shared" si="261"/>
        <v>0</v>
      </c>
      <c r="AD292" s="1124">
        <f t="shared" si="261"/>
        <v>0</v>
      </c>
      <c r="AE292" s="1124">
        <f t="shared" si="261"/>
        <v>0</v>
      </c>
      <c r="AF292" s="1124">
        <f t="shared" si="261"/>
        <v>0</v>
      </c>
      <c r="AG292" s="1124">
        <f t="shared" si="261"/>
        <v>0</v>
      </c>
      <c r="AH292" s="1124">
        <f t="shared" si="261"/>
        <v>0</v>
      </c>
      <c r="AI292" s="1124">
        <f t="shared" si="261"/>
        <v>0</v>
      </c>
      <c r="AJ292" s="1124">
        <f t="shared" si="261"/>
        <v>0</v>
      </c>
      <c r="AK292" s="1124">
        <f t="shared" si="261"/>
        <v>0</v>
      </c>
      <c r="AL292" s="1124">
        <f t="shared" si="261"/>
        <v>0</v>
      </c>
      <c r="AM292" s="1124">
        <f t="shared" si="261"/>
        <v>0</v>
      </c>
      <c r="AN292" s="1124">
        <f t="shared" si="261"/>
        <v>0</v>
      </c>
      <c r="AO292" s="1124">
        <f t="shared" si="261"/>
        <v>0</v>
      </c>
      <c r="AP292" s="1124">
        <f t="shared" si="261"/>
        <v>0</v>
      </c>
      <c r="AQ292" s="1124">
        <f t="shared" si="261"/>
        <v>0</v>
      </c>
      <c r="AR292" s="1124">
        <f t="shared" si="261"/>
        <v>0</v>
      </c>
      <c r="AS292" s="1124">
        <f t="shared" si="261"/>
        <v>0</v>
      </c>
      <c r="AU292" s="78">
        <f>+Base!E292</f>
        <v>402600</v>
      </c>
      <c r="AV292" s="81">
        <f t="shared" si="255"/>
        <v>0</v>
      </c>
      <c r="AW292" s="29"/>
    </row>
    <row r="293" spans="1:49" hidden="1">
      <c r="A293" s="1432" t="s">
        <v>639</v>
      </c>
      <c r="B293" s="633" t="s">
        <v>1641</v>
      </c>
      <c r="C293" s="3"/>
      <c r="E293" s="65">
        <f t="shared" si="253"/>
        <v>487400</v>
      </c>
      <c r="F293" s="31">
        <f t="shared" ref="F293:AS293" si="262">-F94</f>
        <v>0</v>
      </c>
      <c r="G293" s="1124">
        <f t="shared" si="262"/>
        <v>0</v>
      </c>
      <c r="H293" s="1124">
        <f t="shared" si="262"/>
        <v>0</v>
      </c>
      <c r="I293" s="1124">
        <f t="shared" si="262"/>
        <v>0</v>
      </c>
      <c r="J293" s="1124">
        <f t="shared" si="262"/>
        <v>0</v>
      </c>
      <c r="K293" s="1124">
        <f t="shared" si="262"/>
        <v>0</v>
      </c>
      <c r="L293" s="1124">
        <f t="shared" si="262"/>
        <v>0</v>
      </c>
      <c r="M293" s="1124">
        <f t="shared" si="262"/>
        <v>0</v>
      </c>
      <c r="N293" s="1124">
        <f t="shared" si="262"/>
        <v>0</v>
      </c>
      <c r="O293" s="1124">
        <f t="shared" si="262"/>
        <v>14500</v>
      </c>
      <c r="P293" s="1124">
        <f t="shared" si="262"/>
        <v>15000</v>
      </c>
      <c r="Q293" s="1124">
        <f t="shared" si="262"/>
        <v>15600</v>
      </c>
      <c r="R293" s="1124">
        <f t="shared" si="262"/>
        <v>16200</v>
      </c>
      <c r="S293" s="1124">
        <f t="shared" si="262"/>
        <v>16900</v>
      </c>
      <c r="T293" s="1124">
        <f t="shared" si="262"/>
        <v>17700</v>
      </c>
      <c r="U293" s="1124">
        <f t="shared" si="262"/>
        <v>18700</v>
      </c>
      <c r="V293" s="1124">
        <f t="shared" si="262"/>
        <v>19900</v>
      </c>
      <c r="W293" s="1124">
        <f t="shared" si="262"/>
        <v>21000</v>
      </c>
      <c r="X293" s="1124">
        <f t="shared" si="262"/>
        <v>22100</v>
      </c>
      <c r="Y293" s="1124">
        <f t="shared" si="262"/>
        <v>23100</v>
      </c>
      <c r="Z293" s="1124">
        <f t="shared" si="262"/>
        <v>24200</v>
      </c>
      <c r="AA293" s="1124">
        <f t="shared" si="262"/>
        <v>25300</v>
      </c>
      <c r="AB293" s="1124">
        <f t="shared" si="262"/>
        <v>26400</v>
      </c>
      <c r="AC293" s="1124">
        <f t="shared" si="262"/>
        <v>27300</v>
      </c>
      <c r="AD293" s="1124">
        <f t="shared" si="262"/>
        <v>28300</v>
      </c>
      <c r="AE293" s="1124">
        <f t="shared" si="262"/>
        <v>29300</v>
      </c>
      <c r="AF293" s="1124">
        <f t="shared" si="262"/>
        <v>30300</v>
      </c>
      <c r="AG293" s="1124">
        <f t="shared" si="262"/>
        <v>31200</v>
      </c>
      <c r="AH293" s="1124">
        <f t="shared" si="262"/>
        <v>31900</v>
      </c>
      <c r="AI293" s="1124">
        <f t="shared" si="262"/>
        <v>32500</v>
      </c>
      <c r="AJ293" s="1124">
        <f t="shared" si="262"/>
        <v>0</v>
      </c>
      <c r="AK293" s="1124">
        <f t="shared" si="262"/>
        <v>0</v>
      </c>
      <c r="AL293" s="1124">
        <f t="shared" si="262"/>
        <v>0</v>
      </c>
      <c r="AM293" s="1124">
        <f t="shared" si="262"/>
        <v>0</v>
      </c>
      <c r="AN293" s="1124">
        <f t="shared" si="262"/>
        <v>0</v>
      </c>
      <c r="AO293" s="1124">
        <f t="shared" si="262"/>
        <v>0</v>
      </c>
      <c r="AP293" s="1124">
        <f t="shared" si="262"/>
        <v>0</v>
      </c>
      <c r="AQ293" s="1124">
        <f t="shared" si="262"/>
        <v>0</v>
      </c>
      <c r="AR293" s="1124">
        <f t="shared" si="262"/>
        <v>0</v>
      </c>
      <c r="AS293" s="1124">
        <f t="shared" si="262"/>
        <v>0</v>
      </c>
      <c r="AU293" s="78">
        <f>+Base!E293</f>
        <v>487400</v>
      </c>
      <c r="AV293" s="81">
        <f t="shared" si="255"/>
        <v>0</v>
      </c>
      <c r="AW293" s="29"/>
    </row>
    <row r="294" spans="1:49" hidden="1">
      <c r="A294" s="1432" t="s">
        <v>639</v>
      </c>
      <c r="B294" s="1018" t="s">
        <v>1830</v>
      </c>
      <c r="C294" s="3"/>
      <c r="E294" s="65">
        <f t="shared" si="253"/>
        <v>-58500</v>
      </c>
      <c r="F294" s="31">
        <f t="shared" ref="F294:AS294" si="263">+F75</f>
        <v>-6500</v>
      </c>
      <c r="G294" s="1124">
        <f t="shared" si="263"/>
        <v>-6500</v>
      </c>
      <c r="H294" s="1124">
        <f t="shared" si="263"/>
        <v>-6500</v>
      </c>
      <c r="I294" s="1124">
        <f t="shared" si="263"/>
        <v>-6500</v>
      </c>
      <c r="J294" s="1124">
        <f t="shared" si="263"/>
        <v>-6500</v>
      </c>
      <c r="K294" s="1124">
        <f t="shared" si="263"/>
        <v>-6500</v>
      </c>
      <c r="L294" s="1124">
        <f t="shared" si="263"/>
        <v>-6500</v>
      </c>
      <c r="M294" s="1124">
        <f t="shared" si="263"/>
        <v>-6500</v>
      </c>
      <c r="N294" s="1124">
        <f t="shared" si="263"/>
        <v>-6500</v>
      </c>
      <c r="O294" s="1124">
        <f t="shared" si="263"/>
        <v>0</v>
      </c>
      <c r="P294" s="1124">
        <f t="shared" si="263"/>
        <v>0</v>
      </c>
      <c r="Q294" s="1124">
        <f t="shared" si="263"/>
        <v>0</v>
      </c>
      <c r="R294" s="1124">
        <f t="shared" si="263"/>
        <v>0</v>
      </c>
      <c r="S294" s="1124">
        <f t="shared" si="263"/>
        <v>0</v>
      </c>
      <c r="T294" s="1124">
        <f t="shared" si="263"/>
        <v>0</v>
      </c>
      <c r="U294" s="1124">
        <f t="shared" si="263"/>
        <v>0</v>
      </c>
      <c r="V294" s="1124">
        <f t="shared" si="263"/>
        <v>0</v>
      </c>
      <c r="W294" s="1124">
        <f t="shared" si="263"/>
        <v>0</v>
      </c>
      <c r="X294" s="1124">
        <f t="shared" si="263"/>
        <v>0</v>
      </c>
      <c r="Y294" s="1124">
        <f t="shared" si="263"/>
        <v>0</v>
      </c>
      <c r="Z294" s="1124">
        <f t="shared" si="263"/>
        <v>0</v>
      </c>
      <c r="AA294" s="1124">
        <f t="shared" si="263"/>
        <v>0</v>
      </c>
      <c r="AB294" s="1124">
        <f t="shared" si="263"/>
        <v>0</v>
      </c>
      <c r="AC294" s="1124">
        <f t="shared" si="263"/>
        <v>0</v>
      </c>
      <c r="AD294" s="1124">
        <f t="shared" si="263"/>
        <v>0</v>
      </c>
      <c r="AE294" s="1124">
        <f t="shared" si="263"/>
        <v>0</v>
      </c>
      <c r="AF294" s="1124">
        <f t="shared" si="263"/>
        <v>0</v>
      </c>
      <c r="AG294" s="1124">
        <f t="shared" si="263"/>
        <v>0</v>
      </c>
      <c r="AH294" s="1124">
        <f t="shared" si="263"/>
        <v>0</v>
      </c>
      <c r="AI294" s="1124">
        <f t="shared" si="263"/>
        <v>0</v>
      </c>
      <c r="AJ294" s="1124">
        <f t="shared" si="263"/>
        <v>0</v>
      </c>
      <c r="AK294" s="1124">
        <f t="shared" si="263"/>
        <v>0</v>
      </c>
      <c r="AL294" s="1124">
        <f t="shared" si="263"/>
        <v>0</v>
      </c>
      <c r="AM294" s="1124">
        <f t="shared" si="263"/>
        <v>0</v>
      </c>
      <c r="AN294" s="1124">
        <f t="shared" si="263"/>
        <v>0</v>
      </c>
      <c r="AO294" s="1124">
        <f t="shared" si="263"/>
        <v>0</v>
      </c>
      <c r="AP294" s="1124">
        <f t="shared" si="263"/>
        <v>0</v>
      </c>
      <c r="AQ294" s="1124">
        <f t="shared" si="263"/>
        <v>0</v>
      </c>
      <c r="AR294" s="1124">
        <f t="shared" si="263"/>
        <v>0</v>
      </c>
      <c r="AS294" s="1124">
        <f t="shared" si="263"/>
        <v>0</v>
      </c>
      <c r="AU294" s="78">
        <f>+Base!E294</f>
        <v>-58500</v>
      </c>
      <c r="AV294" s="81">
        <f t="shared" ref="AV294" si="264">+E294-AU294</f>
        <v>0</v>
      </c>
      <c r="AW294" s="29"/>
    </row>
    <row r="295" spans="1:49" hidden="1">
      <c r="A295" s="1432" t="s">
        <v>639</v>
      </c>
      <c r="B295" s="634" t="s">
        <v>746</v>
      </c>
      <c r="C295" s="3"/>
      <c r="E295" s="65">
        <f t="shared" si="253"/>
        <v>0</v>
      </c>
      <c r="F295" s="31">
        <f t="shared" ref="F295:AS295" si="265">-F99</f>
        <v>0</v>
      </c>
      <c r="G295" s="1124">
        <f t="shared" si="265"/>
        <v>0</v>
      </c>
      <c r="H295" s="1124">
        <f t="shared" si="265"/>
        <v>0</v>
      </c>
      <c r="I295" s="1124">
        <f t="shared" si="265"/>
        <v>0</v>
      </c>
      <c r="J295" s="1124">
        <f t="shared" si="265"/>
        <v>0</v>
      </c>
      <c r="K295" s="1124">
        <f t="shared" si="265"/>
        <v>0</v>
      </c>
      <c r="L295" s="1124">
        <f t="shared" si="265"/>
        <v>0</v>
      </c>
      <c r="M295" s="1124">
        <f t="shared" si="265"/>
        <v>0</v>
      </c>
      <c r="N295" s="1124">
        <f t="shared" si="265"/>
        <v>0</v>
      </c>
      <c r="O295" s="1124">
        <f t="shared" si="265"/>
        <v>0</v>
      </c>
      <c r="P295" s="1124">
        <f t="shared" si="265"/>
        <v>0</v>
      </c>
      <c r="Q295" s="1124">
        <f t="shared" si="265"/>
        <v>0</v>
      </c>
      <c r="R295" s="1124">
        <f t="shared" si="265"/>
        <v>0</v>
      </c>
      <c r="S295" s="1124">
        <f t="shared" si="265"/>
        <v>0</v>
      </c>
      <c r="T295" s="1124">
        <f t="shared" si="265"/>
        <v>0</v>
      </c>
      <c r="U295" s="1124">
        <f t="shared" si="265"/>
        <v>0</v>
      </c>
      <c r="V295" s="1124">
        <f t="shared" si="265"/>
        <v>0</v>
      </c>
      <c r="W295" s="1124">
        <f t="shared" si="265"/>
        <v>0</v>
      </c>
      <c r="X295" s="1124">
        <f t="shared" si="265"/>
        <v>0</v>
      </c>
      <c r="Y295" s="1124">
        <f t="shared" si="265"/>
        <v>0</v>
      </c>
      <c r="Z295" s="1124">
        <f t="shared" si="265"/>
        <v>0</v>
      </c>
      <c r="AA295" s="1124">
        <f t="shared" si="265"/>
        <v>0</v>
      </c>
      <c r="AB295" s="1124">
        <f t="shared" si="265"/>
        <v>0</v>
      </c>
      <c r="AC295" s="1124">
        <f t="shared" si="265"/>
        <v>0</v>
      </c>
      <c r="AD295" s="1124">
        <f t="shared" si="265"/>
        <v>0</v>
      </c>
      <c r="AE295" s="1124">
        <f t="shared" si="265"/>
        <v>0</v>
      </c>
      <c r="AF295" s="1124">
        <f t="shared" si="265"/>
        <v>0</v>
      </c>
      <c r="AG295" s="1124">
        <f t="shared" si="265"/>
        <v>0</v>
      </c>
      <c r="AH295" s="1124">
        <f t="shared" si="265"/>
        <v>0</v>
      </c>
      <c r="AI295" s="1124">
        <f t="shared" si="265"/>
        <v>0</v>
      </c>
      <c r="AJ295" s="1124">
        <f t="shared" si="265"/>
        <v>0</v>
      </c>
      <c r="AK295" s="1124">
        <f t="shared" si="265"/>
        <v>0</v>
      </c>
      <c r="AL295" s="1124">
        <f t="shared" si="265"/>
        <v>0</v>
      </c>
      <c r="AM295" s="1124">
        <f t="shared" si="265"/>
        <v>0</v>
      </c>
      <c r="AN295" s="1124">
        <f t="shared" si="265"/>
        <v>0</v>
      </c>
      <c r="AO295" s="1124">
        <f t="shared" si="265"/>
        <v>0</v>
      </c>
      <c r="AP295" s="1124">
        <f t="shared" si="265"/>
        <v>0</v>
      </c>
      <c r="AQ295" s="1124">
        <f t="shared" si="265"/>
        <v>0</v>
      </c>
      <c r="AR295" s="1124">
        <f t="shared" si="265"/>
        <v>0</v>
      </c>
      <c r="AS295" s="1124">
        <f t="shared" si="265"/>
        <v>0</v>
      </c>
      <c r="AU295" s="78">
        <f>+Base!E295</f>
        <v>0</v>
      </c>
      <c r="AV295" s="81">
        <f t="shared" si="255"/>
        <v>0</v>
      </c>
      <c r="AW295" s="29"/>
    </row>
    <row r="296" spans="1:49" hidden="1">
      <c r="A296" s="1432" t="s">
        <v>639</v>
      </c>
      <c r="B296" s="633" t="s">
        <v>349</v>
      </c>
      <c r="C296" s="3"/>
      <c r="E296" s="65">
        <f t="shared" si="253"/>
        <v>530400</v>
      </c>
      <c r="F296" s="31">
        <f t="shared" ref="F296:AS296" si="266">-F102</f>
        <v>0</v>
      </c>
      <c r="G296" s="1124">
        <f t="shared" si="266"/>
        <v>0</v>
      </c>
      <c r="H296" s="1124">
        <f t="shared" si="266"/>
        <v>0</v>
      </c>
      <c r="I296" s="1124">
        <f t="shared" si="266"/>
        <v>0</v>
      </c>
      <c r="J296" s="1124">
        <f t="shared" si="266"/>
        <v>0</v>
      </c>
      <c r="K296" s="1124">
        <f t="shared" si="266"/>
        <v>0</v>
      </c>
      <c r="L296" s="1124">
        <f t="shared" si="266"/>
        <v>0</v>
      </c>
      <c r="M296" s="1124">
        <f t="shared" si="266"/>
        <v>0</v>
      </c>
      <c r="N296" s="1124">
        <f t="shared" si="266"/>
        <v>0</v>
      </c>
      <c r="O296" s="1124">
        <f t="shared" si="266"/>
        <v>15000</v>
      </c>
      <c r="P296" s="1124">
        <f t="shared" si="266"/>
        <v>15900</v>
      </c>
      <c r="Q296" s="1124">
        <f t="shared" si="266"/>
        <v>16800</v>
      </c>
      <c r="R296" s="1124">
        <f t="shared" si="266"/>
        <v>17700</v>
      </c>
      <c r="S296" s="1124">
        <f t="shared" si="266"/>
        <v>18700</v>
      </c>
      <c r="T296" s="1124">
        <f t="shared" si="266"/>
        <v>19700</v>
      </c>
      <c r="U296" s="1124">
        <f t="shared" si="266"/>
        <v>20800</v>
      </c>
      <c r="V296" s="1124">
        <f t="shared" si="266"/>
        <v>21900</v>
      </c>
      <c r="W296" s="1124">
        <f t="shared" si="266"/>
        <v>23100</v>
      </c>
      <c r="X296" s="1124">
        <f t="shared" si="266"/>
        <v>24200</v>
      </c>
      <c r="Y296" s="1124">
        <f t="shared" si="266"/>
        <v>25300</v>
      </c>
      <c r="Z296" s="1124">
        <f t="shared" si="266"/>
        <v>26300</v>
      </c>
      <c r="AA296" s="1124">
        <f t="shared" si="266"/>
        <v>27500</v>
      </c>
      <c r="AB296" s="1124">
        <f t="shared" si="266"/>
        <v>28600</v>
      </c>
      <c r="AC296" s="1124">
        <f t="shared" si="266"/>
        <v>29800</v>
      </c>
      <c r="AD296" s="1124">
        <f t="shared" si="266"/>
        <v>30800</v>
      </c>
      <c r="AE296" s="1124">
        <f t="shared" si="266"/>
        <v>31800</v>
      </c>
      <c r="AF296" s="1124">
        <f t="shared" si="266"/>
        <v>32700</v>
      </c>
      <c r="AG296" s="1124">
        <f t="shared" si="266"/>
        <v>33700</v>
      </c>
      <c r="AH296" s="1124">
        <f t="shared" si="266"/>
        <v>34700</v>
      </c>
      <c r="AI296" s="1124">
        <f t="shared" si="266"/>
        <v>35400</v>
      </c>
      <c r="AJ296" s="1124">
        <f t="shared" si="266"/>
        <v>0</v>
      </c>
      <c r="AK296" s="1124">
        <f t="shared" si="266"/>
        <v>0</v>
      </c>
      <c r="AL296" s="1124">
        <f t="shared" si="266"/>
        <v>0</v>
      </c>
      <c r="AM296" s="1124">
        <f t="shared" si="266"/>
        <v>0</v>
      </c>
      <c r="AN296" s="1124">
        <f t="shared" si="266"/>
        <v>0</v>
      </c>
      <c r="AO296" s="1124">
        <f t="shared" si="266"/>
        <v>0</v>
      </c>
      <c r="AP296" s="1124">
        <f t="shared" si="266"/>
        <v>0</v>
      </c>
      <c r="AQ296" s="1124">
        <f t="shared" si="266"/>
        <v>0</v>
      </c>
      <c r="AR296" s="1124">
        <f t="shared" si="266"/>
        <v>0</v>
      </c>
      <c r="AS296" s="1124">
        <f t="shared" si="266"/>
        <v>0</v>
      </c>
      <c r="AU296" s="78">
        <f>+Base!E296</f>
        <v>530400</v>
      </c>
      <c r="AV296" s="81">
        <f t="shared" si="255"/>
        <v>0</v>
      </c>
      <c r="AW296" s="29"/>
    </row>
    <row r="297" spans="1:49" hidden="1">
      <c r="A297" s="1432" t="s">
        <v>639</v>
      </c>
      <c r="B297" s="634" t="s">
        <v>1181</v>
      </c>
      <c r="C297" s="3"/>
      <c r="E297" s="65">
        <f t="shared" si="253"/>
        <v>128700</v>
      </c>
      <c r="F297" s="31">
        <f t="shared" ref="F297:AS297" si="267">-F112</f>
        <v>0</v>
      </c>
      <c r="G297" s="1124">
        <f t="shared" si="267"/>
        <v>0</v>
      </c>
      <c r="H297" s="1124">
        <f t="shared" si="267"/>
        <v>0</v>
      </c>
      <c r="I297" s="1124">
        <f t="shared" si="267"/>
        <v>0</v>
      </c>
      <c r="J297" s="1124">
        <f t="shared" si="267"/>
        <v>0</v>
      </c>
      <c r="K297" s="1124">
        <f t="shared" si="267"/>
        <v>0</v>
      </c>
      <c r="L297" s="1124">
        <f t="shared" si="267"/>
        <v>0</v>
      </c>
      <c r="M297" s="1124">
        <f t="shared" si="267"/>
        <v>0</v>
      </c>
      <c r="N297" s="1124">
        <f t="shared" si="267"/>
        <v>0</v>
      </c>
      <c r="O297" s="1124">
        <f t="shared" si="267"/>
        <v>0</v>
      </c>
      <c r="P297" s="1124">
        <f t="shared" si="267"/>
        <v>0</v>
      </c>
      <c r="Q297" s="1124">
        <f t="shared" si="267"/>
        <v>0</v>
      </c>
      <c r="R297" s="1124">
        <f t="shared" si="267"/>
        <v>4100</v>
      </c>
      <c r="S297" s="1124">
        <f t="shared" si="267"/>
        <v>4300</v>
      </c>
      <c r="T297" s="1124">
        <f t="shared" si="267"/>
        <v>4600</v>
      </c>
      <c r="U297" s="1124">
        <f t="shared" si="267"/>
        <v>4800</v>
      </c>
      <c r="V297" s="1124">
        <f t="shared" si="267"/>
        <v>8300</v>
      </c>
      <c r="W297" s="1124">
        <f t="shared" si="267"/>
        <v>8400</v>
      </c>
      <c r="X297" s="1124">
        <f t="shared" si="267"/>
        <v>8400</v>
      </c>
      <c r="Y297" s="1124">
        <f t="shared" si="267"/>
        <v>8600</v>
      </c>
      <c r="Z297" s="1124">
        <f t="shared" si="267"/>
        <v>9100</v>
      </c>
      <c r="AA297" s="1124">
        <f t="shared" si="267"/>
        <v>9700</v>
      </c>
      <c r="AB297" s="1124">
        <f t="shared" si="267"/>
        <v>10300</v>
      </c>
      <c r="AC297" s="1124">
        <f t="shared" si="267"/>
        <v>10800</v>
      </c>
      <c r="AD297" s="1124">
        <f t="shared" si="267"/>
        <v>11500</v>
      </c>
      <c r="AE297" s="1124">
        <f t="shared" si="267"/>
        <v>12300</v>
      </c>
      <c r="AF297" s="1124">
        <f t="shared" si="267"/>
        <v>11500</v>
      </c>
      <c r="AG297" s="1124">
        <f t="shared" si="267"/>
        <v>2000</v>
      </c>
      <c r="AH297" s="1124">
        <f t="shared" si="267"/>
        <v>0</v>
      </c>
      <c r="AI297" s="1124">
        <f t="shared" si="267"/>
        <v>0</v>
      </c>
      <c r="AJ297" s="1124">
        <f t="shared" si="267"/>
        <v>0</v>
      </c>
      <c r="AK297" s="1124">
        <f t="shared" si="267"/>
        <v>0</v>
      </c>
      <c r="AL297" s="1124">
        <f t="shared" si="267"/>
        <v>0</v>
      </c>
      <c r="AM297" s="1124">
        <f t="shared" si="267"/>
        <v>0</v>
      </c>
      <c r="AN297" s="1124">
        <f t="shared" si="267"/>
        <v>0</v>
      </c>
      <c r="AO297" s="1124">
        <f t="shared" si="267"/>
        <v>0</v>
      </c>
      <c r="AP297" s="1124">
        <f t="shared" si="267"/>
        <v>0</v>
      </c>
      <c r="AQ297" s="1124">
        <f t="shared" si="267"/>
        <v>0</v>
      </c>
      <c r="AR297" s="1124">
        <f t="shared" si="267"/>
        <v>0</v>
      </c>
      <c r="AS297" s="1124">
        <f t="shared" si="267"/>
        <v>0</v>
      </c>
      <c r="AU297" s="78">
        <f>+Base!E297</f>
        <v>128700</v>
      </c>
      <c r="AV297" s="81">
        <f t="shared" si="255"/>
        <v>0</v>
      </c>
      <c r="AW297" s="29"/>
    </row>
    <row r="298" spans="1:49" hidden="1">
      <c r="A298" s="1432" t="s">
        <v>639</v>
      </c>
      <c r="B298" s="634" t="s">
        <v>259</v>
      </c>
      <c r="C298" s="3"/>
      <c r="E298" s="65">
        <f t="shared" si="253"/>
        <v>15300</v>
      </c>
      <c r="F298" s="31">
        <f t="shared" ref="F298:AS298" si="268">-F115</f>
        <v>0</v>
      </c>
      <c r="G298" s="1124">
        <f t="shared" si="268"/>
        <v>0</v>
      </c>
      <c r="H298" s="1124">
        <f t="shared" si="268"/>
        <v>0</v>
      </c>
      <c r="I298" s="1124">
        <f t="shared" si="268"/>
        <v>0</v>
      </c>
      <c r="J298" s="1124">
        <f t="shared" si="268"/>
        <v>0</v>
      </c>
      <c r="K298" s="1124">
        <f t="shared" si="268"/>
        <v>0</v>
      </c>
      <c r="L298" s="1124">
        <f t="shared" si="268"/>
        <v>0</v>
      </c>
      <c r="M298" s="1124">
        <f t="shared" si="268"/>
        <v>0</v>
      </c>
      <c r="N298" s="1124">
        <f t="shared" si="268"/>
        <v>0</v>
      </c>
      <c r="O298" s="1124">
        <f t="shared" si="268"/>
        <v>0</v>
      </c>
      <c r="P298" s="1124">
        <f t="shared" si="268"/>
        <v>0</v>
      </c>
      <c r="Q298" s="1124">
        <f t="shared" si="268"/>
        <v>0</v>
      </c>
      <c r="R298" s="1124">
        <f t="shared" si="268"/>
        <v>0</v>
      </c>
      <c r="S298" s="1124">
        <f t="shared" si="268"/>
        <v>0</v>
      </c>
      <c r="T298" s="1124">
        <f t="shared" si="268"/>
        <v>0</v>
      </c>
      <c r="U298" s="1124">
        <f t="shared" si="268"/>
        <v>4000</v>
      </c>
      <c r="V298" s="1124">
        <f t="shared" si="268"/>
        <v>5000</v>
      </c>
      <c r="W298" s="1124">
        <f t="shared" si="268"/>
        <v>5100</v>
      </c>
      <c r="X298" s="1124">
        <f t="shared" si="268"/>
        <v>1200</v>
      </c>
      <c r="Y298" s="1124">
        <f t="shared" si="268"/>
        <v>0</v>
      </c>
      <c r="Z298" s="1124">
        <f t="shared" si="268"/>
        <v>0</v>
      </c>
      <c r="AA298" s="1124">
        <f t="shared" si="268"/>
        <v>0</v>
      </c>
      <c r="AB298" s="1124">
        <f t="shared" si="268"/>
        <v>0</v>
      </c>
      <c r="AC298" s="1124">
        <f t="shared" si="268"/>
        <v>0</v>
      </c>
      <c r="AD298" s="1124">
        <f t="shared" si="268"/>
        <v>0</v>
      </c>
      <c r="AE298" s="1124">
        <f t="shared" si="268"/>
        <v>0</v>
      </c>
      <c r="AF298" s="1124">
        <f t="shared" si="268"/>
        <v>0</v>
      </c>
      <c r="AG298" s="1124">
        <f t="shared" si="268"/>
        <v>0</v>
      </c>
      <c r="AH298" s="1124">
        <f t="shared" si="268"/>
        <v>0</v>
      </c>
      <c r="AI298" s="1124">
        <f t="shared" si="268"/>
        <v>0</v>
      </c>
      <c r="AJ298" s="1124">
        <f t="shared" si="268"/>
        <v>0</v>
      </c>
      <c r="AK298" s="1124">
        <f t="shared" si="268"/>
        <v>0</v>
      </c>
      <c r="AL298" s="1124">
        <f t="shared" si="268"/>
        <v>0</v>
      </c>
      <c r="AM298" s="1124">
        <f t="shared" si="268"/>
        <v>0</v>
      </c>
      <c r="AN298" s="1124">
        <f t="shared" si="268"/>
        <v>0</v>
      </c>
      <c r="AO298" s="1124">
        <f t="shared" si="268"/>
        <v>0</v>
      </c>
      <c r="AP298" s="1124">
        <f t="shared" si="268"/>
        <v>0</v>
      </c>
      <c r="AQ298" s="1124">
        <f t="shared" si="268"/>
        <v>0</v>
      </c>
      <c r="AR298" s="1124">
        <f t="shared" si="268"/>
        <v>0</v>
      </c>
      <c r="AS298" s="1124">
        <f t="shared" si="268"/>
        <v>0</v>
      </c>
      <c r="AU298" s="78">
        <f>+Base!E298</f>
        <v>15300</v>
      </c>
      <c r="AV298" s="81">
        <f t="shared" si="255"/>
        <v>0</v>
      </c>
      <c r="AW298" s="29"/>
    </row>
    <row r="299" spans="1:49" hidden="1">
      <c r="A299" s="1432" t="s">
        <v>639</v>
      </c>
      <c r="B299" s="539" t="s">
        <v>2097</v>
      </c>
      <c r="C299" s="3"/>
      <c r="E299" s="65">
        <f t="shared" si="253"/>
        <v>50800</v>
      </c>
      <c r="F299" s="31">
        <f t="shared" ref="F299:AS299" si="269">-F125</f>
        <v>0</v>
      </c>
      <c r="G299" s="1124">
        <f t="shared" si="269"/>
        <v>0</v>
      </c>
      <c r="H299" s="1124">
        <f t="shared" si="269"/>
        <v>0</v>
      </c>
      <c r="I299" s="1124">
        <f t="shared" si="269"/>
        <v>0</v>
      </c>
      <c r="J299" s="1124">
        <f t="shared" si="269"/>
        <v>0</v>
      </c>
      <c r="K299" s="1124">
        <f t="shared" si="269"/>
        <v>0</v>
      </c>
      <c r="L299" s="1124">
        <f t="shared" si="269"/>
        <v>0</v>
      </c>
      <c r="M299" s="1124">
        <f t="shared" si="269"/>
        <v>0</v>
      </c>
      <c r="N299" s="1124">
        <f t="shared" si="269"/>
        <v>5000</v>
      </c>
      <c r="O299" s="1124">
        <f t="shared" si="269"/>
        <v>5500</v>
      </c>
      <c r="P299" s="1124">
        <f t="shared" si="269"/>
        <v>6100</v>
      </c>
      <c r="Q299" s="1124">
        <f t="shared" si="269"/>
        <v>6700</v>
      </c>
      <c r="R299" s="1124">
        <f t="shared" si="269"/>
        <v>7400</v>
      </c>
      <c r="S299" s="1124">
        <f t="shared" si="269"/>
        <v>8100</v>
      </c>
      <c r="T299" s="1124">
        <f t="shared" si="269"/>
        <v>0</v>
      </c>
      <c r="U299" s="1124">
        <f t="shared" si="269"/>
        <v>0</v>
      </c>
      <c r="V299" s="1124">
        <f t="shared" si="269"/>
        <v>0</v>
      </c>
      <c r="W299" s="1124">
        <f t="shared" si="269"/>
        <v>0</v>
      </c>
      <c r="X299" s="1124">
        <f t="shared" si="269"/>
        <v>1000</v>
      </c>
      <c r="Y299" s="1124">
        <f t="shared" si="269"/>
        <v>1000</v>
      </c>
      <c r="Z299" s="1124">
        <f t="shared" si="269"/>
        <v>1000</v>
      </c>
      <c r="AA299" s="1124">
        <f t="shared" si="269"/>
        <v>1000</v>
      </c>
      <c r="AB299" s="1124">
        <f t="shared" si="269"/>
        <v>1000</v>
      </c>
      <c r="AC299" s="1124">
        <f t="shared" si="269"/>
        <v>1000</v>
      </c>
      <c r="AD299" s="1124">
        <f t="shared" si="269"/>
        <v>1000</v>
      </c>
      <c r="AE299" s="1124">
        <f t="shared" si="269"/>
        <v>1000</v>
      </c>
      <c r="AF299" s="1124">
        <f t="shared" si="269"/>
        <v>1000</v>
      </c>
      <c r="AG299" s="1124">
        <f t="shared" si="269"/>
        <v>1000</v>
      </c>
      <c r="AH299" s="1124">
        <f t="shared" si="269"/>
        <v>1000</v>
      </c>
      <c r="AI299" s="1124">
        <f t="shared" si="269"/>
        <v>1000</v>
      </c>
      <c r="AJ299" s="1124">
        <f t="shared" si="269"/>
        <v>0</v>
      </c>
      <c r="AK299" s="1124">
        <f t="shared" si="269"/>
        <v>0</v>
      </c>
      <c r="AL299" s="1124">
        <f t="shared" si="269"/>
        <v>0</v>
      </c>
      <c r="AM299" s="1124">
        <f t="shared" si="269"/>
        <v>0</v>
      </c>
      <c r="AN299" s="1124">
        <f t="shared" si="269"/>
        <v>0</v>
      </c>
      <c r="AO299" s="1124">
        <f t="shared" si="269"/>
        <v>0</v>
      </c>
      <c r="AP299" s="1124">
        <f t="shared" si="269"/>
        <v>0</v>
      </c>
      <c r="AQ299" s="1124">
        <f t="shared" si="269"/>
        <v>0</v>
      </c>
      <c r="AR299" s="1124">
        <f t="shared" si="269"/>
        <v>0</v>
      </c>
      <c r="AS299" s="1124">
        <f t="shared" si="269"/>
        <v>0</v>
      </c>
      <c r="AU299" s="78">
        <f>+Base!E299</f>
        <v>50800</v>
      </c>
      <c r="AV299" s="81">
        <f t="shared" si="255"/>
        <v>0</v>
      </c>
      <c r="AW299" s="29"/>
    </row>
    <row r="300" spans="1:49" hidden="1">
      <c r="A300" s="1432" t="s">
        <v>639</v>
      </c>
      <c r="B300" s="524" t="s">
        <v>1687</v>
      </c>
      <c r="C300" s="3"/>
      <c r="E300" s="65">
        <f t="shared" si="253"/>
        <v>0</v>
      </c>
      <c r="F300" s="31">
        <f t="shared" ref="F300:AS300" si="270">-F134</f>
        <v>0</v>
      </c>
      <c r="G300" s="1124">
        <f t="shared" si="270"/>
        <v>0</v>
      </c>
      <c r="H300" s="1124">
        <f t="shared" si="270"/>
        <v>0</v>
      </c>
      <c r="I300" s="1124">
        <f t="shared" si="270"/>
        <v>0</v>
      </c>
      <c r="J300" s="1124">
        <f t="shared" si="270"/>
        <v>0</v>
      </c>
      <c r="K300" s="1124">
        <f t="shared" si="270"/>
        <v>0</v>
      </c>
      <c r="L300" s="1124">
        <f t="shared" si="270"/>
        <v>0</v>
      </c>
      <c r="M300" s="1124">
        <f t="shared" si="270"/>
        <v>0</v>
      </c>
      <c r="N300" s="1124">
        <f t="shared" si="270"/>
        <v>0</v>
      </c>
      <c r="O300" s="1124">
        <f t="shared" si="270"/>
        <v>0</v>
      </c>
      <c r="P300" s="1124">
        <f t="shared" si="270"/>
        <v>0</v>
      </c>
      <c r="Q300" s="1124">
        <f t="shared" si="270"/>
        <v>0</v>
      </c>
      <c r="R300" s="1124">
        <f t="shared" si="270"/>
        <v>0</v>
      </c>
      <c r="S300" s="1124">
        <f t="shared" si="270"/>
        <v>0</v>
      </c>
      <c r="T300" s="1124">
        <f t="shared" si="270"/>
        <v>0</v>
      </c>
      <c r="U300" s="1124">
        <f t="shared" si="270"/>
        <v>0</v>
      </c>
      <c r="V300" s="1124">
        <f t="shared" si="270"/>
        <v>0</v>
      </c>
      <c r="W300" s="1124">
        <f t="shared" si="270"/>
        <v>0</v>
      </c>
      <c r="X300" s="1124">
        <f t="shared" si="270"/>
        <v>0</v>
      </c>
      <c r="Y300" s="1124">
        <f t="shared" si="270"/>
        <v>0</v>
      </c>
      <c r="Z300" s="1124">
        <f t="shared" si="270"/>
        <v>0</v>
      </c>
      <c r="AA300" s="1124">
        <f t="shared" si="270"/>
        <v>0</v>
      </c>
      <c r="AB300" s="1124">
        <f t="shared" si="270"/>
        <v>0</v>
      </c>
      <c r="AC300" s="1124">
        <f t="shared" si="270"/>
        <v>0</v>
      </c>
      <c r="AD300" s="1124">
        <f t="shared" si="270"/>
        <v>0</v>
      </c>
      <c r="AE300" s="1124">
        <f t="shared" si="270"/>
        <v>0</v>
      </c>
      <c r="AF300" s="1124">
        <f t="shared" si="270"/>
        <v>0</v>
      </c>
      <c r="AG300" s="1124">
        <f t="shared" si="270"/>
        <v>0</v>
      </c>
      <c r="AH300" s="1124">
        <f t="shared" si="270"/>
        <v>0</v>
      </c>
      <c r="AI300" s="1124">
        <f t="shared" si="270"/>
        <v>0</v>
      </c>
      <c r="AJ300" s="1124">
        <f t="shared" si="270"/>
        <v>0</v>
      </c>
      <c r="AK300" s="1124">
        <f t="shared" si="270"/>
        <v>0</v>
      </c>
      <c r="AL300" s="1124">
        <f t="shared" si="270"/>
        <v>0</v>
      </c>
      <c r="AM300" s="1124">
        <f t="shared" si="270"/>
        <v>0</v>
      </c>
      <c r="AN300" s="1124">
        <f t="shared" si="270"/>
        <v>0</v>
      </c>
      <c r="AO300" s="1124">
        <f t="shared" si="270"/>
        <v>0</v>
      </c>
      <c r="AP300" s="1124">
        <f t="shared" si="270"/>
        <v>0</v>
      </c>
      <c r="AQ300" s="1124">
        <f t="shared" si="270"/>
        <v>0</v>
      </c>
      <c r="AR300" s="1124">
        <f t="shared" si="270"/>
        <v>0</v>
      </c>
      <c r="AS300" s="1124">
        <f t="shared" si="270"/>
        <v>0</v>
      </c>
      <c r="AU300" s="78">
        <f>+Base!E300</f>
        <v>0</v>
      </c>
      <c r="AV300" s="81">
        <f t="shared" si="255"/>
        <v>0</v>
      </c>
      <c r="AW300" s="29"/>
    </row>
    <row r="301" spans="1:49" hidden="1">
      <c r="A301" s="1432" t="s">
        <v>639</v>
      </c>
      <c r="B301" s="633" t="s">
        <v>1319</v>
      </c>
      <c r="C301" s="3"/>
      <c r="E301" s="65">
        <f t="shared" si="253"/>
        <v>-3104300</v>
      </c>
      <c r="F301" s="31">
        <f t="shared" ref="F301:AS301" si="271">-F144</f>
        <v>-70000</v>
      </c>
      <c r="G301" s="1124">
        <f t="shared" si="271"/>
        <v>-71400</v>
      </c>
      <c r="H301" s="1124">
        <f t="shared" si="271"/>
        <v>-72800</v>
      </c>
      <c r="I301" s="1124">
        <f t="shared" si="271"/>
        <v>-74300</v>
      </c>
      <c r="J301" s="1124">
        <f t="shared" si="271"/>
        <v>-75800</v>
      </c>
      <c r="K301" s="1124">
        <f t="shared" si="271"/>
        <v>-77300</v>
      </c>
      <c r="L301" s="1124">
        <f t="shared" si="271"/>
        <v>-78800</v>
      </c>
      <c r="M301" s="1124">
        <f t="shared" si="271"/>
        <v>-80400</v>
      </c>
      <c r="N301" s="1124">
        <f t="shared" si="271"/>
        <v>-82000</v>
      </c>
      <c r="O301" s="1124">
        <f t="shared" si="271"/>
        <v>-83600</v>
      </c>
      <c r="P301" s="1124">
        <f t="shared" si="271"/>
        <v>-85300</v>
      </c>
      <c r="Q301" s="1124">
        <f t="shared" si="271"/>
        <v>-87000</v>
      </c>
      <c r="R301" s="1124">
        <f t="shared" si="271"/>
        <v>-88700</v>
      </c>
      <c r="S301" s="1124">
        <f t="shared" si="271"/>
        <v>-90500</v>
      </c>
      <c r="T301" s="1124">
        <f t="shared" si="271"/>
        <v>-92300</v>
      </c>
      <c r="U301" s="1124">
        <f t="shared" si="271"/>
        <v>-94100</v>
      </c>
      <c r="V301" s="1124">
        <f t="shared" si="271"/>
        <v>-96000</v>
      </c>
      <c r="W301" s="1124">
        <f t="shared" si="271"/>
        <v>-97900</v>
      </c>
      <c r="X301" s="1124">
        <f t="shared" si="271"/>
        <v>-119800</v>
      </c>
      <c r="Y301" s="1124">
        <f t="shared" si="271"/>
        <v>-122200</v>
      </c>
      <c r="Z301" s="1124">
        <f t="shared" si="271"/>
        <v>-124600</v>
      </c>
      <c r="AA301" s="1124">
        <f t="shared" si="271"/>
        <v>-127100</v>
      </c>
      <c r="AB301" s="1124">
        <f t="shared" si="271"/>
        <v>-129600</v>
      </c>
      <c r="AC301" s="1124">
        <f t="shared" si="271"/>
        <v>-132200</v>
      </c>
      <c r="AD301" s="1124">
        <f t="shared" si="271"/>
        <v>-134800</v>
      </c>
      <c r="AE301" s="1124">
        <f t="shared" si="271"/>
        <v>-137500</v>
      </c>
      <c r="AF301" s="1124">
        <f t="shared" si="271"/>
        <v>-140300</v>
      </c>
      <c r="AG301" s="1124">
        <f t="shared" si="271"/>
        <v>-143100</v>
      </c>
      <c r="AH301" s="1124">
        <f t="shared" si="271"/>
        <v>-146000</v>
      </c>
      <c r="AI301" s="1124">
        <f t="shared" si="271"/>
        <v>-148900</v>
      </c>
      <c r="AJ301" s="1124">
        <f t="shared" si="271"/>
        <v>0</v>
      </c>
      <c r="AK301" s="1124">
        <f t="shared" si="271"/>
        <v>0</v>
      </c>
      <c r="AL301" s="1124">
        <f t="shared" si="271"/>
        <v>0</v>
      </c>
      <c r="AM301" s="1124">
        <f t="shared" si="271"/>
        <v>0</v>
      </c>
      <c r="AN301" s="1124">
        <f t="shared" si="271"/>
        <v>0</v>
      </c>
      <c r="AO301" s="1124">
        <f t="shared" si="271"/>
        <v>0</v>
      </c>
      <c r="AP301" s="1124">
        <f t="shared" si="271"/>
        <v>0</v>
      </c>
      <c r="AQ301" s="1124">
        <f t="shared" si="271"/>
        <v>0</v>
      </c>
      <c r="AR301" s="1124">
        <f t="shared" si="271"/>
        <v>0</v>
      </c>
      <c r="AS301" s="1124">
        <f t="shared" si="271"/>
        <v>0</v>
      </c>
      <c r="AU301" s="78">
        <f>+Base!E301</f>
        <v>-3104300</v>
      </c>
      <c r="AV301" s="81">
        <f t="shared" si="255"/>
        <v>0</v>
      </c>
      <c r="AW301" s="29"/>
    </row>
    <row r="302" spans="1:49" hidden="1">
      <c r="A302" s="1432" t="s">
        <v>639</v>
      </c>
      <c r="B302" s="72" t="s">
        <v>1688</v>
      </c>
      <c r="C302" s="3"/>
      <c r="D302" s="504" t="s">
        <v>1534</v>
      </c>
      <c r="E302" s="635">
        <f t="shared" si="253"/>
        <v>-344100</v>
      </c>
      <c r="F302" s="38"/>
      <c r="G302" s="1125">
        <f>IF(Your_Age+Total_Years&lt;=Details!G$4,0,-F145)</f>
        <v>-5000</v>
      </c>
      <c r="H302" s="1125">
        <f>IF(Your_Age+Total_Years&lt;=Details!H$4,0,-G145)</f>
        <v>-7400</v>
      </c>
      <c r="I302" s="1125">
        <f>IF(Your_Age+Total_Years&lt;=Details!I$4,0,-H145)</f>
        <v>-5000</v>
      </c>
      <c r="J302" s="1125">
        <f>IF(Your_Age+Total_Years&lt;=Details!J$4,0,-I145)</f>
        <v>-5100</v>
      </c>
      <c r="K302" s="1125">
        <f>IF(Your_Age+Total_Years&lt;=Details!K$4,0,-J145)</f>
        <v>-5200</v>
      </c>
      <c r="L302" s="1125">
        <f>IF(Your_Age+Total_Years&lt;=Details!L$4,0,-K145)</f>
        <v>-7600</v>
      </c>
      <c r="M302" s="1125">
        <f>IF(Your_Age+Total_Years&lt;=Details!M$4,0,-L145)</f>
        <v>-7600</v>
      </c>
      <c r="N302" s="1125">
        <f>IF(Your_Age+Total_Years&lt;=Details!N$4,0,-M145)</f>
        <v>-9100</v>
      </c>
      <c r="O302" s="1125">
        <f>IF(Your_Age+Total_Years&lt;=Details!O$4,0,-N145)</f>
        <v>-4700</v>
      </c>
      <c r="P302" s="1125">
        <f>IF(Your_Age+Total_Years&lt;=Details!P$4,0,-O145)</f>
        <v>-4800</v>
      </c>
      <c r="Q302" s="1125">
        <f>IF(Your_Age+Total_Years&lt;=Details!Q$4,0,-P145)</f>
        <v>-4900</v>
      </c>
      <c r="R302" s="1125">
        <f>IF(Your_Age+Total_Years&lt;=Details!R$4,0,-Q145)</f>
        <v>-5300</v>
      </c>
      <c r="S302" s="1125">
        <f>IF(Your_Age+Total_Years&lt;=Details!S$4,0,-R145)</f>
        <v>-6800</v>
      </c>
      <c r="T302" s="1125">
        <f>IF(Your_Age+Total_Years&lt;=Details!T$4,0,-S145)</f>
        <v>-7300</v>
      </c>
      <c r="U302" s="1125">
        <f>IF(Your_Age+Total_Years&lt;=Details!U$4,0,-T145)</f>
        <v>-10700</v>
      </c>
      <c r="V302" s="1125">
        <f>IF(Your_Age+Total_Years&lt;=Details!V$4,0,-U145)</f>
        <v>-12600</v>
      </c>
      <c r="W302" s="1125">
        <f>IF(Your_Age+Total_Years&lt;=Details!W$4,0,-V145)</f>
        <v>-12300</v>
      </c>
      <c r="X302" s="1125">
        <f>IF(Your_Age+Total_Years&lt;=Details!X$4,0,-W145)</f>
        <v>-12700</v>
      </c>
      <c r="Y302" s="1125">
        <f>IF(Your_Age+Total_Years&lt;=Details!Y$4,0,-X145)</f>
        <v>-11700</v>
      </c>
      <c r="Z302" s="1125">
        <f>IF(Your_Age+Total_Years&lt;=Details!Z$4,0,-Y145)</f>
        <v>-11900</v>
      </c>
      <c r="AA302" s="1125">
        <f>IF(Your_Age+Total_Years&lt;=Details!AA$4,0,-Z145)</f>
        <v>-12400</v>
      </c>
      <c r="AB302" s="1125">
        <f>IF(Your_Age+Total_Years&lt;=Details!AB$4,0,-AA145)</f>
        <v>-13100</v>
      </c>
      <c r="AC302" s="1125">
        <f>IF(Your_Age+Total_Years&lt;=Details!AC$4,0,-AB145)</f>
        <v>-17900</v>
      </c>
      <c r="AD302" s="1125">
        <f>IF(Your_Age+Total_Years&lt;=Details!AD$4,0,-AC145)</f>
        <v>-19600</v>
      </c>
      <c r="AE302" s="1125">
        <f>IF(Your_Age+Total_Years&lt;=Details!AE$4,0,-AD145)</f>
        <v>-24500</v>
      </c>
      <c r="AF302" s="1125">
        <f>IF(Your_Age+Total_Years&lt;=Details!AF$4,0,-AE145)</f>
        <v>-25500</v>
      </c>
      <c r="AG302" s="1125">
        <f>IF(Your_Age+Total_Years&lt;=Details!AG$4,0,-AF145)</f>
        <v>-25900</v>
      </c>
      <c r="AH302" s="1125">
        <f>IF(Your_Age+Total_Years&lt;=Details!AH$4,0,-AG145)</f>
        <v>-23800</v>
      </c>
      <c r="AI302" s="1125">
        <f>IF(Your_Age+Total_Years&lt;=Details!AI$4,0,-AH145)</f>
        <v>-23700</v>
      </c>
      <c r="AJ302" s="1125">
        <f>IF(Your_Age+Total_Years&lt;=Details!AJ$4,0,-AI145)</f>
        <v>0</v>
      </c>
      <c r="AK302" s="1125">
        <f>IF(Your_Age+Total_Years&lt;=Details!AK$4,0,-AJ145)</f>
        <v>0</v>
      </c>
      <c r="AL302" s="1125">
        <f>IF(Your_Age+Total_Years&lt;=Details!AL$4,0,-AK145)</f>
        <v>0</v>
      </c>
      <c r="AM302" s="1125">
        <f>IF(Your_Age+Total_Years&lt;=Details!AM$4,0,-AL145)</f>
        <v>0</v>
      </c>
      <c r="AN302" s="1125">
        <f>IF(Your_Age+Total_Years&lt;=Details!AN$4,0,-AM145)</f>
        <v>0</v>
      </c>
      <c r="AO302" s="1125">
        <f>IF(Your_Age+Total_Years&lt;=Details!AO$4,0,-AN145)</f>
        <v>0</v>
      </c>
      <c r="AP302" s="1125">
        <f>IF(Your_Age+Total_Years&lt;=Details!AP$4,0,-AO145)</f>
        <v>0</v>
      </c>
      <c r="AQ302" s="1125">
        <f>IF(Your_Age+Total_Years&lt;=Details!AQ$4,0,-AP145)</f>
        <v>0</v>
      </c>
      <c r="AR302" s="1125">
        <f>IF(Your_Age+Total_Years&lt;=Details!AR$4,0,-AQ145)</f>
        <v>0</v>
      </c>
      <c r="AS302" s="1125">
        <f>IF(Your_Age+Total_Years&lt;=Details!AS$4,0,-AR145)</f>
        <v>0</v>
      </c>
      <c r="AU302" s="82">
        <f>+Base!E302</f>
        <v>-344100</v>
      </c>
      <c r="AV302" s="83">
        <f t="shared" si="255"/>
        <v>0</v>
      </c>
      <c r="AW302" s="29"/>
    </row>
    <row r="303" spans="1:49" hidden="1">
      <c r="A303" s="1432" t="s">
        <v>639</v>
      </c>
      <c r="B303" s="234" t="s">
        <v>1689</v>
      </c>
      <c r="C303" s="3"/>
      <c r="D303" s="29">
        <f>IF(Your_Age+Total_Years&lt;=Details!D$5,0,+D28+D61+D70+D85-D91-#REF!-#REF!-#REF!-D112-D115-D121-D134-D142-C145)</f>
        <v>0</v>
      </c>
      <c r="E303" s="65">
        <f>SUM(F303:AS303)</f>
        <v>1225100</v>
      </c>
      <c r="F303" s="65">
        <f>SUM(F287:F302)</f>
        <v>-6700</v>
      </c>
      <c r="G303" s="1124">
        <f t="shared" ref="G303:AS303" si="272">SUM(G287:G302)</f>
        <v>3400</v>
      </c>
      <c r="H303" s="1124">
        <f t="shared" si="272"/>
        <v>-14000</v>
      </c>
      <c r="I303" s="1124">
        <f t="shared" si="272"/>
        <v>-11700</v>
      </c>
      <c r="J303" s="1124">
        <f t="shared" si="272"/>
        <v>-12000</v>
      </c>
      <c r="K303" s="1124">
        <f t="shared" si="272"/>
        <v>10700</v>
      </c>
      <c r="L303" s="1124">
        <f t="shared" si="272"/>
        <v>9800</v>
      </c>
      <c r="M303" s="1124">
        <f t="shared" si="272"/>
        <v>11400</v>
      </c>
      <c r="N303" s="1124">
        <f t="shared" si="272"/>
        <v>22600</v>
      </c>
      <c r="O303" s="1124">
        <f t="shared" si="272"/>
        <v>35400</v>
      </c>
      <c r="P303" s="1124">
        <f t="shared" si="272"/>
        <v>-43800</v>
      </c>
      <c r="Q303" s="1124">
        <f t="shared" si="272"/>
        <v>78300</v>
      </c>
      <c r="R303" s="1124">
        <f t="shared" si="272"/>
        <v>26100</v>
      </c>
      <c r="S303" s="1124">
        <f t="shared" si="272"/>
        <v>48300</v>
      </c>
      <c r="T303" s="1124">
        <f t="shared" si="272"/>
        <v>-48800</v>
      </c>
      <c r="U303" s="1124">
        <f t="shared" si="272"/>
        <v>116200</v>
      </c>
      <c r="V303" s="1124">
        <f t="shared" si="272"/>
        <v>46800</v>
      </c>
      <c r="W303" s="1124">
        <f t="shared" si="272"/>
        <v>52100</v>
      </c>
      <c r="X303" s="1124">
        <f t="shared" si="272"/>
        <v>23300</v>
      </c>
      <c r="Y303" s="1124">
        <f t="shared" si="272"/>
        <v>26000</v>
      </c>
      <c r="Z303" s="1124">
        <f t="shared" si="272"/>
        <v>29200</v>
      </c>
      <c r="AA303" s="1124">
        <f t="shared" si="272"/>
        <v>32500</v>
      </c>
      <c r="AB303" s="1124">
        <f t="shared" si="272"/>
        <v>443800</v>
      </c>
      <c r="AC303" s="1124">
        <f t="shared" si="272"/>
        <v>56200</v>
      </c>
      <c r="AD303" s="1124">
        <f t="shared" si="272"/>
        <v>134000</v>
      </c>
      <c r="AE303" s="1124">
        <f t="shared" si="272"/>
        <v>34300</v>
      </c>
      <c r="AF303" s="1124">
        <f t="shared" si="272"/>
        <v>34800</v>
      </c>
      <c r="AG303" s="1124">
        <f t="shared" si="272"/>
        <v>27100</v>
      </c>
      <c r="AH303" s="1124">
        <f t="shared" si="272"/>
        <v>29100</v>
      </c>
      <c r="AI303" s="1124">
        <f t="shared" si="272"/>
        <v>30700</v>
      </c>
      <c r="AJ303" s="1124">
        <f t="shared" si="272"/>
        <v>0</v>
      </c>
      <c r="AK303" s="1124">
        <f t="shared" si="272"/>
        <v>0</v>
      </c>
      <c r="AL303" s="1124">
        <f t="shared" si="272"/>
        <v>0</v>
      </c>
      <c r="AM303" s="1124">
        <f t="shared" si="272"/>
        <v>0</v>
      </c>
      <c r="AN303" s="1124">
        <f t="shared" si="272"/>
        <v>0</v>
      </c>
      <c r="AO303" s="1124">
        <f t="shared" si="272"/>
        <v>0</v>
      </c>
      <c r="AP303" s="1124">
        <f t="shared" si="272"/>
        <v>0</v>
      </c>
      <c r="AQ303" s="1124">
        <f t="shared" si="272"/>
        <v>0</v>
      </c>
      <c r="AR303" s="1124">
        <f t="shared" si="272"/>
        <v>0</v>
      </c>
      <c r="AS303" s="1124">
        <f t="shared" si="272"/>
        <v>0</v>
      </c>
      <c r="AT303" s="42"/>
      <c r="AU303" s="78">
        <f>+Base!E303</f>
        <v>1225100</v>
      </c>
      <c r="AV303" s="81">
        <f>+E303-AU303</f>
        <v>0</v>
      </c>
      <c r="AW303" s="65"/>
    </row>
    <row r="304" spans="1:49" hidden="1">
      <c r="A304" s="1432" t="s">
        <v>639</v>
      </c>
      <c r="B304" s="72"/>
      <c r="C304" s="3"/>
      <c r="E304" s="29"/>
      <c r="F304" s="31"/>
      <c r="G304" s="31"/>
      <c r="H304" s="31"/>
      <c r="I304" s="31"/>
      <c r="J304" s="31"/>
      <c r="K304" s="31"/>
      <c r="L304" s="31"/>
      <c r="M304" s="31"/>
      <c r="N304" s="31"/>
      <c r="O304" s="31"/>
      <c r="P304" s="31"/>
      <c r="Q304" s="31"/>
      <c r="R304" s="31"/>
      <c r="S304" s="31"/>
      <c r="T304" s="31"/>
      <c r="U304" s="31"/>
      <c r="V304" s="31"/>
      <c r="W304" s="31"/>
      <c r="X304" s="31"/>
      <c r="Y304" s="31"/>
      <c r="Z304" s="31"/>
      <c r="AA304" s="31"/>
      <c r="AB304" s="31"/>
      <c r="AC304" s="31"/>
      <c r="AD304" s="31"/>
      <c r="AE304" s="31"/>
      <c r="AF304" s="31"/>
      <c r="AG304" s="31"/>
      <c r="AH304" s="31"/>
      <c r="AI304" s="31"/>
      <c r="AJ304" s="31"/>
      <c r="AK304" s="31"/>
      <c r="AL304" s="31"/>
      <c r="AM304" s="31"/>
      <c r="AN304" s="31"/>
      <c r="AO304" s="31"/>
      <c r="AP304" s="31"/>
      <c r="AQ304" s="31"/>
      <c r="AR304" s="31"/>
      <c r="AS304" s="31"/>
      <c r="AU304" s="97"/>
      <c r="AV304" s="81"/>
      <c r="AW304" s="29"/>
    </row>
    <row r="305" spans="1:49" ht="15.6" hidden="1">
      <c r="A305" s="1432" t="s">
        <v>639</v>
      </c>
      <c r="B305" s="25" t="s">
        <v>747</v>
      </c>
      <c r="C305" s="632"/>
      <c r="D305" s="139"/>
      <c r="E305" s="98"/>
      <c r="F305" s="31"/>
      <c r="G305" s="31"/>
      <c r="H305" s="31"/>
      <c r="I305" s="31"/>
      <c r="J305" s="31"/>
      <c r="K305" s="31"/>
      <c r="L305" s="31"/>
      <c r="M305" s="31"/>
      <c r="N305" s="31"/>
      <c r="O305" s="31"/>
      <c r="P305" s="31"/>
      <c r="Q305" s="31"/>
      <c r="R305" s="31"/>
      <c r="S305" s="31"/>
      <c r="T305" s="31"/>
      <c r="U305" s="31"/>
      <c r="V305" s="31"/>
      <c r="W305" s="31"/>
      <c r="X305" s="31"/>
      <c r="Y305" s="31"/>
      <c r="Z305" s="31"/>
      <c r="AA305" s="31"/>
      <c r="AB305" s="31"/>
      <c r="AC305" s="31"/>
      <c r="AD305" s="31"/>
      <c r="AE305" s="31"/>
      <c r="AF305" s="31"/>
      <c r="AG305" s="31"/>
      <c r="AH305" s="31"/>
      <c r="AI305" s="31"/>
      <c r="AJ305" s="31"/>
      <c r="AK305" s="31"/>
      <c r="AL305" s="31"/>
      <c r="AM305" s="31"/>
      <c r="AN305" s="31"/>
      <c r="AO305" s="31"/>
      <c r="AP305" s="31"/>
      <c r="AQ305" s="31"/>
      <c r="AR305" s="31"/>
      <c r="AS305" s="31"/>
      <c r="AU305" s="97"/>
      <c r="AV305" s="81"/>
      <c r="AW305" s="562"/>
    </row>
    <row r="306" spans="1:49" ht="15.6" hidden="1">
      <c r="A306" s="1432" t="s">
        <v>639</v>
      </c>
      <c r="B306" s="72" t="s">
        <v>155</v>
      </c>
      <c r="C306" s="1443" t="s">
        <v>2237</v>
      </c>
      <c r="E306" s="97"/>
      <c r="F306" s="1292">
        <f>+F9</f>
        <v>500000</v>
      </c>
      <c r="G306" s="1124">
        <f t="shared" ref="G306:AS306" si="273">+F321*IF(G$7-$F7&lt;=Total_Years-1,1,0)</f>
        <v>491200</v>
      </c>
      <c r="H306" s="1124">
        <f t="shared" si="273"/>
        <v>480600</v>
      </c>
      <c r="I306" s="1124">
        <f t="shared" si="273"/>
        <v>468100</v>
      </c>
      <c r="J306" s="1124">
        <f t="shared" si="273"/>
        <v>453400</v>
      </c>
      <c r="K306" s="1124">
        <f t="shared" si="273"/>
        <v>436400</v>
      </c>
      <c r="L306" s="1124">
        <f t="shared" si="273"/>
        <v>416900</v>
      </c>
      <c r="M306" s="1124">
        <f t="shared" si="273"/>
        <v>394600</v>
      </c>
      <c r="N306" s="1124">
        <f t="shared" si="273"/>
        <v>369500</v>
      </c>
      <c r="O306" s="1124">
        <f t="shared" si="273"/>
        <v>383200</v>
      </c>
      <c r="P306" s="1124">
        <f t="shared" si="273"/>
        <v>383800</v>
      </c>
      <c r="Q306" s="1124">
        <f t="shared" si="273"/>
        <v>384900</v>
      </c>
      <c r="R306" s="1124">
        <f t="shared" si="273"/>
        <v>386300</v>
      </c>
      <c r="S306" s="1124">
        <f t="shared" si="273"/>
        <v>387900</v>
      </c>
      <c r="T306" s="1124">
        <f t="shared" si="273"/>
        <v>389600</v>
      </c>
      <c r="U306" s="1124">
        <f t="shared" si="273"/>
        <v>396600</v>
      </c>
      <c r="V306" s="1124">
        <f t="shared" si="273"/>
        <v>403100</v>
      </c>
      <c r="W306" s="1124">
        <f t="shared" si="273"/>
        <v>408800</v>
      </c>
      <c r="X306" s="1124">
        <f t="shared" si="273"/>
        <v>413700</v>
      </c>
      <c r="Y306" s="1124">
        <f t="shared" si="273"/>
        <v>414100</v>
      </c>
      <c r="Z306" s="1124">
        <f t="shared" si="273"/>
        <v>413500</v>
      </c>
      <c r="AA306" s="1124">
        <f t="shared" si="273"/>
        <v>411800</v>
      </c>
      <c r="AB306" s="1124">
        <f t="shared" si="273"/>
        <v>408900</v>
      </c>
      <c r="AC306" s="1124">
        <f t="shared" si="273"/>
        <v>404700</v>
      </c>
      <c r="AD306" s="1124">
        <f t="shared" si="273"/>
        <v>399300</v>
      </c>
      <c r="AE306" s="1124">
        <f t="shared" si="273"/>
        <v>392600</v>
      </c>
      <c r="AF306" s="1124">
        <f t="shared" si="273"/>
        <v>384500</v>
      </c>
      <c r="AG306" s="1124">
        <f t="shared" si="273"/>
        <v>374900</v>
      </c>
      <c r="AH306" s="1124">
        <f t="shared" si="273"/>
        <v>363800</v>
      </c>
      <c r="AI306" s="1124">
        <f t="shared" si="273"/>
        <v>351400</v>
      </c>
      <c r="AJ306" s="1124">
        <f t="shared" si="273"/>
        <v>0</v>
      </c>
      <c r="AK306" s="1124">
        <f t="shared" si="273"/>
        <v>0</v>
      </c>
      <c r="AL306" s="1124">
        <f t="shared" si="273"/>
        <v>0</v>
      </c>
      <c r="AM306" s="1124">
        <f t="shared" si="273"/>
        <v>0</v>
      </c>
      <c r="AN306" s="1124">
        <f t="shared" si="273"/>
        <v>0</v>
      </c>
      <c r="AO306" s="1124">
        <f t="shared" si="273"/>
        <v>0</v>
      </c>
      <c r="AP306" s="1124">
        <f t="shared" si="273"/>
        <v>0</v>
      </c>
      <c r="AQ306" s="1124">
        <f t="shared" si="273"/>
        <v>0</v>
      </c>
      <c r="AR306" s="1124">
        <f t="shared" si="273"/>
        <v>0</v>
      </c>
      <c r="AS306" s="1124">
        <f t="shared" si="273"/>
        <v>0</v>
      </c>
      <c r="AU306" s="78">
        <f>+Base!E306</f>
        <v>0</v>
      </c>
      <c r="AV306" s="81">
        <f t="shared" ref="AV306:AV320" si="274">+E306-AU306</f>
        <v>0</v>
      </c>
      <c r="AW306" s="97"/>
    </row>
    <row r="307" spans="1:49" hidden="1">
      <c r="A307" s="1432" t="s">
        <v>639</v>
      </c>
      <c r="B307" s="1018" t="s">
        <v>1825</v>
      </c>
      <c r="C307" s="3"/>
      <c r="E307" s="97"/>
      <c r="F307" s="354">
        <f t="shared" ref="F307:AS307" si="275">+F87</f>
        <v>0</v>
      </c>
      <c r="G307" s="1124">
        <f t="shared" si="275"/>
        <v>0</v>
      </c>
      <c r="H307" s="1124">
        <f t="shared" si="275"/>
        <v>0</v>
      </c>
      <c r="I307" s="1124">
        <f t="shared" si="275"/>
        <v>0</v>
      </c>
      <c r="J307" s="1124">
        <f t="shared" si="275"/>
        <v>0</v>
      </c>
      <c r="K307" s="1124">
        <f t="shared" si="275"/>
        <v>0</v>
      </c>
      <c r="L307" s="1124">
        <f t="shared" si="275"/>
        <v>0</v>
      </c>
      <c r="M307" s="1124">
        <f t="shared" si="275"/>
        <v>0</v>
      </c>
      <c r="N307" s="1124">
        <f t="shared" si="275"/>
        <v>0</v>
      </c>
      <c r="O307" s="1124">
        <f t="shared" si="275"/>
        <v>0</v>
      </c>
      <c r="P307" s="1124">
        <f t="shared" si="275"/>
        <v>0</v>
      </c>
      <c r="Q307" s="1124">
        <f t="shared" si="275"/>
        <v>0</v>
      </c>
      <c r="R307" s="1124">
        <f t="shared" si="275"/>
        <v>0</v>
      </c>
      <c r="S307" s="1124">
        <f t="shared" si="275"/>
        <v>0</v>
      </c>
      <c r="T307" s="1124">
        <f t="shared" si="275"/>
        <v>0</v>
      </c>
      <c r="U307" s="1124">
        <f t="shared" si="275"/>
        <v>0</v>
      </c>
      <c r="V307" s="1124">
        <f t="shared" si="275"/>
        <v>0</v>
      </c>
      <c r="W307" s="1124">
        <f t="shared" si="275"/>
        <v>0</v>
      </c>
      <c r="X307" s="1124">
        <f t="shared" si="275"/>
        <v>0</v>
      </c>
      <c r="Y307" s="1124">
        <f t="shared" si="275"/>
        <v>0</v>
      </c>
      <c r="Z307" s="1124">
        <f t="shared" si="275"/>
        <v>0</v>
      </c>
      <c r="AA307" s="1124">
        <f t="shared" si="275"/>
        <v>0</v>
      </c>
      <c r="AB307" s="1124">
        <f t="shared" si="275"/>
        <v>0</v>
      </c>
      <c r="AC307" s="1124">
        <f t="shared" si="275"/>
        <v>0</v>
      </c>
      <c r="AD307" s="1124">
        <f t="shared" si="275"/>
        <v>0</v>
      </c>
      <c r="AE307" s="1124">
        <f t="shared" si="275"/>
        <v>0</v>
      </c>
      <c r="AF307" s="1124">
        <f t="shared" si="275"/>
        <v>0</v>
      </c>
      <c r="AG307" s="1124">
        <f t="shared" si="275"/>
        <v>0</v>
      </c>
      <c r="AH307" s="1124">
        <f t="shared" si="275"/>
        <v>0</v>
      </c>
      <c r="AI307" s="1124">
        <f t="shared" si="275"/>
        <v>0</v>
      </c>
      <c r="AJ307" s="1124">
        <f t="shared" si="275"/>
        <v>0</v>
      </c>
      <c r="AK307" s="1124">
        <f t="shared" si="275"/>
        <v>0</v>
      </c>
      <c r="AL307" s="1124">
        <f t="shared" si="275"/>
        <v>0</v>
      </c>
      <c r="AM307" s="1124">
        <f t="shared" si="275"/>
        <v>0</v>
      </c>
      <c r="AN307" s="1124">
        <f t="shared" si="275"/>
        <v>0</v>
      </c>
      <c r="AO307" s="1124">
        <f t="shared" si="275"/>
        <v>0</v>
      </c>
      <c r="AP307" s="1124">
        <f t="shared" si="275"/>
        <v>0</v>
      </c>
      <c r="AQ307" s="1124">
        <f t="shared" si="275"/>
        <v>0</v>
      </c>
      <c r="AR307" s="1124">
        <f t="shared" si="275"/>
        <v>0</v>
      </c>
      <c r="AS307" s="1124">
        <f t="shared" si="275"/>
        <v>0</v>
      </c>
      <c r="AU307" s="78">
        <f>+Base!E307</f>
        <v>0</v>
      </c>
      <c r="AV307" s="81">
        <f t="shared" si="274"/>
        <v>0</v>
      </c>
      <c r="AW307" s="97"/>
    </row>
    <row r="308" spans="1:49" hidden="1">
      <c r="A308" s="1432" t="s">
        <v>639</v>
      </c>
      <c r="B308" s="72" t="s">
        <v>156</v>
      </c>
      <c r="C308" s="3"/>
      <c r="E308" s="29">
        <f>SUM(F308:AS308)</f>
        <v>-487400</v>
      </c>
      <c r="F308" s="31">
        <f t="shared" ref="F308:AS308" si="276">+F94</f>
        <v>0</v>
      </c>
      <c r="G308" s="1124">
        <f t="shared" si="276"/>
        <v>0</v>
      </c>
      <c r="H308" s="1124">
        <f t="shared" si="276"/>
        <v>0</v>
      </c>
      <c r="I308" s="1124">
        <f t="shared" si="276"/>
        <v>0</v>
      </c>
      <c r="J308" s="1124">
        <f t="shared" si="276"/>
        <v>0</v>
      </c>
      <c r="K308" s="1124">
        <f t="shared" si="276"/>
        <v>0</v>
      </c>
      <c r="L308" s="1124">
        <f t="shared" si="276"/>
        <v>0</v>
      </c>
      <c r="M308" s="1124">
        <f t="shared" si="276"/>
        <v>0</v>
      </c>
      <c r="N308" s="1124">
        <f t="shared" si="276"/>
        <v>0</v>
      </c>
      <c r="O308" s="1124">
        <f t="shared" si="276"/>
        <v>-14500</v>
      </c>
      <c r="P308" s="1124">
        <f t="shared" si="276"/>
        <v>-15000</v>
      </c>
      <c r="Q308" s="1124">
        <f t="shared" si="276"/>
        <v>-15600</v>
      </c>
      <c r="R308" s="1124">
        <f t="shared" si="276"/>
        <v>-16200</v>
      </c>
      <c r="S308" s="1124">
        <f t="shared" si="276"/>
        <v>-16900</v>
      </c>
      <c r="T308" s="1124">
        <f t="shared" si="276"/>
        <v>-17700</v>
      </c>
      <c r="U308" s="1124">
        <f t="shared" si="276"/>
        <v>-18700</v>
      </c>
      <c r="V308" s="1124">
        <f t="shared" si="276"/>
        <v>-19900</v>
      </c>
      <c r="W308" s="1124">
        <f t="shared" si="276"/>
        <v>-21000</v>
      </c>
      <c r="X308" s="1124">
        <f t="shared" si="276"/>
        <v>-22100</v>
      </c>
      <c r="Y308" s="1124">
        <f t="shared" si="276"/>
        <v>-23100</v>
      </c>
      <c r="Z308" s="1124">
        <f t="shared" si="276"/>
        <v>-24200</v>
      </c>
      <c r="AA308" s="1124">
        <f t="shared" si="276"/>
        <v>-25300</v>
      </c>
      <c r="AB308" s="1124">
        <f t="shared" si="276"/>
        <v>-26400</v>
      </c>
      <c r="AC308" s="1124">
        <f t="shared" si="276"/>
        <v>-27300</v>
      </c>
      <c r="AD308" s="1124">
        <f t="shared" si="276"/>
        <v>-28300</v>
      </c>
      <c r="AE308" s="1124">
        <f t="shared" si="276"/>
        <v>-29300</v>
      </c>
      <c r="AF308" s="1124">
        <f t="shared" si="276"/>
        <v>-30300</v>
      </c>
      <c r="AG308" s="1124">
        <f t="shared" si="276"/>
        <v>-31200</v>
      </c>
      <c r="AH308" s="1124">
        <f t="shared" si="276"/>
        <v>-31900</v>
      </c>
      <c r="AI308" s="1124">
        <f t="shared" si="276"/>
        <v>-32500</v>
      </c>
      <c r="AJ308" s="1124">
        <f t="shared" si="276"/>
        <v>0</v>
      </c>
      <c r="AK308" s="1124">
        <f t="shared" si="276"/>
        <v>0</v>
      </c>
      <c r="AL308" s="1124">
        <f t="shared" si="276"/>
        <v>0</v>
      </c>
      <c r="AM308" s="1124">
        <f t="shared" si="276"/>
        <v>0</v>
      </c>
      <c r="AN308" s="1124">
        <f t="shared" si="276"/>
        <v>0</v>
      </c>
      <c r="AO308" s="1124">
        <f t="shared" si="276"/>
        <v>0</v>
      </c>
      <c r="AP308" s="1124">
        <f t="shared" si="276"/>
        <v>0</v>
      </c>
      <c r="AQ308" s="1124">
        <f t="shared" si="276"/>
        <v>0</v>
      </c>
      <c r="AR308" s="1124">
        <f t="shared" si="276"/>
        <v>0</v>
      </c>
      <c r="AS308" s="1124">
        <f t="shared" si="276"/>
        <v>0</v>
      </c>
      <c r="AU308" s="78">
        <f>+Base!E308</f>
        <v>-487400</v>
      </c>
      <c r="AV308" s="81">
        <f t="shared" si="274"/>
        <v>0</v>
      </c>
      <c r="AW308" s="29"/>
    </row>
    <row r="309" spans="1:49" hidden="1">
      <c r="A309" s="1432" t="s">
        <v>639</v>
      </c>
      <c r="B309" s="72" t="s">
        <v>1506</v>
      </c>
      <c r="C309" s="3"/>
      <c r="E309" s="29"/>
      <c r="F309" s="31">
        <f>+F306+F307+F308</f>
        <v>500000</v>
      </c>
      <c r="G309" s="1124">
        <f>+G306+G307+G308</f>
        <v>491200</v>
      </c>
      <c r="H309" s="1124">
        <f t="shared" ref="H309:AS309" si="277">+H306+H307+H308</f>
        <v>480600</v>
      </c>
      <c r="I309" s="1124">
        <f t="shared" si="277"/>
        <v>468100</v>
      </c>
      <c r="J309" s="1124">
        <f t="shared" si="277"/>
        <v>453400</v>
      </c>
      <c r="K309" s="1124">
        <f t="shared" si="277"/>
        <v>436400</v>
      </c>
      <c r="L309" s="1124">
        <f t="shared" si="277"/>
        <v>416900</v>
      </c>
      <c r="M309" s="1124">
        <f t="shared" si="277"/>
        <v>394600</v>
      </c>
      <c r="N309" s="1124">
        <f t="shared" si="277"/>
        <v>369500</v>
      </c>
      <c r="O309" s="1124">
        <f t="shared" si="277"/>
        <v>368700</v>
      </c>
      <c r="P309" s="1124">
        <f t="shared" si="277"/>
        <v>368800</v>
      </c>
      <c r="Q309" s="1124">
        <f t="shared" si="277"/>
        <v>369300</v>
      </c>
      <c r="R309" s="1124">
        <f t="shared" si="277"/>
        <v>370100</v>
      </c>
      <c r="S309" s="1124">
        <f t="shared" si="277"/>
        <v>371000</v>
      </c>
      <c r="T309" s="1124">
        <f t="shared" si="277"/>
        <v>371900</v>
      </c>
      <c r="U309" s="1124">
        <f t="shared" si="277"/>
        <v>377900</v>
      </c>
      <c r="V309" s="1124">
        <f t="shared" si="277"/>
        <v>383200</v>
      </c>
      <c r="W309" s="1124">
        <f t="shared" si="277"/>
        <v>387800</v>
      </c>
      <c r="X309" s="1124">
        <f t="shared" si="277"/>
        <v>391600</v>
      </c>
      <c r="Y309" s="1124">
        <f t="shared" si="277"/>
        <v>391000</v>
      </c>
      <c r="Z309" s="1124">
        <f t="shared" si="277"/>
        <v>389300</v>
      </c>
      <c r="AA309" s="1124">
        <f t="shared" si="277"/>
        <v>386500</v>
      </c>
      <c r="AB309" s="1124">
        <f t="shared" si="277"/>
        <v>382500</v>
      </c>
      <c r="AC309" s="1124">
        <f t="shared" si="277"/>
        <v>377400</v>
      </c>
      <c r="AD309" s="1124">
        <f t="shared" si="277"/>
        <v>371000</v>
      </c>
      <c r="AE309" s="1124">
        <f t="shared" si="277"/>
        <v>363300</v>
      </c>
      <c r="AF309" s="1124">
        <f t="shared" si="277"/>
        <v>354200</v>
      </c>
      <c r="AG309" s="1124">
        <f t="shared" si="277"/>
        <v>343700</v>
      </c>
      <c r="AH309" s="1124">
        <f t="shared" si="277"/>
        <v>331900</v>
      </c>
      <c r="AI309" s="1124">
        <f t="shared" si="277"/>
        <v>318900</v>
      </c>
      <c r="AJ309" s="1124">
        <f t="shared" si="277"/>
        <v>0</v>
      </c>
      <c r="AK309" s="1124">
        <f t="shared" si="277"/>
        <v>0</v>
      </c>
      <c r="AL309" s="1124">
        <f t="shared" si="277"/>
        <v>0</v>
      </c>
      <c r="AM309" s="1124">
        <f t="shared" si="277"/>
        <v>0</v>
      </c>
      <c r="AN309" s="1124">
        <f t="shared" si="277"/>
        <v>0</v>
      </c>
      <c r="AO309" s="1124">
        <f t="shared" si="277"/>
        <v>0</v>
      </c>
      <c r="AP309" s="1124">
        <f t="shared" si="277"/>
        <v>0</v>
      </c>
      <c r="AQ309" s="1124">
        <f t="shared" si="277"/>
        <v>0</v>
      </c>
      <c r="AR309" s="1124">
        <f t="shared" si="277"/>
        <v>0</v>
      </c>
      <c r="AS309" s="1124">
        <f t="shared" si="277"/>
        <v>0</v>
      </c>
      <c r="AU309" s="78">
        <f>+Base!E309</f>
        <v>0</v>
      </c>
      <c r="AV309" s="81">
        <f>+E309-AU309</f>
        <v>0</v>
      </c>
      <c r="AW309" s="29"/>
    </row>
    <row r="310" spans="1:49" hidden="1">
      <c r="A310" s="1432" t="s">
        <v>639</v>
      </c>
      <c r="B310" s="72" t="s">
        <v>735</v>
      </c>
      <c r="E310" s="29">
        <f>SUM(F310:AS310)</f>
        <v>0</v>
      </c>
      <c r="F310" s="31">
        <f t="shared" ref="F310:AS310" si="278">+F96</f>
        <v>0</v>
      </c>
      <c r="G310" s="1124">
        <f t="shared" si="278"/>
        <v>0</v>
      </c>
      <c r="H310" s="1124">
        <f t="shared" si="278"/>
        <v>0</v>
      </c>
      <c r="I310" s="1124">
        <f t="shared" si="278"/>
        <v>0</v>
      </c>
      <c r="J310" s="1124">
        <f t="shared" si="278"/>
        <v>0</v>
      </c>
      <c r="K310" s="1124">
        <f t="shared" si="278"/>
        <v>0</v>
      </c>
      <c r="L310" s="1124">
        <f t="shared" si="278"/>
        <v>0</v>
      </c>
      <c r="M310" s="1124">
        <f t="shared" si="278"/>
        <v>0</v>
      </c>
      <c r="N310" s="1124">
        <f t="shared" si="278"/>
        <v>0</v>
      </c>
      <c r="O310" s="1124">
        <f t="shared" si="278"/>
        <v>0</v>
      </c>
      <c r="P310" s="1124">
        <f t="shared" si="278"/>
        <v>0</v>
      </c>
      <c r="Q310" s="1124">
        <f t="shared" si="278"/>
        <v>0</v>
      </c>
      <c r="R310" s="1124">
        <f t="shared" si="278"/>
        <v>0</v>
      </c>
      <c r="S310" s="1124">
        <f t="shared" si="278"/>
        <v>0</v>
      </c>
      <c r="T310" s="1124">
        <f t="shared" si="278"/>
        <v>0</v>
      </c>
      <c r="U310" s="1124">
        <f t="shared" si="278"/>
        <v>0</v>
      </c>
      <c r="V310" s="1124">
        <f t="shared" si="278"/>
        <v>0</v>
      </c>
      <c r="W310" s="1124">
        <f t="shared" si="278"/>
        <v>0</v>
      </c>
      <c r="X310" s="1124">
        <f t="shared" si="278"/>
        <v>0</v>
      </c>
      <c r="Y310" s="1124">
        <f t="shared" si="278"/>
        <v>0</v>
      </c>
      <c r="Z310" s="1124">
        <f t="shared" si="278"/>
        <v>0</v>
      </c>
      <c r="AA310" s="1124">
        <f t="shared" si="278"/>
        <v>0</v>
      </c>
      <c r="AB310" s="1124">
        <f t="shared" si="278"/>
        <v>0</v>
      </c>
      <c r="AC310" s="1124">
        <f t="shared" si="278"/>
        <v>0</v>
      </c>
      <c r="AD310" s="1124">
        <f t="shared" si="278"/>
        <v>0</v>
      </c>
      <c r="AE310" s="1124">
        <f t="shared" si="278"/>
        <v>0</v>
      </c>
      <c r="AF310" s="1124">
        <f t="shared" si="278"/>
        <v>0</v>
      </c>
      <c r="AG310" s="1124">
        <f t="shared" si="278"/>
        <v>0</v>
      </c>
      <c r="AH310" s="1124">
        <f t="shared" si="278"/>
        <v>0</v>
      </c>
      <c r="AI310" s="1124">
        <f t="shared" si="278"/>
        <v>0</v>
      </c>
      <c r="AJ310" s="1124">
        <f t="shared" si="278"/>
        <v>0</v>
      </c>
      <c r="AK310" s="1124">
        <f t="shared" si="278"/>
        <v>0</v>
      </c>
      <c r="AL310" s="1124">
        <f t="shared" si="278"/>
        <v>0</v>
      </c>
      <c r="AM310" s="1124">
        <f t="shared" si="278"/>
        <v>0</v>
      </c>
      <c r="AN310" s="1124">
        <f t="shared" si="278"/>
        <v>0</v>
      </c>
      <c r="AO310" s="1124">
        <f t="shared" si="278"/>
        <v>0</v>
      </c>
      <c r="AP310" s="1124">
        <f t="shared" si="278"/>
        <v>0</v>
      </c>
      <c r="AQ310" s="1124">
        <f t="shared" si="278"/>
        <v>0</v>
      </c>
      <c r="AR310" s="1124">
        <f t="shared" si="278"/>
        <v>0</v>
      </c>
      <c r="AS310" s="1124">
        <f t="shared" si="278"/>
        <v>0</v>
      </c>
      <c r="AU310" s="78">
        <f>+Base!E310</f>
        <v>0</v>
      </c>
      <c r="AV310" s="81">
        <f>+E310-AU310</f>
        <v>0</v>
      </c>
      <c r="AW310" s="29"/>
    </row>
    <row r="311" spans="1:49" s="3" customFormat="1" ht="15.6" hidden="1">
      <c r="A311" s="1432" t="s">
        <v>639</v>
      </c>
      <c r="B311" s="424" t="s">
        <v>157</v>
      </c>
      <c r="D311" s="327"/>
      <c r="E311" s="506" t="s">
        <v>942</v>
      </c>
      <c r="F311" s="190">
        <f t="shared" ref="F311:AS311" si="279">IF(AND(Start_Compare1&lt;=F$4,OR(End_Compare1&gt;=F$4,End_Compare1=0)),IF(+F306+F307+F308+F310&lt;=0,0,+F306+F307+F308+F310))*IF(F$7-$F$7&lt;=Total_Years-1,1,0)</f>
        <v>500000</v>
      </c>
      <c r="G311" s="1124">
        <f t="shared" si="279"/>
        <v>491200</v>
      </c>
      <c r="H311" s="1124">
        <f t="shared" si="279"/>
        <v>480600</v>
      </c>
      <c r="I311" s="1124">
        <f t="shared" si="279"/>
        <v>468100</v>
      </c>
      <c r="J311" s="1124">
        <f t="shared" si="279"/>
        <v>453400</v>
      </c>
      <c r="K311" s="1124">
        <f t="shared" si="279"/>
        <v>436400</v>
      </c>
      <c r="L311" s="1124">
        <f t="shared" si="279"/>
        <v>416900</v>
      </c>
      <c r="M311" s="1124">
        <f t="shared" si="279"/>
        <v>394600</v>
      </c>
      <c r="N311" s="1124">
        <f t="shared" si="279"/>
        <v>0</v>
      </c>
      <c r="O311" s="1124">
        <f t="shared" si="279"/>
        <v>0</v>
      </c>
      <c r="P311" s="1124">
        <f t="shared" si="279"/>
        <v>0</v>
      </c>
      <c r="Q311" s="1124">
        <f t="shared" si="279"/>
        <v>0</v>
      </c>
      <c r="R311" s="1124">
        <f t="shared" si="279"/>
        <v>0</v>
      </c>
      <c r="S311" s="1124">
        <f t="shared" si="279"/>
        <v>0</v>
      </c>
      <c r="T311" s="1124">
        <f t="shared" si="279"/>
        <v>0</v>
      </c>
      <c r="U311" s="1124">
        <f t="shared" si="279"/>
        <v>0</v>
      </c>
      <c r="V311" s="1124">
        <f t="shared" si="279"/>
        <v>0</v>
      </c>
      <c r="W311" s="1124">
        <f t="shared" si="279"/>
        <v>0</v>
      </c>
      <c r="X311" s="1124">
        <f t="shared" si="279"/>
        <v>0</v>
      </c>
      <c r="Y311" s="1124">
        <f t="shared" si="279"/>
        <v>0</v>
      </c>
      <c r="Z311" s="1124">
        <f t="shared" si="279"/>
        <v>0</v>
      </c>
      <c r="AA311" s="1124">
        <f t="shared" si="279"/>
        <v>0</v>
      </c>
      <c r="AB311" s="1124">
        <f t="shared" si="279"/>
        <v>0</v>
      </c>
      <c r="AC311" s="1124">
        <f t="shared" si="279"/>
        <v>0</v>
      </c>
      <c r="AD311" s="1124">
        <f t="shared" si="279"/>
        <v>0</v>
      </c>
      <c r="AE311" s="1124">
        <f t="shared" si="279"/>
        <v>0</v>
      </c>
      <c r="AF311" s="1124">
        <f t="shared" si="279"/>
        <v>0</v>
      </c>
      <c r="AG311" s="1124">
        <f t="shared" si="279"/>
        <v>0</v>
      </c>
      <c r="AH311" s="1124">
        <f t="shared" si="279"/>
        <v>0</v>
      </c>
      <c r="AI311" s="1124">
        <f t="shared" si="279"/>
        <v>0</v>
      </c>
      <c r="AJ311" s="1124">
        <f t="shared" si="279"/>
        <v>0</v>
      </c>
      <c r="AK311" s="1124">
        <f t="shared" si="279"/>
        <v>0</v>
      </c>
      <c r="AL311" s="1124">
        <f t="shared" si="279"/>
        <v>0</v>
      </c>
      <c r="AM311" s="1124">
        <f t="shared" si="279"/>
        <v>0</v>
      </c>
      <c r="AN311" s="1124">
        <f t="shared" si="279"/>
        <v>0</v>
      </c>
      <c r="AO311" s="1124">
        <f t="shared" si="279"/>
        <v>0</v>
      </c>
      <c r="AP311" s="1124">
        <f t="shared" si="279"/>
        <v>0</v>
      </c>
      <c r="AQ311" s="1124">
        <f t="shared" si="279"/>
        <v>0</v>
      </c>
      <c r="AR311" s="1124">
        <f t="shared" si="279"/>
        <v>0</v>
      </c>
      <c r="AS311" s="1124">
        <f t="shared" si="279"/>
        <v>0</v>
      </c>
      <c r="AU311" s="78"/>
      <c r="AV311" s="81"/>
      <c r="AW311" s="506"/>
    </row>
    <row r="312" spans="1:49" ht="15.6" hidden="1">
      <c r="A312" s="1432" t="s">
        <v>639</v>
      </c>
      <c r="B312" s="72" t="s">
        <v>163</v>
      </c>
      <c r="C312" s="1727" t="str">
        <f>"during ages " &amp; Start_Compare1 &amp; " - " &amp; End_Compare1</f>
        <v>during ages 62 - 69</v>
      </c>
      <c r="E312" s="29">
        <f>SUM(F312:AS312)</f>
        <v>-355700</v>
      </c>
      <c r="F312" s="31">
        <f t="shared" ref="F312:AS312" si="280">+F88</f>
        <v>-40000</v>
      </c>
      <c r="G312" s="1124">
        <f t="shared" si="280"/>
        <v>-41200</v>
      </c>
      <c r="H312" s="1124">
        <f t="shared" si="280"/>
        <v>-42400</v>
      </c>
      <c r="I312" s="1124">
        <f t="shared" si="280"/>
        <v>-43700</v>
      </c>
      <c r="J312" s="1124">
        <f t="shared" si="280"/>
        <v>-45000</v>
      </c>
      <c r="K312" s="1124">
        <f t="shared" si="280"/>
        <v>-46400</v>
      </c>
      <c r="L312" s="1124">
        <f t="shared" si="280"/>
        <v>-47800</v>
      </c>
      <c r="M312" s="1124">
        <f t="shared" si="280"/>
        <v>-49200</v>
      </c>
      <c r="N312" s="1124">
        <f t="shared" si="280"/>
        <v>0</v>
      </c>
      <c r="O312" s="1124">
        <f t="shared" si="280"/>
        <v>0</v>
      </c>
      <c r="P312" s="1124">
        <f t="shared" si="280"/>
        <v>0</v>
      </c>
      <c r="Q312" s="1124">
        <f t="shared" si="280"/>
        <v>0</v>
      </c>
      <c r="R312" s="1124">
        <f t="shared" si="280"/>
        <v>0</v>
      </c>
      <c r="S312" s="1124">
        <f t="shared" si="280"/>
        <v>0</v>
      </c>
      <c r="T312" s="1124">
        <f t="shared" si="280"/>
        <v>0</v>
      </c>
      <c r="U312" s="1124">
        <f t="shared" si="280"/>
        <v>0</v>
      </c>
      <c r="V312" s="1124">
        <f t="shared" si="280"/>
        <v>0</v>
      </c>
      <c r="W312" s="1124">
        <f t="shared" si="280"/>
        <v>0</v>
      </c>
      <c r="X312" s="1124">
        <f t="shared" si="280"/>
        <v>0</v>
      </c>
      <c r="Y312" s="1124">
        <f t="shared" si="280"/>
        <v>0</v>
      </c>
      <c r="Z312" s="1124">
        <f t="shared" si="280"/>
        <v>0</v>
      </c>
      <c r="AA312" s="1124">
        <f t="shared" si="280"/>
        <v>0</v>
      </c>
      <c r="AB312" s="1124">
        <f t="shared" si="280"/>
        <v>0</v>
      </c>
      <c r="AC312" s="1124">
        <f t="shared" si="280"/>
        <v>0</v>
      </c>
      <c r="AD312" s="1124">
        <f t="shared" si="280"/>
        <v>0</v>
      </c>
      <c r="AE312" s="1124">
        <f t="shared" si="280"/>
        <v>0</v>
      </c>
      <c r="AF312" s="1124">
        <f t="shared" si="280"/>
        <v>0</v>
      </c>
      <c r="AG312" s="1124">
        <f t="shared" si="280"/>
        <v>0</v>
      </c>
      <c r="AH312" s="1124">
        <f t="shared" si="280"/>
        <v>0</v>
      </c>
      <c r="AI312" s="1124">
        <f t="shared" si="280"/>
        <v>0</v>
      </c>
      <c r="AJ312" s="1124">
        <f t="shared" si="280"/>
        <v>0</v>
      </c>
      <c r="AK312" s="1124">
        <f t="shared" si="280"/>
        <v>0</v>
      </c>
      <c r="AL312" s="1124">
        <f t="shared" si="280"/>
        <v>0</v>
      </c>
      <c r="AM312" s="1124">
        <f t="shared" si="280"/>
        <v>0</v>
      </c>
      <c r="AN312" s="1124">
        <f t="shared" si="280"/>
        <v>0</v>
      </c>
      <c r="AO312" s="1124">
        <f t="shared" si="280"/>
        <v>0</v>
      </c>
      <c r="AP312" s="1124">
        <f t="shared" si="280"/>
        <v>0</v>
      </c>
      <c r="AQ312" s="1124">
        <f t="shared" si="280"/>
        <v>0</v>
      </c>
      <c r="AR312" s="1124">
        <f t="shared" si="280"/>
        <v>0</v>
      </c>
      <c r="AS312" s="1124">
        <f t="shared" si="280"/>
        <v>0</v>
      </c>
      <c r="AU312" s="78">
        <f>+Base!E312</f>
        <v>-355700</v>
      </c>
      <c r="AV312" s="81">
        <f t="shared" si="274"/>
        <v>0</v>
      </c>
      <c r="AW312" s="29"/>
    </row>
    <row r="313" spans="1:49" ht="15.6" hidden="1">
      <c r="A313" s="1432" t="s">
        <v>639</v>
      </c>
      <c r="B313" s="28" t="s">
        <v>161</v>
      </c>
      <c r="C313" s="1175" t="s">
        <v>439</v>
      </c>
      <c r="D313" s="86"/>
      <c r="E313" s="150"/>
      <c r="F313" s="447">
        <f t="shared" ref="F313:AS313" si="281">IF(Roth_Method="c",IF(AND(Roth_Start&lt;=F$4,OR(Roth_End&gt;=F$4,Roth_End=0)),+F$306+F$307+F$308+F$310+F$312,0),IF(Your_Age_End&gt;=F$4,+F$306+F$307+F$308+F$310+F$312,0))</f>
        <v>460000</v>
      </c>
      <c r="G313" s="1124">
        <f t="shared" si="281"/>
        <v>450000</v>
      </c>
      <c r="H313" s="1124">
        <f t="shared" si="281"/>
        <v>438200</v>
      </c>
      <c r="I313" s="1124">
        <f t="shared" si="281"/>
        <v>424400</v>
      </c>
      <c r="J313" s="1124">
        <f t="shared" si="281"/>
        <v>408400</v>
      </c>
      <c r="K313" s="1124">
        <f t="shared" si="281"/>
        <v>390000</v>
      </c>
      <c r="L313" s="1124">
        <f t="shared" si="281"/>
        <v>369100</v>
      </c>
      <c r="M313" s="1124">
        <f t="shared" si="281"/>
        <v>345400</v>
      </c>
      <c r="N313" s="1124">
        <f t="shared" si="281"/>
        <v>369500</v>
      </c>
      <c r="O313" s="1124">
        <f t="shared" si="281"/>
        <v>368700</v>
      </c>
      <c r="P313" s="1124">
        <f t="shared" si="281"/>
        <v>368800</v>
      </c>
      <c r="Q313" s="1124">
        <f t="shared" si="281"/>
        <v>369300</v>
      </c>
      <c r="R313" s="1124">
        <f t="shared" si="281"/>
        <v>370100</v>
      </c>
      <c r="S313" s="1124">
        <f t="shared" si="281"/>
        <v>371000</v>
      </c>
      <c r="T313" s="1124">
        <f t="shared" si="281"/>
        <v>371900</v>
      </c>
      <c r="U313" s="1124">
        <f t="shared" si="281"/>
        <v>377900</v>
      </c>
      <c r="V313" s="1124">
        <f t="shared" si="281"/>
        <v>383200</v>
      </c>
      <c r="W313" s="1124">
        <f t="shared" si="281"/>
        <v>387800</v>
      </c>
      <c r="X313" s="1124">
        <f t="shared" si="281"/>
        <v>391600</v>
      </c>
      <c r="Y313" s="1124">
        <f t="shared" si="281"/>
        <v>391000</v>
      </c>
      <c r="Z313" s="1124">
        <f t="shared" si="281"/>
        <v>389300</v>
      </c>
      <c r="AA313" s="1124">
        <f t="shared" si="281"/>
        <v>386500</v>
      </c>
      <c r="AB313" s="1124">
        <f t="shared" si="281"/>
        <v>382500</v>
      </c>
      <c r="AC313" s="1124">
        <f t="shared" si="281"/>
        <v>377400</v>
      </c>
      <c r="AD313" s="1124">
        <f t="shared" si="281"/>
        <v>371000</v>
      </c>
      <c r="AE313" s="1124">
        <f t="shared" si="281"/>
        <v>363300</v>
      </c>
      <c r="AF313" s="1124">
        <f t="shared" si="281"/>
        <v>354200</v>
      </c>
      <c r="AG313" s="1124">
        <f t="shared" si="281"/>
        <v>343700</v>
      </c>
      <c r="AH313" s="1124">
        <f t="shared" si="281"/>
        <v>331900</v>
      </c>
      <c r="AI313" s="1124">
        <f t="shared" si="281"/>
        <v>318900</v>
      </c>
      <c r="AJ313" s="1124">
        <f t="shared" si="281"/>
        <v>0</v>
      </c>
      <c r="AK313" s="1124">
        <f t="shared" si="281"/>
        <v>0</v>
      </c>
      <c r="AL313" s="1124">
        <f t="shared" si="281"/>
        <v>0</v>
      </c>
      <c r="AM313" s="1124">
        <f t="shared" si="281"/>
        <v>0</v>
      </c>
      <c r="AN313" s="1124">
        <f t="shared" si="281"/>
        <v>0</v>
      </c>
      <c r="AO313" s="1124">
        <f t="shared" si="281"/>
        <v>0</v>
      </c>
      <c r="AP313" s="1124">
        <f t="shared" si="281"/>
        <v>0</v>
      </c>
      <c r="AQ313" s="1124">
        <f t="shared" si="281"/>
        <v>0</v>
      </c>
      <c r="AR313" s="1124">
        <f t="shared" si="281"/>
        <v>0</v>
      </c>
      <c r="AS313" s="1124">
        <f t="shared" si="281"/>
        <v>0</v>
      </c>
      <c r="AU313" s="78">
        <f>+Base!E313</f>
        <v>0</v>
      </c>
      <c r="AV313" s="81">
        <f t="shared" si="274"/>
        <v>0</v>
      </c>
      <c r="AW313" s="150"/>
    </row>
    <row r="314" spans="1:49" ht="15.6" hidden="1">
      <c r="A314" s="1432" t="s">
        <v>639</v>
      </c>
      <c r="B314" s="72" t="s">
        <v>162</v>
      </c>
      <c r="C314" s="1727" t="str">
        <f>"during ages " &amp; Roth_Start &amp; " - " &amp; Roth_End</f>
        <v>during ages 62 - 70</v>
      </c>
      <c r="E314" s="29">
        <f>SUM(F314:AS314)</f>
        <v>0</v>
      </c>
      <c r="F314" s="447">
        <f t="shared" ref="F314:AS314" si="282">-F133</f>
        <v>0</v>
      </c>
      <c r="G314" s="1124">
        <f t="shared" si="282"/>
        <v>0</v>
      </c>
      <c r="H314" s="1124">
        <f t="shared" si="282"/>
        <v>0</v>
      </c>
      <c r="I314" s="1124">
        <f t="shared" si="282"/>
        <v>0</v>
      </c>
      <c r="J314" s="1124">
        <f t="shared" si="282"/>
        <v>0</v>
      </c>
      <c r="K314" s="1124">
        <f t="shared" si="282"/>
        <v>0</v>
      </c>
      <c r="L314" s="1124">
        <f t="shared" si="282"/>
        <v>0</v>
      </c>
      <c r="M314" s="1124">
        <f t="shared" si="282"/>
        <v>0</v>
      </c>
      <c r="N314" s="1124">
        <f t="shared" si="282"/>
        <v>0</v>
      </c>
      <c r="O314" s="1124">
        <f t="shared" si="282"/>
        <v>0</v>
      </c>
      <c r="P314" s="1124">
        <f t="shared" si="282"/>
        <v>0</v>
      </c>
      <c r="Q314" s="1124">
        <f t="shared" si="282"/>
        <v>0</v>
      </c>
      <c r="R314" s="1124">
        <f t="shared" si="282"/>
        <v>0</v>
      </c>
      <c r="S314" s="1124">
        <f t="shared" si="282"/>
        <v>0</v>
      </c>
      <c r="T314" s="1124">
        <f t="shared" si="282"/>
        <v>0</v>
      </c>
      <c r="U314" s="1124">
        <f t="shared" si="282"/>
        <v>0</v>
      </c>
      <c r="V314" s="1124">
        <f t="shared" si="282"/>
        <v>0</v>
      </c>
      <c r="W314" s="1124">
        <f t="shared" si="282"/>
        <v>0</v>
      </c>
      <c r="X314" s="1124">
        <f t="shared" si="282"/>
        <v>0</v>
      </c>
      <c r="Y314" s="1124">
        <f t="shared" si="282"/>
        <v>0</v>
      </c>
      <c r="Z314" s="1124">
        <f t="shared" si="282"/>
        <v>0</v>
      </c>
      <c r="AA314" s="1124">
        <f t="shared" si="282"/>
        <v>0</v>
      </c>
      <c r="AB314" s="1124">
        <f t="shared" si="282"/>
        <v>0</v>
      </c>
      <c r="AC314" s="1124">
        <f t="shared" si="282"/>
        <v>0</v>
      </c>
      <c r="AD314" s="1124">
        <f t="shared" si="282"/>
        <v>0</v>
      </c>
      <c r="AE314" s="1124">
        <f t="shared" si="282"/>
        <v>0</v>
      </c>
      <c r="AF314" s="1124">
        <f t="shared" si="282"/>
        <v>0</v>
      </c>
      <c r="AG314" s="1124">
        <f t="shared" si="282"/>
        <v>0</v>
      </c>
      <c r="AH314" s="1124">
        <f t="shared" si="282"/>
        <v>0</v>
      </c>
      <c r="AI314" s="1124">
        <f t="shared" si="282"/>
        <v>0</v>
      </c>
      <c r="AJ314" s="1124">
        <f t="shared" si="282"/>
        <v>0</v>
      </c>
      <c r="AK314" s="1124">
        <f t="shared" si="282"/>
        <v>0</v>
      </c>
      <c r="AL314" s="1124">
        <f t="shared" si="282"/>
        <v>0</v>
      </c>
      <c r="AM314" s="1124">
        <f t="shared" si="282"/>
        <v>0</v>
      </c>
      <c r="AN314" s="1124">
        <f t="shared" si="282"/>
        <v>0</v>
      </c>
      <c r="AO314" s="1124">
        <f t="shared" si="282"/>
        <v>0</v>
      </c>
      <c r="AP314" s="1124">
        <f t="shared" si="282"/>
        <v>0</v>
      </c>
      <c r="AQ314" s="1124">
        <f t="shared" si="282"/>
        <v>0</v>
      </c>
      <c r="AR314" s="1124">
        <f t="shared" si="282"/>
        <v>0</v>
      </c>
      <c r="AS314" s="1124">
        <f t="shared" si="282"/>
        <v>0</v>
      </c>
      <c r="AU314" s="78">
        <f>+Base!E314</f>
        <v>0</v>
      </c>
      <c r="AV314" s="81">
        <f t="shared" si="274"/>
        <v>0</v>
      </c>
      <c r="AW314" s="29"/>
    </row>
    <row r="315" spans="1:49" s="3" customFormat="1" ht="15.6" hidden="1">
      <c r="A315" s="1432" t="s">
        <v>639</v>
      </c>
      <c r="B315" s="424" t="s">
        <v>158</v>
      </c>
      <c r="D315" s="327"/>
      <c r="E315" s="506" t="s">
        <v>942</v>
      </c>
      <c r="F315" s="190">
        <f t="shared" ref="F315:AS315" si="283">IF(AND(Start_Compare2&lt;=F$4,OR(End_Compare2&gt;=F$4,End_Compare2=0)),+F$306+F307+F$308+F$310+F$312+F$314,0)</f>
        <v>0</v>
      </c>
      <c r="G315" s="1124">
        <f t="shared" si="283"/>
        <v>0</v>
      </c>
      <c r="H315" s="1124">
        <f t="shared" si="283"/>
        <v>0</v>
      </c>
      <c r="I315" s="1124">
        <f t="shared" si="283"/>
        <v>0</v>
      </c>
      <c r="J315" s="1124">
        <f t="shared" si="283"/>
        <v>0</v>
      </c>
      <c r="K315" s="1124">
        <f t="shared" si="283"/>
        <v>0</v>
      </c>
      <c r="L315" s="1124">
        <f t="shared" si="283"/>
        <v>0</v>
      </c>
      <c r="M315" s="1124">
        <f t="shared" si="283"/>
        <v>0</v>
      </c>
      <c r="N315" s="1124">
        <f t="shared" si="283"/>
        <v>369500</v>
      </c>
      <c r="O315" s="1124">
        <f t="shared" si="283"/>
        <v>368700</v>
      </c>
      <c r="P315" s="1124">
        <f t="shared" si="283"/>
        <v>368800</v>
      </c>
      <c r="Q315" s="1124">
        <f t="shared" si="283"/>
        <v>369300</v>
      </c>
      <c r="R315" s="1124">
        <f t="shared" si="283"/>
        <v>370100</v>
      </c>
      <c r="S315" s="1124">
        <f t="shared" si="283"/>
        <v>371000</v>
      </c>
      <c r="T315" s="1124">
        <f t="shared" si="283"/>
        <v>0</v>
      </c>
      <c r="U315" s="1124">
        <f t="shared" si="283"/>
        <v>0</v>
      </c>
      <c r="V315" s="1124">
        <f t="shared" si="283"/>
        <v>0</v>
      </c>
      <c r="W315" s="1124">
        <f t="shared" si="283"/>
        <v>0</v>
      </c>
      <c r="X315" s="1124">
        <f t="shared" si="283"/>
        <v>0</v>
      </c>
      <c r="Y315" s="1124">
        <f t="shared" si="283"/>
        <v>0</v>
      </c>
      <c r="Z315" s="1124">
        <f t="shared" si="283"/>
        <v>0</v>
      </c>
      <c r="AA315" s="1124">
        <f t="shared" si="283"/>
        <v>0</v>
      </c>
      <c r="AB315" s="1124">
        <f t="shared" si="283"/>
        <v>0</v>
      </c>
      <c r="AC315" s="1124">
        <f t="shared" si="283"/>
        <v>0</v>
      </c>
      <c r="AD315" s="1124">
        <f t="shared" si="283"/>
        <v>0</v>
      </c>
      <c r="AE315" s="1124">
        <f t="shared" si="283"/>
        <v>0</v>
      </c>
      <c r="AF315" s="1124">
        <f t="shared" si="283"/>
        <v>0</v>
      </c>
      <c r="AG315" s="1124">
        <f t="shared" si="283"/>
        <v>0</v>
      </c>
      <c r="AH315" s="1124">
        <f t="shared" si="283"/>
        <v>0</v>
      </c>
      <c r="AI315" s="1124">
        <f t="shared" si="283"/>
        <v>0</v>
      </c>
      <c r="AJ315" s="1124">
        <f t="shared" si="283"/>
        <v>0</v>
      </c>
      <c r="AK315" s="1124">
        <f t="shared" si="283"/>
        <v>0</v>
      </c>
      <c r="AL315" s="1124">
        <f t="shared" si="283"/>
        <v>0</v>
      </c>
      <c r="AM315" s="1124">
        <f t="shared" si="283"/>
        <v>0</v>
      </c>
      <c r="AN315" s="1124">
        <f t="shared" si="283"/>
        <v>0</v>
      </c>
      <c r="AO315" s="1124">
        <f t="shared" si="283"/>
        <v>0</v>
      </c>
      <c r="AP315" s="1124">
        <f t="shared" si="283"/>
        <v>0</v>
      </c>
      <c r="AQ315" s="1124">
        <f t="shared" si="283"/>
        <v>0</v>
      </c>
      <c r="AR315" s="1124">
        <f t="shared" si="283"/>
        <v>0</v>
      </c>
      <c r="AS315" s="1124">
        <f t="shared" si="283"/>
        <v>0</v>
      </c>
      <c r="AU315" s="439"/>
      <c r="AV315" s="434"/>
      <c r="AW315" s="506"/>
    </row>
    <row r="316" spans="1:49" ht="15.6" hidden="1">
      <c r="A316" s="1432" t="s">
        <v>639</v>
      </c>
      <c r="B316" s="72" t="s">
        <v>165</v>
      </c>
      <c r="C316" s="1727" t="str">
        <f>"during ages " &amp; Start_Compare2 &amp; " - " &amp; End_Compare2</f>
        <v>during ages 70 - 75</v>
      </c>
      <c r="E316" s="29">
        <f>SUM(F316:AS316)</f>
        <v>-46900</v>
      </c>
      <c r="F316" s="31">
        <f t="shared" ref="F316:AS316" si="284">+F89</f>
        <v>0</v>
      </c>
      <c r="G316" s="1124">
        <f t="shared" si="284"/>
        <v>0</v>
      </c>
      <c r="H316" s="1124">
        <f t="shared" si="284"/>
        <v>0</v>
      </c>
      <c r="I316" s="1124">
        <f t="shared" si="284"/>
        <v>0</v>
      </c>
      <c r="J316" s="1124">
        <f t="shared" si="284"/>
        <v>0</v>
      </c>
      <c r="K316" s="1124">
        <f t="shared" si="284"/>
        <v>0</v>
      </c>
      <c r="L316" s="1124">
        <f t="shared" si="284"/>
        <v>0</v>
      </c>
      <c r="M316" s="1124">
        <f t="shared" si="284"/>
        <v>0</v>
      </c>
      <c r="N316" s="1124">
        <f t="shared" si="284"/>
        <v>-10000</v>
      </c>
      <c r="O316" s="1124">
        <f t="shared" si="284"/>
        <v>-9000</v>
      </c>
      <c r="P316" s="1124">
        <f t="shared" si="284"/>
        <v>-8100</v>
      </c>
      <c r="Q316" s="1124">
        <f t="shared" si="284"/>
        <v>-7300</v>
      </c>
      <c r="R316" s="1124">
        <f t="shared" si="284"/>
        <v>-6600</v>
      </c>
      <c r="S316" s="1124">
        <f t="shared" si="284"/>
        <v>-5900</v>
      </c>
      <c r="T316" s="1124">
        <f t="shared" si="284"/>
        <v>0</v>
      </c>
      <c r="U316" s="1124">
        <f t="shared" si="284"/>
        <v>0</v>
      </c>
      <c r="V316" s="1124">
        <f t="shared" si="284"/>
        <v>0</v>
      </c>
      <c r="W316" s="1124">
        <f t="shared" si="284"/>
        <v>0</v>
      </c>
      <c r="X316" s="1124">
        <f t="shared" si="284"/>
        <v>0</v>
      </c>
      <c r="Y316" s="1124">
        <f t="shared" si="284"/>
        <v>0</v>
      </c>
      <c r="Z316" s="1124">
        <f t="shared" si="284"/>
        <v>0</v>
      </c>
      <c r="AA316" s="1124">
        <f t="shared" si="284"/>
        <v>0</v>
      </c>
      <c r="AB316" s="1124">
        <f t="shared" si="284"/>
        <v>0</v>
      </c>
      <c r="AC316" s="1124">
        <f t="shared" si="284"/>
        <v>0</v>
      </c>
      <c r="AD316" s="1124">
        <f t="shared" si="284"/>
        <v>0</v>
      </c>
      <c r="AE316" s="1124">
        <f t="shared" si="284"/>
        <v>0</v>
      </c>
      <c r="AF316" s="1124">
        <f t="shared" si="284"/>
        <v>0</v>
      </c>
      <c r="AG316" s="1124">
        <f t="shared" si="284"/>
        <v>0</v>
      </c>
      <c r="AH316" s="1124">
        <f t="shared" si="284"/>
        <v>0</v>
      </c>
      <c r="AI316" s="1124">
        <f t="shared" si="284"/>
        <v>0</v>
      </c>
      <c r="AJ316" s="1124">
        <f t="shared" si="284"/>
        <v>0</v>
      </c>
      <c r="AK316" s="1124">
        <f t="shared" si="284"/>
        <v>0</v>
      </c>
      <c r="AL316" s="1124">
        <f t="shared" si="284"/>
        <v>0</v>
      </c>
      <c r="AM316" s="1124">
        <f t="shared" si="284"/>
        <v>0</v>
      </c>
      <c r="AN316" s="1124">
        <f t="shared" si="284"/>
        <v>0</v>
      </c>
      <c r="AO316" s="1124">
        <f t="shared" si="284"/>
        <v>0</v>
      </c>
      <c r="AP316" s="1124">
        <f t="shared" si="284"/>
        <v>0</v>
      </c>
      <c r="AQ316" s="1124">
        <f t="shared" si="284"/>
        <v>0</v>
      </c>
      <c r="AR316" s="1124">
        <f t="shared" si="284"/>
        <v>0</v>
      </c>
      <c r="AS316" s="1124">
        <f t="shared" si="284"/>
        <v>0</v>
      </c>
      <c r="AU316" s="78">
        <f>+Base!E316</f>
        <v>-46900</v>
      </c>
      <c r="AV316" s="81">
        <f t="shared" si="274"/>
        <v>0</v>
      </c>
      <c r="AW316" s="29"/>
    </row>
    <row r="317" spans="1:49" hidden="1">
      <c r="A317" s="1432" t="s">
        <v>639</v>
      </c>
      <c r="B317" s="72" t="s">
        <v>166</v>
      </c>
      <c r="C317" s="3"/>
      <c r="E317" s="29">
        <f>SUM(F317:AS317)</f>
        <v>727700</v>
      </c>
      <c r="F317" s="31">
        <f t="shared" ref="F317:AS317" si="285">+F29</f>
        <v>31200</v>
      </c>
      <c r="G317" s="1124">
        <f t="shared" si="285"/>
        <v>30600</v>
      </c>
      <c r="H317" s="1124">
        <f t="shared" si="285"/>
        <v>29900</v>
      </c>
      <c r="I317" s="1124">
        <f t="shared" si="285"/>
        <v>29000</v>
      </c>
      <c r="J317" s="1124">
        <f t="shared" si="285"/>
        <v>28000</v>
      </c>
      <c r="K317" s="1124">
        <f t="shared" si="285"/>
        <v>26900</v>
      </c>
      <c r="L317" s="1124">
        <f t="shared" si="285"/>
        <v>25500</v>
      </c>
      <c r="M317" s="1124">
        <f t="shared" si="285"/>
        <v>24100</v>
      </c>
      <c r="N317" s="1124">
        <f t="shared" si="285"/>
        <v>23700</v>
      </c>
      <c r="O317" s="1124">
        <f t="shared" si="285"/>
        <v>24100</v>
      </c>
      <c r="P317" s="1124">
        <f t="shared" si="285"/>
        <v>24200</v>
      </c>
      <c r="Q317" s="1124">
        <f t="shared" si="285"/>
        <v>24300</v>
      </c>
      <c r="R317" s="1124">
        <f t="shared" si="285"/>
        <v>24400</v>
      </c>
      <c r="S317" s="1124">
        <f t="shared" si="285"/>
        <v>24500</v>
      </c>
      <c r="T317" s="1124">
        <f t="shared" si="285"/>
        <v>24700</v>
      </c>
      <c r="U317" s="1124">
        <f t="shared" si="285"/>
        <v>25200</v>
      </c>
      <c r="V317" s="1124">
        <f t="shared" si="285"/>
        <v>25600</v>
      </c>
      <c r="W317" s="1124">
        <f t="shared" si="285"/>
        <v>25900</v>
      </c>
      <c r="X317" s="1124">
        <f t="shared" si="285"/>
        <v>22500</v>
      </c>
      <c r="Y317" s="1124">
        <f t="shared" si="285"/>
        <v>22500</v>
      </c>
      <c r="Z317" s="1124">
        <f t="shared" si="285"/>
        <v>22500</v>
      </c>
      <c r="AA317" s="1124">
        <f t="shared" si="285"/>
        <v>22400</v>
      </c>
      <c r="AB317" s="1124">
        <f t="shared" si="285"/>
        <v>22200</v>
      </c>
      <c r="AC317" s="1124">
        <f t="shared" si="285"/>
        <v>21900</v>
      </c>
      <c r="AD317" s="1124">
        <f t="shared" si="285"/>
        <v>21600</v>
      </c>
      <c r="AE317" s="1124">
        <f t="shared" si="285"/>
        <v>21200</v>
      </c>
      <c r="AF317" s="1124">
        <f t="shared" si="285"/>
        <v>20700</v>
      </c>
      <c r="AG317" s="1124">
        <f t="shared" si="285"/>
        <v>20100</v>
      </c>
      <c r="AH317" s="1124">
        <f t="shared" si="285"/>
        <v>19500</v>
      </c>
      <c r="AI317" s="1124">
        <f t="shared" si="285"/>
        <v>18800</v>
      </c>
      <c r="AJ317" s="1124">
        <f t="shared" si="285"/>
        <v>0</v>
      </c>
      <c r="AK317" s="1124">
        <f t="shared" si="285"/>
        <v>0</v>
      </c>
      <c r="AL317" s="1124">
        <f t="shared" si="285"/>
        <v>0</v>
      </c>
      <c r="AM317" s="1124">
        <f t="shared" si="285"/>
        <v>0</v>
      </c>
      <c r="AN317" s="1124">
        <f t="shared" si="285"/>
        <v>0</v>
      </c>
      <c r="AO317" s="1124">
        <f t="shared" si="285"/>
        <v>0</v>
      </c>
      <c r="AP317" s="1124">
        <f t="shared" si="285"/>
        <v>0</v>
      </c>
      <c r="AQ317" s="1124">
        <f t="shared" si="285"/>
        <v>0</v>
      </c>
      <c r="AR317" s="1124">
        <f t="shared" si="285"/>
        <v>0</v>
      </c>
      <c r="AS317" s="1124">
        <f t="shared" si="285"/>
        <v>0</v>
      </c>
      <c r="AU317" s="78">
        <f>+Base!E317</f>
        <v>727700</v>
      </c>
      <c r="AV317" s="81">
        <f t="shared" si="274"/>
        <v>0</v>
      </c>
      <c r="AW317" s="29"/>
    </row>
    <row r="318" spans="1:49" hidden="1">
      <c r="A318" s="1432" t="s">
        <v>639</v>
      </c>
      <c r="B318" s="72" t="s">
        <v>941</v>
      </c>
      <c r="C318" s="3"/>
      <c r="E318" s="29">
        <f>SUM(F318:AS318)</f>
        <v>0</v>
      </c>
      <c r="F318" s="31">
        <f t="shared" ref="F318:AS318" si="286">+F63</f>
        <v>0</v>
      </c>
      <c r="G318" s="1124">
        <f t="shared" si="286"/>
        <v>0</v>
      </c>
      <c r="H318" s="1124">
        <f t="shared" si="286"/>
        <v>0</v>
      </c>
      <c r="I318" s="1124">
        <f t="shared" si="286"/>
        <v>0</v>
      </c>
      <c r="J318" s="1124">
        <f t="shared" si="286"/>
        <v>0</v>
      </c>
      <c r="K318" s="1124">
        <f t="shared" si="286"/>
        <v>0</v>
      </c>
      <c r="L318" s="1124">
        <f t="shared" si="286"/>
        <v>0</v>
      </c>
      <c r="M318" s="1124">
        <f t="shared" si="286"/>
        <v>0</v>
      </c>
      <c r="N318" s="1124">
        <f t="shared" si="286"/>
        <v>0</v>
      </c>
      <c r="O318" s="1124">
        <f t="shared" si="286"/>
        <v>0</v>
      </c>
      <c r="P318" s="1124">
        <f t="shared" si="286"/>
        <v>0</v>
      </c>
      <c r="Q318" s="1124">
        <f t="shared" si="286"/>
        <v>0</v>
      </c>
      <c r="R318" s="1124">
        <f t="shared" si="286"/>
        <v>0</v>
      </c>
      <c r="S318" s="1124">
        <f t="shared" si="286"/>
        <v>0</v>
      </c>
      <c r="T318" s="1124">
        <f t="shared" si="286"/>
        <v>0</v>
      </c>
      <c r="U318" s="1124">
        <f t="shared" si="286"/>
        <v>0</v>
      </c>
      <c r="V318" s="1124">
        <f t="shared" si="286"/>
        <v>0</v>
      </c>
      <c r="W318" s="1124">
        <f t="shared" si="286"/>
        <v>0</v>
      </c>
      <c r="X318" s="1124">
        <f t="shared" si="286"/>
        <v>0</v>
      </c>
      <c r="Y318" s="1124">
        <f t="shared" si="286"/>
        <v>0</v>
      </c>
      <c r="Z318" s="1124">
        <f t="shared" si="286"/>
        <v>0</v>
      </c>
      <c r="AA318" s="1124">
        <f t="shared" si="286"/>
        <v>0</v>
      </c>
      <c r="AB318" s="1124">
        <f t="shared" si="286"/>
        <v>0</v>
      </c>
      <c r="AC318" s="1124">
        <f t="shared" si="286"/>
        <v>0</v>
      </c>
      <c r="AD318" s="1124">
        <f t="shared" si="286"/>
        <v>0</v>
      </c>
      <c r="AE318" s="1124">
        <f t="shared" si="286"/>
        <v>0</v>
      </c>
      <c r="AF318" s="1124">
        <f t="shared" si="286"/>
        <v>0</v>
      </c>
      <c r="AG318" s="1124">
        <f t="shared" si="286"/>
        <v>0</v>
      </c>
      <c r="AH318" s="1124">
        <f t="shared" si="286"/>
        <v>0</v>
      </c>
      <c r="AI318" s="1124">
        <f t="shared" si="286"/>
        <v>0</v>
      </c>
      <c r="AJ318" s="1124">
        <f t="shared" si="286"/>
        <v>0</v>
      </c>
      <c r="AK318" s="1124">
        <f t="shared" si="286"/>
        <v>0</v>
      </c>
      <c r="AL318" s="1124">
        <f t="shared" si="286"/>
        <v>0</v>
      </c>
      <c r="AM318" s="1124">
        <f t="shared" si="286"/>
        <v>0</v>
      </c>
      <c r="AN318" s="1124">
        <f t="shared" si="286"/>
        <v>0</v>
      </c>
      <c r="AO318" s="1124">
        <f t="shared" si="286"/>
        <v>0</v>
      </c>
      <c r="AP318" s="1124">
        <f t="shared" si="286"/>
        <v>0</v>
      </c>
      <c r="AQ318" s="1124">
        <f t="shared" si="286"/>
        <v>0</v>
      </c>
      <c r="AR318" s="1124">
        <f t="shared" si="286"/>
        <v>0</v>
      </c>
      <c r="AS318" s="1124">
        <f t="shared" si="286"/>
        <v>0</v>
      </c>
      <c r="AU318" s="78">
        <f>+Base!E318</f>
        <v>0</v>
      </c>
      <c r="AV318" s="81">
        <f>+E318-AU318</f>
        <v>0</v>
      </c>
      <c r="AW318" s="29"/>
    </row>
    <row r="319" spans="1:49" ht="15.6" hidden="1">
      <c r="A319" s="1432" t="s">
        <v>639</v>
      </c>
      <c r="B319" s="28" t="s">
        <v>1543</v>
      </c>
      <c r="C319" s="3"/>
      <c r="E319" s="65"/>
      <c r="F319" s="31">
        <f>+F$306+F307+F$308+F$310+F$312+F$314+F$316+F$317+F$318</f>
        <v>491200</v>
      </c>
      <c r="G319" s="1124">
        <f>+G$306+G307+G$308+G$310+G$312+G$314+G$316+G$317+G$318</f>
        <v>480600</v>
      </c>
      <c r="H319" s="1124">
        <f t="shared" ref="H319:AS319" si="287">+H$306+H307+H$308+H$310+H$312+H$314+H$316+H$317+H$318</f>
        <v>468100</v>
      </c>
      <c r="I319" s="1124">
        <f t="shared" si="287"/>
        <v>453400</v>
      </c>
      <c r="J319" s="1124">
        <f t="shared" si="287"/>
        <v>436400</v>
      </c>
      <c r="K319" s="1124">
        <f t="shared" si="287"/>
        <v>416900</v>
      </c>
      <c r="L319" s="1124">
        <f t="shared" si="287"/>
        <v>394600</v>
      </c>
      <c r="M319" s="1124">
        <f t="shared" si="287"/>
        <v>369500</v>
      </c>
      <c r="N319" s="1124">
        <f t="shared" si="287"/>
        <v>383200</v>
      </c>
      <c r="O319" s="1124">
        <f t="shared" si="287"/>
        <v>383800</v>
      </c>
      <c r="P319" s="1124">
        <f t="shared" si="287"/>
        <v>384900</v>
      </c>
      <c r="Q319" s="1124">
        <f t="shared" si="287"/>
        <v>386300</v>
      </c>
      <c r="R319" s="1124">
        <f t="shared" si="287"/>
        <v>387900</v>
      </c>
      <c r="S319" s="1124">
        <f t="shared" si="287"/>
        <v>389600</v>
      </c>
      <c r="T319" s="1124">
        <f t="shared" si="287"/>
        <v>396600</v>
      </c>
      <c r="U319" s="1124">
        <f t="shared" si="287"/>
        <v>403100</v>
      </c>
      <c r="V319" s="1124">
        <f t="shared" si="287"/>
        <v>408800</v>
      </c>
      <c r="W319" s="1124">
        <f t="shared" si="287"/>
        <v>413700</v>
      </c>
      <c r="X319" s="1124">
        <f t="shared" si="287"/>
        <v>414100</v>
      </c>
      <c r="Y319" s="1124">
        <f t="shared" si="287"/>
        <v>413500</v>
      </c>
      <c r="Z319" s="1124">
        <f t="shared" si="287"/>
        <v>411800</v>
      </c>
      <c r="AA319" s="1124">
        <f t="shared" si="287"/>
        <v>408900</v>
      </c>
      <c r="AB319" s="1124">
        <f t="shared" si="287"/>
        <v>404700</v>
      </c>
      <c r="AC319" s="1124">
        <f t="shared" si="287"/>
        <v>399300</v>
      </c>
      <c r="AD319" s="1124">
        <f t="shared" si="287"/>
        <v>392600</v>
      </c>
      <c r="AE319" s="1124">
        <f t="shared" si="287"/>
        <v>384500</v>
      </c>
      <c r="AF319" s="1124">
        <f t="shared" si="287"/>
        <v>374900</v>
      </c>
      <c r="AG319" s="1124">
        <f t="shared" si="287"/>
        <v>363800</v>
      </c>
      <c r="AH319" s="1124">
        <f t="shared" si="287"/>
        <v>351400</v>
      </c>
      <c r="AI319" s="1124">
        <f t="shared" si="287"/>
        <v>337700</v>
      </c>
      <c r="AJ319" s="1124">
        <f t="shared" si="287"/>
        <v>0</v>
      </c>
      <c r="AK319" s="1124">
        <f t="shared" si="287"/>
        <v>0</v>
      </c>
      <c r="AL319" s="1124">
        <f t="shared" si="287"/>
        <v>0</v>
      </c>
      <c r="AM319" s="1124">
        <f t="shared" si="287"/>
        <v>0</v>
      </c>
      <c r="AN319" s="1124">
        <f t="shared" si="287"/>
        <v>0</v>
      </c>
      <c r="AO319" s="1124">
        <f t="shared" si="287"/>
        <v>0</v>
      </c>
      <c r="AP319" s="1124">
        <f t="shared" si="287"/>
        <v>0</v>
      </c>
      <c r="AQ319" s="1124">
        <f t="shared" si="287"/>
        <v>0</v>
      </c>
      <c r="AR319" s="1124">
        <f t="shared" si="287"/>
        <v>0</v>
      </c>
      <c r="AS319" s="1124">
        <f t="shared" si="287"/>
        <v>0</v>
      </c>
      <c r="AT319" s="31"/>
      <c r="AU319" s="78">
        <f>+Base!E319</f>
        <v>0</v>
      </c>
      <c r="AV319" s="81">
        <f t="shared" si="274"/>
        <v>0</v>
      </c>
      <c r="AW319" s="65"/>
    </row>
    <row r="320" spans="1:49" hidden="1">
      <c r="A320" s="1432" t="s">
        <v>639</v>
      </c>
      <c r="B320" s="72" t="s">
        <v>1544</v>
      </c>
      <c r="C320" s="3"/>
      <c r="E320" s="65">
        <f>SUM(F320:AS320)</f>
        <v>0</v>
      </c>
      <c r="F320" s="31">
        <f t="shared" ref="F320:AS320" si="288">+F95</f>
        <v>0</v>
      </c>
      <c r="G320" s="1124">
        <f t="shared" si="288"/>
        <v>0</v>
      </c>
      <c r="H320" s="1124">
        <f t="shared" si="288"/>
        <v>0</v>
      </c>
      <c r="I320" s="1124">
        <f t="shared" si="288"/>
        <v>0</v>
      </c>
      <c r="J320" s="1124">
        <f t="shared" si="288"/>
        <v>0</v>
      </c>
      <c r="K320" s="1124">
        <f t="shared" si="288"/>
        <v>0</v>
      </c>
      <c r="L320" s="1124">
        <f t="shared" si="288"/>
        <v>0</v>
      </c>
      <c r="M320" s="1124">
        <f t="shared" si="288"/>
        <v>0</v>
      </c>
      <c r="N320" s="1124">
        <f t="shared" si="288"/>
        <v>0</v>
      </c>
      <c r="O320" s="1124">
        <f t="shared" si="288"/>
        <v>0</v>
      </c>
      <c r="P320" s="1124">
        <f t="shared" si="288"/>
        <v>0</v>
      </c>
      <c r="Q320" s="1124">
        <f t="shared" si="288"/>
        <v>0</v>
      </c>
      <c r="R320" s="1124">
        <f t="shared" si="288"/>
        <v>0</v>
      </c>
      <c r="S320" s="1124">
        <f t="shared" si="288"/>
        <v>0</v>
      </c>
      <c r="T320" s="1124">
        <f t="shared" si="288"/>
        <v>0</v>
      </c>
      <c r="U320" s="1124">
        <f t="shared" si="288"/>
        <v>0</v>
      </c>
      <c r="V320" s="1124">
        <f t="shared" si="288"/>
        <v>0</v>
      </c>
      <c r="W320" s="1124">
        <f t="shared" si="288"/>
        <v>0</v>
      </c>
      <c r="X320" s="1124">
        <f t="shared" si="288"/>
        <v>0</v>
      </c>
      <c r="Y320" s="1124">
        <f t="shared" si="288"/>
        <v>0</v>
      </c>
      <c r="Z320" s="1124">
        <f t="shared" si="288"/>
        <v>0</v>
      </c>
      <c r="AA320" s="1124">
        <f t="shared" si="288"/>
        <v>0</v>
      </c>
      <c r="AB320" s="1124">
        <f t="shared" si="288"/>
        <v>0</v>
      </c>
      <c r="AC320" s="1124">
        <f t="shared" si="288"/>
        <v>0</v>
      </c>
      <c r="AD320" s="1124">
        <f t="shared" si="288"/>
        <v>0</v>
      </c>
      <c r="AE320" s="1124">
        <f t="shared" si="288"/>
        <v>0</v>
      </c>
      <c r="AF320" s="1124">
        <f t="shared" si="288"/>
        <v>0</v>
      </c>
      <c r="AG320" s="1124">
        <f t="shared" si="288"/>
        <v>0</v>
      </c>
      <c r="AH320" s="1124">
        <f t="shared" si="288"/>
        <v>0</v>
      </c>
      <c r="AI320" s="1124">
        <f t="shared" si="288"/>
        <v>0</v>
      </c>
      <c r="AJ320" s="1124">
        <f t="shared" si="288"/>
        <v>0</v>
      </c>
      <c r="AK320" s="1124">
        <f t="shared" si="288"/>
        <v>0</v>
      </c>
      <c r="AL320" s="1124">
        <f t="shared" si="288"/>
        <v>0</v>
      </c>
      <c r="AM320" s="1124">
        <f t="shared" si="288"/>
        <v>0</v>
      </c>
      <c r="AN320" s="1124">
        <f t="shared" si="288"/>
        <v>0</v>
      </c>
      <c r="AO320" s="1124">
        <f t="shared" si="288"/>
        <v>0</v>
      </c>
      <c r="AP320" s="1124">
        <f t="shared" si="288"/>
        <v>0</v>
      </c>
      <c r="AQ320" s="1124">
        <f t="shared" si="288"/>
        <v>0</v>
      </c>
      <c r="AR320" s="1124">
        <f t="shared" si="288"/>
        <v>0</v>
      </c>
      <c r="AS320" s="1124">
        <f t="shared" si="288"/>
        <v>0</v>
      </c>
      <c r="AT320" s="31"/>
      <c r="AU320" s="78">
        <f>+Base!E320</f>
        <v>0</v>
      </c>
      <c r="AV320" s="81">
        <f t="shared" si="274"/>
        <v>0</v>
      </c>
      <c r="AW320" s="65"/>
    </row>
    <row r="321" spans="1:49" hidden="1">
      <c r="A321" s="1432" t="s">
        <v>639</v>
      </c>
      <c r="B321" s="72" t="s">
        <v>1271</v>
      </c>
      <c r="C321" s="3"/>
      <c r="E321" s="363">
        <f ca="1">INDIRECT(ADDRESS(ROW(),Total_Years+5))</f>
        <v>337700</v>
      </c>
      <c r="F321" s="31">
        <f>+F306+F307+F308+F310+F312+F314+F316+F317+F318+F320</f>
        <v>491200</v>
      </c>
      <c r="G321" s="1124">
        <f>+G306+G307+G308+G310+G312+G314+G316+G317+G318+G320</f>
        <v>480600</v>
      </c>
      <c r="H321" s="1124">
        <f t="shared" ref="H321:AS321" si="289">+H306+H307+H308+H310+H312+H314+H316+H317+H318+H320</f>
        <v>468100</v>
      </c>
      <c r="I321" s="1124">
        <f t="shared" si="289"/>
        <v>453400</v>
      </c>
      <c r="J321" s="1124">
        <f t="shared" si="289"/>
        <v>436400</v>
      </c>
      <c r="K321" s="1124">
        <f t="shared" si="289"/>
        <v>416900</v>
      </c>
      <c r="L321" s="1124">
        <f t="shared" si="289"/>
        <v>394600</v>
      </c>
      <c r="M321" s="1124">
        <f t="shared" si="289"/>
        <v>369500</v>
      </c>
      <c r="N321" s="1124">
        <f t="shared" si="289"/>
        <v>383200</v>
      </c>
      <c r="O321" s="1124">
        <f t="shared" si="289"/>
        <v>383800</v>
      </c>
      <c r="P321" s="1124">
        <f t="shared" si="289"/>
        <v>384900</v>
      </c>
      <c r="Q321" s="1124">
        <f t="shared" si="289"/>
        <v>386300</v>
      </c>
      <c r="R321" s="1124">
        <f t="shared" si="289"/>
        <v>387900</v>
      </c>
      <c r="S321" s="1124">
        <f t="shared" si="289"/>
        <v>389600</v>
      </c>
      <c r="T321" s="1124">
        <f t="shared" si="289"/>
        <v>396600</v>
      </c>
      <c r="U321" s="1124">
        <f t="shared" si="289"/>
        <v>403100</v>
      </c>
      <c r="V321" s="1124">
        <f t="shared" si="289"/>
        <v>408800</v>
      </c>
      <c r="W321" s="1124">
        <f t="shared" si="289"/>
        <v>413700</v>
      </c>
      <c r="X321" s="1124">
        <f t="shared" si="289"/>
        <v>414100</v>
      </c>
      <c r="Y321" s="1124">
        <f t="shared" si="289"/>
        <v>413500</v>
      </c>
      <c r="Z321" s="1124">
        <f t="shared" si="289"/>
        <v>411800</v>
      </c>
      <c r="AA321" s="1124">
        <f t="shared" si="289"/>
        <v>408900</v>
      </c>
      <c r="AB321" s="1124">
        <f t="shared" si="289"/>
        <v>404700</v>
      </c>
      <c r="AC321" s="1124">
        <f t="shared" si="289"/>
        <v>399300</v>
      </c>
      <c r="AD321" s="1124">
        <f t="shared" si="289"/>
        <v>392600</v>
      </c>
      <c r="AE321" s="1124">
        <f t="shared" si="289"/>
        <v>384500</v>
      </c>
      <c r="AF321" s="1124">
        <f t="shared" si="289"/>
        <v>374900</v>
      </c>
      <c r="AG321" s="1124">
        <f t="shared" si="289"/>
        <v>363800</v>
      </c>
      <c r="AH321" s="1124">
        <f t="shared" si="289"/>
        <v>351400</v>
      </c>
      <c r="AI321" s="1124">
        <f t="shared" si="289"/>
        <v>337700</v>
      </c>
      <c r="AJ321" s="1124">
        <f t="shared" si="289"/>
        <v>0</v>
      </c>
      <c r="AK321" s="1124">
        <f t="shared" si="289"/>
        <v>0</v>
      </c>
      <c r="AL321" s="1124">
        <f t="shared" si="289"/>
        <v>0</v>
      </c>
      <c r="AM321" s="1124">
        <f t="shared" si="289"/>
        <v>0</v>
      </c>
      <c r="AN321" s="1124">
        <f t="shared" si="289"/>
        <v>0</v>
      </c>
      <c r="AO321" s="1124">
        <f t="shared" si="289"/>
        <v>0</v>
      </c>
      <c r="AP321" s="1124">
        <f t="shared" si="289"/>
        <v>0</v>
      </c>
      <c r="AQ321" s="1124">
        <f t="shared" si="289"/>
        <v>0</v>
      </c>
      <c r="AR321" s="1124">
        <f t="shared" si="289"/>
        <v>0</v>
      </c>
      <c r="AS321" s="1124">
        <f t="shared" si="289"/>
        <v>0</v>
      </c>
      <c r="AT321" s="31"/>
      <c r="AU321" s="78">
        <f ca="1">+Base!E321</f>
        <v>337700</v>
      </c>
      <c r="AV321" s="81">
        <f ca="1">+E321-AU321</f>
        <v>0</v>
      </c>
      <c r="AW321" s="363"/>
    </row>
    <row r="322" spans="1:49" hidden="1">
      <c r="A322" s="1432" t="s">
        <v>639</v>
      </c>
      <c r="B322" s="72"/>
      <c r="C322" s="3"/>
      <c r="E322" s="363"/>
      <c r="F322" s="31"/>
      <c r="G322" s="31"/>
      <c r="H322" s="31"/>
      <c r="I322" s="31"/>
      <c r="J322" s="31"/>
      <c r="K322" s="31"/>
      <c r="L322" s="31"/>
      <c r="M322" s="31"/>
      <c r="N322" s="31"/>
      <c r="O322" s="31"/>
      <c r="P322" s="31"/>
      <c r="Q322" s="31"/>
      <c r="R322" s="31"/>
      <c r="S322" s="31"/>
      <c r="T322" s="31"/>
      <c r="U322" s="31"/>
      <c r="V322" s="31"/>
      <c r="W322" s="31"/>
      <c r="X322" s="31"/>
      <c r="Y322" s="31"/>
      <c r="Z322" s="31"/>
      <c r="AA322" s="31"/>
      <c r="AB322" s="31"/>
      <c r="AC322" s="31"/>
      <c r="AD322" s="31"/>
      <c r="AE322" s="31"/>
      <c r="AF322" s="31"/>
      <c r="AG322" s="31"/>
      <c r="AH322" s="31"/>
      <c r="AI322" s="31"/>
      <c r="AJ322" s="31"/>
      <c r="AK322" s="31"/>
      <c r="AL322" s="31"/>
      <c r="AM322" s="31"/>
      <c r="AN322" s="31"/>
      <c r="AO322" s="31"/>
      <c r="AP322" s="31"/>
      <c r="AQ322" s="31"/>
      <c r="AR322" s="31"/>
      <c r="AS322" s="31"/>
      <c r="AT322" s="31"/>
      <c r="AU322" s="78"/>
      <c r="AV322" s="81"/>
      <c r="AW322" s="363"/>
    </row>
    <row r="323" spans="1:49" ht="15.6" hidden="1">
      <c r="A323" s="1432" t="s">
        <v>639</v>
      </c>
      <c r="B323" s="25" t="s">
        <v>1536</v>
      </c>
      <c r="C323" s="3"/>
      <c r="E323" s="363"/>
      <c r="F323" s="31"/>
      <c r="G323" s="31"/>
      <c r="H323" s="31"/>
      <c r="I323" s="31"/>
      <c r="J323" s="31"/>
      <c r="K323" s="31"/>
      <c r="L323" s="31"/>
      <c r="M323" s="31"/>
      <c r="N323" s="31"/>
      <c r="O323" s="31"/>
      <c r="P323" s="31"/>
      <c r="Q323" s="31"/>
      <c r="R323" s="31"/>
      <c r="S323" s="31"/>
      <c r="T323" s="31"/>
      <c r="U323" s="31"/>
      <c r="V323" s="31"/>
      <c r="W323" s="31"/>
      <c r="X323" s="31"/>
      <c r="Y323" s="31"/>
      <c r="Z323" s="31"/>
      <c r="AA323" s="31"/>
      <c r="AB323" s="31"/>
      <c r="AC323" s="31"/>
      <c r="AD323" s="31"/>
      <c r="AE323" s="31"/>
      <c r="AF323" s="31"/>
      <c r="AG323" s="31"/>
      <c r="AH323" s="31"/>
      <c r="AI323" s="31"/>
      <c r="AJ323" s="31"/>
      <c r="AK323" s="31"/>
      <c r="AL323" s="31"/>
      <c r="AM323" s="31"/>
      <c r="AN323" s="31"/>
      <c r="AO323" s="31"/>
      <c r="AP323" s="31"/>
      <c r="AQ323" s="31"/>
      <c r="AR323" s="31"/>
      <c r="AS323" s="31"/>
      <c r="AT323" s="31"/>
      <c r="AU323" s="78"/>
      <c r="AV323" s="81"/>
      <c r="AW323" s="363"/>
    </row>
    <row r="324" spans="1:49" hidden="1">
      <c r="A324" s="1432" t="s">
        <v>639</v>
      </c>
      <c r="B324" s="72" t="s">
        <v>155</v>
      </c>
      <c r="C324" s="3"/>
      <c r="E324" s="363"/>
      <c r="F324" s="1292">
        <f>+F10</f>
        <v>200000</v>
      </c>
      <c r="G324" s="1124">
        <f t="shared" ref="G324:AS324" si="290">+F332*IF(G$7-$F$7&lt;=Total_Years-1,1,0)</f>
        <v>218500</v>
      </c>
      <c r="H324" s="1124">
        <f t="shared" si="290"/>
        <v>238100</v>
      </c>
      <c r="I324" s="1124">
        <f t="shared" si="290"/>
        <v>258800</v>
      </c>
      <c r="J324" s="1124">
        <f t="shared" si="290"/>
        <v>280800</v>
      </c>
      <c r="K324" s="1124">
        <f t="shared" si="290"/>
        <v>304100</v>
      </c>
      <c r="L324" s="1124">
        <f t="shared" si="290"/>
        <v>328700</v>
      </c>
      <c r="M324" s="1124">
        <f t="shared" si="290"/>
        <v>354800</v>
      </c>
      <c r="N324" s="1124">
        <f t="shared" si="290"/>
        <v>382400</v>
      </c>
      <c r="O324" s="1124">
        <f t="shared" si="290"/>
        <v>411700</v>
      </c>
      <c r="P324" s="1124">
        <f t="shared" si="290"/>
        <v>420500</v>
      </c>
      <c r="Q324" s="1124">
        <f t="shared" si="290"/>
        <v>428900</v>
      </c>
      <c r="R324" s="1124">
        <f t="shared" si="290"/>
        <v>436900</v>
      </c>
      <c r="S324" s="1124">
        <f t="shared" si="290"/>
        <v>444500</v>
      </c>
      <c r="T324" s="1124">
        <f t="shared" si="290"/>
        <v>451500</v>
      </c>
      <c r="U324" s="1124">
        <f t="shared" si="290"/>
        <v>457900</v>
      </c>
      <c r="V324" s="1124">
        <f t="shared" si="290"/>
        <v>463500</v>
      </c>
      <c r="W324" s="1124">
        <f t="shared" si="290"/>
        <v>468300</v>
      </c>
      <c r="X324" s="1124">
        <f t="shared" si="290"/>
        <v>472100</v>
      </c>
      <c r="Y324" s="1124">
        <f t="shared" si="290"/>
        <v>472300</v>
      </c>
      <c r="Z324" s="1124">
        <f t="shared" si="290"/>
        <v>471400</v>
      </c>
      <c r="AA324" s="1124">
        <f t="shared" si="290"/>
        <v>469400</v>
      </c>
      <c r="AB324" s="1124">
        <f t="shared" si="290"/>
        <v>466000</v>
      </c>
      <c r="AC324" s="1124">
        <f t="shared" si="290"/>
        <v>461300</v>
      </c>
      <c r="AD324" s="1124">
        <f t="shared" si="290"/>
        <v>455200</v>
      </c>
      <c r="AE324" s="1124">
        <f t="shared" si="290"/>
        <v>447700</v>
      </c>
      <c r="AF324" s="1124">
        <f t="shared" si="290"/>
        <v>438800</v>
      </c>
      <c r="AG324" s="1124">
        <f t="shared" si="290"/>
        <v>428500</v>
      </c>
      <c r="AH324" s="1124">
        <f t="shared" si="290"/>
        <v>416600</v>
      </c>
      <c r="AI324" s="1124">
        <f t="shared" si="290"/>
        <v>403100</v>
      </c>
      <c r="AJ324" s="1124">
        <f t="shared" si="290"/>
        <v>0</v>
      </c>
      <c r="AK324" s="1124">
        <f t="shared" si="290"/>
        <v>0</v>
      </c>
      <c r="AL324" s="1124">
        <f t="shared" si="290"/>
        <v>0</v>
      </c>
      <c r="AM324" s="1124">
        <f t="shared" si="290"/>
        <v>0</v>
      </c>
      <c r="AN324" s="1124">
        <f t="shared" si="290"/>
        <v>0</v>
      </c>
      <c r="AO324" s="1124">
        <f t="shared" si="290"/>
        <v>0</v>
      </c>
      <c r="AP324" s="1124">
        <f t="shared" si="290"/>
        <v>0</v>
      </c>
      <c r="AQ324" s="1124">
        <f t="shared" si="290"/>
        <v>0</v>
      </c>
      <c r="AR324" s="1124">
        <f t="shared" si="290"/>
        <v>0</v>
      </c>
      <c r="AS324" s="1124">
        <f t="shared" si="290"/>
        <v>0</v>
      </c>
      <c r="AT324" s="31"/>
      <c r="AU324" s="78">
        <f>+Base!E324</f>
        <v>0</v>
      </c>
      <c r="AV324" s="81">
        <f t="shared" ref="AV324:AV331" si="291">+E324-AU324</f>
        <v>0</v>
      </c>
      <c r="AW324" s="363"/>
    </row>
    <row r="325" spans="1:49" hidden="1">
      <c r="A325" s="1432" t="s">
        <v>639</v>
      </c>
      <c r="B325" s="1018" t="s">
        <v>1825</v>
      </c>
      <c r="C325" s="3"/>
      <c r="E325" s="65">
        <f>SUM(F325:AS325)</f>
        <v>58500</v>
      </c>
      <c r="F325" s="354">
        <f t="shared" ref="F325:AS325" si="292">+F98</f>
        <v>6500</v>
      </c>
      <c r="G325" s="1124">
        <f t="shared" si="292"/>
        <v>6500</v>
      </c>
      <c r="H325" s="1124">
        <f t="shared" si="292"/>
        <v>6500</v>
      </c>
      <c r="I325" s="1124">
        <f t="shared" si="292"/>
        <v>6500</v>
      </c>
      <c r="J325" s="1124">
        <f t="shared" si="292"/>
        <v>6500</v>
      </c>
      <c r="K325" s="1124">
        <f t="shared" si="292"/>
        <v>6500</v>
      </c>
      <c r="L325" s="1124">
        <f t="shared" si="292"/>
        <v>6500</v>
      </c>
      <c r="M325" s="1124">
        <f t="shared" si="292"/>
        <v>6500</v>
      </c>
      <c r="N325" s="1124">
        <f t="shared" si="292"/>
        <v>6500</v>
      </c>
      <c r="O325" s="1124">
        <f t="shared" si="292"/>
        <v>0</v>
      </c>
      <c r="P325" s="1124">
        <f t="shared" si="292"/>
        <v>0</v>
      </c>
      <c r="Q325" s="1124">
        <f t="shared" si="292"/>
        <v>0</v>
      </c>
      <c r="R325" s="1124">
        <f t="shared" si="292"/>
        <v>0</v>
      </c>
      <c r="S325" s="1124">
        <f t="shared" si="292"/>
        <v>0</v>
      </c>
      <c r="T325" s="1124">
        <f t="shared" si="292"/>
        <v>0</v>
      </c>
      <c r="U325" s="1124">
        <f t="shared" si="292"/>
        <v>0</v>
      </c>
      <c r="V325" s="1124">
        <f t="shared" si="292"/>
        <v>0</v>
      </c>
      <c r="W325" s="1124">
        <f t="shared" si="292"/>
        <v>0</v>
      </c>
      <c r="X325" s="1124">
        <f t="shared" si="292"/>
        <v>0</v>
      </c>
      <c r="Y325" s="1124">
        <f t="shared" si="292"/>
        <v>0</v>
      </c>
      <c r="Z325" s="1124">
        <f t="shared" si="292"/>
        <v>0</v>
      </c>
      <c r="AA325" s="1124">
        <f t="shared" si="292"/>
        <v>0</v>
      </c>
      <c r="AB325" s="1124">
        <f t="shared" si="292"/>
        <v>0</v>
      </c>
      <c r="AC325" s="1124">
        <f t="shared" si="292"/>
        <v>0</v>
      </c>
      <c r="AD325" s="1124">
        <f t="shared" si="292"/>
        <v>0</v>
      </c>
      <c r="AE325" s="1124">
        <f t="shared" si="292"/>
        <v>0</v>
      </c>
      <c r="AF325" s="1124">
        <f t="shared" si="292"/>
        <v>0</v>
      </c>
      <c r="AG325" s="1124">
        <f t="shared" si="292"/>
        <v>0</v>
      </c>
      <c r="AH325" s="1124">
        <f t="shared" si="292"/>
        <v>0</v>
      </c>
      <c r="AI325" s="1124">
        <f t="shared" si="292"/>
        <v>0</v>
      </c>
      <c r="AJ325" s="1124">
        <f t="shared" si="292"/>
        <v>0</v>
      </c>
      <c r="AK325" s="1124">
        <f t="shared" si="292"/>
        <v>0</v>
      </c>
      <c r="AL325" s="1124">
        <f t="shared" si="292"/>
        <v>0</v>
      </c>
      <c r="AM325" s="1124">
        <f t="shared" si="292"/>
        <v>0</v>
      </c>
      <c r="AN325" s="1124">
        <f t="shared" si="292"/>
        <v>0</v>
      </c>
      <c r="AO325" s="1124">
        <f t="shared" si="292"/>
        <v>0</v>
      </c>
      <c r="AP325" s="1124">
        <f t="shared" si="292"/>
        <v>0</v>
      </c>
      <c r="AQ325" s="1124">
        <f t="shared" si="292"/>
        <v>0</v>
      </c>
      <c r="AR325" s="1124">
        <f t="shared" si="292"/>
        <v>0</v>
      </c>
      <c r="AS325" s="1124">
        <f t="shared" si="292"/>
        <v>0</v>
      </c>
      <c r="AT325" s="31"/>
      <c r="AU325" s="78">
        <f>+Base!E325</f>
        <v>58500</v>
      </c>
      <c r="AV325" s="81">
        <f>+E325-AU325</f>
        <v>0</v>
      </c>
      <c r="AW325" s="363"/>
    </row>
    <row r="326" spans="1:49" hidden="1">
      <c r="A326" s="1432" t="s">
        <v>639</v>
      </c>
      <c r="B326" s="72" t="s">
        <v>156</v>
      </c>
      <c r="C326" s="3"/>
      <c r="E326" s="65">
        <f>SUM(F326:AS326)</f>
        <v>-530400</v>
      </c>
      <c r="F326" s="31">
        <f t="shared" ref="F326:AS326" si="293">+F102</f>
        <v>0</v>
      </c>
      <c r="G326" s="1124">
        <f t="shared" si="293"/>
        <v>0</v>
      </c>
      <c r="H326" s="1124">
        <f t="shared" si="293"/>
        <v>0</v>
      </c>
      <c r="I326" s="1124">
        <f t="shared" si="293"/>
        <v>0</v>
      </c>
      <c r="J326" s="1124">
        <f t="shared" si="293"/>
        <v>0</v>
      </c>
      <c r="K326" s="1124">
        <f t="shared" si="293"/>
        <v>0</v>
      </c>
      <c r="L326" s="1124">
        <f t="shared" si="293"/>
        <v>0</v>
      </c>
      <c r="M326" s="1124">
        <f t="shared" si="293"/>
        <v>0</v>
      </c>
      <c r="N326" s="1124">
        <f t="shared" si="293"/>
        <v>0</v>
      </c>
      <c r="O326" s="1124">
        <f t="shared" si="293"/>
        <v>-15000</v>
      </c>
      <c r="P326" s="1124">
        <f t="shared" si="293"/>
        <v>-15900</v>
      </c>
      <c r="Q326" s="1124">
        <f t="shared" si="293"/>
        <v>-16800</v>
      </c>
      <c r="R326" s="1124">
        <f t="shared" si="293"/>
        <v>-17700</v>
      </c>
      <c r="S326" s="1124">
        <f t="shared" si="293"/>
        <v>-18700</v>
      </c>
      <c r="T326" s="1124">
        <f t="shared" si="293"/>
        <v>-19700</v>
      </c>
      <c r="U326" s="1124">
        <f t="shared" si="293"/>
        <v>-20800</v>
      </c>
      <c r="V326" s="1124">
        <f t="shared" si="293"/>
        <v>-21900</v>
      </c>
      <c r="W326" s="1124">
        <f t="shared" si="293"/>
        <v>-23100</v>
      </c>
      <c r="X326" s="1124">
        <f t="shared" si="293"/>
        <v>-24200</v>
      </c>
      <c r="Y326" s="1124">
        <f t="shared" si="293"/>
        <v>-25300</v>
      </c>
      <c r="Z326" s="1124">
        <f t="shared" si="293"/>
        <v>-26300</v>
      </c>
      <c r="AA326" s="1124">
        <f t="shared" si="293"/>
        <v>-27500</v>
      </c>
      <c r="AB326" s="1124">
        <f t="shared" si="293"/>
        <v>-28600</v>
      </c>
      <c r="AC326" s="1124">
        <f t="shared" si="293"/>
        <v>-29800</v>
      </c>
      <c r="AD326" s="1124">
        <f t="shared" si="293"/>
        <v>-30800</v>
      </c>
      <c r="AE326" s="1124">
        <f t="shared" si="293"/>
        <v>-31800</v>
      </c>
      <c r="AF326" s="1124">
        <f t="shared" si="293"/>
        <v>-32700</v>
      </c>
      <c r="AG326" s="1124">
        <f t="shared" si="293"/>
        <v>-33700</v>
      </c>
      <c r="AH326" s="1124">
        <f t="shared" si="293"/>
        <v>-34700</v>
      </c>
      <c r="AI326" s="1124">
        <f t="shared" si="293"/>
        <v>-35400</v>
      </c>
      <c r="AJ326" s="1124">
        <f t="shared" si="293"/>
        <v>0</v>
      </c>
      <c r="AK326" s="1124">
        <f t="shared" si="293"/>
        <v>0</v>
      </c>
      <c r="AL326" s="1124">
        <f t="shared" si="293"/>
        <v>0</v>
      </c>
      <c r="AM326" s="1124">
        <f t="shared" si="293"/>
        <v>0</v>
      </c>
      <c r="AN326" s="1124">
        <f t="shared" si="293"/>
        <v>0</v>
      </c>
      <c r="AO326" s="1124">
        <f t="shared" si="293"/>
        <v>0</v>
      </c>
      <c r="AP326" s="1124">
        <f t="shared" si="293"/>
        <v>0</v>
      </c>
      <c r="AQ326" s="1124">
        <f t="shared" si="293"/>
        <v>0</v>
      </c>
      <c r="AR326" s="1124">
        <f t="shared" si="293"/>
        <v>0</v>
      </c>
      <c r="AS326" s="1124">
        <f t="shared" si="293"/>
        <v>0</v>
      </c>
      <c r="AT326" s="31"/>
      <c r="AU326" s="78">
        <f>+Base!E326</f>
        <v>-530400</v>
      </c>
      <c r="AV326" s="81">
        <f t="shared" si="291"/>
        <v>0</v>
      </c>
      <c r="AW326" s="65"/>
    </row>
    <row r="327" spans="1:49" s="3" customFormat="1" ht="15.6" hidden="1">
      <c r="A327" s="1432" t="s">
        <v>639</v>
      </c>
      <c r="B327" s="424" t="s">
        <v>160</v>
      </c>
      <c r="D327" s="327"/>
      <c r="E327" s="363"/>
      <c r="F327" s="190">
        <f t="shared" ref="F327:AS327" si="294">IF(AND(Start_Compare3&lt;=F$4,OR(End_Compare3&gt;=F$4,End_Compare3=0)),IF(+F324+F325+F326&lt;=0,0,+F324+F325+F326))*IF(F$7-$F$7&lt;=Total_Years-1,1,0)</f>
        <v>206500</v>
      </c>
      <c r="G327" s="1124">
        <f t="shared" si="294"/>
        <v>225000</v>
      </c>
      <c r="H327" s="1124">
        <f t="shared" si="294"/>
        <v>244600</v>
      </c>
      <c r="I327" s="1124">
        <f t="shared" si="294"/>
        <v>265300</v>
      </c>
      <c r="J327" s="1124">
        <f t="shared" si="294"/>
        <v>287300</v>
      </c>
      <c r="K327" s="1124">
        <f t="shared" si="294"/>
        <v>310600</v>
      </c>
      <c r="L327" s="1124">
        <f t="shared" si="294"/>
        <v>335200</v>
      </c>
      <c r="M327" s="1124">
        <f t="shared" si="294"/>
        <v>361300</v>
      </c>
      <c r="N327" s="1124">
        <f t="shared" si="294"/>
        <v>388900</v>
      </c>
      <c r="O327" s="1124">
        <f t="shared" si="294"/>
        <v>396700</v>
      </c>
      <c r="P327" s="1124">
        <f t="shared" si="294"/>
        <v>404600</v>
      </c>
      <c r="Q327" s="1124">
        <f t="shared" si="294"/>
        <v>412100</v>
      </c>
      <c r="R327" s="1124">
        <f t="shared" si="294"/>
        <v>419200</v>
      </c>
      <c r="S327" s="1124">
        <f t="shared" si="294"/>
        <v>425800</v>
      </c>
      <c r="T327" s="1124">
        <f t="shared" si="294"/>
        <v>431800</v>
      </c>
      <c r="U327" s="1124">
        <f t="shared" si="294"/>
        <v>437100</v>
      </c>
      <c r="V327" s="1124">
        <f t="shared" si="294"/>
        <v>441600</v>
      </c>
      <c r="W327" s="1124">
        <f t="shared" si="294"/>
        <v>445200</v>
      </c>
      <c r="X327" s="1124">
        <f t="shared" si="294"/>
        <v>447900</v>
      </c>
      <c r="Y327" s="1124">
        <f t="shared" si="294"/>
        <v>447000</v>
      </c>
      <c r="Z327" s="1124">
        <f t="shared" si="294"/>
        <v>445100</v>
      </c>
      <c r="AA327" s="1124">
        <f t="shared" si="294"/>
        <v>441900</v>
      </c>
      <c r="AB327" s="1124">
        <f t="shared" si="294"/>
        <v>437400</v>
      </c>
      <c r="AC327" s="1124">
        <f t="shared" si="294"/>
        <v>431500</v>
      </c>
      <c r="AD327" s="1124">
        <f t="shared" si="294"/>
        <v>424400</v>
      </c>
      <c r="AE327" s="1124">
        <f t="shared" si="294"/>
        <v>415900</v>
      </c>
      <c r="AF327" s="1124">
        <f t="shared" si="294"/>
        <v>406100</v>
      </c>
      <c r="AG327" s="1124">
        <f t="shared" si="294"/>
        <v>394800</v>
      </c>
      <c r="AH327" s="1124">
        <f t="shared" si="294"/>
        <v>381900</v>
      </c>
      <c r="AI327" s="1124">
        <f t="shared" si="294"/>
        <v>367700</v>
      </c>
      <c r="AJ327" s="1124">
        <f t="shared" si="294"/>
        <v>0</v>
      </c>
      <c r="AK327" s="1124">
        <f t="shared" si="294"/>
        <v>0</v>
      </c>
      <c r="AL327" s="1124">
        <f t="shared" si="294"/>
        <v>0</v>
      </c>
      <c r="AM327" s="1124">
        <f t="shared" si="294"/>
        <v>0</v>
      </c>
      <c r="AN327" s="1124">
        <f t="shared" si="294"/>
        <v>0</v>
      </c>
      <c r="AO327" s="1124">
        <f t="shared" si="294"/>
        <v>0</v>
      </c>
      <c r="AP327" s="1124">
        <f t="shared" si="294"/>
        <v>0</v>
      </c>
      <c r="AQ327" s="1124">
        <f t="shared" si="294"/>
        <v>0</v>
      </c>
      <c r="AR327" s="1124">
        <f t="shared" si="294"/>
        <v>0</v>
      </c>
      <c r="AS327" s="1124">
        <f t="shared" si="294"/>
        <v>0</v>
      </c>
      <c r="AT327" s="190"/>
      <c r="AU327" s="78">
        <f>+Base!E327</f>
        <v>0</v>
      </c>
      <c r="AV327" s="81">
        <f t="shared" si="291"/>
        <v>0</v>
      </c>
      <c r="AW327" s="363"/>
    </row>
    <row r="328" spans="1:49" ht="15.6" hidden="1">
      <c r="A328" s="1432" t="s">
        <v>639</v>
      </c>
      <c r="B328" s="72" t="s">
        <v>164</v>
      </c>
      <c r="C328" s="1727" t="str">
        <f>"during ages " &amp; Start_Compare3 &amp; " - " &amp; End_Compare3</f>
        <v xml:space="preserve">during ages  - </v>
      </c>
      <c r="E328" s="65">
        <f>SUM(F328:AS328)</f>
        <v>0</v>
      </c>
      <c r="F328" s="31">
        <f t="shared" ref="F328:AS328" si="295">+F99</f>
        <v>0</v>
      </c>
      <c r="G328" s="1124">
        <f t="shared" si="295"/>
        <v>0</v>
      </c>
      <c r="H328" s="1124">
        <f t="shared" si="295"/>
        <v>0</v>
      </c>
      <c r="I328" s="1124">
        <f t="shared" si="295"/>
        <v>0</v>
      </c>
      <c r="J328" s="1124">
        <f t="shared" si="295"/>
        <v>0</v>
      </c>
      <c r="K328" s="1124">
        <f t="shared" si="295"/>
        <v>0</v>
      </c>
      <c r="L328" s="1124">
        <f t="shared" si="295"/>
        <v>0</v>
      </c>
      <c r="M328" s="1124">
        <f t="shared" si="295"/>
        <v>0</v>
      </c>
      <c r="N328" s="1124">
        <f t="shared" si="295"/>
        <v>0</v>
      </c>
      <c r="O328" s="1124">
        <f t="shared" si="295"/>
        <v>0</v>
      </c>
      <c r="P328" s="1124">
        <f t="shared" si="295"/>
        <v>0</v>
      </c>
      <c r="Q328" s="1124">
        <f t="shared" si="295"/>
        <v>0</v>
      </c>
      <c r="R328" s="1124">
        <f t="shared" si="295"/>
        <v>0</v>
      </c>
      <c r="S328" s="1124">
        <f t="shared" si="295"/>
        <v>0</v>
      </c>
      <c r="T328" s="1124">
        <f t="shared" si="295"/>
        <v>0</v>
      </c>
      <c r="U328" s="1124">
        <f t="shared" si="295"/>
        <v>0</v>
      </c>
      <c r="V328" s="1124">
        <f t="shared" si="295"/>
        <v>0</v>
      </c>
      <c r="W328" s="1124">
        <f t="shared" si="295"/>
        <v>0</v>
      </c>
      <c r="X328" s="1124">
        <f t="shared" si="295"/>
        <v>0</v>
      </c>
      <c r="Y328" s="1124">
        <f t="shared" si="295"/>
        <v>0</v>
      </c>
      <c r="Z328" s="1124">
        <f t="shared" si="295"/>
        <v>0</v>
      </c>
      <c r="AA328" s="1124">
        <f t="shared" si="295"/>
        <v>0</v>
      </c>
      <c r="AB328" s="1124">
        <f t="shared" si="295"/>
        <v>0</v>
      </c>
      <c r="AC328" s="1124">
        <f t="shared" si="295"/>
        <v>0</v>
      </c>
      <c r="AD328" s="1124">
        <f t="shared" si="295"/>
        <v>0</v>
      </c>
      <c r="AE328" s="1124">
        <f t="shared" si="295"/>
        <v>0</v>
      </c>
      <c r="AF328" s="1124">
        <f t="shared" si="295"/>
        <v>0</v>
      </c>
      <c r="AG328" s="1124">
        <f t="shared" si="295"/>
        <v>0</v>
      </c>
      <c r="AH328" s="1124">
        <f t="shared" si="295"/>
        <v>0</v>
      </c>
      <c r="AI328" s="1124">
        <f t="shared" si="295"/>
        <v>0</v>
      </c>
      <c r="AJ328" s="1124">
        <f t="shared" si="295"/>
        <v>0</v>
      </c>
      <c r="AK328" s="1124">
        <f t="shared" si="295"/>
        <v>0</v>
      </c>
      <c r="AL328" s="1124">
        <f t="shared" si="295"/>
        <v>0</v>
      </c>
      <c r="AM328" s="1124">
        <f t="shared" si="295"/>
        <v>0</v>
      </c>
      <c r="AN328" s="1124">
        <f t="shared" si="295"/>
        <v>0</v>
      </c>
      <c r="AO328" s="1124">
        <f t="shared" si="295"/>
        <v>0</v>
      </c>
      <c r="AP328" s="1124">
        <f t="shared" si="295"/>
        <v>0</v>
      </c>
      <c r="AQ328" s="1124">
        <f t="shared" si="295"/>
        <v>0</v>
      </c>
      <c r="AR328" s="1124">
        <f t="shared" si="295"/>
        <v>0</v>
      </c>
      <c r="AS328" s="1124">
        <f t="shared" si="295"/>
        <v>0</v>
      </c>
      <c r="AT328" s="31"/>
      <c r="AU328" s="78">
        <f>+Base!E328</f>
        <v>0</v>
      </c>
      <c r="AV328" s="81">
        <f t="shared" si="291"/>
        <v>0</v>
      </c>
      <c r="AW328" s="65"/>
    </row>
    <row r="329" spans="1:49" hidden="1">
      <c r="A329" s="1432" t="s">
        <v>639</v>
      </c>
      <c r="B329" s="72" t="s">
        <v>166</v>
      </c>
      <c r="C329" s="3"/>
      <c r="E329" s="65">
        <f>SUM(F329:AS329)</f>
        <v>660000</v>
      </c>
      <c r="F329" s="31">
        <f t="shared" ref="F329:AS329" si="296">+F30</f>
        <v>12000</v>
      </c>
      <c r="G329" s="1124">
        <f t="shared" si="296"/>
        <v>13100</v>
      </c>
      <c r="H329" s="1124">
        <f t="shared" si="296"/>
        <v>14200</v>
      </c>
      <c r="I329" s="1124">
        <f t="shared" si="296"/>
        <v>15500</v>
      </c>
      <c r="J329" s="1124">
        <f t="shared" si="296"/>
        <v>16800</v>
      </c>
      <c r="K329" s="1124">
        <f t="shared" si="296"/>
        <v>18100</v>
      </c>
      <c r="L329" s="1124">
        <f t="shared" si="296"/>
        <v>19600</v>
      </c>
      <c r="M329" s="1124">
        <f t="shared" si="296"/>
        <v>21100</v>
      </c>
      <c r="N329" s="1124">
        <f t="shared" si="296"/>
        <v>22800</v>
      </c>
      <c r="O329" s="1124">
        <f t="shared" si="296"/>
        <v>23800</v>
      </c>
      <c r="P329" s="1124">
        <f t="shared" si="296"/>
        <v>24300</v>
      </c>
      <c r="Q329" s="1124">
        <f t="shared" si="296"/>
        <v>24800</v>
      </c>
      <c r="R329" s="1124">
        <f t="shared" si="296"/>
        <v>25300</v>
      </c>
      <c r="S329" s="1124">
        <f t="shared" si="296"/>
        <v>25700</v>
      </c>
      <c r="T329" s="1124">
        <f t="shared" si="296"/>
        <v>26100</v>
      </c>
      <c r="U329" s="1124">
        <f t="shared" si="296"/>
        <v>26400</v>
      </c>
      <c r="V329" s="1124">
        <f t="shared" si="296"/>
        <v>26700</v>
      </c>
      <c r="W329" s="1124">
        <f t="shared" si="296"/>
        <v>26900</v>
      </c>
      <c r="X329" s="1124">
        <f t="shared" si="296"/>
        <v>24400</v>
      </c>
      <c r="Y329" s="1124">
        <f t="shared" si="296"/>
        <v>24400</v>
      </c>
      <c r="Z329" s="1124">
        <f t="shared" si="296"/>
        <v>24300</v>
      </c>
      <c r="AA329" s="1124">
        <f t="shared" si="296"/>
        <v>24100</v>
      </c>
      <c r="AB329" s="1124">
        <f t="shared" si="296"/>
        <v>23900</v>
      </c>
      <c r="AC329" s="1124">
        <f t="shared" si="296"/>
        <v>23700</v>
      </c>
      <c r="AD329" s="1124">
        <f t="shared" si="296"/>
        <v>23300</v>
      </c>
      <c r="AE329" s="1124">
        <f t="shared" si="296"/>
        <v>22900</v>
      </c>
      <c r="AF329" s="1124">
        <f t="shared" si="296"/>
        <v>22400</v>
      </c>
      <c r="AG329" s="1124">
        <f t="shared" si="296"/>
        <v>21800</v>
      </c>
      <c r="AH329" s="1124">
        <f t="shared" si="296"/>
        <v>21200</v>
      </c>
      <c r="AI329" s="1124">
        <f t="shared" si="296"/>
        <v>20400</v>
      </c>
      <c r="AJ329" s="1124">
        <f t="shared" si="296"/>
        <v>0</v>
      </c>
      <c r="AK329" s="1124">
        <f t="shared" si="296"/>
        <v>0</v>
      </c>
      <c r="AL329" s="1124">
        <f t="shared" si="296"/>
        <v>0</v>
      </c>
      <c r="AM329" s="1124">
        <f t="shared" si="296"/>
        <v>0</v>
      </c>
      <c r="AN329" s="1124">
        <f t="shared" si="296"/>
        <v>0</v>
      </c>
      <c r="AO329" s="1124">
        <f t="shared" si="296"/>
        <v>0</v>
      </c>
      <c r="AP329" s="1124">
        <f t="shared" si="296"/>
        <v>0</v>
      </c>
      <c r="AQ329" s="1124">
        <f t="shared" si="296"/>
        <v>0</v>
      </c>
      <c r="AR329" s="1124">
        <f t="shared" si="296"/>
        <v>0</v>
      </c>
      <c r="AS329" s="1124">
        <f t="shared" si="296"/>
        <v>0</v>
      </c>
      <c r="AT329" s="31"/>
      <c r="AU329" s="78">
        <f>+Base!E329</f>
        <v>660000</v>
      </c>
      <c r="AV329" s="81">
        <f t="shared" si="291"/>
        <v>0</v>
      </c>
      <c r="AW329" s="65"/>
    </row>
    <row r="330" spans="1:49" ht="15.6" hidden="1">
      <c r="A330" s="1432" t="s">
        <v>639</v>
      </c>
      <c r="B330" s="28" t="s">
        <v>1543</v>
      </c>
      <c r="C330" s="3"/>
      <c r="E330" s="363"/>
      <c r="F330" s="31">
        <f>+F324+F325+F326+F328+F329</f>
        <v>218500</v>
      </c>
      <c r="G330" s="1124">
        <f>+G324+G325+G326+G328+G329</f>
        <v>238100</v>
      </c>
      <c r="H330" s="1124">
        <f t="shared" ref="H330:AS330" si="297">+H324+H325+H326+H328+H329</f>
        <v>258800</v>
      </c>
      <c r="I330" s="1124">
        <f t="shared" si="297"/>
        <v>280800</v>
      </c>
      <c r="J330" s="1124">
        <f t="shared" si="297"/>
        <v>304100</v>
      </c>
      <c r="K330" s="1124">
        <f t="shared" si="297"/>
        <v>328700</v>
      </c>
      <c r="L330" s="1124">
        <f t="shared" si="297"/>
        <v>354800</v>
      </c>
      <c r="M330" s="1124">
        <f t="shared" si="297"/>
        <v>382400</v>
      </c>
      <c r="N330" s="1124">
        <f t="shared" si="297"/>
        <v>411700</v>
      </c>
      <c r="O330" s="1124">
        <f t="shared" si="297"/>
        <v>420500</v>
      </c>
      <c r="P330" s="1124">
        <f t="shared" si="297"/>
        <v>428900</v>
      </c>
      <c r="Q330" s="1124">
        <f t="shared" si="297"/>
        <v>436900</v>
      </c>
      <c r="R330" s="1124">
        <f t="shared" si="297"/>
        <v>444500</v>
      </c>
      <c r="S330" s="1124">
        <f t="shared" si="297"/>
        <v>451500</v>
      </c>
      <c r="T330" s="1124">
        <f t="shared" si="297"/>
        <v>457900</v>
      </c>
      <c r="U330" s="1124">
        <f t="shared" si="297"/>
        <v>463500</v>
      </c>
      <c r="V330" s="1124">
        <f t="shared" si="297"/>
        <v>468300</v>
      </c>
      <c r="W330" s="1124">
        <f t="shared" si="297"/>
        <v>472100</v>
      </c>
      <c r="X330" s="1124">
        <f t="shared" si="297"/>
        <v>472300</v>
      </c>
      <c r="Y330" s="1124">
        <f t="shared" si="297"/>
        <v>471400</v>
      </c>
      <c r="Z330" s="1124">
        <f t="shared" si="297"/>
        <v>469400</v>
      </c>
      <c r="AA330" s="1124">
        <f t="shared" si="297"/>
        <v>466000</v>
      </c>
      <c r="AB330" s="1124">
        <f t="shared" si="297"/>
        <v>461300</v>
      </c>
      <c r="AC330" s="1124">
        <f t="shared" si="297"/>
        <v>455200</v>
      </c>
      <c r="AD330" s="1124">
        <f t="shared" si="297"/>
        <v>447700</v>
      </c>
      <c r="AE330" s="1124">
        <f t="shared" si="297"/>
        <v>438800</v>
      </c>
      <c r="AF330" s="1124">
        <f t="shared" si="297"/>
        <v>428500</v>
      </c>
      <c r="AG330" s="1124">
        <f t="shared" si="297"/>
        <v>416600</v>
      </c>
      <c r="AH330" s="1124">
        <f t="shared" si="297"/>
        <v>403100</v>
      </c>
      <c r="AI330" s="1124">
        <f t="shared" si="297"/>
        <v>388100</v>
      </c>
      <c r="AJ330" s="1124">
        <f t="shared" si="297"/>
        <v>0</v>
      </c>
      <c r="AK330" s="1124">
        <f t="shared" si="297"/>
        <v>0</v>
      </c>
      <c r="AL330" s="1124">
        <f t="shared" si="297"/>
        <v>0</v>
      </c>
      <c r="AM330" s="1124">
        <f t="shared" si="297"/>
        <v>0</v>
      </c>
      <c r="AN330" s="1124">
        <f t="shared" si="297"/>
        <v>0</v>
      </c>
      <c r="AO330" s="1124">
        <f t="shared" si="297"/>
        <v>0</v>
      </c>
      <c r="AP330" s="1124">
        <f t="shared" si="297"/>
        <v>0</v>
      </c>
      <c r="AQ330" s="1124">
        <f t="shared" si="297"/>
        <v>0</v>
      </c>
      <c r="AR330" s="1124">
        <f t="shared" si="297"/>
        <v>0</v>
      </c>
      <c r="AS330" s="1124">
        <f t="shared" si="297"/>
        <v>0</v>
      </c>
      <c r="AT330" s="31"/>
      <c r="AU330" s="78">
        <f>+Base!E330</f>
        <v>0</v>
      </c>
      <c r="AV330" s="81">
        <f t="shared" si="291"/>
        <v>0</v>
      </c>
      <c r="AW330" s="363"/>
    </row>
    <row r="331" spans="1:49" hidden="1">
      <c r="A331" s="1432" t="s">
        <v>639</v>
      </c>
      <c r="B331" s="72" t="s">
        <v>1544</v>
      </c>
      <c r="C331" s="3"/>
      <c r="E331" s="65">
        <f>SUM(F331:AS331)</f>
        <v>0</v>
      </c>
      <c r="F331" s="31">
        <f t="shared" ref="F331:AS331" si="298">+F103</f>
        <v>0</v>
      </c>
      <c r="G331" s="1124">
        <f t="shared" si="298"/>
        <v>0</v>
      </c>
      <c r="H331" s="1124">
        <f t="shared" si="298"/>
        <v>0</v>
      </c>
      <c r="I331" s="1124">
        <f t="shared" si="298"/>
        <v>0</v>
      </c>
      <c r="J331" s="1124">
        <f t="shared" si="298"/>
        <v>0</v>
      </c>
      <c r="K331" s="1124">
        <f t="shared" si="298"/>
        <v>0</v>
      </c>
      <c r="L331" s="1124">
        <f t="shared" si="298"/>
        <v>0</v>
      </c>
      <c r="M331" s="1124">
        <f t="shared" si="298"/>
        <v>0</v>
      </c>
      <c r="N331" s="1124">
        <f t="shared" si="298"/>
        <v>0</v>
      </c>
      <c r="O331" s="1124">
        <f t="shared" si="298"/>
        <v>0</v>
      </c>
      <c r="P331" s="1124">
        <f t="shared" si="298"/>
        <v>0</v>
      </c>
      <c r="Q331" s="1124">
        <f t="shared" si="298"/>
        <v>0</v>
      </c>
      <c r="R331" s="1124">
        <f t="shared" si="298"/>
        <v>0</v>
      </c>
      <c r="S331" s="1124">
        <f t="shared" si="298"/>
        <v>0</v>
      </c>
      <c r="T331" s="1124">
        <f t="shared" si="298"/>
        <v>0</v>
      </c>
      <c r="U331" s="1124">
        <f t="shared" si="298"/>
        <v>0</v>
      </c>
      <c r="V331" s="1124">
        <f t="shared" si="298"/>
        <v>0</v>
      </c>
      <c r="W331" s="1124">
        <f t="shared" si="298"/>
        <v>0</v>
      </c>
      <c r="X331" s="1124">
        <f t="shared" si="298"/>
        <v>0</v>
      </c>
      <c r="Y331" s="1124">
        <f t="shared" si="298"/>
        <v>0</v>
      </c>
      <c r="Z331" s="1124">
        <f t="shared" si="298"/>
        <v>0</v>
      </c>
      <c r="AA331" s="1124">
        <f t="shared" si="298"/>
        <v>0</v>
      </c>
      <c r="AB331" s="1124">
        <f t="shared" si="298"/>
        <v>0</v>
      </c>
      <c r="AC331" s="1124">
        <f t="shared" si="298"/>
        <v>0</v>
      </c>
      <c r="AD331" s="1124">
        <f t="shared" si="298"/>
        <v>0</v>
      </c>
      <c r="AE331" s="1124">
        <f t="shared" si="298"/>
        <v>0</v>
      </c>
      <c r="AF331" s="1124">
        <f t="shared" si="298"/>
        <v>0</v>
      </c>
      <c r="AG331" s="1124">
        <f t="shared" si="298"/>
        <v>0</v>
      </c>
      <c r="AH331" s="1124">
        <f t="shared" si="298"/>
        <v>0</v>
      </c>
      <c r="AI331" s="1124">
        <f t="shared" si="298"/>
        <v>0</v>
      </c>
      <c r="AJ331" s="1124">
        <f t="shared" si="298"/>
        <v>0</v>
      </c>
      <c r="AK331" s="1124">
        <f t="shared" si="298"/>
        <v>0</v>
      </c>
      <c r="AL331" s="1124">
        <f t="shared" si="298"/>
        <v>0</v>
      </c>
      <c r="AM331" s="1124">
        <f t="shared" si="298"/>
        <v>0</v>
      </c>
      <c r="AN331" s="1124">
        <f t="shared" si="298"/>
        <v>0</v>
      </c>
      <c r="AO331" s="1124">
        <f t="shared" si="298"/>
        <v>0</v>
      </c>
      <c r="AP331" s="1124">
        <f t="shared" si="298"/>
        <v>0</v>
      </c>
      <c r="AQ331" s="1124">
        <f t="shared" si="298"/>
        <v>0</v>
      </c>
      <c r="AR331" s="1124">
        <f t="shared" si="298"/>
        <v>0</v>
      </c>
      <c r="AS331" s="1124">
        <f t="shared" si="298"/>
        <v>0</v>
      </c>
      <c r="AT331" s="31"/>
      <c r="AU331" s="78">
        <f>+Base!E331</f>
        <v>0</v>
      </c>
      <c r="AV331" s="81">
        <f t="shared" si="291"/>
        <v>0</v>
      </c>
      <c r="AW331" s="363"/>
    </row>
    <row r="332" spans="1:49" hidden="1">
      <c r="A332" s="1432" t="s">
        <v>639</v>
      </c>
      <c r="B332" s="72" t="s">
        <v>1271</v>
      </c>
      <c r="C332" s="3"/>
      <c r="E332" s="433">
        <f ca="1">INDIRECT(ADDRESS(ROW(),Total_Years+5))</f>
        <v>388100</v>
      </c>
      <c r="F332" s="31">
        <f>+F324+F325+F326+F328+F329+F331</f>
        <v>218500</v>
      </c>
      <c r="G332" s="1124">
        <f>+G324+G325+G326+G328+G329+G331</f>
        <v>238100</v>
      </c>
      <c r="H332" s="1124">
        <f t="shared" ref="H332:AS332" si="299">+H324+H325+H326+H328+H329+H331</f>
        <v>258800</v>
      </c>
      <c r="I332" s="1124">
        <f t="shared" si="299"/>
        <v>280800</v>
      </c>
      <c r="J332" s="1124">
        <f t="shared" si="299"/>
        <v>304100</v>
      </c>
      <c r="K332" s="1124">
        <f t="shared" si="299"/>
        <v>328700</v>
      </c>
      <c r="L332" s="1124">
        <f t="shared" si="299"/>
        <v>354800</v>
      </c>
      <c r="M332" s="1124">
        <f t="shared" si="299"/>
        <v>382400</v>
      </c>
      <c r="N332" s="1124">
        <f t="shared" si="299"/>
        <v>411700</v>
      </c>
      <c r="O332" s="1124">
        <f t="shared" si="299"/>
        <v>420500</v>
      </c>
      <c r="P332" s="1124">
        <f t="shared" si="299"/>
        <v>428900</v>
      </c>
      <c r="Q332" s="1124">
        <f t="shared" si="299"/>
        <v>436900</v>
      </c>
      <c r="R332" s="1124">
        <f t="shared" si="299"/>
        <v>444500</v>
      </c>
      <c r="S332" s="1124">
        <f t="shared" si="299"/>
        <v>451500</v>
      </c>
      <c r="T332" s="1124">
        <f t="shared" si="299"/>
        <v>457900</v>
      </c>
      <c r="U332" s="1124">
        <f t="shared" si="299"/>
        <v>463500</v>
      </c>
      <c r="V332" s="1124">
        <f t="shared" si="299"/>
        <v>468300</v>
      </c>
      <c r="W332" s="1124">
        <f t="shared" si="299"/>
        <v>472100</v>
      </c>
      <c r="X332" s="1124">
        <f t="shared" si="299"/>
        <v>472300</v>
      </c>
      <c r="Y332" s="1124">
        <f t="shared" si="299"/>
        <v>471400</v>
      </c>
      <c r="Z332" s="1124">
        <f t="shared" si="299"/>
        <v>469400</v>
      </c>
      <c r="AA332" s="1124">
        <f t="shared" si="299"/>
        <v>466000</v>
      </c>
      <c r="AB332" s="1124">
        <f t="shared" si="299"/>
        <v>461300</v>
      </c>
      <c r="AC332" s="1124">
        <f t="shared" si="299"/>
        <v>455200</v>
      </c>
      <c r="AD332" s="1124">
        <f t="shared" si="299"/>
        <v>447700</v>
      </c>
      <c r="AE332" s="1124">
        <f t="shared" si="299"/>
        <v>438800</v>
      </c>
      <c r="AF332" s="1124">
        <f t="shared" si="299"/>
        <v>428500</v>
      </c>
      <c r="AG332" s="1124">
        <f t="shared" si="299"/>
        <v>416600</v>
      </c>
      <c r="AH332" s="1124">
        <f t="shared" si="299"/>
        <v>403100</v>
      </c>
      <c r="AI332" s="1124">
        <f t="shared" si="299"/>
        <v>388100</v>
      </c>
      <c r="AJ332" s="1124">
        <f t="shared" si="299"/>
        <v>0</v>
      </c>
      <c r="AK332" s="1124">
        <f t="shared" si="299"/>
        <v>0</v>
      </c>
      <c r="AL332" s="1124">
        <f t="shared" si="299"/>
        <v>0</v>
      </c>
      <c r="AM332" s="1124">
        <f t="shared" si="299"/>
        <v>0</v>
      </c>
      <c r="AN332" s="1124">
        <f t="shared" si="299"/>
        <v>0</v>
      </c>
      <c r="AO332" s="1124">
        <f t="shared" si="299"/>
        <v>0</v>
      </c>
      <c r="AP332" s="1124">
        <f t="shared" si="299"/>
        <v>0</v>
      </c>
      <c r="AQ332" s="1124">
        <f t="shared" si="299"/>
        <v>0</v>
      </c>
      <c r="AR332" s="1124">
        <f t="shared" si="299"/>
        <v>0</v>
      </c>
      <c r="AS332" s="1124">
        <f t="shared" si="299"/>
        <v>0</v>
      </c>
      <c r="AT332" s="31"/>
      <c r="AU332" s="78">
        <f ca="1">+Base!E332</f>
        <v>388100</v>
      </c>
      <c r="AV332" s="81">
        <f ca="1">+E332-AU332</f>
        <v>0</v>
      </c>
      <c r="AW332" s="363"/>
    </row>
    <row r="333" spans="1:49" hidden="1">
      <c r="A333" s="1432" t="s">
        <v>639</v>
      </c>
      <c r="B333" s="72"/>
      <c r="C333" s="3"/>
      <c r="E333" s="363"/>
      <c r="F333" s="31"/>
      <c r="G333" s="31"/>
      <c r="H333" s="31"/>
      <c r="I333" s="31"/>
      <c r="J333" s="31"/>
      <c r="K333" s="31"/>
      <c r="L333" s="31"/>
      <c r="M333" s="31"/>
      <c r="N333" s="31"/>
      <c r="O333" s="31"/>
      <c r="P333" s="31"/>
      <c r="Q333" s="31"/>
      <c r="R333" s="31"/>
      <c r="S333" s="31"/>
      <c r="T333" s="31"/>
      <c r="U333" s="31"/>
      <c r="V333" s="31"/>
      <c r="W333" s="31"/>
      <c r="X333" s="31"/>
      <c r="Y333" s="31"/>
      <c r="Z333" s="31"/>
      <c r="AA333" s="31"/>
      <c r="AB333" s="31"/>
      <c r="AC333" s="31"/>
      <c r="AD333" s="31"/>
      <c r="AE333" s="31"/>
      <c r="AF333" s="31"/>
      <c r="AG333" s="31"/>
      <c r="AH333" s="31"/>
      <c r="AI333" s="31"/>
      <c r="AJ333" s="31"/>
      <c r="AK333" s="31"/>
      <c r="AL333" s="31"/>
      <c r="AM333" s="31"/>
      <c r="AN333" s="31"/>
      <c r="AO333" s="31"/>
      <c r="AP333" s="31"/>
      <c r="AQ333" s="31"/>
      <c r="AR333" s="31"/>
      <c r="AS333" s="31"/>
      <c r="AT333" s="31"/>
      <c r="AU333" s="78"/>
      <c r="AV333" s="81"/>
      <c r="AW333" s="363"/>
    </row>
    <row r="334" spans="1:49" ht="15.6" hidden="1">
      <c r="A334" s="1432" t="s">
        <v>639</v>
      </c>
      <c r="B334" s="25" t="s">
        <v>170</v>
      </c>
      <c r="C334" s="3"/>
      <c r="E334" s="363"/>
      <c r="G334" s="31"/>
      <c r="H334" s="31"/>
      <c r="I334" s="31"/>
      <c r="J334" s="31"/>
      <c r="K334" s="31"/>
      <c r="L334" s="31"/>
      <c r="M334" s="31"/>
      <c r="N334" s="31"/>
      <c r="O334" s="31"/>
      <c r="P334" s="31"/>
      <c r="Q334" s="31"/>
      <c r="R334" s="31"/>
      <c r="S334" s="31"/>
      <c r="T334" s="31"/>
      <c r="U334" s="31"/>
      <c r="V334" s="31"/>
      <c r="W334" s="31"/>
      <c r="X334" s="31"/>
      <c r="Y334" s="31"/>
      <c r="Z334" s="31"/>
      <c r="AA334" s="31"/>
      <c r="AB334" s="31"/>
      <c r="AC334" s="31"/>
      <c r="AD334" s="31"/>
      <c r="AE334" s="31"/>
      <c r="AF334" s="31"/>
      <c r="AG334" s="31"/>
      <c r="AH334" s="31"/>
      <c r="AI334" s="31"/>
      <c r="AJ334" s="31"/>
      <c r="AK334" s="31"/>
      <c r="AL334" s="31"/>
      <c r="AM334" s="31"/>
      <c r="AN334" s="31"/>
      <c r="AO334" s="31"/>
      <c r="AP334" s="31"/>
      <c r="AQ334" s="31"/>
      <c r="AR334" s="31"/>
      <c r="AS334" s="31"/>
      <c r="AT334" s="31"/>
      <c r="AU334" s="31"/>
      <c r="AV334" s="31"/>
      <c r="AW334" s="363"/>
    </row>
    <row r="335" spans="1:49" hidden="1">
      <c r="A335" s="1432" t="s">
        <v>639</v>
      </c>
      <c r="B335" s="72" t="s">
        <v>123</v>
      </c>
      <c r="C335" s="3"/>
      <c r="E335" s="363"/>
      <c r="F335" s="29">
        <f>IF(AND(Inheritance="y",IF(Inheritor="y",Inherit_Age=F$4,Inherit_Age=F$5)),Inherit_tIRA,0)</f>
        <v>0</v>
      </c>
      <c r="G335" s="1124">
        <f t="shared" ref="G335:AS335" si="300">IF(AND(Inheritance="y",IF(Inheritor="y",Inherit_Age=G$4,Inherit_Age=G$5)),Inherit_tIRA,0)+F349</f>
        <v>0</v>
      </c>
      <c r="H335" s="1124">
        <f t="shared" si="300"/>
        <v>0</v>
      </c>
      <c r="I335" s="1124">
        <f t="shared" si="300"/>
        <v>0</v>
      </c>
      <c r="J335" s="1124">
        <f t="shared" si="300"/>
        <v>0</v>
      </c>
      <c r="K335" s="1124">
        <f t="shared" si="300"/>
        <v>0</v>
      </c>
      <c r="L335" s="1124">
        <f t="shared" si="300"/>
        <v>0</v>
      </c>
      <c r="M335" s="1124">
        <f t="shared" si="300"/>
        <v>0</v>
      </c>
      <c r="N335" s="1124">
        <f t="shared" si="300"/>
        <v>0</v>
      </c>
      <c r="O335" s="1124">
        <f t="shared" si="300"/>
        <v>0</v>
      </c>
      <c r="P335" s="1124">
        <f t="shared" si="300"/>
        <v>0</v>
      </c>
      <c r="Q335" s="1124">
        <f t="shared" si="300"/>
        <v>0</v>
      </c>
      <c r="R335" s="1124">
        <f t="shared" si="300"/>
        <v>0</v>
      </c>
      <c r="S335" s="1124">
        <f t="shared" si="300"/>
        <v>0</v>
      </c>
      <c r="T335" s="1124">
        <f t="shared" si="300"/>
        <v>0</v>
      </c>
      <c r="U335" s="1124">
        <f t="shared" si="300"/>
        <v>40000</v>
      </c>
      <c r="V335" s="1124">
        <f t="shared" si="300"/>
        <v>36000</v>
      </c>
      <c r="W335" s="1124">
        <f t="shared" si="300"/>
        <v>31000</v>
      </c>
      <c r="X335" s="1124">
        <f t="shared" si="300"/>
        <v>25900</v>
      </c>
      <c r="Y335" s="1124">
        <f t="shared" si="300"/>
        <v>24500</v>
      </c>
      <c r="Z335" s="1124">
        <f t="shared" si="300"/>
        <v>22900</v>
      </c>
      <c r="AA335" s="1124">
        <f t="shared" si="300"/>
        <v>21000</v>
      </c>
      <c r="AB335" s="1124">
        <f t="shared" si="300"/>
        <v>18800</v>
      </c>
      <c r="AC335" s="1124">
        <f t="shared" si="300"/>
        <v>16300</v>
      </c>
      <c r="AD335" s="1124">
        <f t="shared" si="300"/>
        <v>13400</v>
      </c>
      <c r="AE335" s="1124">
        <f t="shared" si="300"/>
        <v>10100</v>
      </c>
      <c r="AF335" s="1124">
        <f t="shared" si="300"/>
        <v>6300</v>
      </c>
      <c r="AG335" s="1124">
        <f t="shared" si="300"/>
        <v>2000</v>
      </c>
      <c r="AH335" s="1124">
        <f t="shared" si="300"/>
        <v>0</v>
      </c>
      <c r="AI335" s="1124">
        <f t="shared" si="300"/>
        <v>0</v>
      </c>
      <c r="AJ335" s="1124">
        <f t="shared" si="300"/>
        <v>0</v>
      </c>
      <c r="AK335" s="1124">
        <f t="shared" si="300"/>
        <v>0</v>
      </c>
      <c r="AL335" s="1124">
        <f t="shared" si="300"/>
        <v>0</v>
      </c>
      <c r="AM335" s="1124">
        <f t="shared" si="300"/>
        <v>0</v>
      </c>
      <c r="AN335" s="1124">
        <f t="shared" si="300"/>
        <v>0</v>
      </c>
      <c r="AO335" s="1124">
        <f t="shared" si="300"/>
        <v>0</v>
      </c>
      <c r="AP335" s="1124">
        <f t="shared" si="300"/>
        <v>0</v>
      </c>
      <c r="AQ335" s="1124">
        <f t="shared" si="300"/>
        <v>0</v>
      </c>
      <c r="AR335" s="1124">
        <f t="shared" si="300"/>
        <v>0</v>
      </c>
      <c r="AS335" s="1124">
        <f t="shared" si="300"/>
        <v>0</v>
      </c>
      <c r="AT335" s="29"/>
      <c r="AU335" s="78">
        <f>+Base!E335</f>
        <v>0</v>
      </c>
      <c r="AV335" s="81">
        <f t="shared" ref="AV335:AV340" si="301">+E335-AU335</f>
        <v>0</v>
      </c>
      <c r="AW335" s="363"/>
    </row>
    <row r="336" spans="1:49" hidden="1">
      <c r="A336" s="1432" t="s">
        <v>639</v>
      </c>
      <c r="B336" s="72" t="s">
        <v>124</v>
      </c>
      <c r="C336" s="3"/>
      <c r="E336" s="363"/>
      <c r="F336" s="29">
        <f>IF(AND(Inheritance2="y",IF(Inheritor2="y",Inherit_Age2=F$4,Inherit_Age2=F$5)),Inherit_tIRA2,0)</f>
        <v>0</v>
      </c>
      <c r="G336" s="1124">
        <f t="shared" ref="G336:AS336" si="302">IF(AND(Inheritance2="y",IF(Inheritor2="y",Inherit_Age2=G$4,Inherit_Age2=G$5)),Inherit_tIRA2,0)+F350</f>
        <v>0</v>
      </c>
      <c r="H336" s="1124">
        <f t="shared" si="302"/>
        <v>0</v>
      </c>
      <c r="I336" s="1124">
        <f t="shared" si="302"/>
        <v>0</v>
      </c>
      <c r="J336" s="1124">
        <f t="shared" si="302"/>
        <v>0</v>
      </c>
      <c r="K336" s="1124">
        <f t="shared" si="302"/>
        <v>0</v>
      </c>
      <c r="L336" s="1124">
        <f t="shared" si="302"/>
        <v>0</v>
      </c>
      <c r="M336" s="1124">
        <f t="shared" si="302"/>
        <v>0</v>
      </c>
      <c r="N336" s="1124">
        <f t="shared" si="302"/>
        <v>0</v>
      </c>
      <c r="O336" s="1124">
        <f t="shared" si="302"/>
        <v>0</v>
      </c>
      <c r="P336" s="1124">
        <f t="shared" si="302"/>
        <v>0</v>
      </c>
      <c r="Q336" s="1124">
        <f t="shared" si="302"/>
        <v>60000</v>
      </c>
      <c r="R336" s="1124">
        <f t="shared" si="302"/>
        <v>60000</v>
      </c>
      <c r="S336" s="1124">
        <f t="shared" si="302"/>
        <v>59300</v>
      </c>
      <c r="T336" s="1124">
        <f t="shared" si="302"/>
        <v>58400</v>
      </c>
      <c r="U336" s="1124">
        <f t="shared" si="302"/>
        <v>57100</v>
      </c>
      <c r="V336" s="1124">
        <f t="shared" si="302"/>
        <v>55500</v>
      </c>
      <c r="W336" s="1124">
        <f t="shared" si="302"/>
        <v>52500</v>
      </c>
      <c r="X336" s="1124">
        <f t="shared" si="302"/>
        <v>48900</v>
      </c>
      <c r="Y336" s="1124">
        <f t="shared" si="302"/>
        <v>44500</v>
      </c>
      <c r="Z336" s="1124">
        <f t="shared" si="302"/>
        <v>41000</v>
      </c>
      <c r="AA336" s="1124">
        <f t="shared" si="302"/>
        <v>37000</v>
      </c>
      <c r="AB336" s="1124">
        <f t="shared" si="302"/>
        <v>32400</v>
      </c>
      <c r="AC336" s="1124">
        <f t="shared" si="302"/>
        <v>27100</v>
      </c>
      <c r="AD336" s="1124">
        <f t="shared" si="302"/>
        <v>21200</v>
      </c>
      <c r="AE336" s="1124">
        <f t="shared" si="302"/>
        <v>14500</v>
      </c>
      <c r="AF336" s="1124">
        <f t="shared" si="302"/>
        <v>7000</v>
      </c>
      <c r="AG336" s="1124">
        <f t="shared" si="302"/>
        <v>0</v>
      </c>
      <c r="AH336" s="1124">
        <f t="shared" si="302"/>
        <v>0</v>
      </c>
      <c r="AI336" s="1124">
        <f t="shared" si="302"/>
        <v>0</v>
      </c>
      <c r="AJ336" s="1124">
        <f t="shared" si="302"/>
        <v>0</v>
      </c>
      <c r="AK336" s="1124">
        <f t="shared" si="302"/>
        <v>0</v>
      </c>
      <c r="AL336" s="1124">
        <f t="shared" si="302"/>
        <v>0</v>
      </c>
      <c r="AM336" s="1124">
        <f t="shared" si="302"/>
        <v>0</v>
      </c>
      <c r="AN336" s="1124">
        <f t="shared" si="302"/>
        <v>0</v>
      </c>
      <c r="AO336" s="1124">
        <f t="shared" si="302"/>
        <v>0</v>
      </c>
      <c r="AP336" s="1124">
        <f t="shared" si="302"/>
        <v>0</v>
      </c>
      <c r="AQ336" s="1124">
        <f t="shared" si="302"/>
        <v>0</v>
      </c>
      <c r="AR336" s="1124">
        <f t="shared" si="302"/>
        <v>0</v>
      </c>
      <c r="AS336" s="1124">
        <f t="shared" si="302"/>
        <v>0</v>
      </c>
      <c r="AT336" s="29"/>
      <c r="AU336" s="78">
        <f>+Base!E336</f>
        <v>0</v>
      </c>
      <c r="AV336" s="81">
        <f t="shared" si="301"/>
        <v>0</v>
      </c>
      <c r="AW336" s="363"/>
    </row>
    <row r="337" spans="1:49" hidden="1">
      <c r="A337" s="1432" t="s">
        <v>639</v>
      </c>
      <c r="B337" s="72" t="s">
        <v>125</v>
      </c>
      <c r="C337" s="3"/>
      <c r="E337" s="65">
        <f>SUM(F337:AS337)</f>
        <v>-40100</v>
      </c>
      <c r="F337" s="31">
        <f t="shared" ref="F337:AS337" si="303">+F110</f>
        <v>0</v>
      </c>
      <c r="G337" s="1124">
        <f t="shared" si="303"/>
        <v>0</v>
      </c>
      <c r="H337" s="1124">
        <f t="shared" si="303"/>
        <v>0</v>
      </c>
      <c r="I337" s="1124">
        <f t="shared" si="303"/>
        <v>0</v>
      </c>
      <c r="J337" s="1124">
        <f t="shared" si="303"/>
        <v>0</v>
      </c>
      <c r="K337" s="1124">
        <f t="shared" si="303"/>
        <v>0</v>
      </c>
      <c r="L337" s="1124">
        <f t="shared" si="303"/>
        <v>0</v>
      </c>
      <c r="M337" s="1124">
        <f t="shared" si="303"/>
        <v>0</v>
      </c>
      <c r="N337" s="1124">
        <f t="shared" si="303"/>
        <v>0</v>
      </c>
      <c r="O337" s="1124">
        <f t="shared" si="303"/>
        <v>0</v>
      </c>
      <c r="P337" s="1124">
        <f t="shared" si="303"/>
        <v>0</v>
      </c>
      <c r="Q337" s="1124">
        <f t="shared" si="303"/>
        <v>0</v>
      </c>
      <c r="R337" s="1124">
        <f t="shared" si="303"/>
        <v>0</v>
      </c>
      <c r="S337" s="1124">
        <f t="shared" si="303"/>
        <v>0</v>
      </c>
      <c r="T337" s="1124">
        <f t="shared" si="303"/>
        <v>0</v>
      </c>
      <c r="U337" s="1124">
        <f t="shared" si="303"/>
        <v>0</v>
      </c>
      <c r="V337" s="1124">
        <f t="shared" si="303"/>
        <v>-3200</v>
      </c>
      <c r="W337" s="1124">
        <f t="shared" si="303"/>
        <v>-3000</v>
      </c>
      <c r="X337" s="1124">
        <f t="shared" si="303"/>
        <v>-2800</v>
      </c>
      <c r="Y337" s="1124">
        <f t="shared" si="303"/>
        <v>-2900</v>
      </c>
      <c r="Z337" s="1124">
        <f t="shared" si="303"/>
        <v>-3100</v>
      </c>
      <c r="AA337" s="1124">
        <f t="shared" si="303"/>
        <v>-3300</v>
      </c>
      <c r="AB337" s="1124">
        <f t="shared" si="303"/>
        <v>-3500</v>
      </c>
      <c r="AC337" s="1124">
        <f t="shared" si="303"/>
        <v>-3700</v>
      </c>
      <c r="AD337" s="1124">
        <f t="shared" si="303"/>
        <v>-3900</v>
      </c>
      <c r="AE337" s="1124">
        <f t="shared" si="303"/>
        <v>-4200</v>
      </c>
      <c r="AF337" s="1124">
        <f t="shared" si="303"/>
        <v>-4500</v>
      </c>
      <c r="AG337" s="1124">
        <f t="shared" si="303"/>
        <v>-2000</v>
      </c>
      <c r="AH337" s="1124">
        <f t="shared" si="303"/>
        <v>0</v>
      </c>
      <c r="AI337" s="1124">
        <f t="shared" si="303"/>
        <v>0</v>
      </c>
      <c r="AJ337" s="1124">
        <f t="shared" si="303"/>
        <v>0</v>
      </c>
      <c r="AK337" s="1124">
        <f t="shared" si="303"/>
        <v>0</v>
      </c>
      <c r="AL337" s="1124">
        <f t="shared" si="303"/>
        <v>0</v>
      </c>
      <c r="AM337" s="1124">
        <f t="shared" si="303"/>
        <v>0</v>
      </c>
      <c r="AN337" s="1124">
        <f t="shared" si="303"/>
        <v>0</v>
      </c>
      <c r="AO337" s="1124">
        <f t="shared" si="303"/>
        <v>0</v>
      </c>
      <c r="AP337" s="1124">
        <f t="shared" si="303"/>
        <v>0</v>
      </c>
      <c r="AQ337" s="1124">
        <f t="shared" si="303"/>
        <v>0</v>
      </c>
      <c r="AR337" s="1124">
        <f t="shared" si="303"/>
        <v>0</v>
      </c>
      <c r="AS337" s="1124">
        <f t="shared" si="303"/>
        <v>0</v>
      </c>
      <c r="AT337" s="31"/>
      <c r="AU337" s="78">
        <f>+Base!E337</f>
        <v>-40100</v>
      </c>
      <c r="AV337" s="81">
        <f t="shared" si="301"/>
        <v>0</v>
      </c>
      <c r="AW337" s="65"/>
    </row>
    <row r="338" spans="1:49" hidden="1">
      <c r="A338" s="1432" t="s">
        <v>639</v>
      </c>
      <c r="B338" s="72" t="s">
        <v>126</v>
      </c>
      <c r="C338" s="3"/>
      <c r="E338" s="65">
        <f>SUM(F338:AS338)</f>
        <v>-88600</v>
      </c>
      <c r="F338" s="31">
        <f t="shared" ref="F338:AS338" si="304">+F111</f>
        <v>0</v>
      </c>
      <c r="G338" s="1124">
        <f t="shared" si="304"/>
        <v>0</v>
      </c>
      <c r="H338" s="1124">
        <f t="shared" si="304"/>
        <v>0</v>
      </c>
      <c r="I338" s="1124">
        <f t="shared" si="304"/>
        <v>0</v>
      </c>
      <c r="J338" s="1124">
        <f t="shared" si="304"/>
        <v>0</v>
      </c>
      <c r="K338" s="1124">
        <f t="shared" si="304"/>
        <v>0</v>
      </c>
      <c r="L338" s="1124">
        <f t="shared" si="304"/>
        <v>0</v>
      </c>
      <c r="M338" s="1124">
        <f t="shared" si="304"/>
        <v>0</v>
      </c>
      <c r="N338" s="1124">
        <f t="shared" si="304"/>
        <v>0</v>
      </c>
      <c r="O338" s="1124">
        <f t="shared" si="304"/>
        <v>0</v>
      </c>
      <c r="P338" s="1124">
        <f t="shared" si="304"/>
        <v>0</v>
      </c>
      <c r="Q338" s="1124">
        <f t="shared" si="304"/>
        <v>0</v>
      </c>
      <c r="R338" s="1124">
        <f t="shared" si="304"/>
        <v>-4100</v>
      </c>
      <c r="S338" s="1124">
        <f t="shared" si="304"/>
        <v>-4300</v>
      </c>
      <c r="T338" s="1124">
        <f t="shared" si="304"/>
        <v>-4600</v>
      </c>
      <c r="U338" s="1124">
        <f t="shared" si="304"/>
        <v>-4800</v>
      </c>
      <c r="V338" s="1124">
        <f t="shared" si="304"/>
        <v>-5100</v>
      </c>
      <c r="W338" s="1124">
        <f t="shared" si="304"/>
        <v>-5400</v>
      </c>
      <c r="X338" s="1124">
        <f t="shared" si="304"/>
        <v>-5600</v>
      </c>
      <c r="Y338" s="1124">
        <f t="shared" si="304"/>
        <v>-5700</v>
      </c>
      <c r="Z338" s="1124">
        <f t="shared" si="304"/>
        <v>-6000</v>
      </c>
      <c r="AA338" s="1124">
        <f t="shared" si="304"/>
        <v>-6400</v>
      </c>
      <c r="AB338" s="1124">
        <f t="shared" si="304"/>
        <v>-6800</v>
      </c>
      <c r="AC338" s="1124">
        <f t="shared" si="304"/>
        <v>-7100</v>
      </c>
      <c r="AD338" s="1124">
        <f t="shared" si="304"/>
        <v>-7600</v>
      </c>
      <c r="AE338" s="1124">
        <f t="shared" si="304"/>
        <v>-8100</v>
      </c>
      <c r="AF338" s="1124">
        <f t="shared" si="304"/>
        <v>-7000</v>
      </c>
      <c r="AG338" s="1124">
        <f t="shared" si="304"/>
        <v>0</v>
      </c>
      <c r="AH338" s="1124">
        <f t="shared" si="304"/>
        <v>0</v>
      </c>
      <c r="AI338" s="1124">
        <f t="shared" si="304"/>
        <v>0</v>
      </c>
      <c r="AJ338" s="1124">
        <f t="shared" si="304"/>
        <v>0</v>
      </c>
      <c r="AK338" s="1124">
        <f t="shared" si="304"/>
        <v>0</v>
      </c>
      <c r="AL338" s="1124">
        <f t="shared" si="304"/>
        <v>0</v>
      </c>
      <c r="AM338" s="1124">
        <f t="shared" si="304"/>
        <v>0</v>
      </c>
      <c r="AN338" s="1124">
        <f t="shared" si="304"/>
        <v>0</v>
      </c>
      <c r="AO338" s="1124">
        <f t="shared" si="304"/>
        <v>0</v>
      </c>
      <c r="AP338" s="1124">
        <f t="shared" si="304"/>
        <v>0</v>
      </c>
      <c r="AQ338" s="1124">
        <f t="shared" si="304"/>
        <v>0</v>
      </c>
      <c r="AR338" s="1124">
        <f t="shared" si="304"/>
        <v>0</v>
      </c>
      <c r="AS338" s="1124">
        <f t="shared" si="304"/>
        <v>0</v>
      </c>
      <c r="AT338" s="31"/>
      <c r="AU338" s="78">
        <f>+Base!E338</f>
        <v>-88600</v>
      </c>
      <c r="AV338" s="81">
        <f t="shared" si="301"/>
        <v>0</v>
      </c>
      <c r="AW338" s="65"/>
    </row>
    <row r="339" spans="1:49" s="3" customFormat="1" ht="15.6" hidden="1">
      <c r="A339" s="1432" t="s">
        <v>639</v>
      </c>
      <c r="B339" s="424" t="s">
        <v>127</v>
      </c>
      <c r="E339" s="65"/>
      <c r="F339" s="190">
        <f>+F335+F337</f>
        <v>0</v>
      </c>
      <c r="G339" s="1124">
        <f t="shared" ref="G339:AS340" si="305">+G335+G337</f>
        <v>0</v>
      </c>
      <c r="H339" s="1124">
        <f t="shared" si="305"/>
        <v>0</v>
      </c>
      <c r="I339" s="1124">
        <f t="shared" si="305"/>
        <v>0</v>
      </c>
      <c r="J339" s="1124">
        <f t="shared" si="305"/>
        <v>0</v>
      </c>
      <c r="K339" s="1124">
        <f t="shared" si="305"/>
        <v>0</v>
      </c>
      <c r="L339" s="1124">
        <f t="shared" si="305"/>
        <v>0</v>
      </c>
      <c r="M339" s="1124">
        <f t="shared" si="305"/>
        <v>0</v>
      </c>
      <c r="N339" s="1124">
        <f t="shared" si="305"/>
        <v>0</v>
      </c>
      <c r="O339" s="1124">
        <f t="shared" si="305"/>
        <v>0</v>
      </c>
      <c r="P339" s="1124">
        <f t="shared" si="305"/>
        <v>0</v>
      </c>
      <c r="Q339" s="1124">
        <f t="shared" si="305"/>
        <v>0</v>
      </c>
      <c r="R339" s="1124">
        <f t="shared" si="305"/>
        <v>0</v>
      </c>
      <c r="S339" s="1124">
        <f t="shared" si="305"/>
        <v>0</v>
      </c>
      <c r="T339" s="1124">
        <f t="shared" si="305"/>
        <v>0</v>
      </c>
      <c r="U339" s="1124">
        <f t="shared" si="305"/>
        <v>40000</v>
      </c>
      <c r="V339" s="1124">
        <f t="shared" si="305"/>
        <v>32800</v>
      </c>
      <c r="W339" s="1124">
        <f t="shared" si="305"/>
        <v>28000</v>
      </c>
      <c r="X339" s="1124">
        <f t="shared" si="305"/>
        <v>23100</v>
      </c>
      <c r="Y339" s="1124">
        <f t="shared" si="305"/>
        <v>21600</v>
      </c>
      <c r="Z339" s="1124">
        <f t="shared" si="305"/>
        <v>19800</v>
      </c>
      <c r="AA339" s="1124">
        <f t="shared" si="305"/>
        <v>17700</v>
      </c>
      <c r="AB339" s="1124">
        <f t="shared" si="305"/>
        <v>15300</v>
      </c>
      <c r="AC339" s="1124">
        <f t="shared" si="305"/>
        <v>12600</v>
      </c>
      <c r="AD339" s="1124">
        <f t="shared" si="305"/>
        <v>9500</v>
      </c>
      <c r="AE339" s="1124">
        <f t="shared" si="305"/>
        <v>5900</v>
      </c>
      <c r="AF339" s="1124">
        <f t="shared" si="305"/>
        <v>1800</v>
      </c>
      <c r="AG339" s="1124">
        <f t="shared" si="305"/>
        <v>0</v>
      </c>
      <c r="AH339" s="1124">
        <f t="shared" si="305"/>
        <v>0</v>
      </c>
      <c r="AI339" s="1124">
        <f t="shared" si="305"/>
        <v>0</v>
      </c>
      <c r="AJ339" s="1124">
        <f t="shared" si="305"/>
        <v>0</v>
      </c>
      <c r="AK339" s="1124">
        <f t="shared" si="305"/>
        <v>0</v>
      </c>
      <c r="AL339" s="1124">
        <f t="shared" si="305"/>
        <v>0</v>
      </c>
      <c r="AM339" s="1124">
        <f t="shared" si="305"/>
        <v>0</v>
      </c>
      <c r="AN339" s="1124">
        <f t="shared" si="305"/>
        <v>0</v>
      </c>
      <c r="AO339" s="1124">
        <f t="shared" si="305"/>
        <v>0</v>
      </c>
      <c r="AP339" s="1124">
        <f t="shared" si="305"/>
        <v>0</v>
      </c>
      <c r="AQ339" s="1124">
        <f t="shared" si="305"/>
        <v>0</v>
      </c>
      <c r="AR339" s="1124">
        <f t="shared" si="305"/>
        <v>0</v>
      </c>
      <c r="AS339" s="1124">
        <f t="shared" si="305"/>
        <v>0</v>
      </c>
      <c r="AT339" s="190"/>
      <c r="AU339" s="439">
        <f>+Base!E339</f>
        <v>0</v>
      </c>
      <c r="AV339" s="434">
        <f t="shared" si="301"/>
        <v>0</v>
      </c>
      <c r="AW339" s="65"/>
    </row>
    <row r="340" spans="1:49" s="3" customFormat="1" ht="15.6" hidden="1">
      <c r="A340" s="1432" t="s">
        <v>639</v>
      </c>
      <c r="B340" s="424" t="s">
        <v>128</v>
      </c>
      <c r="E340" s="65"/>
      <c r="F340" s="190">
        <f>+F336+F338</f>
        <v>0</v>
      </c>
      <c r="G340" s="1124">
        <f t="shared" si="305"/>
        <v>0</v>
      </c>
      <c r="H340" s="1124">
        <f t="shared" si="305"/>
        <v>0</v>
      </c>
      <c r="I340" s="1124">
        <f t="shared" si="305"/>
        <v>0</v>
      </c>
      <c r="J340" s="1124">
        <f t="shared" si="305"/>
        <v>0</v>
      </c>
      <c r="K340" s="1124">
        <f t="shared" si="305"/>
        <v>0</v>
      </c>
      <c r="L340" s="1124">
        <f t="shared" si="305"/>
        <v>0</v>
      </c>
      <c r="M340" s="1124">
        <f t="shared" si="305"/>
        <v>0</v>
      </c>
      <c r="N340" s="1124">
        <f t="shared" si="305"/>
        <v>0</v>
      </c>
      <c r="O340" s="1124">
        <f t="shared" si="305"/>
        <v>0</v>
      </c>
      <c r="P340" s="1124">
        <f t="shared" si="305"/>
        <v>0</v>
      </c>
      <c r="Q340" s="1124">
        <f t="shared" si="305"/>
        <v>60000</v>
      </c>
      <c r="R340" s="1124">
        <f t="shared" si="305"/>
        <v>55900</v>
      </c>
      <c r="S340" s="1124">
        <f t="shared" si="305"/>
        <v>55000</v>
      </c>
      <c r="T340" s="1124">
        <f t="shared" si="305"/>
        <v>53800</v>
      </c>
      <c r="U340" s="1124">
        <f t="shared" si="305"/>
        <v>52300</v>
      </c>
      <c r="V340" s="1124">
        <f t="shared" si="305"/>
        <v>50400</v>
      </c>
      <c r="W340" s="1124">
        <f t="shared" si="305"/>
        <v>47100</v>
      </c>
      <c r="X340" s="1124">
        <f t="shared" si="305"/>
        <v>43300</v>
      </c>
      <c r="Y340" s="1124">
        <f t="shared" si="305"/>
        <v>38800</v>
      </c>
      <c r="Z340" s="1124">
        <f t="shared" si="305"/>
        <v>35000</v>
      </c>
      <c r="AA340" s="1124">
        <f t="shared" si="305"/>
        <v>30600</v>
      </c>
      <c r="AB340" s="1124">
        <f t="shared" si="305"/>
        <v>25600</v>
      </c>
      <c r="AC340" s="1124">
        <f t="shared" si="305"/>
        <v>20000</v>
      </c>
      <c r="AD340" s="1124">
        <f t="shared" si="305"/>
        <v>13600</v>
      </c>
      <c r="AE340" s="1124">
        <f t="shared" si="305"/>
        <v>6400</v>
      </c>
      <c r="AF340" s="1124">
        <f t="shared" si="305"/>
        <v>0</v>
      </c>
      <c r="AG340" s="1124">
        <f t="shared" si="305"/>
        <v>0</v>
      </c>
      <c r="AH340" s="1124">
        <f t="shared" si="305"/>
        <v>0</v>
      </c>
      <c r="AI340" s="1124">
        <f t="shared" si="305"/>
        <v>0</v>
      </c>
      <c r="AJ340" s="1124">
        <f t="shared" si="305"/>
        <v>0</v>
      </c>
      <c r="AK340" s="1124">
        <f t="shared" si="305"/>
        <v>0</v>
      </c>
      <c r="AL340" s="1124">
        <f t="shared" si="305"/>
        <v>0</v>
      </c>
      <c r="AM340" s="1124">
        <f t="shared" si="305"/>
        <v>0</v>
      </c>
      <c r="AN340" s="1124">
        <f t="shared" si="305"/>
        <v>0</v>
      </c>
      <c r="AO340" s="1124">
        <f t="shared" si="305"/>
        <v>0</v>
      </c>
      <c r="AP340" s="1124">
        <f t="shared" si="305"/>
        <v>0</v>
      </c>
      <c r="AQ340" s="1124">
        <f t="shared" si="305"/>
        <v>0</v>
      </c>
      <c r="AR340" s="1124">
        <f t="shared" si="305"/>
        <v>0</v>
      </c>
      <c r="AS340" s="1124">
        <f t="shared" si="305"/>
        <v>0</v>
      </c>
      <c r="AT340" s="190"/>
      <c r="AU340" s="439">
        <f>+Base!E340</f>
        <v>0</v>
      </c>
      <c r="AV340" s="434">
        <f t="shared" si="301"/>
        <v>0</v>
      </c>
      <c r="AW340" s="65"/>
    </row>
    <row r="341" spans="1:49" ht="15.6" hidden="1">
      <c r="A341" s="1432" t="s">
        <v>639</v>
      </c>
      <c r="B341" s="72" t="s">
        <v>129</v>
      </c>
      <c r="C341" s="1727" t="str">
        <f>"during ages " &amp; Start_InhIRA &amp; " - " &amp; End_InhIRA</f>
        <v>during ages 77 - 79</v>
      </c>
      <c r="E341" s="65">
        <f>SUM(F341:AS341)</f>
        <v>-12000</v>
      </c>
      <c r="F341" s="31">
        <f t="shared" ref="F341:AS341" si="306">+F113</f>
        <v>0</v>
      </c>
      <c r="G341" s="1124">
        <f t="shared" si="306"/>
        <v>0</v>
      </c>
      <c r="H341" s="1124">
        <f t="shared" si="306"/>
        <v>0</v>
      </c>
      <c r="I341" s="1124">
        <f t="shared" si="306"/>
        <v>0</v>
      </c>
      <c r="J341" s="1124">
        <f t="shared" si="306"/>
        <v>0</v>
      </c>
      <c r="K341" s="1124">
        <f t="shared" si="306"/>
        <v>0</v>
      </c>
      <c r="L341" s="1124">
        <f t="shared" si="306"/>
        <v>0</v>
      </c>
      <c r="M341" s="1124">
        <f t="shared" si="306"/>
        <v>0</v>
      </c>
      <c r="N341" s="1124">
        <f t="shared" si="306"/>
        <v>0</v>
      </c>
      <c r="O341" s="1124">
        <f t="shared" si="306"/>
        <v>0</v>
      </c>
      <c r="P341" s="1124">
        <f t="shared" si="306"/>
        <v>0</v>
      </c>
      <c r="Q341" s="1124">
        <f t="shared" si="306"/>
        <v>0</v>
      </c>
      <c r="R341" s="1124">
        <f t="shared" si="306"/>
        <v>0</v>
      </c>
      <c r="S341" s="1124">
        <f t="shared" si="306"/>
        <v>0</v>
      </c>
      <c r="T341" s="1124">
        <f t="shared" si="306"/>
        <v>0</v>
      </c>
      <c r="U341" s="1124">
        <f t="shared" si="306"/>
        <v>-4000</v>
      </c>
      <c r="V341" s="1124">
        <f t="shared" si="306"/>
        <v>-4000</v>
      </c>
      <c r="W341" s="1124">
        <f t="shared" si="306"/>
        <v>-4000</v>
      </c>
      <c r="X341" s="1124">
        <f t="shared" si="306"/>
        <v>0</v>
      </c>
      <c r="Y341" s="1124">
        <f t="shared" si="306"/>
        <v>0</v>
      </c>
      <c r="Z341" s="1124">
        <f t="shared" si="306"/>
        <v>0</v>
      </c>
      <c r="AA341" s="1124">
        <f t="shared" si="306"/>
        <v>0</v>
      </c>
      <c r="AB341" s="1124">
        <f t="shared" si="306"/>
        <v>0</v>
      </c>
      <c r="AC341" s="1124">
        <f t="shared" si="306"/>
        <v>0</v>
      </c>
      <c r="AD341" s="1124">
        <f t="shared" si="306"/>
        <v>0</v>
      </c>
      <c r="AE341" s="1124">
        <f t="shared" si="306"/>
        <v>0</v>
      </c>
      <c r="AF341" s="1124">
        <f t="shared" si="306"/>
        <v>0</v>
      </c>
      <c r="AG341" s="1124">
        <f t="shared" si="306"/>
        <v>0</v>
      </c>
      <c r="AH341" s="1124">
        <f t="shared" si="306"/>
        <v>0</v>
      </c>
      <c r="AI341" s="1124">
        <f t="shared" si="306"/>
        <v>0</v>
      </c>
      <c r="AJ341" s="1124">
        <f t="shared" si="306"/>
        <v>0</v>
      </c>
      <c r="AK341" s="1124">
        <f t="shared" si="306"/>
        <v>0</v>
      </c>
      <c r="AL341" s="1124">
        <f t="shared" si="306"/>
        <v>0</v>
      </c>
      <c r="AM341" s="1124">
        <f t="shared" si="306"/>
        <v>0</v>
      </c>
      <c r="AN341" s="1124">
        <f t="shared" si="306"/>
        <v>0</v>
      </c>
      <c r="AO341" s="1124">
        <f t="shared" si="306"/>
        <v>0</v>
      </c>
      <c r="AP341" s="1124">
        <f t="shared" si="306"/>
        <v>0</v>
      </c>
      <c r="AQ341" s="1124">
        <f t="shared" si="306"/>
        <v>0</v>
      </c>
      <c r="AR341" s="1124">
        <f t="shared" si="306"/>
        <v>0</v>
      </c>
      <c r="AS341" s="1124">
        <f t="shared" si="306"/>
        <v>0</v>
      </c>
      <c r="AT341" s="31"/>
      <c r="AU341" s="78">
        <f>+Base!E341</f>
        <v>-12000</v>
      </c>
      <c r="AV341" s="81">
        <f t="shared" ref="AV341:AV348" si="307">+E341-AU341</f>
        <v>0</v>
      </c>
      <c r="AW341" s="65"/>
    </row>
    <row r="342" spans="1:49" ht="15.6" hidden="1">
      <c r="A342" s="1432" t="s">
        <v>639</v>
      </c>
      <c r="B342" s="72" t="s">
        <v>130</v>
      </c>
      <c r="C342" s="1727" t="str">
        <f>"during ages " &amp; Start_InhIRA2 &amp; " - " &amp; End_InhIRA2</f>
        <v>during ages 78 - 80</v>
      </c>
      <c r="E342" s="65">
        <f>SUM(F342:AS342)</f>
        <v>-3300</v>
      </c>
      <c r="F342" s="31">
        <f t="shared" ref="F342:AS342" si="308">+F114</f>
        <v>0</v>
      </c>
      <c r="G342" s="1124">
        <f t="shared" si="308"/>
        <v>0</v>
      </c>
      <c r="H342" s="1124">
        <f t="shared" si="308"/>
        <v>0</v>
      </c>
      <c r="I342" s="1124">
        <f t="shared" si="308"/>
        <v>0</v>
      </c>
      <c r="J342" s="1124">
        <f t="shared" si="308"/>
        <v>0</v>
      </c>
      <c r="K342" s="1124">
        <f t="shared" si="308"/>
        <v>0</v>
      </c>
      <c r="L342" s="1124">
        <f t="shared" si="308"/>
        <v>0</v>
      </c>
      <c r="M342" s="1124">
        <f t="shared" si="308"/>
        <v>0</v>
      </c>
      <c r="N342" s="1124">
        <f t="shared" si="308"/>
        <v>0</v>
      </c>
      <c r="O342" s="1124">
        <f t="shared" si="308"/>
        <v>0</v>
      </c>
      <c r="P342" s="1124">
        <f t="shared" si="308"/>
        <v>0</v>
      </c>
      <c r="Q342" s="1124">
        <f t="shared" si="308"/>
        <v>0</v>
      </c>
      <c r="R342" s="1124">
        <f t="shared" si="308"/>
        <v>0</v>
      </c>
      <c r="S342" s="1124">
        <f t="shared" si="308"/>
        <v>0</v>
      </c>
      <c r="T342" s="1124">
        <f t="shared" si="308"/>
        <v>0</v>
      </c>
      <c r="U342" s="1124">
        <f t="shared" si="308"/>
        <v>0</v>
      </c>
      <c r="V342" s="1124">
        <f t="shared" si="308"/>
        <v>-1000</v>
      </c>
      <c r="W342" s="1124">
        <f t="shared" si="308"/>
        <v>-1100</v>
      </c>
      <c r="X342" s="1124">
        <f t="shared" si="308"/>
        <v>-1200</v>
      </c>
      <c r="Y342" s="1124">
        <f t="shared" si="308"/>
        <v>0</v>
      </c>
      <c r="Z342" s="1124">
        <f t="shared" si="308"/>
        <v>0</v>
      </c>
      <c r="AA342" s="1124">
        <f t="shared" si="308"/>
        <v>0</v>
      </c>
      <c r="AB342" s="1124">
        <f t="shared" si="308"/>
        <v>0</v>
      </c>
      <c r="AC342" s="1124">
        <f t="shared" si="308"/>
        <v>0</v>
      </c>
      <c r="AD342" s="1124">
        <f t="shared" si="308"/>
        <v>0</v>
      </c>
      <c r="AE342" s="1124">
        <f t="shared" si="308"/>
        <v>0</v>
      </c>
      <c r="AF342" s="1124">
        <f t="shared" si="308"/>
        <v>0</v>
      </c>
      <c r="AG342" s="1124">
        <f t="shared" si="308"/>
        <v>0</v>
      </c>
      <c r="AH342" s="1124">
        <f t="shared" si="308"/>
        <v>0</v>
      </c>
      <c r="AI342" s="1124">
        <f t="shared" si="308"/>
        <v>0</v>
      </c>
      <c r="AJ342" s="1124">
        <f t="shared" si="308"/>
        <v>0</v>
      </c>
      <c r="AK342" s="1124">
        <f t="shared" si="308"/>
        <v>0</v>
      </c>
      <c r="AL342" s="1124">
        <f t="shared" si="308"/>
        <v>0</v>
      </c>
      <c r="AM342" s="1124">
        <f t="shared" si="308"/>
        <v>0</v>
      </c>
      <c r="AN342" s="1124">
        <f t="shared" si="308"/>
        <v>0</v>
      </c>
      <c r="AO342" s="1124">
        <f t="shared" si="308"/>
        <v>0</v>
      </c>
      <c r="AP342" s="1124">
        <f t="shared" si="308"/>
        <v>0</v>
      </c>
      <c r="AQ342" s="1124">
        <f t="shared" si="308"/>
        <v>0</v>
      </c>
      <c r="AR342" s="1124">
        <f t="shared" si="308"/>
        <v>0</v>
      </c>
      <c r="AS342" s="1124">
        <f t="shared" si="308"/>
        <v>0</v>
      </c>
      <c r="AT342" s="31"/>
      <c r="AU342" s="78">
        <f>+Base!E342</f>
        <v>-3300</v>
      </c>
      <c r="AV342" s="81">
        <f t="shared" si="307"/>
        <v>0</v>
      </c>
      <c r="AW342" s="65"/>
    </row>
    <row r="343" spans="1:49" hidden="1">
      <c r="A343" s="1432" t="s">
        <v>639</v>
      </c>
      <c r="B343" s="72" t="s">
        <v>131</v>
      </c>
      <c r="C343" s="3"/>
      <c r="E343" s="65">
        <f>SUM(F343:AS343)</f>
        <v>12100</v>
      </c>
      <c r="F343" s="31">
        <f t="shared" ref="F343:AS343" si="309">+F32</f>
        <v>0</v>
      </c>
      <c r="G343" s="1124">
        <f t="shared" si="309"/>
        <v>0</v>
      </c>
      <c r="H343" s="1124">
        <f t="shared" si="309"/>
        <v>0</v>
      </c>
      <c r="I343" s="1124">
        <f t="shared" si="309"/>
        <v>0</v>
      </c>
      <c r="J343" s="1124">
        <f t="shared" si="309"/>
        <v>0</v>
      </c>
      <c r="K343" s="1124">
        <f t="shared" si="309"/>
        <v>0</v>
      </c>
      <c r="L343" s="1124">
        <f t="shared" si="309"/>
        <v>0</v>
      </c>
      <c r="M343" s="1124">
        <f t="shared" si="309"/>
        <v>0</v>
      </c>
      <c r="N343" s="1124">
        <f t="shared" si="309"/>
        <v>0</v>
      </c>
      <c r="O343" s="1124">
        <f t="shared" si="309"/>
        <v>0</v>
      </c>
      <c r="P343" s="1124">
        <f t="shared" si="309"/>
        <v>0</v>
      </c>
      <c r="Q343" s="1124">
        <f t="shared" si="309"/>
        <v>0</v>
      </c>
      <c r="R343" s="1124">
        <f t="shared" si="309"/>
        <v>0</v>
      </c>
      <c r="S343" s="1124">
        <f t="shared" si="309"/>
        <v>0</v>
      </c>
      <c r="T343" s="1124">
        <f t="shared" si="309"/>
        <v>0</v>
      </c>
      <c r="U343" s="1124">
        <f t="shared" si="309"/>
        <v>0</v>
      </c>
      <c r="V343" s="1124">
        <f t="shared" si="309"/>
        <v>2200</v>
      </c>
      <c r="W343" s="1124">
        <f t="shared" si="309"/>
        <v>1900</v>
      </c>
      <c r="X343" s="1124">
        <f t="shared" si="309"/>
        <v>1400</v>
      </c>
      <c r="Y343" s="1124">
        <f t="shared" si="309"/>
        <v>1300</v>
      </c>
      <c r="Z343" s="1124">
        <f t="shared" si="309"/>
        <v>1200</v>
      </c>
      <c r="AA343" s="1124">
        <f t="shared" si="309"/>
        <v>1100</v>
      </c>
      <c r="AB343" s="1124">
        <f t="shared" si="309"/>
        <v>1000</v>
      </c>
      <c r="AC343" s="1124">
        <f t="shared" si="309"/>
        <v>800</v>
      </c>
      <c r="AD343" s="1124">
        <f t="shared" si="309"/>
        <v>600</v>
      </c>
      <c r="AE343" s="1124">
        <f t="shared" si="309"/>
        <v>400</v>
      </c>
      <c r="AF343" s="1124">
        <f t="shared" si="309"/>
        <v>200</v>
      </c>
      <c r="AG343" s="1124">
        <f t="shared" si="309"/>
        <v>0</v>
      </c>
      <c r="AH343" s="1124">
        <f t="shared" si="309"/>
        <v>0</v>
      </c>
      <c r="AI343" s="1124">
        <f t="shared" si="309"/>
        <v>0</v>
      </c>
      <c r="AJ343" s="1124">
        <f t="shared" si="309"/>
        <v>0</v>
      </c>
      <c r="AK343" s="1124">
        <f t="shared" si="309"/>
        <v>0</v>
      </c>
      <c r="AL343" s="1124">
        <f t="shared" si="309"/>
        <v>0</v>
      </c>
      <c r="AM343" s="1124">
        <f t="shared" si="309"/>
        <v>0</v>
      </c>
      <c r="AN343" s="1124">
        <f t="shared" si="309"/>
        <v>0</v>
      </c>
      <c r="AO343" s="1124">
        <f t="shared" si="309"/>
        <v>0</v>
      </c>
      <c r="AP343" s="1124">
        <f t="shared" si="309"/>
        <v>0</v>
      </c>
      <c r="AQ343" s="1124">
        <f t="shared" si="309"/>
        <v>0</v>
      </c>
      <c r="AR343" s="1124">
        <f t="shared" si="309"/>
        <v>0</v>
      </c>
      <c r="AS343" s="1124">
        <f t="shared" si="309"/>
        <v>0</v>
      </c>
      <c r="AT343" s="31"/>
      <c r="AU343" s="78">
        <f>+Base!E343</f>
        <v>12100</v>
      </c>
      <c r="AV343" s="81">
        <f t="shared" si="307"/>
        <v>0</v>
      </c>
      <c r="AW343" s="65"/>
    </row>
    <row r="344" spans="1:49" hidden="1">
      <c r="A344" s="1432" t="s">
        <v>639</v>
      </c>
      <c r="B344" s="72" t="s">
        <v>132</v>
      </c>
      <c r="C344" s="3"/>
      <c r="E344" s="65">
        <f>SUM(F344:AS344)</f>
        <v>31900</v>
      </c>
      <c r="F344" s="31">
        <f t="shared" ref="F344:AS344" si="310">+F33</f>
        <v>0</v>
      </c>
      <c r="G344" s="1124">
        <f t="shared" si="310"/>
        <v>0</v>
      </c>
      <c r="H344" s="1124">
        <f t="shared" si="310"/>
        <v>0</v>
      </c>
      <c r="I344" s="1124">
        <f t="shared" si="310"/>
        <v>0</v>
      </c>
      <c r="J344" s="1124">
        <f t="shared" si="310"/>
        <v>0</v>
      </c>
      <c r="K344" s="1124">
        <f t="shared" si="310"/>
        <v>0</v>
      </c>
      <c r="L344" s="1124">
        <f t="shared" si="310"/>
        <v>0</v>
      </c>
      <c r="M344" s="1124">
        <f t="shared" si="310"/>
        <v>0</v>
      </c>
      <c r="N344" s="1124">
        <f t="shared" si="310"/>
        <v>0</v>
      </c>
      <c r="O344" s="1124">
        <f t="shared" si="310"/>
        <v>0</v>
      </c>
      <c r="P344" s="1124">
        <f t="shared" si="310"/>
        <v>0</v>
      </c>
      <c r="Q344" s="1124">
        <f t="shared" si="310"/>
        <v>0</v>
      </c>
      <c r="R344" s="1124">
        <f t="shared" si="310"/>
        <v>3400</v>
      </c>
      <c r="S344" s="1124">
        <f t="shared" si="310"/>
        <v>3400</v>
      </c>
      <c r="T344" s="1124">
        <f t="shared" si="310"/>
        <v>3300</v>
      </c>
      <c r="U344" s="1124">
        <f t="shared" si="310"/>
        <v>3200</v>
      </c>
      <c r="V344" s="1124">
        <f t="shared" si="310"/>
        <v>3100</v>
      </c>
      <c r="W344" s="1124">
        <f t="shared" si="310"/>
        <v>2900</v>
      </c>
      <c r="X344" s="1124">
        <f t="shared" si="310"/>
        <v>2400</v>
      </c>
      <c r="Y344" s="1124">
        <f t="shared" si="310"/>
        <v>2200</v>
      </c>
      <c r="Z344" s="1124">
        <f t="shared" si="310"/>
        <v>2000</v>
      </c>
      <c r="AA344" s="1124">
        <f t="shared" si="310"/>
        <v>1800</v>
      </c>
      <c r="AB344" s="1124">
        <f t="shared" si="310"/>
        <v>1500</v>
      </c>
      <c r="AC344" s="1124">
        <f t="shared" si="310"/>
        <v>1200</v>
      </c>
      <c r="AD344" s="1124">
        <f t="shared" si="310"/>
        <v>900</v>
      </c>
      <c r="AE344" s="1124">
        <f t="shared" si="310"/>
        <v>600</v>
      </c>
      <c r="AF344" s="1124">
        <f t="shared" si="310"/>
        <v>0</v>
      </c>
      <c r="AG344" s="1124">
        <f t="shared" si="310"/>
        <v>0</v>
      </c>
      <c r="AH344" s="1124">
        <f t="shared" si="310"/>
        <v>0</v>
      </c>
      <c r="AI344" s="1124">
        <f t="shared" si="310"/>
        <v>0</v>
      </c>
      <c r="AJ344" s="1124">
        <f t="shared" si="310"/>
        <v>0</v>
      </c>
      <c r="AK344" s="1124">
        <f t="shared" si="310"/>
        <v>0</v>
      </c>
      <c r="AL344" s="1124">
        <f t="shared" si="310"/>
        <v>0</v>
      </c>
      <c r="AM344" s="1124">
        <f t="shared" si="310"/>
        <v>0</v>
      </c>
      <c r="AN344" s="1124">
        <f t="shared" si="310"/>
        <v>0</v>
      </c>
      <c r="AO344" s="1124">
        <f t="shared" si="310"/>
        <v>0</v>
      </c>
      <c r="AP344" s="1124">
        <f t="shared" si="310"/>
        <v>0</v>
      </c>
      <c r="AQ344" s="1124">
        <f t="shared" si="310"/>
        <v>0</v>
      </c>
      <c r="AR344" s="1124">
        <f t="shared" si="310"/>
        <v>0</v>
      </c>
      <c r="AS344" s="1124">
        <f t="shared" si="310"/>
        <v>0</v>
      </c>
      <c r="AT344" s="31"/>
      <c r="AU344" s="78">
        <f>+Base!E344</f>
        <v>31900</v>
      </c>
      <c r="AV344" s="81">
        <f t="shared" si="307"/>
        <v>0</v>
      </c>
      <c r="AW344" s="65"/>
    </row>
    <row r="345" spans="1:49" ht="15.6" hidden="1">
      <c r="A345" s="1432" t="s">
        <v>639</v>
      </c>
      <c r="B345" s="28" t="s">
        <v>133</v>
      </c>
      <c r="C345" s="3"/>
      <c r="E345" s="363"/>
      <c r="F345" s="31">
        <f>+F335+F337+F341+F343</f>
        <v>0</v>
      </c>
      <c r="G345" s="1124">
        <f t="shared" ref="G345:AS346" si="311">+G335+G337+G341+G343</f>
        <v>0</v>
      </c>
      <c r="H345" s="1124">
        <f t="shared" si="311"/>
        <v>0</v>
      </c>
      <c r="I345" s="1124">
        <f t="shared" si="311"/>
        <v>0</v>
      </c>
      <c r="J345" s="1124">
        <f t="shared" si="311"/>
        <v>0</v>
      </c>
      <c r="K345" s="1124">
        <f t="shared" si="311"/>
        <v>0</v>
      </c>
      <c r="L345" s="1124">
        <f t="shared" si="311"/>
        <v>0</v>
      </c>
      <c r="M345" s="1124">
        <f t="shared" si="311"/>
        <v>0</v>
      </c>
      <c r="N345" s="1124">
        <f t="shared" si="311"/>
        <v>0</v>
      </c>
      <c r="O345" s="1124">
        <f t="shared" si="311"/>
        <v>0</v>
      </c>
      <c r="P345" s="1124">
        <f t="shared" si="311"/>
        <v>0</v>
      </c>
      <c r="Q345" s="1124">
        <f t="shared" si="311"/>
        <v>0</v>
      </c>
      <c r="R345" s="1124">
        <f t="shared" si="311"/>
        <v>0</v>
      </c>
      <c r="S345" s="1124">
        <f t="shared" si="311"/>
        <v>0</v>
      </c>
      <c r="T345" s="1124">
        <f t="shared" si="311"/>
        <v>0</v>
      </c>
      <c r="U345" s="1124">
        <f t="shared" si="311"/>
        <v>36000</v>
      </c>
      <c r="V345" s="1124">
        <f t="shared" si="311"/>
        <v>31000</v>
      </c>
      <c r="W345" s="1124">
        <f t="shared" si="311"/>
        <v>25900</v>
      </c>
      <c r="X345" s="1124">
        <f t="shared" si="311"/>
        <v>24500</v>
      </c>
      <c r="Y345" s="1124">
        <f t="shared" si="311"/>
        <v>22900</v>
      </c>
      <c r="Z345" s="1124">
        <f t="shared" si="311"/>
        <v>21000</v>
      </c>
      <c r="AA345" s="1124">
        <f t="shared" si="311"/>
        <v>18800</v>
      </c>
      <c r="AB345" s="1124">
        <f t="shared" si="311"/>
        <v>16300</v>
      </c>
      <c r="AC345" s="1124">
        <f t="shared" si="311"/>
        <v>13400</v>
      </c>
      <c r="AD345" s="1124">
        <f t="shared" si="311"/>
        <v>10100</v>
      </c>
      <c r="AE345" s="1124">
        <f t="shared" si="311"/>
        <v>6300</v>
      </c>
      <c r="AF345" s="1124">
        <f t="shared" si="311"/>
        <v>2000</v>
      </c>
      <c r="AG345" s="1124">
        <f t="shared" si="311"/>
        <v>0</v>
      </c>
      <c r="AH345" s="1124">
        <f t="shared" si="311"/>
        <v>0</v>
      </c>
      <c r="AI345" s="1124">
        <f t="shared" si="311"/>
        <v>0</v>
      </c>
      <c r="AJ345" s="1124">
        <f t="shared" si="311"/>
        <v>0</v>
      </c>
      <c r="AK345" s="1124">
        <f t="shared" si="311"/>
        <v>0</v>
      </c>
      <c r="AL345" s="1124">
        <f t="shared" si="311"/>
        <v>0</v>
      </c>
      <c r="AM345" s="1124">
        <f t="shared" si="311"/>
        <v>0</v>
      </c>
      <c r="AN345" s="1124">
        <f t="shared" si="311"/>
        <v>0</v>
      </c>
      <c r="AO345" s="1124">
        <f t="shared" si="311"/>
        <v>0</v>
      </c>
      <c r="AP345" s="1124">
        <f t="shared" si="311"/>
        <v>0</v>
      </c>
      <c r="AQ345" s="1124">
        <f t="shared" si="311"/>
        <v>0</v>
      </c>
      <c r="AR345" s="1124">
        <f t="shared" si="311"/>
        <v>0</v>
      </c>
      <c r="AS345" s="1124">
        <f t="shared" si="311"/>
        <v>0</v>
      </c>
      <c r="AT345" s="31"/>
      <c r="AU345" s="78">
        <f>+Base!E345</f>
        <v>0</v>
      </c>
      <c r="AV345" s="81">
        <f t="shared" si="307"/>
        <v>0</v>
      </c>
      <c r="AW345" s="363"/>
    </row>
    <row r="346" spans="1:49" ht="15.6" hidden="1">
      <c r="A346" s="1432" t="s">
        <v>639</v>
      </c>
      <c r="B346" s="28" t="s">
        <v>134</v>
      </c>
      <c r="C346" s="3"/>
      <c r="E346" s="363"/>
      <c r="F346" s="31">
        <f>+F336+F338+F342+F344</f>
        <v>0</v>
      </c>
      <c r="G346" s="1124">
        <f t="shared" si="311"/>
        <v>0</v>
      </c>
      <c r="H346" s="1124">
        <f t="shared" si="311"/>
        <v>0</v>
      </c>
      <c r="I346" s="1124">
        <f t="shared" si="311"/>
        <v>0</v>
      </c>
      <c r="J346" s="1124">
        <f t="shared" si="311"/>
        <v>0</v>
      </c>
      <c r="K346" s="1124">
        <f t="shared" si="311"/>
        <v>0</v>
      </c>
      <c r="L346" s="1124">
        <f t="shared" si="311"/>
        <v>0</v>
      </c>
      <c r="M346" s="1124">
        <f t="shared" si="311"/>
        <v>0</v>
      </c>
      <c r="N346" s="1124">
        <f t="shared" si="311"/>
        <v>0</v>
      </c>
      <c r="O346" s="1124">
        <f t="shared" si="311"/>
        <v>0</v>
      </c>
      <c r="P346" s="1124">
        <f t="shared" si="311"/>
        <v>0</v>
      </c>
      <c r="Q346" s="1124">
        <f t="shared" si="311"/>
        <v>60000</v>
      </c>
      <c r="R346" s="1124">
        <f t="shared" si="311"/>
        <v>59300</v>
      </c>
      <c r="S346" s="1124">
        <f t="shared" si="311"/>
        <v>58400</v>
      </c>
      <c r="T346" s="1124">
        <f t="shared" si="311"/>
        <v>57100</v>
      </c>
      <c r="U346" s="1124">
        <f t="shared" si="311"/>
        <v>55500</v>
      </c>
      <c r="V346" s="1124">
        <f t="shared" si="311"/>
        <v>52500</v>
      </c>
      <c r="W346" s="1124">
        <f t="shared" si="311"/>
        <v>48900</v>
      </c>
      <c r="X346" s="1124">
        <f t="shared" si="311"/>
        <v>44500</v>
      </c>
      <c r="Y346" s="1124">
        <f t="shared" si="311"/>
        <v>41000</v>
      </c>
      <c r="Z346" s="1124">
        <f t="shared" si="311"/>
        <v>37000</v>
      </c>
      <c r="AA346" s="1124">
        <f t="shared" si="311"/>
        <v>32400</v>
      </c>
      <c r="AB346" s="1124">
        <f t="shared" si="311"/>
        <v>27100</v>
      </c>
      <c r="AC346" s="1124">
        <f t="shared" si="311"/>
        <v>21200</v>
      </c>
      <c r="AD346" s="1124">
        <f t="shared" si="311"/>
        <v>14500</v>
      </c>
      <c r="AE346" s="1124">
        <f t="shared" si="311"/>
        <v>7000</v>
      </c>
      <c r="AF346" s="1124">
        <f t="shared" si="311"/>
        <v>0</v>
      </c>
      <c r="AG346" s="1124">
        <f t="shared" si="311"/>
        <v>0</v>
      </c>
      <c r="AH346" s="1124">
        <f t="shared" si="311"/>
        <v>0</v>
      </c>
      <c r="AI346" s="1124">
        <f t="shared" si="311"/>
        <v>0</v>
      </c>
      <c r="AJ346" s="1124">
        <f t="shared" si="311"/>
        <v>0</v>
      </c>
      <c r="AK346" s="1124">
        <f t="shared" si="311"/>
        <v>0</v>
      </c>
      <c r="AL346" s="1124">
        <f t="shared" si="311"/>
        <v>0</v>
      </c>
      <c r="AM346" s="1124">
        <f t="shared" si="311"/>
        <v>0</v>
      </c>
      <c r="AN346" s="1124">
        <f t="shared" si="311"/>
        <v>0</v>
      </c>
      <c r="AO346" s="1124">
        <f t="shared" si="311"/>
        <v>0</v>
      </c>
      <c r="AP346" s="1124">
        <f t="shared" si="311"/>
        <v>0</v>
      </c>
      <c r="AQ346" s="1124">
        <f t="shared" si="311"/>
        <v>0</v>
      </c>
      <c r="AR346" s="1124">
        <f t="shared" si="311"/>
        <v>0</v>
      </c>
      <c r="AS346" s="1124">
        <f t="shared" si="311"/>
        <v>0</v>
      </c>
      <c r="AT346" s="31"/>
      <c r="AU346" s="78">
        <f>+Base!E346</f>
        <v>0</v>
      </c>
      <c r="AV346" s="81">
        <f t="shared" si="307"/>
        <v>0</v>
      </c>
      <c r="AW346" s="363"/>
    </row>
    <row r="347" spans="1:49" hidden="1">
      <c r="A347" s="1432" t="s">
        <v>639</v>
      </c>
      <c r="B347" s="72" t="s">
        <v>135</v>
      </c>
      <c r="C347" s="3"/>
      <c r="E347" s="65">
        <f>SUM(F347:AS347)</f>
        <v>0</v>
      </c>
      <c r="F347" s="31">
        <f t="shared" ref="F347:AS347" si="312">+F116</f>
        <v>0</v>
      </c>
      <c r="G347" s="1124">
        <f t="shared" si="312"/>
        <v>0</v>
      </c>
      <c r="H347" s="1124">
        <f t="shared" si="312"/>
        <v>0</v>
      </c>
      <c r="I347" s="1124">
        <f t="shared" si="312"/>
        <v>0</v>
      </c>
      <c r="J347" s="1124">
        <f t="shared" si="312"/>
        <v>0</v>
      </c>
      <c r="K347" s="1124">
        <f t="shared" si="312"/>
        <v>0</v>
      </c>
      <c r="L347" s="1124">
        <f t="shared" si="312"/>
        <v>0</v>
      </c>
      <c r="M347" s="1124">
        <f t="shared" si="312"/>
        <v>0</v>
      </c>
      <c r="N347" s="1124">
        <f t="shared" si="312"/>
        <v>0</v>
      </c>
      <c r="O347" s="1124">
        <f t="shared" si="312"/>
        <v>0</v>
      </c>
      <c r="P347" s="1124">
        <f t="shared" si="312"/>
        <v>0</v>
      </c>
      <c r="Q347" s="1124">
        <f t="shared" si="312"/>
        <v>0</v>
      </c>
      <c r="R347" s="1124">
        <f t="shared" si="312"/>
        <v>0</v>
      </c>
      <c r="S347" s="1124">
        <f t="shared" si="312"/>
        <v>0</v>
      </c>
      <c r="T347" s="1124">
        <f t="shared" si="312"/>
        <v>0</v>
      </c>
      <c r="U347" s="1124">
        <f t="shared" si="312"/>
        <v>0</v>
      </c>
      <c r="V347" s="1124">
        <f t="shared" si="312"/>
        <v>0</v>
      </c>
      <c r="W347" s="1124">
        <f t="shared" si="312"/>
        <v>0</v>
      </c>
      <c r="X347" s="1124">
        <f t="shared" si="312"/>
        <v>0</v>
      </c>
      <c r="Y347" s="1124">
        <f t="shared" si="312"/>
        <v>0</v>
      </c>
      <c r="Z347" s="1124">
        <f t="shared" si="312"/>
        <v>0</v>
      </c>
      <c r="AA347" s="1124">
        <f t="shared" si="312"/>
        <v>0</v>
      </c>
      <c r="AB347" s="1124">
        <f t="shared" si="312"/>
        <v>0</v>
      </c>
      <c r="AC347" s="1124">
        <f t="shared" si="312"/>
        <v>0</v>
      </c>
      <c r="AD347" s="1124">
        <f t="shared" si="312"/>
        <v>0</v>
      </c>
      <c r="AE347" s="1124">
        <f t="shared" si="312"/>
        <v>0</v>
      </c>
      <c r="AF347" s="1124">
        <f t="shared" si="312"/>
        <v>0</v>
      </c>
      <c r="AG347" s="1124">
        <f t="shared" si="312"/>
        <v>0</v>
      </c>
      <c r="AH347" s="1124">
        <f t="shared" si="312"/>
        <v>0</v>
      </c>
      <c r="AI347" s="1124">
        <f t="shared" si="312"/>
        <v>0</v>
      </c>
      <c r="AJ347" s="1124">
        <f t="shared" si="312"/>
        <v>0</v>
      </c>
      <c r="AK347" s="1124">
        <f t="shared" si="312"/>
        <v>0</v>
      </c>
      <c r="AL347" s="1124">
        <f t="shared" si="312"/>
        <v>0</v>
      </c>
      <c r="AM347" s="1124">
        <f t="shared" si="312"/>
        <v>0</v>
      </c>
      <c r="AN347" s="1124">
        <f t="shared" si="312"/>
        <v>0</v>
      </c>
      <c r="AO347" s="1124">
        <f t="shared" si="312"/>
        <v>0</v>
      </c>
      <c r="AP347" s="1124">
        <f t="shared" si="312"/>
        <v>0</v>
      </c>
      <c r="AQ347" s="1124">
        <f t="shared" si="312"/>
        <v>0</v>
      </c>
      <c r="AR347" s="1124">
        <f t="shared" si="312"/>
        <v>0</v>
      </c>
      <c r="AS347" s="1124">
        <f t="shared" si="312"/>
        <v>0</v>
      </c>
      <c r="AT347" s="31"/>
      <c r="AU347" s="78">
        <f>+Base!E347</f>
        <v>0</v>
      </c>
      <c r="AV347" s="81">
        <f t="shared" si="307"/>
        <v>0</v>
      </c>
      <c r="AW347" s="65"/>
    </row>
    <row r="348" spans="1:49" hidden="1">
      <c r="A348" s="1432" t="s">
        <v>639</v>
      </c>
      <c r="B348" s="72" t="s">
        <v>136</v>
      </c>
      <c r="C348" s="3"/>
      <c r="E348" s="65">
        <f>SUM(F348:AS348)</f>
        <v>0</v>
      </c>
      <c r="F348" s="31">
        <f t="shared" ref="F348:AS348" si="313">+F117</f>
        <v>0</v>
      </c>
      <c r="G348" s="1124">
        <f t="shared" si="313"/>
        <v>0</v>
      </c>
      <c r="H348" s="1124">
        <f t="shared" si="313"/>
        <v>0</v>
      </c>
      <c r="I348" s="1124">
        <f t="shared" si="313"/>
        <v>0</v>
      </c>
      <c r="J348" s="1124">
        <f t="shared" si="313"/>
        <v>0</v>
      </c>
      <c r="K348" s="1124">
        <f t="shared" si="313"/>
        <v>0</v>
      </c>
      <c r="L348" s="1124">
        <f t="shared" si="313"/>
        <v>0</v>
      </c>
      <c r="M348" s="1124">
        <f t="shared" si="313"/>
        <v>0</v>
      </c>
      <c r="N348" s="1124">
        <f t="shared" si="313"/>
        <v>0</v>
      </c>
      <c r="O348" s="1124">
        <f t="shared" si="313"/>
        <v>0</v>
      </c>
      <c r="P348" s="1124">
        <f t="shared" si="313"/>
        <v>0</v>
      </c>
      <c r="Q348" s="1124">
        <f t="shared" si="313"/>
        <v>0</v>
      </c>
      <c r="R348" s="1124">
        <f t="shared" si="313"/>
        <v>0</v>
      </c>
      <c r="S348" s="1124">
        <f t="shared" si="313"/>
        <v>0</v>
      </c>
      <c r="T348" s="1124">
        <f t="shared" si="313"/>
        <v>0</v>
      </c>
      <c r="U348" s="1124">
        <f t="shared" si="313"/>
        <v>0</v>
      </c>
      <c r="V348" s="1124">
        <f t="shared" si="313"/>
        <v>0</v>
      </c>
      <c r="W348" s="1124">
        <f t="shared" si="313"/>
        <v>0</v>
      </c>
      <c r="X348" s="1124">
        <f t="shared" si="313"/>
        <v>0</v>
      </c>
      <c r="Y348" s="1124">
        <f t="shared" si="313"/>
        <v>0</v>
      </c>
      <c r="Z348" s="1124">
        <f t="shared" si="313"/>
        <v>0</v>
      </c>
      <c r="AA348" s="1124">
        <f t="shared" si="313"/>
        <v>0</v>
      </c>
      <c r="AB348" s="1124">
        <f t="shared" si="313"/>
        <v>0</v>
      </c>
      <c r="AC348" s="1124">
        <f t="shared" si="313"/>
        <v>0</v>
      </c>
      <c r="AD348" s="1124">
        <f t="shared" si="313"/>
        <v>0</v>
      </c>
      <c r="AE348" s="1124">
        <f t="shared" si="313"/>
        <v>0</v>
      </c>
      <c r="AF348" s="1124">
        <f t="shared" si="313"/>
        <v>0</v>
      </c>
      <c r="AG348" s="1124">
        <f t="shared" si="313"/>
        <v>0</v>
      </c>
      <c r="AH348" s="1124">
        <f t="shared" si="313"/>
        <v>0</v>
      </c>
      <c r="AI348" s="1124">
        <f t="shared" si="313"/>
        <v>0</v>
      </c>
      <c r="AJ348" s="1124">
        <f t="shared" si="313"/>
        <v>0</v>
      </c>
      <c r="AK348" s="1124">
        <f t="shared" si="313"/>
        <v>0</v>
      </c>
      <c r="AL348" s="1124">
        <f t="shared" si="313"/>
        <v>0</v>
      </c>
      <c r="AM348" s="1124">
        <f t="shared" si="313"/>
        <v>0</v>
      </c>
      <c r="AN348" s="1124">
        <f t="shared" si="313"/>
        <v>0</v>
      </c>
      <c r="AO348" s="1124">
        <f t="shared" si="313"/>
        <v>0</v>
      </c>
      <c r="AP348" s="1124">
        <f t="shared" si="313"/>
        <v>0</v>
      </c>
      <c r="AQ348" s="1124">
        <f t="shared" si="313"/>
        <v>0</v>
      </c>
      <c r="AR348" s="1124">
        <f t="shared" si="313"/>
        <v>0</v>
      </c>
      <c r="AS348" s="1124">
        <f t="shared" si="313"/>
        <v>0</v>
      </c>
      <c r="AT348" s="31"/>
      <c r="AU348" s="78">
        <f>+Base!E348</f>
        <v>0</v>
      </c>
      <c r="AV348" s="81">
        <f t="shared" si="307"/>
        <v>0</v>
      </c>
      <c r="AW348" s="65"/>
    </row>
    <row r="349" spans="1:49" hidden="1">
      <c r="A349" s="1432" t="s">
        <v>639</v>
      </c>
      <c r="B349" s="72" t="s">
        <v>171</v>
      </c>
      <c r="C349" s="3"/>
      <c r="E349" s="433">
        <f ca="1">INDIRECT(ADDRESS(ROW(),Total_Years+5))</f>
        <v>0</v>
      </c>
      <c r="F349" s="31">
        <f>+F345+F347</f>
        <v>0</v>
      </c>
      <c r="G349" s="1124">
        <f t="shared" ref="G349:AS350" si="314">+G345+G347</f>
        <v>0</v>
      </c>
      <c r="H349" s="1124">
        <f t="shared" si="314"/>
        <v>0</v>
      </c>
      <c r="I349" s="1124">
        <f t="shared" si="314"/>
        <v>0</v>
      </c>
      <c r="J349" s="1124">
        <f t="shared" si="314"/>
        <v>0</v>
      </c>
      <c r="K349" s="1124">
        <f t="shared" si="314"/>
        <v>0</v>
      </c>
      <c r="L349" s="1124">
        <f t="shared" si="314"/>
        <v>0</v>
      </c>
      <c r="M349" s="1124">
        <f t="shared" si="314"/>
        <v>0</v>
      </c>
      <c r="N349" s="1124">
        <f t="shared" si="314"/>
        <v>0</v>
      </c>
      <c r="O349" s="1124">
        <f t="shared" si="314"/>
        <v>0</v>
      </c>
      <c r="P349" s="1124">
        <f t="shared" si="314"/>
        <v>0</v>
      </c>
      <c r="Q349" s="1124">
        <f t="shared" si="314"/>
        <v>0</v>
      </c>
      <c r="R349" s="1124">
        <f t="shared" si="314"/>
        <v>0</v>
      </c>
      <c r="S349" s="1124">
        <f t="shared" si="314"/>
        <v>0</v>
      </c>
      <c r="T349" s="1124">
        <f t="shared" si="314"/>
        <v>0</v>
      </c>
      <c r="U349" s="1124">
        <f t="shared" si="314"/>
        <v>36000</v>
      </c>
      <c r="V349" s="1124">
        <f t="shared" si="314"/>
        <v>31000</v>
      </c>
      <c r="W349" s="1124">
        <f t="shared" si="314"/>
        <v>25900</v>
      </c>
      <c r="X349" s="1124">
        <f t="shared" si="314"/>
        <v>24500</v>
      </c>
      <c r="Y349" s="1124">
        <f t="shared" si="314"/>
        <v>22900</v>
      </c>
      <c r="Z349" s="1124">
        <f t="shared" si="314"/>
        <v>21000</v>
      </c>
      <c r="AA349" s="1124">
        <f t="shared" si="314"/>
        <v>18800</v>
      </c>
      <c r="AB349" s="1124">
        <f t="shared" si="314"/>
        <v>16300</v>
      </c>
      <c r="AC349" s="1124">
        <f t="shared" si="314"/>
        <v>13400</v>
      </c>
      <c r="AD349" s="1124">
        <f t="shared" si="314"/>
        <v>10100</v>
      </c>
      <c r="AE349" s="1124">
        <f t="shared" si="314"/>
        <v>6300</v>
      </c>
      <c r="AF349" s="1124">
        <f t="shared" si="314"/>
        <v>2000</v>
      </c>
      <c r="AG349" s="1124">
        <f t="shared" si="314"/>
        <v>0</v>
      </c>
      <c r="AH349" s="1124">
        <f t="shared" si="314"/>
        <v>0</v>
      </c>
      <c r="AI349" s="1124">
        <f t="shared" si="314"/>
        <v>0</v>
      </c>
      <c r="AJ349" s="1124">
        <f t="shared" si="314"/>
        <v>0</v>
      </c>
      <c r="AK349" s="1124">
        <f t="shared" si="314"/>
        <v>0</v>
      </c>
      <c r="AL349" s="1124">
        <f t="shared" si="314"/>
        <v>0</v>
      </c>
      <c r="AM349" s="1124">
        <f t="shared" si="314"/>
        <v>0</v>
      </c>
      <c r="AN349" s="1124">
        <f t="shared" si="314"/>
        <v>0</v>
      </c>
      <c r="AO349" s="1124">
        <f t="shared" si="314"/>
        <v>0</v>
      </c>
      <c r="AP349" s="1124">
        <f t="shared" si="314"/>
        <v>0</v>
      </c>
      <c r="AQ349" s="1124">
        <f t="shared" si="314"/>
        <v>0</v>
      </c>
      <c r="AR349" s="1124">
        <f t="shared" si="314"/>
        <v>0</v>
      </c>
      <c r="AS349" s="1124">
        <f t="shared" si="314"/>
        <v>0</v>
      </c>
      <c r="AT349" s="31"/>
      <c r="AU349" s="78">
        <f ca="1">+Base!E349</f>
        <v>0</v>
      </c>
      <c r="AV349" s="81">
        <f ca="1">+E349-AU349</f>
        <v>0</v>
      </c>
      <c r="AW349" s="363"/>
    </row>
    <row r="350" spans="1:49" hidden="1">
      <c r="A350" s="1432" t="s">
        <v>639</v>
      </c>
      <c r="B350" s="72" t="s">
        <v>173</v>
      </c>
      <c r="C350" s="3"/>
      <c r="E350" s="433">
        <f ca="1">INDIRECT(ADDRESS(ROW(),Total_Years+5))</f>
        <v>0</v>
      </c>
      <c r="F350" s="31">
        <f>+F346+F348</f>
        <v>0</v>
      </c>
      <c r="G350" s="1124">
        <f t="shared" si="314"/>
        <v>0</v>
      </c>
      <c r="H350" s="1124">
        <f t="shared" si="314"/>
        <v>0</v>
      </c>
      <c r="I350" s="1124">
        <f t="shared" si="314"/>
        <v>0</v>
      </c>
      <c r="J350" s="1124">
        <f t="shared" si="314"/>
        <v>0</v>
      </c>
      <c r="K350" s="1124">
        <f t="shared" si="314"/>
        <v>0</v>
      </c>
      <c r="L350" s="1124">
        <f t="shared" si="314"/>
        <v>0</v>
      </c>
      <c r="M350" s="1124">
        <f t="shared" si="314"/>
        <v>0</v>
      </c>
      <c r="N350" s="1124">
        <f t="shared" si="314"/>
        <v>0</v>
      </c>
      <c r="O350" s="1124">
        <f t="shared" si="314"/>
        <v>0</v>
      </c>
      <c r="P350" s="1124">
        <f t="shared" si="314"/>
        <v>0</v>
      </c>
      <c r="Q350" s="1124">
        <f t="shared" si="314"/>
        <v>60000</v>
      </c>
      <c r="R350" s="1124">
        <f t="shared" si="314"/>
        <v>59300</v>
      </c>
      <c r="S350" s="1124">
        <f t="shared" si="314"/>
        <v>58400</v>
      </c>
      <c r="T350" s="1124">
        <f t="shared" si="314"/>
        <v>57100</v>
      </c>
      <c r="U350" s="1124">
        <f t="shared" si="314"/>
        <v>55500</v>
      </c>
      <c r="V350" s="1124">
        <f t="shared" si="314"/>
        <v>52500</v>
      </c>
      <c r="W350" s="1124">
        <f t="shared" si="314"/>
        <v>48900</v>
      </c>
      <c r="X350" s="1124">
        <f t="shared" si="314"/>
        <v>44500</v>
      </c>
      <c r="Y350" s="1124">
        <f t="shared" si="314"/>
        <v>41000</v>
      </c>
      <c r="Z350" s="1124">
        <f t="shared" si="314"/>
        <v>37000</v>
      </c>
      <c r="AA350" s="1124">
        <f t="shared" si="314"/>
        <v>32400</v>
      </c>
      <c r="AB350" s="1124">
        <f t="shared" si="314"/>
        <v>27100</v>
      </c>
      <c r="AC350" s="1124">
        <f t="shared" si="314"/>
        <v>21200</v>
      </c>
      <c r="AD350" s="1124">
        <f t="shared" si="314"/>
        <v>14500</v>
      </c>
      <c r="AE350" s="1124">
        <f t="shared" si="314"/>
        <v>7000</v>
      </c>
      <c r="AF350" s="1124">
        <f t="shared" si="314"/>
        <v>0</v>
      </c>
      <c r="AG350" s="1124">
        <f t="shared" si="314"/>
        <v>0</v>
      </c>
      <c r="AH350" s="1124">
        <f t="shared" si="314"/>
        <v>0</v>
      </c>
      <c r="AI350" s="1124">
        <f t="shared" si="314"/>
        <v>0</v>
      </c>
      <c r="AJ350" s="1124">
        <f t="shared" si="314"/>
        <v>0</v>
      </c>
      <c r="AK350" s="1124">
        <f t="shared" si="314"/>
        <v>0</v>
      </c>
      <c r="AL350" s="1124">
        <f t="shared" si="314"/>
        <v>0</v>
      </c>
      <c r="AM350" s="1124">
        <f t="shared" si="314"/>
        <v>0</v>
      </c>
      <c r="AN350" s="1124">
        <f t="shared" si="314"/>
        <v>0</v>
      </c>
      <c r="AO350" s="1124">
        <f t="shared" si="314"/>
        <v>0</v>
      </c>
      <c r="AP350" s="1124">
        <f t="shared" si="314"/>
        <v>0</v>
      </c>
      <c r="AQ350" s="1124">
        <f t="shared" si="314"/>
        <v>0</v>
      </c>
      <c r="AR350" s="1124">
        <f t="shared" si="314"/>
        <v>0</v>
      </c>
      <c r="AS350" s="1124">
        <f t="shared" si="314"/>
        <v>0</v>
      </c>
      <c r="AT350" s="31"/>
      <c r="AU350" s="78">
        <f ca="1">+Base!E350</f>
        <v>0</v>
      </c>
      <c r="AV350" s="81">
        <f ca="1">+E350-AU350</f>
        <v>0</v>
      </c>
      <c r="AW350" s="363"/>
    </row>
    <row r="351" spans="1:49" hidden="1">
      <c r="A351" s="1432" t="s">
        <v>639</v>
      </c>
      <c r="B351" s="72"/>
      <c r="C351" s="3"/>
      <c r="E351" s="363"/>
      <c r="F351" s="31"/>
      <c r="G351" s="31"/>
      <c r="H351" s="31"/>
      <c r="I351" s="31"/>
      <c r="J351" s="31"/>
      <c r="K351" s="31"/>
      <c r="L351" s="31"/>
      <c r="M351" s="31"/>
      <c r="N351" s="31"/>
      <c r="O351" s="31"/>
      <c r="P351" s="31"/>
      <c r="Q351" s="31"/>
      <c r="R351" s="31"/>
      <c r="S351" s="31"/>
      <c r="T351" s="31"/>
      <c r="U351" s="31"/>
      <c r="V351" s="31"/>
      <c r="W351" s="31"/>
      <c r="X351" s="31"/>
      <c r="Y351" s="31"/>
      <c r="Z351" s="31"/>
      <c r="AA351" s="31"/>
      <c r="AB351" s="31"/>
      <c r="AC351" s="31"/>
      <c r="AD351" s="31"/>
      <c r="AE351" s="31"/>
      <c r="AF351" s="31"/>
      <c r="AG351" s="31"/>
      <c r="AH351" s="31"/>
      <c r="AI351" s="31"/>
      <c r="AJ351" s="31"/>
      <c r="AK351" s="31"/>
      <c r="AL351" s="31"/>
      <c r="AM351" s="31"/>
      <c r="AN351" s="31"/>
      <c r="AO351" s="31"/>
      <c r="AP351" s="31"/>
      <c r="AQ351" s="31"/>
      <c r="AR351" s="31"/>
      <c r="AS351" s="31"/>
      <c r="AT351" s="31"/>
      <c r="AU351" s="31"/>
      <c r="AV351" s="31"/>
      <c r="AW351" s="363"/>
    </row>
    <row r="352" spans="1:49" ht="15.6" hidden="1">
      <c r="A352" s="1432" t="s">
        <v>639</v>
      </c>
      <c r="B352" s="25" t="s">
        <v>917</v>
      </c>
      <c r="C352" s="3"/>
      <c r="D352" s="3"/>
      <c r="E352" s="363"/>
      <c r="F352" s="31"/>
      <c r="G352" s="31"/>
      <c r="H352" s="31"/>
      <c r="I352" s="31"/>
      <c r="J352" s="31"/>
      <c r="K352" s="31"/>
      <c r="L352" s="31"/>
      <c r="M352" s="31"/>
      <c r="N352" s="31"/>
      <c r="O352" s="31"/>
      <c r="P352" s="31"/>
      <c r="Q352" s="31"/>
      <c r="R352" s="31"/>
      <c r="S352" s="31"/>
      <c r="T352" s="31"/>
      <c r="U352" s="31"/>
      <c r="V352" s="31"/>
      <c r="W352" s="31"/>
      <c r="X352" s="31"/>
      <c r="Y352" s="31"/>
      <c r="Z352" s="31"/>
      <c r="AA352" s="31"/>
      <c r="AB352" s="31"/>
      <c r="AC352" s="31"/>
      <c r="AD352" s="31"/>
      <c r="AE352" s="31"/>
      <c r="AF352" s="31"/>
      <c r="AG352" s="31"/>
      <c r="AH352" s="31"/>
      <c r="AI352" s="31"/>
      <c r="AJ352" s="31"/>
      <c r="AK352" s="31"/>
      <c r="AL352" s="31"/>
      <c r="AM352" s="31"/>
      <c r="AN352" s="31"/>
      <c r="AO352" s="31"/>
      <c r="AP352" s="31"/>
      <c r="AQ352" s="31"/>
      <c r="AR352" s="31"/>
      <c r="AS352" s="31"/>
      <c r="AT352" s="31"/>
      <c r="AU352" s="31"/>
      <c r="AV352" s="31"/>
      <c r="AW352" s="363"/>
    </row>
    <row r="353" spans="1:49" s="3" customFormat="1" hidden="1">
      <c r="A353" s="1432" t="s">
        <v>639</v>
      </c>
      <c r="B353" s="634" t="s">
        <v>155</v>
      </c>
      <c r="E353" s="363"/>
      <c r="F353" s="1293">
        <f>+F15</f>
        <v>75000</v>
      </c>
      <c r="G353" s="1124">
        <f t="shared" ref="G353:AS353" si="315">+F364*IF(G$7-$F$7&lt;=Total_Years-1,1,0)</f>
        <v>79700</v>
      </c>
      <c r="H353" s="1124">
        <f t="shared" si="315"/>
        <v>84700</v>
      </c>
      <c r="I353" s="1124">
        <f t="shared" si="315"/>
        <v>90100</v>
      </c>
      <c r="J353" s="1124">
        <f t="shared" si="315"/>
        <v>95900</v>
      </c>
      <c r="K353" s="1124">
        <f t="shared" si="315"/>
        <v>102100</v>
      </c>
      <c r="L353" s="1124">
        <f t="shared" si="315"/>
        <v>108700</v>
      </c>
      <c r="M353" s="1124">
        <f t="shared" si="315"/>
        <v>115700</v>
      </c>
      <c r="N353" s="1124">
        <f t="shared" si="315"/>
        <v>123200</v>
      </c>
      <c r="O353" s="1124">
        <f t="shared" si="315"/>
        <v>131100</v>
      </c>
      <c r="P353" s="1124">
        <f t="shared" si="315"/>
        <v>139500</v>
      </c>
      <c r="Q353" s="1124">
        <f t="shared" si="315"/>
        <v>148400</v>
      </c>
      <c r="R353" s="1124">
        <f t="shared" si="315"/>
        <v>157900</v>
      </c>
      <c r="S353" s="1124">
        <f t="shared" si="315"/>
        <v>168000</v>
      </c>
      <c r="T353" s="1124">
        <f t="shared" si="315"/>
        <v>178700</v>
      </c>
      <c r="U353" s="1124">
        <f t="shared" si="315"/>
        <v>190100</v>
      </c>
      <c r="V353" s="1124">
        <f t="shared" si="315"/>
        <v>202200</v>
      </c>
      <c r="W353" s="1124">
        <f t="shared" si="315"/>
        <v>215000</v>
      </c>
      <c r="X353" s="1124">
        <f t="shared" si="315"/>
        <v>228600</v>
      </c>
      <c r="Y353" s="1124">
        <f t="shared" si="315"/>
        <v>239900</v>
      </c>
      <c r="Z353" s="1124">
        <f t="shared" si="315"/>
        <v>251800</v>
      </c>
      <c r="AA353" s="1124">
        <f t="shared" si="315"/>
        <v>264400</v>
      </c>
      <c r="AB353" s="1124">
        <f t="shared" si="315"/>
        <v>277600</v>
      </c>
      <c r="AC353" s="1124">
        <f t="shared" si="315"/>
        <v>291500</v>
      </c>
      <c r="AD353" s="1124">
        <f t="shared" si="315"/>
        <v>306200</v>
      </c>
      <c r="AE353" s="1124">
        <f t="shared" si="315"/>
        <v>321600</v>
      </c>
      <c r="AF353" s="1124">
        <f t="shared" si="315"/>
        <v>337900</v>
      </c>
      <c r="AG353" s="1124">
        <f t="shared" si="315"/>
        <v>355000</v>
      </c>
      <c r="AH353" s="1124">
        <f t="shared" si="315"/>
        <v>373000</v>
      </c>
      <c r="AI353" s="1124">
        <f t="shared" si="315"/>
        <v>392000</v>
      </c>
      <c r="AJ353" s="1124">
        <f t="shared" si="315"/>
        <v>0</v>
      </c>
      <c r="AK353" s="1124">
        <f t="shared" si="315"/>
        <v>0</v>
      </c>
      <c r="AL353" s="1124">
        <f t="shared" si="315"/>
        <v>0</v>
      </c>
      <c r="AM353" s="1124">
        <f t="shared" si="315"/>
        <v>0</v>
      </c>
      <c r="AN353" s="1124">
        <f t="shared" si="315"/>
        <v>0</v>
      </c>
      <c r="AO353" s="1124">
        <f t="shared" si="315"/>
        <v>0</v>
      </c>
      <c r="AP353" s="1124">
        <f t="shared" si="315"/>
        <v>0</v>
      </c>
      <c r="AQ353" s="1124">
        <f t="shared" si="315"/>
        <v>0</v>
      </c>
      <c r="AR353" s="1124">
        <f t="shared" si="315"/>
        <v>0</v>
      </c>
      <c r="AS353" s="1124">
        <f t="shared" si="315"/>
        <v>0</v>
      </c>
      <c r="AT353" s="190"/>
      <c r="AU353" s="439">
        <f>+Base!E353</f>
        <v>0</v>
      </c>
      <c r="AV353" s="434">
        <f>+E353-AU353</f>
        <v>0</v>
      </c>
      <c r="AW353" s="363"/>
    </row>
    <row r="354" spans="1:49" s="3" customFormat="1" hidden="1">
      <c r="A354" s="1432" t="s">
        <v>639</v>
      </c>
      <c r="B354" s="1018" t="s">
        <v>1825</v>
      </c>
      <c r="C354" s="1763" t="s">
        <v>2268</v>
      </c>
      <c r="E354" s="65">
        <f>SUM(F354:AS354)</f>
        <v>4600</v>
      </c>
      <c r="F354" s="190">
        <f>+F120</f>
        <v>1000</v>
      </c>
      <c r="G354" s="1124">
        <f>+G120</f>
        <v>1100</v>
      </c>
      <c r="H354" s="1124">
        <f t="shared" ref="H354:AS354" si="316">+H120</f>
        <v>1200</v>
      </c>
      <c r="I354" s="1124">
        <f t="shared" si="316"/>
        <v>1300</v>
      </c>
      <c r="J354" s="1124">
        <f t="shared" si="316"/>
        <v>0</v>
      </c>
      <c r="K354" s="1124">
        <f t="shared" si="316"/>
        <v>0</v>
      </c>
      <c r="L354" s="1124">
        <f t="shared" si="316"/>
        <v>0</v>
      </c>
      <c r="M354" s="1124">
        <f t="shared" si="316"/>
        <v>0</v>
      </c>
      <c r="N354" s="1124">
        <f t="shared" si="316"/>
        <v>0</v>
      </c>
      <c r="O354" s="1124">
        <f t="shared" si="316"/>
        <v>0</v>
      </c>
      <c r="P354" s="1124">
        <f t="shared" si="316"/>
        <v>0</v>
      </c>
      <c r="Q354" s="1124">
        <f t="shared" si="316"/>
        <v>0</v>
      </c>
      <c r="R354" s="1124">
        <f t="shared" si="316"/>
        <v>0</v>
      </c>
      <c r="S354" s="1124">
        <f t="shared" si="316"/>
        <v>0</v>
      </c>
      <c r="T354" s="1124">
        <f t="shared" si="316"/>
        <v>0</v>
      </c>
      <c r="U354" s="1124">
        <f t="shared" si="316"/>
        <v>0</v>
      </c>
      <c r="V354" s="1124">
        <f t="shared" si="316"/>
        <v>0</v>
      </c>
      <c r="W354" s="1124">
        <f t="shared" si="316"/>
        <v>0</v>
      </c>
      <c r="X354" s="1124">
        <f t="shared" si="316"/>
        <v>0</v>
      </c>
      <c r="Y354" s="1124">
        <f t="shared" si="316"/>
        <v>0</v>
      </c>
      <c r="Z354" s="1124">
        <f t="shared" si="316"/>
        <v>0</v>
      </c>
      <c r="AA354" s="1124">
        <f t="shared" si="316"/>
        <v>0</v>
      </c>
      <c r="AB354" s="1124">
        <f t="shared" si="316"/>
        <v>0</v>
      </c>
      <c r="AC354" s="1124">
        <f t="shared" si="316"/>
        <v>0</v>
      </c>
      <c r="AD354" s="1124">
        <f t="shared" si="316"/>
        <v>0</v>
      </c>
      <c r="AE354" s="1124">
        <f t="shared" si="316"/>
        <v>0</v>
      </c>
      <c r="AF354" s="1124">
        <f t="shared" si="316"/>
        <v>0</v>
      </c>
      <c r="AG354" s="1124">
        <f t="shared" si="316"/>
        <v>0</v>
      </c>
      <c r="AH354" s="1124">
        <f t="shared" si="316"/>
        <v>0</v>
      </c>
      <c r="AI354" s="1124">
        <f t="shared" si="316"/>
        <v>0</v>
      </c>
      <c r="AJ354" s="1124">
        <f t="shared" si="316"/>
        <v>0</v>
      </c>
      <c r="AK354" s="1124">
        <f t="shared" si="316"/>
        <v>0</v>
      </c>
      <c r="AL354" s="1124">
        <f t="shared" si="316"/>
        <v>0</v>
      </c>
      <c r="AM354" s="1124">
        <f t="shared" si="316"/>
        <v>0</v>
      </c>
      <c r="AN354" s="1124">
        <f t="shared" si="316"/>
        <v>0</v>
      </c>
      <c r="AO354" s="1124">
        <f t="shared" si="316"/>
        <v>0</v>
      </c>
      <c r="AP354" s="1124">
        <f t="shared" si="316"/>
        <v>0</v>
      </c>
      <c r="AQ354" s="1124">
        <f t="shared" si="316"/>
        <v>0</v>
      </c>
      <c r="AR354" s="1124">
        <f t="shared" si="316"/>
        <v>0</v>
      </c>
      <c r="AS354" s="1124">
        <f t="shared" si="316"/>
        <v>0</v>
      </c>
      <c r="AT354" s="190"/>
      <c r="AU354" s="439">
        <f>+Base!E354</f>
        <v>4600</v>
      </c>
      <c r="AV354" s="434">
        <f>+E354-AU354</f>
        <v>0</v>
      </c>
      <c r="AW354" s="363"/>
    </row>
    <row r="355" spans="1:49" s="3" customFormat="1" hidden="1">
      <c r="A355" s="1432" t="s">
        <v>639</v>
      </c>
      <c r="B355" s="72" t="s">
        <v>735</v>
      </c>
      <c r="E355" s="65">
        <f>SUM(F355:AS355)</f>
        <v>0</v>
      </c>
      <c r="F355" s="190">
        <f t="shared" ref="F355:AS355" si="317">+F127</f>
        <v>0</v>
      </c>
      <c r="G355" s="1124">
        <f t="shared" si="317"/>
        <v>0</v>
      </c>
      <c r="H355" s="1124">
        <f t="shared" si="317"/>
        <v>0</v>
      </c>
      <c r="I355" s="1124">
        <f t="shared" si="317"/>
        <v>0</v>
      </c>
      <c r="J355" s="1124">
        <f t="shared" si="317"/>
        <v>0</v>
      </c>
      <c r="K355" s="1124">
        <f t="shared" si="317"/>
        <v>0</v>
      </c>
      <c r="L355" s="1124">
        <f t="shared" si="317"/>
        <v>0</v>
      </c>
      <c r="M355" s="1124">
        <f t="shared" si="317"/>
        <v>0</v>
      </c>
      <c r="N355" s="1124">
        <f t="shared" si="317"/>
        <v>0</v>
      </c>
      <c r="O355" s="1124">
        <f t="shared" si="317"/>
        <v>0</v>
      </c>
      <c r="P355" s="1124">
        <f t="shared" si="317"/>
        <v>0</v>
      </c>
      <c r="Q355" s="1124">
        <f t="shared" si="317"/>
        <v>0</v>
      </c>
      <c r="R355" s="1124">
        <f t="shared" si="317"/>
        <v>0</v>
      </c>
      <c r="S355" s="1124">
        <f t="shared" si="317"/>
        <v>0</v>
      </c>
      <c r="T355" s="1124">
        <f t="shared" si="317"/>
        <v>0</v>
      </c>
      <c r="U355" s="1124">
        <f t="shared" si="317"/>
        <v>0</v>
      </c>
      <c r="V355" s="1124">
        <f t="shared" si="317"/>
        <v>0</v>
      </c>
      <c r="W355" s="1124">
        <f t="shared" si="317"/>
        <v>0</v>
      </c>
      <c r="X355" s="1124">
        <f t="shared" si="317"/>
        <v>0</v>
      </c>
      <c r="Y355" s="1124">
        <f t="shared" si="317"/>
        <v>0</v>
      </c>
      <c r="Z355" s="1124">
        <f t="shared" si="317"/>
        <v>0</v>
      </c>
      <c r="AA355" s="1124">
        <f t="shared" si="317"/>
        <v>0</v>
      </c>
      <c r="AB355" s="1124">
        <f t="shared" si="317"/>
        <v>0</v>
      </c>
      <c r="AC355" s="1124">
        <f t="shared" si="317"/>
        <v>0</v>
      </c>
      <c r="AD355" s="1124">
        <f t="shared" si="317"/>
        <v>0</v>
      </c>
      <c r="AE355" s="1124">
        <f t="shared" si="317"/>
        <v>0</v>
      </c>
      <c r="AF355" s="1124">
        <f t="shared" si="317"/>
        <v>0</v>
      </c>
      <c r="AG355" s="1124">
        <f t="shared" si="317"/>
        <v>0</v>
      </c>
      <c r="AH355" s="1124">
        <f t="shared" si="317"/>
        <v>0</v>
      </c>
      <c r="AI355" s="1124">
        <f t="shared" si="317"/>
        <v>0</v>
      </c>
      <c r="AJ355" s="1124">
        <f t="shared" si="317"/>
        <v>0</v>
      </c>
      <c r="AK355" s="1124">
        <f t="shared" si="317"/>
        <v>0</v>
      </c>
      <c r="AL355" s="1124">
        <f t="shared" si="317"/>
        <v>0</v>
      </c>
      <c r="AM355" s="1124">
        <f t="shared" si="317"/>
        <v>0</v>
      </c>
      <c r="AN355" s="1124">
        <f t="shared" si="317"/>
        <v>0</v>
      </c>
      <c r="AO355" s="1124">
        <f t="shared" si="317"/>
        <v>0</v>
      </c>
      <c r="AP355" s="1124">
        <f t="shared" si="317"/>
        <v>0</v>
      </c>
      <c r="AQ355" s="1124">
        <f t="shared" si="317"/>
        <v>0</v>
      </c>
      <c r="AR355" s="1124">
        <f t="shared" si="317"/>
        <v>0</v>
      </c>
      <c r="AS355" s="1124">
        <f t="shared" si="317"/>
        <v>0</v>
      </c>
      <c r="AT355" s="190"/>
      <c r="AU355" s="439">
        <f>+Base!E355</f>
        <v>0</v>
      </c>
      <c r="AV355" s="434">
        <f>+E355-AU355</f>
        <v>0</v>
      </c>
      <c r="AW355" s="65"/>
    </row>
    <row r="356" spans="1:49" hidden="1">
      <c r="A356" s="1432" t="s">
        <v>639</v>
      </c>
      <c r="B356" s="72" t="s">
        <v>941</v>
      </c>
      <c r="C356" s="3"/>
      <c r="D356" s="3"/>
      <c r="E356" s="191">
        <f>SUM(F356:AS356)</f>
        <v>0</v>
      </c>
      <c r="F356" s="88">
        <f t="shared" ref="F356:AS356" si="318">+F64</f>
        <v>0</v>
      </c>
      <c r="G356" s="1147">
        <f t="shared" si="318"/>
        <v>0</v>
      </c>
      <c r="H356" s="1147">
        <f t="shared" si="318"/>
        <v>0</v>
      </c>
      <c r="I356" s="1147">
        <f t="shared" si="318"/>
        <v>0</v>
      </c>
      <c r="J356" s="1147">
        <f t="shared" si="318"/>
        <v>0</v>
      </c>
      <c r="K356" s="1147">
        <f t="shared" si="318"/>
        <v>0</v>
      </c>
      <c r="L356" s="1147">
        <f t="shared" si="318"/>
        <v>0</v>
      </c>
      <c r="M356" s="1147">
        <f t="shared" si="318"/>
        <v>0</v>
      </c>
      <c r="N356" s="1147">
        <f t="shared" si="318"/>
        <v>0</v>
      </c>
      <c r="O356" s="1147">
        <f t="shared" si="318"/>
        <v>0</v>
      </c>
      <c r="P356" s="1147">
        <f t="shared" si="318"/>
        <v>0</v>
      </c>
      <c r="Q356" s="1147">
        <f t="shared" si="318"/>
        <v>0</v>
      </c>
      <c r="R356" s="1147">
        <f t="shared" si="318"/>
        <v>0</v>
      </c>
      <c r="S356" s="1147">
        <f t="shared" si="318"/>
        <v>0</v>
      </c>
      <c r="T356" s="1147">
        <f t="shared" si="318"/>
        <v>0</v>
      </c>
      <c r="U356" s="1147">
        <f t="shared" si="318"/>
        <v>0</v>
      </c>
      <c r="V356" s="1147">
        <f t="shared" si="318"/>
        <v>0</v>
      </c>
      <c r="W356" s="1147">
        <f t="shared" si="318"/>
        <v>0</v>
      </c>
      <c r="X356" s="1147">
        <f t="shared" si="318"/>
        <v>0</v>
      </c>
      <c r="Y356" s="1147">
        <f t="shared" si="318"/>
        <v>0</v>
      </c>
      <c r="Z356" s="1147">
        <f t="shared" si="318"/>
        <v>0</v>
      </c>
      <c r="AA356" s="1147">
        <f t="shared" si="318"/>
        <v>0</v>
      </c>
      <c r="AB356" s="1147">
        <f t="shared" si="318"/>
        <v>0</v>
      </c>
      <c r="AC356" s="1147">
        <f t="shared" si="318"/>
        <v>0</v>
      </c>
      <c r="AD356" s="1147">
        <f t="shared" si="318"/>
        <v>0</v>
      </c>
      <c r="AE356" s="1147">
        <f t="shared" si="318"/>
        <v>0</v>
      </c>
      <c r="AF356" s="1147">
        <f t="shared" si="318"/>
        <v>0</v>
      </c>
      <c r="AG356" s="1147">
        <f t="shared" si="318"/>
        <v>0</v>
      </c>
      <c r="AH356" s="1147">
        <f t="shared" si="318"/>
        <v>0</v>
      </c>
      <c r="AI356" s="1147">
        <f t="shared" si="318"/>
        <v>0</v>
      </c>
      <c r="AJ356" s="1147">
        <f t="shared" si="318"/>
        <v>0</v>
      </c>
      <c r="AK356" s="1147">
        <f t="shared" si="318"/>
        <v>0</v>
      </c>
      <c r="AL356" s="1147">
        <f t="shared" si="318"/>
        <v>0</v>
      </c>
      <c r="AM356" s="1147">
        <f t="shared" si="318"/>
        <v>0</v>
      </c>
      <c r="AN356" s="1147">
        <f t="shared" si="318"/>
        <v>0</v>
      </c>
      <c r="AO356" s="1147">
        <f t="shared" si="318"/>
        <v>0</v>
      </c>
      <c r="AP356" s="1147">
        <f t="shared" si="318"/>
        <v>0</v>
      </c>
      <c r="AQ356" s="1147">
        <f t="shared" si="318"/>
        <v>0</v>
      </c>
      <c r="AR356" s="1147">
        <f t="shared" si="318"/>
        <v>0</v>
      </c>
      <c r="AS356" s="1147">
        <f t="shared" si="318"/>
        <v>0</v>
      </c>
      <c r="AT356" s="1"/>
      <c r="AU356" s="439">
        <f>+Base!E356</f>
        <v>0</v>
      </c>
      <c r="AV356" s="434">
        <f t="shared" ref="AV356:AV360" si="319">+E356-AU356</f>
        <v>0</v>
      </c>
      <c r="AW356" s="191"/>
    </row>
    <row r="357" spans="1:49" ht="15.6">
      <c r="A357" s="1432"/>
      <c r="B357" s="424" t="s">
        <v>127</v>
      </c>
      <c r="D357" s="3"/>
      <c r="E357" s="191"/>
      <c r="F357" s="192">
        <f t="shared" ref="F357:AS357" si="320">IF(AND(Start_ExRoth&lt;=F$4,OR(End_ExRoth&gt;=F$4,End_ExRoth=0)),IF(F353+F354+F355+F356&lt;=0,0,F353+F354+F355+F356))*IF(F$7-$F$7&lt;=Total_Years-1,1,0)</f>
        <v>0</v>
      </c>
      <c r="G357" s="1147">
        <f t="shared" si="320"/>
        <v>0</v>
      </c>
      <c r="H357" s="1147">
        <f t="shared" si="320"/>
        <v>0</v>
      </c>
      <c r="I357" s="1147">
        <f t="shared" si="320"/>
        <v>0</v>
      </c>
      <c r="J357" s="1147">
        <f t="shared" si="320"/>
        <v>0</v>
      </c>
      <c r="K357" s="1147">
        <f t="shared" si="320"/>
        <v>0</v>
      </c>
      <c r="L357" s="1147">
        <f t="shared" si="320"/>
        <v>0</v>
      </c>
      <c r="M357" s="1147">
        <f t="shared" si="320"/>
        <v>0</v>
      </c>
      <c r="N357" s="1147">
        <f t="shared" si="320"/>
        <v>0</v>
      </c>
      <c r="O357" s="1147">
        <f t="shared" si="320"/>
        <v>0</v>
      </c>
      <c r="P357" s="1147">
        <f t="shared" si="320"/>
        <v>0</v>
      </c>
      <c r="Q357" s="1147">
        <f t="shared" si="320"/>
        <v>0</v>
      </c>
      <c r="R357" s="1147">
        <f t="shared" si="320"/>
        <v>0</v>
      </c>
      <c r="S357" s="1147">
        <f t="shared" si="320"/>
        <v>0</v>
      </c>
      <c r="T357" s="1147">
        <f t="shared" si="320"/>
        <v>0</v>
      </c>
      <c r="U357" s="1147">
        <f t="shared" si="320"/>
        <v>0</v>
      </c>
      <c r="V357" s="1147">
        <f t="shared" si="320"/>
        <v>0</v>
      </c>
      <c r="W357" s="1147">
        <f t="shared" si="320"/>
        <v>0</v>
      </c>
      <c r="X357" s="1147">
        <f t="shared" si="320"/>
        <v>228600</v>
      </c>
      <c r="Y357" s="1147">
        <f t="shared" si="320"/>
        <v>239900</v>
      </c>
      <c r="Z357" s="1147">
        <f t="shared" si="320"/>
        <v>251800</v>
      </c>
      <c r="AA357" s="1147">
        <f t="shared" si="320"/>
        <v>264400</v>
      </c>
      <c r="AB357" s="1147">
        <f t="shared" si="320"/>
        <v>277600</v>
      </c>
      <c r="AC357" s="1147">
        <f t="shared" si="320"/>
        <v>291500</v>
      </c>
      <c r="AD357" s="1147">
        <f t="shared" si="320"/>
        <v>306200</v>
      </c>
      <c r="AE357" s="1147">
        <f t="shared" si="320"/>
        <v>321600</v>
      </c>
      <c r="AF357" s="1147">
        <f t="shared" si="320"/>
        <v>337900</v>
      </c>
      <c r="AG357" s="1147">
        <f t="shared" si="320"/>
        <v>355000</v>
      </c>
      <c r="AH357" s="1147">
        <f t="shared" si="320"/>
        <v>373000</v>
      </c>
      <c r="AI357" s="1147">
        <f t="shared" si="320"/>
        <v>392000</v>
      </c>
      <c r="AJ357" s="1147">
        <f t="shared" si="320"/>
        <v>0</v>
      </c>
      <c r="AK357" s="1147">
        <f t="shared" si="320"/>
        <v>0</v>
      </c>
      <c r="AL357" s="1147">
        <f t="shared" si="320"/>
        <v>0</v>
      </c>
      <c r="AM357" s="1147">
        <f t="shared" si="320"/>
        <v>0</v>
      </c>
      <c r="AN357" s="1147">
        <f t="shared" si="320"/>
        <v>0</v>
      </c>
      <c r="AO357" s="1147">
        <f t="shared" si="320"/>
        <v>0</v>
      </c>
      <c r="AP357" s="1147">
        <f t="shared" si="320"/>
        <v>0</v>
      </c>
      <c r="AQ357" s="1147">
        <f t="shared" si="320"/>
        <v>0</v>
      </c>
      <c r="AR357" s="1147">
        <f t="shared" si="320"/>
        <v>0</v>
      </c>
      <c r="AS357" s="1147">
        <f t="shared" si="320"/>
        <v>0</v>
      </c>
      <c r="AT357" s="1"/>
      <c r="AU357" s="439">
        <f>+Base!E357</f>
        <v>0</v>
      </c>
      <c r="AV357" s="434">
        <f t="shared" si="319"/>
        <v>0</v>
      </c>
      <c r="AW357" s="191"/>
    </row>
    <row r="358" spans="1:49" ht="15.6" hidden="1">
      <c r="A358" s="1432" t="s">
        <v>639</v>
      </c>
      <c r="B358" s="633" t="s">
        <v>129</v>
      </c>
      <c r="C358" s="1727" t="str">
        <f>"during ages " &amp; Start_ExRoth &amp;" - " &amp; End_ExRoth</f>
        <v xml:space="preserve">during ages 80 - </v>
      </c>
      <c r="D358" s="3"/>
      <c r="E358" s="191">
        <f>SUM(F358:AS358)</f>
        <v>-6000</v>
      </c>
      <c r="F358" s="88">
        <f t="shared" ref="F358:AS358" si="321">+F121</f>
        <v>0</v>
      </c>
      <c r="G358" s="1147">
        <f t="shared" si="321"/>
        <v>0</v>
      </c>
      <c r="H358" s="1147">
        <f t="shared" si="321"/>
        <v>0</v>
      </c>
      <c r="I358" s="1147">
        <f t="shared" si="321"/>
        <v>0</v>
      </c>
      <c r="J358" s="1147">
        <f t="shared" si="321"/>
        <v>0</v>
      </c>
      <c r="K358" s="1147">
        <f t="shared" si="321"/>
        <v>0</v>
      </c>
      <c r="L358" s="1147">
        <f t="shared" si="321"/>
        <v>0</v>
      </c>
      <c r="M358" s="1147">
        <f t="shared" si="321"/>
        <v>0</v>
      </c>
      <c r="N358" s="1147">
        <f t="shared" si="321"/>
        <v>0</v>
      </c>
      <c r="O358" s="1147">
        <f t="shared" si="321"/>
        <v>0</v>
      </c>
      <c r="P358" s="1147">
        <f t="shared" si="321"/>
        <v>0</v>
      </c>
      <c r="Q358" s="1147">
        <f t="shared" si="321"/>
        <v>0</v>
      </c>
      <c r="R358" s="1147">
        <f t="shared" si="321"/>
        <v>0</v>
      </c>
      <c r="S358" s="1147">
        <f t="shared" si="321"/>
        <v>0</v>
      </c>
      <c r="T358" s="1147">
        <f t="shared" si="321"/>
        <v>0</v>
      </c>
      <c r="U358" s="1147">
        <f t="shared" si="321"/>
        <v>0</v>
      </c>
      <c r="V358" s="1147">
        <f t="shared" si="321"/>
        <v>0</v>
      </c>
      <c r="W358" s="1147">
        <f t="shared" si="321"/>
        <v>0</v>
      </c>
      <c r="X358" s="1147">
        <f t="shared" si="321"/>
        <v>-500</v>
      </c>
      <c r="Y358" s="1147">
        <f t="shared" si="321"/>
        <v>-500</v>
      </c>
      <c r="Z358" s="1147">
        <f t="shared" si="321"/>
        <v>-500</v>
      </c>
      <c r="AA358" s="1147">
        <f t="shared" si="321"/>
        <v>-500</v>
      </c>
      <c r="AB358" s="1147">
        <f t="shared" si="321"/>
        <v>-500</v>
      </c>
      <c r="AC358" s="1147">
        <f t="shared" si="321"/>
        <v>-500</v>
      </c>
      <c r="AD358" s="1147">
        <f t="shared" si="321"/>
        <v>-500</v>
      </c>
      <c r="AE358" s="1147">
        <f t="shared" si="321"/>
        <v>-500</v>
      </c>
      <c r="AF358" s="1147">
        <f t="shared" si="321"/>
        <v>-500</v>
      </c>
      <c r="AG358" s="1147">
        <f t="shared" si="321"/>
        <v>-500</v>
      </c>
      <c r="AH358" s="1147">
        <f t="shared" si="321"/>
        <v>-500</v>
      </c>
      <c r="AI358" s="1147">
        <f t="shared" si="321"/>
        <v>-500</v>
      </c>
      <c r="AJ358" s="1147">
        <f t="shared" si="321"/>
        <v>0</v>
      </c>
      <c r="AK358" s="1147">
        <f t="shared" si="321"/>
        <v>0</v>
      </c>
      <c r="AL358" s="1147">
        <f t="shared" si="321"/>
        <v>0</v>
      </c>
      <c r="AM358" s="1147">
        <f t="shared" si="321"/>
        <v>0</v>
      </c>
      <c r="AN358" s="1147">
        <f t="shared" si="321"/>
        <v>0</v>
      </c>
      <c r="AO358" s="1147">
        <f t="shared" si="321"/>
        <v>0</v>
      </c>
      <c r="AP358" s="1147">
        <f t="shared" si="321"/>
        <v>0</v>
      </c>
      <c r="AQ358" s="1147">
        <f t="shared" si="321"/>
        <v>0</v>
      </c>
      <c r="AR358" s="1147">
        <f t="shared" si="321"/>
        <v>0</v>
      </c>
      <c r="AS358" s="1147">
        <f t="shared" si="321"/>
        <v>0</v>
      </c>
      <c r="AT358" s="88"/>
      <c r="AU358" s="439">
        <f>+Base!E358</f>
        <v>-6000</v>
      </c>
      <c r="AV358" s="434">
        <f t="shared" si="319"/>
        <v>0</v>
      </c>
      <c r="AW358" s="191"/>
    </row>
    <row r="359" spans="1:49" ht="15.6">
      <c r="A359" s="1432"/>
      <c r="B359" s="28" t="s">
        <v>128</v>
      </c>
      <c r="D359" s="3"/>
      <c r="E359" s="191"/>
      <c r="F359" s="88">
        <f t="shared" ref="F359:AS359" si="322">IF(AND(Start_ExRoth1_2&lt;=F$4,OR(End_ExRoth1_2&gt;=F$4,End_ExRoth1_2=0)),IF(F353+F355+F356+F358&lt;=0,0,F353+F355+F356+F358))*IF(F$7-$F$7&lt;=Total_Years-1,1,0)</f>
        <v>0</v>
      </c>
      <c r="G359" s="1147">
        <f t="shared" si="322"/>
        <v>0</v>
      </c>
      <c r="H359" s="1147">
        <f t="shared" si="322"/>
        <v>0</v>
      </c>
      <c r="I359" s="1147">
        <f t="shared" si="322"/>
        <v>0</v>
      </c>
      <c r="J359" s="1147">
        <f t="shared" si="322"/>
        <v>0</v>
      </c>
      <c r="K359" s="1147">
        <f t="shared" si="322"/>
        <v>0</v>
      </c>
      <c r="L359" s="1147">
        <f t="shared" si="322"/>
        <v>0</v>
      </c>
      <c r="M359" s="1147">
        <f t="shared" si="322"/>
        <v>0</v>
      </c>
      <c r="N359" s="1147">
        <f t="shared" si="322"/>
        <v>0</v>
      </c>
      <c r="O359" s="1147">
        <f t="shared" si="322"/>
        <v>0</v>
      </c>
      <c r="P359" s="1147">
        <f t="shared" si="322"/>
        <v>0</v>
      </c>
      <c r="Q359" s="1147">
        <f t="shared" si="322"/>
        <v>0</v>
      </c>
      <c r="R359" s="1147">
        <f t="shared" si="322"/>
        <v>0</v>
      </c>
      <c r="S359" s="1147">
        <f t="shared" si="322"/>
        <v>0</v>
      </c>
      <c r="T359" s="1147">
        <f t="shared" si="322"/>
        <v>0</v>
      </c>
      <c r="U359" s="1147">
        <f t="shared" si="322"/>
        <v>0</v>
      </c>
      <c r="V359" s="1147">
        <f t="shared" si="322"/>
        <v>0</v>
      </c>
      <c r="W359" s="1147">
        <f t="shared" si="322"/>
        <v>0</v>
      </c>
      <c r="X359" s="1147">
        <f t="shared" si="322"/>
        <v>228100</v>
      </c>
      <c r="Y359" s="1147">
        <f t="shared" si="322"/>
        <v>239400</v>
      </c>
      <c r="Z359" s="1147">
        <f t="shared" si="322"/>
        <v>251300</v>
      </c>
      <c r="AA359" s="1147">
        <f t="shared" si="322"/>
        <v>263900</v>
      </c>
      <c r="AB359" s="1147">
        <f t="shared" si="322"/>
        <v>277100</v>
      </c>
      <c r="AC359" s="1147">
        <f t="shared" si="322"/>
        <v>291000</v>
      </c>
      <c r="AD359" s="1147">
        <f t="shared" si="322"/>
        <v>305700</v>
      </c>
      <c r="AE359" s="1147">
        <f t="shared" si="322"/>
        <v>321100</v>
      </c>
      <c r="AF359" s="1147">
        <f t="shared" si="322"/>
        <v>337400</v>
      </c>
      <c r="AG359" s="1147">
        <f t="shared" si="322"/>
        <v>354500</v>
      </c>
      <c r="AH359" s="1147">
        <f t="shared" si="322"/>
        <v>372500</v>
      </c>
      <c r="AI359" s="1147">
        <f t="shared" si="322"/>
        <v>391500</v>
      </c>
      <c r="AJ359" s="1147">
        <f t="shared" si="322"/>
        <v>0</v>
      </c>
      <c r="AK359" s="1147">
        <f t="shared" si="322"/>
        <v>0</v>
      </c>
      <c r="AL359" s="1147">
        <f t="shared" si="322"/>
        <v>0</v>
      </c>
      <c r="AM359" s="1147">
        <f t="shared" si="322"/>
        <v>0</v>
      </c>
      <c r="AN359" s="1147">
        <f t="shared" si="322"/>
        <v>0</v>
      </c>
      <c r="AO359" s="1147">
        <f t="shared" si="322"/>
        <v>0</v>
      </c>
      <c r="AP359" s="1147">
        <f t="shared" si="322"/>
        <v>0</v>
      </c>
      <c r="AQ359" s="1147">
        <f t="shared" si="322"/>
        <v>0</v>
      </c>
      <c r="AR359" s="1147">
        <f t="shared" si="322"/>
        <v>0</v>
      </c>
      <c r="AS359" s="1147">
        <f t="shared" si="322"/>
        <v>0</v>
      </c>
      <c r="AT359" s="88"/>
      <c r="AU359" s="439">
        <f>+Base!E359</f>
        <v>0</v>
      </c>
      <c r="AV359" s="434">
        <f t="shared" si="319"/>
        <v>0</v>
      </c>
      <c r="AW359" s="191"/>
    </row>
    <row r="360" spans="1:49" ht="15.6">
      <c r="A360" s="1432"/>
      <c r="B360" s="633" t="s">
        <v>130</v>
      </c>
      <c r="C360" s="1727" t="str">
        <f>"during ages " &amp; Start_ExRoth1_2 &amp;" - " &amp; End_ExRoth1_2</f>
        <v xml:space="preserve">during ages 80 - </v>
      </c>
      <c r="D360" s="3"/>
      <c r="E360" s="191">
        <f>SUM(F360:AS360)</f>
        <v>-6000</v>
      </c>
      <c r="F360" s="88">
        <f t="shared" ref="F360:AS360" si="323">+F122</f>
        <v>0</v>
      </c>
      <c r="G360" s="1147">
        <f t="shared" si="323"/>
        <v>0</v>
      </c>
      <c r="H360" s="1147">
        <f t="shared" si="323"/>
        <v>0</v>
      </c>
      <c r="I360" s="1147">
        <f t="shared" si="323"/>
        <v>0</v>
      </c>
      <c r="J360" s="1147">
        <f t="shared" si="323"/>
        <v>0</v>
      </c>
      <c r="K360" s="1147">
        <f t="shared" si="323"/>
        <v>0</v>
      </c>
      <c r="L360" s="1147">
        <f t="shared" si="323"/>
        <v>0</v>
      </c>
      <c r="M360" s="1147">
        <f t="shared" si="323"/>
        <v>0</v>
      </c>
      <c r="N360" s="1147">
        <f t="shared" si="323"/>
        <v>0</v>
      </c>
      <c r="O360" s="1147">
        <f t="shared" si="323"/>
        <v>0</v>
      </c>
      <c r="P360" s="1147">
        <f t="shared" si="323"/>
        <v>0</v>
      </c>
      <c r="Q360" s="1147">
        <f t="shared" si="323"/>
        <v>0</v>
      </c>
      <c r="R360" s="1147">
        <f t="shared" si="323"/>
        <v>0</v>
      </c>
      <c r="S360" s="1147">
        <f t="shared" si="323"/>
        <v>0</v>
      </c>
      <c r="T360" s="1147">
        <f t="shared" si="323"/>
        <v>0</v>
      </c>
      <c r="U360" s="1147">
        <f t="shared" si="323"/>
        <v>0</v>
      </c>
      <c r="V360" s="1147">
        <f t="shared" si="323"/>
        <v>0</v>
      </c>
      <c r="W360" s="1147">
        <f t="shared" si="323"/>
        <v>0</v>
      </c>
      <c r="X360" s="1147">
        <f t="shared" si="323"/>
        <v>-500</v>
      </c>
      <c r="Y360" s="1147">
        <f t="shared" si="323"/>
        <v>-500</v>
      </c>
      <c r="Z360" s="1147">
        <f t="shared" si="323"/>
        <v>-500</v>
      </c>
      <c r="AA360" s="1147">
        <f t="shared" si="323"/>
        <v>-500</v>
      </c>
      <c r="AB360" s="1147">
        <f t="shared" si="323"/>
        <v>-500</v>
      </c>
      <c r="AC360" s="1147">
        <f t="shared" si="323"/>
        <v>-500</v>
      </c>
      <c r="AD360" s="1147">
        <f t="shared" si="323"/>
        <v>-500</v>
      </c>
      <c r="AE360" s="1147">
        <f t="shared" si="323"/>
        <v>-500</v>
      </c>
      <c r="AF360" s="1147">
        <f t="shared" si="323"/>
        <v>-500</v>
      </c>
      <c r="AG360" s="1147">
        <f t="shared" si="323"/>
        <v>-500</v>
      </c>
      <c r="AH360" s="1147">
        <f t="shared" si="323"/>
        <v>-500</v>
      </c>
      <c r="AI360" s="1147">
        <f t="shared" si="323"/>
        <v>-500</v>
      </c>
      <c r="AJ360" s="1147">
        <f t="shared" si="323"/>
        <v>0</v>
      </c>
      <c r="AK360" s="1147">
        <f t="shared" si="323"/>
        <v>0</v>
      </c>
      <c r="AL360" s="1147">
        <f t="shared" si="323"/>
        <v>0</v>
      </c>
      <c r="AM360" s="1147">
        <f t="shared" si="323"/>
        <v>0</v>
      </c>
      <c r="AN360" s="1147">
        <f t="shared" si="323"/>
        <v>0</v>
      </c>
      <c r="AO360" s="1147">
        <f t="shared" si="323"/>
        <v>0</v>
      </c>
      <c r="AP360" s="1147">
        <f t="shared" si="323"/>
        <v>0</v>
      </c>
      <c r="AQ360" s="1147">
        <f t="shared" si="323"/>
        <v>0</v>
      </c>
      <c r="AR360" s="1147">
        <f t="shared" si="323"/>
        <v>0</v>
      </c>
      <c r="AS360" s="1147">
        <f t="shared" si="323"/>
        <v>0</v>
      </c>
      <c r="AT360" s="88"/>
      <c r="AU360" s="439">
        <f>+Base!E360</f>
        <v>-6000</v>
      </c>
      <c r="AV360" s="434">
        <f t="shared" si="319"/>
        <v>0</v>
      </c>
      <c r="AW360" s="65"/>
    </row>
    <row r="361" spans="1:49" hidden="1">
      <c r="A361" s="1432" t="s">
        <v>639</v>
      </c>
      <c r="B361" s="72" t="s">
        <v>166</v>
      </c>
      <c r="C361" s="3"/>
      <c r="D361" s="3"/>
      <c r="E361" s="65">
        <f>SUM(F361:AS361)</f>
        <v>349000</v>
      </c>
      <c r="F361" s="31">
        <f t="shared" ref="F361:AS361" si="324">+F35</f>
        <v>4700</v>
      </c>
      <c r="G361" s="1124">
        <f t="shared" si="324"/>
        <v>5000</v>
      </c>
      <c r="H361" s="1124">
        <f t="shared" si="324"/>
        <v>5400</v>
      </c>
      <c r="I361" s="1124">
        <f t="shared" si="324"/>
        <v>5800</v>
      </c>
      <c r="J361" s="1124">
        <f t="shared" si="324"/>
        <v>6200</v>
      </c>
      <c r="K361" s="1124">
        <f t="shared" si="324"/>
        <v>6600</v>
      </c>
      <c r="L361" s="1124">
        <f t="shared" si="324"/>
        <v>7000</v>
      </c>
      <c r="M361" s="1124">
        <f t="shared" si="324"/>
        <v>7500</v>
      </c>
      <c r="N361" s="1124">
        <f t="shared" si="324"/>
        <v>7900</v>
      </c>
      <c r="O361" s="1124">
        <f t="shared" si="324"/>
        <v>8400</v>
      </c>
      <c r="P361" s="1124">
        <f t="shared" si="324"/>
        <v>8900</v>
      </c>
      <c r="Q361" s="1124">
        <f t="shared" si="324"/>
        <v>9500</v>
      </c>
      <c r="R361" s="1124">
        <f t="shared" si="324"/>
        <v>10100</v>
      </c>
      <c r="S361" s="1124">
        <f t="shared" si="324"/>
        <v>10700</v>
      </c>
      <c r="T361" s="1124">
        <f t="shared" si="324"/>
        <v>11400</v>
      </c>
      <c r="U361" s="1124">
        <f t="shared" si="324"/>
        <v>12100</v>
      </c>
      <c r="V361" s="1124">
        <f t="shared" si="324"/>
        <v>12800</v>
      </c>
      <c r="W361" s="1124">
        <f t="shared" si="324"/>
        <v>13600</v>
      </c>
      <c r="X361" s="1124">
        <f t="shared" si="324"/>
        <v>12300</v>
      </c>
      <c r="Y361" s="1124">
        <f t="shared" si="324"/>
        <v>12900</v>
      </c>
      <c r="Z361" s="1124">
        <f t="shared" si="324"/>
        <v>13600</v>
      </c>
      <c r="AA361" s="1124">
        <f t="shared" si="324"/>
        <v>14200</v>
      </c>
      <c r="AB361" s="1124">
        <f t="shared" si="324"/>
        <v>14900</v>
      </c>
      <c r="AC361" s="1124">
        <f t="shared" si="324"/>
        <v>15700</v>
      </c>
      <c r="AD361" s="1124">
        <f t="shared" si="324"/>
        <v>16400</v>
      </c>
      <c r="AE361" s="1124">
        <f t="shared" si="324"/>
        <v>17300</v>
      </c>
      <c r="AF361" s="1124">
        <f t="shared" si="324"/>
        <v>18100</v>
      </c>
      <c r="AG361" s="1124">
        <f t="shared" si="324"/>
        <v>19000</v>
      </c>
      <c r="AH361" s="1124">
        <f t="shared" si="324"/>
        <v>20000</v>
      </c>
      <c r="AI361" s="1124">
        <f t="shared" si="324"/>
        <v>21000</v>
      </c>
      <c r="AJ361" s="1124">
        <f t="shared" si="324"/>
        <v>0</v>
      </c>
      <c r="AK361" s="1124">
        <f t="shared" si="324"/>
        <v>0</v>
      </c>
      <c r="AL361" s="1124">
        <f t="shared" si="324"/>
        <v>0</v>
      </c>
      <c r="AM361" s="1124">
        <f t="shared" si="324"/>
        <v>0</v>
      </c>
      <c r="AN361" s="1124">
        <f t="shared" si="324"/>
        <v>0</v>
      </c>
      <c r="AO361" s="1124">
        <f t="shared" si="324"/>
        <v>0</v>
      </c>
      <c r="AP361" s="1124">
        <f t="shared" si="324"/>
        <v>0</v>
      </c>
      <c r="AQ361" s="1124">
        <f t="shared" si="324"/>
        <v>0</v>
      </c>
      <c r="AR361" s="1124">
        <f t="shared" si="324"/>
        <v>0</v>
      </c>
      <c r="AS361" s="1124">
        <f t="shared" si="324"/>
        <v>0</v>
      </c>
      <c r="AT361" s="31"/>
      <c r="AU361" s="78">
        <f>+Base!E356</f>
        <v>0</v>
      </c>
      <c r="AV361" s="81">
        <f>+E361-AU361</f>
        <v>349000</v>
      </c>
      <c r="AW361" s="65"/>
    </row>
    <row r="362" spans="1:49" ht="15.6" hidden="1">
      <c r="A362" s="1432" t="s">
        <v>639</v>
      </c>
      <c r="B362" s="28" t="s">
        <v>1543</v>
      </c>
      <c r="C362" s="3"/>
      <c r="D362" s="3"/>
      <c r="E362" s="1489"/>
      <c r="F362" s="31">
        <f>+F353+F355+F356+F358+F360+F361</f>
        <v>79700</v>
      </c>
      <c r="G362" s="1147">
        <f>+G353+G355+G356+G358+G360+G361</f>
        <v>84700</v>
      </c>
      <c r="H362" s="1147">
        <f t="shared" ref="H362:AS362" si="325">+H353+H355+H356+H358+H360+H361</f>
        <v>90100</v>
      </c>
      <c r="I362" s="1147">
        <f t="shared" si="325"/>
        <v>95900</v>
      </c>
      <c r="J362" s="1147">
        <f t="shared" si="325"/>
        <v>102100</v>
      </c>
      <c r="K362" s="1147">
        <f t="shared" si="325"/>
        <v>108700</v>
      </c>
      <c r="L362" s="1147">
        <f t="shared" si="325"/>
        <v>115700</v>
      </c>
      <c r="M362" s="1147">
        <f t="shared" si="325"/>
        <v>123200</v>
      </c>
      <c r="N362" s="1147">
        <f t="shared" si="325"/>
        <v>131100</v>
      </c>
      <c r="O362" s="1147">
        <f t="shared" si="325"/>
        <v>139500</v>
      </c>
      <c r="P362" s="1147">
        <f t="shared" si="325"/>
        <v>148400</v>
      </c>
      <c r="Q362" s="1147">
        <f t="shared" si="325"/>
        <v>157900</v>
      </c>
      <c r="R362" s="1147">
        <f t="shared" si="325"/>
        <v>168000</v>
      </c>
      <c r="S362" s="1147">
        <f t="shared" si="325"/>
        <v>178700</v>
      </c>
      <c r="T362" s="1147">
        <f t="shared" si="325"/>
        <v>190100</v>
      </c>
      <c r="U362" s="1147">
        <f t="shared" si="325"/>
        <v>202200</v>
      </c>
      <c r="V362" s="1147">
        <f t="shared" si="325"/>
        <v>215000</v>
      </c>
      <c r="W362" s="1147">
        <f t="shared" si="325"/>
        <v>228600</v>
      </c>
      <c r="X362" s="1147">
        <f t="shared" si="325"/>
        <v>239900</v>
      </c>
      <c r="Y362" s="1147">
        <f t="shared" si="325"/>
        <v>251800</v>
      </c>
      <c r="Z362" s="1147">
        <f t="shared" si="325"/>
        <v>264400</v>
      </c>
      <c r="AA362" s="1147">
        <f t="shared" si="325"/>
        <v>277600</v>
      </c>
      <c r="AB362" s="1147">
        <f t="shared" si="325"/>
        <v>291500</v>
      </c>
      <c r="AC362" s="1147">
        <f t="shared" si="325"/>
        <v>306200</v>
      </c>
      <c r="AD362" s="1147">
        <f t="shared" si="325"/>
        <v>321600</v>
      </c>
      <c r="AE362" s="1147">
        <f t="shared" si="325"/>
        <v>337900</v>
      </c>
      <c r="AF362" s="1147">
        <f t="shared" si="325"/>
        <v>355000</v>
      </c>
      <c r="AG362" s="1147">
        <f t="shared" si="325"/>
        <v>373000</v>
      </c>
      <c r="AH362" s="1147">
        <f t="shared" si="325"/>
        <v>392000</v>
      </c>
      <c r="AI362" s="1147">
        <f t="shared" si="325"/>
        <v>412000</v>
      </c>
      <c r="AJ362" s="1147">
        <f t="shared" si="325"/>
        <v>0</v>
      </c>
      <c r="AK362" s="1147">
        <f t="shared" si="325"/>
        <v>0</v>
      </c>
      <c r="AL362" s="1147">
        <f t="shared" si="325"/>
        <v>0</v>
      </c>
      <c r="AM362" s="1147">
        <f t="shared" si="325"/>
        <v>0</v>
      </c>
      <c r="AN362" s="1147">
        <f t="shared" si="325"/>
        <v>0</v>
      </c>
      <c r="AO362" s="1147">
        <f t="shared" si="325"/>
        <v>0</v>
      </c>
      <c r="AP362" s="1147">
        <f t="shared" si="325"/>
        <v>0</v>
      </c>
      <c r="AQ362" s="1147">
        <f t="shared" si="325"/>
        <v>0</v>
      </c>
      <c r="AR362" s="1147">
        <f t="shared" si="325"/>
        <v>0</v>
      </c>
      <c r="AS362" s="1147">
        <f t="shared" si="325"/>
        <v>0</v>
      </c>
      <c r="AT362" s="31"/>
      <c r="AU362" s="78">
        <f>+Base!E360</f>
        <v>-6000</v>
      </c>
      <c r="AV362" s="81">
        <f>+E362-AU362</f>
        <v>6000</v>
      </c>
      <c r="AW362" s="363"/>
    </row>
    <row r="363" spans="1:49" hidden="1">
      <c r="A363" s="1432" t="s">
        <v>639</v>
      </c>
      <c r="B363" s="72" t="s">
        <v>1544</v>
      </c>
      <c r="C363" s="3"/>
      <c r="D363" s="3"/>
      <c r="E363" s="635">
        <f>SUM(F363:AS363)</f>
        <v>0</v>
      </c>
      <c r="F363" s="38">
        <f t="shared" ref="F363:AS363" si="326">+F126</f>
        <v>0</v>
      </c>
      <c r="G363" s="1125">
        <f t="shared" si="326"/>
        <v>0</v>
      </c>
      <c r="H363" s="1125">
        <f t="shared" si="326"/>
        <v>0</v>
      </c>
      <c r="I363" s="1125">
        <f t="shared" si="326"/>
        <v>0</v>
      </c>
      <c r="J363" s="1125">
        <f t="shared" si="326"/>
        <v>0</v>
      </c>
      <c r="K363" s="1125">
        <f t="shared" si="326"/>
        <v>0</v>
      </c>
      <c r="L363" s="1125">
        <f t="shared" si="326"/>
        <v>0</v>
      </c>
      <c r="M363" s="1125">
        <f t="shared" si="326"/>
        <v>0</v>
      </c>
      <c r="N363" s="1125">
        <f t="shared" si="326"/>
        <v>0</v>
      </c>
      <c r="O363" s="1125">
        <f t="shared" si="326"/>
        <v>0</v>
      </c>
      <c r="P363" s="1125">
        <f t="shared" si="326"/>
        <v>0</v>
      </c>
      <c r="Q363" s="1125">
        <f t="shared" si="326"/>
        <v>0</v>
      </c>
      <c r="R363" s="1125">
        <f t="shared" si="326"/>
        <v>0</v>
      </c>
      <c r="S363" s="1125">
        <f t="shared" si="326"/>
        <v>0</v>
      </c>
      <c r="T363" s="1125">
        <f t="shared" si="326"/>
        <v>0</v>
      </c>
      <c r="U363" s="1125">
        <f t="shared" si="326"/>
        <v>0</v>
      </c>
      <c r="V363" s="1125">
        <f t="shared" si="326"/>
        <v>0</v>
      </c>
      <c r="W363" s="1125">
        <f t="shared" si="326"/>
        <v>0</v>
      </c>
      <c r="X363" s="1125">
        <f t="shared" si="326"/>
        <v>0</v>
      </c>
      <c r="Y363" s="1125">
        <f t="shared" si="326"/>
        <v>0</v>
      </c>
      <c r="Z363" s="1125">
        <f t="shared" si="326"/>
        <v>0</v>
      </c>
      <c r="AA363" s="1125">
        <f t="shared" si="326"/>
        <v>0</v>
      </c>
      <c r="AB363" s="1125">
        <f t="shared" si="326"/>
        <v>0</v>
      </c>
      <c r="AC363" s="1125">
        <f t="shared" si="326"/>
        <v>0</v>
      </c>
      <c r="AD363" s="1125">
        <f t="shared" si="326"/>
        <v>0</v>
      </c>
      <c r="AE363" s="1125">
        <f t="shared" si="326"/>
        <v>0</v>
      </c>
      <c r="AF363" s="1125">
        <f t="shared" si="326"/>
        <v>0</v>
      </c>
      <c r="AG363" s="1125">
        <f t="shared" si="326"/>
        <v>0</v>
      </c>
      <c r="AH363" s="1125">
        <f t="shared" si="326"/>
        <v>0</v>
      </c>
      <c r="AI363" s="1125">
        <f t="shared" si="326"/>
        <v>0</v>
      </c>
      <c r="AJ363" s="1125">
        <f t="shared" si="326"/>
        <v>0</v>
      </c>
      <c r="AK363" s="1125">
        <f t="shared" si="326"/>
        <v>0</v>
      </c>
      <c r="AL363" s="1125">
        <f t="shared" si="326"/>
        <v>0</v>
      </c>
      <c r="AM363" s="1125">
        <f t="shared" si="326"/>
        <v>0</v>
      </c>
      <c r="AN363" s="1125">
        <f t="shared" si="326"/>
        <v>0</v>
      </c>
      <c r="AO363" s="1125">
        <f t="shared" si="326"/>
        <v>0</v>
      </c>
      <c r="AP363" s="1125">
        <f t="shared" si="326"/>
        <v>0</v>
      </c>
      <c r="AQ363" s="1125">
        <f t="shared" si="326"/>
        <v>0</v>
      </c>
      <c r="AR363" s="1125">
        <f t="shared" si="326"/>
        <v>0</v>
      </c>
      <c r="AS363" s="1125">
        <f t="shared" si="326"/>
        <v>0</v>
      </c>
      <c r="AT363" s="31"/>
      <c r="AU363" s="82">
        <f>+Base!E361</f>
        <v>349000</v>
      </c>
      <c r="AV363" s="83">
        <f>+E363-AU363</f>
        <v>-349000</v>
      </c>
      <c r="AW363" s="65"/>
    </row>
    <row r="364" spans="1:49" hidden="1">
      <c r="A364" s="1432" t="s">
        <v>639</v>
      </c>
      <c r="B364" s="633" t="s">
        <v>920</v>
      </c>
      <c r="C364" s="3"/>
      <c r="D364" s="3"/>
      <c r="E364" s="433">
        <f ca="1">INDIRECT(ADDRESS(ROW(),Total_Years+5))</f>
        <v>412000</v>
      </c>
      <c r="F364" s="31">
        <f>+F353+F355+F356+F358+F360+F361+F363</f>
        <v>79700</v>
      </c>
      <c r="G364" s="1124">
        <f>+G353+G355+G356+G358+G360+G361+G363</f>
        <v>84700</v>
      </c>
      <c r="H364" s="1124">
        <f t="shared" ref="H364:AS364" si="327">+H353+H355+H356+H358+H360+H361+H363</f>
        <v>90100</v>
      </c>
      <c r="I364" s="1124">
        <f t="shared" si="327"/>
        <v>95900</v>
      </c>
      <c r="J364" s="1124">
        <f t="shared" si="327"/>
        <v>102100</v>
      </c>
      <c r="K364" s="1124">
        <f t="shared" si="327"/>
        <v>108700</v>
      </c>
      <c r="L364" s="1124">
        <f t="shared" si="327"/>
        <v>115700</v>
      </c>
      <c r="M364" s="1124">
        <f t="shared" si="327"/>
        <v>123200</v>
      </c>
      <c r="N364" s="1124">
        <f t="shared" si="327"/>
        <v>131100</v>
      </c>
      <c r="O364" s="1124">
        <f t="shared" si="327"/>
        <v>139500</v>
      </c>
      <c r="P364" s="1124">
        <f t="shared" si="327"/>
        <v>148400</v>
      </c>
      <c r="Q364" s="1124">
        <f t="shared" si="327"/>
        <v>157900</v>
      </c>
      <c r="R364" s="1124">
        <f t="shared" si="327"/>
        <v>168000</v>
      </c>
      <c r="S364" s="1124">
        <f t="shared" si="327"/>
        <v>178700</v>
      </c>
      <c r="T364" s="1124">
        <f t="shared" si="327"/>
        <v>190100</v>
      </c>
      <c r="U364" s="1124">
        <f t="shared" si="327"/>
        <v>202200</v>
      </c>
      <c r="V364" s="1124">
        <f t="shared" si="327"/>
        <v>215000</v>
      </c>
      <c r="W364" s="1124">
        <f t="shared" si="327"/>
        <v>228600</v>
      </c>
      <c r="X364" s="1124">
        <f t="shared" si="327"/>
        <v>239900</v>
      </c>
      <c r="Y364" s="1124">
        <f t="shared" si="327"/>
        <v>251800</v>
      </c>
      <c r="Z364" s="1124">
        <f t="shared" si="327"/>
        <v>264400</v>
      </c>
      <c r="AA364" s="1124">
        <f t="shared" si="327"/>
        <v>277600</v>
      </c>
      <c r="AB364" s="1124">
        <f t="shared" si="327"/>
        <v>291500</v>
      </c>
      <c r="AC364" s="1124">
        <f t="shared" si="327"/>
        <v>306200</v>
      </c>
      <c r="AD364" s="1124">
        <f t="shared" si="327"/>
        <v>321600</v>
      </c>
      <c r="AE364" s="1124">
        <f t="shared" si="327"/>
        <v>337900</v>
      </c>
      <c r="AF364" s="1124">
        <f t="shared" si="327"/>
        <v>355000</v>
      </c>
      <c r="AG364" s="1124">
        <f t="shared" si="327"/>
        <v>373000</v>
      </c>
      <c r="AH364" s="1124">
        <f t="shared" si="327"/>
        <v>392000</v>
      </c>
      <c r="AI364" s="1124">
        <f t="shared" si="327"/>
        <v>412000</v>
      </c>
      <c r="AJ364" s="1124">
        <f t="shared" si="327"/>
        <v>0</v>
      </c>
      <c r="AK364" s="1124">
        <f t="shared" si="327"/>
        <v>0</v>
      </c>
      <c r="AL364" s="1124">
        <f t="shared" si="327"/>
        <v>0</v>
      </c>
      <c r="AM364" s="1124">
        <f t="shared" si="327"/>
        <v>0</v>
      </c>
      <c r="AN364" s="1124">
        <f t="shared" si="327"/>
        <v>0</v>
      </c>
      <c r="AO364" s="1124">
        <f t="shared" si="327"/>
        <v>0</v>
      </c>
      <c r="AP364" s="1124">
        <f t="shared" si="327"/>
        <v>0</v>
      </c>
      <c r="AQ364" s="1124">
        <f t="shared" si="327"/>
        <v>0</v>
      </c>
      <c r="AR364" s="1124">
        <f t="shared" si="327"/>
        <v>0</v>
      </c>
      <c r="AS364" s="1124">
        <f t="shared" si="327"/>
        <v>0</v>
      </c>
      <c r="AT364" s="31"/>
      <c r="AU364" s="78">
        <f>+Base!E362</f>
        <v>0</v>
      </c>
      <c r="AV364" s="81">
        <f ca="1">+E364-AU364</f>
        <v>412000</v>
      </c>
      <c r="AW364" s="363"/>
    </row>
    <row r="365" spans="1:49" hidden="1">
      <c r="A365" s="1432" t="s">
        <v>639</v>
      </c>
      <c r="B365" s="72"/>
      <c r="C365" s="3"/>
      <c r="E365" s="363"/>
      <c r="F365" s="31"/>
      <c r="G365" s="31"/>
      <c r="H365" s="31"/>
      <c r="I365" s="31"/>
      <c r="J365" s="31"/>
      <c r="K365" s="31"/>
      <c r="L365" s="31"/>
      <c r="M365" s="31"/>
      <c r="N365" s="31"/>
      <c r="O365" s="31"/>
      <c r="P365" s="31"/>
      <c r="Q365" s="31"/>
      <c r="R365" s="31"/>
      <c r="S365" s="31"/>
      <c r="T365" s="31"/>
      <c r="U365" s="31"/>
      <c r="V365" s="31"/>
      <c r="W365" s="31"/>
      <c r="X365" s="31"/>
      <c r="Y365" s="31"/>
      <c r="Z365" s="31"/>
      <c r="AA365" s="31"/>
      <c r="AB365" s="31"/>
      <c r="AC365" s="31"/>
      <c r="AD365" s="31"/>
      <c r="AE365" s="31"/>
      <c r="AF365" s="31"/>
      <c r="AG365" s="31"/>
      <c r="AH365" s="31"/>
      <c r="AI365" s="31"/>
      <c r="AJ365" s="31"/>
      <c r="AK365" s="31"/>
      <c r="AL365" s="31"/>
      <c r="AM365" s="31"/>
      <c r="AN365" s="31"/>
      <c r="AO365" s="31"/>
      <c r="AP365" s="31"/>
      <c r="AQ365" s="31"/>
      <c r="AR365" s="31"/>
      <c r="AS365" s="31"/>
      <c r="AT365" s="31"/>
      <c r="AU365" s="78"/>
      <c r="AV365" s="81"/>
      <c r="AW365" s="363"/>
    </row>
    <row r="366" spans="1:49" ht="15.6" hidden="1">
      <c r="A366" s="1432" t="s">
        <v>639</v>
      </c>
      <c r="B366" s="25" t="s">
        <v>918</v>
      </c>
      <c r="C366" s="3"/>
      <c r="E366" s="363"/>
      <c r="F366" s="31"/>
      <c r="G366" s="31"/>
      <c r="H366" s="31"/>
      <c r="I366" s="31"/>
      <c r="J366" s="31"/>
      <c r="K366" s="31"/>
      <c r="L366" s="31"/>
      <c r="M366" s="31"/>
      <c r="N366" s="31"/>
      <c r="O366" s="31"/>
      <c r="P366" s="31"/>
      <c r="Q366" s="31"/>
      <c r="R366" s="31"/>
      <c r="S366" s="31"/>
      <c r="T366" s="31"/>
      <c r="U366" s="31"/>
      <c r="V366" s="31"/>
      <c r="W366" s="31"/>
      <c r="X366" s="31"/>
      <c r="Y366" s="31"/>
      <c r="Z366" s="31"/>
      <c r="AA366" s="31"/>
      <c r="AB366" s="31"/>
      <c r="AC366" s="31"/>
      <c r="AD366" s="31"/>
      <c r="AE366" s="31"/>
      <c r="AF366" s="31"/>
      <c r="AG366" s="31"/>
      <c r="AH366" s="31"/>
      <c r="AI366" s="31"/>
      <c r="AJ366" s="31"/>
      <c r="AK366" s="31"/>
      <c r="AL366" s="31"/>
      <c r="AM366" s="31"/>
      <c r="AN366" s="31"/>
      <c r="AO366" s="31"/>
      <c r="AP366" s="31"/>
      <c r="AQ366" s="31"/>
      <c r="AR366" s="31"/>
      <c r="AS366" s="31"/>
      <c r="AT366" s="31"/>
      <c r="AU366" s="78"/>
      <c r="AV366" s="81"/>
      <c r="AW366" s="363"/>
    </row>
    <row r="367" spans="1:49" ht="15.6" hidden="1">
      <c r="A367" s="1432" t="s">
        <v>639</v>
      </c>
      <c r="B367" s="234" t="s">
        <v>547</v>
      </c>
      <c r="C367" s="3"/>
      <c r="D367" s="3"/>
      <c r="E367" s="363"/>
      <c r="F367" s="1293">
        <f>+F16</f>
        <v>25000</v>
      </c>
      <c r="G367" s="1124">
        <f t="shared" ref="G367:AS367" si="328">+F374*IF(G$7-$F$7&lt;=Total_Years-1,1,0)</f>
        <v>26400</v>
      </c>
      <c r="H367" s="1124">
        <f t="shared" si="328"/>
        <v>27900</v>
      </c>
      <c r="I367" s="1124">
        <f t="shared" si="328"/>
        <v>29500</v>
      </c>
      <c r="J367" s="1124">
        <f t="shared" si="328"/>
        <v>31200</v>
      </c>
      <c r="K367" s="1124">
        <f t="shared" si="328"/>
        <v>33000</v>
      </c>
      <c r="L367" s="1124">
        <f t="shared" si="328"/>
        <v>34900</v>
      </c>
      <c r="M367" s="1124">
        <f t="shared" si="328"/>
        <v>36900</v>
      </c>
      <c r="N367" s="1124">
        <f t="shared" si="328"/>
        <v>39000</v>
      </c>
      <c r="O367" s="1124">
        <f t="shared" si="328"/>
        <v>36100</v>
      </c>
      <c r="P367" s="1124">
        <f t="shared" si="328"/>
        <v>32500</v>
      </c>
      <c r="Q367" s="1124">
        <f t="shared" si="328"/>
        <v>28100</v>
      </c>
      <c r="R367" s="1124">
        <f t="shared" si="328"/>
        <v>22800</v>
      </c>
      <c r="S367" s="1124">
        <f t="shared" si="328"/>
        <v>16500</v>
      </c>
      <c r="T367" s="1124">
        <f t="shared" si="328"/>
        <v>9100</v>
      </c>
      <c r="U367" s="1124">
        <f t="shared" si="328"/>
        <v>9600</v>
      </c>
      <c r="V367" s="1124">
        <f t="shared" si="328"/>
        <v>10100</v>
      </c>
      <c r="W367" s="1124">
        <f t="shared" si="328"/>
        <v>10700</v>
      </c>
      <c r="X367" s="1124">
        <f t="shared" si="328"/>
        <v>11300</v>
      </c>
      <c r="Y367" s="1124">
        <f t="shared" si="328"/>
        <v>11900</v>
      </c>
      <c r="Z367" s="1124">
        <f t="shared" si="328"/>
        <v>12500</v>
      </c>
      <c r="AA367" s="1124">
        <f t="shared" si="328"/>
        <v>13200</v>
      </c>
      <c r="AB367" s="1124">
        <f t="shared" si="328"/>
        <v>13900</v>
      </c>
      <c r="AC367" s="1124">
        <f t="shared" si="328"/>
        <v>14600</v>
      </c>
      <c r="AD367" s="1124">
        <f t="shared" si="328"/>
        <v>15400</v>
      </c>
      <c r="AE367" s="1124">
        <f t="shared" si="328"/>
        <v>16200</v>
      </c>
      <c r="AF367" s="1124">
        <f t="shared" si="328"/>
        <v>17100</v>
      </c>
      <c r="AG367" s="1124">
        <f t="shared" si="328"/>
        <v>18000</v>
      </c>
      <c r="AH367" s="1124">
        <f t="shared" si="328"/>
        <v>19000</v>
      </c>
      <c r="AI367" s="1124">
        <f t="shared" si="328"/>
        <v>20000</v>
      </c>
      <c r="AJ367" s="1124">
        <f t="shared" si="328"/>
        <v>0</v>
      </c>
      <c r="AK367" s="1124">
        <f t="shared" si="328"/>
        <v>0</v>
      </c>
      <c r="AL367" s="1124">
        <f t="shared" si="328"/>
        <v>0</v>
      </c>
      <c r="AM367" s="1124">
        <f t="shared" si="328"/>
        <v>0</v>
      </c>
      <c r="AN367" s="1124">
        <f t="shared" si="328"/>
        <v>0</v>
      </c>
      <c r="AO367" s="1124">
        <f t="shared" si="328"/>
        <v>0</v>
      </c>
      <c r="AP367" s="1124">
        <f t="shared" si="328"/>
        <v>0</v>
      </c>
      <c r="AQ367" s="1124">
        <f t="shared" si="328"/>
        <v>0</v>
      </c>
      <c r="AR367" s="1124">
        <f t="shared" si="328"/>
        <v>0</v>
      </c>
      <c r="AS367" s="1124">
        <f t="shared" si="328"/>
        <v>0</v>
      </c>
      <c r="AT367" s="31"/>
      <c r="AU367" s="439">
        <f>+Base!E367</f>
        <v>0</v>
      </c>
      <c r="AV367" s="434">
        <f t="shared" ref="AV367:AV373" si="329">+E367-AU367</f>
        <v>0</v>
      </c>
      <c r="AW367" s="363"/>
    </row>
    <row r="368" spans="1:49" hidden="1">
      <c r="A368" s="1432" t="s">
        <v>639</v>
      </c>
      <c r="B368" s="72" t="s">
        <v>735</v>
      </c>
      <c r="C368" s="524" t="s">
        <v>27</v>
      </c>
      <c r="D368" s="3"/>
      <c r="E368" s="65">
        <f>SUM(F368:AS368)</f>
        <v>0</v>
      </c>
      <c r="F368" s="190"/>
      <c r="G368" s="1124"/>
      <c r="H368" s="1124"/>
      <c r="I368" s="1124"/>
      <c r="J368" s="1124"/>
      <c r="K368" s="1124"/>
      <c r="L368" s="1124"/>
      <c r="M368" s="1124"/>
      <c r="N368" s="1124"/>
      <c r="O368" s="1124"/>
      <c r="P368" s="1124"/>
      <c r="Q368" s="1124"/>
      <c r="R368" s="1124"/>
      <c r="S368" s="1124"/>
      <c r="T368" s="1124"/>
      <c r="U368" s="1124"/>
      <c r="V368" s="1124"/>
      <c r="W368" s="1124"/>
      <c r="X368" s="1124"/>
      <c r="Y368" s="1124"/>
      <c r="Z368" s="1124"/>
      <c r="AA368" s="1124"/>
      <c r="AB368" s="1124"/>
      <c r="AC368" s="1124"/>
      <c r="AD368" s="1124"/>
      <c r="AE368" s="1124"/>
      <c r="AF368" s="1124"/>
      <c r="AG368" s="1124"/>
      <c r="AH368" s="1124"/>
      <c r="AI368" s="1124"/>
      <c r="AJ368" s="1124"/>
      <c r="AK368" s="1124"/>
      <c r="AL368" s="1124"/>
      <c r="AM368" s="1124"/>
      <c r="AN368" s="1124"/>
      <c r="AO368" s="1124"/>
      <c r="AP368" s="1124"/>
      <c r="AQ368" s="1124"/>
      <c r="AR368" s="1124"/>
      <c r="AS368" s="1124"/>
      <c r="AT368" s="31"/>
      <c r="AU368" s="439">
        <f>+Base!E368</f>
        <v>0</v>
      </c>
      <c r="AV368" s="434">
        <f t="shared" si="329"/>
        <v>0</v>
      </c>
      <c r="AW368" s="363"/>
    </row>
    <row r="369" spans="1:49" hidden="1">
      <c r="A369" s="1432" t="s">
        <v>639</v>
      </c>
      <c r="B369" s="72" t="s">
        <v>166</v>
      </c>
      <c r="C369" s="3"/>
      <c r="E369" s="65">
        <f>SUM(F369:AS369)</f>
        <v>34900</v>
      </c>
      <c r="F369" s="31">
        <f t="shared" ref="F369:AS369" si="330">+F36</f>
        <v>1400</v>
      </c>
      <c r="G369" s="1124">
        <f t="shared" si="330"/>
        <v>1500</v>
      </c>
      <c r="H369" s="1124">
        <f t="shared" si="330"/>
        <v>1600</v>
      </c>
      <c r="I369" s="1124">
        <f t="shared" si="330"/>
        <v>1700</v>
      </c>
      <c r="J369" s="1124">
        <f t="shared" si="330"/>
        <v>1800</v>
      </c>
      <c r="K369" s="1124">
        <f t="shared" si="330"/>
        <v>1900</v>
      </c>
      <c r="L369" s="1124">
        <f t="shared" si="330"/>
        <v>2000</v>
      </c>
      <c r="M369" s="1124">
        <f t="shared" si="330"/>
        <v>2100</v>
      </c>
      <c r="N369" s="1124">
        <f t="shared" si="330"/>
        <v>2100</v>
      </c>
      <c r="O369" s="1124">
        <f t="shared" si="330"/>
        <v>1900</v>
      </c>
      <c r="P369" s="1124">
        <f t="shared" si="330"/>
        <v>1700</v>
      </c>
      <c r="Q369" s="1124">
        <f t="shared" si="330"/>
        <v>1400</v>
      </c>
      <c r="R369" s="1124">
        <f t="shared" si="330"/>
        <v>1100</v>
      </c>
      <c r="S369" s="1124">
        <f t="shared" si="330"/>
        <v>700</v>
      </c>
      <c r="T369" s="1124">
        <f t="shared" si="330"/>
        <v>500</v>
      </c>
      <c r="U369" s="1124">
        <f t="shared" si="330"/>
        <v>500</v>
      </c>
      <c r="V369" s="1124">
        <f t="shared" si="330"/>
        <v>600</v>
      </c>
      <c r="W369" s="1124">
        <f t="shared" si="330"/>
        <v>600</v>
      </c>
      <c r="X369" s="1124">
        <f t="shared" si="330"/>
        <v>600</v>
      </c>
      <c r="Y369" s="1124">
        <f t="shared" si="330"/>
        <v>600</v>
      </c>
      <c r="Z369" s="1124">
        <f t="shared" si="330"/>
        <v>700</v>
      </c>
      <c r="AA369" s="1124">
        <f t="shared" si="330"/>
        <v>700</v>
      </c>
      <c r="AB369" s="1124">
        <f t="shared" si="330"/>
        <v>700</v>
      </c>
      <c r="AC369" s="1124">
        <f t="shared" si="330"/>
        <v>800</v>
      </c>
      <c r="AD369" s="1124">
        <f t="shared" si="330"/>
        <v>800</v>
      </c>
      <c r="AE369" s="1124">
        <f t="shared" si="330"/>
        <v>900</v>
      </c>
      <c r="AF369" s="1124">
        <f t="shared" si="330"/>
        <v>900</v>
      </c>
      <c r="AG369" s="1124">
        <f t="shared" si="330"/>
        <v>1000</v>
      </c>
      <c r="AH369" s="1124">
        <f t="shared" si="330"/>
        <v>1000</v>
      </c>
      <c r="AI369" s="1124">
        <f t="shared" si="330"/>
        <v>1100</v>
      </c>
      <c r="AJ369" s="1124">
        <f t="shared" si="330"/>
        <v>0</v>
      </c>
      <c r="AK369" s="1124">
        <f t="shared" si="330"/>
        <v>0</v>
      </c>
      <c r="AL369" s="1124">
        <f t="shared" si="330"/>
        <v>0</v>
      </c>
      <c r="AM369" s="1124">
        <f t="shared" si="330"/>
        <v>0</v>
      </c>
      <c r="AN369" s="1124">
        <f t="shared" si="330"/>
        <v>0</v>
      </c>
      <c r="AO369" s="1124">
        <f t="shared" si="330"/>
        <v>0</v>
      </c>
      <c r="AP369" s="1124">
        <f t="shared" si="330"/>
        <v>0</v>
      </c>
      <c r="AQ369" s="1124">
        <f t="shared" si="330"/>
        <v>0</v>
      </c>
      <c r="AR369" s="1124">
        <f t="shared" si="330"/>
        <v>0</v>
      </c>
      <c r="AS369" s="1124">
        <f t="shared" si="330"/>
        <v>0</v>
      </c>
      <c r="AT369" s="31"/>
      <c r="AU369" s="439">
        <f>+Base!E369</f>
        <v>34900</v>
      </c>
      <c r="AV369" s="434">
        <f t="shared" si="329"/>
        <v>0</v>
      </c>
      <c r="AW369" s="363"/>
    </row>
    <row r="370" spans="1:49" hidden="1">
      <c r="A370" s="1432" t="s">
        <v>639</v>
      </c>
      <c r="B370" s="72" t="s">
        <v>941</v>
      </c>
      <c r="C370" s="524" t="s">
        <v>27</v>
      </c>
      <c r="E370" s="65">
        <f>SUM(F370:AS370)</f>
        <v>0</v>
      </c>
      <c r="F370" s="31"/>
      <c r="G370" s="1124"/>
      <c r="H370" s="1124"/>
      <c r="I370" s="1124"/>
      <c r="J370" s="1124"/>
      <c r="K370" s="1124"/>
      <c r="L370" s="1124"/>
      <c r="M370" s="1124"/>
      <c r="N370" s="1124"/>
      <c r="O370" s="1124"/>
      <c r="P370" s="1124"/>
      <c r="Q370" s="1124"/>
      <c r="R370" s="1124"/>
      <c r="S370" s="1124"/>
      <c r="T370" s="1124"/>
      <c r="U370" s="1124"/>
      <c r="V370" s="1124"/>
      <c r="W370" s="1124"/>
      <c r="X370" s="1124"/>
      <c r="Y370" s="1124"/>
      <c r="Z370" s="1124"/>
      <c r="AA370" s="1124"/>
      <c r="AB370" s="1124"/>
      <c r="AC370" s="1124"/>
      <c r="AD370" s="1124"/>
      <c r="AE370" s="1124"/>
      <c r="AF370" s="1124"/>
      <c r="AG370" s="1124"/>
      <c r="AH370" s="1124"/>
      <c r="AI370" s="1124"/>
      <c r="AJ370" s="1124"/>
      <c r="AK370" s="1124"/>
      <c r="AL370" s="1124"/>
      <c r="AM370" s="1124"/>
      <c r="AN370" s="1124"/>
      <c r="AO370" s="1124"/>
      <c r="AP370" s="1124"/>
      <c r="AQ370" s="1124"/>
      <c r="AR370" s="1124"/>
      <c r="AS370" s="1124"/>
      <c r="AT370" s="31"/>
      <c r="AU370" s="439">
        <f>+Base!E370</f>
        <v>0</v>
      </c>
      <c r="AV370" s="434">
        <f t="shared" si="329"/>
        <v>0</v>
      </c>
      <c r="AW370" s="363"/>
    </row>
    <row r="371" spans="1:49" ht="15.6" hidden="1">
      <c r="A371" s="1432" t="s">
        <v>639</v>
      </c>
      <c r="B371" s="72" t="s">
        <v>883</v>
      </c>
      <c r="C371" s="1727" t="str">
        <f>"during ages " &amp; Start_ExRoth2 &amp;" - " &amp; End_ExRoth2</f>
        <v>during ages 70 - 75</v>
      </c>
      <c r="E371" s="65">
        <f>SUM(F371:AS371)</f>
        <v>-38800</v>
      </c>
      <c r="F371" s="31">
        <f t="shared" ref="F371:AS371" si="331">+F124</f>
        <v>0</v>
      </c>
      <c r="G371" s="1124">
        <f t="shared" si="331"/>
        <v>0</v>
      </c>
      <c r="H371" s="1124">
        <f t="shared" si="331"/>
        <v>0</v>
      </c>
      <c r="I371" s="1124">
        <f t="shared" si="331"/>
        <v>0</v>
      </c>
      <c r="J371" s="1124">
        <f t="shared" si="331"/>
        <v>0</v>
      </c>
      <c r="K371" s="1124">
        <f t="shared" si="331"/>
        <v>0</v>
      </c>
      <c r="L371" s="1124">
        <f t="shared" si="331"/>
        <v>0</v>
      </c>
      <c r="M371" s="1124">
        <f t="shared" si="331"/>
        <v>0</v>
      </c>
      <c r="N371" s="1124">
        <f t="shared" si="331"/>
        <v>-5000</v>
      </c>
      <c r="O371" s="1124">
        <f t="shared" si="331"/>
        <v>-5500</v>
      </c>
      <c r="P371" s="1124">
        <f t="shared" si="331"/>
        <v>-6100</v>
      </c>
      <c r="Q371" s="1124">
        <f t="shared" si="331"/>
        <v>-6700</v>
      </c>
      <c r="R371" s="1124">
        <f t="shared" si="331"/>
        <v>-7400</v>
      </c>
      <c r="S371" s="1124">
        <f t="shared" si="331"/>
        <v>-8100</v>
      </c>
      <c r="T371" s="1124">
        <f t="shared" si="331"/>
        <v>0</v>
      </c>
      <c r="U371" s="1124">
        <f t="shared" si="331"/>
        <v>0</v>
      </c>
      <c r="V371" s="1124">
        <f t="shared" si="331"/>
        <v>0</v>
      </c>
      <c r="W371" s="1124">
        <f t="shared" si="331"/>
        <v>0</v>
      </c>
      <c r="X371" s="1124">
        <f t="shared" si="331"/>
        <v>0</v>
      </c>
      <c r="Y371" s="1124">
        <f t="shared" si="331"/>
        <v>0</v>
      </c>
      <c r="Z371" s="1124">
        <f t="shared" si="331"/>
        <v>0</v>
      </c>
      <c r="AA371" s="1124">
        <f t="shared" si="331"/>
        <v>0</v>
      </c>
      <c r="AB371" s="1124">
        <f t="shared" si="331"/>
        <v>0</v>
      </c>
      <c r="AC371" s="1124">
        <f t="shared" si="331"/>
        <v>0</v>
      </c>
      <c r="AD371" s="1124">
        <f t="shared" si="331"/>
        <v>0</v>
      </c>
      <c r="AE371" s="1124">
        <f t="shared" si="331"/>
        <v>0</v>
      </c>
      <c r="AF371" s="1124">
        <f t="shared" si="331"/>
        <v>0</v>
      </c>
      <c r="AG371" s="1124">
        <f t="shared" si="331"/>
        <v>0</v>
      </c>
      <c r="AH371" s="1124">
        <f t="shared" si="331"/>
        <v>0</v>
      </c>
      <c r="AI371" s="1124">
        <f t="shared" si="331"/>
        <v>0</v>
      </c>
      <c r="AJ371" s="1124">
        <f t="shared" si="331"/>
        <v>0</v>
      </c>
      <c r="AK371" s="1124">
        <f t="shared" si="331"/>
        <v>0</v>
      </c>
      <c r="AL371" s="1124">
        <f t="shared" si="331"/>
        <v>0</v>
      </c>
      <c r="AM371" s="1124">
        <f t="shared" si="331"/>
        <v>0</v>
      </c>
      <c r="AN371" s="1124">
        <f t="shared" si="331"/>
        <v>0</v>
      </c>
      <c r="AO371" s="1124">
        <f t="shared" si="331"/>
        <v>0</v>
      </c>
      <c r="AP371" s="1124">
        <f t="shared" si="331"/>
        <v>0</v>
      </c>
      <c r="AQ371" s="1124">
        <f t="shared" si="331"/>
        <v>0</v>
      </c>
      <c r="AR371" s="1124">
        <f t="shared" si="331"/>
        <v>0</v>
      </c>
      <c r="AS371" s="1124">
        <f t="shared" si="331"/>
        <v>0</v>
      </c>
      <c r="AT371" s="31"/>
      <c r="AU371" s="439">
        <f>+Base!E371</f>
        <v>-38800</v>
      </c>
      <c r="AV371" s="434">
        <f t="shared" si="329"/>
        <v>0</v>
      </c>
      <c r="AW371" s="363"/>
    </row>
    <row r="372" spans="1:49" ht="15.6" hidden="1">
      <c r="A372" s="1432" t="s">
        <v>639</v>
      </c>
      <c r="B372" s="28" t="s">
        <v>1543</v>
      </c>
      <c r="C372" s="3"/>
      <c r="E372" s="363"/>
      <c r="F372" s="31">
        <f t="shared" ref="F372:AS372" si="332">+F367+F368+F369+F370+F371</f>
        <v>26400</v>
      </c>
      <c r="G372" s="1124">
        <f t="shared" si="332"/>
        <v>27900</v>
      </c>
      <c r="H372" s="1124">
        <f t="shared" si="332"/>
        <v>29500</v>
      </c>
      <c r="I372" s="1124">
        <f t="shared" si="332"/>
        <v>31200</v>
      </c>
      <c r="J372" s="1124">
        <f t="shared" si="332"/>
        <v>33000</v>
      </c>
      <c r="K372" s="1124">
        <f t="shared" si="332"/>
        <v>34900</v>
      </c>
      <c r="L372" s="1124">
        <f t="shared" si="332"/>
        <v>36900</v>
      </c>
      <c r="M372" s="1124">
        <f t="shared" si="332"/>
        <v>39000</v>
      </c>
      <c r="N372" s="1124">
        <f t="shared" si="332"/>
        <v>36100</v>
      </c>
      <c r="O372" s="1124">
        <f t="shared" si="332"/>
        <v>32500</v>
      </c>
      <c r="P372" s="1124">
        <f t="shared" si="332"/>
        <v>28100</v>
      </c>
      <c r="Q372" s="1124">
        <f t="shared" si="332"/>
        <v>22800</v>
      </c>
      <c r="R372" s="1124">
        <f t="shared" si="332"/>
        <v>16500</v>
      </c>
      <c r="S372" s="1124">
        <f t="shared" si="332"/>
        <v>9100</v>
      </c>
      <c r="T372" s="1124">
        <f t="shared" si="332"/>
        <v>9600</v>
      </c>
      <c r="U372" s="1124">
        <f t="shared" si="332"/>
        <v>10100</v>
      </c>
      <c r="V372" s="1124">
        <f t="shared" si="332"/>
        <v>10700</v>
      </c>
      <c r="W372" s="1124">
        <f t="shared" si="332"/>
        <v>11300</v>
      </c>
      <c r="X372" s="1124">
        <f t="shared" si="332"/>
        <v>11900</v>
      </c>
      <c r="Y372" s="1124">
        <f t="shared" si="332"/>
        <v>12500</v>
      </c>
      <c r="Z372" s="1124">
        <f t="shared" si="332"/>
        <v>13200</v>
      </c>
      <c r="AA372" s="1124">
        <f t="shared" si="332"/>
        <v>13900</v>
      </c>
      <c r="AB372" s="1124">
        <f t="shared" si="332"/>
        <v>14600</v>
      </c>
      <c r="AC372" s="1124">
        <f t="shared" si="332"/>
        <v>15400</v>
      </c>
      <c r="AD372" s="1124">
        <f t="shared" si="332"/>
        <v>16200</v>
      </c>
      <c r="AE372" s="1124">
        <f t="shared" si="332"/>
        <v>17100</v>
      </c>
      <c r="AF372" s="1124">
        <f t="shared" si="332"/>
        <v>18000</v>
      </c>
      <c r="AG372" s="1124">
        <f t="shared" si="332"/>
        <v>19000</v>
      </c>
      <c r="AH372" s="1124">
        <f t="shared" si="332"/>
        <v>20000</v>
      </c>
      <c r="AI372" s="1124">
        <f t="shared" si="332"/>
        <v>21100</v>
      </c>
      <c r="AJ372" s="1124">
        <f t="shared" si="332"/>
        <v>0</v>
      </c>
      <c r="AK372" s="1124">
        <f t="shared" si="332"/>
        <v>0</v>
      </c>
      <c r="AL372" s="1124">
        <f t="shared" si="332"/>
        <v>0</v>
      </c>
      <c r="AM372" s="1124">
        <f t="shared" si="332"/>
        <v>0</v>
      </c>
      <c r="AN372" s="1124">
        <f t="shared" si="332"/>
        <v>0</v>
      </c>
      <c r="AO372" s="1124">
        <f t="shared" si="332"/>
        <v>0</v>
      </c>
      <c r="AP372" s="1124">
        <f t="shared" si="332"/>
        <v>0</v>
      </c>
      <c r="AQ372" s="1124">
        <f t="shared" si="332"/>
        <v>0</v>
      </c>
      <c r="AR372" s="1124">
        <f t="shared" si="332"/>
        <v>0</v>
      </c>
      <c r="AS372" s="1124">
        <f t="shared" si="332"/>
        <v>0</v>
      </c>
      <c r="AT372" s="31"/>
      <c r="AU372" s="439">
        <f>+Base!E372</f>
        <v>0</v>
      </c>
      <c r="AV372" s="434">
        <f t="shared" si="329"/>
        <v>0</v>
      </c>
      <c r="AW372" s="363"/>
    </row>
    <row r="373" spans="1:49" hidden="1">
      <c r="A373" s="1432" t="s">
        <v>639</v>
      </c>
      <c r="B373" s="72" t="s">
        <v>1544</v>
      </c>
      <c r="C373" s="524" t="s">
        <v>27</v>
      </c>
      <c r="E373" s="65">
        <f>SUM(F373:AS373)</f>
        <v>0</v>
      </c>
      <c r="F373" s="31"/>
      <c r="G373" s="1124"/>
      <c r="H373" s="1124"/>
      <c r="I373" s="1124"/>
      <c r="J373" s="1124"/>
      <c r="K373" s="1124"/>
      <c r="L373" s="1124"/>
      <c r="M373" s="1124"/>
      <c r="N373" s="1124"/>
      <c r="O373" s="1124"/>
      <c r="P373" s="1124"/>
      <c r="Q373" s="1124"/>
      <c r="R373" s="1124"/>
      <c r="S373" s="1124"/>
      <c r="T373" s="1124"/>
      <c r="U373" s="1124"/>
      <c r="V373" s="1124"/>
      <c r="W373" s="1124"/>
      <c r="X373" s="1124"/>
      <c r="Y373" s="1124"/>
      <c r="Z373" s="1124"/>
      <c r="AA373" s="1124"/>
      <c r="AB373" s="1124"/>
      <c r="AC373" s="1124"/>
      <c r="AD373" s="1124"/>
      <c r="AE373" s="1124"/>
      <c r="AF373" s="1124"/>
      <c r="AG373" s="1124"/>
      <c r="AH373" s="1124"/>
      <c r="AI373" s="1124"/>
      <c r="AJ373" s="1124"/>
      <c r="AK373" s="1124"/>
      <c r="AL373" s="1124"/>
      <c r="AM373" s="1124"/>
      <c r="AN373" s="1124"/>
      <c r="AO373" s="1124"/>
      <c r="AP373" s="1124"/>
      <c r="AQ373" s="1124"/>
      <c r="AR373" s="1124"/>
      <c r="AS373" s="1124"/>
      <c r="AT373" s="31"/>
      <c r="AU373" s="439">
        <f>+Base!E373</f>
        <v>0</v>
      </c>
      <c r="AV373" s="434">
        <f t="shared" si="329"/>
        <v>0</v>
      </c>
      <c r="AW373" s="363"/>
    </row>
    <row r="374" spans="1:49" hidden="1">
      <c r="A374" s="1432" t="s">
        <v>639</v>
      </c>
      <c r="B374" s="72" t="s">
        <v>919</v>
      </c>
      <c r="C374" s="3"/>
      <c r="E374" s="433">
        <f ca="1">INDIRECT(ADDRESS(ROW(),Total_Years+5))</f>
        <v>21100</v>
      </c>
      <c r="F374" s="31">
        <f>+F372+F373</f>
        <v>26400</v>
      </c>
      <c r="G374" s="1124">
        <f>+G372+G373</f>
        <v>27900</v>
      </c>
      <c r="H374" s="1124">
        <f t="shared" ref="H374:AS374" si="333">+H372+H373</f>
        <v>29500</v>
      </c>
      <c r="I374" s="1124">
        <f t="shared" si="333"/>
        <v>31200</v>
      </c>
      <c r="J374" s="1124">
        <f t="shared" si="333"/>
        <v>33000</v>
      </c>
      <c r="K374" s="1124">
        <f t="shared" si="333"/>
        <v>34900</v>
      </c>
      <c r="L374" s="1124">
        <f t="shared" si="333"/>
        <v>36900</v>
      </c>
      <c r="M374" s="1124">
        <f t="shared" si="333"/>
        <v>39000</v>
      </c>
      <c r="N374" s="1124">
        <f t="shared" si="333"/>
        <v>36100</v>
      </c>
      <c r="O374" s="1124">
        <f t="shared" si="333"/>
        <v>32500</v>
      </c>
      <c r="P374" s="1124">
        <f t="shared" si="333"/>
        <v>28100</v>
      </c>
      <c r="Q374" s="1124">
        <f t="shared" si="333"/>
        <v>22800</v>
      </c>
      <c r="R374" s="1124">
        <f t="shared" si="333"/>
        <v>16500</v>
      </c>
      <c r="S374" s="1124">
        <f t="shared" si="333"/>
        <v>9100</v>
      </c>
      <c r="T374" s="1124">
        <f t="shared" si="333"/>
        <v>9600</v>
      </c>
      <c r="U374" s="1124">
        <f t="shared" si="333"/>
        <v>10100</v>
      </c>
      <c r="V374" s="1124">
        <f t="shared" si="333"/>
        <v>10700</v>
      </c>
      <c r="W374" s="1124">
        <f t="shared" si="333"/>
        <v>11300</v>
      </c>
      <c r="X374" s="1124">
        <f t="shared" si="333"/>
        <v>11900</v>
      </c>
      <c r="Y374" s="1124">
        <f t="shared" si="333"/>
        <v>12500</v>
      </c>
      <c r="Z374" s="1124">
        <f t="shared" si="333"/>
        <v>13200</v>
      </c>
      <c r="AA374" s="1124">
        <f t="shared" si="333"/>
        <v>13900</v>
      </c>
      <c r="AB374" s="1124">
        <f t="shared" si="333"/>
        <v>14600</v>
      </c>
      <c r="AC374" s="1124">
        <f t="shared" si="333"/>
        <v>15400</v>
      </c>
      <c r="AD374" s="1124">
        <f t="shared" si="333"/>
        <v>16200</v>
      </c>
      <c r="AE374" s="1124">
        <f t="shared" si="333"/>
        <v>17100</v>
      </c>
      <c r="AF374" s="1124">
        <f t="shared" si="333"/>
        <v>18000</v>
      </c>
      <c r="AG374" s="1124">
        <f t="shared" si="333"/>
        <v>19000</v>
      </c>
      <c r="AH374" s="1124">
        <f t="shared" si="333"/>
        <v>20000</v>
      </c>
      <c r="AI374" s="1124">
        <f t="shared" si="333"/>
        <v>21100</v>
      </c>
      <c r="AJ374" s="1124">
        <f t="shared" si="333"/>
        <v>0</v>
      </c>
      <c r="AK374" s="1124">
        <f t="shared" si="333"/>
        <v>0</v>
      </c>
      <c r="AL374" s="1124">
        <f t="shared" si="333"/>
        <v>0</v>
      </c>
      <c r="AM374" s="1124">
        <f t="shared" si="333"/>
        <v>0</v>
      </c>
      <c r="AN374" s="1124">
        <f t="shared" si="333"/>
        <v>0</v>
      </c>
      <c r="AO374" s="1124">
        <f t="shared" si="333"/>
        <v>0</v>
      </c>
      <c r="AP374" s="1124">
        <f t="shared" si="333"/>
        <v>0</v>
      </c>
      <c r="AQ374" s="1124">
        <f t="shared" si="333"/>
        <v>0</v>
      </c>
      <c r="AR374" s="1124">
        <f t="shared" si="333"/>
        <v>0</v>
      </c>
      <c r="AS374" s="1124">
        <f t="shared" si="333"/>
        <v>0</v>
      </c>
      <c r="AT374" s="31"/>
      <c r="AU374" s="439">
        <f ca="1">+Base!E374</f>
        <v>21100</v>
      </c>
      <c r="AV374" s="434">
        <f ca="1">+E374-AU374</f>
        <v>0</v>
      </c>
      <c r="AW374" s="363"/>
    </row>
    <row r="375" spans="1:49" hidden="1">
      <c r="A375" s="1432" t="s">
        <v>639</v>
      </c>
      <c r="B375" s="72"/>
      <c r="C375" s="3"/>
      <c r="E375" s="363"/>
      <c r="F375" s="31"/>
      <c r="G375" s="31"/>
      <c r="H375" s="31"/>
      <c r="I375" s="31"/>
      <c r="J375" s="31"/>
      <c r="K375" s="31"/>
      <c r="L375" s="31"/>
      <c r="M375" s="31"/>
      <c r="N375" s="31"/>
      <c r="O375" s="31"/>
      <c r="P375" s="31"/>
      <c r="Q375" s="31"/>
      <c r="R375" s="31"/>
      <c r="S375" s="31"/>
      <c r="T375" s="31"/>
      <c r="U375" s="31"/>
      <c r="V375" s="31"/>
      <c r="W375" s="31"/>
      <c r="X375" s="31"/>
      <c r="Y375" s="31"/>
      <c r="Z375" s="31"/>
      <c r="AA375" s="31"/>
      <c r="AB375" s="31"/>
      <c r="AC375" s="31"/>
      <c r="AD375" s="31"/>
      <c r="AE375" s="31"/>
      <c r="AF375" s="31"/>
      <c r="AG375" s="31"/>
      <c r="AH375" s="31"/>
      <c r="AI375" s="31"/>
      <c r="AJ375" s="31"/>
      <c r="AK375" s="31"/>
      <c r="AL375" s="31"/>
      <c r="AM375" s="31"/>
      <c r="AN375" s="31"/>
      <c r="AO375" s="31"/>
      <c r="AP375" s="31"/>
      <c r="AQ375" s="31"/>
      <c r="AR375" s="31"/>
      <c r="AS375" s="31"/>
      <c r="AT375" s="31"/>
      <c r="AU375" s="78"/>
      <c r="AV375" s="81"/>
      <c r="AW375" s="363"/>
    </row>
    <row r="376" spans="1:49" ht="15.6" hidden="1">
      <c r="A376" s="1432" t="s">
        <v>639</v>
      </c>
      <c r="B376" s="25" t="s">
        <v>921</v>
      </c>
      <c r="C376" s="1539" t="str">
        <f>IF(Include_Roth="n","Conversion not included",".")</f>
        <v>Conversion not included</v>
      </c>
      <c r="F376" s="31"/>
      <c r="G376" s="31"/>
      <c r="H376" s="31"/>
      <c r="I376" s="31"/>
      <c r="J376" s="31"/>
      <c r="K376" s="31"/>
      <c r="L376" s="31"/>
      <c r="M376" s="31"/>
      <c r="N376" s="31"/>
      <c r="O376" s="31"/>
      <c r="P376" s="31"/>
      <c r="Q376" s="31"/>
      <c r="R376" s="31"/>
      <c r="S376" s="31"/>
      <c r="T376" s="31"/>
      <c r="U376" s="31"/>
      <c r="V376" s="31"/>
      <c r="W376" s="31"/>
      <c r="X376" s="31"/>
      <c r="Y376" s="31"/>
      <c r="Z376" s="31"/>
      <c r="AA376" s="31"/>
      <c r="AB376" s="31"/>
      <c r="AC376" s="31"/>
      <c r="AD376" s="31"/>
      <c r="AE376" s="31"/>
      <c r="AF376" s="31"/>
      <c r="AG376" s="31"/>
      <c r="AH376" s="31"/>
      <c r="AI376" s="31"/>
      <c r="AJ376" s="31"/>
      <c r="AK376" s="31"/>
      <c r="AL376" s="31"/>
      <c r="AM376" s="31"/>
      <c r="AN376" s="31"/>
      <c r="AO376" s="31"/>
      <c r="AP376" s="31"/>
      <c r="AQ376" s="31"/>
      <c r="AR376" s="31"/>
      <c r="AS376" s="31"/>
      <c r="AT376" s="31"/>
      <c r="AU376" s="78"/>
      <c r="AV376" s="81"/>
      <c r="AW376" s="379"/>
    </row>
    <row r="377" spans="1:49" ht="15.6" hidden="1">
      <c r="A377" s="1432" t="s">
        <v>639</v>
      </c>
      <c r="B377" s="415" t="s">
        <v>547</v>
      </c>
      <c r="C377" s="3"/>
      <c r="E377" s="363"/>
      <c r="F377" s="31">
        <f>+F18</f>
        <v>0</v>
      </c>
      <c r="G377" s="1124">
        <f t="shared" ref="G377:AS377" si="334">+F383*IF(G$7-$F$7&lt;=Total_Years-1,1,0)</f>
        <v>0</v>
      </c>
      <c r="H377" s="1124">
        <f t="shared" si="334"/>
        <v>0</v>
      </c>
      <c r="I377" s="1124">
        <f t="shared" si="334"/>
        <v>0</v>
      </c>
      <c r="J377" s="1124">
        <f t="shared" si="334"/>
        <v>0</v>
      </c>
      <c r="K377" s="1124">
        <f t="shared" si="334"/>
        <v>0</v>
      </c>
      <c r="L377" s="1124">
        <f t="shared" si="334"/>
        <v>0</v>
      </c>
      <c r="M377" s="1124">
        <f t="shared" si="334"/>
        <v>0</v>
      </c>
      <c r="N377" s="1124">
        <f t="shared" si="334"/>
        <v>0</v>
      </c>
      <c r="O377" s="1124">
        <f t="shared" si="334"/>
        <v>0</v>
      </c>
      <c r="P377" s="1124">
        <f t="shared" si="334"/>
        <v>0</v>
      </c>
      <c r="Q377" s="1124">
        <f t="shared" si="334"/>
        <v>0</v>
      </c>
      <c r="R377" s="1124">
        <f t="shared" si="334"/>
        <v>0</v>
      </c>
      <c r="S377" s="1124">
        <f t="shared" si="334"/>
        <v>0</v>
      </c>
      <c r="T377" s="1124">
        <f t="shared" si="334"/>
        <v>0</v>
      </c>
      <c r="U377" s="1124">
        <f t="shared" si="334"/>
        <v>0</v>
      </c>
      <c r="V377" s="1124">
        <f t="shared" si="334"/>
        <v>0</v>
      </c>
      <c r="W377" s="1124">
        <f t="shared" si="334"/>
        <v>0</v>
      </c>
      <c r="X377" s="1124">
        <f t="shared" si="334"/>
        <v>0</v>
      </c>
      <c r="Y377" s="1124">
        <f t="shared" si="334"/>
        <v>0</v>
      </c>
      <c r="Z377" s="1124">
        <f t="shared" si="334"/>
        <v>0</v>
      </c>
      <c r="AA377" s="1124">
        <f t="shared" si="334"/>
        <v>0</v>
      </c>
      <c r="AB377" s="1124">
        <f t="shared" si="334"/>
        <v>0</v>
      </c>
      <c r="AC377" s="1124">
        <f t="shared" si="334"/>
        <v>0</v>
      </c>
      <c r="AD377" s="1124">
        <f t="shared" si="334"/>
        <v>0</v>
      </c>
      <c r="AE377" s="1124">
        <f t="shared" si="334"/>
        <v>0</v>
      </c>
      <c r="AF377" s="1124">
        <f t="shared" si="334"/>
        <v>0</v>
      </c>
      <c r="AG377" s="1124">
        <f t="shared" si="334"/>
        <v>0</v>
      </c>
      <c r="AH377" s="1124">
        <f t="shared" si="334"/>
        <v>0</v>
      </c>
      <c r="AI377" s="1124">
        <f t="shared" si="334"/>
        <v>0</v>
      </c>
      <c r="AJ377" s="1124">
        <f t="shared" si="334"/>
        <v>0</v>
      </c>
      <c r="AK377" s="1124">
        <f t="shared" si="334"/>
        <v>0</v>
      </c>
      <c r="AL377" s="1124">
        <f t="shared" si="334"/>
        <v>0</v>
      </c>
      <c r="AM377" s="1124">
        <f t="shared" si="334"/>
        <v>0</v>
      </c>
      <c r="AN377" s="1124">
        <f t="shared" si="334"/>
        <v>0</v>
      </c>
      <c r="AO377" s="1124">
        <f t="shared" si="334"/>
        <v>0</v>
      </c>
      <c r="AP377" s="1124">
        <f t="shared" si="334"/>
        <v>0</v>
      </c>
      <c r="AQ377" s="1124">
        <f t="shared" si="334"/>
        <v>0</v>
      </c>
      <c r="AR377" s="1124">
        <f t="shared" si="334"/>
        <v>0</v>
      </c>
      <c r="AS377" s="1124">
        <f t="shared" si="334"/>
        <v>0</v>
      </c>
      <c r="AT377" s="31"/>
      <c r="AU377" s="456" t="s">
        <v>1255</v>
      </c>
      <c r="AV377" s="81"/>
      <c r="AW377" s="363"/>
    </row>
    <row r="378" spans="1:49" hidden="1">
      <c r="A378" s="1432" t="s">
        <v>639</v>
      </c>
      <c r="B378" s="72" t="s">
        <v>882</v>
      </c>
      <c r="C378" s="1742" t="str">
        <f>IF(Roth_Method="c","'Calculated amounts' method used","'Enter' method used")</f>
        <v>'Enter' method used</v>
      </c>
      <c r="E378" s="65">
        <f>SUM(F378:AS378)</f>
        <v>0</v>
      </c>
      <c r="F378" s="31">
        <f t="shared" ref="F378:AS378" si="335">+F133</f>
        <v>0</v>
      </c>
      <c r="G378" s="1124">
        <f t="shared" si="335"/>
        <v>0</v>
      </c>
      <c r="H378" s="1124">
        <f t="shared" si="335"/>
        <v>0</v>
      </c>
      <c r="I378" s="1124">
        <f t="shared" si="335"/>
        <v>0</v>
      </c>
      <c r="J378" s="1124">
        <f t="shared" si="335"/>
        <v>0</v>
      </c>
      <c r="K378" s="1124">
        <f t="shared" si="335"/>
        <v>0</v>
      </c>
      <c r="L378" s="1124">
        <f t="shared" si="335"/>
        <v>0</v>
      </c>
      <c r="M378" s="1124">
        <f t="shared" si="335"/>
        <v>0</v>
      </c>
      <c r="N378" s="1124">
        <f t="shared" si="335"/>
        <v>0</v>
      </c>
      <c r="O378" s="1124">
        <f t="shared" si="335"/>
        <v>0</v>
      </c>
      <c r="P378" s="1124">
        <f t="shared" si="335"/>
        <v>0</v>
      </c>
      <c r="Q378" s="1124">
        <f t="shared" si="335"/>
        <v>0</v>
      </c>
      <c r="R378" s="1124">
        <f t="shared" si="335"/>
        <v>0</v>
      </c>
      <c r="S378" s="1124">
        <f t="shared" si="335"/>
        <v>0</v>
      </c>
      <c r="T378" s="1124">
        <f t="shared" si="335"/>
        <v>0</v>
      </c>
      <c r="U378" s="1124">
        <f t="shared" si="335"/>
        <v>0</v>
      </c>
      <c r="V378" s="1124">
        <f t="shared" si="335"/>
        <v>0</v>
      </c>
      <c r="W378" s="1124">
        <f t="shared" si="335"/>
        <v>0</v>
      </c>
      <c r="X378" s="1124">
        <f t="shared" si="335"/>
        <v>0</v>
      </c>
      <c r="Y378" s="1124">
        <f t="shared" si="335"/>
        <v>0</v>
      </c>
      <c r="Z378" s="1124">
        <f t="shared" si="335"/>
        <v>0</v>
      </c>
      <c r="AA378" s="1124">
        <f t="shared" si="335"/>
        <v>0</v>
      </c>
      <c r="AB378" s="1124">
        <f t="shared" si="335"/>
        <v>0</v>
      </c>
      <c r="AC378" s="1124">
        <f t="shared" si="335"/>
        <v>0</v>
      </c>
      <c r="AD378" s="1124">
        <f t="shared" si="335"/>
        <v>0</v>
      </c>
      <c r="AE378" s="1124">
        <f t="shared" si="335"/>
        <v>0</v>
      </c>
      <c r="AF378" s="1124">
        <f t="shared" si="335"/>
        <v>0</v>
      </c>
      <c r="AG378" s="1124">
        <f t="shared" si="335"/>
        <v>0</v>
      </c>
      <c r="AH378" s="1124">
        <f t="shared" si="335"/>
        <v>0</v>
      </c>
      <c r="AI378" s="1124">
        <f t="shared" si="335"/>
        <v>0</v>
      </c>
      <c r="AJ378" s="1124">
        <f t="shared" si="335"/>
        <v>0</v>
      </c>
      <c r="AK378" s="1124">
        <f t="shared" si="335"/>
        <v>0</v>
      </c>
      <c r="AL378" s="1124">
        <f t="shared" si="335"/>
        <v>0</v>
      </c>
      <c r="AM378" s="1124">
        <f t="shared" si="335"/>
        <v>0</v>
      </c>
      <c r="AN378" s="1124">
        <f t="shared" si="335"/>
        <v>0</v>
      </c>
      <c r="AO378" s="1124">
        <f t="shared" si="335"/>
        <v>0</v>
      </c>
      <c r="AP378" s="1124">
        <f t="shared" si="335"/>
        <v>0</v>
      </c>
      <c r="AQ378" s="1124">
        <f t="shared" si="335"/>
        <v>0</v>
      </c>
      <c r="AR378" s="1124">
        <f t="shared" si="335"/>
        <v>0</v>
      </c>
      <c r="AS378" s="1124">
        <f t="shared" si="335"/>
        <v>0</v>
      </c>
      <c r="AT378" s="31"/>
      <c r="AU378" s="78"/>
      <c r="AV378" s="81"/>
      <c r="AW378" s="65"/>
    </row>
    <row r="379" spans="1:49" hidden="1">
      <c r="A379" s="1432" t="s">
        <v>639</v>
      </c>
      <c r="B379" s="72" t="s">
        <v>166</v>
      </c>
      <c r="C379" s="3"/>
      <c r="E379" s="65">
        <f>SUM(F379:AS379)</f>
        <v>0</v>
      </c>
      <c r="F379" s="31">
        <f t="shared" ref="F379:AS379" si="336">+F38</f>
        <v>0</v>
      </c>
      <c r="G379" s="1124">
        <f t="shared" si="336"/>
        <v>0</v>
      </c>
      <c r="H379" s="1124">
        <f t="shared" si="336"/>
        <v>0</v>
      </c>
      <c r="I379" s="1124">
        <f t="shared" si="336"/>
        <v>0</v>
      </c>
      <c r="J379" s="1124">
        <f t="shared" si="336"/>
        <v>0</v>
      </c>
      <c r="K379" s="1124">
        <f t="shared" si="336"/>
        <v>0</v>
      </c>
      <c r="L379" s="1124">
        <f t="shared" si="336"/>
        <v>0</v>
      </c>
      <c r="M379" s="1124">
        <f t="shared" si="336"/>
        <v>0</v>
      </c>
      <c r="N379" s="1124">
        <f t="shared" si="336"/>
        <v>0</v>
      </c>
      <c r="O379" s="1124">
        <f t="shared" si="336"/>
        <v>0</v>
      </c>
      <c r="P379" s="1124">
        <f t="shared" si="336"/>
        <v>0</v>
      </c>
      <c r="Q379" s="1124">
        <f t="shared" si="336"/>
        <v>0</v>
      </c>
      <c r="R379" s="1124">
        <f t="shared" si="336"/>
        <v>0</v>
      </c>
      <c r="S379" s="1124">
        <f t="shared" si="336"/>
        <v>0</v>
      </c>
      <c r="T379" s="1124">
        <f t="shared" si="336"/>
        <v>0</v>
      </c>
      <c r="U379" s="1124">
        <f t="shared" si="336"/>
        <v>0</v>
      </c>
      <c r="V379" s="1124">
        <f t="shared" si="336"/>
        <v>0</v>
      </c>
      <c r="W379" s="1124">
        <f t="shared" si="336"/>
        <v>0</v>
      </c>
      <c r="X379" s="1124">
        <f t="shared" si="336"/>
        <v>0</v>
      </c>
      <c r="Y379" s="1124">
        <f t="shared" si="336"/>
        <v>0</v>
      </c>
      <c r="Z379" s="1124">
        <f t="shared" si="336"/>
        <v>0</v>
      </c>
      <c r="AA379" s="1124">
        <f t="shared" si="336"/>
        <v>0</v>
      </c>
      <c r="AB379" s="1124">
        <f t="shared" si="336"/>
        <v>0</v>
      </c>
      <c r="AC379" s="1124">
        <f t="shared" si="336"/>
        <v>0</v>
      </c>
      <c r="AD379" s="1124">
        <f t="shared" si="336"/>
        <v>0</v>
      </c>
      <c r="AE379" s="1124">
        <f t="shared" si="336"/>
        <v>0</v>
      </c>
      <c r="AF379" s="1124">
        <f t="shared" si="336"/>
        <v>0</v>
      </c>
      <c r="AG379" s="1124">
        <f t="shared" si="336"/>
        <v>0</v>
      </c>
      <c r="AH379" s="1124">
        <f t="shared" si="336"/>
        <v>0</v>
      </c>
      <c r="AI379" s="1124">
        <f t="shared" si="336"/>
        <v>0</v>
      </c>
      <c r="AJ379" s="1124">
        <f t="shared" si="336"/>
        <v>0</v>
      </c>
      <c r="AK379" s="1124">
        <f t="shared" si="336"/>
        <v>0</v>
      </c>
      <c r="AL379" s="1124">
        <f t="shared" si="336"/>
        <v>0</v>
      </c>
      <c r="AM379" s="1124">
        <f t="shared" si="336"/>
        <v>0</v>
      </c>
      <c r="AN379" s="1124">
        <f t="shared" si="336"/>
        <v>0</v>
      </c>
      <c r="AO379" s="1124">
        <f t="shared" si="336"/>
        <v>0</v>
      </c>
      <c r="AP379" s="1124">
        <f t="shared" si="336"/>
        <v>0</v>
      </c>
      <c r="AQ379" s="1124">
        <f t="shared" si="336"/>
        <v>0</v>
      </c>
      <c r="AR379" s="1124">
        <f t="shared" si="336"/>
        <v>0</v>
      </c>
      <c r="AS379" s="1124">
        <f t="shared" si="336"/>
        <v>0</v>
      </c>
      <c r="AT379" s="31"/>
      <c r="AU379" s="78"/>
      <c r="AV379" s="81"/>
      <c r="AW379" s="65"/>
    </row>
    <row r="380" spans="1:49" ht="15.6" hidden="1">
      <c r="A380" s="1432" t="s">
        <v>639</v>
      </c>
      <c r="B380" s="72" t="s">
        <v>883</v>
      </c>
      <c r="C380" s="1727" t="str">
        <f>"during ages entered"</f>
        <v>during ages entered</v>
      </c>
      <c r="E380" s="65">
        <f>SUM(F380:AS380)</f>
        <v>0</v>
      </c>
      <c r="F380" s="31">
        <f t="shared" ref="F380:AS380" si="337">+F134</f>
        <v>0</v>
      </c>
      <c r="G380" s="1124">
        <f t="shared" si="337"/>
        <v>0</v>
      </c>
      <c r="H380" s="1124">
        <f t="shared" si="337"/>
        <v>0</v>
      </c>
      <c r="I380" s="1124">
        <f t="shared" si="337"/>
        <v>0</v>
      </c>
      <c r="J380" s="1124">
        <f t="shared" si="337"/>
        <v>0</v>
      </c>
      <c r="K380" s="1124">
        <f t="shared" si="337"/>
        <v>0</v>
      </c>
      <c r="L380" s="1124">
        <f t="shared" si="337"/>
        <v>0</v>
      </c>
      <c r="M380" s="1124">
        <f t="shared" si="337"/>
        <v>0</v>
      </c>
      <c r="N380" s="1124">
        <f t="shared" si="337"/>
        <v>0</v>
      </c>
      <c r="O380" s="1124">
        <f t="shared" si="337"/>
        <v>0</v>
      </c>
      <c r="P380" s="1124">
        <f t="shared" si="337"/>
        <v>0</v>
      </c>
      <c r="Q380" s="1124">
        <f t="shared" si="337"/>
        <v>0</v>
      </c>
      <c r="R380" s="1124">
        <f t="shared" si="337"/>
        <v>0</v>
      </c>
      <c r="S380" s="1124">
        <f t="shared" si="337"/>
        <v>0</v>
      </c>
      <c r="T380" s="1124">
        <f t="shared" si="337"/>
        <v>0</v>
      </c>
      <c r="U380" s="1124">
        <f t="shared" si="337"/>
        <v>0</v>
      </c>
      <c r="V380" s="1124">
        <f t="shared" si="337"/>
        <v>0</v>
      </c>
      <c r="W380" s="1124">
        <f t="shared" si="337"/>
        <v>0</v>
      </c>
      <c r="X380" s="1124">
        <f t="shared" si="337"/>
        <v>0</v>
      </c>
      <c r="Y380" s="1124">
        <f t="shared" si="337"/>
        <v>0</v>
      </c>
      <c r="Z380" s="1124">
        <f t="shared" si="337"/>
        <v>0</v>
      </c>
      <c r="AA380" s="1124">
        <f t="shared" si="337"/>
        <v>0</v>
      </c>
      <c r="AB380" s="1124">
        <f t="shared" si="337"/>
        <v>0</v>
      </c>
      <c r="AC380" s="1124">
        <f t="shared" si="337"/>
        <v>0</v>
      </c>
      <c r="AD380" s="1124">
        <f t="shared" si="337"/>
        <v>0</v>
      </c>
      <c r="AE380" s="1124">
        <f t="shared" si="337"/>
        <v>0</v>
      </c>
      <c r="AF380" s="1124">
        <f t="shared" si="337"/>
        <v>0</v>
      </c>
      <c r="AG380" s="1124">
        <f t="shared" si="337"/>
        <v>0</v>
      </c>
      <c r="AH380" s="1124">
        <f t="shared" si="337"/>
        <v>0</v>
      </c>
      <c r="AI380" s="1124">
        <f t="shared" si="337"/>
        <v>0</v>
      </c>
      <c r="AJ380" s="1124">
        <f t="shared" si="337"/>
        <v>0</v>
      </c>
      <c r="AK380" s="1124">
        <f t="shared" si="337"/>
        <v>0</v>
      </c>
      <c r="AL380" s="1124">
        <f t="shared" si="337"/>
        <v>0</v>
      </c>
      <c r="AM380" s="1124">
        <f t="shared" si="337"/>
        <v>0</v>
      </c>
      <c r="AN380" s="1124">
        <f t="shared" si="337"/>
        <v>0</v>
      </c>
      <c r="AO380" s="1124">
        <f t="shared" si="337"/>
        <v>0</v>
      </c>
      <c r="AP380" s="1124">
        <f t="shared" si="337"/>
        <v>0</v>
      </c>
      <c r="AQ380" s="1124">
        <f t="shared" si="337"/>
        <v>0</v>
      </c>
      <c r="AR380" s="1124">
        <f t="shared" si="337"/>
        <v>0</v>
      </c>
      <c r="AS380" s="1124">
        <f t="shared" si="337"/>
        <v>0</v>
      </c>
      <c r="AT380" s="31"/>
      <c r="AU380" s="78"/>
      <c r="AV380" s="81"/>
      <c r="AW380" s="65"/>
    </row>
    <row r="381" spans="1:49" ht="15.6" hidden="1">
      <c r="A381" s="1432" t="s">
        <v>639</v>
      </c>
      <c r="B381" s="28" t="s">
        <v>1543</v>
      </c>
      <c r="C381" s="3"/>
      <c r="E381" s="363"/>
      <c r="F381" s="31">
        <f>+F377+F378+F379+F380</f>
        <v>0</v>
      </c>
      <c r="G381" s="1124">
        <f t="shared" ref="G381:AS381" si="338">+G377+G378+G379+G380</f>
        <v>0</v>
      </c>
      <c r="H381" s="1124">
        <f t="shared" si="338"/>
        <v>0</v>
      </c>
      <c r="I381" s="1124">
        <f t="shared" si="338"/>
        <v>0</v>
      </c>
      <c r="J381" s="1124">
        <f t="shared" si="338"/>
        <v>0</v>
      </c>
      <c r="K381" s="1124">
        <f t="shared" si="338"/>
        <v>0</v>
      </c>
      <c r="L381" s="1124">
        <f t="shared" si="338"/>
        <v>0</v>
      </c>
      <c r="M381" s="1124">
        <f t="shared" si="338"/>
        <v>0</v>
      </c>
      <c r="N381" s="1124">
        <f t="shared" si="338"/>
        <v>0</v>
      </c>
      <c r="O381" s="1124">
        <f t="shared" si="338"/>
        <v>0</v>
      </c>
      <c r="P381" s="1124">
        <f t="shared" si="338"/>
        <v>0</v>
      </c>
      <c r="Q381" s="1124">
        <f t="shared" si="338"/>
        <v>0</v>
      </c>
      <c r="R381" s="1124">
        <f t="shared" si="338"/>
        <v>0</v>
      </c>
      <c r="S381" s="1124">
        <f t="shared" si="338"/>
        <v>0</v>
      </c>
      <c r="T381" s="1124">
        <f t="shared" si="338"/>
        <v>0</v>
      </c>
      <c r="U381" s="1124">
        <f t="shared" si="338"/>
        <v>0</v>
      </c>
      <c r="V381" s="1124">
        <f t="shared" si="338"/>
        <v>0</v>
      </c>
      <c r="W381" s="1124">
        <f t="shared" si="338"/>
        <v>0</v>
      </c>
      <c r="X381" s="1124">
        <f t="shared" si="338"/>
        <v>0</v>
      </c>
      <c r="Y381" s="1124">
        <f t="shared" si="338"/>
        <v>0</v>
      </c>
      <c r="Z381" s="1124">
        <f t="shared" si="338"/>
        <v>0</v>
      </c>
      <c r="AA381" s="1124">
        <f t="shared" si="338"/>
        <v>0</v>
      </c>
      <c r="AB381" s="1124">
        <f t="shared" si="338"/>
        <v>0</v>
      </c>
      <c r="AC381" s="1124">
        <f t="shared" si="338"/>
        <v>0</v>
      </c>
      <c r="AD381" s="1124">
        <f t="shared" si="338"/>
        <v>0</v>
      </c>
      <c r="AE381" s="1124">
        <f t="shared" si="338"/>
        <v>0</v>
      </c>
      <c r="AF381" s="1124">
        <f t="shared" si="338"/>
        <v>0</v>
      </c>
      <c r="AG381" s="1124">
        <f t="shared" si="338"/>
        <v>0</v>
      </c>
      <c r="AH381" s="1124">
        <f t="shared" si="338"/>
        <v>0</v>
      </c>
      <c r="AI381" s="1124">
        <f t="shared" si="338"/>
        <v>0</v>
      </c>
      <c r="AJ381" s="1124">
        <f t="shared" si="338"/>
        <v>0</v>
      </c>
      <c r="AK381" s="1124">
        <f t="shared" si="338"/>
        <v>0</v>
      </c>
      <c r="AL381" s="1124">
        <f t="shared" si="338"/>
        <v>0</v>
      </c>
      <c r="AM381" s="1124">
        <f t="shared" si="338"/>
        <v>0</v>
      </c>
      <c r="AN381" s="1124">
        <f t="shared" si="338"/>
        <v>0</v>
      </c>
      <c r="AO381" s="1124">
        <f t="shared" si="338"/>
        <v>0</v>
      </c>
      <c r="AP381" s="1124">
        <f t="shared" si="338"/>
        <v>0</v>
      </c>
      <c r="AQ381" s="1124">
        <f t="shared" si="338"/>
        <v>0</v>
      </c>
      <c r="AR381" s="1124">
        <f t="shared" si="338"/>
        <v>0</v>
      </c>
      <c r="AS381" s="1124">
        <f t="shared" si="338"/>
        <v>0</v>
      </c>
      <c r="AU381" s="78"/>
      <c r="AV381" s="81"/>
      <c r="AW381" s="363"/>
    </row>
    <row r="382" spans="1:49" hidden="1">
      <c r="A382" s="1432" t="s">
        <v>639</v>
      </c>
      <c r="B382" s="72" t="s">
        <v>1544</v>
      </c>
      <c r="C382" s="3"/>
      <c r="E382" s="65">
        <f>SUM(F382:AS382)</f>
        <v>0</v>
      </c>
      <c r="F382" s="31">
        <f t="shared" ref="F382:AS382" si="339">+F135</f>
        <v>0</v>
      </c>
      <c r="G382" s="1124">
        <f t="shared" si="339"/>
        <v>0</v>
      </c>
      <c r="H382" s="1124">
        <f t="shared" si="339"/>
        <v>0</v>
      </c>
      <c r="I382" s="1124">
        <f t="shared" si="339"/>
        <v>0</v>
      </c>
      <c r="J382" s="1124">
        <f t="shared" si="339"/>
        <v>0</v>
      </c>
      <c r="K382" s="1124">
        <f t="shared" si="339"/>
        <v>0</v>
      </c>
      <c r="L382" s="1124">
        <f t="shared" si="339"/>
        <v>0</v>
      </c>
      <c r="M382" s="1124">
        <f t="shared" si="339"/>
        <v>0</v>
      </c>
      <c r="N382" s="1124">
        <f t="shared" si="339"/>
        <v>0</v>
      </c>
      <c r="O382" s="1124">
        <f t="shared" si="339"/>
        <v>0</v>
      </c>
      <c r="P382" s="1124">
        <f t="shared" si="339"/>
        <v>0</v>
      </c>
      <c r="Q382" s="1124">
        <f t="shared" si="339"/>
        <v>0</v>
      </c>
      <c r="R382" s="1124">
        <f t="shared" si="339"/>
        <v>0</v>
      </c>
      <c r="S382" s="1124">
        <f t="shared" si="339"/>
        <v>0</v>
      </c>
      <c r="T382" s="1124">
        <f t="shared" si="339"/>
        <v>0</v>
      </c>
      <c r="U382" s="1124">
        <f t="shared" si="339"/>
        <v>0</v>
      </c>
      <c r="V382" s="1124">
        <f t="shared" si="339"/>
        <v>0</v>
      </c>
      <c r="W382" s="1124">
        <f t="shared" si="339"/>
        <v>0</v>
      </c>
      <c r="X382" s="1124">
        <f t="shared" si="339"/>
        <v>0</v>
      </c>
      <c r="Y382" s="1124">
        <f t="shared" si="339"/>
        <v>0</v>
      </c>
      <c r="Z382" s="1124">
        <f t="shared" si="339"/>
        <v>0</v>
      </c>
      <c r="AA382" s="1124">
        <f t="shared" si="339"/>
        <v>0</v>
      </c>
      <c r="AB382" s="1124">
        <f t="shared" si="339"/>
        <v>0</v>
      </c>
      <c r="AC382" s="1124">
        <f t="shared" si="339"/>
        <v>0</v>
      </c>
      <c r="AD382" s="1124">
        <f t="shared" si="339"/>
        <v>0</v>
      </c>
      <c r="AE382" s="1124">
        <f t="shared" si="339"/>
        <v>0</v>
      </c>
      <c r="AF382" s="1124">
        <f t="shared" si="339"/>
        <v>0</v>
      </c>
      <c r="AG382" s="1124">
        <f t="shared" si="339"/>
        <v>0</v>
      </c>
      <c r="AH382" s="1124">
        <f t="shared" si="339"/>
        <v>0</v>
      </c>
      <c r="AI382" s="1124">
        <f t="shared" si="339"/>
        <v>0</v>
      </c>
      <c r="AJ382" s="1124">
        <f t="shared" si="339"/>
        <v>0</v>
      </c>
      <c r="AK382" s="1124">
        <f t="shared" si="339"/>
        <v>0</v>
      </c>
      <c r="AL382" s="1124">
        <f t="shared" si="339"/>
        <v>0</v>
      </c>
      <c r="AM382" s="1124">
        <f t="shared" si="339"/>
        <v>0</v>
      </c>
      <c r="AN382" s="1124">
        <f t="shared" si="339"/>
        <v>0</v>
      </c>
      <c r="AO382" s="1124">
        <f t="shared" si="339"/>
        <v>0</v>
      </c>
      <c r="AP382" s="1124">
        <f t="shared" si="339"/>
        <v>0</v>
      </c>
      <c r="AQ382" s="1124">
        <f t="shared" si="339"/>
        <v>0</v>
      </c>
      <c r="AR382" s="1124">
        <f t="shared" si="339"/>
        <v>0</v>
      </c>
      <c r="AS382" s="1124">
        <f t="shared" si="339"/>
        <v>0</v>
      </c>
      <c r="AU382" s="78"/>
      <c r="AV382" s="81"/>
      <c r="AW382" s="65"/>
    </row>
    <row r="383" spans="1:49" hidden="1">
      <c r="A383" s="1432" t="s">
        <v>639</v>
      </c>
      <c r="B383" s="72" t="s">
        <v>881</v>
      </c>
      <c r="C383" s="3"/>
      <c r="E383" s="433">
        <f ca="1">INDIRECT(ADDRESS(ROW(),Total_Years+5))</f>
        <v>0</v>
      </c>
      <c r="F383" s="31">
        <f>+F381+F382</f>
        <v>0</v>
      </c>
      <c r="G383" s="1124">
        <f>+G381+G382</f>
        <v>0</v>
      </c>
      <c r="H383" s="1124">
        <f t="shared" ref="H383:AS383" si="340">+H381+H382</f>
        <v>0</v>
      </c>
      <c r="I383" s="1124">
        <f t="shared" si="340"/>
        <v>0</v>
      </c>
      <c r="J383" s="1124">
        <f t="shared" si="340"/>
        <v>0</v>
      </c>
      <c r="K383" s="1124">
        <f t="shared" si="340"/>
        <v>0</v>
      </c>
      <c r="L383" s="1124">
        <f t="shared" si="340"/>
        <v>0</v>
      </c>
      <c r="M383" s="1124">
        <f t="shared" si="340"/>
        <v>0</v>
      </c>
      <c r="N383" s="1124">
        <f t="shared" si="340"/>
        <v>0</v>
      </c>
      <c r="O383" s="1124">
        <f t="shared" si="340"/>
        <v>0</v>
      </c>
      <c r="P383" s="1124">
        <f t="shared" si="340"/>
        <v>0</v>
      </c>
      <c r="Q383" s="1124">
        <f t="shared" si="340"/>
        <v>0</v>
      </c>
      <c r="R383" s="1124">
        <f t="shared" si="340"/>
        <v>0</v>
      </c>
      <c r="S383" s="1124">
        <f t="shared" si="340"/>
        <v>0</v>
      </c>
      <c r="T383" s="1124">
        <f t="shared" si="340"/>
        <v>0</v>
      </c>
      <c r="U383" s="1124">
        <f t="shared" si="340"/>
        <v>0</v>
      </c>
      <c r="V383" s="1124">
        <f t="shared" si="340"/>
        <v>0</v>
      </c>
      <c r="W383" s="1124">
        <f t="shared" si="340"/>
        <v>0</v>
      </c>
      <c r="X383" s="1124">
        <f t="shared" si="340"/>
        <v>0</v>
      </c>
      <c r="Y383" s="1124">
        <f t="shared" si="340"/>
        <v>0</v>
      </c>
      <c r="Z383" s="1124">
        <f t="shared" si="340"/>
        <v>0</v>
      </c>
      <c r="AA383" s="1124">
        <f t="shared" si="340"/>
        <v>0</v>
      </c>
      <c r="AB383" s="1124">
        <f t="shared" si="340"/>
        <v>0</v>
      </c>
      <c r="AC383" s="1124">
        <f t="shared" si="340"/>
        <v>0</v>
      </c>
      <c r="AD383" s="1124">
        <f t="shared" si="340"/>
        <v>0</v>
      </c>
      <c r="AE383" s="1124">
        <f t="shared" si="340"/>
        <v>0</v>
      </c>
      <c r="AF383" s="1124">
        <f t="shared" si="340"/>
        <v>0</v>
      </c>
      <c r="AG383" s="1124">
        <f t="shared" si="340"/>
        <v>0</v>
      </c>
      <c r="AH383" s="1124">
        <f t="shared" si="340"/>
        <v>0</v>
      </c>
      <c r="AI383" s="1124">
        <f t="shared" si="340"/>
        <v>0</v>
      </c>
      <c r="AJ383" s="1124">
        <f t="shared" si="340"/>
        <v>0</v>
      </c>
      <c r="AK383" s="1124">
        <f t="shared" si="340"/>
        <v>0</v>
      </c>
      <c r="AL383" s="1124">
        <f t="shared" si="340"/>
        <v>0</v>
      </c>
      <c r="AM383" s="1124">
        <f t="shared" si="340"/>
        <v>0</v>
      </c>
      <c r="AN383" s="1124">
        <f t="shared" si="340"/>
        <v>0</v>
      </c>
      <c r="AO383" s="1124">
        <f t="shared" si="340"/>
        <v>0</v>
      </c>
      <c r="AP383" s="1124">
        <f t="shared" si="340"/>
        <v>0</v>
      </c>
      <c r="AQ383" s="1124">
        <f t="shared" si="340"/>
        <v>0</v>
      </c>
      <c r="AR383" s="1124">
        <f t="shared" si="340"/>
        <v>0</v>
      </c>
      <c r="AS383" s="1124">
        <f t="shared" si="340"/>
        <v>0</v>
      </c>
      <c r="AU383" s="78"/>
      <c r="AV383" s="81"/>
      <c r="AW383" s="363"/>
    </row>
    <row r="384" spans="1:49" ht="15.6" hidden="1">
      <c r="A384" s="1432" t="s">
        <v>639</v>
      </c>
      <c r="B384" s="28" t="s">
        <v>548</v>
      </c>
      <c r="C384" s="3"/>
      <c r="D384" s="245"/>
      <c r="E384" s="363"/>
      <c r="F384" s="31"/>
      <c r="G384" s="1124"/>
      <c r="H384" s="1124"/>
      <c r="I384" s="1124"/>
      <c r="J384" s="1124"/>
      <c r="K384" s="1124"/>
      <c r="L384" s="1124"/>
      <c r="M384" s="1124"/>
      <c r="N384" s="1124"/>
      <c r="O384" s="1124"/>
      <c r="P384" s="1124"/>
      <c r="Q384" s="1124"/>
      <c r="R384" s="1124"/>
      <c r="S384" s="1124"/>
      <c r="T384" s="1124"/>
      <c r="U384" s="1124"/>
      <c r="V384" s="1124"/>
      <c r="W384" s="1124"/>
      <c r="X384" s="1124"/>
      <c r="Y384" s="1124"/>
      <c r="Z384" s="1124"/>
      <c r="AA384" s="1124"/>
      <c r="AB384" s="1124"/>
      <c r="AC384" s="1124"/>
      <c r="AD384" s="1124"/>
      <c r="AE384" s="1124"/>
      <c r="AF384" s="1124"/>
      <c r="AG384" s="1124"/>
      <c r="AH384" s="1124"/>
      <c r="AI384" s="1124"/>
      <c r="AJ384" s="1124"/>
      <c r="AK384" s="1124"/>
      <c r="AL384" s="1124"/>
      <c r="AM384" s="1124"/>
      <c r="AN384" s="1124"/>
      <c r="AO384" s="1124"/>
      <c r="AP384" s="1124"/>
      <c r="AQ384" s="1124"/>
      <c r="AR384" s="1124"/>
      <c r="AS384" s="1124"/>
      <c r="AU384" s="78"/>
      <c r="AV384" s="81"/>
      <c r="AW384" s="363"/>
    </row>
    <row r="385" spans="1:49" hidden="1">
      <c r="A385" s="1432" t="s">
        <v>639</v>
      </c>
      <c r="B385" s="72" t="s">
        <v>365</v>
      </c>
      <c r="C385" s="3"/>
      <c r="D385" s="31">
        <f>+E128</f>
        <v>274000</v>
      </c>
      <c r="E385" s="65">
        <f>SUM(F385:AS385)</f>
        <v>274000</v>
      </c>
      <c r="F385" s="31">
        <f>+Setup!$C$258</f>
        <v>43000</v>
      </c>
      <c r="G385" s="1124">
        <f>+Setup!$C$259</f>
        <v>29000</v>
      </c>
      <c r="H385" s="1124">
        <f>+Setup!$C$260</f>
        <v>45000</v>
      </c>
      <c r="I385" s="1124">
        <f>+Setup!$C$261</f>
        <v>40000</v>
      </c>
      <c r="J385" s="1124">
        <f>+Setup!$C$262</f>
        <v>48000</v>
      </c>
      <c r="K385" s="1124">
        <f>+Setup!$C$263</f>
        <v>30000</v>
      </c>
      <c r="L385" s="1124">
        <f>+Setup!$C$264</f>
        <v>32000</v>
      </c>
      <c r="M385" s="1124">
        <f>+Setup!$C$265</f>
        <v>7000</v>
      </c>
      <c r="N385" s="1124">
        <f>+Setup!$C$266</f>
        <v>0</v>
      </c>
      <c r="O385" s="1124">
        <f>+Setup!$C$267</f>
        <v>0</v>
      </c>
      <c r="P385" s="1124">
        <f>+Setup!$C$268</f>
        <v>0</v>
      </c>
      <c r="Q385" s="1124">
        <f>+Setup!$C$269</f>
        <v>0</v>
      </c>
      <c r="R385" s="1124">
        <f>+Setup!$C$270</f>
        <v>0</v>
      </c>
      <c r="S385" s="1124">
        <f>+Setup!$C$271</f>
        <v>0</v>
      </c>
      <c r="T385" s="1124">
        <f>+Setup!$C$272</f>
        <v>0</v>
      </c>
      <c r="U385" s="1124">
        <f>+Setup!$C$273</f>
        <v>0</v>
      </c>
      <c r="V385" s="1124">
        <f>+Setup!$C$274</f>
        <v>0</v>
      </c>
      <c r="W385" s="1124">
        <f>+Setup!$C$275</f>
        <v>0</v>
      </c>
      <c r="X385" s="1124">
        <f>+Setup!$C$276</f>
        <v>0</v>
      </c>
      <c r="Y385" s="1124">
        <f>+Setup!$C$277</f>
        <v>0</v>
      </c>
      <c r="Z385" s="1124">
        <f>+Setup!$C$278</f>
        <v>0</v>
      </c>
      <c r="AA385" s="1124">
        <f>+Setup!$C$279</f>
        <v>0</v>
      </c>
      <c r="AB385" s="1124">
        <f>+Setup!$C$280</f>
        <v>0</v>
      </c>
      <c r="AC385" s="1124">
        <f>+Setup!$C$281</f>
        <v>0</v>
      </c>
      <c r="AD385" s="1124">
        <f>+Setup!$C$282</f>
        <v>0</v>
      </c>
      <c r="AE385" s="1124">
        <f>+Setup!$C$283</f>
        <v>0</v>
      </c>
      <c r="AF385" s="1124">
        <f>+Setup!$C$284</f>
        <v>0</v>
      </c>
      <c r="AG385" s="1124">
        <f>+Setup!$C$285</f>
        <v>0</v>
      </c>
      <c r="AH385" s="1124">
        <f>+Setup!$C$286</f>
        <v>0</v>
      </c>
      <c r="AI385" s="1124">
        <f>+Setup!$C$287</f>
        <v>0</v>
      </c>
      <c r="AJ385" s="1124">
        <f>+Setup!$C$288</f>
        <v>0</v>
      </c>
      <c r="AK385" s="1124">
        <f>+Setup!$C$289</f>
        <v>0</v>
      </c>
      <c r="AL385" s="1124">
        <f>+Setup!$C$290</f>
        <v>0</v>
      </c>
      <c r="AM385" s="1124">
        <f>+Setup!$C$291</f>
        <v>0</v>
      </c>
      <c r="AN385" s="1124">
        <f>+Setup!$C$292</f>
        <v>0</v>
      </c>
      <c r="AO385" s="1124">
        <f>+Setup!$C$293</f>
        <v>0</v>
      </c>
      <c r="AP385" s="1124">
        <f>+Setup!$C$294</f>
        <v>0</v>
      </c>
      <c r="AQ385" s="1124">
        <f>+Setup!$C$295</f>
        <v>0</v>
      </c>
      <c r="AR385" s="1124">
        <f>+Setup!$C$296</f>
        <v>0</v>
      </c>
      <c r="AS385" s="1124">
        <f>+Setup!$C$297</f>
        <v>0</v>
      </c>
      <c r="AU385" s="78"/>
      <c r="AV385" s="81"/>
      <c r="AW385" s="65"/>
    </row>
    <row r="386" spans="1:49" hidden="1">
      <c r="A386" s="1432" t="s">
        <v>639</v>
      </c>
      <c r="B386" s="72" t="s">
        <v>364</v>
      </c>
      <c r="C386" s="3"/>
      <c r="D386" s="31">
        <f>-E129</f>
        <v>0</v>
      </c>
      <c r="E386" s="65">
        <f>SUM(F386:AS386)</f>
        <v>25000</v>
      </c>
      <c r="F386" s="31">
        <f>+Setup!$D$258</f>
        <v>0</v>
      </c>
      <c r="G386" s="1124">
        <f>+Setup!$D$259</f>
        <v>0</v>
      </c>
      <c r="H386" s="1124">
        <f>+Setup!$D$260</f>
        <v>0</v>
      </c>
      <c r="I386" s="1124">
        <f>+Setup!$D$261</f>
        <v>0</v>
      </c>
      <c r="J386" s="1124">
        <f>+Setup!$D$262</f>
        <v>0</v>
      </c>
      <c r="K386" s="1124">
        <f>+Setup!$D$263</f>
        <v>0</v>
      </c>
      <c r="L386" s="1124">
        <f>+Setup!$D$264</f>
        <v>0</v>
      </c>
      <c r="M386" s="1124">
        <f>+Setup!$D$265</f>
        <v>0</v>
      </c>
      <c r="N386" s="1124">
        <f>+Setup!$D$266</f>
        <v>0</v>
      </c>
      <c r="O386" s="1124">
        <f>+Setup!$D$267</f>
        <v>0</v>
      </c>
      <c r="P386" s="1124">
        <f>+Setup!$D$268</f>
        <v>0</v>
      </c>
      <c r="Q386" s="1124">
        <f>+Setup!$D$269</f>
        <v>0</v>
      </c>
      <c r="R386" s="1124">
        <f>+Setup!$D$270</f>
        <v>0</v>
      </c>
      <c r="S386" s="1124">
        <f>+Setup!$D$271</f>
        <v>10000</v>
      </c>
      <c r="T386" s="1124">
        <f>+Setup!$D$272</f>
        <v>15000</v>
      </c>
      <c r="U386" s="1124">
        <f>+Setup!$D$273</f>
        <v>0</v>
      </c>
      <c r="V386" s="1124">
        <f>+Setup!$D$274</f>
        <v>0</v>
      </c>
      <c r="W386" s="1124">
        <f>+Setup!$D$275</f>
        <v>0</v>
      </c>
      <c r="X386" s="1124">
        <f>+Setup!$D$276</f>
        <v>0</v>
      </c>
      <c r="Y386" s="1124">
        <f>+Setup!$D$277</f>
        <v>0</v>
      </c>
      <c r="Z386" s="1124">
        <f>+Setup!$D$278</f>
        <v>0</v>
      </c>
      <c r="AA386" s="1124">
        <f>+Setup!$D$279</f>
        <v>0</v>
      </c>
      <c r="AB386" s="1124">
        <f>+Setup!$D$280</f>
        <v>0</v>
      </c>
      <c r="AC386" s="1124">
        <f>+Setup!$D$281</f>
        <v>0</v>
      </c>
      <c r="AD386" s="1124">
        <f>+Setup!$D$282</f>
        <v>0</v>
      </c>
      <c r="AE386" s="1124">
        <f>+Setup!$D$283</f>
        <v>0</v>
      </c>
      <c r="AF386" s="1124">
        <f>+Setup!$D$284</f>
        <v>0</v>
      </c>
      <c r="AG386" s="1124">
        <f>+Setup!$D$285</f>
        <v>0</v>
      </c>
      <c r="AH386" s="1124">
        <f>+Setup!$D$286</f>
        <v>0</v>
      </c>
      <c r="AI386" s="1124">
        <f>+Setup!$D$287</f>
        <v>0</v>
      </c>
      <c r="AJ386" s="1124">
        <f>+Setup!$D$288</f>
        <v>0</v>
      </c>
      <c r="AK386" s="1124">
        <f>+Setup!$D$289</f>
        <v>0</v>
      </c>
      <c r="AL386" s="1124">
        <f>+Setup!$D$290</f>
        <v>0</v>
      </c>
      <c r="AM386" s="1124">
        <f>+Setup!$D$291</f>
        <v>0</v>
      </c>
      <c r="AN386" s="1124">
        <f>+Setup!$D$292</f>
        <v>0</v>
      </c>
      <c r="AO386" s="1124">
        <f>+Setup!$D$293</f>
        <v>0</v>
      </c>
      <c r="AP386" s="1124">
        <f>+Setup!$D$294</f>
        <v>0</v>
      </c>
      <c r="AQ386" s="1124">
        <f>+Setup!$D$295</f>
        <v>0</v>
      </c>
      <c r="AR386" s="1124">
        <f>+Setup!$D$296</f>
        <v>0</v>
      </c>
      <c r="AS386" s="1124">
        <f>+Setup!$D$297</f>
        <v>0</v>
      </c>
      <c r="AU386" s="78"/>
      <c r="AV386" s="81"/>
      <c r="AW386" s="65"/>
    </row>
    <row r="387" spans="1:49" ht="15.6">
      <c r="B387" s="717" t="s">
        <v>1311</v>
      </c>
      <c r="E387" s="97"/>
      <c r="F387" s="31"/>
      <c r="G387" s="31"/>
      <c r="H387" s="31"/>
      <c r="I387" s="31"/>
      <c r="J387" s="31"/>
      <c r="K387" s="31"/>
      <c r="L387" s="31"/>
      <c r="M387" s="31"/>
      <c r="N387" s="31"/>
      <c r="O387" s="31"/>
      <c r="P387" s="31"/>
      <c r="Q387" s="31"/>
      <c r="R387" s="31"/>
      <c r="S387" s="31"/>
      <c r="T387" s="31"/>
      <c r="U387" s="31"/>
      <c r="V387" s="31"/>
      <c r="W387" s="31"/>
      <c r="X387" s="31"/>
      <c r="Y387" s="31"/>
      <c r="Z387" s="31"/>
      <c r="AA387" s="31"/>
      <c r="AB387" s="31"/>
      <c r="AC387" s="31"/>
      <c r="AD387" s="31"/>
      <c r="AE387" s="31"/>
      <c r="AF387" s="31"/>
      <c r="AG387" s="31"/>
      <c r="AH387" s="31"/>
      <c r="AI387" s="31"/>
      <c r="AJ387" s="31"/>
      <c r="AK387" s="31"/>
      <c r="AL387" s="31"/>
      <c r="AM387" s="31"/>
      <c r="AN387" s="31"/>
      <c r="AO387" s="31"/>
      <c r="AP387" s="31"/>
      <c r="AQ387" s="31"/>
      <c r="AR387" s="31"/>
      <c r="AS387" s="31"/>
      <c r="AU387" s="97"/>
      <c r="AV387" s="81"/>
    </row>
    <row r="388" spans="1:49" ht="15.6">
      <c r="F388" s="13">
        <v>1</v>
      </c>
      <c r="G388" s="13">
        <f>+F388+1</f>
        <v>2</v>
      </c>
      <c r="H388" s="13">
        <f t="shared" ref="H388:AS388" si="341">+G388+1</f>
        <v>3</v>
      </c>
      <c r="I388" s="13">
        <f t="shared" si="341"/>
        <v>4</v>
      </c>
      <c r="J388" s="13">
        <f t="shared" si="341"/>
        <v>5</v>
      </c>
      <c r="K388" s="13">
        <f t="shared" si="341"/>
        <v>6</v>
      </c>
      <c r="L388" s="13">
        <f t="shared" si="341"/>
        <v>7</v>
      </c>
      <c r="M388" s="13">
        <f t="shared" si="341"/>
        <v>8</v>
      </c>
      <c r="N388" s="13">
        <f t="shared" si="341"/>
        <v>9</v>
      </c>
      <c r="O388" s="13">
        <f t="shared" si="341"/>
        <v>10</v>
      </c>
      <c r="P388" s="13">
        <f t="shared" si="341"/>
        <v>11</v>
      </c>
      <c r="Q388" s="13">
        <f t="shared" si="341"/>
        <v>12</v>
      </c>
      <c r="R388" s="13">
        <f t="shared" si="341"/>
        <v>13</v>
      </c>
      <c r="S388" s="13">
        <f t="shared" si="341"/>
        <v>14</v>
      </c>
      <c r="T388" s="13">
        <f t="shared" si="341"/>
        <v>15</v>
      </c>
      <c r="U388" s="13">
        <f t="shared" si="341"/>
        <v>16</v>
      </c>
      <c r="V388" s="13">
        <f t="shared" si="341"/>
        <v>17</v>
      </c>
      <c r="W388" s="13">
        <f t="shared" si="341"/>
        <v>18</v>
      </c>
      <c r="X388" s="13">
        <f t="shared" si="341"/>
        <v>19</v>
      </c>
      <c r="Y388" s="13">
        <f t="shared" si="341"/>
        <v>20</v>
      </c>
      <c r="Z388" s="13">
        <f t="shared" si="341"/>
        <v>21</v>
      </c>
      <c r="AA388" s="13">
        <f t="shared" si="341"/>
        <v>22</v>
      </c>
      <c r="AB388" s="13">
        <f t="shared" si="341"/>
        <v>23</v>
      </c>
      <c r="AC388" s="13">
        <f t="shared" si="341"/>
        <v>24</v>
      </c>
      <c r="AD388" s="13">
        <f t="shared" si="341"/>
        <v>25</v>
      </c>
      <c r="AE388" s="13">
        <f t="shared" si="341"/>
        <v>26</v>
      </c>
      <c r="AF388" s="13">
        <f t="shared" si="341"/>
        <v>27</v>
      </c>
      <c r="AG388" s="13">
        <f t="shared" si="341"/>
        <v>28</v>
      </c>
      <c r="AH388" s="13">
        <f t="shared" si="341"/>
        <v>29</v>
      </c>
      <c r="AI388" s="13">
        <f t="shared" si="341"/>
        <v>30</v>
      </c>
      <c r="AJ388" s="13">
        <f t="shared" si="341"/>
        <v>31</v>
      </c>
      <c r="AK388" s="13">
        <f t="shared" si="341"/>
        <v>32</v>
      </c>
      <c r="AL388" s="13">
        <f t="shared" si="341"/>
        <v>33</v>
      </c>
      <c r="AM388" s="13">
        <f t="shared" si="341"/>
        <v>34</v>
      </c>
      <c r="AN388" s="13">
        <f t="shared" si="341"/>
        <v>35</v>
      </c>
      <c r="AO388" s="13">
        <f t="shared" si="341"/>
        <v>36</v>
      </c>
      <c r="AP388" s="13">
        <f t="shared" si="341"/>
        <v>37</v>
      </c>
      <c r="AQ388" s="13">
        <f t="shared" si="341"/>
        <v>38</v>
      </c>
      <c r="AR388" s="13">
        <f t="shared" si="341"/>
        <v>39</v>
      </c>
      <c r="AS388" s="13">
        <f t="shared" si="341"/>
        <v>40</v>
      </c>
    </row>
    <row r="389" spans="1:49" ht="17.399999999999999">
      <c r="B389" s="864" t="s">
        <v>524</v>
      </c>
      <c r="C389" s="136"/>
      <c r="F389" s="92"/>
      <c r="G389" s="867" t="str">
        <f t="shared" ref="G389:AS389" si="342">IF(G4=$E$391,"Alloc Chg","")</f>
        <v/>
      </c>
      <c r="H389" s="867" t="str">
        <f t="shared" si="342"/>
        <v/>
      </c>
      <c r="I389" s="867" t="str">
        <f t="shared" si="342"/>
        <v/>
      </c>
      <c r="J389" s="867" t="str">
        <f t="shared" si="342"/>
        <v/>
      </c>
      <c r="K389" s="867" t="str">
        <f t="shared" si="342"/>
        <v/>
      </c>
      <c r="L389" s="867" t="str">
        <f t="shared" si="342"/>
        <v/>
      </c>
      <c r="M389" s="867" t="str">
        <f t="shared" si="342"/>
        <v/>
      </c>
      <c r="N389" s="867" t="str">
        <f t="shared" si="342"/>
        <v/>
      </c>
      <c r="O389" s="867" t="str">
        <f t="shared" si="342"/>
        <v/>
      </c>
      <c r="P389" s="867" t="str">
        <f t="shared" si="342"/>
        <v/>
      </c>
      <c r="Q389" s="867" t="str">
        <f t="shared" si="342"/>
        <v/>
      </c>
      <c r="R389" s="867" t="str">
        <f t="shared" si="342"/>
        <v/>
      </c>
      <c r="S389" s="867" t="str">
        <f t="shared" si="342"/>
        <v/>
      </c>
      <c r="T389" s="867" t="str">
        <f t="shared" si="342"/>
        <v/>
      </c>
      <c r="U389" s="867" t="str">
        <f t="shared" si="342"/>
        <v/>
      </c>
      <c r="V389" s="867" t="str">
        <f t="shared" si="342"/>
        <v/>
      </c>
      <c r="W389" s="867" t="str">
        <f t="shared" si="342"/>
        <v/>
      </c>
      <c r="X389" s="867" t="str">
        <f t="shared" si="342"/>
        <v>Alloc Chg</v>
      </c>
      <c r="Y389" s="867" t="str">
        <f t="shared" si="342"/>
        <v/>
      </c>
      <c r="Z389" s="867" t="str">
        <f t="shared" si="342"/>
        <v/>
      </c>
      <c r="AA389" s="867" t="str">
        <f t="shared" si="342"/>
        <v/>
      </c>
      <c r="AB389" s="867" t="str">
        <f t="shared" si="342"/>
        <v/>
      </c>
      <c r="AC389" s="867" t="str">
        <f t="shared" si="342"/>
        <v/>
      </c>
      <c r="AD389" s="867" t="str">
        <f t="shared" si="342"/>
        <v/>
      </c>
      <c r="AE389" s="867" t="str">
        <f t="shared" si="342"/>
        <v/>
      </c>
      <c r="AF389" s="867" t="str">
        <f t="shared" si="342"/>
        <v/>
      </c>
      <c r="AG389" s="867" t="str">
        <f t="shared" si="342"/>
        <v/>
      </c>
      <c r="AH389" s="867" t="str">
        <f t="shared" si="342"/>
        <v/>
      </c>
      <c r="AI389" s="867" t="str">
        <f t="shared" si="342"/>
        <v/>
      </c>
      <c r="AJ389" s="867" t="str">
        <f t="shared" si="342"/>
        <v/>
      </c>
      <c r="AK389" s="867" t="str">
        <f t="shared" si="342"/>
        <v/>
      </c>
      <c r="AL389" s="867" t="str">
        <f t="shared" si="342"/>
        <v/>
      </c>
      <c r="AM389" s="867" t="str">
        <f t="shared" si="342"/>
        <v/>
      </c>
      <c r="AN389" s="867" t="str">
        <f t="shared" si="342"/>
        <v/>
      </c>
      <c r="AO389" s="867" t="str">
        <f t="shared" si="342"/>
        <v/>
      </c>
      <c r="AP389" s="867" t="str">
        <f t="shared" si="342"/>
        <v/>
      </c>
      <c r="AQ389" s="867" t="str">
        <f t="shared" si="342"/>
        <v/>
      </c>
      <c r="AR389" s="867" t="str">
        <f t="shared" si="342"/>
        <v/>
      </c>
      <c r="AS389" s="867" t="str">
        <f t="shared" si="342"/>
        <v/>
      </c>
    </row>
    <row r="390" spans="1:49" ht="15.6">
      <c r="B390" s="22" t="s">
        <v>270</v>
      </c>
      <c r="C390" s="13" t="s">
        <v>271</v>
      </c>
      <c r="D390" s="13" t="s">
        <v>272</v>
      </c>
      <c r="E390" s="65">
        <f>SUM(F390:AS390)</f>
        <v>16808200</v>
      </c>
      <c r="F390" s="868">
        <f t="shared" ref="F390:AS390" si="343">+F8</f>
        <v>200000</v>
      </c>
      <c r="G390" s="868">
        <f t="shared" si="343"/>
        <v>187100</v>
      </c>
      <c r="H390" s="868">
        <f t="shared" si="343"/>
        <v>186800</v>
      </c>
      <c r="I390" s="868">
        <f t="shared" si="343"/>
        <v>173800</v>
      </c>
      <c r="J390" s="868">
        <f t="shared" si="343"/>
        <v>160500</v>
      </c>
      <c r="K390" s="868">
        <f t="shared" si="343"/>
        <v>148300</v>
      </c>
      <c r="L390" s="868">
        <f t="shared" si="343"/>
        <v>156400</v>
      </c>
      <c r="M390" s="868">
        <f t="shared" si="343"/>
        <v>166100</v>
      </c>
      <c r="N390" s="868">
        <f t="shared" si="343"/>
        <v>175900</v>
      </c>
      <c r="O390" s="868">
        <f t="shared" si="343"/>
        <v>202800</v>
      </c>
      <c r="P390" s="868">
        <f t="shared" si="343"/>
        <v>238100</v>
      </c>
      <c r="Q390" s="868">
        <f t="shared" si="343"/>
        <v>194200</v>
      </c>
      <c r="R390" s="868">
        <f t="shared" si="343"/>
        <v>272100</v>
      </c>
      <c r="S390" s="868">
        <f t="shared" si="343"/>
        <v>296700</v>
      </c>
      <c r="T390" s="868">
        <f t="shared" si="343"/>
        <v>344500</v>
      </c>
      <c r="U390" s="868">
        <f t="shared" si="343"/>
        <v>301300</v>
      </c>
      <c r="V390" s="868">
        <f t="shared" si="343"/>
        <v>424600</v>
      </c>
      <c r="W390" s="868">
        <f t="shared" si="343"/>
        <v>480700</v>
      </c>
      <c r="X390" s="868">
        <f t="shared" si="343"/>
        <v>541400</v>
      </c>
      <c r="Y390" s="868">
        <f t="shared" si="343"/>
        <v>574700</v>
      </c>
      <c r="Z390" s="868">
        <f t="shared" si="343"/>
        <v>609500</v>
      </c>
      <c r="AA390" s="868">
        <f t="shared" si="343"/>
        <v>647200</v>
      </c>
      <c r="AB390" s="868">
        <f t="shared" si="343"/>
        <v>688000</v>
      </c>
      <c r="AC390" s="868">
        <f t="shared" si="343"/>
        <v>1136000</v>
      </c>
      <c r="AD390" s="868">
        <f t="shared" si="343"/>
        <v>1199500</v>
      </c>
      <c r="AE390" s="868">
        <f t="shared" si="343"/>
        <v>1337600</v>
      </c>
      <c r="AF390" s="868">
        <f t="shared" si="343"/>
        <v>1379900</v>
      </c>
      <c r="AG390" s="868">
        <f t="shared" si="343"/>
        <v>1423300</v>
      </c>
      <c r="AH390" s="868">
        <f t="shared" si="343"/>
        <v>1461500</v>
      </c>
      <c r="AI390" s="868">
        <f t="shared" si="343"/>
        <v>1499700</v>
      </c>
      <c r="AJ390" s="868">
        <f t="shared" si="343"/>
        <v>0</v>
      </c>
      <c r="AK390" s="868">
        <f t="shared" si="343"/>
        <v>0</v>
      </c>
      <c r="AL390" s="868">
        <f t="shared" si="343"/>
        <v>0</v>
      </c>
      <c r="AM390" s="868">
        <f t="shared" si="343"/>
        <v>0</v>
      </c>
      <c r="AN390" s="868">
        <f t="shared" si="343"/>
        <v>0</v>
      </c>
      <c r="AO390" s="868">
        <f t="shared" si="343"/>
        <v>0</v>
      </c>
      <c r="AP390" s="868">
        <f t="shared" si="343"/>
        <v>0</v>
      </c>
      <c r="AQ390" s="868">
        <f t="shared" si="343"/>
        <v>0</v>
      </c>
      <c r="AR390" s="868">
        <f t="shared" si="343"/>
        <v>0</v>
      </c>
      <c r="AS390" s="868">
        <f t="shared" si="343"/>
        <v>0</v>
      </c>
    </row>
    <row r="391" spans="1:49">
      <c r="B391" s="43" t="s">
        <v>756</v>
      </c>
      <c r="C391" s="44">
        <f>+Stock_Taxable</f>
        <v>0.45</v>
      </c>
      <c r="D391" s="44">
        <f>IF(Change_Age=0,Stock_Taxable,+Stock_Taxable2)</f>
        <v>0.25</v>
      </c>
      <c r="E391" s="136">
        <f>+Change_Age</f>
        <v>80</v>
      </c>
      <c r="F391" s="898">
        <f>+F$447*$C391</f>
        <v>90000</v>
      </c>
      <c r="G391" s="92">
        <f t="shared" ref="G391:P394" si="344">IF(G$4&gt;=$E$391,$D391*G$390,$C391*G$390)*IF(G$7-$F$7&lt;=Total_Years-1,1,0)</f>
        <v>84195</v>
      </c>
      <c r="H391" s="92">
        <f t="shared" si="344"/>
        <v>84060</v>
      </c>
      <c r="I391" s="92">
        <f t="shared" si="344"/>
        <v>78210</v>
      </c>
      <c r="J391" s="92">
        <f t="shared" si="344"/>
        <v>72225</v>
      </c>
      <c r="K391" s="92">
        <f t="shared" si="344"/>
        <v>66735</v>
      </c>
      <c r="L391" s="92">
        <f t="shared" si="344"/>
        <v>70380</v>
      </c>
      <c r="M391" s="92">
        <f t="shared" si="344"/>
        <v>74745</v>
      </c>
      <c r="N391" s="92">
        <f t="shared" si="344"/>
        <v>79155</v>
      </c>
      <c r="O391" s="92">
        <f t="shared" si="344"/>
        <v>91260</v>
      </c>
      <c r="P391" s="92">
        <f t="shared" si="344"/>
        <v>107145</v>
      </c>
      <c r="Q391" s="92">
        <f t="shared" ref="Q391:Z394" si="345">IF(Q$4&gt;=$E$391,$D391*Q$390,$C391*Q$390)*IF(Q$7-$F$7&lt;=Total_Years-1,1,0)</f>
        <v>87390</v>
      </c>
      <c r="R391" s="92">
        <f t="shared" si="345"/>
        <v>122445</v>
      </c>
      <c r="S391" s="92">
        <f t="shared" si="345"/>
        <v>133515</v>
      </c>
      <c r="T391" s="92">
        <f t="shared" si="345"/>
        <v>155025</v>
      </c>
      <c r="U391" s="92">
        <f t="shared" si="345"/>
        <v>135585</v>
      </c>
      <c r="V391" s="92">
        <f t="shared" si="345"/>
        <v>191070</v>
      </c>
      <c r="W391" s="92">
        <f t="shared" si="345"/>
        <v>216315</v>
      </c>
      <c r="X391" s="92">
        <f t="shared" si="345"/>
        <v>135350</v>
      </c>
      <c r="Y391" s="92">
        <f t="shared" si="345"/>
        <v>143675</v>
      </c>
      <c r="Z391" s="92">
        <f t="shared" si="345"/>
        <v>152375</v>
      </c>
      <c r="AA391" s="92">
        <f t="shared" ref="AA391:AJ394" si="346">IF(AA$4&gt;=$E$391,$D391*AA$390,$C391*AA$390)*IF(AA$7-$F$7&lt;=Total_Years-1,1,0)</f>
        <v>161800</v>
      </c>
      <c r="AB391" s="92">
        <f t="shared" si="346"/>
        <v>172000</v>
      </c>
      <c r="AC391" s="92">
        <f t="shared" si="346"/>
        <v>284000</v>
      </c>
      <c r="AD391" s="92">
        <f t="shared" si="346"/>
        <v>299875</v>
      </c>
      <c r="AE391" s="92">
        <f t="shared" si="346"/>
        <v>334400</v>
      </c>
      <c r="AF391" s="92">
        <f t="shared" si="346"/>
        <v>344975</v>
      </c>
      <c r="AG391" s="92">
        <f t="shared" si="346"/>
        <v>355825</v>
      </c>
      <c r="AH391" s="92">
        <f t="shared" si="346"/>
        <v>365375</v>
      </c>
      <c r="AI391" s="92">
        <f t="shared" si="346"/>
        <v>374925</v>
      </c>
      <c r="AJ391" s="92">
        <f t="shared" si="346"/>
        <v>0</v>
      </c>
      <c r="AK391" s="92">
        <f t="shared" ref="AK391:AS394" si="347">IF(AK$4&gt;=$E$391,$D391*AK$390,$C391*AK$390)*IF(AK$7-$F$7&lt;=Total_Years-1,1,0)</f>
        <v>0</v>
      </c>
      <c r="AL391" s="92">
        <f t="shared" si="347"/>
        <v>0</v>
      </c>
      <c r="AM391" s="92">
        <f t="shared" si="347"/>
        <v>0</v>
      </c>
      <c r="AN391" s="92">
        <f t="shared" si="347"/>
        <v>0</v>
      </c>
      <c r="AO391" s="92">
        <f t="shared" si="347"/>
        <v>0</v>
      </c>
      <c r="AP391" s="92">
        <f t="shared" si="347"/>
        <v>0</v>
      </c>
      <c r="AQ391" s="92">
        <f t="shared" si="347"/>
        <v>0</v>
      </c>
      <c r="AR391" s="92">
        <f t="shared" si="347"/>
        <v>0</v>
      </c>
      <c r="AS391" s="92">
        <f t="shared" si="347"/>
        <v>0</v>
      </c>
    </row>
    <row r="392" spans="1:49">
      <c r="B392" s="43" t="s">
        <v>757</v>
      </c>
      <c r="C392" s="44">
        <f>+Bond_Taxable</f>
        <v>0</v>
      </c>
      <c r="D392" s="44">
        <f>IF(Change_Age=0,+Bond_Taxable,+Bond_Taxable2)</f>
        <v>0</v>
      </c>
      <c r="F392" s="898">
        <f>+F$447*$C392</f>
        <v>0</v>
      </c>
      <c r="G392" s="92">
        <f t="shared" si="344"/>
        <v>0</v>
      </c>
      <c r="H392" s="92">
        <f t="shared" si="344"/>
        <v>0</v>
      </c>
      <c r="I392" s="92">
        <f t="shared" si="344"/>
        <v>0</v>
      </c>
      <c r="J392" s="92">
        <f t="shared" si="344"/>
        <v>0</v>
      </c>
      <c r="K392" s="92">
        <f t="shared" si="344"/>
        <v>0</v>
      </c>
      <c r="L392" s="92">
        <f t="shared" si="344"/>
        <v>0</v>
      </c>
      <c r="M392" s="92">
        <f t="shared" si="344"/>
        <v>0</v>
      </c>
      <c r="N392" s="92">
        <f t="shared" si="344"/>
        <v>0</v>
      </c>
      <c r="O392" s="92">
        <f t="shared" si="344"/>
        <v>0</v>
      </c>
      <c r="P392" s="92">
        <f t="shared" si="344"/>
        <v>0</v>
      </c>
      <c r="Q392" s="92">
        <f t="shared" si="345"/>
        <v>0</v>
      </c>
      <c r="R392" s="92">
        <f t="shared" si="345"/>
        <v>0</v>
      </c>
      <c r="S392" s="92">
        <f t="shared" si="345"/>
        <v>0</v>
      </c>
      <c r="T392" s="92">
        <f t="shared" si="345"/>
        <v>0</v>
      </c>
      <c r="U392" s="92">
        <f t="shared" si="345"/>
        <v>0</v>
      </c>
      <c r="V392" s="92">
        <f t="shared" si="345"/>
        <v>0</v>
      </c>
      <c r="W392" s="92">
        <f t="shared" si="345"/>
        <v>0</v>
      </c>
      <c r="X392" s="92">
        <f t="shared" si="345"/>
        <v>0</v>
      </c>
      <c r="Y392" s="92">
        <f t="shared" si="345"/>
        <v>0</v>
      </c>
      <c r="Z392" s="92">
        <f t="shared" si="345"/>
        <v>0</v>
      </c>
      <c r="AA392" s="92">
        <f t="shared" si="346"/>
        <v>0</v>
      </c>
      <c r="AB392" s="92">
        <f t="shared" si="346"/>
        <v>0</v>
      </c>
      <c r="AC392" s="92">
        <f t="shared" si="346"/>
        <v>0</v>
      </c>
      <c r="AD392" s="92">
        <f t="shared" si="346"/>
        <v>0</v>
      </c>
      <c r="AE392" s="92">
        <f t="shared" si="346"/>
        <v>0</v>
      </c>
      <c r="AF392" s="92">
        <f t="shared" si="346"/>
        <v>0</v>
      </c>
      <c r="AG392" s="92">
        <f t="shared" si="346"/>
        <v>0</v>
      </c>
      <c r="AH392" s="92">
        <f t="shared" si="346"/>
        <v>0</v>
      </c>
      <c r="AI392" s="92">
        <f t="shared" si="346"/>
        <v>0</v>
      </c>
      <c r="AJ392" s="92">
        <f t="shared" si="346"/>
        <v>0</v>
      </c>
      <c r="AK392" s="92">
        <f t="shared" si="347"/>
        <v>0</v>
      </c>
      <c r="AL392" s="92">
        <f t="shared" si="347"/>
        <v>0</v>
      </c>
      <c r="AM392" s="92">
        <f t="shared" si="347"/>
        <v>0</v>
      </c>
      <c r="AN392" s="92">
        <f t="shared" si="347"/>
        <v>0</v>
      </c>
      <c r="AO392" s="92">
        <f t="shared" si="347"/>
        <v>0</v>
      </c>
      <c r="AP392" s="92">
        <f t="shared" si="347"/>
        <v>0</v>
      </c>
      <c r="AQ392" s="92">
        <f t="shared" si="347"/>
        <v>0</v>
      </c>
      <c r="AR392" s="92">
        <f t="shared" si="347"/>
        <v>0</v>
      </c>
      <c r="AS392" s="92">
        <f t="shared" si="347"/>
        <v>0</v>
      </c>
    </row>
    <row r="393" spans="1:49">
      <c r="B393" s="43" t="s">
        <v>849</v>
      </c>
      <c r="C393" s="44">
        <f>+Setup!G66</f>
        <v>0.5</v>
      </c>
      <c r="D393" s="44">
        <f>IF(Change_Age=0,TaxEx_Taxable,TaxEx_Taxable2)</f>
        <v>0.7</v>
      </c>
      <c r="F393" s="898">
        <f>+F$447*$C393</f>
        <v>100000</v>
      </c>
      <c r="G393" s="92">
        <f t="shared" si="344"/>
        <v>93550</v>
      </c>
      <c r="H393" s="92">
        <f t="shared" si="344"/>
        <v>93400</v>
      </c>
      <c r="I393" s="92">
        <f t="shared" si="344"/>
        <v>86900</v>
      </c>
      <c r="J393" s="92">
        <f t="shared" si="344"/>
        <v>80250</v>
      </c>
      <c r="K393" s="92">
        <f t="shared" si="344"/>
        <v>74150</v>
      </c>
      <c r="L393" s="92">
        <f t="shared" si="344"/>
        <v>78200</v>
      </c>
      <c r="M393" s="92">
        <f t="shared" si="344"/>
        <v>83050</v>
      </c>
      <c r="N393" s="92">
        <f t="shared" si="344"/>
        <v>87950</v>
      </c>
      <c r="O393" s="92">
        <f t="shared" si="344"/>
        <v>101400</v>
      </c>
      <c r="P393" s="92">
        <f t="shared" si="344"/>
        <v>119050</v>
      </c>
      <c r="Q393" s="92">
        <f t="shared" si="345"/>
        <v>97100</v>
      </c>
      <c r="R393" s="92">
        <f t="shared" si="345"/>
        <v>136050</v>
      </c>
      <c r="S393" s="92">
        <f t="shared" si="345"/>
        <v>148350</v>
      </c>
      <c r="T393" s="92">
        <f t="shared" si="345"/>
        <v>172250</v>
      </c>
      <c r="U393" s="92">
        <f t="shared" si="345"/>
        <v>150650</v>
      </c>
      <c r="V393" s="92">
        <f t="shared" si="345"/>
        <v>212300</v>
      </c>
      <c r="W393" s="92">
        <f t="shared" si="345"/>
        <v>240350</v>
      </c>
      <c r="X393" s="92">
        <f t="shared" si="345"/>
        <v>378980</v>
      </c>
      <c r="Y393" s="92">
        <f t="shared" si="345"/>
        <v>402290</v>
      </c>
      <c r="Z393" s="92">
        <f t="shared" si="345"/>
        <v>426650</v>
      </c>
      <c r="AA393" s="92">
        <f t="shared" si="346"/>
        <v>453040</v>
      </c>
      <c r="AB393" s="92">
        <f t="shared" si="346"/>
        <v>481599.99999999994</v>
      </c>
      <c r="AC393" s="92">
        <f t="shared" si="346"/>
        <v>795200</v>
      </c>
      <c r="AD393" s="92">
        <f t="shared" si="346"/>
        <v>839650</v>
      </c>
      <c r="AE393" s="92">
        <f t="shared" si="346"/>
        <v>936319.99999999988</v>
      </c>
      <c r="AF393" s="92">
        <f t="shared" si="346"/>
        <v>965929.99999999988</v>
      </c>
      <c r="AG393" s="92">
        <f t="shared" si="346"/>
        <v>996309.99999999988</v>
      </c>
      <c r="AH393" s="92">
        <f t="shared" si="346"/>
        <v>1023049.9999999999</v>
      </c>
      <c r="AI393" s="92">
        <f t="shared" si="346"/>
        <v>1049790</v>
      </c>
      <c r="AJ393" s="92">
        <f t="shared" si="346"/>
        <v>0</v>
      </c>
      <c r="AK393" s="92">
        <f t="shared" si="347"/>
        <v>0</v>
      </c>
      <c r="AL393" s="92">
        <f t="shared" si="347"/>
        <v>0</v>
      </c>
      <c r="AM393" s="92">
        <f t="shared" si="347"/>
        <v>0</v>
      </c>
      <c r="AN393" s="92">
        <f t="shared" si="347"/>
        <v>0</v>
      </c>
      <c r="AO393" s="92">
        <f t="shared" si="347"/>
        <v>0</v>
      </c>
      <c r="AP393" s="92">
        <f t="shared" si="347"/>
        <v>0</v>
      </c>
      <c r="AQ393" s="92">
        <f t="shared" si="347"/>
        <v>0</v>
      </c>
      <c r="AR393" s="92">
        <f t="shared" si="347"/>
        <v>0</v>
      </c>
      <c r="AS393" s="92">
        <f t="shared" si="347"/>
        <v>0</v>
      </c>
    </row>
    <row r="394" spans="1:49">
      <c r="B394" s="43" t="s">
        <v>1600</v>
      </c>
      <c r="C394" s="44">
        <f>+Cash_Taxable</f>
        <v>0.05</v>
      </c>
      <c r="D394" s="44">
        <f>IF(Change_Age=0,Cash_Taxable,+Cash_Taxable2)</f>
        <v>0.05</v>
      </c>
      <c r="F394" s="1294">
        <f>+F$447*$C394</f>
        <v>10000</v>
      </c>
      <c r="G394" s="92">
        <f t="shared" si="344"/>
        <v>9355</v>
      </c>
      <c r="H394" s="92">
        <f t="shared" si="344"/>
        <v>9340</v>
      </c>
      <c r="I394" s="92">
        <f t="shared" si="344"/>
        <v>8690</v>
      </c>
      <c r="J394" s="92">
        <f t="shared" si="344"/>
        <v>8025</v>
      </c>
      <c r="K394" s="92">
        <f t="shared" si="344"/>
        <v>7415</v>
      </c>
      <c r="L394" s="92">
        <f t="shared" si="344"/>
        <v>7820</v>
      </c>
      <c r="M394" s="92">
        <f t="shared" si="344"/>
        <v>8305</v>
      </c>
      <c r="N394" s="92">
        <f t="shared" si="344"/>
        <v>8795</v>
      </c>
      <c r="O394" s="92">
        <f t="shared" si="344"/>
        <v>10140</v>
      </c>
      <c r="P394" s="92">
        <f t="shared" si="344"/>
        <v>11905</v>
      </c>
      <c r="Q394" s="92">
        <f t="shared" si="345"/>
        <v>9710</v>
      </c>
      <c r="R394" s="92">
        <f t="shared" si="345"/>
        <v>13605</v>
      </c>
      <c r="S394" s="92">
        <f t="shared" si="345"/>
        <v>14835</v>
      </c>
      <c r="T394" s="92">
        <f t="shared" si="345"/>
        <v>17225</v>
      </c>
      <c r="U394" s="92">
        <f t="shared" si="345"/>
        <v>15065</v>
      </c>
      <c r="V394" s="92">
        <f t="shared" si="345"/>
        <v>21230</v>
      </c>
      <c r="W394" s="92">
        <f t="shared" si="345"/>
        <v>24035</v>
      </c>
      <c r="X394" s="92">
        <f t="shared" si="345"/>
        <v>27070</v>
      </c>
      <c r="Y394" s="92">
        <f t="shared" si="345"/>
        <v>28735</v>
      </c>
      <c r="Z394" s="92">
        <f t="shared" si="345"/>
        <v>30475</v>
      </c>
      <c r="AA394" s="92">
        <f t="shared" si="346"/>
        <v>32360</v>
      </c>
      <c r="AB394" s="92">
        <f t="shared" si="346"/>
        <v>34400</v>
      </c>
      <c r="AC394" s="92">
        <f t="shared" si="346"/>
        <v>56800</v>
      </c>
      <c r="AD394" s="92">
        <f t="shared" si="346"/>
        <v>59975</v>
      </c>
      <c r="AE394" s="92">
        <f t="shared" si="346"/>
        <v>66880</v>
      </c>
      <c r="AF394" s="92">
        <f t="shared" si="346"/>
        <v>68995</v>
      </c>
      <c r="AG394" s="92">
        <f t="shared" si="346"/>
        <v>71165</v>
      </c>
      <c r="AH394" s="92">
        <f t="shared" si="346"/>
        <v>73075</v>
      </c>
      <c r="AI394" s="92">
        <f t="shared" si="346"/>
        <v>74985</v>
      </c>
      <c r="AJ394" s="92">
        <f t="shared" si="346"/>
        <v>0</v>
      </c>
      <c r="AK394" s="92">
        <f t="shared" si="347"/>
        <v>0</v>
      </c>
      <c r="AL394" s="92">
        <f t="shared" si="347"/>
        <v>0</v>
      </c>
      <c r="AM394" s="92">
        <f t="shared" si="347"/>
        <v>0</v>
      </c>
      <c r="AN394" s="92">
        <f t="shared" si="347"/>
        <v>0</v>
      </c>
      <c r="AO394" s="92">
        <f t="shared" si="347"/>
        <v>0</v>
      </c>
      <c r="AP394" s="92">
        <f t="shared" si="347"/>
        <v>0</v>
      </c>
      <c r="AQ394" s="92">
        <f t="shared" si="347"/>
        <v>0</v>
      </c>
      <c r="AR394" s="92">
        <f t="shared" si="347"/>
        <v>0</v>
      </c>
      <c r="AS394" s="92">
        <f t="shared" si="347"/>
        <v>0</v>
      </c>
    </row>
    <row r="395" spans="1:49">
      <c r="B395" s="43" t="s">
        <v>635</v>
      </c>
      <c r="C395" s="136"/>
      <c r="D395" s="44"/>
      <c r="E395" s="65">
        <f>SUM(F395:AS395)</f>
        <v>16808200</v>
      </c>
      <c r="F395" s="862">
        <f t="shared" ref="F395:AS395" si="348">SUM(F391:F394)</f>
        <v>200000</v>
      </c>
      <c r="G395" s="862">
        <f t="shared" si="348"/>
        <v>187100</v>
      </c>
      <c r="H395" s="862">
        <f t="shared" si="348"/>
        <v>186800</v>
      </c>
      <c r="I395" s="862">
        <f t="shared" si="348"/>
        <v>173800</v>
      </c>
      <c r="J395" s="862">
        <f t="shared" si="348"/>
        <v>160500</v>
      </c>
      <c r="K395" s="862">
        <f t="shared" si="348"/>
        <v>148300</v>
      </c>
      <c r="L395" s="862">
        <f t="shared" si="348"/>
        <v>156400</v>
      </c>
      <c r="M395" s="862">
        <f t="shared" si="348"/>
        <v>166100</v>
      </c>
      <c r="N395" s="862">
        <f t="shared" si="348"/>
        <v>175900</v>
      </c>
      <c r="O395" s="862">
        <f t="shared" si="348"/>
        <v>202800</v>
      </c>
      <c r="P395" s="862">
        <f t="shared" si="348"/>
        <v>238100</v>
      </c>
      <c r="Q395" s="862">
        <f t="shared" si="348"/>
        <v>194200</v>
      </c>
      <c r="R395" s="862">
        <f t="shared" si="348"/>
        <v>272100</v>
      </c>
      <c r="S395" s="862">
        <f t="shared" si="348"/>
        <v>296700</v>
      </c>
      <c r="T395" s="862">
        <f t="shared" si="348"/>
        <v>344500</v>
      </c>
      <c r="U395" s="862">
        <f t="shared" si="348"/>
        <v>301300</v>
      </c>
      <c r="V395" s="862">
        <f t="shared" si="348"/>
        <v>424600</v>
      </c>
      <c r="W395" s="862">
        <f t="shared" si="348"/>
        <v>480700</v>
      </c>
      <c r="X395" s="862">
        <f t="shared" si="348"/>
        <v>541400</v>
      </c>
      <c r="Y395" s="862">
        <f t="shared" si="348"/>
        <v>574700</v>
      </c>
      <c r="Z395" s="862">
        <f t="shared" si="348"/>
        <v>609500</v>
      </c>
      <c r="AA395" s="862">
        <f t="shared" si="348"/>
        <v>647200</v>
      </c>
      <c r="AB395" s="862">
        <f t="shared" si="348"/>
        <v>688000</v>
      </c>
      <c r="AC395" s="862">
        <f t="shared" si="348"/>
        <v>1136000</v>
      </c>
      <c r="AD395" s="862">
        <f t="shared" si="348"/>
        <v>1199500</v>
      </c>
      <c r="AE395" s="862">
        <f t="shared" si="348"/>
        <v>1337600</v>
      </c>
      <c r="AF395" s="862">
        <f t="shared" si="348"/>
        <v>1379900</v>
      </c>
      <c r="AG395" s="862">
        <f t="shared" si="348"/>
        <v>1423300</v>
      </c>
      <c r="AH395" s="862">
        <f t="shared" si="348"/>
        <v>1461500</v>
      </c>
      <c r="AI395" s="862">
        <f t="shared" si="348"/>
        <v>1499700</v>
      </c>
      <c r="AJ395" s="862">
        <f t="shared" si="348"/>
        <v>0</v>
      </c>
      <c r="AK395" s="862">
        <f t="shared" si="348"/>
        <v>0</v>
      </c>
      <c r="AL395" s="862">
        <f t="shared" si="348"/>
        <v>0</v>
      </c>
      <c r="AM395" s="862">
        <f t="shared" si="348"/>
        <v>0</v>
      </c>
      <c r="AN395" s="862">
        <f t="shared" si="348"/>
        <v>0</v>
      </c>
      <c r="AO395" s="862">
        <f t="shared" si="348"/>
        <v>0</v>
      </c>
      <c r="AP395" s="862">
        <f t="shared" si="348"/>
        <v>0</v>
      </c>
      <c r="AQ395" s="862">
        <f t="shared" si="348"/>
        <v>0</v>
      </c>
      <c r="AR395" s="862">
        <f t="shared" si="348"/>
        <v>0</v>
      </c>
      <c r="AS395" s="862">
        <f t="shared" si="348"/>
        <v>0</v>
      </c>
    </row>
    <row r="396" spans="1:49">
      <c r="B396" s="43" t="s">
        <v>1602</v>
      </c>
      <c r="C396" s="136"/>
      <c r="E396" s="65">
        <f>SUM(F396:AS396)</f>
        <v>0</v>
      </c>
      <c r="F396" s="92">
        <f>+F450-F395</f>
        <v>0</v>
      </c>
      <c r="G396" s="92">
        <f t="shared" ref="G396:AS396" si="349">+G395-G447</f>
        <v>0</v>
      </c>
      <c r="H396" s="92">
        <f t="shared" si="349"/>
        <v>0</v>
      </c>
      <c r="I396" s="92">
        <f t="shared" si="349"/>
        <v>0</v>
      </c>
      <c r="J396" s="92">
        <f t="shared" si="349"/>
        <v>0</v>
      </c>
      <c r="K396" s="92">
        <f t="shared" si="349"/>
        <v>0</v>
      </c>
      <c r="L396" s="92">
        <f t="shared" si="349"/>
        <v>0</v>
      </c>
      <c r="M396" s="92">
        <f t="shared" si="349"/>
        <v>0</v>
      </c>
      <c r="N396" s="92">
        <f t="shared" si="349"/>
        <v>0</v>
      </c>
      <c r="O396" s="92">
        <f t="shared" si="349"/>
        <v>0</v>
      </c>
      <c r="P396" s="92">
        <f t="shared" si="349"/>
        <v>0</v>
      </c>
      <c r="Q396" s="92">
        <f t="shared" si="349"/>
        <v>0</v>
      </c>
      <c r="R396" s="92">
        <f t="shared" si="349"/>
        <v>0</v>
      </c>
      <c r="S396" s="92">
        <f t="shared" si="349"/>
        <v>0</v>
      </c>
      <c r="T396" s="92">
        <f t="shared" si="349"/>
        <v>0</v>
      </c>
      <c r="U396" s="92">
        <f t="shared" si="349"/>
        <v>0</v>
      </c>
      <c r="V396" s="92">
        <f t="shared" si="349"/>
        <v>0</v>
      </c>
      <c r="W396" s="92">
        <f t="shared" si="349"/>
        <v>0</v>
      </c>
      <c r="X396" s="92">
        <f t="shared" si="349"/>
        <v>0</v>
      </c>
      <c r="Y396" s="92">
        <f t="shared" si="349"/>
        <v>0</v>
      </c>
      <c r="Z396" s="92">
        <f t="shared" si="349"/>
        <v>0</v>
      </c>
      <c r="AA396" s="92">
        <f t="shared" si="349"/>
        <v>0</v>
      </c>
      <c r="AB396" s="92">
        <f t="shared" si="349"/>
        <v>0</v>
      </c>
      <c r="AC396" s="92">
        <f t="shared" si="349"/>
        <v>0</v>
      </c>
      <c r="AD396" s="92">
        <f t="shared" si="349"/>
        <v>0</v>
      </c>
      <c r="AE396" s="92">
        <f t="shared" si="349"/>
        <v>0</v>
      </c>
      <c r="AF396" s="92">
        <f t="shared" si="349"/>
        <v>0</v>
      </c>
      <c r="AG396" s="92">
        <f t="shared" si="349"/>
        <v>0</v>
      </c>
      <c r="AH396" s="92">
        <f t="shared" si="349"/>
        <v>0</v>
      </c>
      <c r="AI396" s="92">
        <f t="shared" si="349"/>
        <v>0</v>
      </c>
      <c r="AJ396" s="92">
        <f t="shared" si="349"/>
        <v>0</v>
      </c>
      <c r="AK396" s="92">
        <f t="shared" si="349"/>
        <v>0</v>
      </c>
      <c r="AL396" s="92">
        <f t="shared" si="349"/>
        <v>0</v>
      </c>
      <c r="AM396" s="92">
        <f t="shared" si="349"/>
        <v>0</v>
      </c>
      <c r="AN396" s="92">
        <f t="shared" si="349"/>
        <v>0</v>
      </c>
      <c r="AO396" s="92">
        <f t="shared" si="349"/>
        <v>0</v>
      </c>
      <c r="AP396" s="92">
        <f t="shared" si="349"/>
        <v>0</v>
      </c>
      <c r="AQ396" s="92">
        <f t="shared" si="349"/>
        <v>0</v>
      </c>
      <c r="AR396" s="92">
        <f t="shared" si="349"/>
        <v>0</v>
      </c>
      <c r="AS396" s="92">
        <f t="shared" si="349"/>
        <v>0</v>
      </c>
    </row>
    <row r="397" spans="1:49">
      <c r="B397" s="43"/>
      <c r="C397" s="136"/>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2"/>
      <c r="AK397" s="92"/>
      <c r="AL397" s="92"/>
      <c r="AM397" s="92"/>
      <c r="AN397" s="92"/>
      <c r="AO397" s="92"/>
      <c r="AP397" s="92"/>
      <c r="AQ397" s="92"/>
      <c r="AR397" s="92"/>
      <c r="AS397" s="92"/>
    </row>
    <row r="398" spans="1:49" ht="15.6">
      <c r="B398" s="861" t="s">
        <v>1601</v>
      </c>
      <c r="C398" s="136"/>
      <c r="E398" s="65"/>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2"/>
      <c r="AK398" s="92"/>
      <c r="AL398" s="92"/>
      <c r="AM398" s="92"/>
      <c r="AN398" s="92"/>
      <c r="AO398" s="92"/>
      <c r="AP398" s="92"/>
      <c r="AQ398" s="92"/>
      <c r="AR398" s="92"/>
      <c r="AS398" s="92"/>
    </row>
    <row r="399" spans="1:49">
      <c r="B399" s="43" t="s">
        <v>756</v>
      </c>
      <c r="C399" s="136"/>
      <c r="F399" s="92">
        <f t="shared" ref="F399:AS399" si="350">IF(F$395&gt;0,+$C391*F$472,0)</f>
        <v>-7875</v>
      </c>
      <c r="G399" s="92">
        <f t="shared" si="350"/>
        <v>-990</v>
      </c>
      <c r="H399" s="92">
        <f t="shared" si="350"/>
        <v>-7605</v>
      </c>
      <c r="I399" s="92">
        <f t="shared" si="350"/>
        <v>-7425</v>
      </c>
      <c r="J399" s="92">
        <f t="shared" si="350"/>
        <v>-6615</v>
      </c>
      <c r="K399" s="92">
        <f t="shared" si="350"/>
        <v>3645</v>
      </c>
      <c r="L399" s="92">
        <f t="shared" si="350"/>
        <v>4140</v>
      </c>
      <c r="M399" s="92">
        <f t="shared" si="350"/>
        <v>4635</v>
      </c>
      <c r="N399" s="92">
        <f t="shared" si="350"/>
        <v>9990</v>
      </c>
      <c r="O399" s="92">
        <f t="shared" si="350"/>
        <v>13140</v>
      </c>
      <c r="P399" s="92">
        <f t="shared" si="350"/>
        <v>-22365</v>
      </c>
      <c r="Q399" s="92">
        <f t="shared" si="350"/>
        <v>32265</v>
      </c>
      <c r="R399" s="92">
        <f t="shared" si="350"/>
        <v>7830</v>
      </c>
      <c r="S399" s="92">
        <f t="shared" si="350"/>
        <v>17685</v>
      </c>
      <c r="T399" s="92">
        <f t="shared" si="350"/>
        <v>-21825</v>
      </c>
      <c r="U399" s="92">
        <f t="shared" si="350"/>
        <v>53055</v>
      </c>
      <c r="V399" s="92">
        <f t="shared" si="350"/>
        <v>20700</v>
      </c>
      <c r="W399" s="92">
        <f t="shared" si="350"/>
        <v>21690</v>
      </c>
      <c r="X399" s="92">
        <f t="shared" si="350"/>
        <v>10035</v>
      </c>
      <c r="Y399" s="92">
        <f t="shared" si="350"/>
        <v>10215</v>
      </c>
      <c r="Z399" s="92">
        <f t="shared" si="350"/>
        <v>11070</v>
      </c>
      <c r="AA399" s="92">
        <f t="shared" si="350"/>
        <v>12060</v>
      </c>
      <c r="AB399" s="92">
        <f t="shared" si="350"/>
        <v>193005</v>
      </c>
      <c r="AC399" s="92">
        <f t="shared" si="350"/>
        <v>16110</v>
      </c>
      <c r="AD399" s="92">
        <f t="shared" si="350"/>
        <v>49995</v>
      </c>
      <c r="AE399" s="92">
        <f t="shared" si="350"/>
        <v>5715</v>
      </c>
      <c r="AF399" s="92">
        <f t="shared" si="350"/>
        <v>5625</v>
      </c>
      <c r="AG399" s="92">
        <f t="shared" si="350"/>
        <v>1620</v>
      </c>
      <c r="AH399" s="92">
        <f t="shared" si="350"/>
        <v>855</v>
      </c>
      <c r="AI399" s="92">
        <f t="shared" si="350"/>
        <v>855</v>
      </c>
      <c r="AJ399" s="92">
        <f t="shared" si="350"/>
        <v>0</v>
      </c>
      <c r="AK399" s="92">
        <f t="shared" si="350"/>
        <v>0</v>
      </c>
      <c r="AL399" s="92">
        <f t="shared" si="350"/>
        <v>0</v>
      </c>
      <c r="AM399" s="92">
        <f t="shared" si="350"/>
        <v>0</v>
      </c>
      <c r="AN399" s="92">
        <f t="shared" si="350"/>
        <v>0</v>
      </c>
      <c r="AO399" s="92">
        <f t="shared" si="350"/>
        <v>0</v>
      </c>
      <c r="AP399" s="92">
        <f t="shared" si="350"/>
        <v>0</v>
      </c>
      <c r="AQ399" s="92">
        <f t="shared" si="350"/>
        <v>0</v>
      </c>
      <c r="AR399" s="92">
        <f t="shared" si="350"/>
        <v>0</v>
      </c>
      <c r="AS399" s="92">
        <f t="shared" si="350"/>
        <v>0</v>
      </c>
    </row>
    <row r="400" spans="1:49">
      <c r="B400" s="43" t="s">
        <v>757</v>
      </c>
      <c r="C400" s="136"/>
      <c r="F400" s="92">
        <f t="shared" ref="F400:AS400" si="351">IF(F$395&gt;0,+$C392*F$472,0)</f>
        <v>0</v>
      </c>
      <c r="G400" s="92">
        <f t="shared" si="351"/>
        <v>0</v>
      </c>
      <c r="H400" s="92">
        <f t="shared" si="351"/>
        <v>0</v>
      </c>
      <c r="I400" s="92">
        <f t="shared" si="351"/>
        <v>0</v>
      </c>
      <c r="J400" s="92">
        <f t="shared" si="351"/>
        <v>0</v>
      </c>
      <c r="K400" s="92">
        <f t="shared" si="351"/>
        <v>0</v>
      </c>
      <c r="L400" s="92">
        <f t="shared" si="351"/>
        <v>0</v>
      </c>
      <c r="M400" s="92">
        <f t="shared" si="351"/>
        <v>0</v>
      </c>
      <c r="N400" s="92">
        <f t="shared" si="351"/>
        <v>0</v>
      </c>
      <c r="O400" s="92">
        <f t="shared" si="351"/>
        <v>0</v>
      </c>
      <c r="P400" s="92">
        <f t="shared" si="351"/>
        <v>0</v>
      </c>
      <c r="Q400" s="92">
        <f t="shared" si="351"/>
        <v>0</v>
      </c>
      <c r="R400" s="92">
        <f t="shared" si="351"/>
        <v>0</v>
      </c>
      <c r="S400" s="92">
        <f t="shared" si="351"/>
        <v>0</v>
      </c>
      <c r="T400" s="92">
        <f t="shared" si="351"/>
        <v>0</v>
      </c>
      <c r="U400" s="92">
        <f t="shared" si="351"/>
        <v>0</v>
      </c>
      <c r="V400" s="92">
        <f t="shared" si="351"/>
        <v>0</v>
      </c>
      <c r="W400" s="92">
        <f t="shared" si="351"/>
        <v>0</v>
      </c>
      <c r="X400" s="92">
        <f t="shared" si="351"/>
        <v>0</v>
      </c>
      <c r="Y400" s="92">
        <f t="shared" si="351"/>
        <v>0</v>
      </c>
      <c r="Z400" s="92">
        <f t="shared" si="351"/>
        <v>0</v>
      </c>
      <c r="AA400" s="92">
        <f t="shared" si="351"/>
        <v>0</v>
      </c>
      <c r="AB400" s="92">
        <f t="shared" si="351"/>
        <v>0</v>
      </c>
      <c r="AC400" s="92">
        <f t="shared" si="351"/>
        <v>0</v>
      </c>
      <c r="AD400" s="92">
        <f t="shared" si="351"/>
        <v>0</v>
      </c>
      <c r="AE400" s="92">
        <f t="shared" si="351"/>
        <v>0</v>
      </c>
      <c r="AF400" s="92">
        <f t="shared" si="351"/>
        <v>0</v>
      </c>
      <c r="AG400" s="92">
        <f t="shared" si="351"/>
        <v>0</v>
      </c>
      <c r="AH400" s="92">
        <f t="shared" si="351"/>
        <v>0</v>
      </c>
      <c r="AI400" s="92">
        <f t="shared" si="351"/>
        <v>0</v>
      </c>
      <c r="AJ400" s="92">
        <f t="shared" si="351"/>
        <v>0</v>
      </c>
      <c r="AK400" s="92">
        <f t="shared" si="351"/>
        <v>0</v>
      </c>
      <c r="AL400" s="92">
        <f t="shared" si="351"/>
        <v>0</v>
      </c>
      <c r="AM400" s="92">
        <f t="shared" si="351"/>
        <v>0</v>
      </c>
      <c r="AN400" s="92">
        <f t="shared" si="351"/>
        <v>0</v>
      </c>
      <c r="AO400" s="92">
        <f t="shared" si="351"/>
        <v>0</v>
      </c>
      <c r="AP400" s="92">
        <f t="shared" si="351"/>
        <v>0</v>
      </c>
      <c r="AQ400" s="92">
        <f t="shared" si="351"/>
        <v>0</v>
      </c>
      <c r="AR400" s="92">
        <f t="shared" si="351"/>
        <v>0</v>
      </c>
      <c r="AS400" s="92">
        <f t="shared" si="351"/>
        <v>0</v>
      </c>
    </row>
    <row r="401" spans="2:45">
      <c r="B401" s="43" t="s">
        <v>849</v>
      </c>
      <c r="C401" s="136"/>
      <c r="F401" s="92">
        <f t="shared" ref="F401:AS401" si="352">IF(F$395&gt;0,+$C393*F$472,0)</f>
        <v>-8750</v>
      </c>
      <c r="G401" s="92">
        <f t="shared" si="352"/>
        <v>-1100</v>
      </c>
      <c r="H401" s="92">
        <f t="shared" si="352"/>
        <v>-8450</v>
      </c>
      <c r="I401" s="92">
        <f t="shared" si="352"/>
        <v>-8250</v>
      </c>
      <c r="J401" s="92">
        <f t="shared" si="352"/>
        <v>-7350</v>
      </c>
      <c r="K401" s="92">
        <f t="shared" si="352"/>
        <v>4050</v>
      </c>
      <c r="L401" s="92">
        <f t="shared" si="352"/>
        <v>4600</v>
      </c>
      <c r="M401" s="92">
        <f t="shared" si="352"/>
        <v>5150</v>
      </c>
      <c r="N401" s="92">
        <f t="shared" si="352"/>
        <v>11100</v>
      </c>
      <c r="O401" s="92">
        <f t="shared" si="352"/>
        <v>14600</v>
      </c>
      <c r="P401" s="92">
        <f t="shared" si="352"/>
        <v>-24850</v>
      </c>
      <c r="Q401" s="92">
        <f t="shared" si="352"/>
        <v>35850</v>
      </c>
      <c r="R401" s="92">
        <f t="shared" si="352"/>
        <v>8700</v>
      </c>
      <c r="S401" s="92">
        <f t="shared" si="352"/>
        <v>19650</v>
      </c>
      <c r="T401" s="92">
        <f t="shared" si="352"/>
        <v>-24250</v>
      </c>
      <c r="U401" s="92">
        <f t="shared" si="352"/>
        <v>58950</v>
      </c>
      <c r="V401" s="92">
        <f t="shared" si="352"/>
        <v>23000</v>
      </c>
      <c r="W401" s="92">
        <f t="shared" si="352"/>
        <v>24100</v>
      </c>
      <c r="X401" s="92">
        <f t="shared" si="352"/>
        <v>11150</v>
      </c>
      <c r="Y401" s="92">
        <f t="shared" si="352"/>
        <v>11350</v>
      </c>
      <c r="Z401" s="92">
        <f t="shared" si="352"/>
        <v>12300</v>
      </c>
      <c r="AA401" s="92">
        <f t="shared" si="352"/>
        <v>13400</v>
      </c>
      <c r="AB401" s="92">
        <f t="shared" si="352"/>
        <v>214450</v>
      </c>
      <c r="AC401" s="92">
        <f t="shared" si="352"/>
        <v>17900</v>
      </c>
      <c r="AD401" s="92">
        <f t="shared" si="352"/>
        <v>55550</v>
      </c>
      <c r="AE401" s="92">
        <f t="shared" si="352"/>
        <v>6350</v>
      </c>
      <c r="AF401" s="92">
        <f t="shared" si="352"/>
        <v>6250</v>
      </c>
      <c r="AG401" s="92">
        <f t="shared" si="352"/>
        <v>1800</v>
      </c>
      <c r="AH401" s="92">
        <f t="shared" si="352"/>
        <v>950</v>
      </c>
      <c r="AI401" s="92">
        <f t="shared" si="352"/>
        <v>950</v>
      </c>
      <c r="AJ401" s="92">
        <f t="shared" si="352"/>
        <v>0</v>
      </c>
      <c r="AK401" s="92">
        <f t="shared" si="352"/>
        <v>0</v>
      </c>
      <c r="AL401" s="92">
        <f t="shared" si="352"/>
        <v>0</v>
      </c>
      <c r="AM401" s="92">
        <f t="shared" si="352"/>
        <v>0</v>
      </c>
      <c r="AN401" s="92">
        <f t="shared" si="352"/>
        <v>0</v>
      </c>
      <c r="AO401" s="92">
        <f t="shared" si="352"/>
        <v>0</v>
      </c>
      <c r="AP401" s="92">
        <f t="shared" si="352"/>
        <v>0</v>
      </c>
      <c r="AQ401" s="92">
        <f t="shared" si="352"/>
        <v>0</v>
      </c>
      <c r="AR401" s="92">
        <f t="shared" si="352"/>
        <v>0</v>
      </c>
      <c r="AS401" s="92">
        <f t="shared" si="352"/>
        <v>0</v>
      </c>
    </row>
    <row r="402" spans="2:45">
      <c r="B402" s="43" t="s">
        <v>1600</v>
      </c>
      <c r="C402" s="136"/>
      <c r="F402" s="92">
        <f t="shared" ref="F402:AS402" si="353">IF(F$395&gt;0,+$C394*F$472,0)</f>
        <v>-875</v>
      </c>
      <c r="G402" s="92">
        <f t="shared" si="353"/>
        <v>-110</v>
      </c>
      <c r="H402" s="92">
        <f t="shared" si="353"/>
        <v>-845</v>
      </c>
      <c r="I402" s="92">
        <f t="shared" si="353"/>
        <v>-825</v>
      </c>
      <c r="J402" s="92">
        <f t="shared" si="353"/>
        <v>-735</v>
      </c>
      <c r="K402" s="92">
        <f t="shared" si="353"/>
        <v>405</v>
      </c>
      <c r="L402" s="92">
        <f t="shared" si="353"/>
        <v>460</v>
      </c>
      <c r="M402" s="92">
        <f t="shared" si="353"/>
        <v>515</v>
      </c>
      <c r="N402" s="92">
        <f t="shared" si="353"/>
        <v>1110</v>
      </c>
      <c r="O402" s="92">
        <f t="shared" si="353"/>
        <v>1460</v>
      </c>
      <c r="P402" s="92">
        <f t="shared" si="353"/>
        <v>-2485</v>
      </c>
      <c r="Q402" s="92">
        <f t="shared" si="353"/>
        <v>3585</v>
      </c>
      <c r="R402" s="92">
        <f t="shared" si="353"/>
        <v>870</v>
      </c>
      <c r="S402" s="92">
        <f t="shared" si="353"/>
        <v>1965</v>
      </c>
      <c r="T402" s="92">
        <f t="shared" si="353"/>
        <v>-2425</v>
      </c>
      <c r="U402" s="92">
        <f t="shared" si="353"/>
        <v>5895</v>
      </c>
      <c r="V402" s="92">
        <f t="shared" si="353"/>
        <v>2300</v>
      </c>
      <c r="W402" s="92">
        <f t="shared" si="353"/>
        <v>2410</v>
      </c>
      <c r="X402" s="92">
        <f t="shared" si="353"/>
        <v>1115</v>
      </c>
      <c r="Y402" s="92">
        <f t="shared" si="353"/>
        <v>1135</v>
      </c>
      <c r="Z402" s="92">
        <f t="shared" si="353"/>
        <v>1230</v>
      </c>
      <c r="AA402" s="92">
        <f t="shared" si="353"/>
        <v>1340</v>
      </c>
      <c r="AB402" s="92">
        <f t="shared" si="353"/>
        <v>21445</v>
      </c>
      <c r="AC402" s="92">
        <f t="shared" si="353"/>
        <v>1790</v>
      </c>
      <c r="AD402" s="92">
        <f t="shared" si="353"/>
        <v>5555</v>
      </c>
      <c r="AE402" s="92">
        <f t="shared" si="353"/>
        <v>635</v>
      </c>
      <c r="AF402" s="92">
        <f t="shared" si="353"/>
        <v>625</v>
      </c>
      <c r="AG402" s="92">
        <f t="shared" si="353"/>
        <v>180</v>
      </c>
      <c r="AH402" s="92">
        <f t="shared" si="353"/>
        <v>95</v>
      </c>
      <c r="AI402" s="92">
        <f t="shared" si="353"/>
        <v>95</v>
      </c>
      <c r="AJ402" s="92">
        <f t="shared" si="353"/>
        <v>0</v>
      </c>
      <c r="AK402" s="92">
        <f t="shared" si="353"/>
        <v>0</v>
      </c>
      <c r="AL402" s="92">
        <f t="shared" si="353"/>
        <v>0</v>
      </c>
      <c r="AM402" s="92">
        <f t="shared" si="353"/>
        <v>0</v>
      </c>
      <c r="AN402" s="92">
        <f t="shared" si="353"/>
        <v>0</v>
      </c>
      <c r="AO402" s="92">
        <f t="shared" si="353"/>
        <v>0</v>
      </c>
      <c r="AP402" s="92">
        <f t="shared" si="353"/>
        <v>0</v>
      </c>
      <c r="AQ402" s="92">
        <f t="shared" si="353"/>
        <v>0</v>
      </c>
      <c r="AR402" s="92">
        <f t="shared" si="353"/>
        <v>0</v>
      </c>
      <c r="AS402" s="92">
        <f t="shared" si="353"/>
        <v>0</v>
      </c>
    </row>
    <row r="403" spans="2:45">
      <c r="B403" s="43" t="s">
        <v>635</v>
      </c>
      <c r="C403" s="136"/>
      <c r="E403" s="65">
        <f>SUM(F403:AS403)</f>
        <v>958300</v>
      </c>
      <c r="F403" s="862">
        <f t="shared" ref="F403:AS403" si="354">SUM(F399:F402)</f>
        <v>-17500</v>
      </c>
      <c r="G403" s="862">
        <f t="shared" si="354"/>
        <v>-2200</v>
      </c>
      <c r="H403" s="862">
        <f t="shared" si="354"/>
        <v>-16900</v>
      </c>
      <c r="I403" s="862">
        <f t="shared" si="354"/>
        <v>-16500</v>
      </c>
      <c r="J403" s="862">
        <f t="shared" si="354"/>
        <v>-14700</v>
      </c>
      <c r="K403" s="862">
        <f t="shared" si="354"/>
        <v>8100</v>
      </c>
      <c r="L403" s="862">
        <f t="shared" si="354"/>
        <v>9200</v>
      </c>
      <c r="M403" s="862">
        <f t="shared" si="354"/>
        <v>10300</v>
      </c>
      <c r="N403" s="862">
        <f t="shared" si="354"/>
        <v>22200</v>
      </c>
      <c r="O403" s="862">
        <f t="shared" si="354"/>
        <v>29200</v>
      </c>
      <c r="P403" s="862">
        <f t="shared" si="354"/>
        <v>-49700</v>
      </c>
      <c r="Q403" s="862">
        <f t="shared" si="354"/>
        <v>71700</v>
      </c>
      <c r="R403" s="862">
        <f t="shared" si="354"/>
        <v>17400</v>
      </c>
      <c r="S403" s="862">
        <f t="shared" si="354"/>
        <v>39300</v>
      </c>
      <c r="T403" s="862">
        <f t="shared" si="354"/>
        <v>-48500</v>
      </c>
      <c r="U403" s="862">
        <f t="shared" si="354"/>
        <v>117900</v>
      </c>
      <c r="V403" s="862">
        <f t="shared" si="354"/>
        <v>46000</v>
      </c>
      <c r="W403" s="862">
        <f t="shared" si="354"/>
        <v>48200</v>
      </c>
      <c r="X403" s="862">
        <f t="shared" si="354"/>
        <v>22300</v>
      </c>
      <c r="Y403" s="862">
        <f t="shared" si="354"/>
        <v>22700</v>
      </c>
      <c r="Z403" s="862">
        <f t="shared" si="354"/>
        <v>24600</v>
      </c>
      <c r="AA403" s="862">
        <f t="shared" si="354"/>
        <v>26800</v>
      </c>
      <c r="AB403" s="862">
        <f t="shared" si="354"/>
        <v>428900</v>
      </c>
      <c r="AC403" s="862">
        <f t="shared" si="354"/>
        <v>35800</v>
      </c>
      <c r="AD403" s="862">
        <f t="shared" si="354"/>
        <v>111100</v>
      </c>
      <c r="AE403" s="862">
        <f t="shared" si="354"/>
        <v>12700</v>
      </c>
      <c r="AF403" s="862">
        <f t="shared" si="354"/>
        <v>12500</v>
      </c>
      <c r="AG403" s="862">
        <f t="shared" si="354"/>
        <v>3600</v>
      </c>
      <c r="AH403" s="862">
        <f t="shared" si="354"/>
        <v>1900</v>
      </c>
      <c r="AI403" s="862">
        <f t="shared" si="354"/>
        <v>1900</v>
      </c>
      <c r="AJ403" s="862">
        <f t="shared" si="354"/>
        <v>0</v>
      </c>
      <c r="AK403" s="862">
        <f t="shared" si="354"/>
        <v>0</v>
      </c>
      <c r="AL403" s="862">
        <f t="shared" si="354"/>
        <v>0</v>
      </c>
      <c r="AM403" s="862">
        <f t="shared" si="354"/>
        <v>0</v>
      </c>
      <c r="AN403" s="862">
        <f t="shared" si="354"/>
        <v>0</v>
      </c>
      <c r="AO403" s="862">
        <f t="shared" si="354"/>
        <v>0</v>
      </c>
      <c r="AP403" s="862">
        <f t="shared" si="354"/>
        <v>0</v>
      </c>
      <c r="AQ403" s="862">
        <f t="shared" si="354"/>
        <v>0</v>
      </c>
      <c r="AR403" s="862">
        <f t="shared" si="354"/>
        <v>0</v>
      </c>
      <c r="AS403" s="862">
        <f t="shared" si="354"/>
        <v>0</v>
      </c>
    </row>
    <row r="404" spans="2:45">
      <c r="B404" s="43"/>
      <c r="C404" s="136"/>
      <c r="E404" s="65"/>
      <c r="F404" s="135"/>
      <c r="G404" s="135"/>
      <c r="H404" s="135"/>
      <c r="I404" s="135"/>
      <c r="J404" s="135"/>
      <c r="K404" s="135"/>
      <c r="L404" s="135"/>
      <c r="M404" s="135"/>
      <c r="N404" s="135"/>
      <c r="O404" s="135"/>
      <c r="P404" s="135"/>
      <c r="Q404" s="135"/>
      <c r="R404" s="135"/>
      <c r="S404" s="135"/>
      <c r="T404" s="135"/>
      <c r="U404" s="135"/>
      <c r="V404" s="135"/>
      <c r="W404" s="135"/>
      <c r="X404" s="135"/>
      <c r="Y404" s="135"/>
      <c r="Z404" s="135"/>
      <c r="AA404" s="135"/>
      <c r="AB404" s="135"/>
      <c r="AC404" s="135"/>
      <c r="AD404" s="135"/>
      <c r="AE404" s="135"/>
      <c r="AF404" s="135"/>
      <c r="AG404" s="135"/>
      <c r="AH404" s="135"/>
      <c r="AI404" s="135"/>
      <c r="AJ404" s="135"/>
      <c r="AK404" s="135"/>
      <c r="AL404" s="135"/>
      <c r="AM404" s="135"/>
      <c r="AN404" s="135"/>
      <c r="AO404" s="135"/>
      <c r="AP404" s="135"/>
      <c r="AQ404" s="135"/>
      <c r="AR404" s="135"/>
      <c r="AS404" s="135"/>
    </row>
    <row r="405" spans="2:45" ht="15.6">
      <c r="B405" s="861" t="s">
        <v>507</v>
      </c>
      <c r="C405" s="136"/>
      <c r="F405" s="92">
        <f>(+F395+F395+F398)/2</f>
        <v>200000</v>
      </c>
      <c r="G405" s="92">
        <f t="shared" ref="G405:AS405" si="355">(+G395+G395+G398)/2</f>
        <v>187100</v>
      </c>
      <c r="H405" s="92">
        <f t="shared" si="355"/>
        <v>186800</v>
      </c>
      <c r="I405" s="92">
        <f t="shared" si="355"/>
        <v>173800</v>
      </c>
      <c r="J405" s="92">
        <f t="shared" si="355"/>
        <v>160500</v>
      </c>
      <c r="K405" s="92">
        <f t="shared" si="355"/>
        <v>148300</v>
      </c>
      <c r="L405" s="92">
        <f t="shared" si="355"/>
        <v>156400</v>
      </c>
      <c r="M405" s="92">
        <f t="shared" si="355"/>
        <v>166100</v>
      </c>
      <c r="N405" s="92">
        <f t="shared" si="355"/>
        <v>175900</v>
      </c>
      <c r="O405" s="92">
        <f t="shared" si="355"/>
        <v>202800</v>
      </c>
      <c r="P405" s="92">
        <f t="shared" si="355"/>
        <v>238100</v>
      </c>
      <c r="Q405" s="92">
        <f t="shared" si="355"/>
        <v>194200</v>
      </c>
      <c r="R405" s="92">
        <f t="shared" si="355"/>
        <v>272100</v>
      </c>
      <c r="S405" s="92">
        <f t="shared" si="355"/>
        <v>296700</v>
      </c>
      <c r="T405" s="92">
        <f t="shared" si="355"/>
        <v>344500</v>
      </c>
      <c r="U405" s="92">
        <f t="shared" si="355"/>
        <v>301300</v>
      </c>
      <c r="V405" s="92">
        <f t="shared" si="355"/>
        <v>424600</v>
      </c>
      <c r="W405" s="92">
        <f t="shared" si="355"/>
        <v>480700</v>
      </c>
      <c r="X405" s="92">
        <f t="shared" si="355"/>
        <v>541400</v>
      </c>
      <c r="Y405" s="92">
        <f t="shared" si="355"/>
        <v>574700</v>
      </c>
      <c r="Z405" s="92">
        <f t="shared" si="355"/>
        <v>609500</v>
      </c>
      <c r="AA405" s="92">
        <f t="shared" si="355"/>
        <v>647200</v>
      </c>
      <c r="AB405" s="92">
        <f t="shared" si="355"/>
        <v>688000</v>
      </c>
      <c r="AC405" s="92">
        <f t="shared" si="355"/>
        <v>1136000</v>
      </c>
      <c r="AD405" s="92">
        <f t="shared" si="355"/>
        <v>1199500</v>
      </c>
      <c r="AE405" s="92">
        <f t="shared" si="355"/>
        <v>1337600</v>
      </c>
      <c r="AF405" s="92">
        <f t="shared" si="355"/>
        <v>1379900</v>
      </c>
      <c r="AG405" s="92">
        <f t="shared" si="355"/>
        <v>1423300</v>
      </c>
      <c r="AH405" s="92">
        <f t="shared" si="355"/>
        <v>1461500</v>
      </c>
      <c r="AI405" s="92">
        <f t="shared" si="355"/>
        <v>1499700</v>
      </c>
      <c r="AJ405" s="92">
        <f t="shared" si="355"/>
        <v>0</v>
      </c>
      <c r="AK405" s="92">
        <f t="shared" si="355"/>
        <v>0</v>
      </c>
      <c r="AL405" s="92">
        <f t="shared" si="355"/>
        <v>0</v>
      </c>
      <c r="AM405" s="92">
        <f t="shared" si="355"/>
        <v>0</v>
      </c>
      <c r="AN405" s="92">
        <f t="shared" si="355"/>
        <v>0</v>
      </c>
      <c r="AO405" s="92">
        <f t="shared" si="355"/>
        <v>0</v>
      </c>
      <c r="AP405" s="92">
        <f t="shared" si="355"/>
        <v>0</v>
      </c>
      <c r="AQ405" s="92">
        <f t="shared" si="355"/>
        <v>0</v>
      </c>
      <c r="AR405" s="92">
        <f t="shared" si="355"/>
        <v>0</v>
      </c>
      <c r="AS405" s="92">
        <f t="shared" si="355"/>
        <v>0</v>
      </c>
    </row>
    <row r="406" spans="2:45">
      <c r="B406" s="43"/>
      <c r="C406" s="136"/>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2"/>
      <c r="AK406" s="92"/>
      <c r="AL406" s="92"/>
      <c r="AM406" s="92"/>
      <c r="AN406" s="92"/>
      <c r="AO406" s="92"/>
      <c r="AP406" s="92"/>
      <c r="AQ406" s="92"/>
      <c r="AR406" s="92"/>
      <c r="AS406" s="92"/>
    </row>
    <row r="407" spans="2:45" ht="15.6">
      <c r="B407" s="861" t="s">
        <v>508</v>
      </c>
      <c r="C407" s="136"/>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2"/>
      <c r="AK407" s="92"/>
      <c r="AL407" s="92"/>
      <c r="AM407" s="92"/>
      <c r="AN407" s="92"/>
      <c r="AO407" s="92"/>
      <c r="AP407" s="92"/>
      <c r="AQ407" s="92"/>
      <c r="AR407" s="92"/>
      <c r="AS407" s="92"/>
    </row>
    <row r="408" spans="2:45">
      <c r="B408" s="43" t="s">
        <v>756</v>
      </c>
      <c r="C408" s="136"/>
      <c r="F408" s="92">
        <f t="shared" ref="F408:J411" si="356">(+F391+(F391+F399))/2</f>
        <v>86062.5</v>
      </c>
      <c r="G408" s="92">
        <f t="shared" si="356"/>
        <v>83700</v>
      </c>
      <c r="H408" s="92">
        <f t="shared" si="356"/>
        <v>80257.5</v>
      </c>
      <c r="I408" s="92">
        <f t="shared" si="356"/>
        <v>74497.5</v>
      </c>
      <c r="J408" s="92">
        <f t="shared" si="356"/>
        <v>68917.5</v>
      </c>
      <c r="K408" s="92">
        <f t="shared" ref="K408:AS408" si="357">(+K391+(K391+K399))/2</f>
        <v>68557.5</v>
      </c>
      <c r="L408" s="92">
        <f t="shared" si="357"/>
        <v>72450</v>
      </c>
      <c r="M408" s="92">
        <f t="shared" si="357"/>
        <v>77062.5</v>
      </c>
      <c r="N408" s="92">
        <f t="shared" si="357"/>
        <v>84150</v>
      </c>
      <c r="O408" s="92">
        <f t="shared" si="357"/>
        <v>97830</v>
      </c>
      <c r="P408" s="92">
        <f t="shared" si="357"/>
        <v>95962.5</v>
      </c>
      <c r="Q408" s="92">
        <f t="shared" si="357"/>
        <v>103522.5</v>
      </c>
      <c r="R408" s="92">
        <f t="shared" si="357"/>
        <v>126360</v>
      </c>
      <c r="S408" s="92">
        <f t="shared" si="357"/>
        <v>142357.5</v>
      </c>
      <c r="T408" s="92">
        <f t="shared" si="357"/>
        <v>144112.5</v>
      </c>
      <c r="U408" s="92">
        <f t="shared" si="357"/>
        <v>162112.5</v>
      </c>
      <c r="V408" s="92">
        <f t="shared" si="357"/>
        <v>201420</v>
      </c>
      <c r="W408" s="92">
        <f t="shared" si="357"/>
        <v>227160</v>
      </c>
      <c r="X408" s="92">
        <f t="shared" si="357"/>
        <v>140367.5</v>
      </c>
      <c r="Y408" s="92">
        <f t="shared" si="357"/>
        <v>148782.5</v>
      </c>
      <c r="Z408" s="92">
        <f t="shared" si="357"/>
        <v>157910</v>
      </c>
      <c r="AA408" s="92">
        <f t="shared" si="357"/>
        <v>167830</v>
      </c>
      <c r="AB408" s="92">
        <f t="shared" si="357"/>
        <v>268502.5</v>
      </c>
      <c r="AC408" s="92">
        <f t="shared" si="357"/>
        <v>292055</v>
      </c>
      <c r="AD408" s="92">
        <f t="shared" si="357"/>
        <v>324872.5</v>
      </c>
      <c r="AE408" s="92">
        <f t="shared" si="357"/>
        <v>337257.5</v>
      </c>
      <c r="AF408" s="92">
        <f t="shared" si="357"/>
        <v>347787.5</v>
      </c>
      <c r="AG408" s="92">
        <f t="shared" si="357"/>
        <v>356635</v>
      </c>
      <c r="AH408" s="92">
        <f t="shared" si="357"/>
        <v>365802.5</v>
      </c>
      <c r="AI408" s="92">
        <f t="shared" si="357"/>
        <v>375352.5</v>
      </c>
      <c r="AJ408" s="92">
        <f t="shared" si="357"/>
        <v>0</v>
      </c>
      <c r="AK408" s="92">
        <f t="shared" si="357"/>
        <v>0</v>
      </c>
      <c r="AL408" s="92">
        <f t="shared" si="357"/>
        <v>0</v>
      </c>
      <c r="AM408" s="92">
        <f t="shared" si="357"/>
        <v>0</v>
      </c>
      <c r="AN408" s="92">
        <f t="shared" si="357"/>
        <v>0</v>
      </c>
      <c r="AO408" s="92">
        <f t="shared" si="357"/>
        <v>0</v>
      </c>
      <c r="AP408" s="92">
        <f t="shared" si="357"/>
        <v>0</v>
      </c>
      <c r="AQ408" s="92">
        <f t="shared" si="357"/>
        <v>0</v>
      </c>
      <c r="AR408" s="92">
        <f t="shared" si="357"/>
        <v>0</v>
      </c>
      <c r="AS408" s="92">
        <f t="shared" si="357"/>
        <v>0</v>
      </c>
    </row>
    <row r="409" spans="2:45">
      <c r="B409" s="43" t="s">
        <v>757</v>
      </c>
      <c r="C409" s="136"/>
      <c r="F409" s="92">
        <f t="shared" si="356"/>
        <v>0</v>
      </c>
      <c r="G409" s="92">
        <f t="shared" si="356"/>
        <v>0</v>
      </c>
      <c r="H409" s="92">
        <f t="shared" si="356"/>
        <v>0</v>
      </c>
      <c r="I409" s="92">
        <f t="shared" si="356"/>
        <v>0</v>
      </c>
      <c r="J409" s="92">
        <f t="shared" si="356"/>
        <v>0</v>
      </c>
      <c r="K409" s="92">
        <f t="shared" ref="K409:AS409" si="358">(+K392+(K392+K400))/2</f>
        <v>0</v>
      </c>
      <c r="L409" s="92">
        <f t="shared" si="358"/>
        <v>0</v>
      </c>
      <c r="M409" s="92">
        <f t="shared" si="358"/>
        <v>0</v>
      </c>
      <c r="N409" s="92">
        <f t="shared" si="358"/>
        <v>0</v>
      </c>
      <c r="O409" s="92">
        <f t="shared" si="358"/>
        <v>0</v>
      </c>
      <c r="P409" s="92">
        <f t="shared" si="358"/>
        <v>0</v>
      </c>
      <c r="Q409" s="92">
        <f t="shared" si="358"/>
        <v>0</v>
      </c>
      <c r="R409" s="92">
        <f t="shared" si="358"/>
        <v>0</v>
      </c>
      <c r="S409" s="92">
        <f t="shared" si="358"/>
        <v>0</v>
      </c>
      <c r="T409" s="92">
        <f t="shared" si="358"/>
        <v>0</v>
      </c>
      <c r="U409" s="92">
        <f t="shared" si="358"/>
        <v>0</v>
      </c>
      <c r="V409" s="92">
        <f t="shared" si="358"/>
        <v>0</v>
      </c>
      <c r="W409" s="92">
        <f t="shared" si="358"/>
        <v>0</v>
      </c>
      <c r="X409" s="92">
        <f t="shared" si="358"/>
        <v>0</v>
      </c>
      <c r="Y409" s="92">
        <f t="shared" si="358"/>
        <v>0</v>
      </c>
      <c r="Z409" s="92">
        <f t="shared" si="358"/>
        <v>0</v>
      </c>
      <c r="AA409" s="92">
        <f t="shared" si="358"/>
        <v>0</v>
      </c>
      <c r="AB409" s="92">
        <f t="shared" si="358"/>
        <v>0</v>
      </c>
      <c r="AC409" s="92">
        <f t="shared" si="358"/>
        <v>0</v>
      </c>
      <c r="AD409" s="92">
        <f t="shared" si="358"/>
        <v>0</v>
      </c>
      <c r="AE409" s="92">
        <f t="shared" si="358"/>
        <v>0</v>
      </c>
      <c r="AF409" s="92">
        <f t="shared" si="358"/>
        <v>0</v>
      </c>
      <c r="AG409" s="92">
        <f t="shared" si="358"/>
        <v>0</v>
      </c>
      <c r="AH409" s="92">
        <f t="shared" si="358"/>
        <v>0</v>
      </c>
      <c r="AI409" s="92">
        <f t="shared" si="358"/>
        <v>0</v>
      </c>
      <c r="AJ409" s="92">
        <f t="shared" si="358"/>
        <v>0</v>
      </c>
      <c r="AK409" s="92">
        <f t="shared" si="358"/>
        <v>0</v>
      </c>
      <c r="AL409" s="92">
        <f t="shared" si="358"/>
        <v>0</v>
      </c>
      <c r="AM409" s="92">
        <f t="shared" si="358"/>
        <v>0</v>
      </c>
      <c r="AN409" s="92">
        <f t="shared" si="358"/>
        <v>0</v>
      </c>
      <c r="AO409" s="92">
        <f t="shared" si="358"/>
        <v>0</v>
      </c>
      <c r="AP409" s="92">
        <f t="shared" si="358"/>
        <v>0</v>
      </c>
      <c r="AQ409" s="92">
        <f t="shared" si="358"/>
        <v>0</v>
      </c>
      <c r="AR409" s="92">
        <f t="shared" si="358"/>
        <v>0</v>
      </c>
      <c r="AS409" s="92">
        <f t="shared" si="358"/>
        <v>0</v>
      </c>
    </row>
    <row r="410" spans="2:45">
      <c r="B410" s="43" t="s">
        <v>849</v>
      </c>
      <c r="C410" s="136"/>
      <c r="F410" s="92">
        <f t="shared" si="356"/>
        <v>95625</v>
      </c>
      <c r="G410" s="92">
        <f t="shared" si="356"/>
        <v>93000</v>
      </c>
      <c r="H410" s="92">
        <f t="shared" si="356"/>
        <v>89175</v>
      </c>
      <c r="I410" s="92">
        <f t="shared" si="356"/>
        <v>82775</v>
      </c>
      <c r="J410" s="92">
        <f t="shared" si="356"/>
        <v>76575</v>
      </c>
      <c r="K410" s="92">
        <f t="shared" ref="K410:AS410" si="359">(+K393+(K393+K401))/2</f>
        <v>76175</v>
      </c>
      <c r="L410" s="92">
        <f t="shared" si="359"/>
        <v>80500</v>
      </c>
      <c r="M410" s="92">
        <f t="shared" si="359"/>
        <v>85625</v>
      </c>
      <c r="N410" s="92">
        <f t="shared" si="359"/>
        <v>93500</v>
      </c>
      <c r="O410" s="92">
        <f t="shared" si="359"/>
        <v>108700</v>
      </c>
      <c r="P410" s="92">
        <f t="shared" si="359"/>
        <v>106625</v>
      </c>
      <c r="Q410" s="92">
        <f t="shared" si="359"/>
        <v>115025</v>
      </c>
      <c r="R410" s="92">
        <f t="shared" si="359"/>
        <v>140400</v>
      </c>
      <c r="S410" s="92">
        <f t="shared" si="359"/>
        <v>158175</v>
      </c>
      <c r="T410" s="92">
        <f t="shared" si="359"/>
        <v>160125</v>
      </c>
      <c r="U410" s="92">
        <f t="shared" si="359"/>
        <v>180125</v>
      </c>
      <c r="V410" s="92">
        <f t="shared" si="359"/>
        <v>223800</v>
      </c>
      <c r="W410" s="92">
        <f t="shared" si="359"/>
        <v>252400</v>
      </c>
      <c r="X410" s="92">
        <f t="shared" si="359"/>
        <v>384555</v>
      </c>
      <c r="Y410" s="92">
        <f t="shared" si="359"/>
        <v>407965</v>
      </c>
      <c r="Z410" s="92">
        <f t="shared" si="359"/>
        <v>432800</v>
      </c>
      <c r="AA410" s="92">
        <f t="shared" si="359"/>
        <v>459740</v>
      </c>
      <c r="AB410" s="92">
        <f t="shared" si="359"/>
        <v>588825</v>
      </c>
      <c r="AC410" s="92">
        <f t="shared" si="359"/>
        <v>804150</v>
      </c>
      <c r="AD410" s="92">
        <f t="shared" si="359"/>
        <v>867425</v>
      </c>
      <c r="AE410" s="92">
        <f t="shared" si="359"/>
        <v>939494.99999999988</v>
      </c>
      <c r="AF410" s="92">
        <f t="shared" si="359"/>
        <v>969054.99999999988</v>
      </c>
      <c r="AG410" s="92">
        <f t="shared" si="359"/>
        <v>997209.99999999988</v>
      </c>
      <c r="AH410" s="92">
        <f t="shared" si="359"/>
        <v>1023524.9999999999</v>
      </c>
      <c r="AI410" s="92">
        <f t="shared" si="359"/>
        <v>1050265</v>
      </c>
      <c r="AJ410" s="92">
        <f t="shared" si="359"/>
        <v>0</v>
      </c>
      <c r="AK410" s="92">
        <f t="shared" si="359"/>
        <v>0</v>
      </c>
      <c r="AL410" s="92">
        <f t="shared" si="359"/>
        <v>0</v>
      </c>
      <c r="AM410" s="92">
        <f t="shared" si="359"/>
        <v>0</v>
      </c>
      <c r="AN410" s="92">
        <f t="shared" si="359"/>
        <v>0</v>
      </c>
      <c r="AO410" s="92">
        <f t="shared" si="359"/>
        <v>0</v>
      </c>
      <c r="AP410" s="92">
        <f t="shared" si="359"/>
        <v>0</v>
      </c>
      <c r="AQ410" s="92">
        <f t="shared" si="359"/>
        <v>0</v>
      </c>
      <c r="AR410" s="92">
        <f t="shared" si="359"/>
        <v>0</v>
      </c>
      <c r="AS410" s="92">
        <f t="shared" si="359"/>
        <v>0</v>
      </c>
    </row>
    <row r="411" spans="2:45">
      <c r="B411" s="43" t="s">
        <v>1600</v>
      </c>
      <c r="C411" s="136"/>
      <c r="F411" s="92">
        <f t="shared" si="356"/>
        <v>9562.5</v>
      </c>
      <c r="G411" s="92">
        <f t="shared" si="356"/>
        <v>9300</v>
      </c>
      <c r="H411" s="92">
        <f t="shared" si="356"/>
        <v>8917.5</v>
      </c>
      <c r="I411" s="92">
        <f t="shared" si="356"/>
        <v>8277.5</v>
      </c>
      <c r="J411" s="92">
        <f t="shared" si="356"/>
        <v>7657.5</v>
      </c>
      <c r="K411" s="92">
        <f t="shared" ref="K411:AS411" si="360">(+K394+(K394+K402))/2</f>
        <v>7617.5</v>
      </c>
      <c r="L411" s="92">
        <f t="shared" si="360"/>
        <v>8050</v>
      </c>
      <c r="M411" s="92">
        <f t="shared" si="360"/>
        <v>8562.5</v>
      </c>
      <c r="N411" s="92">
        <f t="shared" si="360"/>
        <v>9350</v>
      </c>
      <c r="O411" s="92">
        <f t="shared" si="360"/>
        <v>10870</v>
      </c>
      <c r="P411" s="92">
        <f t="shared" si="360"/>
        <v>10662.5</v>
      </c>
      <c r="Q411" s="92">
        <f t="shared" si="360"/>
        <v>11502.5</v>
      </c>
      <c r="R411" s="92">
        <f t="shared" si="360"/>
        <v>14040</v>
      </c>
      <c r="S411" s="92">
        <f t="shared" si="360"/>
        <v>15817.5</v>
      </c>
      <c r="T411" s="92">
        <f t="shared" si="360"/>
        <v>16012.5</v>
      </c>
      <c r="U411" s="92">
        <f t="shared" si="360"/>
        <v>18012.5</v>
      </c>
      <c r="V411" s="92">
        <f t="shared" si="360"/>
        <v>22380</v>
      </c>
      <c r="W411" s="92">
        <f t="shared" si="360"/>
        <v>25240</v>
      </c>
      <c r="X411" s="92">
        <f t="shared" si="360"/>
        <v>27627.5</v>
      </c>
      <c r="Y411" s="92">
        <f t="shared" si="360"/>
        <v>29302.5</v>
      </c>
      <c r="Z411" s="92">
        <f t="shared" si="360"/>
        <v>31090</v>
      </c>
      <c r="AA411" s="92">
        <f t="shared" si="360"/>
        <v>33030</v>
      </c>
      <c r="AB411" s="92">
        <f t="shared" si="360"/>
        <v>45122.5</v>
      </c>
      <c r="AC411" s="92">
        <f t="shared" si="360"/>
        <v>57695</v>
      </c>
      <c r="AD411" s="92">
        <f t="shared" si="360"/>
        <v>62752.5</v>
      </c>
      <c r="AE411" s="92">
        <f t="shared" si="360"/>
        <v>67197.5</v>
      </c>
      <c r="AF411" s="92">
        <f t="shared" si="360"/>
        <v>69307.5</v>
      </c>
      <c r="AG411" s="92">
        <f t="shared" si="360"/>
        <v>71255</v>
      </c>
      <c r="AH411" s="92">
        <f t="shared" si="360"/>
        <v>73122.5</v>
      </c>
      <c r="AI411" s="92">
        <f t="shared" si="360"/>
        <v>75032.5</v>
      </c>
      <c r="AJ411" s="92">
        <f t="shared" si="360"/>
        <v>0</v>
      </c>
      <c r="AK411" s="92">
        <f t="shared" si="360"/>
        <v>0</v>
      </c>
      <c r="AL411" s="92">
        <f t="shared" si="360"/>
        <v>0</v>
      </c>
      <c r="AM411" s="92">
        <f t="shared" si="360"/>
        <v>0</v>
      </c>
      <c r="AN411" s="92">
        <f t="shared" si="360"/>
        <v>0</v>
      </c>
      <c r="AO411" s="92">
        <f t="shared" si="360"/>
        <v>0</v>
      </c>
      <c r="AP411" s="92">
        <f t="shared" si="360"/>
        <v>0</v>
      </c>
      <c r="AQ411" s="92">
        <f t="shared" si="360"/>
        <v>0</v>
      </c>
      <c r="AR411" s="92">
        <f t="shared" si="360"/>
        <v>0</v>
      </c>
      <c r="AS411" s="92">
        <f t="shared" si="360"/>
        <v>0</v>
      </c>
    </row>
    <row r="412" spans="2:45">
      <c r="B412" s="43" t="s">
        <v>635</v>
      </c>
      <c r="C412" s="136"/>
      <c r="E412" s="65">
        <f>SUM(F412:AS412)</f>
        <v>17287350</v>
      </c>
      <c r="F412" s="862">
        <f t="shared" ref="F412:AS412" si="361">SUM(F408:F411)</f>
        <v>191250</v>
      </c>
      <c r="G412" s="862">
        <f t="shared" si="361"/>
        <v>186000</v>
      </c>
      <c r="H412" s="862">
        <f t="shared" si="361"/>
        <v>178350</v>
      </c>
      <c r="I412" s="862">
        <f t="shared" si="361"/>
        <v>165550</v>
      </c>
      <c r="J412" s="862">
        <f t="shared" si="361"/>
        <v>153150</v>
      </c>
      <c r="K412" s="862">
        <f t="shared" si="361"/>
        <v>152350</v>
      </c>
      <c r="L412" s="862">
        <f t="shared" si="361"/>
        <v>161000</v>
      </c>
      <c r="M412" s="862">
        <f t="shared" si="361"/>
        <v>171250</v>
      </c>
      <c r="N412" s="862">
        <f t="shared" si="361"/>
        <v>187000</v>
      </c>
      <c r="O412" s="862">
        <f t="shared" si="361"/>
        <v>217400</v>
      </c>
      <c r="P412" s="862">
        <f t="shared" si="361"/>
        <v>213250</v>
      </c>
      <c r="Q412" s="862">
        <f t="shared" si="361"/>
        <v>230050</v>
      </c>
      <c r="R412" s="862">
        <f t="shared" si="361"/>
        <v>280800</v>
      </c>
      <c r="S412" s="862">
        <f t="shared" si="361"/>
        <v>316350</v>
      </c>
      <c r="T412" s="862">
        <f t="shared" si="361"/>
        <v>320250</v>
      </c>
      <c r="U412" s="862">
        <f t="shared" si="361"/>
        <v>360250</v>
      </c>
      <c r="V412" s="862">
        <f t="shared" si="361"/>
        <v>447600</v>
      </c>
      <c r="W412" s="862">
        <f t="shared" si="361"/>
        <v>504800</v>
      </c>
      <c r="X412" s="862">
        <f t="shared" si="361"/>
        <v>552550</v>
      </c>
      <c r="Y412" s="862">
        <f t="shared" si="361"/>
        <v>586050</v>
      </c>
      <c r="Z412" s="862">
        <f t="shared" si="361"/>
        <v>621800</v>
      </c>
      <c r="AA412" s="862">
        <f t="shared" si="361"/>
        <v>660600</v>
      </c>
      <c r="AB412" s="862">
        <f t="shared" si="361"/>
        <v>902450</v>
      </c>
      <c r="AC412" s="862">
        <f t="shared" si="361"/>
        <v>1153900</v>
      </c>
      <c r="AD412" s="862">
        <f t="shared" si="361"/>
        <v>1255050</v>
      </c>
      <c r="AE412" s="862">
        <f t="shared" si="361"/>
        <v>1343950</v>
      </c>
      <c r="AF412" s="862">
        <f t="shared" si="361"/>
        <v>1386150</v>
      </c>
      <c r="AG412" s="862">
        <f t="shared" si="361"/>
        <v>1425100</v>
      </c>
      <c r="AH412" s="862">
        <f t="shared" si="361"/>
        <v>1462450</v>
      </c>
      <c r="AI412" s="862">
        <f t="shared" si="361"/>
        <v>1500650</v>
      </c>
      <c r="AJ412" s="862">
        <f t="shared" si="361"/>
        <v>0</v>
      </c>
      <c r="AK412" s="862">
        <f t="shared" si="361"/>
        <v>0</v>
      </c>
      <c r="AL412" s="862">
        <f t="shared" si="361"/>
        <v>0</v>
      </c>
      <c r="AM412" s="862">
        <f t="shared" si="361"/>
        <v>0</v>
      </c>
      <c r="AN412" s="862">
        <f t="shared" si="361"/>
        <v>0</v>
      </c>
      <c r="AO412" s="862">
        <f t="shared" si="361"/>
        <v>0</v>
      </c>
      <c r="AP412" s="862">
        <f t="shared" si="361"/>
        <v>0</v>
      </c>
      <c r="AQ412" s="862">
        <f t="shared" si="361"/>
        <v>0</v>
      </c>
      <c r="AR412" s="862">
        <f t="shared" si="361"/>
        <v>0</v>
      </c>
      <c r="AS412" s="862">
        <f t="shared" si="361"/>
        <v>0</v>
      </c>
    </row>
    <row r="413" spans="2:45">
      <c r="B413" s="43"/>
      <c r="C413" s="136"/>
      <c r="F413" s="135">
        <f t="shared" ref="F413:AS413" si="362">+F478-F412</f>
        <v>0</v>
      </c>
      <c r="G413" s="135">
        <f t="shared" si="362"/>
        <v>0</v>
      </c>
      <c r="H413" s="135">
        <f t="shared" si="362"/>
        <v>0</v>
      </c>
      <c r="I413" s="135">
        <f t="shared" si="362"/>
        <v>0</v>
      </c>
      <c r="J413" s="135">
        <f t="shared" si="362"/>
        <v>0</v>
      </c>
      <c r="K413" s="135">
        <f t="shared" si="362"/>
        <v>0</v>
      </c>
      <c r="L413" s="135">
        <f t="shared" si="362"/>
        <v>0</v>
      </c>
      <c r="M413" s="135">
        <f t="shared" si="362"/>
        <v>0</v>
      </c>
      <c r="N413" s="135">
        <f t="shared" si="362"/>
        <v>0</v>
      </c>
      <c r="O413" s="135">
        <f t="shared" si="362"/>
        <v>0</v>
      </c>
      <c r="P413" s="135">
        <f t="shared" si="362"/>
        <v>0</v>
      </c>
      <c r="Q413" s="135">
        <f t="shared" si="362"/>
        <v>0</v>
      </c>
      <c r="R413" s="135">
        <f t="shared" si="362"/>
        <v>0</v>
      </c>
      <c r="S413" s="135">
        <f t="shared" si="362"/>
        <v>0</v>
      </c>
      <c r="T413" s="135">
        <f t="shared" si="362"/>
        <v>0</v>
      </c>
      <c r="U413" s="135">
        <f t="shared" si="362"/>
        <v>0</v>
      </c>
      <c r="V413" s="135">
        <f t="shared" si="362"/>
        <v>0</v>
      </c>
      <c r="W413" s="135">
        <f t="shared" si="362"/>
        <v>0</v>
      </c>
      <c r="X413" s="135">
        <f t="shared" si="362"/>
        <v>0</v>
      </c>
      <c r="Y413" s="135">
        <f t="shared" si="362"/>
        <v>0</v>
      </c>
      <c r="Z413" s="135">
        <f t="shared" si="362"/>
        <v>0</v>
      </c>
      <c r="AA413" s="135">
        <f t="shared" si="362"/>
        <v>0</v>
      </c>
      <c r="AB413" s="135">
        <f t="shared" si="362"/>
        <v>0</v>
      </c>
      <c r="AC413" s="135">
        <f t="shared" si="362"/>
        <v>0</v>
      </c>
      <c r="AD413" s="135">
        <f t="shared" si="362"/>
        <v>0</v>
      </c>
      <c r="AE413" s="135">
        <f t="shared" si="362"/>
        <v>0</v>
      </c>
      <c r="AF413" s="135">
        <f t="shared" si="362"/>
        <v>0</v>
      </c>
      <c r="AG413" s="135">
        <f t="shared" si="362"/>
        <v>0</v>
      </c>
      <c r="AH413" s="135">
        <f t="shared" si="362"/>
        <v>0</v>
      </c>
      <c r="AI413" s="135">
        <f t="shared" si="362"/>
        <v>0</v>
      </c>
      <c r="AJ413" s="135">
        <f t="shared" si="362"/>
        <v>0</v>
      </c>
      <c r="AK413" s="135">
        <f t="shared" si="362"/>
        <v>0</v>
      </c>
      <c r="AL413" s="135">
        <f t="shared" si="362"/>
        <v>0</v>
      </c>
      <c r="AM413" s="135">
        <f t="shared" si="362"/>
        <v>0</v>
      </c>
      <c r="AN413" s="135">
        <f t="shared" si="362"/>
        <v>0</v>
      </c>
      <c r="AO413" s="135">
        <f t="shared" si="362"/>
        <v>0</v>
      </c>
      <c r="AP413" s="135">
        <f t="shared" si="362"/>
        <v>0</v>
      </c>
      <c r="AQ413" s="135">
        <f t="shared" si="362"/>
        <v>0</v>
      </c>
      <c r="AR413" s="135">
        <f t="shared" si="362"/>
        <v>0</v>
      </c>
      <c r="AS413" s="135">
        <f t="shared" si="362"/>
        <v>0</v>
      </c>
    </row>
    <row r="414" spans="2:45" ht="17.399999999999999">
      <c r="B414" s="894" t="s">
        <v>292</v>
      </c>
      <c r="C414" s="895"/>
      <c r="D414" s="13"/>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2"/>
      <c r="AK414" s="92"/>
      <c r="AL414" s="92"/>
      <c r="AM414" s="92"/>
      <c r="AN414" s="92"/>
      <c r="AO414" s="92"/>
      <c r="AP414" s="92"/>
      <c r="AQ414" s="92"/>
      <c r="AR414" s="92"/>
      <c r="AS414" s="92"/>
    </row>
    <row r="415" spans="2:45">
      <c r="B415" s="43" t="s">
        <v>756</v>
      </c>
      <c r="C415" s="90">
        <f>+Stock_Rate</f>
        <v>7.4999999999999997E-2</v>
      </c>
      <c r="D415" s="86"/>
      <c r="E415" s="65">
        <f t="shared" ref="E415:E420" si="363">SUM(F415:AS415)</f>
        <v>396000</v>
      </c>
      <c r="F415" s="92">
        <f t="shared" ref="F415:AS415" si="364">ROUND(+F408*$C415/Round_To,0)*Round_To</f>
        <v>6500</v>
      </c>
      <c r="G415" s="92">
        <f t="shared" si="364"/>
        <v>6300</v>
      </c>
      <c r="H415" s="92">
        <f t="shared" si="364"/>
        <v>6000</v>
      </c>
      <c r="I415" s="92">
        <f t="shared" si="364"/>
        <v>5600</v>
      </c>
      <c r="J415" s="92">
        <f t="shared" si="364"/>
        <v>5200</v>
      </c>
      <c r="K415" s="92">
        <f t="shared" si="364"/>
        <v>5100</v>
      </c>
      <c r="L415" s="92">
        <f t="shared" si="364"/>
        <v>5400</v>
      </c>
      <c r="M415" s="92">
        <f t="shared" si="364"/>
        <v>5800</v>
      </c>
      <c r="N415" s="92">
        <f t="shared" si="364"/>
        <v>6300</v>
      </c>
      <c r="O415" s="92">
        <f t="shared" si="364"/>
        <v>7300</v>
      </c>
      <c r="P415" s="92">
        <f t="shared" si="364"/>
        <v>7200</v>
      </c>
      <c r="Q415" s="92">
        <f t="shared" si="364"/>
        <v>7800</v>
      </c>
      <c r="R415" s="92">
        <f t="shared" si="364"/>
        <v>9500</v>
      </c>
      <c r="S415" s="92">
        <f t="shared" si="364"/>
        <v>10700</v>
      </c>
      <c r="T415" s="92">
        <f t="shared" si="364"/>
        <v>10800</v>
      </c>
      <c r="U415" s="92">
        <f t="shared" si="364"/>
        <v>12200</v>
      </c>
      <c r="V415" s="92">
        <f t="shared" si="364"/>
        <v>15100</v>
      </c>
      <c r="W415" s="92">
        <f t="shared" si="364"/>
        <v>17000</v>
      </c>
      <c r="X415" s="92">
        <f t="shared" si="364"/>
        <v>10500</v>
      </c>
      <c r="Y415" s="92">
        <f t="shared" si="364"/>
        <v>11200</v>
      </c>
      <c r="Z415" s="92">
        <f t="shared" si="364"/>
        <v>11800</v>
      </c>
      <c r="AA415" s="92">
        <f t="shared" si="364"/>
        <v>12600</v>
      </c>
      <c r="AB415" s="92">
        <f t="shared" si="364"/>
        <v>20100</v>
      </c>
      <c r="AC415" s="92">
        <f t="shared" si="364"/>
        <v>21900</v>
      </c>
      <c r="AD415" s="92">
        <f t="shared" si="364"/>
        <v>24400</v>
      </c>
      <c r="AE415" s="92">
        <f t="shared" si="364"/>
        <v>25300</v>
      </c>
      <c r="AF415" s="92">
        <f t="shared" si="364"/>
        <v>26100</v>
      </c>
      <c r="AG415" s="92">
        <f t="shared" si="364"/>
        <v>26700</v>
      </c>
      <c r="AH415" s="92">
        <f t="shared" si="364"/>
        <v>27400</v>
      </c>
      <c r="AI415" s="92">
        <f t="shared" si="364"/>
        <v>28200</v>
      </c>
      <c r="AJ415" s="92">
        <f t="shared" si="364"/>
        <v>0</v>
      </c>
      <c r="AK415" s="92">
        <f t="shared" si="364"/>
        <v>0</v>
      </c>
      <c r="AL415" s="92">
        <f t="shared" si="364"/>
        <v>0</v>
      </c>
      <c r="AM415" s="92">
        <f t="shared" si="364"/>
        <v>0</v>
      </c>
      <c r="AN415" s="92">
        <f t="shared" si="364"/>
        <v>0</v>
      </c>
      <c r="AO415" s="92">
        <f t="shared" si="364"/>
        <v>0</v>
      </c>
      <c r="AP415" s="92">
        <f t="shared" si="364"/>
        <v>0</v>
      </c>
      <c r="AQ415" s="92">
        <f t="shared" si="364"/>
        <v>0</v>
      </c>
      <c r="AR415" s="92">
        <f t="shared" si="364"/>
        <v>0</v>
      </c>
      <c r="AS415" s="92">
        <f t="shared" si="364"/>
        <v>0</v>
      </c>
    </row>
    <row r="416" spans="2:45">
      <c r="B416" s="43" t="s">
        <v>757</v>
      </c>
      <c r="C416" s="90">
        <f>+Bond_Rate</f>
        <v>4.4999999999999998E-2</v>
      </c>
      <c r="D416" s="86"/>
      <c r="E416" s="65">
        <f t="shared" si="363"/>
        <v>0</v>
      </c>
      <c r="F416" s="92">
        <f t="shared" ref="F416:AS416" si="365">ROUND(+F409*$C416/Round_To,0)*Round_To</f>
        <v>0</v>
      </c>
      <c r="G416" s="92">
        <f t="shared" si="365"/>
        <v>0</v>
      </c>
      <c r="H416" s="92">
        <f t="shared" si="365"/>
        <v>0</v>
      </c>
      <c r="I416" s="92">
        <f t="shared" si="365"/>
        <v>0</v>
      </c>
      <c r="J416" s="92">
        <f t="shared" si="365"/>
        <v>0</v>
      </c>
      <c r="K416" s="92">
        <f t="shared" si="365"/>
        <v>0</v>
      </c>
      <c r="L416" s="92">
        <f t="shared" si="365"/>
        <v>0</v>
      </c>
      <c r="M416" s="92">
        <f t="shared" si="365"/>
        <v>0</v>
      </c>
      <c r="N416" s="92">
        <f t="shared" si="365"/>
        <v>0</v>
      </c>
      <c r="O416" s="92">
        <f t="shared" si="365"/>
        <v>0</v>
      </c>
      <c r="P416" s="92">
        <f t="shared" si="365"/>
        <v>0</v>
      </c>
      <c r="Q416" s="92">
        <f t="shared" si="365"/>
        <v>0</v>
      </c>
      <c r="R416" s="92">
        <f t="shared" si="365"/>
        <v>0</v>
      </c>
      <c r="S416" s="92">
        <f t="shared" si="365"/>
        <v>0</v>
      </c>
      <c r="T416" s="92">
        <f t="shared" si="365"/>
        <v>0</v>
      </c>
      <c r="U416" s="92">
        <f t="shared" si="365"/>
        <v>0</v>
      </c>
      <c r="V416" s="92">
        <f t="shared" si="365"/>
        <v>0</v>
      </c>
      <c r="W416" s="92">
        <f t="shared" si="365"/>
        <v>0</v>
      </c>
      <c r="X416" s="92">
        <f t="shared" si="365"/>
        <v>0</v>
      </c>
      <c r="Y416" s="92">
        <f t="shared" si="365"/>
        <v>0</v>
      </c>
      <c r="Z416" s="92">
        <f t="shared" si="365"/>
        <v>0</v>
      </c>
      <c r="AA416" s="92">
        <f t="shared" si="365"/>
        <v>0</v>
      </c>
      <c r="AB416" s="92">
        <f t="shared" si="365"/>
        <v>0</v>
      </c>
      <c r="AC416" s="92">
        <f t="shared" si="365"/>
        <v>0</v>
      </c>
      <c r="AD416" s="92">
        <f t="shared" si="365"/>
        <v>0</v>
      </c>
      <c r="AE416" s="92">
        <f t="shared" si="365"/>
        <v>0</v>
      </c>
      <c r="AF416" s="92">
        <f t="shared" si="365"/>
        <v>0</v>
      </c>
      <c r="AG416" s="92">
        <f t="shared" si="365"/>
        <v>0</v>
      </c>
      <c r="AH416" s="92">
        <f t="shared" si="365"/>
        <v>0</v>
      </c>
      <c r="AI416" s="92">
        <f t="shared" si="365"/>
        <v>0</v>
      </c>
      <c r="AJ416" s="92">
        <f t="shared" si="365"/>
        <v>0</v>
      </c>
      <c r="AK416" s="92">
        <f t="shared" si="365"/>
        <v>0</v>
      </c>
      <c r="AL416" s="92">
        <f t="shared" si="365"/>
        <v>0</v>
      </c>
      <c r="AM416" s="92">
        <f t="shared" si="365"/>
        <v>0</v>
      </c>
      <c r="AN416" s="92">
        <f t="shared" si="365"/>
        <v>0</v>
      </c>
      <c r="AO416" s="92">
        <f t="shared" si="365"/>
        <v>0</v>
      </c>
      <c r="AP416" s="92">
        <f t="shared" si="365"/>
        <v>0</v>
      </c>
      <c r="AQ416" s="92">
        <f t="shared" si="365"/>
        <v>0</v>
      </c>
      <c r="AR416" s="92">
        <f t="shared" si="365"/>
        <v>0</v>
      </c>
      <c r="AS416" s="92">
        <f t="shared" si="365"/>
        <v>0</v>
      </c>
    </row>
    <row r="417" spans="2:45" s="569" customFormat="1">
      <c r="B417" s="872" t="s">
        <v>849</v>
      </c>
      <c r="C417" s="594">
        <f>TaxEx_Rate</f>
        <v>0.03</v>
      </c>
      <c r="D417" s="593"/>
      <c r="E417" s="873">
        <f t="shared" si="363"/>
        <v>334400</v>
      </c>
      <c r="F417" s="863">
        <f t="shared" ref="F417:AS417" si="366">ROUND(+F410*$C417/Round_To,0)*Round_To</f>
        <v>2900</v>
      </c>
      <c r="G417" s="863">
        <f t="shared" si="366"/>
        <v>2800</v>
      </c>
      <c r="H417" s="863">
        <f t="shared" si="366"/>
        <v>2700</v>
      </c>
      <c r="I417" s="863">
        <f t="shared" si="366"/>
        <v>2500</v>
      </c>
      <c r="J417" s="863">
        <f t="shared" si="366"/>
        <v>2300</v>
      </c>
      <c r="K417" s="863">
        <f t="shared" si="366"/>
        <v>2300</v>
      </c>
      <c r="L417" s="863">
        <f t="shared" si="366"/>
        <v>2400</v>
      </c>
      <c r="M417" s="863">
        <f t="shared" si="366"/>
        <v>2600</v>
      </c>
      <c r="N417" s="863">
        <f t="shared" si="366"/>
        <v>2800</v>
      </c>
      <c r="O417" s="863">
        <f t="shared" si="366"/>
        <v>3300</v>
      </c>
      <c r="P417" s="863">
        <f t="shared" si="366"/>
        <v>3200</v>
      </c>
      <c r="Q417" s="863">
        <f t="shared" si="366"/>
        <v>3500</v>
      </c>
      <c r="R417" s="863">
        <f t="shared" si="366"/>
        <v>4200</v>
      </c>
      <c r="S417" s="863">
        <f t="shared" si="366"/>
        <v>4700</v>
      </c>
      <c r="T417" s="863">
        <f t="shared" si="366"/>
        <v>4800</v>
      </c>
      <c r="U417" s="863">
        <f t="shared" si="366"/>
        <v>5400</v>
      </c>
      <c r="V417" s="863">
        <f t="shared" si="366"/>
        <v>6700</v>
      </c>
      <c r="W417" s="863">
        <f t="shared" si="366"/>
        <v>7600</v>
      </c>
      <c r="X417" s="863">
        <f t="shared" si="366"/>
        <v>11500</v>
      </c>
      <c r="Y417" s="863">
        <f t="shared" si="366"/>
        <v>12200</v>
      </c>
      <c r="Z417" s="863">
        <f t="shared" si="366"/>
        <v>13000</v>
      </c>
      <c r="AA417" s="863">
        <f t="shared" si="366"/>
        <v>13800</v>
      </c>
      <c r="AB417" s="863">
        <f t="shared" si="366"/>
        <v>17700</v>
      </c>
      <c r="AC417" s="863">
        <f t="shared" si="366"/>
        <v>24100</v>
      </c>
      <c r="AD417" s="863">
        <f t="shared" si="366"/>
        <v>26000</v>
      </c>
      <c r="AE417" s="863">
        <f t="shared" si="366"/>
        <v>28200</v>
      </c>
      <c r="AF417" s="863">
        <f t="shared" si="366"/>
        <v>29100</v>
      </c>
      <c r="AG417" s="863">
        <f t="shared" si="366"/>
        <v>29900</v>
      </c>
      <c r="AH417" s="863">
        <f t="shared" si="366"/>
        <v>30700</v>
      </c>
      <c r="AI417" s="863">
        <f t="shared" si="366"/>
        <v>31500</v>
      </c>
      <c r="AJ417" s="863">
        <f t="shared" si="366"/>
        <v>0</v>
      </c>
      <c r="AK417" s="863">
        <f t="shared" si="366"/>
        <v>0</v>
      </c>
      <c r="AL417" s="863">
        <f t="shared" si="366"/>
        <v>0</v>
      </c>
      <c r="AM417" s="863">
        <f t="shared" si="366"/>
        <v>0</v>
      </c>
      <c r="AN417" s="863">
        <f t="shared" si="366"/>
        <v>0</v>
      </c>
      <c r="AO417" s="863">
        <f t="shared" si="366"/>
        <v>0</v>
      </c>
      <c r="AP417" s="863">
        <f t="shared" si="366"/>
        <v>0</v>
      </c>
      <c r="AQ417" s="863">
        <f t="shared" si="366"/>
        <v>0</v>
      </c>
      <c r="AR417" s="863">
        <f t="shared" si="366"/>
        <v>0</v>
      </c>
      <c r="AS417" s="863">
        <f t="shared" si="366"/>
        <v>0</v>
      </c>
    </row>
    <row r="418" spans="2:45">
      <c r="B418" s="43" t="s">
        <v>1600</v>
      </c>
      <c r="C418" s="90">
        <f>+Cash_Rate</f>
        <v>1.4999999999999999E-2</v>
      </c>
      <c r="D418" s="86"/>
      <c r="E418" s="635">
        <f t="shared" si="363"/>
        <v>12700</v>
      </c>
      <c r="F418" s="92">
        <f t="shared" ref="F418:AS418" si="367">ROUND(+F411*$C418/Round_To,0)*Round_To</f>
        <v>100</v>
      </c>
      <c r="G418" s="92">
        <f t="shared" si="367"/>
        <v>100</v>
      </c>
      <c r="H418" s="92">
        <f t="shared" si="367"/>
        <v>100</v>
      </c>
      <c r="I418" s="92">
        <f t="shared" si="367"/>
        <v>100</v>
      </c>
      <c r="J418" s="92">
        <f t="shared" si="367"/>
        <v>100</v>
      </c>
      <c r="K418" s="92">
        <f t="shared" si="367"/>
        <v>100</v>
      </c>
      <c r="L418" s="92">
        <f t="shared" si="367"/>
        <v>100</v>
      </c>
      <c r="M418" s="92">
        <f t="shared" si="367"/>
        <v>100</v>
      </c>
      <c r="N418" s="92">
        <f t="shared" si="367"/>
        <v>100</v>
      </c>
      <c r="O418" s="92">
        <f t="shared" si="367"/>
        <v>200</v>
      </c>
      <c r="P418" s="92">
        <f t="shared" si="367"/>
        <v>200</v>
      </c>
      <c r="Q418" s="92">
        <f t="shared" si="367"/>
        <v>200</v>
      </c>
      <c r="R418" s="92">
        <f t="shared" si="367"/>
        <v>200</v>
      </c>
      <c r="S418" s="92">
        <f t="shared" si="367"/>
        <v>200</v>
      </c>
      <c r="T418" s="92">
        <f t="shared" si="367"/>
        <v>200</v>
      </c>
      <c r="U418" s="92">
        <f t="shared" si="367"/>
        <v>300</v>
      </c>
      <c r="V418" s="92">
        <f t="shared" si="367"/>
        <v>300</v>
      </c>
      <c r="W418" s="92">
        <f t="shared" si="367"/>
        <v>400</v>
      </c>
      <c r="X418" s="92">
        <f t="shared" si="367"/>
        <v>400</v>
      </c>
      <c r="Y418" s="92">
        <f t="shared" si="367"/>
        <v>400</v>
      </c>
      <c r="Z418" s="92">
        <f t="shared" si="367"/>
        <v>500</v>
      </c>
      <c r="AA418" s="92">
        <f t="shared" si="367"/>
        <v>500</v>
      </c>
      <c r="AB418" s="92">
        <f t="shared" si="367"/>
        <v>700</v>
      </c>
      <c r="AC418" s="92">
        <f t="shared" si="367"/>
        <v>900</v>
      </c>
      <c r="AD418" s="92">
        <f t="shared" si="367"/>
        <v>900</v>
      </c>
      <c r="AE418" s="92">
        <f t="shared" si="367"/>
        <v>1000</v>
      </c>
      <c r="AF418" s="92">
        <f t="shared" si="367"/>
        <v>1000</v>
      </c>
      <c r="AG418" s="92">
        <f t="shared" si="367"/>
        <v>1100</v>
      </c>
      <c r="AH418" s="92">
        <f t="shared" si="367"/>
        <v>1100</v>
      </c>
      <c r="AI418" s="92">
        <f t="shared" si="367"/>
        <v>1100</v>
      </c>
      <c r="AJ418" s="92">
        <f t="shared" si="367"/>
        <v>0</v>
      </c>
      <c r="AK418" s="92">
        <f t="shared" si="367"/>
        <v>0</v>
      </c>
      <c r="AL418" s="92">
        <f t="shared" si="367"/>
        <v>0</v>
      </c>
      <c r="AM418" s="92">
        <f t="shared" si="367"/>
        <v>0</v>
      </c>
      <c r="AN418" s="92">
        <f t="shared" si="367"/>
        <v>0</v>
      </c>
      <c r="AO418" s="92">
        <f t="shared" si="367"/>
        <v>0</v>
      </c>
      <c r="AP418" s="92">
        <f t="shared" si="367"/>
        <v>0</v>
      </c>
      <c r="AQ418" s="92">
        <f t="shared" si="367"/>
        <v>0</v>
      </c>
      <c r="AR418" s="92">
        <f t="shared" si="367"/>
        <v>0</v>
      </c>
      <c r="AS418" s="92">
        <f t="shared" si="367"/>
        <v>0</v>
      </c>
    </row>
    <row r="419" spans="2:45">
      <c r="B419" s="43" t="s">
        <v>293</v>
      </c>
      <c r="C419" s="90">
        <f>+Setup!I66</f>
        <v>0.05</v>
      </c>
      <c r="D419" s="90">
        <f>+Setup!I79</f>
        <v>4.1000000000000002E-2</v>
      </c>
      <c r="E419" s="65">
        <f t="shared" si="363"/>
        <v>743100</v>
      </c>
      <c r="F419" s="862">
        <f t="shared" ref="F419:AS419" si="368">SUM(F415:F418)</f>
        <v>9500</v>
      </c>
      <c r="G419" s="862">
        <f t="shared" si="368"/>
        <v>9200</v>
      </c>
      <c r="H419" s="862">
        <f t="shared" si="368"/>
        <v>8800</v>
      </c>
      <c r="I419" s="862">
        <f t="shared" si="368"/>
        <v>8200</v>
      </c>
      <c r="J419" s="862">
        <f t="shared" si="368"/>
        <v>7600</v>
      </c>
      <c r="K419" s="862">
        <f t="shared" si="368"/>
        <v>7500</v>
      </c>
      <c r="L419" s="862">
        <f t="shared" si="368"/>
        <v>7900</v>
      </c>
      <c r="M419" s="862">
        <f t="shared" si="368"/>
        <v>8500</v>
      </c>
      <c r="N419" s="862">
        <f t="shared" si="368"/>
        <v>9200</v>
      </c>
      <c r="O419" s="862">
        <f t="shared" si="368"/>
        <v>10800</v>
      </c>
      <c r="P419" s="862">
        <f t="shared" si="368"/>
        <v>10600</v>
      </c>
      <c r="Q419" s="862">
        <f t="shared" si="368"/>
        <v>11500</v>
      </c>
      <c r="R419" s="862">
        <f t="shared" si="368"/>
        <v>13900</v>
      </c>
      <c r="S419" s="862">
        <f t="shared" si="368"/>
        <v>15600</v>
      </c>
      <c r="T419" s="862">
        <f t="shared" si="368"/>
        <v>15800</v>
      </c>
      <c r="U419" s="862">
        <f t="shared" si="368"/>
        <v>17900</v>
      </c>
      <c r="V419" s="862">
        <f t="shared" si="368"/>
        <v>22100</v>
      </c>
      <c r="W419" s="862">
        <f t="shared" si="368"/>
        <v>25000</v>
      </c>
      <c r="X419" s="862">
        <f t="shared" si="368"/>
        <v>22400</v>
      </c>
      <c r="Y419" s="862">
        <f t="shared" si="368"/>
        <v>23800</v>
      </c>
      <c r="Z419" s="862">
        <f t="shared" si="368"/>
        <v>25300</v>
      </c>
      <c r="AA419" s="862">
        <f t="shared" si="368"/>
        <v>26900</v>
      </c>
      <c r="AB419" s="862">
        <f t="shared" si="368"/>
        <v>38500</v>
      </c>
      <c r="AC419" s="862">
        <f t="shared" si="368"/>
        <v>46900</v>
      </c>
      <c r="AD419" s="862">
        <f t="shared" si="368"/>
        <v>51300</v>
      </c>
      <c r="AE419" s="862">
        <f t="shared" si="368"/>
        <v>54500</v>
      </c>
      <c r="AF419" s="862">
        <f t="shared" si="368"/>
        <v>56200</v>
      </c>
      <c r="AG419" s="862">
        <f t="shared" si="368"/>
        <v>57700</v>
      </c>
      <c r="AH419" s="862">
        <f t="shared" si="368"/>
        <v>59200</v>
      </c>
      <c r="AI419" s="862">
        <f t="shared" si="368"/>
        <v>60800</v>
      </c>
      <c r="AJ419" s="862">
        <f t="shared" si="368"/>
        <v>0</v>
      </c>
      <c r="AK419" s="862">
        <f t="shared" si="368"/>
        <v>0</v>
      </c>
      <c r="AL419" s="862">
        <f t="shared" si="368"/>
        <v>0</v>
      </c>
      <c r="AM419" s="862">
        <f t="shared" si="368"/>
        <v>0</v>
      </c>
      <c r="AN419" s="862">
        <f t="shared" si="368"/>
        <v>0</v>
      </c>
      <c r="AO419" s="862">
        <f t="shared" si="368"/>
        <v>0</v>
      </c>
      <c r="AP419" s="862">
        <f t="shared" si="368"/>
        <v>0</v>
      </c>
      <c r="AQ419" s="862">
        <f t="shared" si="368"/>
        <v>0</v>
      </c>
      <c r="AR419" s="862">
        <f t="shared" si="368"/>
        <v>0</v>
      </c>
      <c r="AS419" s="862">
        <f t="shared" si="368"/>
        <v>0</v>
      </c>
    </row>
    <row r="420" spans="2:45">
      <c r="B420" s="43" t="s">
        <v>509</v>
      </c>
      <c r="C420" s="136"/>
      <c r="E420" s="65">
        <f t="shared" si="363"/>
        <v>5611.2000000000262</v>
      </c>
      <c r="F420" s="92">
        <f t="shared" ref="F420:AS420" si="369">+F480-F419</f>
        <v>62.5</v>
      </c>
      <c r="G420" s="92">
        <f t="shared" si="369"/>
        <v>100</v>
      </c>
      <c r="H420" s="92">
        <f t="shared" si="369"/>
        <v>117.5</v>
      </c>
      <c r="I420" s="92">
        <f t="shared" si="369"/>
        <v>77.5</v>
      </c>
      <c r="J420" s="92">
        <f t="shared" si="369"/>
        <v>57.5</v>
      </c>
      <c r="K420" s="92">
        <f t="shared" si="369"/>
        <v>117.5</v>
      </c>
      <c r="L420" s="92">
        <f t="shared" si="369"/>
        <v>150</v>
      </c>
      <c r="M420" s="92">
        <f t="shared" si="369"/>
        <v>62.5</v>
      </c>
      <c r="N420" s="92">
        <f t="shared" si="369"/>
        <v>150</v>
      </c>
      <c r="O420" s="92">
        <f t="shared" si="369"/>
        <v>70</v>
      </c>
      <c r="P420" s="92">
        <f t="shared" si="369"/>
        <v>62.5</v>
      </c>
      <c r="Q420" s="92">
        <f t="shared" si="369"/>
        <v>2.5</v>
      </c>
      <c r="R420" s="92">
        <f t="shared" si="369"/>
        <v>140</v>
      </c>
      <c r="S420" s="92">
        <f t="shared" si="369"/>
        <v>217.5</v>
      </c>
      <c r="T420" s="92">
        <f t="shared" si="369"/>
        <v>212.5</v>
      </c>
      <c r="U420" s="92">
        <f t="shared" si="369"/>
        <v>112.5</v>
      </c>
      <c r="V420" s="92">
        <f t="shared" si="369"/>
        <v>280</v>
      </c>
      <c r="W420" s="92">
        <f t="shared" si="369"/>
        <v>240</v>
      </c>
      <c r="X420" s="92">
        <f t="shared" si="369"/>
        <v>254.54999999999927</v>
      </c>
      <c r="Y420" s="92">
        <f t="shared" si="369"/>
        <v>228.04999999999927</v>
      </c>
      <c r="Z420" s="92">
        <f t="shared" si="369"/>
        <v>193.79999999999927</v>
      </c>
      <c r="AA420" s="92">
        <f t="shared" si="369"/>
        <v>184.60000000000218</v>
      </c>
      <c r="AB420" s="92">
        <f t="shared" si="369"/>
        <v>-1499.5499999999956</v>
      </c>
      <c r="AC420" s="92">
        <f t="shared" si="369"/>
        <v>409.90000000000146</v>
      </c>
      <c r="AD420" s="92">
        <f t="shared" si="369"/>
        <v>157.05000000000291</v>
      </c>
      <c r="AE420" s="92">
        <f t="shared" si="369"/>
        <v>601.95000000000437</v>
      </c>
      <c r="AF420" s="92">
        <f t="shared" si="369"/>
        <v>632.15000000000146</v>
      </c>
      <c r="AG420" s="92">
        <f t="shared" si="369"/>
        <v>729.10000000000582</v>
      </c>
      <c r="AH420" s="92">
        <f t="shared" si="369"/>
        <v>760.45000000000437</v>
      </c>
      <c r="AI420" s="92">
        <f t="shared" si="369"/>
        <v>726.65000000000146</v>
      </c>
      <c r="AJ420" s="92">
        <f t="shared" si="369"/>
        <v>0</v>
      </c>
      <c r="AK420" s="92">
        <f t="shared" si="369"/>
        <v>0</v>
      </c>
      <c r="AL420" s="92">
        <f t="shared" si="369"/>
        <v>0</v>
      </c>
      <c r="AM420" s="92">
        <f t="shared" si="369"/>
        <v>0</v>
      </c>
      <c r="AN420" s="92">
        <f t="shared" si="369"/>
        <v>0</v>
      </c>
      <c r="AO420" s="92">
        <f t="shared" si="369"/>
        <v>0</v>
      </c>
      <c r="AP420" s="92">
        <f t="shared" si="369"/>
        <v>0</v>
      </c>
      <c r="AQ420" s="92">
        <f t="shared" si="369"/>
        <v>0</v>
      </c>
      <c r="AR420" s="92">
        <f t="shared" si="369"/>
        <v>0</v>
      </c>
      <c r="AS420" s="92">
        <f t="shared" si="369"/>
        <v>0</v>
      </c>
    </row>
    <row r="421" spans="2:45">
      <c r="B421" s="43"/>
      <c r="C421" s="136"/>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2"/>
      <c r="AK421" s="92"/>
      <c r="AL421" s="92"/>
      <c r="AM421" s="92"/>
      <c r="AN421" s="92"/>
      <c r="AO421" s="92"/>
      <c r="AP421" s="92"/>
      <c r="AQ421" s="92"/>
      <c r="AR421" s="92"/>
      <c r="AS421" s="92"/>
    </row>
    <row r="422" spans="2:45" ht="15.6">
      <c r="B422" s="861" t="s">
        <v>468</v>
      </c>
      <c r="C422" s="136"/>
      <c r="E422" s="65">
        <f>SUM(F422:AS422)</f>
        <v>368300</v>
      </c>
      <c r="F422" s="129">
        <f>+F$202+F$227</f>
        <v>5000</v>
      </c>
      <c r="G422" s="129">
        <f t="shared" ref="G422:AS422" si="370">+G$202+G$227</f>
        <v>7400</v>
      </c>
      <c r="H422" s="129">
        <f t="shared" si="370"/>
        <v>5000</v>
      </c>
      <c r="I422" s="129">
        <f t="shared" si="370"/>
        <v>5100</v>
      </c>
      <c r="J422" s="129">
        <f t="shared" si="370"/>
        <v>5200</v>
      </c>
      <c r="K422" s="129">
        <f t="shared" si="370"/>
        <v>7600</v>
      </c>
      <c r="L422" s="129">
        <f t="shared" si="370"/>
        <v>7600</v>
      </c>
      <c r="M422" s="129">
        <f t="shared" si="370"/>
        <v>9100</v>
      </c>
      <c r="N422" s="129">
        <f t="shared" si="370"/>
        <v>4700</v>
      </c>
      <c r="O422" s="129">
        <f t="shared" si="370"/>
        <v>4800</v>
      </c>
      <c r="P422" s="129">
        <f t="shared" si="370"/>
        <v>4900</v>
      </c>
      <c r="Q422" s="129">
        <f t="shared" si="370"/>
        <v>5300</v>
      </c>
      <c r="R422" s="129">
        <f t="shared" si="370"/>
        <v>6800</v>
      </c>
      <c r="S422" s="129">
        <f t="shared" si="370"/>
        <v>7300</v>
      </c>
      <c r="T422" s="129">
        <f t="shared" si="370"/>
        <v>10700</v>
      </c>
      <c r="U422" s="129">
        <f t="shared" si="370"/>
        <v>12600</v>
      </c>
      <c r="V422" s="129">
        <f t="shared" si="370"/>
        <v>12300</v>
      </c>
      <c r="W422" s="129">
        <f t="shared" si="370"/>
        <v>12700</v>
      </c>
      <c r="X422" s="129">
        <f t="shared" si="370"/>
        <v>11700</v>
      </c>
      <c r="Y422" s="129">
        <f t="shared" si="370"/>
        <v>11900</v>
      </c>
      <c r="Z422" s="129">
        <f t="shared" si="370"/>
        <v>12400</v>
      </c>
      <c r="AA422" s="129">
        <f t="shared" si="370"/>
        <v>13100</v>
      </c>
      <c r="AB422" s="129">
        <f t="shared" si="370"/>
        <v>17900</v>
      </c>
      <c r="AC422" s="129">
        <f t="shared" si="370"/>
        <v>19600</v>
      </c>
      <c r="AD422" s="129">
        <f t="shared" si="370"/>
        <v>24500</v>
      </c>
      <c r="AE422" s="129">
        <f t="shared" si="370"/>
        <v>25500</v>
      </c>
      <c r="AF422" s="129">
        <f t="shared" si="370"/>
        <v>25900</v>
      </c>
      <c r="AG422" s="129">
        <f t="shared" si="370"/>
        <v>23800</v>
      </c>
      <c r="AH422" s="129">
        <f t="shared" si="370"/>
        <v>23700</v>
      </c>
      <c r="AI422" s="129">
        <f t="shared" si="370"/>
        <v>24200</v>
      </c>
      <c r="AJ422" s="129">
        <f t="shared" si="370"/>
        <v>0</v>
      </c>
      <c r="AK422" s="129">
        <f t="shared" si="370"/>
        <v>0</v>
      </c>
      <c r="AL422" s="129">
        <f t="shared" si="370"/>
        <v>0</v>
      </c>
      <c r="AM422" s="129">
        <f t="shared" si="370"/>
        <v>0</v>
      </c>
      <c r="AN422" s="129">
        <f t="shared" si="370"/>
        <v>0</v>
      </c>
      <c r="AO422" s="129">
        <f t="shared" si="370"/>
        <v>0</v>
      </c>
      <c r="AP422" s="129">
        <f t="shared" si="370"/>
        <v>0</v>
      </c>
      <c r="AQ422" s="129">
        <f t="shared" si="370"/>
        <v>0</v>
      </c>
      <c r="AR422" s="129">
        <f t="shared" si="370"/>
        <v>0</v>
      </c>
      <c r="AS422" s="129">
        <f t="shared" si="370"/>
        <v>0</v>
      </c>
    </row>
    <row r="423" spans="2:45">
      <c r="B423" s="43"/>
      <c r="C423" s="136"/>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2"/>
      <c r="AK423" s="92"/>
      <c r="AL423" s="92"/>
      <c r="AM423" s="92"/>
      <c r="AN423" s="92"/>
      <c r="AO423" s="92"/>
      <c r="AP423" s="92"/>
      <c r="AQ423" s="92"/>
      <c r="AR423" s="92"/>
      <c r="AS423" s="92"/>
    </row>
    <row r="424" spans="2:45" ht="15.6">
      <c r="B424" s="861" t="s">
        <v>81</v>
      </c>
      <c r="C424" s="136"/>
      <c r="F424" s="92">
        <f>+F395+F403+F419-F422</f>
        <v>187000</v>
      </c>
      <c r="G424" s="92">
        <f t="shared" ref="G424:AS424" si="371">+G395+G403+G419-G422</f>
        <v>186700</v>
      </c>
      <c r="H424" s="92">
        <f t="shared" si="371"/>
        <v>173700</v>
      </c>
      <c r="I424" s="92">
        <f t="shared" si="371"/>
        <v>160400</v>
      </c>
      <c r="J424" s="92">
        <f t="shared" si="371"/>
        <v>148200</v>
      </c>
      <c r="K424" s="92">
        <f t="shared" si="371"/>
        <v>156300</v>
      </c>
      <c r="L424" s="92">
        <f t="shared" si="371"/>
        <v>165900</v>
      </c>
      <c r="M424" s="92">
        <f t="shared" si="371"/>
        <v>175800</v>
      </c>
      <c r="N424" s="92">
        <f t="shared" si="371"/>
        <v>202600</v>
      </c>
      <c r="O424" s="92">
        <f t="shared" si="371"/>
        <v>238000</v>
      </c>
      <c r="P424" s="92">
        <f t="shared" si="371"/>
        <v>194100</v>
      </c>
      <c r="Q424" s="92">
        <f t="shared" si="371"/>
        <v>272100</v>
      </c>
      <c r="R424" s="92">
        <f t="shared" si="371"/>
        <v>296600</v>
      </c>
      <c r="S424" s="92">
        <f t="shared" si="371"/>
        <v>344300</v>
      </c>
      <c r="T424" s="92">
        <f t="shared" si="371"/>
        <v>301100</v>
      </c>
      <c r="U424" s="92">
        <f t="shared" si="371"/>
        <v>424500</v>
      </c>
      <c r="V424" s="92">
        <f t="shared" si="371"/>
        <v>480400</v>
      </c>
      <c r="W424" s="92">
        <f t="shared" si="371"/>
        <v>541200</v>
      </c>
      <c r="X424" s="92">
        <f t="shared" si="371"/>
        <v>574400</v>
      </c>
      <c r="Y424" s="92">
        <f t="shared" si="371"/>
        <v>609300</v>
      </c>
      <c r="Z424" s="92">
        <f t="shared" si="371"/>
        <v>647000</v>
      </c>
      <c r="AA424" s="92">
        <f t="shared" si="371"/>
        <v>687800</v>
      </c>
      <c r="AB424" s="92">
        <f t="shared" si="371"/>
        <v>1137500</v>
      </c>
      <c r="AC424" s="92">
        <f t="shared" si="371"/>
        <v>1199100</v>
      </c>
      <c r="AD424" s="92">
        <f t="shared" si="371"/>
        <v>1337400</v>
      </c>
      <c r="AE424" s="92">
        <f t="shared" si="371"/>
        <v>1379300</v>
      </c>
      <c r="AF424" s="92">
        <f t="shared" si="371"/>
        <v>1422700</v>
      </c>
      <c r="AG424" s="92">
        <f t="shared" si="371"/>
        <v>1460800</v>
      </c>
      <c r="AH424" s="92">
        <f t="shared" si="371"/>
        <v>1498900</v>
      </c>
      <c r="AI424" s="92">
        <f t="shared" si="371"/>
        <v>1538200</v>
      </c>
      <c r="AJ424" s="92">
        <f t="shared" si="371"/>
        <v>0</v>
      </c>
      <c r="AK424" s="92">
        <f t="shared" si="371"/>
        <v>0</v>
      </c>
      <c r="AL424" s="92">
        <f t="shared" si="371"/>
        <v>0</v>
      </c>
      <c r="AM424" s="92">
        <f t="shared" si="371"/>
        <v>0</v>
      </c>
      <c r="AN424" s="92">
        <f t="shared" si="371"/>
        <v>0</v>
      </c>
      <c r="AO424" s="92">
        <f t="shared" si="371"/>
        <v>0</v>
      </c>
      <c r="AP424" s="92">
        <f t="shared" si="371"/>
        <v>0</v>
      </c>
      <c r="AQ424" s="92">
        <f t="shared" si="371"/>
        <v>0</v>
      </c>
      <c r="AR424" s="92">
        <f t="shared" si="371"/>
        <v>0</v>
      </c>
      <c r="AS424" s="92">
        <f t="shared" si="371"/>
        <v>0</v>
      </c>
    </row>
    <row r="425" spans="2:45">
      <c r="B425" s="43" t="s">
        <v>509</v>
      </c>
      <c r="C425" s="136"/>
      <c r="F425" s="92">
        <f t="shared" ref="F425:AS425" si="372">+F485-F424</f>
        <v>100</v>
      </c>
      <c r="G425" s="92">
        <f t="shared" si="372"/>
        <v>100</v>
      </c>
      <c r="H425" s="92">
        <f t="shared" si="372"/>
        <v>100</v>
      </c>
      <c r="I425" s="92">
        <f t="shared" si="372"/>
        <v>100</v>
      </c>
      <c r="J425" s="92">
        <f t="shared" si="372"/>
        <v>100</v>
      </c>
      <c r="K425" s="92">
        <f t="shared" si="372"/>
        <v>100</v>
      </c>
      <c r="L425" s="92">
        <f t="shared" si="372"/>
        <v>200</v>
      </c>
      <c r="M425" s="92">
        <f t="shared" si="372"/>
        <v>100</v>
      </c>
      <c r="N425" s="92">
        <f t="shared" si="372"/>
        <v>200</v>
      </c>
      <c r="O425" s="92">
        <f t="shared" si="372"/>
        <v>100</v>
      </c>
      <c r="P425" s="92">
        <f t="shared" si="372"/>
        <v>100</v>
      </c>
      <c r="Q425" s="92">
        <f t="shared" si="372"/>
        <v>0</v>
      </c>
      <c r="R425" s="92">
        <f t="shared" si="372"/>
        <v>100</v>
      </c>
      <c r="S425" s="92">
        <f t="shared" si="372"/>
        <v>200</v>
      </c>
      <c r="T425" s="92">
        <f t="shared" si="372"/>
        <v>200</v>
      </c>
      <c r="U425" s="92">
        <f t="shared" si="372"/>
        <v>100</v>
      </c>
      <c r="V425" s="92">
        <f t="shared" si="372"/>
        <v>300</v>
      </c>
      <c r="W425" s="92">
        <f t="shared" si="372"/>
        <v>200</v>
      </c>
      <c r="X425" s="92">
        <f t="shared" si="372"/>
        <v>300</v>
      </c>
      <c r="Y425" s="92">
        <f t="shared" si="372"/>
        <v>200</v>
      </c>
      <c r="Z425" s="92">
        <f t="shared" si="372"/>
        <v>200</v>
      </c>
      <c r="AA425" s="92">
        <f t="shared" si="372"/>
        <v>200</v>
      </c>
      <c r="AB425" s="92">
        <f t="shared" si="372"/>
        <v>-1500</v>
      </c>
      <c r="AC425" s="92">
        <f t="shared" si="372"/>
        <v>400</v>
      </c>
      <c r="AD425" s="92">
        <f t="shared" si="372"/>
        <v>200</v>
      </c>
      <c r="AE425" s="92">
        <f t="shared" si="372"/>
        <v>600</v>
      </c>
      <c r="AF425" s="92">
        <f t="shared" si="372"/>
        <v>600</v>
      </c>
      <c r="AG425" s="92">
        <f t="shared" si="372"/>
        <v>700</v>
      </c>
      <c r="AH425" s="92">
        <f t="shared" si="372"/>
        <v>800</v>
      </c>
      <c r="AI425" s="92">
        <f t="shared" si="372"/>
        <v>700</v>
      </c>
      <c r="AJ425" s="92">
        <f t="shared" si="372"/>
        <v>0</v>
      </c>
      <c r="AK425" s="92">
        <f t="shared" si="372"/>
        <v>0</v>
      </c>
      <c r="AL425" s="92">
        <f t="shared" si="372"/>
        <v>0</v>
      </c>
      <c r="AM425" s="92">
        <f t="shared" si="372"/>
        <v>0</v>
      </c>
      <c r="AN425" s="92">
        <f t="shared" si="372"/>
        <v>0</v>
      </c>
      <c r="AO425" s="92">
        <f t="shared" si="372"/>
        <v>0</v>
      </c>
      <c r="AP425" s="92">
        <f t="shared" si="372"/>
        <v>0</v>
      </c>
      <c r="AQ425" s="92">
        <f t="shared" si="372"/>
        <v>0</v>
      </c>
      <c r="AR425" s="92">
        <f t="shared" si="372"/>
        <v>0</v>
      </c>
      <c r="AS425" s="92">
        <f t="shared" si="372"/>
        <v>0</v>
      </c>
    </row>
    <row r="426" spans="2:45">
      <c r="B426" s="43"/>
      <c r="C426" s="136"/>
      <c r="F426" s="92"/>
      <c r="G426" s="92"/>
      <c r="H426" s="92"/>
      <c r="I426" s="92"/>
      <c r="J426" s="92"/>
    </row>
    <row r="427" spans="2:45" s="3" customFormat="1"/>
    <row r="428" spans="2:45" ht="17.399999999999999">
      <c r="B428" s="865" t="s">
        <v>1052</v>
      </c>
      <c r="C428" s="399"/>
      <c r="F428" s="523"/>
    </row>
    <row r="429" spans="2:45" ht="16.2" thickBot="1">
      <c r="B429" s="509" t="s">
        <v>641</v>
      </c>
      <c r="C429" s="268"/>
      <c r="F429" s="523"/>
    </row>
    <row r="430" spans="2:45" ht="15.6">
      <c r="B430" s="552" t="s">
        <v>642</v>
      </c>
      <c r="C430" s="437"/>
      <c r="D430" s="108" t="s">
        <v>322</v>
      </c>
      <c r="F430" s="44">
        <f t="shared" ref="F430:AS430" si="373">+F22</f>
        <v>0.05</v>
      </c>
      <c r="G430" s="44">
        <f t="shared" si="373"/>
        <v>0.05</v>
      </c>
      <c r="H430" s="44">
        <f t="shared" si="373"/>
        <v>0.05</v>
      </c>
      <c r="I430" s="44">
        <f t="shared" si="373"/>
        <v>0.05</v>
      </c>
      <c r="J430" s="44">
        <f t="shared" si="373"/>
        <v>0.05</v>
      </c>
      <c r="K430" s="44">
        <f t="shared" si="373"/>
        <v>0.05</v>
      </c>
      <c r="L430" s="44">
        <f t="shared" si="373"/>
        <v>0.05</v>
      </c>
      <c r="M430" s="44">
        <f t="shared" si="373"/>
        <v>0.05</v>
      </c>
      <c r="N430" s="44">
        <f t="shared" si="373"/>
        <v>0.05</v>
      </c>
      <c r="O430" s="44">
        <f t="shared" si="373"/>
        <v>0.05</v>
      </c>
      <c r="P430" s="44">
        <f t="shared" si="373"/>
        <v>0.05</v>
      </c>
      <c r="Q430" s="44">
        <f t="shared" si="373"/>
        <v>0.05</v>
      </c>
      <c r="R430" s="44">
        <f t="shared" si="373"/>
        <v>0.05</v>
      </c>
      <c r="S430" s="44">
        <f t="shared" si="373"/>
        <v>0.05</v>
      </c>
      <c r="T430" s="44">
        <f t="shared" si="373"/>
        <v>0.05</v>
      </c>
      <c r="U430" s="44">
        <f t="shared" si="373"/>
        <v>0.05</v>
      </c>
      <c r="V430" s="44">
        <f t="shared" si="373"/>
        <v>0.05</v>
      </c>
      <c r="W430" s="44">
        <f t="shared" si="373"/>
        <v>0.05</v>
      </c>
      <c r="X430" s="44">
        <f t="shared" si="373"/>
        <v>4.1000000000000002E-2</v>
      </c>
      <c r="Y430" s="44">
        <f t="shared" si="373"/>
        <v>4.1000000000000002E-2</v>
      </c>
      <c r="Z430" s="44">
        <f t="shared" si="373"/>
        <v>4.1000000000000002E-2</v>
      </c>
      <c r="AA430" s="44">
        <f t="shared" si="373"/>
        <v>4.1000000000000002E-2</v>
      </c>
      <c r="AB430" s="44">
        <f t="shared" si="373"/>
        <v>4.1000000000000002E-2</v>
      </c>
      <c r="AC430" s="44">
        <f t="shared" si="373"/>
        <v>4.1000000000000002E-2</v>
      </c>
      <c r="AD430" s="44">
        <f t="shared" si="373"/>
        <v>4.1000000000000002E-2</v>
      </c>
      <c r="AE430" s="44">
        <f t="shared" si="373"/>
        <v>4.1000000000000002E-2</v>
      </c>
      <c r="AF430" s="44">
        <f t="shared" si="373"/>
        <v>4.1000000000000002E-2</v>
      </c>
      <c r="AG430" s="44">
        <f t="shared" si="373"/>
        <v>4.1000000000000002E-2</v>
      </c>
      <c r="AH430" s="44">
        <f t="shared" si="373"/>
        <v>4.1000000000000002E-2</v>
      </c>
      <c r="AI430" s="44">
        <f t="shared" si="373"/>
        <v>4.1000000000000002E-2</v>
      </c>
      <c r="AJ430" s="44">
        <f t="shared" si="373"/>
        <v>4.1000000000000002E-2</v>
      </c>
      <c r="AK430" s="44">
        <f t="shared" si="373"/>
        <v>4.1000000000000002E-2</v>
      </c>
      <c r="AL430" s="44">
        <f t="shared" si="373"/>
        <v>4.1000000000000002E-2</v>
      </c>
      <c r="AM430" s="44">
        <f t="shared" si="373"/>
        <v>4.1000000000000002E-2</v>
      </c>
      <c r="AN430" s="44">
        <f t="shared" si="373"/>
        <v>4.1000000000000002E-2</v>
      </c>
      <c r="AO430" s="44">
        <f t="shared" si="373"/>
        <v>4.1000000000000002E-2</v>
      </c>
      <c r="AP430" s="44">
        <f t="shared" si="373"/>
        <v>4.1000000000000002E-2</v>
      </c>
      <c r="AQ430" s="44">
        <f t="shared" si="373"/>
        <v>4.1000000000000002E-2</v>
      </c>
      <c r="AR430" s="44">
        <f t="shared" si="373"/>
        <v>4.1000000000000002E-2</v>
      </c>
      <c r="AS430" s="44">
        <f t="shared" si="373"/>
        <v>4.1000000000000002E-2</v>
      </c>
    </row>
    <row r="431" spans="2:45" ht="15.6">
      <c r="B431" s="552" t="s">
        <v>174</v>
      </c>
      <c r="C431" s="437"/>
      <c r="D431" s="611">
        <f>IF(Change_Age&gt;0,Change_Age-Your_Age+First_Year,First_Year)</f>
        <v>2037</v>
      </c>
      <c r="F431" s="44">
        <f t="shared" ref="F431:AS431" si="374">+F23</f>
        <v>6.5000000000000002E-2</v>
      </c>
      <c r="G431" s="44">
        <f t="shared" si="374"/>
        <v>6.5000000000000002E-2</v>
      </c>
      <c r="H431" s="44">
        <f t="shared" si="374"/>
        <v>6.5000000000000002E-2</v>
      </c>
      <c r="I431" s="44">
        <f t="shared" si="374"/>
        <v>6.5000000000000002E-2</v>
      </c>
      <c r="J431" s="44">
        <f t="shared" si="374"/>
        <v>6.5000000000000002E-2</v>
      </c>
      <c r="K431" s="44">
        <f t="shared" si="374"/>
        <v>6.5000000000000002E-2</v>
      </c>
      <c r="L431" s="44">
        <f t="shared" si="374"/>
        <v>6.5000000000000002E-2</v>
      </c>
      <c r="M431" s="44">
        <f t="shared" si="374"/>
        <v>6.5000000000000002E-2</v>
      </c>
      <c r="N431" s="44">
        <f t="shared" si="374"/>
        <v>6.5000000000000002E-2</v>
      </c>
      <c r="O431" s="44">
        <f t="shared" si="374"/>
        <v>6.5000000000000002E-2</v>
      </c>
      <c r="P431" s="44">
        <f t="shared" si="374"/>
        <v>6.5000000000000002E-2</v>
      </c>
      <c r="Q431" s="44">
        <f t="shared" si="374"/>
        <v>6.5000000000000002E-2</v>
      </c>
      <c r="R431" s="44">
        <f t="shared" si="374"/>
        <v>6.5000000000000002E-2</v>
      </c>
      <c r="S431" s="44">
        <f t="shared" si="374"/>
        <v>6.5000000000000002E-2</v>
      </c>
      <c r="T431" s="44">
        <f t="shared" si="374"/>
        <v>6.5000000000000002E-2</v>
      </c>
      <c r="U431" s="44">
        <f t="shared" si="374"/>
        <v>6.5000000000000002E-2</v>
      </c>
      <c r="V431" s="44">
        <f t="shared" si="374"/>
        <v>6.5000000000000002E-2</v>
      </c>
      <c r="W431" s="44">
        <f t="shared" si="374"/>
        <v>6.5000000000000002E-2</v>
      </c>
      <c r="X431" s="44">
        <f t="shared" si="374"/>
        <v>5.6000000000000001E-2</v>
      </c>
      <c r="Y431" s="44">
        <f t="shared" si="374"/>
        <v>5.6000000000000001E-2</v>
      </c>
      <c r="Z431" s="44">
        <f t="shared" si="374"/>
        <v>5.6000000000000001E-2</v>
      </c>
      <c r="AA431" s="44">
        <f t="shared" si="374"/>
        <v>5.6000000000000001E-2</v>
      </c>
      <c r="AB431" s="44">
        <f t="shared" si="374"/>
        <v>5.6000000000000001E-2</v>
      </c>
      <c r="AC431" s="44">
        <f t="shared" si="374"/>
        <v>5.6000000000000001E-2</v>
      </c>
      <c r="AD431" s="44">
        <f t="shared" si="374"/>
        <v>5.6000000000000001E-2</v>
      </c>
      <c r="AE431" s="44">
        <f t="shared" si="374"/>
        <v>5.6000000000000001E-2</v>
      </c>
      <c r="AF431" s="44">
        <f t="shared" si="374"/>
        <v>5.6000000000000001E-2</v>
      </c>
      <c r="AG431" s="44">
        <f t="shared" si="374"/>
        <v>5.6000000000000001E-2</v>
      </c>
      <c r="AH431" s="44">
        <f t="shared" si="374"/>
        <v>5.6000000000000001E-2</v>
      </c>
      <c r="AI431" s="44">
        <f t="shared" si="374"/>
        <v>5.6000000000000001E-2</v>
      </c>
      <c r="AJ431" s="44">
        <f t="shared" si="374"/>
        <v>5.6000000000000001E-2</v>
      </c>
      <c r="AK431" s="44">
        <f t="shared" si="374"/>
        <v>5.6000000000000001E-2</v>
      </c>
      <c r="AL431" s="44">
        <f t="shared" si="374"/>
        <v>5.6000000000000001E-2</v>
      </c>
      <c r="AM431" s="44">
        <f t="shared" si="374"/>
        <v>5.6000000000000001E-2</v>
      </c>
      <c r="AN431" s="44">
        <f t="shared" si="374"/>
        <v>5.6000000000000001E-2</v>
      </c>
      <c r="AO431" s="44">
        <f t="shared" si="374"/>
        <v>5.6000000000000001E-2</v>
      </c>
      <c r="AP431" s="44">
        <f t="shared" si="374"/>
        <v>5.6000000000000001E-2</v>
      </c>
      <c r="AQ431" s="44">
        <f t="shared" si="374"/>
        <v>5.6000000000000001E-2</v>
      </c>
      <c r="AR431" s="44">
        <f t="shared" si="374"/>
        <v>5.6000000000000001E-2</v>
      </c>
      <c r="AS431" s="44">
        <f t="shared" si="374"/>
        <v>5.6000000000000001E-2</v>
      </c>
    </row>
    <row r="432" spans="2:45" ht="15.6">
      <c r="B432" s="552" t="s">
        <v>725</v>
      </c>
      <c r="C432" s="437"/>
      <c r="D432" s="32"/>
      <c r="F432" s="44">
        <f t="shared" ref="F432:AS432" si="375">+F24</f>
        <v>5.8999999999999997E-2</v>
      </c>
      <c r="G432" s="44">
        <f t="shared" si="375"/>
        <v>5.8999999999999997E-2</v>
      </c>
      <c r="H432" s="44">
        <f t="shared" si="375"/>
        <v>5.8999999999999997E-2</v>
      </c>
      <c r="I432" s="44">
        <f t="shared" si="375"/>
        <v>5.8999999999999997E-2</v>
      </c>
      <c r="J432" s="44">
        <f t="shared" si="375"/>
        <v>5.8999999999999997E-2</v>
      </c>
      <c r="K432" s="44">
        <f t="shared" si="375"/>
        <v>5.8999999999999997E-2</v>
      </c>
      <c r="L432" s="44">
        <f t="shared" si="375"/>
        <v>5.8999999999999997E-2</v>
      </c>
      <c r="M432" s="44">
        <f t="shared" si="375"/>
        <v>5.8999999999999997E-2</v>
      </c>
      <c r="N432" s="44">
        <f t="shared" si="375"/>
        <v>5.8999999999999997E-2</v>
      </c>
      <c r="O432" s="44">
        <f t="shared" si="375"/>
        <v>5.8999999999999997E-2</v>
      </c>
      <c r="P432" s="44">
        <f t="shared" si="375"/>
        <v>5.8999999999999997E-2</v>
      </c>
      <c r="Q432" s="44">
        <f t="shared" si="375"/>
        <v>5.8999999999999997E-2</v>
      </c>
      <c r="R432" s="44">
        <f t="shared" si="375"/>
        <v>5.8999999999999997E-2</v>
      </c>
      <c r="S432" s="44">
        <f t="shared" si="375"/>
        <v>5.8999999999999997E-2</v>
      </c>
      <c r="T432" s="44">
        <f t="shared" si="375"/>
        <v>5.8999999999999997E-2</v>
      </c>
      <c r="U432" s="44">
        <f t="shared" si="375"/>
        <v>5.8999999999999997E-2</v>
      </c>
      <c r="V432" s="44">
        <f t="shared" si="375"/>
        <v>5.8999999999999997E-2</v>
      </c>
      <c r="W432" s="44">
        <f t="shared" si="375"/>
        <v>5.8999999999999997E-2</v>
      </c>
      <c r="X432" s="44">
        <f t="shared" si="375"/>
        <v>5.2999999999999999E-2</v>
      </c>
      <c r="Y432" s="44">
        <f t="shared" si="375"/>
        <v>5.2999999999999999E-2</v>
      </c>
      <c r="Z432" s="44">
        <f t="shared" si="375"/>
        <v>5.2999999999999999E-2</v>
      </c>
      <c r="AA432" s="44">
        <f t="shared" si="375"/>
        <v>5.2999999999999999E-2</v>
      </c>
      <c r="AB432" s="44">
        <f t="shared" si="375"/>
        <v>5.2999999999999999E-2</v>
      </c>
      <c r="AC432" s="44">
        <f t="shared" si="375"/>
        <v>5.2999999999999999E-2</v>
      </c>
      <c r="AD432" s="44">
        <f t="shared" si="375"/>
        <v>5.2999999999999999E-2</v>
      </c>
      <c r="AE432" s="44">
        <f t="shared" si="375"/>
        <v>5.2999999999999999E-2</v>
      </c>
      <c r="AF432" s="44">
        <f t="shared" si="375"/>
        <v>5.2999999999999999E-2</v>
      </c>
      <c r="AG432" s="44">
        <f t="shared" si="375"/>
        <v>5.2999999999999999E-2</v>
      </c>
      <c r="AH432" s="44">
        <f t="shared" si="375"/>
        <v>5.2999999999999999E-2</v>
      </c>
      <c r="AI432" s="44">
        <f t="shared" si="375"/>
        <v>5.2999999999999999E-2</v>
      </c>
      <c r="AJ432" s="44">
        <f t="shared" si="375"/>
        <v>5.2999999999999999E-2</v>
      </c>
      <c r="AK432" s="44">
        <f t="shared" si="375"/>
        <v>5.2999999999999999E-2</v>
      </c>
      <c r="AL432" s="44">
        <f t="shared" si="375"/>
        <v>5.2999999999999999E-2</v>
      </c>
      <c r="AM432" s="44">
        <f t="shared" si="375"/>
        <v>5.2999999999999999E-2</v>
      </c>
      <c r="AN432" s="44">
        <f t="shared" si="375"/>
        <v>5.2999999999999999E-2</v>
      </c>
      <c r="AO432" s="44">
        <f t="shared" si="375"/>
        <v>5.2999999999999999E-2</v>
      </c>
      <c r="AP432" s="44">
        <f t="shared" si="375"/>
        <v>5.2999999999999999E-2</v>
      </c>
      <c r="AQ432" s="44">
        <f t="shared" si="375"/>
        <v>5.2999999999999999E-2</v>
      </c>
      <c r="AR432" s="44">
        <f t="shared" si="375"/>
        <v>5.2999999999999999E-2</v>
      </c>
      <c r="AS432" s="44">
        <f t="shared" si="375"/>
        <v>5.2999999999999999E-2</v>
      </c>
    </row>
    <row r="433" spans="2:45" ht="15.6">
      <c r="B433" s="1603" t="s">
        <v>922</v>
      </c>
      <c r="C433" s="437"/>
      <c r="D433" s="32"/>
      <c r="F433" s="44">
        <f t="shared" ref="F433:AS433" si="376">+F25</f>
        <v>6.2E-2</v>
      </c>
      <c r="G433" s="44">
        <f t="shared" si="376"/>
        <v>6.2E-2</v>
      </c>
      <c r="H433" s="44">
        <f t="shared" si="376"/>
        <v>6.2E-2</v>
      </c>
      <c r="I433" s="44">
        <f t="shared" si="376"/>
        <v>6.2E-2</v>
      </c>
      <c r="J433" s="44">
        <f t="shared" si="376"/>
        <v>6.2E-2</v>
      </c>
      <c r="K433" s="44">
        <f t="shared" si="376"/>
        <v>6.2E-2</v>
      </c>
      <c r="L433" s="44">
        <f t="shared" si="376"/>
        <v>6.2E-2</v>
      </c>
      <c r="M433" s="44">
        <f t="shared" si="376"/>
        <v>6.2E-2</v>
      </c>
      <c r="N433" s="44">
        <f t="shared" si="376"/>
        <v>6.2E-2</v>
      </c>
      <c r="O433" s="44">
        <f t="shared" si="376"/>
        <v>6.2E-2</v>
      </c>
      <c r="P433" s="44">
        <f t="shared" si="376"/>
        <v>6.2E-2</v>
      </c>
      <c r="Q433" s="44">
        <f t="shared" si="376"/>
        <v>6.2E-2</v>
      </c>
      <c r="R433" s="44">
        <f t="shared" si="376"/>
        <v>6.2E-2</v>
      </c>
      <c r="S433" s="44">
        <f t="shared" si="376"/>
        <v>6.2E-2</v>
      </c>
      <c r="T433" s="44">
        <f t="shared" si="376"/>
        <v>6.2E-2</v>
      </c>
      <c r="U433" s="44">
        <f t="shared" si="376"/>
        <v>6.2E-2</v>
      </c>
      <c r="V433" s="44">
        <f t="shared" si="376"/>
        <v>6.2E-2</v>
      </c>
      <c r="W433" s="44">
        <f t="shared" si="376"/>
        <v>6.2E-2</v>
      </c>
      <c r="X433" s="44">
        <f t="shared" si="376"/>
        <v>5.2999999999999999E-2</v>
      </c>
      <c r="Y433" s="44">
        <f t="shared" si="376"/>
        <v>5.2999999999999999E-2</v>
      </c>
      <c r="Z433" s="44">
        <f t="shared" si="376"/>
        <v>5.2999999999999999E-2</v>
      </c>
      <c r="AA433" s="44">
        <f t="shared" si="376"/>
        <v>5.2999999999999999E-2</v>
      </c>
      <c r="AB433" s="44">
        <f t="shared" si="376"/>
        <v>5.2999999999999999E-2</v>
      </c>
      <c r="AC433" s="44">
        <f t="shared" si="376"/>
        <v>5.2999999999999999E-2</v>
      </c>
      <c r="AD433" s="44">
        <f t="shared" si="376"/>
        <v>5.2999999999999999E-2</v>
      </c>
      <c r="AE433" s="44">
        <f t="shared" si="376"/>
        <v>5.2999999999999999E-2</v>
      </c>
      <c r="AF433" s="44">
        <f t="shared" si="376"/>
        <v>5.2999999999999999E-2</v>
      </c>
      <c r="AG433" s="44">
        <f t="shared" si="376"/>
        <v>5.2999999999999999E-2</v>
      </c>
      <c r="AH433" s="44">
        <f t="shared" si="376"/>
        <v>5.2999999999999999E-2</v>
      </c>
      <c r="AI433" s="44">
        <f t="shared" si="376"/>
        <v>5.2999999999999999E-2</v>
      </c>
      <c r="AJ433" s="44">
        <f t="shared" si="376"/>
        <v>5.2999999999999999E-2</v>
      </c>
      <c r="AK433" s="44">
        <f t="shared" si="376"/>
        <v>5.2999999999999999E-2</v>
      </c>
      <c r="AL433" s="44">
        <f t="shared" si="376"/>
        <v>5.2999999999999999E-2</v>
      </c>
      <c r="AM433" s="44">
        <f t="shared" si="376"/>
        <v>5.2999999999999999E-2</v>
      </c>
      <c r="AN433" s="44">
        <f t="shared" si="376"/>
        <v>5.2999999999999999E-2</v>
      </c>
      <c r="AO433" s="44">
        <f t="shared" si="376"/>
        <v>5.2999999999999999E-2</v>
      </c>
      <c r="AP433" s="44">
        <f t="shared" si="376"/>
        <v>5.2999999999999999E-2</v>
      </c>
      <c r="AQ433" s="44">
        <f t="shared" si="376"/>
        <v>5.2999999999999999E-2</v>
      </c>
      <c r="AR433" s="44">
        <f t="shared" si="376"/>
        <v>5.2999999999999999E-2</v>
      </c>
      <c r="AS433" s="44">
        <f t="shared" si="376"/>
        <v>5.2999999999999999E-2</v>
      </c>
    </row>
    <row r="434" spans="2:45" ht="15.6">
      <c r="B434" s="1603" t="s">
        <v>894</v>
      </c>
      <c r="C434" s="437"/>
      <c r="D434" s="32"/>
      <c r="F434" s="44">
        <f t="shared" ref="F434:AS434" si="377">+F26</f>
        <v>5.7000000000000002E-2</v>
      </c>
      <c r="G434" s="44">
        <f t="shared" si="377"/>
        <v>5.7000000000000002E-2</v>
      </c>
      <c r="H434" s="44">
        <f t="shared" si="377"/>
        <v>5.7000000000000002E-2</v>
      </c>
      <c r="I434" s="44">
        <f t="shared" si="377"/>
        <v>5.7000000000000002E-2</v>
      </c>
      <c r="J434" s="44">
        <f t="shared" si="377"/>
        <v>5.7000000000000002E-2</v>
      </c>
      <c r="K434" s="44">
        <f t="shared" si="377"/>
        <v>5.7000000000000002E-2</v>
      </c>
      <c r="L434" s="44">
        <f t="shared" si="377"/>
        <v>5.7000000000000002E-2</v>
      </c>
      <c r="M434" s="44">
        <f t="shared" si="377"/>
        <v>5.7000000000000002E-2</v>
      </c>
      <c r="N434" s="44">
        <f t="shared" si="377"/>
        <v>5.7000000000000002E-2</v>
      </c>
      <c r="O434" s="44">
        <f t="shared" si="377"/>
        <v>5.7000000000000002E-2</v>
      </c>
      <c r="P434" s="44">
        <f t="shared" si="377"/>
        <v>5.7000000000000002E-2</v>
      </c>
      <c r="Q434" s="44">
        <f t="shared" si="377"/>
        <v>5.7000000000000002E-2</v>
      </c>
      <c r="R434" s="44">
        <f t="shared" si="377"/>
        <v>5.7000000000000002E-2</v>
      </c>
      <c r="S434" s="44">
        <f t="shared" si="377"/>
        <v>5.7000000000000002E-2</v>
      </c>
      <c r="T434" s="44">
        <f t="shared" si="377"/>
        <v>5.7000000000000002E-2</v>
      </c>
      <c r="U434" s="44">
        <f t="shared" si="377"/>
        <v>5.7000000000000002E-2</v>
      </c>
      <c r="V434" s="44">
        <f t="shared" si="377"/>
        <v>5.7000000000000002E-2</v>
      </c>
      <c r="W434" s="44">
        <f t="shared" si="377"/>
        <v>5.7000000000000002E-2</v>
      </c>
      <c r="X434" s="44">
        <f t="shared" si="377"/>
        <v>5.2999999999999999E-2</v>
      </c>
      <c r="Y434" s="44">
        <f t="shared" si="377"/>
        <v>5.2999999999999999E-2</v>
      </c>
      <c r="Z434" s="44">
        <f t="shared" si="377"/>
        <v>5.2999999999999999E-2</v>
      </c>
      <c r="AA434" s="44">
        <f t="shared" si="377"/>
        <v>5.2999999999999999E-2</v>
      </c>
      <c r="AB434" s="44">
        <f t="shared" si="377"/>
        <v>5.2999999999999999E-2</v>
      </c>
      <c r="AC434" s="44">
        <f t="shared" si="377"/>
        <v>5.2999999999999999E-2</v>
      </c>
      <c r="AD434" s="44">
        <f t="shared" si="377"/>
        <v>5.2999999999999999E-2</v>
      </c>
      <c r="AE434" s="44">
        <f t="shared" si="377"/>
        <v>5.2999999999999999E-2</v>
      </c>
      <c r="AF434" s="44">
        <f t="shared" si="377"/>
        <v>5.2999999999999999E-2</v>
      </c>
      <c r="AG434" s="44">
        <f t="shared" si="377"/>
        <v>5.2999999999999999E-2</v>
      </c>
      <c r="AH434" s="44">
        <f t="shared" si="377"/>
        <v>5.2999999999999999E-2</v>
      </c>
      <c r="AI434" s="44">
        <f t="shared" si="377"/>
        <v>5.2999999999999999E-2</v>
      </c>
      <c r="AJ434" s="44">
        <f t="shared" si="377"/>
        <v>5.2999999999999999E-2</v>
      </c>
      <c r="AK434" s="44">
        <f t="shared" si="377"/>
        <v>5.2999999999999999E-2</v>
      </c>
      <c r="AL434" s="44">
        <f t="shared" si="377"/>
        <v>5.2999999999999999E-2</v>
      </c>
      <c r="AM434" s="44">
        <f t="shared" si="377"/>
        <v>5.2999999999999999E-2</v>
      </c>
      <c r="AN434" s="44">
        <f t="shared" si="377"/>
        <v>5.2999999999999999E-2</v>
      </c>
      <c r="AO434" s="44">
        <f t="shared" si="377"/>
        <v>5.2999999999999999E-2</v>
      </c>
      <c r="AP434" s="44">
        <f t="shared" si="377"/>
        <v>5.2999999999999999E-2</v>
      </c>
      <c r="AQ434" s="44">
        <f t="shared" si="377"/>
        <v>5.2999999999999999E-2</v>
      </c>
      <c r="AR434" s="44">
        <f t="shared" si="377"/>
        <v>5.2999999999999999E-2</v>
      </c>
      <c r="AS434" s="44">
        <f t="shared" si="377"/>
        <v>5.2999999999999999E-2</v>
      </c>
    </row>
    <row r="435" spans="2:45" ht="15.6">
      <c r="B435" s="1603" t="s">
        <v>1504</v>
      </c>
      <c r="C435" s="437"/>
      <c r="D435" s="32"/>
      <c r="F435" s="44">
        <f t="shared" ref="F435:AS435" si="378">+F27</f>
        <v>6.3E-2</v>
      </c>
      <c r="G435" s="44">
        <f t="shared" si="378"/>
        <v>6.3E-2</v>
      </c>
      <c r="H435" s="44">
        <f t="shared" si="378"/>
        <v>6.3E-2</v>
      </c>
      <c r="I435" s="44">
        <f t="shared" si="378"/>
        <v>6.3E-2</v>
      </c>
      <c r="J435" s="44">
        <f t="shared" si="378"/>
        <v>6.3E-2</v>
      </c>
      <c r="K435" s="44">
        <f t="shared" si="378"/>
        <v>6.3E-2</v>
      </c>
      <c r="L435" s="44">
        <f t="shared" si="378"/>
        <v>6.3E-2</v>
      </c>
      <c r="M435" s="44">
        <f t="shared" si="378"/>
        <v>6.3E-2</v>
      </c>
      <c r="N435" s="44">
        <f t="shared" si="378"/>
        <v>6.3E-2</v>
      </c>
      <c r="O435" s="44">
        <f t="shared" si="378"/>
        <v>6.3E-2</v>
      </c>
      <c r="P435" s="44">
        <f t="shared" si="378"/>
        <v>6.3E-2</v>
      </c>
      <c r="Q435" s="44">
        <f t="shared" si="378"/>
        <v>6.3E-2</v>
      </c>
      <c r="R435" s="44">
        <f t="shared" si="378"/>
        <v>6.3E-2</v>
      </c>
      <c r="S435" s="44">
        <f t="shared" si="378"/>
        <v>6.3E-2</v>
      </c>
      <c r="T435" s="44">
        <f t="shared" si="378"/>
        <v>6.3E-2</v>
      </c>
      <c r="U435" s="44">
        <f t="shared" si="378"/>
        <v>6.3E-2</v>
      </c>
      <c r="V435" s="44">
        <f t="shared" si="378"/>
        <v>6.3E-2</v>
      </c>
      <c r="W435" s="44">
        <f t="shared" si="378"/>
        <v>6.3E-2</v>
      </c>
      <c r="X435" s="44">
        <f t="shared" si="378"/>
        <v>5.2999999999999999E-2</v>
      </c>
      <c r="Y435" s="44">
        <f t="shared" si="378"/>
        <v>5.2999999999999999E-2</v>
      </c>
      <c r="Z435" s="44">
        <f t="shared" si="378"/>
        <v>5.2999999999999999E-2</v>
      </c>
      <c r="AA435" s="44">
        <f t="shared" si="378"/>
        <v>5.2999999999999999E-2</v>
      </c>
      <c r="AB435" s="44">
        <f t="shared" si="378"/>
        <v>5.2999999999999999E-2</v>
      </c>
      <c r="AC435" s="44">
        <f t="shared" si="378"/>
        <v>5.2999999999999999E-2</v>
      </c>
      <c r="AD435" s="44">
        <f t="shared" si="378"/>
        <v>5.2999999999999999E-2</v>
      </c>
      <c r="AE435" s="44">
        <f t="shared" si="378"/>
        <v>5.2999999999999999E-2</v>
      </c>
      <c r="AF435" s="44">
        <f t="shared" si="378"/>
        <v>5.2999999999999999E-2</v>
      </c>
      <c r="AG435" s="44">
        <f t="shared" si="378"/>
        <v>5.2999999999999999E-2</v>
      </c>
      <c r="AH435" s="44">
        <f t="shared" si="378"/>
        <v>5.2999999999999999E-2</v>
      </c>
      <c r="AI435" s="44">
        <f t="shared" si="378"/>
        <v>5.2999999999999999E-2</v>
      </c>
      <c r="AJ435" s="44">
        <f t="shared" si="378"/>
        <v>5.2999999999999999E-2</v>
      </c>
      <c r="AK435" s="44">
        <f t="shared" si="378"/>
        <v>5.2999999999999999E-2</v>
      </c>
      <c r="AL435" s="44">
        <f t="shared" si="378"/>
        <v>5.2999999999999999E-2</v>
      </c>
      <c r="AM435" s="44">
        <f t="shared" si="378"/>
        <v>5.2999999999999999E-2</v>
      </c>
      <c r="AN435" s="44">
        <f t="shared" si="378"/>
        <v>5.2999999999999999E-2</v>
      </c>
      <c r="AO435" s="44">
        <f t="shared" si="378"/>
        <v>5.2999999999999999E-2</v>
      </c>
      <c r="AP435" s="44">
        <f t="shared" si="378"/>
        <v>5.2999999999999999E-2</v>
      </c>
      <c r="AQ435" s="44">
        <f t="shared" si="378"/>
        <v>5.2999999999999999E-2</v>
      </c>
      <c r="AR435" s="44">
        <f t="shared" si="378"/>
        <v>5.2999999999999999E-2</v>
      </c>
      <c r="AS435" s="44">
        <f t="shared" si="378"/>
        <v>5.2999999999999999E-2</v>
      </c>
    </row>
    <row r="436" spans="2:45" ht="15.6">
      <c r="B436" s="1603"/>
      <c r="C436" s="437"/>
      <c r="D436" s="32"/>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row>
    <row r="437" spans="2:45" ht="16.2" thickBot="1">
      <c r="B437" s="509" t="s">
        <v>680</v>
      </c>
      <c r="C437" s="437"/>
      <c r="D437" s="32"/>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row>
    <row r="438" spans="2:45" ht="15.6">
      <c r="B438" s="552" t="s">
        <v>979</v>
      </c>
      <c r="C438" s="437"/>
      <c r="D438" s="32"/>
      <c r="E438" s="65">
        <f t="shared" ref="E438:E444" si="379">SUM(F438:AS438)</f>
        <v>748900</v>
      </c>
      <c r="F438" s="31">
        <f t="shared" ref="F438:AS438" si="380">+F28</f>
        <v>9600</v>
      </c>
      <c r="G438" s="1124">
        <f t="shared" si="380"/>
        <v>9300</v>
      </c>
      <c r="H438" s="1124">
        <f t="shared" si="380"/>
        <v>8900</v>
      </c>
      <c r="I438" s="1124">
        <f t="shared" si="380"/>
        <v>8300</v>
      </c>
      <c r="J438" s="1124">
        <f t="shared" si="380"/>
        <v>7700</v>
      </c>
      <c r="K438" s="1124">
        <f t="shared" si="380"/>
        <v>7600</v>
      </c>
      <c r="L438" s="1124">
        <f t="shared" si="380"/>
        <v>8100</v>
      </c>
      <c r="M438" s="1124">
        <f t="shared" si="380"/>
        <v>8600</v>
      </c>
      <c r="N438" s="1124">
        <f t="shared" si="380"/>
        <v>9400</v>
      </c>
      <c r="O438" s="1124">
        <f t="shared" si="380"/>
        <v>10900</v>
      </c>
      <c r="P438" s="1124">
        <f t="shared" si="380"/>
        <v>10700</v>
      </c>
      <c r="Q438" s="1124">
        <f t="shared" si="380"/>
        <v>11500</v>
      </c>
      <c r="R438" s="1124">
        <f t="shared" si="380"/>
        <v>14000</v>
      </c>
      <c r="S438" s="1124">
        <f t="shared" si="380"/>
        <v>15800</v>
      </c>
      <c r="T438" s="1124">
        <f t="shared" si="380"/>
        <v>16000</v>
      </c>
      <c r="U438" s="1124">
        <f t="shared" si="380"/>
        <v>18000</v>
      </c>
      <c r="V438" s="1124">
        <f t="shared" si="380"/>
        <v>22400</v>
      </c>
      <c r="W438" s="1124">
        <f t="shared" si="380"/>
        <v>25200</v>
      </c>
      <c r="X438" s="1124">
        <f t="shared" si="380"/>
        <v>22700</v>
      </c>
      <c r="Y438" s="1124">
        <f t="shared" si="380"/>
        <v>24000</v>
      </c>
      <c r="Z438" s="1124">
        <f t="shared" si="380"/>
        <v>25500</v>
      </c>
      <c r="AA438" s="1124">
        <f t="shared" si="380"/>
        <v>27100</v>
      </c>
      <c r="AB438" s="1124">
        <f t="shared" si="380"/>
        <v>37000</v>
      </c>
      <c r="AC438" s="1124">
        <f t="shared" si="380"/>
        <v>47300</v>
      </c>
      <c r="AD438" s="1124">
        <f t="shared" si="380"/>
        <v>51500</v>
      </c>
      <c r="AE438" s="1124">
        <f t="shared" si="380"/>
        <v>55100</v>
      </c>
      <c r="AF438" s="1124">
        <f t="shared" si="380"/>
        <v>56800</v>
      </c>
      <c r="AG438" s="1124">
        <f t="shared" si="380"/>
        <v>58400</v>
      </c>
      <c r="AH438" s="1124">
        <f t="shared" si="380"/>
        <v>60000</v>
      </c>
      <c r="AI438" s="1124">
        <f t="shared" si="380"/>
        <v>61500</v>
      </c>
      <c r="AJ438" s="1124">
        <f t="shared" si="380"/>
        <v>0</v>
      </c>
      <c r="AK438" s="1124">
        <f t="shared" si="380"/>
        <v>0</v>
      </c>
      <c r="AL438" s="1124">
        <f t="shared" si="380"/>
        <v>0</v>
      </c>
      <c r="AM438" s="1124">
        <f t="shared" si="380"/>
        <v>0</v>
      </c>
      <c r="AN438" s="1124">
        <f t="shared" si="380"/>
        <v>0</v>
      </c>
      <c r="AO438" s="1124">
        <f t="shared" si="380"/>
        <v>0</v>
      </c>
      <c r="AP438" s="1124">
        <f t="shared" si="380"/>
        <v>0</v>
      </c>
      <c r="AQ438" s="1124">
        <f t="shared" si="380"/>
        <v>0</v>
      </c>
      <c r="AR438" s="1124">
        <f t="shared" si="380"/>
        <v>0</v>
      </c>
      <c r="AS438" s="1124">
        <f t="shared" si="380"/>
        <v>0</v>
      </c>
    </row>
    <row r="439" spans="2:45" ht="15.6">
      <c r="B439" s="552" t="s">
        <v>981</v>
      </c>
      <c r="C439" s="437"/>
      <c r="D439" s="32"/>
      <c r="E439" s="65">
        <f t="shared" si="379"/>
        <v>1431700</v>
      </c>
      <c r="F439" s="31">
        <f t="shared" ref="F439:AS439" si="381">+F31+F34</f>
        <v>43200</v>
      </c>
      <c r="G439" s="1124">
        <f t="shared" si="381"/>
        <v>43700</v>
      </c>
      <c r="H439" s="1124">
        <f t="shared" si="381"/>
        <v>44100</v>
      </c>
      <c r="I439" s="1124">
        <f t="shared" si="381"/>
        <v>44500</v>
      </c>
      <c r="J439" s="1124">
        <f t="shared" si="381"/>
        <v>44800</v>
      </c>
      <c r="K439" s="1124">
        <f t="shared" si="381"/>
        <v>45000</v>
      </c>
      <c r="L439" s="1124">
        <f t="shared" si="381"/>
        <v>45100</v>
      </c>
      <c r="M439" s="1124">
        <f t="shared" si="381"/>
        <v>45200</v>
      </c>
      <c r="N439" s="1124">
        <f t="shared" si="381"/>
        <v>46500</v>
      </c>
      <c r="O439" s="1124">
        <f t="shared" si="381"/>
        <v>47900</v>
      </c>
      <c r="P439" s="1124">
        <f t="shared" si="381"/>
        <v>48500</v>
      </c>
      <c r="Q439" s="1124">
        <f t="shared" si="381"/>
        <v>49100</v>
      </c>
      <c r="R439" s="1124">
        <f t="shared" si="381"/>
        <v>53100</v>
      </c>
      <c r="S439" s="1124">
        <f t="shared" si="381"/>
        <v>53600</v>
      </c>
      <c r="T439" s="1124">
        <f t="shared" si="381"/>
        <v>54100</v>
      </c>
      <c r="U439" s="1124">
        <f t="shared" si="381"/>
        <v>54800</v>
      </c>
      <c r="V439" s="1124">
        <f t="shared" si="381"/>
        <v>57600</v>
      </c>
      <c r="W439" s="1124">
        <f t="shared" si="381"/>
        <v>57600</v>
      </c>
      <c r="X439" s="1124">
        <f t="shared" si="381"/>
        <v>50700</v>
      </c>
      <c r="Y439" s="1124">
        <f t="shared" si="381"/>
        <v>50400</v>
      </c>
      <c r="Z439" s="1124">
        <f t="shared" si="381"/>
        <v>50000</v>
      </c>
      <c r="AA439" s="1124">
        <f t="shared" si="381"/>
        <v>49400</v>
      </c>
      <c r="AB439" s="1124">
        <f t="shared" si="381"/>
        <v>48600</v>
      </c>
      <c r="AC439" s="1124">
        <f t="shared" si="381"/>
        <v>47600</v>
      </c>
      <c r="AD439" s="1124">
        <f t="shared" si="381"/>
        <v>46400</v>
      </c>
      <c r="AE439" s="1124">
        <f t="shared" si="381"/>
        <v>45100</v>
      </c>
      <c r="AF439" s="1124">
        <f t="shared" si="381"/>
        <v>43300</v>
      </c>
      <c r="AG439" s="1124">
        <f t="shared" si="381"/>
        <v>41900</v>
      </c>
      <c r="AH439" s="1124">
        <f t="shared" si="381"/>
        <v>40700</v>
      </c>
      <c r="AI439" s="1124">
        <f t="shared" si="381"/>
        <v>39200</v>
      </c>
      <c r="AJ439" s="1124">
        <f t="shared" si="381"/>
        <v>0</v>
      </c>
      <c r="AK439" s="1124">
        <f t="shared" si="381"/>
        <v>0</v>
      </c>
      <c r="AL439" s="1124">
        <f t="shared" si="381"/>
        <v>0</v>
      </c>
      <c r="AM439" s="1124">
        <f t="shared" si="381"/>
        <v>0</v>
      </c>
      <c r="AN439" s="1124">
        <f t="shared" si="381"/>
        <v>0</v>
      </c>
      <c r="AO439" s="1124">
        <f t="shared" si="381"/>
        <v>0</v>
      </c>
      <c r="AP439" s="1124">
        <f t="shared" si="381"/>
        <v>0</v>
      </c>
      <c r="AQ439" s="1124">
        <f t="shared" si="381"/>
        <v>0</v>
      </c>
      <c r="AR439" s="1124">
        <f t="shared" si="381"/>
        <v>0</v>
      </c>
      <c r="AS439" s="1124">
        <f t="shared" si="381"/>
        <v>0</v>
      </c>
    </row>
    <row r="440" spans="2:45" ht="15.6">
      <c r="B440" s="552" t="s">
        <v>1134</v>
      </c>
      <c r="C440" s="437"/>
      <c r="D440" s="32"/>
      <c r="E440" s="65">
        <f t="shared" si="379"/>
        <v>383900</v>
      </c>
      <c r="F440" s="31">
        <f t="shared" ref="F440:AS440" si="382">+F37+F38</f>
        <v>6100</v>
      </c>
      <c r="G440" s="1124">
        <f t="shared" si="382"/>
        <v>6500</v>
      </c>
      <c r="H440" s="1124">
        <f t="shared" si="382"/>
        <v>7000</v>
      </c>
      <c r="I440" s="1124">
        <f t="shared" si="382"/>
        <v>7500</v>
      </c>
      <c r="J440" s="1124">
        <f t="shared" si="382"/>
        <v>8000</v>
      </c>
      <c r="K440" s="1124">
        <f t="shared" si="382"/>
        <v>8500</v>
      </c>
      <c r="L440" s="1124">
        <f t="shared" si="382"/>
        <v>9000</v>
      </c>
      <c r="M440" s="1124">
        <f t="shared" si="382"/>
        <v>9600</v>
      </c>
      <c r="N440" s="1124">
        <f t="shared" si="382"/>
        <v>10000</v>
      </c>
      <c r="O440" s="1124">
        <f t="shared" si="382"/>
        <v>10300</v>
      </c>
      <c r="P440" s="1124">
        <f t="shared" si="382"/>
        <v>10600</v>
      </c>
      <c r="Q440" s="1124">
        <f t="shared" si="382"/>
        <v>10900</v>
      </c>
      <c r="R440" s="1124">
        <f t="shared" si="382"/>
        <v>11200</v>
      </c>
      <c r="S440" s="1124">
        <f t="shared" si="382"/>
        <v>11400</v>
      </c>
      <c r="T440" s="1124">
        <f t="shared" si="382"/>
        <v>11900</v>
      </c>
      <c r="U440" s="1124">
        <f t="shared" si="382"/>
        <v>12600</v>
      </c>
      <c r="V440" s="1124">
        <f t="shared" si="382"/>
        <v>13400</v>
      </c>
      <c r="W440" s="1124">
        <f t="shared" si="382"/>
        <v>14200</v>
      </c>
      <c r="X440" s="1124">
        <f t="shared" si="382"/>
        <v>12900</v>
      </c>
      <c r="Y440" s="1124">
        <f t="shared" si="382"/>
        <v>13500</v>
      </c>
      <c r="Z440" s="1124">
        <f t="shared" si="382"/>
        <v>14300</v>
      </c>
      <c r="AA440" s="1124">
        <f t="shared" si="382"/>
        <v>14900</v>
      </c>
      <c r="AB440" s="1124">
        <f t="shared" si="382"/>
        <v>15600</v>
      </c>
      <c r="AC440" s="1124">
        <f t="shared" si="382"/>
        <v>16500</v>
      </c>
      <c r="AD440" s="1124">
        <f t="shared" si="382"/>
        <v>17200</v>
      </c>
      <c r="AE440" s="1124">
        <f t="shared" si="382"/>
        <v>18200</v>
      </c>
      <c r="AF440" s="1124">
        <f t="shared" si="382"/>
        <v>19000</v>
      </c>
      <c r="AG440" s="1124">
        <f t="shared" si="382"/>
        <v>20000</v>
      </c>
      <c r="AH440" s="1124">
        <f t="shared" si="382"/>
        <v>21000</v>
      </c>
      <c r="AI440" s="1124">
        <f t="shared" si="382"/>
        <v>22100</v>
      </c>
      <c r="AJ440" s="1124">
        <f t="shared" si="382"/>
        <v>0</v>
      </c>
      <c r="AK440" s="1124">
        <f t="shared" si="382"/>
        <v>0</v>
      </c>
      <c r="AL440" s="1124">
        <f t="shared" si="382"/>
        <v>0</v>
      </c>
      <c r="AM440" s="1124">
        <f t="shared" si="382"/>
        <v>0</v>
      </c>
      <c r="AN440" s="1124">
        <f t="shared" si="382"/>
        <v>0</v>
      </c>
      <c r="AO440" s="1124">
        <f t="shared" si="382"/>
        <v>0</v>
      </c>
      <c r="AP440" s="1124">
        <f t="shared" si="382"/>
        <v>0</v>
      </c>
      <c r="AQ440" s="1124">
        <f t="shared" si="382"/>
        <v>0</v>
      </c>
      <c r="AR440" s="1124">
        <f t="shared" si="382"/>
        <v>0</v>
      </c>
      <c r="AS440" s="1124">
        <f t="shared" si="382"/>
        <v>0</v>
      </c>
    </row>
    <row r="441" spans="2:45" ht="15.6">
      <c r="B441" s="552" t="s">
        <v>195</v>
      </c>
      <c r="C441" s="437"/>
      <c r="D441" s="32"/>
      <c r="E441" s="65">
        <f t="shared" si="379"/>
        <v>1516900</v>
      </c>
      <c r="F441" s="31">
        <f t="shared" ref="F441:AS441" si="383">+F61</f>
        <v>0</v>
      </c>
      <c r="G441" s="1124">
        <f t="shared" si="383"/>
        <v>0</v>
      </c>
      <c r="H441" s="1124">
        <f t="shared" si="383"/>
        <v>0</v>
      </c>
      <c r="I441" s="1124">
        <f t="shared" si="383"/>
        <v>0</v>
      </c>
      <c r="J441" s="1124">
        <f t="shared" si="383"/>
        <v>0</v>
      </c>
      <c r="K441" s="1124">
        <f t="shared" si="383"/>
        <v>22100</v>
      </c>
      <c r="L441" s="1124">
        <f t="shared" si="383"/>
        <v>22500</v>
      </c>
      <c r="M441" s="1124">
        <f t="shared" si="383"/>
        <v>23000</v>
      </c>
      <c r="N441" s="1124">
        <f t="shared" si="383"/>
        <v>69900</v>
      </c>
      <c r="O441" s="1124">
        <f t="shared" si="383"/>
        <v>71300</v>
      </c>
      <c r="P441" s="1124">
        <f t="shared" si="383"/>
        <v>72700</v>
      </c>
      <c r="Q441" s="1124">
        <f t="shared" si="383"/>
        <v>74200</v>
      </c>
      <c r="R441" s="1124">
        <f t="shared" si="383"/>
        <v>75700</v>
      </c>
      <c r="S441" s="1124">
        <f t="shared" si="383"/>
        <v>77200</v>
      </c>
      <c r="T441" s="1124">
        <f t="shared" si="383"/>
        <v>78700</v>
      </c>
      <c r="U441" s="1124">
        <f t="shared" si="383"/>
        <v>80200</v>
      </c>
      <c r="V441" s="1124">
        <f t="shared" si="383"/>
        <v>63000</v>
      </c>
      <c r="W441" s="1124">
        <f t="shared" si="383"/>
        <v>64200</v>
      </c>
      <c r="X441" s="1124">
        <f t="shared" si="383"/>
        <v>65500</v>
      </c>
      <c r="Y441" s="1124">
        <f t="shared" si="383"/>
        <v>66800</v>
      </c>
      <c r="Z441" s="1124">
        <f t="shared" si="383"/>
        <v>68100</v>
      </c>
      <c r="AA441" s="1124">
        <f t="shared" si="383"/>
        <v>69500</v>
      </c>
      <c r="AB441" s="1124">
        <f t="shared" si="383"/>
        <v>70900</v>
      </c>
      <c r="AC441" s="1124">
        <f t="shared" si="383"/>
        <v>72300</v>
      </c>
      <c r="AD441" s="1124">
        <f t="shared" si="383"/>
        <v>49000</v>
      </c>
      <c r="AE441" s="1124">
        <f t="shared" si="383"/>
        <v>50000</v>
      </c>
      <c r="AF441" s="1124">
        <f t="shared" si="383"/>
        <v>51000</v>
      </c>
      <c r="AG441" s="1124">
        <f t="shared" si="383"/>
        <v>52000</v>
      </c>
      <c r="AH441" s="1124">
        <f t="shared" si="383"/>
        <v>53000</v>
      </c>
      <c r="AI441" s="1124">
        <f t="shared" si="383"/>
        <v>54100</v>
      </c>
      <c r="AJ441" s="1124">
        <f t="shared" si="383"/>
        <v>0</v>
      </c>
      <c r="AK441" s="1124">
        <f t="shared" si="383"/>
        <v>0</v>
      </c>
      <c r="AL441" s="1124">
        <f t="shared" si="383"/>
        <v>0</v>
      </c>
      <c r="AM441" s="1124">
        <f t="shared" si="383"/>
        <v>0</v>
      </c>
      <c r="AN441" s="1124">
        <f t="shared" si="383"/>
        <v>0</v>
      </c>
      <c r="AO441" s="1124">
        <f t="shared" si="383"/>
        <v>0</v>
      </c>
      <c r="AP441" s="1124">
        <f t="shared" si="383"/>
        <v>0</v>
      </c>
      <c r="AQ441" s="1124">
        <f t="shared" si="383"/>
        <v>0</v>
      </c>
      <c r="AR441" s="1124">
        <f t="shared" si="383"/>
        <v>0</v>
      </c>
      <c r="AS441" s="1124">
        <f t="shared" si="383"/>
        <v>0</v>
      </c>
    </row>
    <row r="442" spans="2:45" ht="15.6">
      <c r="B442" s="552" t="s">
        <v>88</v>
      </c>
      <c r="C442" s="437"/>
      <c r="D442" s="32"/>
      <c r="E442" s="65">
        <f t="shared" si="379"/>
        <v>144000</v>
      </c>
      <c r="F442" s="31">
        <f t="shared" ref="F442:AS442" si="384">+F65</f>
        <v>0</v>
      </c>
      <c r="G442" s="1124">
        <f t="shared" si="384"/>
        <v>0</v>
      </c>
      <c r="H442" s="1124">
        <f t="shared" si="384"/>
        <v>0</v>
      </c>
      <c r="I442" s="1124">
        <f t="shared" si="384"/>
        <v>0</v>
      </c>
      <c r="J442" s="1124">
        <f t="shared" si="384"/>
        <v>0</v>
      </c>
      <c r="K442" s="1124">
        <f t="shared" si="384"/>
        <v>0</v>
      </c>
      <c r="L442" s="1124">
        <f t="shared" si="384"/>
        <v>0</v>
      </c>
      <c r="M442" s="1124">
        <f t="shared" si="384"/>
        <v>0</v>
      </c>
      <c r="N442" s="1124">
        <f t="shared" si="384"/>
        <v>0</v>
      </c>
      <c r="O442" s="1124">
        <f t="shared" si="384"/>
        <v>0</v>
      </c>
      <c r="P442" s="1124">
        <f t="shared" si="384"/>
        <v>0</v>
      </c>
      <c r="Q442" s="1124">
        <f t="shared" si="384"/>
        <v>0</v>
      </c>
      <c r="R442" s="1124">
        <f t="shared" si="384"/>
        <v>0</v>
      </c>
      <c r="S442" s="1124">
        <f t="shared" si="384"/>
        <v>0</v>
      </c>
      <c r="T442" s="1124">
        <f t="shared" si="384"/>
        <v>9000</v>
      </c>
      <c r="U442" s="1124">
        <f t="shared" si="384"/>
        <v>9000</v>
      </c>
      <c r="V442" s="1124">
        <f t="shared" si="384"/>
        <v>9000</v>
      </c>
      <c r="W442" s="1124">
        <f t="shared" si="384"/>
        <v>9000</v>
      </c>
      <c r="X442" s="1124">
        <f t="shared" si="384"/>
        <v>9000</v>
      </c>
      <c r="Y442" s="1124">
        <f t="shared" si="384"/>
        <v>9000</v>
      </c>
      <c r="Z442" s="1124">
        <f t="shared" si="384"/>
        <v>9000</v>
      </c>
      <c r="AA442" s="1124">
        <f t="shared" si="384"/>
        <v>9000</v>
      </c>
      <c r="AB442" s="1124">
        <f t="shared" si="384"/>
        <v>9000</v>
      </c>
      <c r="AC442" s="1124">
        <f t="shared" si="384"/>
        <v>9000</v>
      </c>
      <c r="AD442" s="1124">
        <f t="shared" si="384"/>
        <v>9000</v>
      </c>
      <c r="AE442" s="1124">
        <f t="shared" si="384"/>
        <v>9000</v>
      </c>
      <c r="AF442" s="1124">
        <f t="shared" si="384"/>
        <v>9000</v>
      </c>
      <c r="AG442" s="1124">
        <f t="shared" si="384"/>
        <v>9000</v>
      </c>
      <c r="AH442" s="1124">
        <f t="shared" si="384"/>
        <v>9000</v>
      </c>
      <c r="AI442" s="1124">
        <f t="shared" si="384"/>
        <v>9000</v>
      </c>
      <c r="AJ442" s="1124">
        <f t="shared" si="384"/>
        <v>0</v>
      </c>
      <c r="AK442" s="1124">
        <f t="shared" si="384"/>
        <v>0</v>
      </c>
      <c r="AL442" s="1124">
        <f t="shared" si="384"/>
        <v>0</v>
      </c>
      <c r="AM442" s="1124">
        <f t="shared" si="384"/>
        <v>0</v>
      </c>
      <c r="AN442" s="1124">
        <f t="shared" si="384"/>
        <v>0</v>
      </c>
      <c r="AO442" s="1124">
        <f t="shared" si="384"/>
        <v>0</v>
      </c>
      <c r="AP442" s="1124">
        <f t="shared" si="384"/>
        <v>0</v>
      </c>
      <c r="AQ442" s="1124">
        <f t="shared" si="384"/>
        <v>0</v>
      </c>
      <c r="AR442" s="1124">
        <f t="shared" si="384"/>
        <v>0</v>
      </c>
      <c r="AS442" s="1124">
        <f t="shared" si="384"/>
        <v>0</v>
      </c>
    </row>
    <row r="443" spans="2:45" ht="15.6">
      <c r="B443" s="552" t="s">
        <v>614</v>
      </c>
      <c r="C443" s="437"/>
      <c r="D443" s="32"/>
      <c r="E443" s="635">
        <f t="shared" si="379"/>
        <v>549600</v>
      </c>
      <c r="F443" s="38">
        <f t="shared" ref="F443:AS443" si="385">+F70</f>
        <v>20000</v>
      </c>
      <c r="G443" s="1125">
        <f t="shared" si="385"/>
        <v>35600</v>
      </c>
      <c r="H443" s="1125">
        <f t="shared" si="385"/>
        <v>21200</v>
      </c>
      <c r="I443" s="1125">
        <f t="shared" si="385"/>
        <v>21900</v>
      </c>
      <c r="J443" s="1125">
        <f t="shared" si="385"/>
        <v>22600</v>
      </c>
      <c r="K443" s="1125">
        <f t="shared" si="385"/>
        <v>23400</v>
      </c>
      <c r="L443" s="1125">
        <f t="shared" si="385"/>
        <v>24200</v>
      </c>
      <c r="M443" s="1125">
        <f t="shared" si="385"/>
        <v>25000</v>
      </c>
      <c r="N443" s="1125">
        <f t="shared" si="385"/>
        <v>25800</v>
      </c>
      <c r="O443" s="1125">
        <f t="shared" si="385"/>
        <v>12500</v>
      </c>
      <c r="P443" s="1125">
        <f t="shared" si="385"/>
        <v>12800</v>
      </c>
      <c r="Q443" s="1125">
        <f t="shared" si="385"/>
        <v>13100</v>
      </c>
      <c r="R443" s="1125">
        <f t="shared" si="385"/>
        <v>13400</v>
      </c>
      <c r="S443" s="1125">
        <f t="shared" si="385"/>
        <v>13700</v>
      </c>
      <c r="T443" s="1125">
        <f t="shared" si="385"/>
        <v>14100</v>
      </c>
      <c r="U443" s="1125">
        <f t="shared" si="385"/>
        <v>14500</v>
      </c>
      <c r="V443" s="1125">
        <f t="shared" si="385"/>
        <v>14900</v>
      </c>
      <c r="W443" s="1125">
        <f t="shared" si="385"/>
        <v>15300</v>
      </c>
      <c r="X443" s="1125">
        <f t="shared" si="385"/>
        <v>15700</v>
      </c>
      <c r="Y443" s="1125">
        <f t="shared" si="385"/>
        <v>16100</v>
      </c>
      <c r="Z443" s="1125">
        <f t="shared" si="385"/>
        <v>16500</v>
      </c>
      <c r="AA443" s="1125">
        <f t="shared" si="385"/>
        <v>16900</v>
      </c>
      <c r="AB443" s="1125">
        <f t="shared" si="385"/>
        <v>17300</v>
      </c>
      <c r="AC443" s="1125">
        <f t="shared" si="385"/>
        <v>17800</v>
      </c>
      <c r="AD443" s="1125">
        <f t="shared" si="385"/>
        <v>16300</v>
      </c>
      <c r="AE443" s="1125">
        <f t="shared" si="385"/>
        <v>16800</v>
      </c>
      <c r="AF443" s="1125">
        <f t="shared" si="385"/>
        <v>17300</v>
      </c>
      <c r="AG443" s="1125">
        <f t="shared" si="385"/>
        <v>17800</v>
      </c>
      <c r="AH443" s="1125">
        <f t="shared" si="385"/>
        <v>18300</v>
      </c>
      <c r="AI443" s="1125">
        <f t="shared" si="385"/>
        <v>18800</v>
      </c>
      <c r="AJ443" s="1125">
        <f t="shared" si="385"/>
        <v>0</v>
      </c>
      <c r="AK443" s="1125">
        <f t="shared" si="385"/>
        <v>0</v>
      </c>
      <c r="AL443" s="1125">
        <f t="shared" si="385"/>
        <v>0</v>
      </c>
      <c r="AM443" s="1125">
        <f t="shared" si="385"/>
        <v>0</v>
      </c>
      <c r="AN443" s="1125">
        <f t="shared" si="385"/>
        <v>0</v>
      </c>
      <c r="AO443" s="1125">
        <f t="shared" si="385"/>
        <v>0</v>
      </c>
      <c r="AP443" s="1125">
        <f t="shared" si="385"/>
        <v>0</v>
      </c>
      <c r="AQ443" s="1125">
        <f t="shared" si="385"/>
        <v>0</v>
      </c>
      <c r="AR443" s="1125">
        <f t="shared" si="385"/>
        <v>0</v>
      </c>
      <c r="AS443" s="1125">
        <f t="shared" si="385"/>
        <v>0</v>
      </c>
    </row>
    <row r="444" spans="2:45" ht="15.6">
      <c r="B444" s="552" t="s">
        <v>635</v>
      </c>
      <c r="C444" s="437"/>
      <c r="D444" s="32"/>
      <c r="E444" s="65">
        <f t="shared" si="379"/>
        <v>4775000</v>
      </c>
      <c r="F444" s="31">
        <f>SUM(F438:F443)</f>
        <v>78900</v>
      </c>
      <c r="G444" s="1124">
        <f t="shared" ref="G444:AS444" si="386">SUM(G438:G443)</f>
        <v>95100</v>
      </c>
      <c r="H444" s="1124">
        <f t="shared" si="386"/>
        <v>81200</v>
      </c>
      <c r="I444" s="1124">
        <f t="shared" si="386"/>
        <v>82200</v>
      </c>
      <c r="J444" s="1124">
        <f t="shared" si="386"/>
        <v>83100</v>
      </c>
      <c r="K444" s="1124">
        <f t="shared" si="386"/>
        <v>106600</v>
      </c>
      <c r="L444" s="1124">
        <f t="shared" si="386"/>
        <v>108900</v>
      </c>
      <c r="M444" s="1124">
        <f t="shared" si="386"/>
        <v>111400</v>
      </c>
      <c r="N444" s="1124">
        <f t="shared" si="386"/>
        <v>161600</v>
      </c>
      <c r="O444" s="1124">
        <f t="shared" si="386"/>
        <v>152900</v>
      </c>
      <c r="P444" s="1124">
        <f t="shared" si="386"/>
        <v>155300</v>
      </c>
      <c r="Q444" s="1124">
        <f t="shared" si="386"/>
        <v>158800</v>
      </c>
      <c r="R444" s="1124">
        <f t="shared" si="386"/>
        <v>167400</v>
      </c>
      <c r="S444" s="1124">
        <f t="shared" si="386"/>
        <v>171700</v>
      </c>
      <c r="T444" s="1124">
        <f t="shared" si="386"/>
        <v>183800</v>
      </c>
      <c r="U444" s="1124">
        <f t="shared" si="386"/>
        <v>189100</v>
      </c>
      <c r="V444" s="1124">
        <f t="shared" si="386"/>
        <v>180300</v>
      </c>
      <c r="W444" s="1124">
        <f t="shared" si="386"/>
        <v>185500</v>
      </c>
      <c r="X444" s="1124">
        <f t="shared" si="386"/>
        <v>176500</v>
      </c>
      <c r="Y444" s="1124">
        <f t="shared" si="386"/>
        <v>179800</v>
      </c>
      <c r="Z444" s="1124">
        <f t="shared" si="386"/>
        <v>183400</v>
      </c>
      <c r="AA444" s="1124">
        <f t="shared" si="386"/>
        <v>186800</v>
      </c>
      <c r="AB444" s="1124">
        <f t="shared" si="386"/>
        <v>198400</v>
      </c>
      <c r="AC444" s="1124">
        <f t="shared" si="386"/>
        <v>210500</v>
      </c>
      <c r="AD444" s="1124">
        <f t="shared" si="386"/>
        <v>189400</v>
      </c>
      <c r="AE444" s="1124">
        <f t="shared" si="386"/>
        <v>194200</v>
      </c>
      <c r="AF444" s="1124">
        <f t="shared" si="386"/>
        <v>196400</v>
      </c>
      <c r="AG444" s="1124">
        <f t="shared" si="386"/>
        <v>199100</v>
      </c>
      <c r="AH444" s="1124">
        <f t="shared" si="386"/>
        <v>202000</v>
      </c>
      <c r="AI444" s="1124">
        <f t="shared" si="386"/>
        <v>204700</v>
      </c>
      <c r="AJ444" s="1124">
        <f t="shared" si="386"/>
        <v>0</v>
      </c>
      <c r="AK444" s="1124">
        <f t="shared" si="386"/>
        <v>0</v>
      </c>
      <c r="AL444" s="1124">
        <f t="shared" si="386"/>
        <v>0</v>
      </c>
      <c r="AM444" s="1124">
        <f t="shared" si="386"/>
        <v>0</v>
      </c>
      <c r="AN444" s="1124">
        <f t="shared" si="386"/>
        <v>0</v>
      </c>
      <c r="AO444" s="1124">
        <f t="shared" si="386"/>
        <v>0</v>
      </c>
      <c r="AP444" s="1124">
        <f t="shared" si="386"/>
        <v>0</v>
      </c>
      <c r="AQ444" s="1124">
        <f t="shared" si="386"/>
        <v>0</v>
      </c>
      <c r="AR444" s="1124">
        <f t="shared" si="386"/>
        <v>0</v>
      </c>
      <c r="AS444" s="1124">
        <f t="shared" si="386"/>
        <v>0</v>
      </c>
    </row>
    <row r="445" spans="2:45" ht="16.2" customHeight="1">
      <c r="B445" s="526"/>
      <c r="C445" s="399"/>
      <c r="F445" s="523"/>
    </row>
    <row r="446" spans="2:45" ht="18" thickBot="1">
      <c r="B446" s="866" t="s">
        <v>75</v>
      </c>
      <c r="C446" s="525"/>
      <c r="G446" s="92"/>
    </row>
    <row r="447" spans="2:45">
      <c r="B447" t="s">
        <v>453</v>
      </c>
      <c r="C447" s="136"/>
      <c r="E447" s="65">
        <f>SUM(F447:AS447)</f>
        <v>16808200</v>
      </c>
      <c r="F447" s="92">
        <f t="shared" ref="F447:AS447" si="387">+F8</f>
        <v>200000</v>
      </c>
      <c r="G447" s="92">
        <f t="shared" si="387"/>
        <v>187100</v>
      </c>
      <c r="H447" s="92">
        <f t="shared" si="387"/>
        <v>186800</v>
      </c>
      <c r="I447" s="92">
        <f t="shared" si="387"/>
        <v>173800</v>
      </c>
      <c r="J447" s="92">
        <f t="shared" si="387"/>
        <v>160500</v>
      </c>
      <c r="K447" s="92">
        <f t="shared" si="387"/>
        <v>148300</v>
      </c>
      <c r="L447" s="92">
        <f t="shared" si="387"/>
        <v>156400</v>
      </c>
      <c r="M447" s="92">
        <f t="shared" si="387"/>
        <v>166100</v>
      </c>
      <c r="N447" s="92">
        <f t="shared" si="387"/>
        <v>175900</v>
      </c>
      <c r="O447" s="92">
        <f t="shared" si="387"/>
        <v>202800</v>
      </c>
      <c r="P447" s="92">
        <f t="shared" si="387"/>
        <v>238100</v>
      </c>
      <c r="Q447" s="92">
        <f t="shared" si="387"/>
        <v>194200</v>
      </c>
      <c r="R447" s="92">
        <f t="shared" si="387"/>
        <v>272100</v>
      </c>
      <c r="S447" s="92">
        <f t="shared" si="387"/>
        <v>296700</v>
      </c>
      <c r="T447" s="92">
        <f t="shared" si="387"/>
        <v>344500</v>
      </c>
      <c r="U447" s="92">
        <f t="shared" si="387"/>
        <v>301300</v>
      </c>
      <c r="V447" s="92">
        <f t="shared" si="387"/>
        <v>424600</v>
      </c>
      <c r="W447" s="92">
        <f t="shared" si="387"/>
        <v>480700</v>
      </c>
      <c r="X447" s="92">
        <f t="shared" si="387"/>
        <v>541400</v>
      </c>
      <c r="Y447" s="92">
        <f t="shared" si="387"/>
        <v>574700</v>
      </c>
      <c r="Z447" s="92">
        <f t="shared" si="387"/>
        <v>609500</v>
      </c>
      <c r="AA447" s="92">
        <f t="shared" si="387"/>
        <v>647200</v>
      </c>
      <c r="AB447" s="92">
        <f t="shared" si="387"/>
        <v>688000</v>
      </c>
      <c r="AC447" s="92">
        <f t="shared" si="387"/>
        <v>1136000</v>
      </c>
      <c r="AD447" s="92">
        <f t="shared" si="387"/>
        <v>1199500</v>
      </c>
      <c r="AE447" s="92">
        <f t="shared" si="387"/>
        <v>1337600</v>
      </c>
      <c r="AF447" s="92">
        <f t="shared" si="387"/>
        <v>1379900</v>
      </c>
      <c r="AG447" s="92">
        <f t="shared" si="387"/>
        <v>1423300</v>
      </c>
      <c r="AH447" s="92">
        <f t="shared" si="387"/>
        <v>1461500</v>
      </c>
      <c r="AI447" s="92">
        <f t="shared" si="387"/>
        <v>1499700</v>
      </c>
      <c r="AJ447" s="92">
        <f t="shared" si="387"/>
        <v>0</v>
      </c>
      <c r="AK447" s="92">
        <f t="shared" si="387"/>
        <v>0</v>
      </c>
      <c r="AL447" s="92">
        <f t="shared" si="387"/>
        <v>0</v>
      </c>
      <c r="AM447" s="92">
        <f t="shared" si="387"/>
        <v>0</v>
      </c>
      <c r="AN447" s="92">
        <f t="shared" si="387"/>
        <v>0</v>
      </c>
      <c r="AO447" s="92">
        <f t="shared" si="387"/>
        <v>0</v>
      </c>
      <c r="AP447" s="92">
        <f t="shared" si="387"/>
        <v>0</v>
      </c>
      <c r="AQ447" s="92">
        <f t="shared" si="387"/>
        <v>0</v>
      </c>
      <c r="AR447" s="92">
        <f t="shared" si="387"/>
        <v>0</v>
      </c>
      <c r="AS447" s="92">
        <f t="shared" si="387"/>
        <v>0</v>
      </c>
    </row>
    <row r="448" spans="2:45">
      <c r="E448" s="65"/>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2"/>
      <c r="AK448" s="92"/>
      <c r="AL448" s="92"/>
      <c r="AM448" s="92"/>
      <c r="AN448" s="92"/>
      <c r="AO448" s="92"/>
      <c r="AP448" s="92"/>
      <c r="AQ448" s="92"/>
      <c r="AR448" s="92"/>
      <c r="AS448" s="92"/>
    </row>
    <row r="449" spans="2:63" ht="15.6">
      <c r="B449" s="22" t="s">
        <v>79</v>
      </c>
      <c r="C449" s="136"/>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2"/>
      <c r="AK449" s="92"/>
      <c r="AL449" s="92"/>
      <c r="AM449" s="92"/>
      <c r="AN449" s="92"/>
      <c r="AO449" s="92"/>
      <c r="AP449" s="92"/>
      <c r="AQ449" s="92"/>
      <c r="AR449" s="92"/>
      <c r="AS449" s="92"/>
      <c r="AT449" s="224"/>
      <c r="AU449" s="224"/>
      <c r="AV449" s="224"/>
      <c r="AW449" s="347"/>
      <c r="AX449" s="435"/>
      <c r="AY449" s="214"/>
      <c r="AZ449" s="214"/>
      <c r="BA449" s="214"/>
      <c r="BB449" s="214"/>
      <c r="BC449" s="214"/>
      <c r="BD449" s="214"/>
      <c r="BE449" s="214"/>
      <c r="BF449" s="214"/>
      <c r="BG449" s="214"/>
      <c r="BH449" s="214"/>
      <c r="BI449" s="214"/>
      <c r="BJ449" s="214"/>
      <c r="BK449" s="214"/>
    </row>
    <row r="450" spans="2:63">
      <c r="B450" s="43" t="s">
        <v>1500</v>
      </c>
      <c r="C450" t="s">
        <v>1604</v>
      </c>
      <c r="F450" s="92">
        <f t="shared" ref="F450:AS450" si="388">+F8</f>
        <v>200000</v>
      </c>
      <c r="G450" s="92">
        <f t="shared" si="388"/>
        <v>187100</v>
      </c>
      <c r="H450" s="92">
        <f t="shared" si="388"/>
        <v>186800</v>
      </c>
      <c r="I450" s="92">
        <f t="shared" si="388"/>
        <v>173800</v>
      </c>
      <c r="J450" s="92">
        <f t="shared" si="388"/>
        <v>160500</v>
      </c>
      <c r="K450" s="92">
        <f t="shared" si="388"/>
        <v>148300</v>
      </c>
      <c r="L450" s="92">
        <f t="shared" si="388"/>
        <v>156400</v>
      </c>
      <c r="M450" s="92">
        <f t="shared" si="388"/>
        <v>166100</v>
      </c>
      <c r="N450" s="92">
        <f t="shared" si="388"/>
        <v>175900</v>
      </c>
      <c r="O450" s="92">
        <f t="shared" si="388"/>
        <v>202800</v>
      </c>
      <c r="P450" s="92">
        <f t="shared" si="388"/>
        <v>238100</v>
      </c>
      <c r="Q450" s="92">
        <f t="shared" si="388"/>
        <v>194200</v>
      </c>
      <c r="R450" s="92">
        <f t="shared" si="388"/>
        <v>272100</v>
      </c>
      <c r="S450" s="92">
        <f t="shared" si="388"/>
        <v>296700</v>
      </c>
      <c r="T450" s="92">
        <f t="shared" si="388"/>
        <v>344500</v>
      </c>
      <c r="U450" s="92">
        <f t="shared" si="388"/>
        <v>301300</v>
      </c>
      <c r="V450" s="92">
        <f t="shared" si="388"/>
        <v>424600</v>
      </c>
      <c r="W450" s="92">
        <f t="shared" si="388"/>
        <v>480700</v>
      </c>
      <c r="X450" s="92">
        <f t="shared" si="388"/>
        <v>541400</v>
      </c>
      <c r="Y450" s="92">
        <f t="shared" si="388"/>
        <v>574700</v>
      </c>
      <c r="Z450" s="92">
        <f t="shared" si="388"/>
        <v>609500</v>
      </c>
      <c r="AA450" s="92">
        <f t="shared" si="388"/>
        <v>647200</v>
      </c>
      <c r="AB450" s="92">
        <f t="shared" si="388"/>
        <v>688000</v>
      </c>
      <c r="AC450" s="92">
        <f t="shared" si="388"/>
        <v>1136000</v>
      </c>
      <c r="AD450" s="92">
        <f t="shared" si="388"/>
        <v>1199500</v>
      </c>
      <c r="AE450" s="92">
        <f t="shared" si="388"/>
        <v>1337600</v>
      </c>
      <c r="AF450" s="92">
        <f t="shared" si="388"/>
        <v>1379900</v>
      </c>
      <c r="AG450" s="92">
        <f t="shared" si="388"/>
        <v>1423300</v>
      </c>
      <c r="AH450" s="92">
        <f t="shared" si="388"/>
        <v>1461500</v>
      </c>
      <c r="AI450" s="92">
        <f t="shared" si="388"/>
        <v>1499700</v>
      </c>
      <c r="AJ450" s="92">
        <f t="shared" si="388"/>
        <v>0</v>
      </c>
      <c r="AK450" s="92">
        <f t="shared" si="388"/>
        <v>0</v>
      </c>
      <c r="AL450" s="92">
        <f t="shared" si="388"/>
        <v>0</v>
      </c>
      <c r="AM450" s="92">
        <f t="shared" si="388"/>
        <v>0</v>
      </c>
      <c r="AN450" s="92">
        <f t="shared" si="388"/>
        <v>0</v>
      </c>
      <c r="AO450" s="92">
        <f t="shared" si="388"/>
        <v>0</v>
      </c>
      <c r="AP450" s="92">
        <f t="shared" si="388"/>
        <v>0</v>
      </c>
      <c r="AQ450" s="92">
        <f t="shared" si="388"/>
        <v>0</v>
      </c>
      <c r="AR450" s="92">
        <f t="shared" si="388"/>
        <v>0</v>
      </c>
      <c r="AS450" s="92">
        <f t="shared" si="388"/>
        <v>0</v>
      </c>
    </row>
    <row r="451" spans="2:63">
      <c r="B451" s="43" t="s">
        <v>1306</v>
      </c>
      <c r="C451" t="s">
        <v>1605</v>
      </c>
      <c r="E451" s="65">
        <f t="shared" ref="E451:E472" si="389">SUM(F451:AS451)</f>
        <v>1516900</v>
      </c>
      <c r="F451" s="92">
        <f t="shared" ref="F451:AS451" si="390">+F61</f>
        <v>0</v>
      </c>
      <c r="G451" s="92">
        <f t="shared" si="390"/>
        <v>0</v>
      </c>
      <c r="H451" s="92">
        <f t="shared" si="390"/>
        <v>0</v>
      </c>
      <c r="I451" s="92">
        <f t="shared" si="390"/>
        <v>0</v>
      </c>
      <c r="J451" s="92">
        <f t="shared" si="390"/>
        <v>0</v>
      </c>
      <c r="K451" s="92">
        <f t="shared" si="390"/>
        <v>22100</v>
      </c>
      <c r="L451" s="92">
        <f t="shared" si="390"/>
        <v>22500</v>
      </c>
      <c r="M451" s="92">
        <f t="shared" si="390"/>
        <v>23000</v>
      </c>
      <c r="N451" s="92">
        <f t="shared" si="390"/>
        <v>69900</v>
      </c>
      <c r="O451" s="92">
        <f t="shared" si="390"/>
        <v>71300</v>
      </c>
      <c r="P451" s="92">
        <f t="shared" si="390"/>
        <v>72700</v>
      </c>
      <c r="Q451" s="92">
        <f t="shared" si="390"/>
        <v>74200</v>
      </c>
      <c r="R451" s="92">
        <f t="shared" si="390"/>
        <v>75700</v>
      </c>
      <c r="S451" s="92">
        <f t="shared" si="390"/>
        <v>77200</v>
      </c>
      <c r="T451" s="92">
        <f t="shared" si="390"/>
        <v>78700</v>
      </c>
      <c r="U451" s="92">
        <f t="shared" si="390"/>
        <v>80200</v>
      </c>
      <c r="V451" s="92">
        <f t="shared" si="390"/>
        <v>63000</v>
      </c>
      <c r="W451" s="92">
        <f t="shared" si="390"/>
        <v>64200</v>
      </c>
      <c r="X451" s="92">
        <f t="shared" si="390"/>
        <v>65500</v>
      </c>
      <c r="Y451" s="92">
        <f t="shared" si="390"/>
        <v>66800</v>
      </c>
      <c r="Z451" s="92">
        <f t="shared" si="390"/>
        <v>68100</v>
      </c>
      <c r="AA451" s="92">
        <f t="shared" si="390"/>
        <v>69500</v>
      </c>
      <c r="AB451" s="92">
        <f t="shared" si="390"/>
        <v>70900</v>
      </c>
      <c r="AC451" s="92">
        <f t="shared" si="390"/>
        <v>72300</v>
      </c>
      <c r="AD451" s="92">
        <f t="shared" si="390"/>
        <v>49000</v>
      </c>
      <c r="AE451" s="92">
        <f t="shared" si="390"/>
        <v>50000</v>
      </c>
      <c r="AF451" s="92">
        <f t="shared" si="390"/>
        <v>51000</v>
      </c>
      <c r="AG451" s="92">
        <f t="shared" si="390"/>
        <v>52000</v>
      </c>
      <c r="AH451" s="92">
        <f t="shared" si="390"/>
        <v>53000</v>
      </c>
      <c r="AI451" s="92">
        <f t="shared" si="390"/>
        <v>54100</v>
      </c>
      <c r="AJ451" s="92">
        <f t="shared" si="390"/>
        <v>0</v>
      </c>
      <c r="AK451" s="92">
        <f t="shared" si="390"/>
        <v>0</v>
      </c>
      <c r="AL451" s="92">
        <f t="shared" si="390"/>
        <v>0</v>
      </c>
      <c r="AM451" s="92">
        <f t="shared" si="390"/>
        <v>0</v>
      </c>
      <c r="AN451" s="92">
        <f t="shared" si="390"/>
        <v>0</v>
      </c>
      <c r="AO451" s="92">
        <f t="shared" si="390"/>
        <v>0</v>
      </c>
      <c r="AP451" s="92">
        <f t="shared" si="390"/>
        <v>0</v>
      </c>
      <c r="AQ451" s="92">
        <f t="shared" si="390"/>
        <v>0</v>
      </c>
      <c r="AR451" s="92">
        <f t="shared" si="390"/>
        <v>0</v>
      </c>
      <c r="AS451" s="92">
        <f t="shared" si="390"/>
        <v>0</v>
      </c>
    </row>
    <row r="452" spans="2:63">
      <c r="B452" s="43" t="s">
        <v>945</v>
      </c>
      <c r="C452" t="s">
        <v>1606</v>
      </c>
      <c r="E452" s="65">
        <f t="shared" si="389"/>
        <v>144000</v>
      </c>
      <c r="F452" s="92">
        <f t="shared" ref="F452:AS452" si="391">+F62</f>
        <v>0</v>
      </c>
      <c r="G452" s="92">
        <f t="shared" si="391"/>
        <v>0</v>
      </c>
      <c r="H452" s="92">
        <f t="shared" si="391"/>
        <v>0</v>
      </c>
      <c r="I452" s="92">
        <f t="shared" si="391"/>
        <v>0</v>
      </c>
      <c r="J452" s="92">
        <f t="shared" si="391"/>
        <v>0</v>
      </c>
      <c r="K452" s="92">
        <f t="shared" si="391"/>
        <v>0</v>
      </c>
      <c r="L452" s="92">
        <f t="shared" si="391"/>
        <v>0</v>
      </c>
      <c r="M452" s="92">
        <f t="shared" si="391"/>
        <v>0</v>
      </c>
      <c r="N452" s="92">
        <f t="shared" si="391"/>
        <v>0</v>
      </c>
      <c r="O452" s="92">
        <f t="shared" si="391"/>
        <v>0</v>
      </c>
      <c r="P452" s="92">
        <f t="shared" si="391"/>
        <v>0</v>
      </c>
      <c r="Q452" s="92">
        <f t="shared" si="391"/>
        <v>0</v>
      </c>
      <c r="R452" s="92">
        <f t="shared" si="391"/>
        <v>0</v>
      </c>
      <c r="S452" s="92">
        <f t="shared" si="391"/>
        <v>0</v>
      </c>
      <c r="T452" s="92">
        <f t="shared" si="391"/>
        <v>9000</v>
      </c>
      <c r="U452" s="92">
        <f t="shared" si="391"/>
        <v>9000</v>
      </c>
      <c r="V452" s="92">
        <f t="shared" si="391"/>
        <v>9000</v>
      </c>
      <c r="W452" s="92">
        <f t="shared" si="391"/>
        <v>9000</v>
      </c>
      <c r="X452" s="92">
        <f t="shared" si="391"/>
        <v>9000</v>
      </c>
      <c r="Y452" s="92">
        <f t="shared" si="391"/>
        <v>9000</v>
      </c>
      <c r="Z452" s="92">
        <f t="shared" si="391"/>
        <v>9000</v>
      </c>
      <c r="AA452" s="92">
        <f t="shared" si="391"/>
        <v>9000</v>
      </c>
      <c r="AB452" s="92">
        <f t="shared" si="391"/>
        <v>9000</v>
      </c>
      <c r="AC452" s="92">
        <f t="shared" si="391"/>
        <v>9000</v>
      </c>
      <c r="AD452" s="92">
        <f t="shared" si="391"/>
        <v>9000</v>
      </c>
      <c r="AE452" s="92">
        <f t="shared" si="391"/>
        <v>9000</v>
      </c>
      <c r="AF452" s="92">
        <f t="shared" si="391"/>
        <v>9000</v>
      </c>
      <c r="AG452" s="92">
        <f t="shared" si="391"/>
        <v>9000</v>
      </c>
      <c r="AH452" s="92">
        <f t="shared" si="391"/>
        <v>9000</v>
      </c>
      <c r="AI452" s="92">
        <f t="shared" si="391"/>
        <v>9000</v>
      </c>
      <c r="AJ452" s="92">
        <f t="shared" si="391"/>
        <v>0</v>
      </c>
      <c r="AK452" s="92">
        <f t="shared" si="391"/>
        <v>0</v>
      </c>
      <c r="AL452" s="92">
        <f t="shared" si="391"/>
        <v>0</v>
      </c>
      <c r="AM452" s="92">
        <f t="shared" si="391"/>
        <v>0</v>
      </c>
      <c r="AN452" s="92">
        <f t="shared" si="391"/>
        <v>0</v>
      </c>
      <c r="AO452" s="92">
        <f t="shared" si="391"/>
        <v>0</v>
      </c>
      <c r="AP452" s="92">
        <f t="shared" si="391"/>
        <v>0</v>
      </c>
      <c r="AQ452" s="92">
        <f t="shared" si="391"/>
        <v>0</v>
      </c>
      <c r="AR452" s="92">
        <f t="shared" si="391"/>
        <v>0</v>
      </c>
      <c r="AS452" s="92">
        <f t="shared" si="391"/>
        <v>0</v>
      </c>
    </row>
    <row r="453" spans="2:63">
      <c r="B453" s="43" t="s">
        <v>1307</v>
      </c>
      <c r="C453" t="s">
        <v>1607</v>
      </c>
      <c r="E453" s="65">
        <f t="shared" si="389"/>
        <v>549600</v>
      </c>
      <c r="F453" s="92">
        <f t="shared" ref="F453:AS453" si="392">+F70</f>
        <v>20000</v>
      </c>
      <c r="G453" s="92">
        <f t="shared" si="392"/>
        <v>35600</v>
      </c>
      <c r="H453" s="92">
        <f t="shared" si="392"/>
        <v>21200</v>
      </c>
      <c r="I453" s="92">
        <f t="shared" si="392"/>
        <v>21900</v>
      </c>
      <c r="J453" s="92">
        <f t="shared" si="392"/>
        <v>22600</v>
      </c>
      <c r="K453" s="92">
        <f t="shared" si="392"/>
        <v>23400</v>
      </c>
      <c r="L453" s="92">
        <f t="shared" si="392"/>
        <v>24200</v>
      </c>
      <c r="M453" s="92">
        <f t="shared" si="392"/>
        <v>25000</v>
      </c>
      <c r="N453" s="92">
        <f t="shared" si="392"/>
        <v>25800</v>
      </c>
      <c r="O453" s="92">
        <f t="shared" si="392"/>
        <v>12500</v>
      </c>
      <c r="P453" s="92">
        <f t="shared" si="392"/>
        <v>12800</v>
      </c>
      <c r="Q453" s="92">
        <f t="shared" si="392"/>
        <v>13100</v>
      </c>
      <c r="R453" s="92">
        <f t="shared" si="392"/>
        <v>13400</v>
      </c>
      <c r="S453" s="92">
        <f t="shared" si="392"/>
        <v>13700</v>
      </c>
      <c r="T453" s="92">
        <f t="shared" si="392"/>
        <v>14100</v>
      </c>
      <c r="U453" s="92">
        <f t="shared" si="392"/>
        <v>14500</v>
      </c>
      <c r="V453" s="92">
        <f t="shared" si="392"/>
        <v>14900</v>
      </c>
      <c r="W453" s="92">
        <f t="shared" si="392"/>
        <v>15300</v>
      </c>
      <c r="X453" s="92">
        <f t="shared" si="392"/>
        <v>15700</v>
      </c>
      <c r="Y453" s="92">
        <f t="shared" si="392"/>
        <v>16100</v>
      </c>
      <c r="Z453" s="92">
        <f t="shared" si="392"/>
        <v>16500</v>
      </c>
      <c r="AA453" s="92">
        <f t="shared" si="392"/>
        <v>16900</v>
      </c>
      <c r="AB453" s="92">
        <f t="shared" si="392"/>
        <v>17300</v>
      </c>
      <c r="AC453" s="92">
        <f t="shared" si="392"/>
        <v>17800</v>
      </c>
      <c r="AD453" s="92">
        <f t="shared" si="392"/>
        <v>16300</v>
      </c>
      <c r="AE453" s="92">
        <f t="shared" si="392"/>
        <v>16800</v>
      </c>
      <c r="AF453" s="92">
        <f t="shared" si="392"/>
        <v>17300</v>
      </c>
      <c r="AG453" s="92">
        <f t="shared" si="392"/>
        <v>17800</v>
      </c>
      <c r="AH453" s="92">
        <f t="shared" si="392"/>
        <v>18300</v>
      </c>
      <c r="AI453" s="92">
        <f t="shared" si="392"/>
        <v>18800</v>
      </c>
      <c r="AJ453" s="92">
        <f t="shared" si="392"/>
        <v>0</v>
      </c>
      <c r="AK453" s="92">
        <f t="shared" si="392"/>
        <v>0</v>
      </c>
      <c r="AL453" s="92">
        <f t="shared" si="392"/>
        <v>0</v>
      </c>
      <c r="AM453" s="92">
        <f t="shared" si="392"/>
        <v>0</v>
      </c>
      <c r="AN453" s="92">
        <f t="shared" si="392"/>
        <v>0</v>
      </c>
      <c r="AO453" s="92">
        <f t="shared" si="392"/>
        <v>0</v>
      </c>
      <c r="AP453" s="92">
        <f t="shared" si="392"/>
        <v>0</v>
      </c>
      <c r="AQ453" s="92">
        <f t="shared" si="392"/>
        <v>0</v>
      </c>
      <c r="AR453" s="92">
        <f t="shared" si="392"/>
        <v>0</v>
      </c>
      <c r="AS453" s="92">
        <f t="shared" si="392"/>
        <v>0</v>
      </c>
    </row>
    <row r="454" spans="2:63">
      <c r="B454" s="1446" t="s">
        <v>1813</v>
      </c>
      <c r="E454" s="65"/>
      <c r="F454" s="92">
        <f t="shared" ref="F454:AS454" si="393">+F74</f>
        <v>0</v>
      </c>
      <c r="G454" s="92">
        <f t="shared" si="393"/>
        <v>0</v>
      </c>
      <c r="H454" s="92">
        <f t="shared" si="393"/>
        <v>0</v>
      </c>
      <c r="I454" s="92">
        <f t="shared" si="393"/>
        <v>0</v>
      </c>
      <c r="J454" s="92">
        <f t="shared" si="393"/>
        <v>0</v>
      </c>
      <c r="K454" s="92">
        <f t="shared" si="393"/>
        <v>0</v>
      </c>
      <c r="L454" s="92">
        <f t="shared" si="393"/>
        <v>0</v>
      </c>
      <c r="M454" s="92">
        <f t="shared" si="393"/>
        <v>0</v>
      </c>
      <c r="N454" s="92">
        <f t="shared" si="393"/>
        <v>0</v>
      </c>
      <c r="O454" s="92">
        <f t="shared" si="393"/>
        <v>0</v>
      </c>
      <c r="P454" s="92">
        <f t="shared" si="393"/>
        <v>0</v>
      </c>
      <c r="Q454" s="92">
        <f t="shared" si="393"/>
        <v>0</v>
      </c>
      <c r="R454" s="92">
        <f t="shared" si="393"/>
        <v>0</v>
      </c>
      <c r="S454" s="92">
        <f t="shared" si="393"/>
        <v>0</v>
      </c>
      <c r="T454" s="92">
        <f t="shared" si="393"/>
        <v>0</v>
      </c>
      <c r="U454" s="92">
        <f t="shared" si="393"/>
        <v>0</v>
      </c>
      <c r="V454" s="92">
        <f t="shared" si="393"/>
        <v>0</v>
      </c>
      <c r="W454" s="92">
        <f t="shared" si="393"/>
        <v>0</v>
      </c>
      <c r="X454" s="92">
        <f t="shared" si="393"/>
        <v>0</v>
      </c>
      <c r="Y454" s="92">
        <f t="shared" si="393"/>
        <v>0</v>
      </c>
      <c r="Z454" s="92">
        <f t="shared" si="393"/>
        <v>0</v>
      </c>
      <c r="AA454" s="92">
        <f t="shared" si="393"/>
        <v>0</v>
      </c>
      <c r="AB454" s="92">
        <f t="shared" si="393"/>
        <v>0</v>
      </c>
      <c r="AC454" s="92">
        <f t="shared" si="393"/>
        <v>0</v>
      </c>
      <c r="AD454" s="92">
        <f t="shared" si="393"/>
        <v>0</v>
      </c>
      <c r="AE454" s="92">
        <f t="shared" si="393"/>
        <v>0</v>
      </c>
      <c r="AF454" s="92">
        <f t="shared" si="393"/>
        <v>0</v>
      </c>
      <c r="AG454" s="92">
        <f t="shared" si="393"/>
        <v>0</v>
      </c>
      <c r="AH454" s="92">
        <f t="shared" si="393"/>
        <v>0</v>
      </c>
      <c r="AI454" s="92">
        <f t="shared" si="393"/>
        <v>0</v>
      </c>
      <c r="AJ454" s="92">
        <f t="shared" si="393"/>
        <v>0</v>
      </c>
      <c r="AK454" s="92">
        <f t="shared" si="393"/>
        <v>0</v>
      </c>
      <c r="AL454" s="92">
        <f t="shared" si="393"/>
        <v>0</v>
      </c>
      <c r="AM454" s="92">
        <f t="shared" si="393"/>
        <v>0</v>
      </c>
      <c r="AN454" s="92">
        <f t="shared" si="393"/>
        <v>0</v>
      </c>
      <c r="AO454" s="92">
        <f t="shared" si="393"/>
        <v>0</v>
      </c>
      <c r="AP454" s="92">
        <f t="shared" si="393"/>
        <v>0</v>
      </c>
      <c r="AQ454" s="92">
        <f t="shared" si="393"/>
        <v>0</v>
      </c>
      <c r="AR454" s="92">
        <f t="shared" si="393"/>
        <v>0</v>
      </c>
      <c r="AS454" s="92">
        <f t="shared" si="393"/>
        <v>0</v>
      </c>
    </row>
    <row r="455" spans="2:63">
      <c r="B455" s="43" t="s">
        <v>257</v>
      </c>
      <c r="C455" t="s">
        <v>1608</v>
      </c>
      <c r="E455" s="65">
        <f t="shared" si="389"/>
        <v>402600</v>
      </c>
      <c r="F455" s="92">
        <f t="shared" ref="F455:AS455" si="394">-F91</f>
        <v>40000</v>
      </c>
      <c r="G455" s="92">
        <f t="shared" si="394"/>
        <v>41200</v>
      </c>
      <c r="H455" s="92">
        <f t="shared" si="394"/>
        <v>42400</v>
      </c>
      <c r="I455" s="92">
        <f t="shared" si="394"/>
        <v>43700</v>
      </c>
      <c r="J455" s="92">
        <f t="shared" si="394"/>
        <v>45000</v>
      </c>
      <c r="K455" s="92">
        <f t="shared" si="394"/>
        <v>46400</v>
      </c>
      <c r="L455" s="92">
        <f t="shared" si="394"/>
        <v>47800</v>
      </c>
      <c r="M455" s="92">
        <f t="shared" si="394"/>
        <v>49200</v>
      </c>
      <c r="N455" s="92">
        <f t="shared" si="394"/>
        <v>10000</v>
      </c>
      <c r="O455" s="92">
        <f t="shared" si="394"/>
        <v>9000</v>
      </c>
      <c r="P455" s="92">
        <f t="shared" si="394"/>
        <v>8100</v>
      </c>
      <c r="Q455" s="92">
        <f t="shared" si="394"/>
        <v>7300</v>
      </c>
      <c r="R455" s="92">
        <f t="shared" si="394"/>
        <v>6600</v>
      </c>
      <c r="S455" s="92">
        <f t="shared" si="394"/>
        <v>5900</v>
      </c>
      <c r="T455" s="92">
        <f t="shared" si="394"/>
        <v>0</v>
      </c>
      <c r="U455" s="92">
        <f t="shared" si="394"/>
        <v>0</v>
      </c>
      <c r="V455" s="92">
        <f t="shared" si="394"/>
        <v>0</v>
      </c>
      <c r="W455" s="92">
        <f t="shared" si="394"/>
        <v>0</v>
      </c>
      <c r="X455" s="92">
        <f t="shared" si="394"/>
        <v>0</v>
      </c>
      <c r="Y455" s="92">
        <f t="shared" si="394"/>
        <v>0</v>
      </c>
      <c r="Z455" s="92">
        <f t="shared" si="394"/>
        <v>0</v>
      </c>
      <c r="AA455" s="92">
        <f t="shared" si="394"/>
        <v>0</v>
      </c>
      <c r="AB455" s="92">
        <f t="shared" si="394"/>
        <v>0</v>
      </c>
      <c r="AC455" s="92">
        <f t="shared" si="394"/>
        <v>0</v>
      </c>
      <c r="AD455" s="92">
        <f t="shared" si="394"/>
        <v>0</v>
      </c>
      <c r="AE455" s="92">
        <f t="shared" si="394"/>
        <v>0</v>
      </c>
      <c r="AF455" s="92">
        <f t="shared" si="394"/>
        <v>0</v>
      </c>
      <c r="AG455" s="92">
        <f t="shared" si="394"/>
        <v>0</v>
      </c>
      <c r="AH455" s="92">
        <f t="shared" si="394"/>
        <v>0</v>
      </c>
      <c r="AI455" s="92">
        <f t="shared" si="394"/>
        <v>0</v>
      </c>
      <c r="AJ455" s="92">
        <f t="shared" si="394"/>
        <v>0</v>
      </c>
      <c r="AK455" s="92">
        <f t="shared" si="394"/>
        <v>0</v>
      </c>
      <c r="AL455" s="92">
        <f t="shared" si="394"/>
        <v>0</v>
      </c>
      <c r="AM455" s="92">
        <f t="shared" si="394"/>
        <v>0</v>
      </c>
      <c r="AN455" s="92">
        <f t="shared" si="394"/>
        <v>0</v>
      </c>
      <c r="AO455" s="92">
        <f t="shared" si="394"/>
        <v>0</v>
      </c>
      <c r="AP455" s="92">
        <f t="shared" si="394"/>
        <v>0</v>
      </c>
      <c r="AQ455" s="92">
        <f t="shared" si="394"/>
        <v>0</v>
      </c>
      <c r="AR455" s="92">
        <f t="shared" si="394"/>
        <v>0</v>
      </c>
      <c r="AS455" s="92">
        <f t="shared" si="394"/>
        <v>0</v>
      </c>
    </row>
    <row r="456" spans="2:63">
      <c r="B456" s="43" t="s">
        <v>1641</v>
      </c>
      <c r="C456" t="s">
        <v>1609</v>
      </c>
      <c r="E456" s="65">
        <f t="shared" si="389"/>
        <v>487400</v>
      </c>
      <c r="F456" s="92">
        <f t="shared" ref="F456:AS456" si="395">-F94</f>
        <v>0</v>
      </c>
      <c r="G456" s="92">
        <f t="shared" si="395"/>
        <v>0</v>
      </c>
      <c r="H456" s="92">
        <f t="shared" si="395"/>
        <v>0</v>
      </c>
      <c r="I456" s="92">
        <f t="shared" si="395"/>
        <v>0</v>
      </c>
      <c r="J456" s="92">
        <f t="shared" si="395"/>
        <v>0</v>
      </c>
      <c r="K456" s="92">
        <f t="shared" si="395"/>
        <v>0</v>
      </c>
      <c r="L456" s="92">
        <f t="shared" si="395"/>
        <v>0</v>
      </c>
      <c r="M456" s="92">
        <f t="shared" si="395"/>
        <v>0</v>
      </c>
      <c r="N456" s="92">
        <f t="shared" si="395"/>
        <v>0</v>
      </c>
      <c r="O456" s="92">
        <f t="shared" si="395"/>
        <v>14500</v>
      </c>
      <c r="P456" s="92">
        <f t="shared" si="395"/>
        <v>15000</v>
      </c>
      <c r="Q456" s="92">
        <f t="shared" si="395"/>
        <v>15600</v>
      </c>
      <c r="R456" s="92">
        <f t="shared" si="395"/>
        <v>16200</v>
      </c>
      <c r="S456" s="92">
        <f t="shared" si="395"/>
        <v>16900</v>
      </c>
      <c r="T456" s="92">
        <f t="shared" si="395"/>
        <v>17700</v>
      </c>
      <c r="U456" s="92">
        <f t="shared" si="395"/>
        <v>18700</v>
      </c>
      <c r="V456" s="92">
        <f t="shared" si="395"/>
        <v>19900</v>
      </c>
      <c r="W456" s="92">
        <f t="shared" si="395"/>
        <v>21000</v>
      </c>
      <c r="X456" s="92">
        <f t="shared" si="395"/>
        <v>22100</v>
      </c>
      <c r="Y456" s="92">
        <f t="shared" si="395"/>
        <v>23100</v>
      </c>
      <c r="Z456" s="92">
        <f t="shared" si="395"/>
        <v>24200</v>
      </c>
      <c r="AA456" s="92">
        <f t="shared" si="395"/>
        <v>25300</v>
      </c>
      <c r="AB456" s="92">
        <f t="shared" si="395"/>
        <v>26400</v>
      </c>
      <c r="AC456" s="92">
        <f t="shared" si="395"/>
        <v>27300</v>
      </c>
      <c r="AD456" s="92">
        <f t="shared" si="395"/>
        <v>28300</v>
      </c>
      <c r="AE456" s="92">
        <f t="shared" si="395"/>
        <v>29300</v>
      </c>
      <c r="AF456" s="92">
        <f t="shared" si="395"/>
        <v>30300</v>
      </c>
      <c r="AG456" s="92">
        <f t="shared" si="395"/>
        <v>31200</v>
      </c>
      <c r="AH456" s="92">
        <f t="shared" si="395"/>
        <v>31900</v>
      </c>
      <c r="AI456" s="92">
        <f t="shared" si="395"/>
        <v>32500</v>
      </c>
      <c r="AJ456" s="92">
        <f t="shared" si="395"/>
        <v>0</v>
      </c>
      <c r="AK456" s="92">
        <f t="shared" si="395"/>
        <v>0</v>
      </c>
      <c r="AL456" s="92">
        <f t="shared" si="395"/>
        <v>0</v>
      </c>
      <c r="AM456" s="92">
        <f t="shared" si="395"/>
        <v>0</v>
      </c>
      <c r="AN456" s="92">
        <f t="shared" si="395"/>
        <v>0</v>
      </c>
      <c r="AO456" s="92">
        <f t="shared" si="395"/>
        <v>0</v>
      </c>
      <c r="AP456" s="92">
        <f t="shared" si="395"/>
        <v>0</v>
      </c>
      <c r="AQ456" s="92">
        <f t="shared" si="395"/>
        <v>0</v>
      </c>
      <c r="AR456" s="92">
        <f t="shared" si="395"/>
        <v>0</v>
      </c>
      <c r="AS456" s="92">
        <f t="shared" si="395"/>
        <v>0</v>
      </c>
    </row>
    <row r="457" spans="2:63">
      <c r="B457" s="43" t="s">
        <v>1161</v>
      </c>
      <c r="C457" t="s">
        <v>1610</v>
      </c>
      <c r="E457" s="65">
        <f t="shared" si="389"/>
        <v>0</v>
      </c>
      <c r="F457" s="92">
        <f t="shared" ref="F457:AS457" si="396">-F95</f>
        <v>0</v>
      </c>
      <c r="G457" s="92">
        <f t="shared" si="396"/>
        <v>0</v>
      </c>
      <c r="H457" s="92">
        <f t="shared" si="396"/>
        <v>0</v>
      </c>
      <c r="I457" s="92">
        <f t="shared" si="396"/>
        <v>0</v>
      </c>
      <c r="J457" s="92">
        <f t="shared" si="396"/>
        <v>0</v>
      </c>
      <c r="K457" s="92">
        <f t="shared" si="396"/>
        <v>0</v>
      </c>
      <c r="L457" s="92">
        <f t="shared" si="396"/>
        <v>0</v>
      </c>
      <c r="M457" s="92">
        <f t="shared" si="396"/>
        <v>0</v>
      </c>
      <c r="N457" s="92">
        <f t="shared" si="396"/>
        <v>0</v>
      </c>
      <c r="O457" s="92">
        <f t="shared" si="396"/>
        <v>0</v>
      </c>
      <c r="P457" s="92">
        <f t="shared" si="396"/>
        <v>0</v>
      </c>
      <c r="Q457" s="92">
        <f t="shared" si="396"/>
        <v>0</v>
      </c>
      <c r="R457" s="92">
        <f t="shared" si="396"/>
        <v>0</v>
      </c>
      <c r="S457" s="92">
        <f t="shared" si="396"/>
        <v>0</v>
      </c>
      <c r="T457" s="92">
        <f t="shared" si="396"/>
        <v>0</v>
      </c>
      <c r="U457" s="92">
        <f t="shared" si="396"/>
        <v>0</v>
      </c>
      <c r="V457" s="92">
        <f t="shared" si="396"/>
        <v>0</v>
      </c>
      <c r="W457" s="92">
        <f t="shared" si="396"/>
        <v>0</v>
      </c>
      <c r="X457" s="92">
        <f t="shared" si="396"/>
        <v>0</v>
      </c>
      <c r="Y457" s="92">
        <f t="shared" si="396"/>
        <v>0</v>
      </c>
      <c r="Z457" s="92">
        <f t="shared" si="396"/>
        <v>0</v>
      </c>
      <c r="AA457" s="92">
        <f t="shared" si="396"/>
        <v>0</v>
      </c>
      <c r="AB457" s="92">
        <f t="shared" si="396"/>
        <v>0</v>
      </c>
      <c r="AC457" s="92">
        <f t="shared" si="396"/>
        <v>0</v>
      </c>
      <c r="AD457" s="92">
        <f t="shared" si="396"/>
        <v>0</v>
      </c>
      <c r="AE457" s="92">
        <f t="shared" si="396"/>
        <v>0</v>
      </c>
      <c r="AF457" s="92">
        <f t="shared" si="396"/>
        <v>0</v>
      </c>
      <c r="AG457" s="92">
        <f t="shared" si="396"/>
        <v>0</v>
      </c>
      <c r="AH457" s="92">
        <f t="shared" si="396"/>
        <v>0</v>
      </c>
      <c r="AI457" s="92">
        <f t="shared" si="396"/>
        <v>0</v>
      </c>
      <c r="AJ457" s="92">
        <f t="shared" si="396"/>
        <v>0</v>
      </c>
      <c r="AK457" s="92">
        <f t="shared" si="396"/>
        <v>0</v>
      </c>
      <c r="AL457" s="92">
        <f t="shared" si="396"/>
        <v>0</v>
      </c>
      <c r="AM457" s="92">
        <f t="shared" si="396"/>
        <v>0</v>
      </c>
      <c r="AN457" s="92">
        <f t="shared" si="396"/>
        <v>0</v>
      </c>
      <c r="AO457" s="92">
        <f t="shared" si="396"/>
        <v>0</v>
      </c>
      <c r="AP457" s="92">
        <f t="shared" si="396"/>
        <v>0</v>
      </c>
      <c r="AQ457" s="92">
        <f t="shared" si="396"/>
        <v>0</v>
      </c>
      <c r="AR457" s="92">
        <f t="shared" si="396"/>
        <v>0</v>
      </c>
      <c r="AS457" s="92">
        <f t="shared" si="396"/>
        <v>0</v>
      </c>
    </row>
    <row r="458" spans="2:63">
      <c r="B458" s="1446" t="s">
        <v>1816</v>
      </c>
      <c r="E458" s="65"/>
      <c r="F458" s="92">
        <f t="shared" ref="F458:AS458" si="397">+F75</f>
        <v>-6500</v>
      </c>
      <c r="G458" s="92">
        <f t="shared" si="397"/>
        <v>-6500</v>
      </c>
      <c r="H458" s="92">
        <f t="shared" si="397"/>
        <v>-6500</v>
      </c>
      <c r="I458" s="92">
        <f t="shared" si="397"/>
        <v>-6500</v>
      </c>
      <c r="J458" s="92">
        <f t="shared" si="397"/>
        <v>-6500</v>
      </c>
      <c r="K458" s="92">
        <f t="shared" si="397"/>
        <v>-6500</v>
      </c>
      <c r="L458" s="92">
        <f t="shared" si="397"/>
        <v>-6500</v>
      </c>
      <c r="M458" s="92">
        <f t="shared" si="397"/>
        <v>-6500</v>
      </c>
      <c r="N458" s="92">
        <f t="shared" si="397"/>
        <v>-6500</v>
      </c>
      <c r="O458" s="92">
        <f t="shared" si="397"/>
        <v>0</v>
      </c>
      <c r="P458" s="92">
        <f t="shared" si="397"/>
        <v>0</v>
      </c>
      <c r="Q458" s="92">
        <f t="shared" si="397"/>
        <v>0</v>
      </c>
      <c r="R458" s="92">
        <f t="shared" si="397"/>
        <v>0</v>
      </c>
      <c r="S458" s="92">
        <f t="shared" si="397"/>
        <v>0</v>
      </c>
      <c r="T458" s="92">
        <f t="shared" si="397"/>
        <v>0</v>
      </c>
      <c r="U458" s="92">
        <f t="shared" si="397"/>
        <v>0</v>
      </c>
      <c r="V458" s="92">
        <f t="shared" si="397"/>
        <v>0</v>
      </c>
      <c r="W458" s="92">
        <f t="shared" si="397"/>
        <v>0</v>
      </c>
      <c r="X458" s="92">
        <f t="shared" si="397"/>
        <v>0</v>
      </c>
      <c r="Y458" s="92">
        <f t="shared" si="397"/>
        <v>0</v>
      </c>
      <c r="Z458" s="92">
        <f t="shared" si="397"/>
        <v>0</v>
      </c>
      <c r="AA458" s="92">
        <f t="shared" si="397"/>
        <v>0</v>
      </c>
      <c r="AB458" s="92">
        <f t="shared" si="397"/>
        <v>0</v>
      </c>
      <c r="AC458" s="92">
        <f t="shared" si="397"/>
        <v>0</v>
      </c>
      <c r="AD458" s="92">
        <f t="shared" si="397"/>
        <v>0</v>
      </c>
      <c r="AE458" s="92">
        <f t="shared" si="397"/>
        <v>0</v>
      </c>
      <c r="AF458" s="92">
        <f t="shared" si="397"/>
        <v>0</v>
      </c>
      <c r="AG458" s="92">
        <f t="shared" si="397"/>
        <v>0</v>
      </c>
      <c r="AH458" s="92">
        <f t="shared" si="397"/>
        <v>0</v>
      </c>
      <c r="AI458" s="92">
        <f t="shared" si="397"/>
        <v>0</v>
      </c>
      <c r="AJ458" s="92">
        <f t="shared" si="397"/>
        <v>0</v>
      </c>
      <c r="AK458" s="92">
        <f t="shared" si="397"/>
        <v>0</v>
      </c>
      <c r="AL458" s="92">
        <f t="shared" si="397"/>
        <v>0</v>
      </c>
      <c r="AM458" s="92">
        <f t="shared" si="397"/>
        <v>0</v>
      </c>
      <c r="AN458" s="92">
        <f t="shared" si="397"/>
        <v>0</v>
      </c>
      <c r="AO458" s="92">
        <f t="shared" si="397"/>
        <v>0</v>
      </c>
      <c r="AP458" s="92">
        <f t="shared" si="397"/>
        <v>0</v>
      </c>
      <c r="AQ458" s="92">
        <f t="shared" si="397"/>
        <v>0</v>
      </c>
      <c r="AR458" s="92">
        <f t="shared" si="397"/>
        <v>0</v>
      </c>
      <c r="AS458" s="92">
        <f t="shared" si="397"/>
        <v>0</v>
      </c>
    </row>
    <row r="459" spans="2:63">
      <c r="B459" s="43" t="s">
        <v>1642</v>
      </c>
      <c r="C459" s="136"/>
      <c r="E459" s="65">
        <f t="shared" si="389"/>
        <v>0</v>
      </c>
      <c r="F459" s="92">
        <f t="shared" ref="F459:AS459" si="398">-F99</f>
        <v>0</v>
      </c>
      <c r="G459" s="92">
        <f t="shared" si="398"/>
        <v>0</v>
      </c>
      <c r="H459" s="92">
        <f t="shared" si="398"/>
        <v>0</v>
      </c>
      <c r="I459" s="92">
        <f t="shared" si="398"/>
        <v>0</v>
      </c>
      <c r="J459" s="92">
        <f t="shared" si="398"/>
        <v>0</v>
      </c>
      <c r="K459" s="92">
        <f t="shared" si="398"/>
        <v>0</v>
      </c>
      <c r="L459" s="92">
        <f t="shared" si="398"/>
        <v>0</v>
      </c>
      <c r="M459" s="92">
        <f t="shared" si="398"/>
        <v>0</v>
      </c>
      <c r="N459" s="92">
        <f t="shared" si="398"/>
        <v>0</v>
      </c>
      <c r="O459" s="92">
        <f t="shared" si="398"/>
        <v>0</v>
      </c>
      <c r="P459" s="92">
        <f t="shared" si="398"/>
        <v>0</v>
      </c>
      <c r="Q459" s="92">
        <f t="shared" si="398"/>
        <v>0</v>
      </c>
      <c r="R459" s="92">
        <f t="shared" si="398"/>
        <v>0</v>
      </c>
      <c r="S459" s="92">
        <f t="shared" si="398"/>
        <v>0</v>
      </c>
      <c r="T459" s="92">
        <f t="shared" si="398"/>
        <v>0</v>
      </c>
      <c r="U459" s="92">
        <f t="shared" si="398"/>
        <v>0</v>
      </c>
      <c r="V459" s="92">
        <f t="shared" si="398"/>
        <v>0</v>
      </c>
      <c r="W459" s="92">
        <f t="shared" si="398"/>
        <v>0</v>
      </c>
      <c r="X459" s="92">
        <f t="shared" si="398"/>
        <v>0</v>
      </c>
      <c r="Y459" s="92">
        <f t="shared" si="398"/>
        <v>0</v>
      </c>
      <c r="Z459" s="92">
        <f t="shared" si="398"/>
        <v>0</v>
      </c>
      <c r="AA459" s="92">
        <f t="shared" si="398"/>
        <v>0</v>
      </c>
      <c r="AB459" s="92">
        <f t="shared" si="398"/>
        <v>0</v>
      </c>
      <c r="AC459" s="92">
        <f t="shared" si="398"/>
        <v>0</v>
      </c>
      <c r="AD459" s="92">
        <f t="shared" si="398"/>
        <v>0</v>
      </c>
      <c r="AE459" s="92">
        <f t="shared" si="398"/>
        <v>0</v>
      </c>
      <c r="AF459" s="92">
        <f t="shared" si="398"/>
        <v>0</v>
      </c>
      <c r="AG459" s="92">
        <f t="shared" si="398"/>
        <v>0</v>
      </c>
      <c r="AH459" s="92">
        <f t="shared" si="398"/>
        <v>0</v>
      </c>
      <c r="AI459" s="92">
        <f t="shared" si="398"/>
        <v>0</v>
      </c>
      <c r="AJ459" s="92">
        <f t="shared" si="398"/>
        <v>0</v>
      </c>
      <c r="AK459" s="92">
        <f t="shared" si="398"/>
        <v>0</v>
      </c>
      <c r="AL459" s="92">
        <f t="shared" si="398"/>
        <v>0</v>
      </c>
      <c r="AM459" s="92">
        <f t="shared" si="398"/>
        <v>0</v>
      </c>
      <c r="AN459" s="92">
        <f t="shared" si="398"/>
        <v>0</v>
      </c>
      <c r="AO459" s="92">
        <f t="shared" si="398"/>
        <v>0</v>
      </c>
      <c r="AP459" s="92">
        <f t="shared" si="398"/>
        <v>0</v>
      </c>
      <c r="AQ459" s="92">
        <f t="shared" si="398"/>
        <v>0</v>
      </c>
      <c r="AR459" s="92">
        <f t="shared" si="398"/>
        <v>0</v>
      </c>
      <c r="AS459" s="92">
        <f t="shared" si="398"/>
        <v>0</v>
      </c>
    </row>
    <row r="460" spans="2:63">
      <c r="B460" s="43" t="s">
        <v>349</v>
      </c>
      <c r="C460" s="136"/>
      <c r="E460" s="65">
        <f t="shared" si="389"/>
        <v>530400</v>
      </c>
      <c r="F460" s="92">
        <f t="shared" ref="F460:AS460" si="399">-F102</f>
        <v>0</v>
      </c>
      <c r="G460" s="92">
        <f t="shared" si="399"/>
        <v>0</v>
      </c>
      <c r="H460" s="92">
        <f t="shared" si="399"/>
        <v>0</v>
      </c>
      <c r="I460" s="92">
        <f t="shared" si="399"/>
        <v>0</v>
      </c>
      <c r="J460" s="92">
        <f t="shared" si="399"/>
        <v>0</v>
      </c>
      <c r="K460" s="92">
        <f t="shared" si="399"/>
        <v>0</v>
      </c>
      <c r="L460" s="92">
        <f t="shared" si="399"/>
        <v>0</v>
      </c>
      <c r="M460" s="92">
        <f t="shared" si="399"/>
        <v>0</v>
      </c>
      <c r="N460" s="92">
        <f t="shared" si="399"/>
        <v>0</v>
      </c>
      <c r="O460" s="92">
        <f t="shared" si="399"/>
        <v>15000</v>
      </c>
      <c r="P460" s="92">
        <f t="shared" si="399"/>
        <v>15900</v>
      </c>
      <c r="Q460" s="92">
        <f t="shared" si="399"/>
        <v>16800</v>
      </c>
      <c r="R460" s="92">
        <f t="shared" si="399"/>
        <v>17700</v>
      </c>
      <c r="S460" s="92">
        <f t="shared" si="399"/>
        <v>18700</v>
      </c>
      <c r="T460" s="92">
        <f t="shared" si="399"/>
        <v>19700</v>
      </c>
      <c r="U460" s="92">
        <f t="shared" si="399"/>
        <v>20800</v>
      </c>
      <c r="V460" s="92">
        <f t="shared" si="399"/>
        <v>21900</v>
      </c>
      <c r="W460" s="92">
        <f t="shared" si="399"/>
        <v>23100</v>
      </c>
      <c r="X460" s="92">
        <f t="shared" si="399"/>
        <v>24200</v>
      </c>
      <c r="Y460" s="92">
        <f t="shared" si="399"/>
        <v>25300</v>
      </c>
      <c r="Z460" s="92">
        <f t="shared" si="399"/>
        <v>26300</v>
      </c>
      <c r="AA460" s="92">
        <f t="shared" si="399"/>
        <v>27500</v>
      </c>
      <c r="AB460" s="92">
        <f t="shared" si="399"/>
        <v>28600</v>
      </c>
      <c r="AC460" s="92">
        <f t="shared" si="399"/>
        <v>29800</v>
      </c>
      <c r="AD460" s="92">
        <f t="shared" si="399"/>
        <v>30800</v>
      </c>
      <c r="AE460" s="92">
        <f t="shared" si="399"/>
        <v>31800</v>
      </c>
      <c r="AF460" s="92">
        <f t="shared" si="399"/>
        <v>32700</v>
      </c>
      <c r="AG460" s="92">
        <f t="shared" si="399"/>
        <v>33700</v>
      </c>
      <c r="AH460" s="92">
        <f t="shared" si="399"/>
        <v>34700</v>
      </c>
      <c r="AI460" s="92">
        <f t="shared" si="399"/>
        <v>35400</v>
      </c>
      <c r="AJ460" s="92">
        <f t="shared" si="399"/>
        <v>0</v>
      </c>
      <c r="AK460" s="92">
        <f t="shared" si="399"/>
        <v>0</v>
      </c>
      <c r="AL460" s="92">
        <f t="shared" si="399"/>
        <v>0</v>
      </c>
      <c r="AM460" s="92">
        <f t="shared" si="399"/>
        <v>0</v>
      </c>
      <c r="AN460" s="92">
        <f t="shared" si="399"/>
        <v>0</v>
      </c>
      <c r="AO460" s="92">
        <f t="shared" si="399"/>
        <v>0</v>
      </c>
      <c r="AP460" s="92">
        <f t="shared" si="399"/>
        <v>0</v>
      </c>
      <c r="AQ460" s="92">
        <f t="shared" si="399"/>
        <v>0</v>
      </c>
      <c r="AR460" s="92">
        <f t="shared" si="399"/>
        <v>0</v>
      </c>
      <c r="AS460" s="92">
        <f t="shared" si="399"/>
        <v>0</v>
      </c>
    </row>
    <row r="461" spans="2:63">
      <c r="B461" s="43" t="s">
        <v>1162</v>
      </c>
      <c r="C461" s="136"/>
      <c r="E461" s="65">
        <f t="shared" si="389"/>
        <v>0</v>
      </c>
      <c r="F461" s="92">
        <f t="shared" ref="F461:AS461" si="400">-F103</f>
        <v>0</v>
      </c>
      <c r="G461" s="92">
        <f t="shared" si="400"/>
        <v>0</v>
      </c>
      <c r="H461" s="92">
        <f t="shared" si="400"/>
        <v>0</v>
      </c>
      <c r="I461" s="92">
        <f t="shared" si="400"/>
        <v>0</v>
      </c>
      <c r="J461" s="92">
        <f t="shared" si="400"/>
        <v>0</v>
      </c>
      <c r="K461" s="92">
        <f t="shared" si="400"/>
        <v>0</v>
      </c>
      <c r="L461" s="92">
        <f t="shared" si="400"/>
        <v>0</v>
      </c>
      <c r="M461" s="92">
        <f t="shared" si="400"/>
        <v>0</v>
      </c>
      <c r="N461" s="92">
        <f t="shared" si="400"/>
        <v>0</v>
      </c>
      <c r="O461" s="92">
        <f t="shared" si="400"/>
        <v>0</v>
      </c>
      <c r="P461" s="92">
        <f t="shared" si="400"/>
        <v>0</v>
      </c>
      <c r="Q461" s="92">
        <f t="shared" si="400"/>
        <v>0</v>
      </c>
      <c r="R461" s="92">
        <f t="shared" si="400"/>
        <v>0</v>
      </c>
      <c r="S461" s="92">
        <f t="shared" si="400"/>
        <v>0</v>
      </c>
      <c r="T461" s="92">
        <f t="shared" si="400"/>
        <v>0</v>
      </c>
      <c r="U461" s="92">
        <f t="shared" si="400"/>
        <v>0</v>
      </c>
      <c r="V461" s="92">
        <f t="shared" si="400"/>
        <v>0</v>
      </c>
      <c r="W461" s="92">
        <f t="shared" si="400"/>
        <v>0</v>
      </c>
      <c r="X461" s="92">
        <f t="shared" si="400"/>
        <v>0</v>
      </c>
      <c r="Y461" s="92">
        <f t="shared" si="400"/>
        <v>0</v>
      </c>
      <c r="Z461" s="92">
        <f t="shared" si="400"/>
        <v>0</v>
      </c>
      <c r="AA461" s="92">
        <f t="shared" si="400"/>
        <v>0</v>
      </c>
      <c r="AB461" s="92">
        <f t="shared" si="400"/>
        <v>0</v>
      </c>
      <c r="AC461" s="92">
        <f t="shared" si="400"/>
        <v>0</v>
      </c>
      <c r="AD461" s="92">
        <f t="shared" si="400"/>
        <v>0</v>
      </c>
      <c r="AE461" s="92">
        <f t="shared" si="400"/>
        <v>0</v>
      </c>
      <c r="AF461" s="92">
        <f t="shared" si="400"/>
        <v>0</v>
      </c>
      <c r="AG461" s="92">
        <f t="shared" si="400"/>
        <v>0</v>
      </c>
      <c r="AH461" s="92">
        <f t="shared" si="400"/>
        <v>0</v>
      </c>
      <c r="AI461" s="92">
        <f t="shared" si="400"/>
        <v>0</v>
      </c>
      <c r="AJ461" s="92">
        <f t="shared" si="400"/>
        <v>0</v>
      </c>
      <c r="AK461" s="92">
        <f t="shared" si="400"/>
        <v>0</v>
      </c>
      <c r="AL461" s="92">
        <f t="shared" si="400"/>
        <v>0</v>
      </c>
      <c r="AM461" s="92">
        <f t="shared" si="400"/>
        <v>0</v>
      </c>
      <c r="AN461" s="92">
        <f t="shared" si="400"/>
        <v>0</v>
      </c>
      <c r="AO461" s="92">
        <f t="shared" si="400"/>
        <v>0</v>
      </c>
      <c r="AP461" s="92">
        <f t="shared" si="400"/>
        <v>0</v>
      </c>
      <c r="AQ461" s="92">
        <f t="shared" si="400"/>
        <v>0</v>
      </c>
      <c r="AR461" s="92">
        <f t="shared" si="400"/>
        <v>0</v>
      </c>
      <c r="AS461" s="92">
        <f t="shared" si="400"/>
        <v>0</v>
      </c>
    </row>
    <row r="462" spans="2:63">
      <c r="B462" s="43" t="s">
        <v>259</v>
      </c>
      <c r="C462" s="136"/>
      <c r="E462" s="65">
        <f>SUM(F462:AS462)</f>
        <v>15300</v>
      </c>
      <c r="F462" s="92">
        <f t="shared" ref="F462:AS462" si="401">-F115</f>
        <v>0</v>
      </c>
      <c r="G462" s="92">
        <f t="shared" si="401"/>
        <v>0</v>
      </c>
      <c r="H462" s="92">
        <f t="shared" si="401"/>
        <v>0</v>
      </c>
      <c r="I462" s="92">
        <f t="shared" si="401"/>
        <v>0</v>
      </c>
      <c r="J462" s="92">
        <f t="shared" si="401"/>
        <v>0</v>
      </c>
      <c r="K462" s="92">
        <f t="shared" si="401"/>
        <v>0</v>
      </c>
      <c r="L462" s="92">
        <f t="shared" si="401"/>
        <v>0</v>
      </c>
      <c r="M462" s="92">
        <f t="shared" si="401"/>
        <v>0</v>
      </c>
      <c r="N462" s="92">
        <f t="shared" si="401"/>
        <v>0</v>
      </c>
      <c r="O462" s="92">
        <f t="shared" si="401"/>
        <v>0</v>
      </c>
      <c r="P462" s="92">
        <f t="shared" si="401"/>
        <v>0</v>
      </c>
      <c r="Q462" s="92">
        <f t="shared" si="401"/>
        <v>0</v>
      </c>
      <c r="R462" s="92">
        <f t="shared" si="401"/>
        <v>0</v>
      </c>
      <c r="S462" s="92">
        <f t="shared" si="401"/>
        <v>0</v>
      </c>
      <c r="T462" s="92">
        <f t="shared" si="401"/>
        <v>0</v>
      </c>
      <c r="U462" s="92">
        <f t="shared" si="401"/>
        <v>4000</v>
      </c>
      <c r="V462" s="92">
        <f t="shared" si="401"/>
        <v>5000</v>
      </c>
      <c r="W462" s="92">
        <f t="shared" si="401"/>
        <v>5100</v>
      </c>
      <c r="X462" s="92">
        <f t="shared" si="401"/>
        <v>1200</v>
      </c>
      <c r="Y462" s="92">
        <f t="shared" si="401"/>
        <v>0</v>
      </c>
      <c r="Z462" s="92">
        <f t="shared" si="401"/>
        <v>0</v>
      </c>
      <c r="AA462" s="92">
        <f t="shared" si="401"/>
        <v>0</v>
      </c>
      <c r="AB462" s="92">
        <f t="shared" si="401"/>
        <v>0</v>
      </c>
      <c r="AC462" s="92">
        <f t="shared" si="401"/>
        <v>0</v>
      </c>
      <c r="AD462" s="92">
        <f t="shared" si="401"/>
        <v>0</v>
      </c>
      <c r="AE462" s="92">
        <f t="shared" si="401"/>
        <v>0</v>
      </c>
      <c r="AF462" s="92">
        <f t="shared" si="401"/>
        <v>0</v>
      </c>
      <c r="AG462" s="92">
        <f t="shared" si="401"/>
        <v>0</v>
      </c>
      <c r="AH462" s="92">
        <f t="shared" si="401"/>
        <v>0</v>
      </c>
      <c r="AI462" s="92">
        <f t="shared" si="401"/>
        <v>0</v>
      </c>
      <c r="AJ462" s="92">
        <f t="shared" si="401"/>
        <v>0</v>
      </c>
      <c r="AK462" s="92">
        <f t="shared" si="401"/>
        <v>0</v>
      </c>
      <c r="AL462" s="92">
        <f t="shared" si="401"/>
        <v>0</v>
      </c>
      <c r="AM462" s="92">
        <f t="shared" si="401"/>
        <v>0</v>
      </c>
      <c r="AN462" s="92">
        <f t="shared" si="401"/>
        <v>0</v>
      </c>
      <c r="AO462" s="92">
        <f t="shared" si="401"/>
        <v>0</v>
      </c>
      <c r="AP462" s="92">
        <f t="shared" si="401"/>
        <v>0</v>
      </c>
      <c r="AQ462" s="92">
        <f t="shared" si="401"/>
        <v>0</v>
      </c>
      <c r="AR462" s="92">
        <f t="shared" si="401"/>
        <v>0</v>
      </c>
      <c r="AS462" s="92">
        <f t="shared" si="401"/>
        <v>0</v>
      </c>
    </row>
    <row r="463" spans="2:63">
      <c r="B463" s="43" t="s">
        <v>1181</v>
      </c>
      <c r="C463" s="136"/>
      <c r="E463" s="65">
        <f t="shared" si="389"/>
        <v>128700</v>
      </c>
      <c r="F463" s="92">
        <f t="shared" ref="F463:AS463" si="402">-F112</f>
        <v>0</v>
      </c>
      <c r="G463" s="92">
        <f t="shared" si="402"/>
        <v>0</v>
      </c>
      <c r="H463" s="92">
        <f t="shared" si="402"/>
        <v>0</v>
      </c>
      <c r="I463" s="92">
        <f t="shared" si="402"/>
        <v>0</v>
      </c>
      <c r="J463" s="92">
        <f t="shared" si="402"/>
        <v>0</v>
      </c>
      <c r="K463" s="92">
        <f t="shared" si="402"/>
        <v>0</v>
      </c>
      <c r="L463" s="92">
        <f t="shared" si="402"/>
        <v>0</v>
      </c>
      <c r="M463" s="92">
        <f t="shared" si="402"/>
        <v>0</v>
      </c>
      <c r="N463" s="92">
        <f t="shared" si="402"/>
        <v>0</v>
      </c>
      <c r="O463" s="92">
        <f t="shared" si="402"/>
        <v>0</v>
      </c>
      <c r="P463" s="92">
        <f t="shared" si="402"/>
        <v>0</v>
      </c>
      <c r="Q463" s="92">
        <f t="shared" si="402"/>
        <v>0</v>
      </c>
      <c r="R463" s="92">
        <f t="shared" si="402"/>
        <v>4100</v>
      </c>
      <c r="S463" s="92">
        <f t="shared" si="402"/>
        <v>4300</v>
      </c>
      <c r="T463" s="92">
        <f t="shared" si="402"/>
        <v>4600</v>
      </c>
      <c r="U463" s="92">
        <f t="shared" si="402"/>
        <v>4800</v>
      </c>
      <c r="V463" s="92">
        <f t="shared" si="402"/>
        <v>8300</v>
      </c>
      <c r="W463" s="92">
        <f t="shared" si="402"/>
        <v>8400</v>
      </c>
      <c r="X463" s="92">
        <f t="shared" si="402"/>
        <v>8400</v>
      </c>
      <c r="Y463" s="92">
        <f t="shared" si="402"/>
        <v>8600</v>
      </c>
      <c r="Z463" s="92">
        <f t="shared" si="402"/>
        <v>9100</v>
      </c>
      <c r="AA463" s="92">
        <f t="shared" si="402"/>
        <v>9700</v>
      </c>
      <c r="AB463" s="92">
        <f t="shared" si="402"/>
        <v>10300</v>
      </c>
      <c r="AC463" s="92">
        <f t="shared" si="402"/>
        <v>10800</v>
      </c>
      <c r="AD463" s="92">
        <f t="shared" si="402"/>
        <v>11500</v>
      </c>
      <c r="AE463" s="92">
        <f t="shared" si="402"/>
        <v>12300</v>
      </c>
      <c r="AF463" s="92">
        <f t="shared" si="402"/>
        <v>11500</v>
      </c>
      <c r="AG463" s="92">
        <f t="shared" si="402"/>
        <v>2000</v>
      </c>
      <c r="AH463" s="92">
        <f t="shared" si="402"/>
        <v>0</v>
      </c>
      <c r="AI463" s="92">
        <f t="shared" si="402"/>
        <v>0</v>
      </c>
      <c r="AJ463" s="92">
        <f t="shared" si="402"/>
        <v>0</v>
      </c>
      <c r="AK463" s="92">
        <f t="shared" si="402"/>
        <v>0</v>
      </c>
      <c r="AL463" s="92">
        <f t="shared" si="402"/>
        <v>0</v>
      </c>
      <c r="AM463" s="92">
        <f t="shared" si="402"/>
        <v>0</v>
      </c>
      <c r="AN463" s="92">
        <f t="shared" si="402"/>
        <v>0</v>
      </c>
      <c r="AO463" s="92">
        <f t="shared" si="402"/>
        <v>0</v>
      </c>
      <c r="AP463" s="92">
        <f t="shared" si="402"/>
        <v>0</v>
      </c>
      <c r="AQ463" s="92">
        <f t="shared" si="402"/>
        <v>0</v>
      </c>
      <c r="AR463" s="92">
        <f t="shared" si="402"/>
        <v>0</v>
      </c>
      <c r="AS463" s="92">
        <f t="shared" si="402"/>
        <v>0</v>
      </c>
    </row>
    <row r="464" spans="2:63">
      <c r="B464" s="43" t="s">
        <v>1163</v>
      </c>
      <c r="C464" s="136"/>
      <c r="E464" s="65">
        <f t="shared" si="389"/>
        <v>0</v>
      </c>
      <c r="F464" s="92">
        <f t="shared" ref="F464:AS464" si="403">-F118</f>
        <v>0</v>
      </c>
      <c r="G464" s="92">
        <f t="shared" si="403"/>
        <v>0</v>
      </c>
      <c r="H464" s="92">
        <f t="shared" si="403"/>
        <v>0</v>
      </c>
      <c r="I464" s="92">
        <f t="shared" si="403"/>
        <v>0</v>
      </c>
      <c r="J464" s="92">
        <f t="shared" si="403"/>
        <v>0</v>
      </c>
      <c r="K464" s="92">
        <f t="shared" si="403"/>
        <v>0</v>
      </c>
      <c r="L464" s="92">
        <f t="shared" si="403"/>
        <v>0</v>
      </c>
      <c r="M464" s="92">
        <f t="shared" si="403"/>
        <v>0</v>
      </c>
      <c r="N464" s="92">
        <f t="shared" si="403"/>
        <v>0</v>
      </c>
      <c r="O464" s="92">
        <f t="shared" si="403"/>
        <v>0</v>
      </c>
      <c r="P464" s="92">
        <f t="shared" si="403"/>
        <v>0</v>
      </c>
      <c r="Q464" s="92">
        <f t="shared" si="403"/>
        <v>0</v>
      </c>
      <c r="R464" s="92">
        <f t="shared" si="403"/>
        <v>0</v>
      </c>
      <c r="S464" s="92">
        <f t="shared" si="403"/>
        <v>0</v>
      </c>
      <c r="T464" s="92">
        <f t="shared" si="403"/>
        <v>0</v>
      </c>
      <c r="U464" s="92">
        <f t="shared" si="403"/>
        <v>0</v>
      </c>
      <c r="V464" s="92">
        <f t="shared" si="403"/>
        <v>0</v>
      </c>
      <c r="W464" s="92">
        <f t="shared" si="403"/>
        <v>0</v>
      </c>
      <c r="X464" s="92">
        <f t="shared" si="403"/>
        <v>0</v>
      </c>
      <c r="Y464" s="92">
        <f t="shared" si="403"/>
        <v>0</v>
      </c>
      <c r="Z464" s="92">
        <f t="shared" si="403"/>
        <v>0</v>
      </c>
      <c r="AA464" s="92">
        <f t="shared" si="403"/>
        <v>0</v>
      </c>
      <c r="AB464" s="92">
        <f t="shared" si="403"/>
        <v>0</v>
      </c>
      <c r="AC464" s="92">
        <f t="shared" si="403"/>
        <v>0</v>
      </c>
      <c r="AD464" s="92">
        <f t="shared" si="403"/>
        <v>0</v>
      </c>
      <c r="AE464" s="92">
        <f t="shared" si="403"/>
        <v>0</v>
      </c>
      <c r="AF464" s="92">
        <f t="shared" si="403"/>
        <v>0</v>
      </c>
      <c r="AG464" s="92">
        <f t="shared" si="403"/>
        <v>0</v>
      </c>
      <c r="AH464" s="92">
        <f t="shared" si="403"/>
        <v>0</v>
      </c>
      <c r="AI464" s="92">
        <f t="shared" si="403"/>
        <v>0</v>
      </c>
      <c r="AJ464" s="92">
        <f t="shared" si="403"/>
        <v>0</v>
      </c>
      <c r="AK464" s="92">
        <f t="shared" si="403"/>
        <v>0</v>
      </c>
      <c r="AL464" s="92">
        <f t="shared" si="403"/>
        <v>0</v>
      </c>
      <c r="AM464" s="92">
        <f t="shared" si="403"/>
        <v>0</v>
      </c>
      <c r="AN464" s="92">
        <f t="shared" si="403"/>
        <v>0</v>
      </c>
      <c r="AO464" s="92">
        <f t="shared" si="403"/>
        <v>0</v>
      </c>
      <c r="AP464" s="92">
        <f t="shared" si="403"/>
        <v>0</v>
      </c>
      <c r="AQ464" s="92">
        <f t="shared" si="403"/>
        <v>0</v>
      </c>
      <c r="AR464" s="92">
        <f t="shared" si="403"/>
        <v>0</v>
      </c>
      <c r="AS464" s="92">
        <f t="shared" si="403"/>
        <v>0</v>
      </c>
    </row>
    <row r="465" spans="2:45">
      <c r="B465" s="1446" t="s">
        <v>2304</v>
      </c>
      <c r="C465" s="136"/>
      <c r="E465" s="65">
        <f t="shared" si="389"/>
        <v>-4600</v>
      </c>
      <c r="F465" s="92">
        <f>F76</f>
        <v>-1000</v>
      </c>
      <c r="G465" s="92">
        <f>G76</f>
        <v>-1100</v>
      </c>
      <c r="H465" s="92">
        <f t="shared" ref="H465:AS465" si="404">H76</f>
        <v>-1200</v>
      </c>
      <c r="I465" s="92">
        <f t="shared" si="404"/>
        <v>-1300</v>
      </c>
      <c r="J465" s="92">
        <f t="shared" si="404"/>
        <v>0</v>
      </c>
      <c r="K465" s="92">
        <f t="shared" si="404"/>
        <v>0</v>
      </c>
      <c r="L465" s="92">
        <f t="shared" si="404"/>
        <v>0</v>
      </c>
      <c r="M465" s="92">
        <f t="shared" si="404"/>
        <v>0</v>
      </c>
      <c r="N465" s="92">
        <f t="shared" si="404"/>
        <v>0</v>
      </c>
      <c r="O465" s="92">
        <f t="shared" si="404"/>
        <v>0</v>
      </c>
      <c r="P465" s="92">
        <f t="shared" si="404"/>
        <v>0</v>
      </c>
      <c r="Q465" s="92">
        <f t="shared" si="404"/>
        <v>0</v>
      </c>
      <c r="R465" s="92">
        <f t="shared" si="404"/>
        <v>0</v>
      </c>
      <c r="S465" s="92">
        <f t="shared" si="404"/>
        <v>0</v>
      </c>
      <c r="T465" s="92">
        <f t="shared" si="404"/>
        <v>0</v>
      </c>
      <c r="U465" s="92">
        <f t="shared" si="404"/>
        <v>0</v>
      </c>
      <c r="V465" s="92">
        <f t="shared" si="404"/>
        <v>0</v>
      </c>
      <c r="W465" s="92">
        <f t="shared" si="404"/>
        <v>0</v>
      </c>
      <c r="X465" s="92">
        <f t="shared" si="404"/>
        <v>0</v>
      </c>
      <c r="Y465" s="92">
        <f t="shared" si="404"/>
        <v>0</v>
      </c>
      <c r="Z465" s="92">
        <f t="shared" si="404"/>
        <v>0</v>
      </c>
      <c r="AA465" s="92">
        <f t="shared" si="404"/>
        <v>0</v>
      </c>
      <c r="AB465" s="92">
        <f t="shared" si="404"/>
        <v>0</v>
      </c>
      <c r="AC465" s="92">
        <f t="shared" si="404"/>
        <v>0</v>
      </c>
      <c r="AD465" s="92">
        <f t="shared" si="404"/>
        <v>0</v>
      </c>
      <c r="AE465" s="92">
        <f t="shared" si="404"/>
        <v>0</v>
      </c>
      <c r="AF465" s="92">
        <f t="shared" si="404"/>
        <v>0</v>
      </c>
      <c r="AG465" s="92">
        <f t="shared" si="404"/>
        <v>0</v>
      </c>
      <c r="AH465" s="92">
        <f t="shared" si="404"/>
        <v>0</v>
      </c>
      <c r="AI465" s="92">
        <f t="shared" si="404"/>
        <v>0</v>
      </c>
      <c r="AJ465" s="92">
        <f t="shared" si="404"/>
        <v>0</v>
      </c>
      <c r="AK465" s="92">
        <f t="shared" si="404"/>
        <v>0</v>
      </c>
      <c r="AL465" s="92">
        <f t="shared" si="404"/>
        <v>0</v>
      </c>
      <c r="AM465" s="92">
        <f t="shared" si="404"/>
        <v>0</v>
      </c>
      <c r="AN465" s="92">
        <f t="shared" si="404"/>
        <v>0</v>
      </c>
      <c r="AO465" s="92">
        <f t="shared" si="404"/>
        <v>0</v>
      </c>
      <c r="AP465" s="92">
        <f t="shared" si="404"/>
        <v>0</v>
      </c>
      <c r="AQ465" s="92">
        <f t="shared" si="404"/>
        <v>0</v>
      </c>
      <c r="AR465" s="92">
        <f t="shared" si="404"/>
        <v>0</v>
      </c>
      <c r="AS465" s="92">
        <f t="shared" si="404"/>
        <v>0</v>
      </c>
    </row>
    <row r="466" spans="2:45">
      <c r="B466" s="1812" t="s">
        <v>420</v>
      </c>
      <c r="C466" s="136"/>
      <c r="E466" s="65">
        <f t="shared" si="389"/>
        <v>50800</v>
      </c>
      <c r="F466" s="92">
        <f t="shared" ref="F466:AS466" si="405">-F125</f>
        <v>0</v>
      </c>
      <c r="G466" s="92">
        <f t="shared" si="405"/>
        <v>0</v>
      </c>
      <c r="H466" s="92">
        <f t="shared" si="405"/>
        <v>0</v>
      </c>
      <c r="I466" s="92">
        <f t="shared" si="405"/>
        <v>0</v>
      </c>
      <c r="J466" s="92">
        <f t="shared" si="405"/>
        <v>0</v>
      </c>
      <c r="K466" s="92">
        <f t="shared" si="405"/>
        <v>0</v>
      </c>
      <c r="L466" s="92">
        <f t="shared" si="405"/>
        <v>0</v>
      </c>
      <c r="M466" s="92">
        <f t="shared" si="405"/>
        <v>0</v>
      </c>
      <c r="N466" s="92">
        <f t="shared" si="405"/>
        <v>5000</v>
      </c>
      <c r="O466" s="92">
        <f t="shared" si="405"/>
        <v>5500</v>
      </c>
      <c r="P466" s="92">
        <f t="shared" si="405"/>
        <v>6100</v>
      </c>
      <c r="Q466" s="92">
        <f t="shared" si="405"/>
        <v>6700</v>
      </c>
      <c r="R466" s="92">
        <f t="shared" si="405"/>
        <v>7400</v>
      </c>
      <c r="S466" s="92">
        <f t="shared" si="405"/>
        <v>8100</v>
      </c>
      <c r="T466" s="92">
        <f t="shared" si="405"/>
        <v>0</v>
      </c>
      <c r="U466" s="92">
        <f t="shared" si="405"/>
        <v>0</v>
      </c>
      <c r="V466" s="92">
        <f t="shared" si="405"/>
        <v>0</v>
      </c>
      <c r="W466" s="92">
        <f t="shared" si="405"/>
        <v>0</v>
      </c>
      <c r="X466" s="92">
        <f t="shared" si="405"/>
        <v>1000</v>
      </c>
      <c r="Y466" s="92">
        <f t="shared" si="405"/>
        <v>1000</v>
      </c>
      <c r="Z466" s="92">
        <f t="shared" si="405"/>
        <v>1000</v>
      </c>
      <c r="AA466" s="92">
        <f t="shared" si="405"/>
        <v>1000</v>
      </c>
      <c r="AB466" s="92">
        <f t="shared" si="405"/>
        <v>1000</v>
      </c>
      <c r="AC466" s="92">
        <f t="shared" si="405"/>
        <v>1000</v>
      </c>
      <c r="AD466" s="92">
        <f t="shared" si="405"/>
        <v>1000</v>
      </c>
      <c r="AE466" s="92">
        <f t="shared" si="405"/>
        <v>1000</v>
      </c>
      <c r="AF466" s="92">
        <f t="shared" si="405"/>
        <v>1000</v>
      </c>
      <c r="AG466" s="92">
        <f t="shared" si="405"/>
        <v>1000</v>
      </c>
      <c r="AH466" s="92">
        <f t="shared" si="405"/>
        <v>1000</v>
      </c>
      <c r="AI466" s="92">
        <f t="shared" si="405"/>
        <v>1000</v>
      </c>
      <c r="AJ466" s="92">
        <f t="shared" si="405"/>
        <v>0</v>
      </c>
      <c r="AK466" s="92">
        <f t="shared" si="405"/>
        <v>0</v>
      </c>
      <c r="AL466" s="92">
        <f t="shared" si="405"/>
        <v>0</v>
      </c>
      <c r="AM466" s="92">
        <f t="shared" si="405"/>
        <v>0</v>
      </c>
      <c r="AN466" s="92">
        <f t="shared" si="405"/>
        <v>0</v>
      </c>
      <c r="AO466" s="92">
        <f t="shared" si="405"/>
        <v>0</v>
      </c>
      <c r="AP466" s="92">
        <f t="shared" si="405"/>
        <v>0</v>
      </c>
      <c r="AQ466" s="92">
        <f t="shared" si="405"/>
        <v>0</v>
      </c>
      <c r="AR466" s="92">
        <f t="shared" si="405"/>
        <v>0</v>
      </c>
      <c r="AS466" s="92">
        <f t="shared" si="405"/>
        <v>0</v>
      </c>
    </row>
    <row r="467" spans="2:45">
      <c r="B467" s="43" t="s">
        <v>9</v>
      </c>
      <c r="C467" s="136"/>
      <c r="E467" s="65">
        <f t="shared" si="389"/>
        <v>0</v>
      </c>
      <c r="F467" s="92">
        <f t="shared" ref="F467:AS467" si="406">-F126</f>
        <v>0</v>
      </c>
      <c r="G467" s="92">
        <f t="shared" si="406"/>
        <v>0</v>
      </c>
      <c r="H467" s="92">
        <f t="shared" si="406"/>
        <v>0</v>
      </c>
      <c r="I467" s="92">
        <f t="shared" si="406"/>
        <v>0</v>
      </c>
      <c r="J467" s="92">
        <f t="shared" si="406"/>
        <v>0</v>
      </c>
      <c r="K467" s="92">
        <f t="shared" si="406"/>
        <v>0</v>
      </c>
      <c r="L467" s="92">
        <f t="shared" si="406"/>
        <v>0</v>
      </c>
      <c r="M467" s="92">
        <f t="shared" si="406"/>
        <v>0</v>
      </c>
      <c r="N467" s="92">
        <f t="shared" si="406"/>
        <v>0</v>
      </c>
      <c r="O467" s="92">
        <f t="shared" si="406"/>
        <v>0</v>
      </c>
      <c r="P467" s="92">
        <f t="shared" si="406"/>
        <v>0</v>
      </c>
      <c r="Q467" s="92">
        <f t="shared" si="406"/>
        <v>0</v>
      </c>
      <c r="R467" s="92">
        <f t="shared" si="406"/>
        <v>0</v>
      </c>
      <c r="S467" s="92">
        <f t="shared" si="406"/>
        <v>0</v>
      </c>
      <c r="T467" s="92">
        <f t="shared" si="406"/>
        <v>0</v>
      </c>
      <c r="U467" s="92">
        <f t="shared" si="406"/>
        <v>0</v>
      </c>
      <c r="V467" s="92">
        <f t="shared" si="406"/>
        <v>0</v>
      </c>
      <c r="W467" s="92">
        <f t="shared" si="406"/>
        <v>0</v>
      </c>
      <c r="X467" s="92">
        <f t="shared" si="406"/>
        <v>0</v>
      </c>
      <c r="Y467" s="92">
        <f t="shared" si="406"/>
        <v>0</v>
      </c>
      <c r="Z467" s="92">
        <f t="shared" si="406"/>
        <v>0</v>
      </c>
      <c r="AA467" s="92">
        <f t="shared" si="406"/>
        <v>0</v>
      </c>
      <c r="AB467" s="92">
        <f t="shared" si="406"/>
        <v>0</v>
      </c>
      <c r="AC467" s="92">
        <f t="shared" si="406"/>
        <v>0</v>
      </c>
      <c r="AD467" s="92">
        <f t="shared" si="406"/>
        <v>0</v>
      </c>
      <c r="AE467" s="92">
        <f t="shared" si="406"/>
        <v>0</v>
      </c>
      <c r="AF467" s="92">
        <f t="shared" si="406"/>
        <v>0</v>
      </c>
      <c r="AG467" s="92">
        <f t="shared" si="406"/>
        <v>0</v>
      </c>
      <c r="AH467" s="92">
        <f t="shared" si="406"/>
        <v>0</v>
      </c>
      <c r="AI467" s="92">
        <f t="shared" si="406"/>
        <v>0</v>
      </c>
      <c r="AJ467" s="92">
        <f t="shared" si="406"/>
        <v>0</v>
      </c>
      <c r="AK467" s="92">
        <f t="shared" si="406"/>
        <v>0</v>
      </c>
      <c r="AL467" s="92">
        <f t="shared" si="406"/>
        <v>0</v>
      </c>
      <c r="AM467" s="92">
        <f t="shared" si="406"/>
        <v>0</v>
      </c>
      <c r="AN467" s="92">
        <f t="shared" si="406"/>
        <v>0</v>
      </c>
      <c r="AO467" s="92">
        <f t="shared" si="406"/>
        <v>0</v>
      </c>
      <c r="AP467" s="92">
        <f t="shared" si="406"/>
        <v>0</v>
      </c>
      <c r="AQ467" s="92">
        <f t="shared" si="406"/>
        <v>0</v>
      </c>
      <c r="AR467" s="92">
        <f t="shared" si="406"/>
        <v>0</v>
      </c>
      <c r="AS467" s="92">
        <f t="shared" si="406"/>
        <v>0</v>
      </c>
    </row>
    <row r="468" spans="2:45">
      <c r="B468" s="43" t="s">
        <v>421</v>
      </c>
      <c r="C468" s="136"/>
      <c r="E468" s="65">
        <f t="shared" si="389"/>
        <v>0</v>
      </c>
      <c r="F468" s="92">
        <f t="shared" ref="F468:AS468" si="407">-F134</f>
        <v>0</v>
      </c>
      <c r="G468" s="92">
        <f t="shared" si="407"/>
        <v>0</v>
      </c>
      <c r="H468" s="92">
        <f t="shared" si="407"/>
        <v>0</v>
      </c>
      <c r="I468" s="92">
        <f t="shared" si="407"/>
        <v>0</v>
      </c>
      <c r="J468" s="92">
        <f t="shared" si="407"/>
        <v>0</v>
      </c>
      <c r="K468" s="92">
        <f t="shared" si="407"/>
        <v>0</v>
      </c>
      <c r="L468" s="92">
        <f t="shared" si="407"/>
        <v>0</v>
      </c>
      <c r="M468" s="92">
        <f t="shared" si="407"/>
        <v>0</v>
      </c>
      <c r="N468" s="92">
        <f t="shared" si="407"/>
        <v>0</v>
      </c>
      <c r="O468" s="92">
        <f t="shared" si="407"/>
        <v>0</v>
      </c>
      <c r="P468" s="92">
        <f t="shared" si="407"/>
        <v>0</v>
      </c>
      <c r="Q468" s="92">
        <f t="shared" si="407"/>
        <v>0</v>
      </c>
      <c r="R468" s="92">
        <f t="shared" si="407"/>
        <v>0</v>
      </c>
      <c r="S468" s="92">
        <f t="shared" si="407"/>
        <v>0</v>
      </c>
      <c r="T468" s="92">
        <f t="shared" si="407"/>
        <v>0</v>
      </c>
      <c r="U468" s="92">
        <f t="shared" si="407"/>
        <v>0</v>
      </c>
      <c r="V468" s="92">
        <f t="shared" si="407"/>
        <v>0</v>
      </c>
      <c r="W468" s="92">
        <f t="shared" si="407"/>
        <v>0</v>
      </c>
      <c r="X468" s="92">
        <f t="shared" si="407"/>
        <v>0</v>
      </c>
      <c r="Y468" s="92">
        <f t="shared" si="407"/>
        <v>0</v>
      </c>
      <c r="Z468" s="92">
        <f t="shared" si="407"/>
        <v>0</v>
      </c>
      <c r="AA468" s="92">
        <f t="shared" si="407"/>
        <v>0</v>
      </c>
      <c r="AB468" s="92">
        <f t="shared" si="407"/>
        <v>0</v>
      </c>
      <c r="AC468" s="92">
        <f t="shared" si="407"/>
        <v>0</v>
      </c>
      <c r="AD468" s="92">
        <f t="shared" si="407"/>
        <v>0</v>
      </c>
      <c r="AE468" s="92">
        <f t="shared" si="407"/>
        <v>0</v>
      </c>
      <c r="AF468" s="92">
        <f t="shared" si="407"/>
        <v>0</v>
      </c>
      <c r="AG468" s="92">
        <f t="shared" si="407"/>
        <v>0</v>
      </c>
      <c r="AH468" s="92">
        <f t="shared" si="407"/>
        <v>0</v>
      </c>
      <c r="AI468" s="92">
        <f t="shared" si="407"/>
        <v>0</v>
      </c>
      <c r="AJ468" s="92">
        <f t="shared" si="407"/>
        <v>0</v>
      </c>
      <c r="AK468" s="92">
        <f t="shared" si="407"/>
        <v>0</v>
      </c>
      <c r="AL468" s="92">
        <f t="shared" si="407"/>
        <v>0</v>
      </c>
      <c r="AM468" s="92">
        <f t="shared" si="407"/>
        <v>0</v>
      </c>
      <c r="AN468" s="92">
        <f t="shared" si="407"/>
        <v>0</v>
      </c>
      <c r="AO468" s="92">
        <f t="shared" si="407"/>
        <v>0</v>
      </c>
      <c r="AP468" s="92">
        <f t="shared" si="407"/>
        <v>0</v>
      </c>
      <c r="AQ468" s="92">
        <f t="shared" si="407"/>
        <v>0</v>
      </c>
      <c r="AR468" s="92">
        <f t="shared" si="407"/>
        <v>0</v>
      </c>
      <c r="AS468" s="92">
        <f t="shared" si="407"/>
        <v>0</v>
      </c>
    </row>
    <row r="469" spans="2:45">
      <c r="B469" s="43" t="s">
        <v>1499</v>
      </c>
      <c r="C469" s="136"/>
      <c r="E469" s="65">
        <f t="shared" si="389"/>
        <v>0</v>
      </c>
      <c r="F469" s="92">
        <f t="shared" ref="F469:AS469" si="408">-F135</f>
        <v>0</v>
      </c>
      <c r="G469" s="92">
        <f t="shared" si="408"/>
        <v>0</v>
      </c>
      <c r="H469" s="92">
        <f t="shared" si="408"/>
        <v>0</v>
      </c>
      <c r="I469" s="92">
        <f t="shared" si="408"/>
        <v>0</v>
      </c>
      <c r="J469" s="92">
        <f t="shared" si="408"/>
        <v>0</v>
      </c>
      <c r="K469" s="92">
        <f t="shared" si="408"/>
        <v>0</v>
      </c>
      <c r="L469" s="92">
        <f t="shared" si="408"/>
        <v>0</v>
      </c>
      <c r="M469" s="92">
        <f t="shared" si="408"/>
        <v>0</v>
      </c>
      <c r="N469" s="92">
        <f t="shared" si="408"/>
        <v>0</v>
      </c>
      <c r="O469" s="92">
        <f t="shared" si="408"/>
        <v>0</v>
      </c>
      <c r="P469" s="92">
        <f t="shared" si="408"/>
        <v>0</v>
      </c>
      <c r="Q469" s="92">
        <f t="shared" si="408"/>
        <v>0</v>
      </c>
      <c r="R469" s="92">
        <f t="shared" si="408"/>
        <v>0</v>
      </c>
      <c r="S469" s="92">
        <f t="shared" si="408"/>
        <v>0</v>
      </c>
      <c r="T469" s="92">
        <f t="shared" si="408"/>
        <v>0</v>
      </c>
      <c r="U469" s="92">
        <f t="shared" si="408"/>
        <v>0</v>
      </c>
      <c r="V469" s="92">
        <f t="shared" si="408"/>
        <v>0</v>
      </c>
      <c r="W469" s="92">
        <f t="shared" si="408"/>
        <v>0</v>
      </c>
      <c r="X469" s="92">
        <f t="shared" si="408"/>
        <v>0</v>
      </c>
      <c r="Y469" s="92">
        <f t="shared" si="408"/>
        <v>0</v>
      </c>
      <c r="Z469" s="92">
        <f t="shared" si="408"/>
        <v>0</v>
      </c>
      <c r="AA469" s="92">
        <f t="shared" si="408"/>
        <v>0</v>
      </c>
      <c r="AB469" s="92">
        <f t="shared" si="408"/>
        <v>0</v>
      </c>
      <c r="AC469" s="92">
        <f t="shared" si="408"/>
        <v>0</v>
      </c>
      <c r="AD469" s="92">
        <f t="shared" si="408"/>
        <v>0</v>
      </c>
      <c r="AE469" s="92">
        <f t="shared" si="408"/>
        <v>0</v>
      </c>
      <c r="AF469" s="92">
        <f t="shared" si="408"/>
        <v>0</v>
      </c>
      <c r="AG469" s="92">
        <f t="shared" si="408"/>
        <v>0</v>
      </c>
      <c r="AH469" s="92">
        <f t="shared" si="408"/>
        <v>0</v>
      </c>
      <c r="AI469" s="92">
        <f t="shared" si="408"/>
        <v>0</v>
      </c>
      <c r="AJ469" s="92">
        <f t="shared" si="408"/>
        <v>0</v>
      </c>
      <c r="AK469" s="92">
        <f t="shared" si="408"/>
        <v>0</v>
      </c>
      <c r="AL469" s="92">
        <f t="shared" si="408"/>
        <v>0</v>
      </c>
      <c r="AM469" s="92">
        <f t="shared" si="408"/>
        <v>0</v>
      </c>
      <c r="AN469" s="92">
        <f t="shared" si="408"/>
        <v>0</v>
      </c>
      <c r="AO469" s="92">
        <f t="shared" si="408"/>
        <v>0</v>
      </c>
      <c r="AP469" s="92">
        <f t="shared" si="408"/>
        <v>0</v>
      </c>
      <c r="AQ469" s="92">
        <f t="shared" si="408"/>
        <v>0</v>
      </c>
      <c r="AR469" s="92">
        <f t="shared" si="408"/>
        <v>0</v>
      </c>
      <c r="AS469" s="92">
        <f t="shared" si="408"/>
        <v>0</v>
      </c>
    </row>
    <row r="470" spans="2:45">
      <c r="B470" s="43" t="s">
        <v>535</v>
      </c>
      <c r="C470" s="136"/>
      <c r="E470" s="65">
        <f t="shared" si="389"/>
        <v>300000</v>
      </c>
      <c r="F470" s="92">
        <f t="shared" ref="F470:AS470" si="409">+F85+F137</f>
        <v>0</v>
      </c>
      <c r="G470" s="92">
        <f t="shared" si="409"/>
        <v>0</v>
      </c>
      <c r="H470" s="92">
        <f t="shared" si="409"/>
        <v>0</v>
      </c>
      <c r="I470" s="92">
        <f t="shared" si="409"/>
        <v>0</v>
      </c>
      <c r="J470" s="92">
        <f t="shared" si="409"/>
        <v>0</v>
      </c>
      <c r="K470" s="92">
        <f t="shared" si="409"/>
        <v>0</v>
      </c>
      <c r="L470" s="92">
        <f t="shared" si="409"/>
        <v>0</v>
      </c>
      <c r="M470" s="92">
        <f t="shared" si="409"/>
        <v>0</v>
      </c>
      <c r="N470" s="92">
        <f t="shared" si="409"/>
        <v>0</v>
      </c>
      <c r="O470" s="92">
        <f t="shared" si="409"/>
        <v>-15000</v>
      </c>
      <c r="P470" s="92">
        <f t="shared" si="409"/>
        <v>-95000</v>
      </c>
      <c r="Q470" s="92">
        <f t="shared" si="409"/>
        <v>25000</v>
      </c>
      <c r="R470" s="92">
        <f t="shared" si="409"/>
        <v>-35000</v>
      </c>
      <c r="S470" s="92">
        <f t="shared" si="409"/>
        <v>-15000</v>
      </c>
      <c r="T470" s="92">
        <f t="shared" si="409"/>
        <v>-100000</v>
      </c>
      <c r="U470" s="92">
        <f t="shared" si="409"/>
        <v>60000</v>
      </c>
      <c r="V470" s="92">
        <f t="shared" si="409"/>
        <v>0</v>
      </c>
      <c r="W470" s="92">
        <f t="shared" si="409"/>
        <v>0</v>
      </c>
      <c r="X470" s="92">
        <f t="shared" si="409"/>
        <v>-5000</v>
      </c>
      <c r="Y470" s="92">
        <f t="shared" si="409"/>
        <v>-5000</v>
      </c>
      <c r="Z470" s="92">
        <f t="shared" si="409"/>
        <v>-5000</v>
      </c>
      <c r="AA470" s="92">
        <f t="shared" si="409"/>
        <v>-5000</v>
      </c>
      <c r="AB470" s="92">
        <f t="shared" si="409"/>
        <v>395000</v>
      </c>
      <c r="AC470" s="92">
        <f t="shared" si="409"/>
        <v>0</v>
      </c>
      <c r="AD470" s="92">
        <f t="shared" si="409"/>
        <v>100000</v>
      </c>
      <c r="AE470" s="92">
        <f t="shared" si="409"/>
        <v>0</v>
      </c>
      <c r="AF470" s="92">
        <f t="shared" si="409"/>
        <v>0</v>
      </c>
      <c r="AG470" s="92">
        <f t="shared" si="409"/>
        <v>0</v>
      </c>
      <c r="AH470" s="92">
        <f t="shared" si="409"/>
        <v>0</v>
      </c>
      <c r="AI470" s="92">
        <f t="shared" si="409"/>
        <v>0</v>
      </c>
      <c r="AJ470" s="92">
        <f t="shared" si="409"/>
        <v>0</v>
      </c>
      <c r="AK470" s="92">
        <f t="shared" si="409"/>
        <v>0</v>
      </c>
      <c r="AL470" s="92">
        <f t="shared" si="409"/>
        <v>0</v>
      </c>
      <c r="AM470" s="92">
        <f t="shared" si="409"/>
        <v>0</v>
      </c>
      <c r="AN470" s="92">
        <f t="shared" si="409"/>
        <v>0</v>
      </c>
      <c r="AO470" s="92">
        <f t="shared" si="409"/>
        <v>0</v>
      </c>
      <c r="AP470" s="92">
        <f t="shared" si="409"/>
        <v>0</v>
      </c>
      <c r="AQ470" s="92">
        <f t="shared" si="409"/>
        <v>0</v>
      </c>
      <c r="AR470" s="92">
        <f t="shared" si="409"/>
        <v>0</v>
      </c>
      <c r="AS470" s="92">
        <f t="shared" si="409"/>
        <v>0</v>
      </c>
    </row>
    <row r="471" spans="2:45">
      <c r="B471" s="43" t="s">
        <v>1132</v>
      </c>
      <c r="C471" s="136"/>
      <c r="E471" s="65">
        <f t="shared" si="389"/>
        <v>-3104300</v>
      </c>
      <c r="F471" s="566">
        <f t="shared" ref="F471:AS471" si="410">-F144</f>
        <v>-70000</v>
      </c>
      <c r="G471" s="566">
        <f t="shared" si="410"/>
        <v>-71400</v>
      </c>
      <c r="H471" s="566">
        <f t="shared" si="410"/>
        <v>-72800</v>
      </c>
      <c r="I471" s="566">
        <f t="shared" si="410"/>
        <v>-74300</v>
      </c>
      <c r="J471" s="566">
        <f t="shared" si="410"/>
        <v>-75800</v>
      </c>
      <c r="K471" s="566">
        <f t="shared" si="410"/>
        <v>-77300</v>
      </c>
      <c r="L471" s="566">
        <f t="shared" si="410"/>
        <v>-78800</v>
      </c>
      <c r="M471" s="566">
        <f t="shared" si="410"/>
        <v>-80400</v>
      </c>
      <c r="N471" s="566">
        <f t="shared" si="410"/>
        <v>-82000</v>
      </c>
      <c r="O471" s="566">
        <f t="shared" si="410"/>
        <v>-83600</v>
      </c>
      <c r="P471" s="566">
        <f t="shared" si="410"/>
        <v>-85300</v>
      </c>
      <c r="Q471" s="566">
        <f t="shared" si="410"/>
        <v>-87000</v>
      </c>
      <c r="R471" s="566">
        <f t="shared" si="410"/>
        <v>-88700</v>
      </c>
      <c r="S471" s="566">
        <f t="shared" si="410"/>
        <v>-90500</v>
      </c>
      <c r="T471" s="566">
        <f t="shared" si="410"/>
        <v>-92300</v>
      </c>
      <c r="U471" s="566">
        <f t="shared" si="410"/>
        <v>-94100</v>
      </c>
      <c r="V471" s="566">
        <f t="shared" si="410"/>
        <v>-96000</v>
      </c>
      <c r="W471" s="566">
        <f t="shared" si="410"/>
        <v>-97900</v>
      </c>
      <c r="X471" s="566">
        <f t="shared" si="410"/>
        <v>-119800</v>
      </c>
      <c r="Y471" s="566">
        <f t="shared" si="410"/>
        <v>-122200</v>
      </c>
      <c r="Z471" s="566">
        <f t="shared" si="410"/>
        <v>-124600</v>
      </c>
      <c r="AA471" s="566">
        <f t="shared" si="410"/>
        <v>-127100</v>
      </c>
      <c r="AB471" s="566">
        <f t="shared" si="410"/>
        <v>-129600</v>
      </c>
      <c r="AC471" s="566">
        <f t="shared" si="410"/>
        <v>-132200</v>
      </c>
      <c r="AD471" s="566">
        <f t="shared" si="410"/>
        <v>-134800</v>
      </c>
      <c r="AE471" s="566">
        <f t="shared" si="410"/>
        <v>-137500</v>
      </c>
      <c r="AF471" s="566">
        <f t="shared" si="410"/>
        <v>-140300</v>
      </c>
      <c r="AG471" s="566">
        <f t="shared" si="410"/>
        <v>-143100</v>
      </c>
      <c r="AH471" s="566">
        <f t="shared" si="410"/>
        <v>-146000</v>
      </c>
      <c r="AI471" s="566">
        <f t="shared" si="410"/>
        <v>-148900</v>
      </c>
      <c r="AJ471" s="566">
        <f t="shared" si="410"/>
        <v>0</v>
      </c>
      <c r="AK471" s="566">
        <f t="shared" si="410"/>
        <v>0</v>
      </c>
      <c r="AL471" s="566">
        <f t="shared" si="410"/>
        <v>0</v>
      </c>
      <c r="AM471" s="566">
        <f t="shared" si="410"/>
        <v>0</v>
      </c>
      <c r="AN471" s="566">
        <f t="shared" si="410"/>
        <v>0</v>
      </c>
      <c r="AO471" s="566">
        <f t="shared" si="410"/>
        <v>0</v>
      </c>
      <c r="AP471" s="566">
        <f t="shared" si="410"/>
        <v>0</v>
      </c>
      <c r="AQ471" s="566">
        <f t="shared" si="410"/>
        <v>0</v>
      </c>
      <c r="AR471" s="566">
        <f t="shared" si="410"/>
        <v>0</v>
      </c>
      <c r="AS471" s="566">
        <f t="shared" si="410"/>
        <v>0</v>
      </c>
    </row>
    <row r="472" spans="2:45">
      <c r="B472" s="43" t="s">
        <v>290</v>
      </c>
      <c r="C472" s="136"/>
      <c r="E472" s="65">
        <f t="shared" si="389"/>
        <v>958300</v>
      </c>
      <c r="F472" s="135">
        <f>SUM(F451:F471)</f>
        <v>-17500</v>
      </c>
      <c r="G472" s="135">
        <f t="shared" ref="G472:AS472" si="411">SUM(G451:G471)</f>
        <v>-2200</v>
      </c>
      <c r="H472" s="135">
        <f t="shared" si="411"/>
        <v>-16900</v>
      </c>
      <c r="I472" s="135">
        <f t="shared" si="411"/>
        <v>-16500</v>
      </c>
      <c r="J472" s="135">
        <f t="shared" si="411"/>
        <v>-14700</v>
      </c>
      <c r="K472" s="135">
        <f t="shared" si="411"/>
        <v>8100</v>
      </c>
      <c r="L472" s="135">
        <f t="shared" si="411"/>
        <v>9200</v>
      </c>
      <c r="M472" s="135">
        <f t="shared" si="411"/>
        <v>10300</v>
      </c>
      <c r="N472" s="135">
        <f t="shared" si="411"/>
        <v>22200</v>
      </c>
      <c r="O472" s="135">
        <f t="shared" si="411"/>
        <v>29200</v>
      </c>
      <c r="P472" s="135">
        <f t="shared" si="411"/>
        <v>-49700</v>
      </c>
      <c r="Q472" s="135">
        <f t="shared" si="411"/>
        <v>71700</v>
      </c>
      <c r="R472" s="135">
        <f t="shared" si="411"/>
        <v>17400</v>
      </c>
      <c r="S472" s="135">
        <f t="shared" si="411"/>
        <v>39300</v>
      </c>
      <c r="T472" s="135">
        <f t="shared" si="411"/>
        <v>-48500</v>
      </c>
      <c r="U472" s="135">
        <f t="shared" si="411"/>
        <v>117900</v>
      </c>
      <c r="V472" s="135">
        <f t="shared" si="411"/>
        <v>46000</v>
      </c>
      <c r="W472" s="135">
        <f t="shared" si="411"/>
        <v>48200</v>
      </c>
      <c r="X472" s="135">
        <f t="shared" si="411"/>
        <v>22300</v>
      </c>
      <c r="Y472" s="135">
        <f t="shared" si="411"/>
        <v>22700</v>
      </c>
      <c r="Z472" s="135">
        <f t="shared" si="411"/>
        <v>24600</v>
      </c>
      <c r="AA472" s="135">
        <f t="shared" si="411"/>
        <v>26800</v>
      </c>
      <c r="AB472" s="135">
        <f t="shared" si="411"/>
        <v>428900</v>
      </c>
      <c r="AC472" s="135">
        <f t="shared" si="411"/>
        <v>35800</v>
      </c>
      <c r="AD472" s="135">
        <f t="shared" si="411"/>
        <v>111100</v>
      </c>
      <c r="AE472" s="135">
        <f t="shared" si="411"/>
        <v>12700</v>
      </c>
      <c r="AF472" s="135">
        <f t="shared" si="411"/>
        <v>12500</v>
      </c>
      <c r="AG472" s="135">
        <f t="shared" si="411"/>
        <v>3600</v>
      </c>
      <c r="AH472" s="135">
        <f t="shared" si="411"/>
        <v>1900</v>
      </c>
      <c r="AI472" s="135">
        <f t="shared" si="411"/>
        <v>1900</v>
      </c>
      <c r="AJ472" s="135">
        <f t="shared" si="411"/>
        <v>0</v>
      </c>
      <c r="AK472" s="135">
        <f t="shared" si="411"/>
        <v>0</v>
      </c>
      <c r="AL472" s="135">
        <f t="shared" si="411"/>
        <v>0</v>
      </c>
      <c r="AM472" s="135">
        <f t="shared" si="411"/>
        <v>0</v>
      </c>
      <c r="AN472" s="135">
        <f t="shared" si="411"/>
        <v>0</v>
      </c>
      <c r="AO472" s="135">
        <f t="shared" si="411"/>
        <v>0</v>
      </c>
      <c r="AP472" s="135">
        <f t="shared" si="411"/>
        <v>0</v>
      </c>
      <c r="AQ472" s="135">
        <f t="shared" si="411"/>
        <v>0</v>
      </c>
      <c r="AR472" s="135">
        <f t="shared" si="411"/>
        <v>0</v>
      </c>
      <c r="AS472" s="135">
        <f t="shared" si="411"/>
        <v>0</v>
      </c>
    </row>
    <row r="473" spans="2:45">
      <c r="B473" s="92"/>
      <c r="C473" s="136"/>
      <c r="F473" s="135"/>
      <c r="G473" s="135"/>
      <c r="H473" s="135"/>
      <c r="I473" s="135"/>
      <c r="J473" s="135"/>
      <c r="K473" s="135"/>
      <c r="L473" s="135"/>
      <c r="M473" s="135"/>
      <c r="N473" s="135"/>
      <c r="O473" s="135"/>
      <c r="P473" s="135"/>
      <c r="Q473" s="135"/>
      <c r="R473" s="135"/>
      <c r="S473" s="135"/>
      <c r="T473" s="135"/>
      <c r="U473" s="135"/>
      <c r="V473" s="135"/>
      <c r="W473" s="135"/>
      <c r="X473" s="135"/>
      <c r="Y473" s="135"/>
      <c r="Z473" s="135"/>
      <c r="AA473" s="135"/>
      <c r="AB473" s="135"/>
      <c r="AC473" s="135"/>
      <c r="AD473" s="135"/>
      <c r="AE473" s="135"/>
      <c r="AF473" s="135"/>
      <c r="AG473" s="135"/>
      <c r="AH473" s="135"/>
      <c r="AI473" s="135"/>
      <c r="AJ473" s="135"/>
      <c r="AK473" s="135"/>
      <c r="AL473" s="135"/>
      <c r="AM473" s="135"/>
      <c r="AN473" s="135"/>
      <c r="AO473" s="135"/>
      <c r="AP473" s="135"/>
      <c r="AQ473" s="135"/>
      <c r="AR473" s="135"/>
      <c r="AS473" s="135"/>
    </row>
    <row r="474" spans="2:45" ht="15.6">
      <c r="B474" s="861" t="s">
        <v>933</v>
      </c>
      <c r="C474" s="136"/>
      <c r="F474" s="92">
        <f>SUM(F450:F471)</f>
        <v>182500</v>
      </c>
      <c r="G474" s="92">
        <f>SUM(G450:G471)</f>
        <v>184900</v>
      </c>
      <c r="H474" s="92">
        <f>SUM(H450:H471)</f>
        <v>169900</v>
      </c>
      <c r="I474" s="92">
        <f>SUM(I450:I471)</f>
        <v>157300</v>
      </c>
      <c r="J474" s="92">
        <f>SUM(J450:J471)</f>
        <v>145800</v>
      </c>
      <c r="K474" s="92">
        <f t="shared" ref="K474:AS474" si="412">SUM(K450:K471)</f>
        <v>156400</v>
      </c>
      <c r="L474" s="92">
        <f t="shared" si="412"/>
        <v>165600</v>
      </c>
      <c r="M474" s="92">
        <f t="shared" si="412"/>
        <v>176400</v>
      </c>
      <c r="N474" s="92">
        <f t="shared" si="412"/>
        <v>198100</v>
      </c>
      <c r="O474" s="92">
        <f t="shared" si="412"/>
        <v>232000</v>
      </c>
      <c r="P474" s="92">
        <f t="shared" si="412"/>
        <v>188400</v>
      </c>
      <c r="Q474" s="92">
        <f t="shared" si="412"/>
        <v>265900</v>
      </c>
      <c r="R474" s="92">
        <f t="shared" si="412"/>
        <v>289500</v>
      </c>
      <c r="S474" s="92">
        <f t="shared" si="412"/>
        <v>336000</v>
      </c>
      <c r="T474" s="92">
        <f t="shared" si="412"/>
        <v>296000</v>
      </c>
      <c r="U474" s="92">
        <f t="shared" si="412"/>
        <v>419200</v>
      </c>
      <c r="V474" s="92">
        <f t="shared" si="412"/>
        <v>470600</v>
      </c>
      <c r="W474" s="92">
        <f t="shared" si="412"/>
        <v>528900</v>
      </c>
      <c r="X474" s="92">
        <f t="shared" si="412"/>
        <v>563700</v>
      </c>
      <c r="Y474" s="92">
        <f t="shared" si="412"/>
        <v>597400</v>
      </c>
      <c r="Z474" s="92">
        <f t="shared" si="412"/>
        <v>634100</v>
      </c>
      <c r="AA474" s="92">
        <f t="shared" si="412"/>
        <v>674000</v>
      </c>
      <c r="AB474" s="92">
        <f t="shared" si="412"/>
        <v>1116900</v>
      </c>
      <c r="AC474" s="92">
        <f t="shared" si="412"/>
        <v>1171800</v>
      </c>
      <c r="AD474" s="92">
        <f t="shared" si="412"/>
        <v>1310600</v>
      </c>
      <c r="AE474" s="92">
        <f t="shared" si="412"/>
        <v>1350300</v>
      </c>
      <c r="AF474" s="92">
        <f t="shared" si="412"/>
        <v>1392400</v>
      </c>
      <c r="AG474" s="92">
        <f t="shared" si="412"/>
        <v>1426900</v>
      </c>
      <c r="AH474" s="92">
        <f t="shared" si="412"/>
        <v>1463400</v>
      </c>
      <c r="AI474" s="92">
        <f t="shared" si="412"/>
        <v>1501600</v>
      </c>
      <c r="AJ474" s="92">
        <f t="shared" si="412"/>
        <v>0</v>
      </c>
      <c r="AK474" s="92">
        <f t="shared" si="412"/>
        <v>0</v>
      </c>
      <c r="AL474" s="92">
        <f t="shared" si="412"/>
        <v>0</v>
      </c>
      <c r="AM474" s="92">
        <f t="shared" si="412"/>
        <v>0</v>
      </c>
      <c r="AN474" s="92">
        <f t="shared" si="412"/>
        <v>0</v>
      </c>
      <c r="AO474" s="92">
        <f t="shared" si="412"/>
        <v>0</v>
      </c>
      <c r="AP474" s="92">
        <f t="shared" si="412"/>
        <v>0</v>
      </c>
      <c r="AQ474" s="92">
        <f t="shared" si="412"/>
        <v>0</v>
      </c>
      <c r="AR474" s="92">
        <f t="shared" si="412"/>
        <v>0</v>
      </c>
      <c r="AS474" s="92">
        <f t="shared" si="412"/>
        <v>0</v>
      </c>
    </row>
    <row r="475" spans="2:45">
      <c r="B475" s="43"/>
      <c r="C475" s="136"/>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2"/>
      <c r="AK475" s="92"/>
      <c r="AL475" s="92"/>
      <c r="AM475" s="92"/>
      <c r="AN475" s="92"/>
      <c r="AO475" s="92"/>
      <c r="AP475" s="92"/>
      <c r="AQ475" s="92"/>
      <c r="AR475" s="92"/>
      <c r="AS475" s="92"/>
    </row>
    <row r="476" spans="2:45">
      <c r="B476" s="43" t="s">
        <v>790</v>
      </c>
      <c r="C476" s="136"/>
      <c r="F476" s="92">
        <f>+F447+F474</f>
        <v>382500</v>
      </c>
      <c r="G476" s="92">
        <f>+G447+G474</f>
        <v>372000</v>
      </c>
      <c r="H476" s="92">
        <f>+H447+H474</f>
        <v>356700</v>
      </c>
      <c r="I476" s="92">
        <f>+I447+I474</f>
        <v>331100</v>
      </c>
      <c r="J476" s="92">
        <f>+J447+J474</f>
        <v>306300</v>
      </c>
      <c r="K476" s="92">
        <f t="shared" ref="K476:AS476" si="413">+K447+K474</f>
        <v>304700</v>
      </c>
      <c r="L476" s="92">
        <f t="shared" si="413"/>
        <v>322000</v>
      </c>
      <c r="M476" s="92">
        <f t="shared" si="413"/>
        <v>342500</v>
      </c>
      <c r="N476" s="92">
        <f t="shared" si="413"/>
        <v>374000</v>
      </c>
      <c r="O476" s="92">
        <f t="shared" si="413"/>
        <v>434800</v>
      </c>
      <c r="P476" s="92">
        <f t="shared" si="413"/>
        <v>426500</v>
      </c>
      <c r="Q476" s="92">
        <f t="shared" si="413"/>
        <v>460100</v>
      </c>
      <c r="R476" s="92">
        <f t="shared" si="413"/>
        <v>561600</v>
      </c>
      <c r="S476" s="92">
        <f t="shared" si="413"/>
        <v>632700</v>
      </c>
      <c r="T476" s="92">
        <f t="shared" si="413"/>
        <v>640500</v>
      </c>
      <c r="U476" s="92">
        <f t="shared" si="413"/>
        <v>720500</v>
      </c>
      <c r="V476" s="92">
        <f t="shared" si="413"/>
        <v>895200</v>
      </c>
      <c r="W476" s="92">
        <f t="shared" si="413"/>
        <v>1009600</v>
      </c>
      <c r="X476" s="92">
        <f t="shared" si="413"/>
        <v>1105100</v>
      </c>
      <c r="Y476" s="92">
        <f t="shared" si="413"/>
        <v>1172100</v>
      </c>
      <c r="Z476" s="92">
        <f t="shared" si="413"/>
        <v>1243600</v>
      </c>
      <c r="AA476" s="92">
        <f t="shared" si="413"/>
        <v>1321200</v>
      </c>
      <c r="AB476" s="92">
        <f t="shared" si="413"/>
        <v>1804900</v>
      </c>
      <c r="AC476" s="92">
        <f t="shared" si="413"/>
        <v>2307800</v>
      </c>
      <c r="AD476" s="92">
        <f t="shared" si="413"/>
        <v>2510100</v>
      </c>
      <c r="AE476" s="92">
        <f t="shared" si="413"/>
        <v>2687900</v>
      </c>
      <c r="AF476" s="92">
        <f t="shared" si="413"/>
        <v>2772300</v>
      </c>
      <c r="AG476" s="92">
        <f t="shared" si="413"/>
        <v>2850200</v>
      </c>
      <c r="AH476" s="92">
        <f t="shared" si="413"/>
        <v>2924900</v>
      </c>
      <c r="AI476" s="92">
        <f t="shared" si="413"/>
        <v>3001300</v>
      </c>
      <c r="AJ476" s="92">
        <f t="shared" si="413"/>
        <v>0</v>
      </c>
      <c r="AK476" s="92">
        <f t="shared" si="413"/>
        <v>0</v>
      </c>
      <c r="AL476" s="92">
        <f t="shared" si="413"/>
        <v>0</v>
      </c>
      <c r="AM476" s="92">
        <f t="shared" si="413"/>
        <v>0</v>
      </c>
      <c r="AN476" s="92">
        <f t="shared" si="413"/>
        <v>0</v>
      </c>
      <c r="AO476" s="92">
        <f t="shared" si="413"/>
        <v>0</v>
      </c>
      <c r="AP476" s="92">
        <f t="shared" si="413"/>
        <v>0</v>
      </c>
      <c r="AQ476" s="92">
        <f t="shared" si="413"/>
        <v>0</v>
      </c>
      <c r="AR476" s="92">
        <f t="shared" si="413"/>
        <v>0</v>
      </c>
      <c r="AS476" s="92">
        <f t="shared" si="413"/>
        <v>0</v>
      </c>
    </row>
    <row r="477" spans="2:45">
      <c r="B477" s="43" t="s">
        <v>791</v>
      </c>
      <c r="C477" s="136"/>
      <c r="F477" s="92">
        <v>2</v>
      </c>
      <c r="G477" s="92">
        <v>2</v>
      </c>
      <c r="H477" s="92">
        <v>2</v>
      </c>
      <c r="I477" s="92">
        <v>2</v>
      </c>
      <c r="J477" s="92">
        <v>2</v>
      </c>
      <c r="K477" s="92">
        <v>2</v>
      </c>
      <c r="L477" s="92">
        <v>2</v>
      </c>
      <c r="M477" s="92">
        <v>2</v>
      </c>
      <c r="N477" s="92">
        <v>2</v>
      </c>
      <c r="O477" s="92">
        <v>2</v>
      </c>
      <c r="P477" s="92">
        <v>2</v>
      </c>
      <c r="Q477" s="92">
        <v>2</v>
      </c>
      <c r="R477" s="92">
        <v>2</v>
      </c>
      <c r="S477" s="92">
        <v>2</v>
      </c>
      <c r="T477" s="92">
        <v>2</v>
      </c>
      <c r="U477" s="92">
        <v>2</v>
      </c>
      <c r="V477" s="92">
        <v>2</v>
      </c>
      <c r="W477" s="92">
        <v>2</v>
      </c>
      <c r="X477" s="92">
        <v>2</v>
      </c>
      <c r="Y477" s="92">
        <v>2</v>
      </c>
      <c r="Z477" s="92">
        <v>2</v>
      </c>
      <c r="AA477" s="92">
        <v>2</v>
      </c>
      <c r="AB477" s="92">
        <v>2</v>
      </c>
      <c r="AC477" s="92">
        <v>2</v>
      </c>
      <c r="AD477" s="92">
        <v>2</v>
      </c>
      <c r="AE477" s="92">
        <v>2</v>
      </c>
      <c r="AF477" s="92">
        <v>2</v>
      </c>
      <c r="AG477" s="92">
        <v>2</v>
      </c>
      <c r="AH477" s="92">
        <v>2</v>
      </c>
      <c r="AI477" s="92">
        <v>2</v>
      </c>
      <c r="AJ477" s="92">
        <v>2</v>
      </c>
      <c r="AK477" s="92">
        <v>2</v>
      </c>
      <c r="AL477" s="92">
        <v>2</v>
      </c>
      <c r="AM477" s="92">
        <v>2</v>
      </c>
      <c r="AN477" s="92">
        <v>2</v>
      </c>
      <c r="AO477" s="92">
        <v>2</v>
      </c>
      <c r="AP477" s="92">
        <v>2</v>
      </c>
      <c r="AQ477" s="92">
        <v>2</v>
      </c>
      <c r="AR477" s="92">
        <v>2</v>
      </c>
      <c r="AS477" s="92">
        <v>2</v>
      </c>
    </row>
    <row r="478" spans="2:45" s="22" customFormat="1" ht="15.6">
      <c r="B478" s="861" t="s">
        <v>451</v>
      </c>
      <c r="C478" s="66"/>
      <c r="E478" s="869">
        <f>SUM(F478:AS478)/Total_Years</f>
        <v>576245</v>
      </c>
      <c r="F478" s="870">
        <f>+F476/F477</f>
        <v>191250</v>
      </c>
      <c r="G478" s="870">
        <f>+G476/G477</f>
        <v>186000</v>
      </c>
      <c r="H478" s="870">
        <f>+H476/H477</f>
        <v>178350</v>
      </c>
      <c r="I478" s="870">
        <f>+I476/I477</f>
        <v>165550</v>
      </c>
      <c r="J478" s="870">
        <f>+J476/J477</f>
        <v>153150</v>
      </c>
      <c r="K478" s="870">
        <f t="shared" ref="K478:AS478" si="414">+K476/K477</f>
        <v>152350</v>
      </c>
      <c r="L478" s="870">
        <f t="shared" si="414"/>
        <v>161000</v>
      </c>
      <c r="M478" s="870">
        <f t="shared" si="414"/>
        <v>171250</v>
      </c>
      <c r="N478" s="870">
        <f t="shared" si="414"/>
        <v>187000</v>
      </c>
      <c r="O478" s="870">
        <f t="shared" si="414"/>
        <v>217400</v>
      </c>
      <c r="P478" s="870">
        <f t="shared" si="414"/>
        <v>213250</v>
      </c>
      <c r="Q478" s="870">
        <f t="shared" si="414"/>
        <v>230050</v>
      </c>
      <c r="R478" s="870">
        <f t="shared" si="414"/>
        <v>280800</v>
      </c>
      <c r="S478" s="870">
        <f t="shared" si="414"/>
        <v>316350</v>
      </c>
      <c r="T478" s="870">
        <f t="shared" si="414"/>
        <v>320250</v>
      </c>
      <c r="U478" s="870">
        <f t="shared" si="414"/>
        <v>360250</v>
      </c>
      <c r="V478" s="870">
        <f t="shared" si="414"/>
        <v>447600</v>
      </c>
      <c r="W478" s="870">
        <f t="shared" si="414"/>
        <v>504800</v>
      </c>
      <c r="X478" s="870">
        <f t="shared" si="414"/>
        <v>552550</v>
      </c>
      <c r="Y478" s="870">
        <f t="shared" si="414"/>
        <v>586050</v>
      </c>
      <c r="Z478" s="870">
        <f t="shared" si="414"/>
        <v>621800</v>
      </c>
      <c r="AA478" s="870">
        <f t="shared" si="414"/>
        <v>660600</v>
      </c>
      <c r="AB478" s="870">
        <f t="shared" si="414"/>
        <v>902450</v>
      </c>
      <c r="AC478" s="870">
        <f t="shared" si="414"/>
        <v>1153900</v>
      </c>
      <c r="AD478" s="870">
        <f t="shared" si="414"/>
        <v>1255050</v>
      </c>
      <c r="AE478" s="870">
        <f t="shared" si="414"/>
        <v>1343950</v>
      </c>
      <c r="AF478" s="870">
        <f t="shared" si="414"/>
        <v>1386150</v>
      </c>
      <c r="AG478" s="870">
        <f t="shared" si="414"/>
        <v>1425100</v>
      </c>
      <c r="AH478" s="870">
        <f t="shared" si="414"/>
        <v>1462450</v>
      </c>
      <c r="AI478" s="870">
        <f t="shared" si="414"/>
        <v>1500650</v>
      </c>
      <c r="AJ478" s="870">
        <f t="shared" si="414"/>
        <v>0</v>
      </c>
      <c r="AK478" s="870">
        <f t="shared" si="414"/>
        <v>0</v>
      </c>
      <c r="AL478" s="870">
        <f t="shared" si="414"/>
        <v>0</v>
      </c>
      <c r="AM478" s="870">
        <f t="shared" si="414"/>
        <v>0</v>
      </c>
      <c r="AN478" s="870">
        <f t="shared" si="414"/>
        <v>0</v>
      </c>
      <c r="AO478" s="870">
        <f t="shared" si="414"/>
        <v>0</v>
      </c>
      <c r="AP478" s="870">
        <f t="shared" si="414"/>
        <v>0</v>
      </c>
      <c r="AQ478" s="870">
        <f t="shared" si="414"/>
        <v>0</v>
      </c>
      <c r="AR478" s="870">
        <f t="shared" si="414"/>
        <v>0</v>
      </c>
      <c r="AS478" s="870">
        <f t="shared" si="414"/>
        <v>0</v>
      </c>
    </row>
    <row r="479" spans="2:45">
      <c r="B479" s="43" t="s">
        <v>452</v>
      </c>
      <c r="C479" s="136"/>
      <c r="F479" s="117">
        <f t="shared" ref="F479:AS479" si="415">IF(AND(Use_Class="c",F$4&gt;=Change_Age),Taxable_Return2,Taxable_Return)</f>
        <v>0.05</v>
      </c>
      <c r="G479" s="117">
        <f t="shared" si="415"/>
        <v>0.05</v>
      </c>
      <c r="H479" s="117">
        <f t="shared" si="415"/>
        <v>0.05</v>
      </c>
      <c r="I479" s="117">
        <f t="shared" si="415"/>
        <v>0.05</v>
      </c>
      <c r="J479" s="117">
        <f t="shared" si="415"/>
        <v>0.05</v>
      </c>
      <c r="K479" s="117">
        <f t="shared" si="415"/>
        <v>0.05</v>
      </c>
      <c r="L479" s="117">
        <f t="shared" si="415"/>
        <v>0.05</v>
      </c>
      <c r="M479" s="117">
        <f t="shared" si="415"/>
        <v>0.05</v>
      </c>
      <c r="N479" s="117">
        <f t="shared" si="415"/>
        <v>0.05</v>
      </c>
      <c r="O479" s="117">
        <f t="shared" si="415"/>
        <v>0.05</v>
      </c>
      <c r="P479" s="117">
        <f t="shared" si="415"/>
        <v>0.05</v>
      </c>
      <c r="Q479" s="117">
        <f t="shared" si="415"/>
        <v>0.05</v>
      </c>
      <c r="R479" s="117">
        <f t="shared" si="415"/>
        <v>0.05</v>
      </c>
      <c r="S479" s="117">
        <f t="shared" si="415"/>
        <v>0.05</v>
      </c>
      <c r="T479" s="117">
        <f t="shared" si="415"/>
        <v>0.05</v>
      </c>
      <c r="U479" s="117">
        <f t="shared" si="415"/>
        <v>0.05</v>
      </c>
      <c r="V479" s="117">
        <f t="shared" si="415"/>
        <v>0.05</v>
      </c>
      <c r="W479" s="117">
        <f t="shared" si="415"/>
        <v>0.05</v>
      </c>
      <c r="X479" s="117">
        <f t="shared" si="415"/>
        <v>4.1000000000000002E-2</v>
      </c>
      <c r="Y479" s="117">
        <f t="shared" si="415"/>
        <v>4.1000000000000002E-2</v>
      </c>
      <c r="Z479" s="117">
        <f t="shared" si="415"/>
        <v>4.1000000000000002E-2</v>
      </c>
      <c r="AA479" s="117">
        <f t="shared" si="415"/>
        <v>4.1000000000000002E-2</v>
      </c>
      <c r="AB479" s="117">
        <f t="shared" si="415"/>
        <v>4.1000000000000002E-2</v>
      </c>
      <c r="AC479" s="117">
        <f t="shared" si="415"/>
        <v>4.1000000000000002E-2</v>
      </c>
      <c r="AD479" s="117">
        <f t="shared" si="415"/>
        <v>4.1000000000000002E-2</v>
      </c>
      <c r="AE479" s="117">
        <f t="shared" si="415"/>
        <v>4.1000000000000002E-2</v>
      </c>
      <c r="AF479" s="117">
        <f t="shared" si="415"/>
        <v>4.1000000000000002E-2</v>
      </c>
      <c r="AG479" s="117">
        <f t="shared" si="415"/>
        <v>4.1000000000000002E-2</v>
      </c>
      <c r="AH479" s="117">
        <f t="shared" si="415"/>
        <v>4.1000000000000002E-2</v>
      </c>
      <c r="AI479" s="117">
        <f t="shared" si="415"/>
        <v>4.1000000000000002E-2</v>
      </c>
      <c r="AJ479" s="117">
        <f t="shared" si="415"/>
        <v>4.1000000000000002E-2</v>
      </c>
      <c r="AK479" s="117">
        <f t="shared" si="415"/>
        <v>4.1000000000000002E-2</v>
      </c>
      <c r="AL479" s="117">
        <f t="shared" si="415"/>
        <v>4.1000000000000002E-2</v>
      </c>
      <c r="AM479" s="117">
        <f t="shared" si="415"/>
        <v>4.1000000000000002E-2</v>
      </c>
      <c r="AN479" s="117">
        <f t="shared" si="415"/>
        <v>4.1000000000000002E-2</v>
      </c>
      <c r="AO479" s="117">
        <f t="shared" si="415"/>
        <v>4.1000000000000002E-2</v>
      </c>
      <c r="AP479" s="117">
        <f t="shared" si="415"/>
        <v>4.1000000000000002E-2</v>
      </c>
      <c r="AQ479" s="117">
        <f t="shared" si="415"/>
        <v>4.1000000000000002E-2</v>
      </c>
      <c r="AR479" s="117">
        <f t="shared" si="415"/>
        <v>4.1000000000000002E-2</v>
      </c>
      <c r="AS479" s="117">
        <f t="shared" si="415"/>
        <v>4.1000000000000002E-2</v>
      </c>
    </row>
    <row r="480" spans="2:45">
      <c r="B480" s="43" t="s">
        <v>454</v>
      </c>
      <c r="C480" s="136"/>
      <c r="E480" s="65">
        <f>SUM(F480:AS480)</f>
        <v>748711.2</v>
      </c>
      <c r="F480" s="92">
        <f>+F478*F479</f>
        <v>9562.5</v>
      </c>
      <c r="G480" s="92">
        <f>+G478*G479</f>
        <v>9300</v>
      </c>
      <c r="H480" s="92">
        <f>+H478*H479</f>
        <v>8917.5</v>
      </c>
      <c r="I480" s="92">
        <f>+I478*I479</f>
        <v>8277.5</v>
      </c>
      <c r="J480" s="92">
        <f>+J478*J479</f>
        <v>7657.5</v>
      </c>
      <c r="K480" s="92">
        <f t="shared" ref="K480:AS480" si="416">+K478*K479</f>
        <v>7617.5</v>
      </c>
      <c r="L480" s="92">
        <f t="shared" si="416"/>
        <v>8050</v>
      </c>
      <c r="M480" s="92">
        <f t="shared" si="416"/>
        <v>8562.5</v>
      </c>
      <c r="N480" s="92">
        <f t="shared" si="416"/>
        <v>9350</v>
      </c>
      <c r="O480" s="92">
        <f t="shared" si="416"/>
        <v>10870</v>
      </c>
      <c r="P480" s="92">
        <f t="shared" si="416"/>
        <v>10662.5</v>
      </c>
      <c r="Q480" s="92">
        <f t="shared" si="416"/>
        <v>11502.5</v>
      </c>
      <c r="R480" s="92">
        <f t="shared" si="416"/>
        <v>14040</v>
      </c>
      <c r="S480" s="92">
        <f t="shared" si="416"/>
        <v>15817.5</v>
      </c>
      <c r="T480" s="92">
        <f t="shared" si="416"/>
        <v>16012.5</v>
      </c>
      <c r="U480" s="92">
        <f t="shared" si="416"/>
        <v>18012.5</v>
      </c>
      <c r="V480" s="92">
        <f t="shared" si="416"/>
        <v>22380</v>
      </c>
      <c r="W480" s="92">
        <f t="shared" si="416"/>
        <v>25240</v>
      </c>
      <c r="X480" s="92">
        <f t="shared" si="416"/>
        <v>22654.55</v>
      </c>
      <c r="Y480" s="92">
        <f t="shared" si="416"/>
        <v>24028.05</v>
      </c>
      <c r="Z480" s="92">
        <f t="shared" si="416"/>
        <v>25493.8</v>
      </c>
      <c r="AA480" s="92">
        <f t="shared" si="416"/>
        <v>27084.600000000002</v>
      </c>
      <c r="AB480" s="92">
        <f t="shared" si="416"/>
        <v>37000.450000000004</v>
      </c>
      <c r="AC480" s="92">
        <f t="shared" si="416"/>
        <v>47309.9</v>
      </c>
      <c r="AD480" s="92">
        <f t="shared" si="416"/>
        <v>51457.05</v>
      </c>
      <c r="AE480" s="92">
        <f t="shared" si="416"/>
        <v>55101.950000000004</v>
      </c>
      <c r="AF480" s="92">
        <f t="shared" si="416"/>
        <v>56832.15</v>
      </c>
      <c r="AG480" s="92">
        <f t="shared" si="416"/>
        <v>58429.100000000006</v>
      </c>
      <c r="AH480" s="92">
        <f t="shared" si="416"/>
        <v>59960.450000000004</v>
      </c>
      <c r="AI480" s="92">
        <f t="shared" si="416"/>
        <v>61526.65</v>
      </c>
      <c r="AJ480" s="92">
        <f t="shared" si="416"/>
        <v>0</v>
      </c>
      <c r="AK480" s="92">
        <f t="shared" si="416"/>
        <v>0</v>
      </c>
      <c r="AL480" s="92">
        <f t="shared" si="416"/>
        <v>0</v>
      </c>
      <c r="AM480" s="92">
        <f t="shared" si="416"/>
        <v>0</v>
      </c>
      <c r="AN480" s="92">
        <f t="shared" si="416"/>
        <v>0</v>
      </c>
      <c r="AO480" s="92">
        <f t="shared" si="416"/>
        <v>0</v>
      </c>
      <c r="AP480" s="92">
        <f t="shared" si="416"/>
        <v>0</v>
      </c>
      <c r="AQ480" s="92">
        <f t="shared" si="416"/>
        <v>0</v>
      </c>
      <c r="AR480" s="92">
        <f t="shared" si="416"/>
        <v>0</v>
      </c>
      <c r="AS480" s="92">
        <f t="shared" si="416"/>
        <v>0</v>
      </c>
    </row>
    <row r="481" spans="2:45" s="22" customFormat="1" ht="15.6">
      <c r="B481" s="861" t="s">
        <v>1603</v>
      </c>
      <c r="C481" s="66"/>
      <c r="E481" s="869">
        <f>SUM(F481:AS481)</f>
        <v>748900</v>
      </c>
      <c r="F481" s="870">
        <f t="shared" ref="F481:AS481" si="417">ROUND(+F480/Round_To,0)*Round_To</f>
        <v>9600</v>
      </c>
      <c r="G481" s="870">
        <f t="shared" si="417"/>
        <v>9300</v>
      </c>
      <c r="H481" s="870">
        <f t="shared" si="417"/>
        <v>8900</v>
      </c>
      <c r="I481" s="870">
        <f t="shared" si="417"/>
        <v>8300</v>
      </c>
      <c r="J481" s="870">
        <f t="shared" si="417"/>
        <v>7700</v>
      </c>
      <c r="K481" s="870">
        <f t="shared" si="417"/>
        <v>7600</v>
      </c>
      <c r="L481" s="870">
        <f t="shared" si="417"/>
        <v>8100</v>
      </c>
      <c r="M481" s="870">
        <f t="shared" si="417"/>
        <v>8600</v>
      </c>
      <c r="N481" s="870">
        <f t="shared" si="417"/>
        <v>9400</v>
      </c>
      <c r="O481" s="870">
        <f t="shared" si="417"/>
        <v>10900</v>
      </c>
      <c r="P481" s="870">
        <f t="shared" si="417"/>
        <v>10700</v>
      </c>
      <c r="Q481" s="870">
        <f t="shared" si="417"/>
        <v>11500</v>
      </c>
      <c r="R481" s="870">
        <f t="shared" si="417"/>
        <v>14000</v>
      </c>
      <c r="S481" s="870">
        <f t="shared" si="417"/>
        <v>15800</v>
      </c>
      <c r="T481" s="870">
        <f t="shared" si="417"/>
        <v>16000</v>
      </c>
      <c r="U481" s="870">
        <f t="shared" si="417"/>
        <v>18000</v>
      </c>
      <c r="V481" s="870">
        <f t="shared" si="417"/>
        <v>22400</v>
      </c>
      <c r="W481" s="870">
        <f t="shared" si="417"/>
        <v>25200</v>
      </c>
      <c r="X481" s="870">
        <f t="shared" si="417"/>
        <v>22700</v>
      </c>
      <c r="Y481" s="870">
        <f t="shared" si="417"/>
        <v>24000</v>
      </c>
      <c r="Z481" s="870">
        <f t="shared" si="417"/>
        <v>25500</v>
      </c>
      <c r="AA481" s="870">
        <f t="shared" si="417"/>
        <v>27100</v>
      </c>
      <c r="AB481" s="870">
        <f t="shared" si="417"/>
        <v>37000</v>
      </c>
      <c r="AC481" s="870">
        <f t="shared" si="417"/>
        <v>47300</v>
      </c>
      <c r="AD481" s="870">
        <f t="shared" si="417"/>
        <v>51500</v>
      </c>
      <c r="AE481" s="870">
        <f t="shared" si="417"/>
        <v>55100</v>
      </c>
      <c r="AF481" s="870">
        <f t="shared" si="417"/>
        <v>56800</v>
      </c>
      <c r="AG481" s="870">
        <f t="shared" si="417"/>
        <v>58400</v>
      </c>
      <c r="AH481" s="870">
        <f t="shared" si="417"/>
        <v>60000</v>
      </c>
      <c r="AI481" s="870">
        <f t="shared" si="417"/>
        <v>61500</v>
      </c>
      <c r="AJ481" s="870">
        <f t="shared" si="417"/>
        <v>0</v>
      </c>
      <c r="AK481" s="870">
        <f t="shared" si="417"/>
        <v>0</v>
      </c>
      <c r="AL481" s="870">
        <f t="shared" si="417"/>
        <v>0</v>
      </c>
      <c r="AM481" s="870">
        <f t="shared" si="417"/>
        <v>0</v>
      </c>
      <c r="AN481" s="870">
        <f t="shared" si="417"/>
        <v>0</v>
      </c>
      <c r="AO481" s="870">
        <f t="shared" si="417"/>
        <v>0</v>
      </c>
      <c r="AP481" s="870">
        <f t="shared" si="417"/>
        <v>0</v>
      </c>
      <c r="AQ481" s="870">
        <f t="shared" si="417"/>
        <v>0</v>
      </c>
      <c r="AR481" s="870">
        <f t="shared" si="417"/>
        <v>0</v>
      </c>
      <c r="AS481" s="870">
        <f t="shared" si="417"/>
        <v>0</v>
      </c>
    </row>
    <row r="482" spans="2:45">
      <c r="B482" s="43" t="s">
        <v>397</v>
      </c>
      <c r="C482" s="136"/>
      <c r="E482" s="65">
        <f>SUM(F482:AS482)</f>
        <v>0</v>
      </c>
      <c r="F482" s="92">
        <f t="shared" ref="F482:AS482" si="418">+F28-F481</f>
        <v>0</v>
      </c>
      <c r="G482" s="92">
        <f t="shared" si="418"/>
        <v>0</v>
      </c>
      <c r="H482" s="92">
        <f t="shared" si="418"/>
        <v>0</v>
      </c>
      <c r="I482" s="92">
        <f t="shared" si="418"/>
        <v>0</v>
      </c>
      <c r="J482" s="92">
        <f t="shared" si="418"/>
        <v>0</v>
      </c>
      <c r="K482" s="92">
        <f t="shared" si="418"/>
        <v>0</v>
      </c>
      <c r="L482" s="92">
        <f t="shared" si="418"/>
        <v>0</v>
      </c>
      <c r="M482" s="92">
        <f t="shared" si="418"/>
        <v>0</v>
      </c>
      <c r="N482" s="92">
        <f t="shared" si="418"/>
        <v>0</v>
      </c>
      <c r="O482" s="92">
        <f t="shared" si="418"/>
        <v>0</v>
      </c>
      <c r="P482" s="92">
        <f t="shared" si="418"/>
        <v>0</v>
      </c>
      <c r="Q482" s="92">
        <f t="shared" si="418"/>
        <v>0</v>
      </c>
      <c r="R482" s="92">
        <f t="shared" si="418"/>
        <v>0</v>
      </c>
      <c r="S482" s="92">
        <f t="shared" si="418"/>
        <v>0</v>
      </c>
      <c r="T482" s="92">
        <f t="shared" si="418"/>
        <v>0</v>
      </c>
      <c r="U482" s="92">
        <f t="shared" si="418"/>
        <v>0</v>
      </c>
      <c r="V482" s="92">
        <f t="shared" si="418"/>
        <v>0</v>
      </c>
      <c r="W482" s="92">
        <f t="shared" si="418"/>
        <v>0</v>
      </c>
      <c r="X482" s="92">
        <f t="shared" si="418"/>
        <v>0</v>
      </c>
      <c r="Y482" s="92">
        <f t="shared" si="418"/>
        <v>0</v>
      </c>
      <c r="Z482" s="92">
        <f t="shared" si="418"/>
        <v>0</v>
      </c>
      <c r="AA482" s="92">
        <f t="shared" si="418"/>
        <v>0</v>
      </c>
      <c r="AB482" s="92">
        <f t="shared" si="418"/>
        <v>0</v>
      </c>
      <c r="AC482" s="92">
        <f t="shared" si="418"/>
        <v>0</v>
      </c>
      <c r="AD482" s="92">
        <f t="shared" si="418"/>
        <v>0</v>
      </c>
      <c r="AE482" s="92">
        <f t="shared" si="418"/>
        <v>0</v>
      </c>
      <c r="AF482" s="92">
        <f t="shared" si="418"/>
        <v>0</v>
      </c>
      <c r="AG482" s="92">
        <f t="shared" si="418"/>
        <v>0</v>
      </c>
      <c r="AH482" s="92">
        <f t="shared" si="418"/>
        <v>0</v>
      </c>
      <c r="AI482" s="92">
        <f t="shared" si="418"/>
        <v>0</v>
      </c>
      <c r="AJ482" s="92">
        <f t="shared" si="418"/>
        <v>0</v>
      </c>
      <c r="AK482" s="92">
        <f t="shared" si="418"/>
        <v>0</v>
      </c>
      <c r="AL482" s="92">
        <f t="shared" si="418"/>
        <v>0</v>
      </c>
      <c r="AM482" s="92">
        <f t="shared" si="418"/>
        <v>0</v>
      </c>
      <c r="AN482" s="92">
        <f t="shared" si="418"/>
        <v>0</v>
      </c>
      <c r="AO482" s="92">
        <f t="shared" si="418"/>
        <v>0</v>
      </c>
      <c r="AP482" s="92">
        <f t="shared" si="418"/>
        <v>0</v>
      </c>
      <c r="AQ482" s="92">
        <f t="shared" si="418"/>
        <v>0</v>
      </c>
      <c r="AR482" s="92">
        <f t="shared" si="418"/>
        <v>0</v>
      </c>
      <c r="AS482" s="92">
        <f t="shared" si="418"/>
        <v>0</v>
      </c>
    </row>
    <row r="483" spans="2:45">
      <c r="B483" s="43"/>
      <c r="C483" s="136"/>
      <c r="E483" s="65"/>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2"/>
      <c r="AK483" s="92"/>
      <c r="AL483" s="92"/>
      <c r="AM483" s="92"/>
      <c r="AN483" s="92"/>
      <c r="AO483" s="92"/>
      <c r="AP483" s="92"/>
      <c r="AQ483" s="92"/>
      <c r="AR483" s="92"/>
      <c r="AS483" s="92"/>
    </row>
    <row r="484" spans="2:45">
      <c r="B484" s="43" t="s">
        <v>468</v>
      </c>
      <c r="C484" s="136"/>
      <c r="E484" s="65">
        <f>SUM(F484:AS484)</f>
        <v>-368300</v>
      </c>
      <c r="F484" s="92">
        <f t="shared" ref="F484:AS484" si="419">-F202-F227</f>
        <v>-5000</v>
      </c>
      <c r="G484" s="92">
        <f t="shared" si="419"/>
        <v>-7400</v>
      </c>
      <c r="H484" s="92">
        <f t="shared" si="419"/>
        <v>-5000</v>
      </c>
      <c r="I484" s="92">
        <f t="shared" si="419"/>
        <v>-5100</v>
      </c>
      <c r="J484" s="92">
        <f t="shared" si="419"/>
        <v>-5200</v>
      </c>
      <c r="K484" s="92">
        <f t="shared" si="419"/>
        <v>-7600</v>
      </c>
      <c r="L484" s="92">
        <f t="shared" si="419"/>
        <v>-7600</v>
      </c>
      <c r="M484" s="92">
        <f t="shared" si="419"/>
        <v>-9100</v>
      </c>
      <c r="N484" s="92">
        <f t="shared" si="419"/>
        <v>-4700</v>
      </c>
      <c r="O484" s="92">
        <f t="shared" si="419"/>
        <v>-4800</v>
      </c>
      <c r="P484" s="92">
        <f t="shared" si="419"/>
        <v>-4900</v>
      </c>
      <c r="Q484" s="92">
        <f t="shared" si="419"/>
        <v>-5300</v>
      </c>
      <c r="R484" s="92">
        <f t="shared" si="419"/>
        <v>-6800</v>
      </c>
      <c r="S484" s="92">
        <f t="shared" si="419"/>
        <v>-7300</v>
      </c>
      <c r="T484" s="92">
        <f t="shared" si="419"/>
        <v>-10700</v>
      </c>
      <c r="U484" s="92">
        <f t="shared" si="419"/>
        <v>-12600</v>
      </c>
      <c r="V484" s="92">
        <f t="shared" si="419"/>
        <v>-12300</v>
      </c>
      <c r="W484" s="92">
        <f t="shared" si="419"/>
        <v>-12700</v>
      </c>
      <c r="X484" s="92">
        <f t="shared" si="419"/>
        <v>-11700</v>
      </c>
      <c r="Y484" s="92">
        <f t="shared" si="419"/>
        <v>-11900</v>
      </c>
      <c r="Z484" s="92">
        <f t="shared" si="419"/>
        <v>-12400</v>
      </c>
      <c r="AA484" s="92">
        <f t="shared" si="419"/>
        <v>-13100</v>
      </c>
      <c r="AB484" s="92">
        <f t="shared" si="419"/>
        <v>-17900</v>
      </c>
      <c r="AC484" s="92">
        <f t="shared" si="419"/>
        <v>-19600</v>
      </c>
      <c r="AD484" s="92">
        <f t="shared" si="419"/>
        <v>-24500</v>
      </c>
      <c r="AE484" s="92">
        <f t="shared" si="419"/>
        <v>-25500</v>
      </c>
      <c r="AF484" s="92">
        <f t="shared" si="419"/>
        <v>-25900</v>
      </c>
      <c r="AG484" s="92">
        <f t="shared" si="419"/>
        <v>-23800</v>
      </c>
      <c r="AH484" s="92">
        <f t="shared" si="419"/>
        <v>-23700</v>
      </c>
      <c r="AI484" s="92">
        <f t="shared" si="419"/>
        <v>-24200</v>
      </c>
      <c r="AJ484" s="92">
        <f t="shared" si="419"/>
        <v>0</v>
      </c>
      <c r="AK484" s="92">
        <f t="shared" si="419"/>
        <v>0</v>
      </c>
      <c r="AL484" s="92">
        <f t="shared" si="419"/>
        <v>0</v>
      </c>
      <c r="AM484" s="92">
        <f t="shared" si="419"/>
        <v>0</v>
      </c>
      <c r="AN484" s="92">
        <f t="shared" si="419"/>
        <v>0</v>
      </c>
      <c r="AO484" s="92">
        <f t="shared" si="419"/>
        <v>0</v>
      </c>
      <c r="AP484" s="92">
        <f t="shared" si="419"/>
        <v>0</v>
      </c>
      <c r="AQ484" s="92">
        <f t="shared" si="419"/>
        <v>0</v>
      </c>
      <c r="AR484" s="92">
        <f t="shared" si="419"/>
        <v>0</v>
      </c>
      <c r="AS484" s="92">
        <f t="shared" si="419"/>
        <v>0</v>
      </c>
    </row>
    <row r="485" spans="2:45" ht="15.6">
      <c r="B485" s="861" t="s">
        <v>934</v>
      </c>
      <c r="C485" s="136"/>
      <c r="E485" s="65"/>
      <c r="F485" s="92">
        <f>+F474+F481+F484</f>
        <v>187100</v>
      </c>
      <c r="G485" s="92">
        <f>+G474+G481+G484</f>
        <v>186800</v>
      </c>
      <c r="H485" s="92">
        <f t="shared" ref="H485:AS485" si="420">+H474+H481+H484</f>
        <v>173800</v>
      </c>
      <c r="I485" s="92">
        <f t="shared" si="420"/>
        <v>160500</v>
      </c>
      <c r="J485" s="92">
        <f t="shared" si="420"/>
        <v>148300</v>
      </c>
      <c r="K485" s="92">
        <f t="shared" si="420"/>
        <v>156400</v>
      </c>
      <c r="L485" s="92">
        <f t="shared" si="420"/>
        <v>166100</v>
      </c>
      <c r="M485" s="92">
        <f t="shared" si="420"/>
        <v>175900</v>
      </c>
      <c r="N485" s="92">
        <f t="shared" si="420"/>
        <v>202800</v>
      </c>
      <c r="O485" s="92">
        <f t="shared" si="420"/>
        <v>238100</v>
      </c>
      <c r="P485" s="92">
        <f t="shared" si="420"/>
        <v>194200</v>
      </c>
      <c r="Q485" s="92">
        <f t="shared" si="420"/>
        <v>272100</v>
      </c>
      <c r="R485" s="92">
        <f t="shared" si="420"/>
        <v>296700</v>
      </c>
      <c r="S485" s="92">
        <f t="shared" si="420"/>
        <v>344500</v>
      </c>
      <c r="T485" s="92">
        <f t="shared" si="420"/>
        <v>301300</v>
      </c>
      <c r="U485" s="92">
        <f t="shared" si="420"/>
        <v>424600</v>
      </c>
      <c r="V485" s="92">
        <f t="shared" si="420"/>
        <v>480700</v>
      </c>
      <c r="W485" s="92">
        <f t="shared" si="420"/>
        <v>541400</v>
      </c>
      <c r="X485" s="92">
        <f t="shared" si="420"/>
        <v>574700</v>
      </c>
      <c r="Y485" s="92">
        <f t="shared" si="420"/>
        <v>609500</v>
      </c>
      <c r="Z485" s="92">
        <f t="shared" si="420"/>
        <v>647200</v>
      </c>
      <c r="AA485" s="92">
        <f t="shared" si="420"/>
        <v>688000</v>
      </c>
      <c r="AB485" s="92">
        <f t="shared" si="420"/>
        <v>1136000</v>
      </c>
      <c r="AC485" s="92">
        <f t="shared" si="420"/>
        <v>1199500</v>
      </c>
      <c r="AD485" s="92">
        <f t="shared" si="420"/>
        <v>1337600</v>
      </c>
      <c r="AE485" s="92">
        <f t="shared" si="420"/>
        <v>1379900</v>
      </c>
      <c r="AF485" s="92">
        <f t="shared" si="420"/>
        <v>1423300</v>
      </c>
      <c r="AG485" s="92">
        <f t="shared" si="420"/>
        <v>1461500</v>
      </c>
      <c r="AH485" s="92">
        <f t="shared" si="420"/>
        <v>1499700</v>
      </c>
      <c r="AI485" s="92">
        <f t="shared" si="420"/>
        <v>1538900</v>
      </c>
      <c r="AJ485" s="92">
        <f t="shared" si="420"/>
        <v>0</v>
      </c>
      <c r="AK485" s="92">
        <f t="shared" si="420"/>
        <v>0</v>
      </c>
      <c r="AL485" s="92">
        <f t="shared" si="420"/>
        <v>0</v>
      </c>
      <c r="AM485" s="92">
        <f t="shared" si="420"/>
        <v>0</v>
      </c>
      <c r="AN485" s="92">
        <f t="shared" si="420"/>
        <v>0</v>
      </c>
      <c r="AO485" s="92">
        <f t="shared" si="420"/>
        <v>0</v>
      </c>
      <c r="AP485" s="92">
        <f t="shared" si="420"/>
        <v>0</v>
      </c>
      <c r="AQ485" s="92">
        <f t="shared" si="420"/>
        <v>0</v>
      </c>
      <c r="AR485" s="92">
        <f t="shared" si="420"/>
        <v>0</v>
      </c>
      <c r="AS485" s="92">
        <f t="shared" si="420"/>
        <v>0</v>
      </c>
    </row>
    <row r="486" spans="2:45">
      <c r="B486" s="1811" t="s">
        <v>397</v>
      </c>
      <c r="C486" s="136"/>
      <c r="E486" s="65">
        <f>SUM(F486:AS486)</f>
        <v>0</v>
      </c>
      <c r="F486" s="92">
        <f t="shared" ref="F486:AS486" si="421">IF(F$4&gt;=Your_Age_End,0,+G8-F485)</f>
        <v>0</v>
      </c>
      <c r="G486" s="92">
        <f t="shared" si="421"/>
        <v>0</v>
      </c>
      <c r="H486" s="92">
        <f t="shared" si="421"/>
        <v>0</v>
      </c>
      <c r="I486" s="92">
        <f t="shared" si="421"/>
        <v>0</v>
      </c>
      <c r="J486" s="92">
        <f t="shared" si="421"/>
        <v>0</v>
      </c>
      <c r="K486" s="92">
        <f t="shared" si="421"/>
        <v>0</v>
      </c>
      <c r="L486" s="92">
        <f t="shared" si="421"/>
        <v>0</v>
      </c>
      <c r="M486" s="92">
        <f t="shared" si="421"/>
        <v>0</v>
      </c>
      <c r="N486" s="92">
        <f t="shared" si="421"/>
        <v>0</v>
      </c>
      <c r="O486" s="92">
        <f t="shared" si="421"/>
        <v>0</v>
      </c>
      <c r="P486" s="92">
        <f t="shared" si="421"/>
        <v>0</v>
      </c>
      <c r="Q486" s="92">
        <f t="shared" si="421"/>
        <v>0</v>
      </c>
      <c r="R486" s="92">
        <f t="shared" si="421"/>
        <v>0</v>
      </c>
      <c r="S486" s="92">
        <f t="shared" si="421"/>
        <v>0</v>
      </c>
      <c r="T486" s="92">
        <f t="shared" si="421"/>
        <v>0</v>
      </c>
      <c r="U486" s="92">
        <f t="shared" si="421"/>
        <v>0</v>
      </c>
      <c r="V486" s="92">
        <f t="shared" si="421"/>
        <v>0</v>
      </c>
      <c r="W486" s="92">
        <f t="shared" si="421"/>
        <v>0</v>
      </c>
      <c r="X486" s="92">
        <f t="shared" si="421"/>
        <v>0</v>
      </c>
      <c r="Y486" s="92">
        <f t="shared" si="421"/>
        <v>0</v>
      </c>
      <c r="Z486" s="92">
        <f t="shared" si="421"/>
        <v>0</v>
      </c>
      <c r="AA486" s="92">
        <f t="shared" si="421"/>
        <v>0</v>
      </c>
      <c r="AB486" s="92">
        <f t="shared" si="421"/>
        <v>0</v>
      </c>
      <c r="AC486" s="92">
        <f t="shared" si="421"/>
        <v>0</v>
      </c>
      <c r="AD486" s="92">
        <f t="shared" si="421"/>
        <v>0</v>
      </c>
      <c r="AE486" s="92">
        <f t="shared" si="421"/>
        <v>0</v>
      </c>
      <c r="AF486" s="92">
        <f t="shared" si="421"/>
        <v>0</v>
      </c>
      <c r="AG486" s="92">
        <f t="shared" si="421"/>
        <v>0</v>
      </c>
      <c r="AH486" s="92">
        <f t="shared" si="421"/>
        <v>0</v>
      </c>
      <c r="AI486" s="92">
        <f t="shared" si="421"/>
        <v>0</v>
      </c>
      <c r="AJ486" s="92">
        <f t="shared" si="421"/>
        <v>0</v>
      </c>
      <c r="AK486" s="92">
        <f t="shared" si="421"/>
        <v>0</v>
      </c>
      <c r="AL486" s="92">
        <f t="shared" si="421"/>
        <v>0</v>
      </c>
      <c r="AM486" s="92">
        <f t="shared" si="421"/>
        <v>0</v>
      </c>
      <c r="AN486" s="92">
        <f t="shared" si="421"/>
        <v>0</v>
      </c>
      <c r="AO486" s="92">
        <f t="shared" si="421"/>
        <v>0</v>
      </c>
      <c r="AP486" s="92">
        <f t="shared" si="421"/>
        <v>0</v>
      </c>
      <c r="AQ486" s="92">
        <f t="shared" si="421"/>
        <v>0</v>
      </c>
      <c r="AR486" s="92">
        <f t="shared" si="421"/>
        <v>0</v>
      </c>
      <c r="AS486" s="92">
        <f t="shared" si="421"/>
        <v>0</v>
      </c>
    </row>
    <row r="487" spans="2:45">
      <c r="B487" s="43"/>
      <c r="C487" s="136"/>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2"/>
      <c r="AK487" s="92"/>
      <c r="AL487" s="92"/>
      <c r="AM487" s="92"/>
      <c r="AN487" s="92"/>
      <c r="AO487" s="92"/>
      <c r="AP487" s="92"/>
      <c r="AQ487" s="92"/>
      <c r="AR487" s="92"/>
      <c r="AS487" s="92"/>
    </row>
    <row r="488" spans="2:45" ht="18" thickBot="1">
      <c r="B488" s="871" t="s">
        <v>1535</v>
      </c>
      <c r="C488" s="525"/>
      <c r="F488" s="92"/>
      <c r="G488" s="92"/>
      <c r="H488" s="92"/>
      <c r="I488" s="92"/>
      <c r="J488" s="92"/>
    </row>
    <row r="489" spans="2:45">
      <c r="B489" s="43" t="s">
        <v>453</v>
      </c>
      <c r="C489" s="136"/>
      <c r="F489" s="92">
        <f t="shared" ref="F489:AS489" si="422">+F9</f>
        <v>500000</v>
      </c>
      <c r="G489" s="92">
        <f t="shared" si="422"/>
        <v>491200</v>
      </c>
      <c r="H489" s="92">
        <f t="shared" si="422"/>
        <v>480600</v>
      </c>
      <c r="I489" s="92">
        <f t="shared" si="422"/>
        <v>468100</v>
      </c>
      <c r="J489" s="92">
        <f t="shared" si="422"/>
        <v>453400</v>
      </c>
      <c r="K489" s="92">
        <f t="shared" si="422"/>
        <v>436400</v>
      </c>
      <c r="L489" s="92">
        <f t="shared" si="422"/>
        <v>416900</v>
      </c>
      <c r="M489" s="92">
        <f t="shared" si="422"/>
        <v>394600</v>
      </c>
      <c r="N489" s="92">
        <f t="shared" si="422"/>
        <v>369500</v>
      </c>
      <c r="O489" s="92">
        <f t="shared" si="422"/>
        <v>383200</v>
      </c>
      <c r="P489" s="92">
        <f t="shared" si="422"/>
        <v>383800</v>
      </c>
      <c r="Q489" s="92">
        <f t="shared" si="422"/>
        <v>384900</v>
      </c>
      <c r="R489" s="92">
        <f t="shared" si="422"/>
        <v>386300</v>
      </c>
      <c r="S489" s="92">
        <f t="shared" si="422"/>
        <v>387900</v>
      </c>
      <c r="T489" s="92">
        <f t="shared" si="422"/>
        <v>389600</v>
      </c>
      <c r="U489" s="92">
        <f t="shared" si="422"/>
        <v>396600</v>
      </c>
      <c r="V489" s="92">
        <f t="shared" si="422"/>
        <v>403100</v>
      </c>
      <c r="W489" s="92">
        <f t="shared" si="422"/>
        <v>408800</v>
      </c>
      <c r="X489" s="92">
        <f t="shared" si="422"/>
        <v>413700</v>
      </c>
      <c r="Y489" s="92">
        <f t="shared" si="422"/>
        <v>414100</v>
      </c>
      <c r="Z489" s="92">
        <f t="shared" si="422"/>
        <v>413500</v>
      </c>
      <c r="AA489" s="92">
        <f t="shared" si="422"/>
        <v>411800</v>
      </c>
      <c r="AB489" s="92">
        <f t="shared" si="422"/>
        <v>408900</v>
      </c>
      <c r="AC489" s="92">
        <f t="shared" si="422"/>
        <v>404700</v>
      </c>
      <c r="AD489" s="92">
        <f t="shared" si="422"/>
        <v>399300</v>
      </c>
      <c r="AE489" s="92">
        <f t="shared" si="422"/>
        <v>392600</v>
      </c>
      <c r="AF489" s="92">
        <f t="shared" si="422"/>
        <v>384500</v>
      </c>
      <c r="AG489" s="92">
        <f t="shared" si="422"/>
        <v>374900</v>
      </c>
      <c r="AH489" s="92">
        <f t="shared" si="422"/>
        <v>363800</v>
      </c>
      <c r="AI489" s="92">
        <f t="shared" si="422"/>
        <v>351400</v>
      </c>
      <c r="AJ489" s="92">
        <f t="shared" si="422"/>
        <v>0</v>
      </c>
      <c r="AK489" s="92">
        <f t="shared" si="422"/>
        <v>0</v>
      </c>
      <c r="AL489" s="92">
        <f t="shared" si="422"/>
        <v>0</v>
      </c>
      <c r="AM489" s="92">
        <f t="shared" si="422"/>
        <v>0</v>
      </c>
      <c r="AN489" s="92">
        <f t="shared" si="422"/>
        <v>0</v>
      </c>
      <c r="AO489" s="92">
        <f t="shared" si="422"/>
        <v>0</v>
      </c>
      <c r="AP489" s="92">
        <f t="shared" si="422"/>
        <v>0</v>
      </c>
      <c r="AQ489" s="92">
        <f t="shared" si="422"/>
        <v>0</v>
      </c>
      <c r="AR489" s="92">
        <f t="shared" si="422"/>
        <v>0</v>
      </c>
      <c r="AS489" s="92">
        <f t="shared" si="422"/>
        <v>0</v>
      </c>
    </row>
    <row r="490" spans="2:45">
      <c r="B490" s="1446" t="s">
        <v>1825</v>
      </c>
      <c r="C490" s="136"/>
      <c r="D490" s="3"/>
      <c r="E490" s="65">
        <f>SUM(F490:AS490)</f>
        <v>0</v>
      </c>
      <c r="F490" s="92">
        <f t="shared" ref="F490:AS490" si="423">+F87</f>
        <v>0</v>
      </c>
      <c r="G490" s="92">
        <f t="shared" si="423"/>
        <v>0</v>
      </c>
      <c r="H490" s="92">
        <f t="shared" si="423"/>
        <v>0</v>
      </c>
      <c r="I490" s="92">
        <f t="shared" si="423"/>
        <v>0</v>
      </c>
      <c r="J490" s="92">
        <f t="shared" si="423"/>
        <v>0</v>
      </c>
      <c r="K490" s="92">
        <f t="shared" si="423"/>
        <v>0</v>
      </c>
      <c r="L490" s="92">
        <f t="shared" si="423"/>
        <v>0</v>
      </c>
      <c r="M490" s="92">
        <f t="shared" si="423"/>
        <v>0</v>
      </c>
      <c r="N490" s="92">
        <f t="shared" si="423"/>
        <v>0</v>
      </c>
      <c r="O490" s="92">
        <f t="shared" si="423"/>
        <v>0</v>
      </c>
      <c r="P490" s="92">
        <f t="shared" si="423"/>
        <v>0</v>
      </c>
      <c r="Q490" s="92">
        <f t="shared" si="423"/>
        <v>0</v>
      </c>
      <c r="R490" s="92">
        <f t="shared" si="423"/>
        <v>0</v>
      </c>
      <c r="S490" s="92">
        <f t="shared" si="423"/>
        <v>0</v>
      </c>
      <c r="T490" s="92">
        <f t="shared" si="423"/>
        <v>0</v>
      </c>
      <c r="U490" s="92">
        <f t="shared" si="423"/>
        <v>0</v>
      </c>
      <c r="V490" s="92">
        <f t="shared" si="423"/>
        <v>0</v>
      </c>
      <c r="W490" s="92">
        <f t="shared" si="423"/>
        <v>0</v>
      </c>
      <c r="X490" s="92">
        <f t="shared" si="423"/>
        <v>0</v>
      </c>
      <c r="Y490" s="92">
        <f t="shared" si="423"/>
        <v>0</v>
      </c>
      <c r="Z490" s="92">
        <f t="shared" si="423"/>
        <v>0</v>
      </c>
      <c r="AA490" s="92">
        <f t="shared" si="423"/>
        <v>0</v>
      </c>
      <c r="AB490" s="92">
        <f t="shared" si="423"/>
        <v>0</v>
      </c>
      <c r="AC490" s="92">
        <f t="shared" si="423"/>
        <v>0</v>
      </c>
      <c r="AD490" s="92">
        <f t="shared" si="423"/>
        <v>0</v>
      </c>
      <c r="AE490" s="92">
        <f t="shared" si="423"/>
        <v>0</v>
      </c>
      <c r="AF490" s="92">
        <f t="shared" si="423"/>
        <v>0</v>
      </c>
      <c r="AG490" s="92">
        <f t="shared" si="423"/>
        <v>0</v>
      </c>
      <c r="AH490" s="92">
        <f t="shared" si="423"/>
        <v>0</v>
      </c>
      <c r="AI490" s="92">
        <f t="shared" si="423"/>
        <v>0</v>
      </c>
      <c r="AJ490" s="92">
        <f t="shared" si="423"/>
        <v>0</v>
      </c>
      <c r="AK490" s="92">
        <f t="shared" si="423"/>
        <v>0</v>
      </c>
      <c r="AL490" s="92">
        <f t="shared" si="423"/>
        <v>0</v>
      </c>
      <c r="AM490" s="92">
        <f t="shared" si="423"/>
        <v>0</v>
      </c>
      <c r="AN490" s="92">
        <f t="shared" si="423"/>
        <v>0</v>
      </c>
      <c r="AO490" s="92">
        <f t="shared" si="423"/>
        <v>0</v>
      </c>
      <c r="AP490" s="92">
        <f t="shared" si="423"/>
        <v>0</v>
      </c>
      <c r="AQ490" s="92">
        <f t="shared" si="423"/>
        <v>0</v>
      </c>
      <c r="AR490" s="92">
        <f t="shared" si="423"/>
        <v>0</v>
      </c>
      <c r="AS490" s="92">
        <f t="shared" si="423"/>
        <v>0</v>
      </c>
    </row>
    <row r="491" spans="2:45">
      <c r="B491" s="43" t="s">
        <v>395</v>
      </c>
      <c r="E491" s="65">
        <f>SUM(F491:AS491)</f>
        <v>-890000</v>
      </c>
      <c r="F491" s="92">
        <f t="shared" ref="F491:AS491" si="424">+F91+F94+F96</f>
        <v>-40000</v>
      </c>
      <c r="G491" s="92">
        <f t="shared" si="424"/>
        <v>-41200</v>
      </c>
      <c r="H491" s="92">
        <f t="shared" si="424"/>
        <v>-42400</v>
      </c>
      <c r="I491" s="92">
        <f t="shared" si="424"/>
        <v>-43700</v>
      </c>
      <c r="J491" s="92">
        <f t="shared" si="424"/>
        <v>-45000</v>
      </c>
      <c r="K491" s="92">
        <f t="shared" si="424"/>
        <v>-46400</v>
      </c>
      <c r="L491" s="92">
        <f t="shared" si="424"/>
        <v>-47800</v>
      </c>
      <c r="M491" s="92">
        <f t="shared" si="424"/>
        <v>-49200</v>
      </c>
      <c r="N491" s="92">
        <f t="shared" si="424"/>
        <v>-10000</v>
      </c>
      <c r="O491" s="92">
        <f t="shared" si="424"/>
        <v>-23500</v>
      </c>
      <c r="P491" s="92">
        <f t="shared" si="424"/>
        <v>-23100</v>
      </c>
      <c r="Q491" s="92">
        <f t="shared" si="424"/>
        <v>-22900</v>
      </c>
      <c r="R491" s="92">
        <f t="shared" si="424"/>
        <v>-22800</v>
      </c>
      <c r="S491" s="92">
        <f t="shared" si="424"/>
        <v>-22800</v>
      </c>
      <c r="T491" s="92">
        <f t="shared" si="424"/>
        <v>-17700</v>
      </c>
      <c r="U491" s="92">
        <f t="shared" si="424"/>
        <v>-18700</v>
      </c>
      <c r="V491" s="92">
        <f t="shared" si="424"/>
        <v>-19900</v>
      </c>
      <c r="W491" s="92">
        <f t="shared" si="424"/>
        <v>-21000</v>
      </c>
      <c r="X491" s="92">
        <f t="shared" si="424"/>
        <v>-22100</v>
      </c>
      <c r="Y491" s="92">
        <f t="shared" si="424"/>
        <v>-23100</v>
      </c>
      <c r="Z491" s="92">
        <f t="shared" si="424"/>
        <v>-24200</v>
      </c>
      <c r="AA491" s="92">
        <f t="shared" si="424"/>
        <v>-25300</v>
      </c>
      <c r="AB491" s="92">
        <f t="shared" si="424"/>
        <v>-26400</v>
      </c>
      <c r="AC491" s="92">
        <f t="shared" si="424"/>
        <v>-27300</v>
      </c>
      <c r="AD491" s="92">
        <f t="shared" si="424"/>
        <v>-28300</v>
      </c>
      <c r="AE491" s="92">
        <f t="shared" si="424"/>
        <v>-29300</v>
      </c>
      <c r="AF491" s="92">
        <f t="shared" si="424"/>
        <v>-30300</v>
      </c>
      <c r="AG491" s="92">
        <f t="shared" si="424"/>
        <v>-31200</v>
      </c>
      <c r="AH491" s="92">
        <f t="shared" si="424"/>
        <v>-31900</v>
      </c>
      <c r="AI491" s="92">
        <f t="shared" si="424"/>
        <v>-32500</v>
      </c>
      <c r="AJ491" s="92">
        <f t="shared" si="424"/>
        <v>0</v>
      </c>
      <c r="AK491" s="92">
        <f t="shared" si="424"/>
        <v>0</v>
      </c>
      <c r="AL491" s="92">
        <f t="shared" si="424"/>
        <v>0</v>
      </c>
      <c r="AM491" s="92">
        <f t="shared" si="424"/>
        <v>0</v>
      </c>
      <c r="AN491" s="92">
        <f t="shared" si="424"/>
        <v>0</v>
      </c>
      <c r="AO491" s="92">
        <f t="shared" si="424"/>
        <v>0</v>
      </c>
      <c r="AP491" s="92">
        <f t="shared" si="424"/>
        <v>0</v>
      </c>
      <c r="AQ491" s="92">
        <f t="shared" si="424"/>
        <v>0</v>
      </c>
      <c r="AR491" s="92">
        <f t="shared" si="424"/>
        <v>0</v>
      </c>
      <c r="AS491" s="92">
        <f t="shared" si="424"/>
        <v>0</v>
      </c>
    </row>
    <row r="492" spans="2:45">
      <c r="B492" s="43" t="s">
        <v>365</v>
      </c>
      <c r="E492" s="65">
        <f>SUM(F492:AS492)</f>
        <v>0</v>
      </c>
      <c r="F492" s="566">
        <f t="shared" ref="F492:AS492" si="425">-F133</f>
        <v>0</v>
      </c>
      <c r="G492" s="566">
        <f t="shared" si="425"/>
        <v>0</v>
      </c>
      <c r="H492" s="566">
        <f t="shared" si="425"/>
        <v>0</v>
      </c>
      <c r="I492" s="566">
        <f t="shared" si="425"/>
        <v>0</v>
      </c>
      <c r="J492" s="566">
        <f t="shared" si="425"/>
        <v>0</v>
      </c>
      <c r="K492" s="566">
        <f t="shared" si="425"/>
        <v>0</v>
      </c>
      <c r="L492" s="566">
        <f t="shared" si="425"/>
        <v>0</v>
      </c>
      <c r="M492" s="566">
        <f t="shared" si="425"/>
        <v>0</v>
      </c>
      <c r="N492" s="566">
        <f t="shared" si="425"/>
        <v>0</v>
      </c>
      <c r="O492" s="566">
        <f t="shared" si="425"/>
        <v>0</v>
      </c>
      <c r="P492" s="566">
        <f t="shared" si="425"/>
        <v>0</v>
      </c>
      <c r="Q492" s="566">
        <f t="shared" si="425"/>
        <v>0</v>
      </c>
      <c r="R492" s="566">
        <f t="shared" si="425"/>
        <v>0</v>
      </c>
      <c r="S492" s="566">
        <f t="shared" si="425"/>
        <v>0</v>
      </c>
      <c r="T492" s="566">
        <f t="shared" si="425"/>
        <v>0</v>
      </c>
      <c r="U492" s="566">
        <f t="shared" si="425"/>
        <v>0</v>
      </c>
      <c r="V492" s="566">
        <f t="shared" si="425"/>
        <v>0</v>
      </c>
      <c r="W492" s="566">
        <f t="shared" si="425"/>
        <v>0</v>
      </c>
      <c r="X492" s="566">
        <f t="shared" si="425"/>
        <v>0</v>
      </c>
      <c r="Y492" s="566">
        <f t="shared" si="425"/>
        <v>0</v>
      </c>
      <c r="Z492" s="566">
        <f t="shared" si="425"/>
        <v>0</v>
      </c>
      <c r="AA492" s="566">
        <f t="shared" si="425"/>
        <v>0</v>
      </c>
      <c r="AB492" s="566">
        <f t="shared" si="425"/>
        <v>0</v>
      </c>
      <c r="AC492" s="566">
        <f t="shared" si="425"/>
        <v>0</v>
      </c>
      <c r="AD492" s="566">
        <f t="shared" si="425"/>
        <v>0</v>
      </c>
      <c r="AE492" s="566">
        <f t="shared" si="425"/>
        <v>0</v>
      </c>
      <c r="AF492" s="566">
        <f t="shared" si="425"/>
        <v>0</v>
      </c>
      <c r="AG492" s="566">
        <f t="shared" si="425"/>
        <v>0</v>
      </c>
      <c r="AH492" s="566">
        <f t="shared" si="425"/>
        <v>0</v>
      </c>
      <c r="AI492" s="566">
        <f t="shared" si="425"/>
        <v>0</v>
      </c>
      <c r="AJ492" s="566">
        <f t="shared" si="425"/>
        <v>0</v>
      </c>
      <c r="AK492" s="566">
        <f t="shared" si="425"/>
        <v>0</v>
      </c>
      <c r="AL492" s="566">
        <f t="shared" si="425"/>
        <v>0</v>
      </c>
      <c r="AM492" s="566">
        <f t="shared" si="425"/>
        <v>0</v>
      </c>
      <c r="AN492" s="566">
        <f t="shared" si="425"/>
        <v>0</v>
      </c>
      <c r="AO492" s="566">
        <f t="shared" si="425"/>
        <v>0</v>
      </c>
      <c r="AP492" s="566">
        <f t="shared" si="425"/>
        <v>0</v>
      </c>
      <c r="AQ492" s="566">
        <f t="shared" si="425"/>
        <v>0</v>
      </c>
      <c r="AR492" s="566">
        <f t="shared" si="425"/>
        <v>0</v>
      </c>
      <c r="AS492" s="566">
        <f t="shared" si="425"/>
        <v>0</v>
      </c>
    </row>
    <row r="493" spans="2:45">
      <c r="B493" s="43" t="s">
        <v>396</v>
      </c>
      <c r="F493" s="92">
        <f>+F489+F490+F491+F492</f>
        <v>460000</v>
      </c>
      <c r="G493" s="92">
        <f>+G489+G490+G491+G492</f>
        <v>450000</v>
      </c>
      <c r="H493" s="92">
        <f t="shared" ref="H493:AS493" si="426">+H489+H490+H491+H492</f>
        <v>438200</v>
      </c>
      <c r="I493" s="92">
        <f t="shared" si="426"/>
        <v>424400</v>
      </c>
      <c r="J493" s="92">
        <f t="shared" si="426"/>
        <v>408400</v>
      </c>
      <c r="K493" s="92">
        <f t="shared" si="426"/>
        <v>390000</v>
      </c>
      <c r="L493" s="92">
        <f t="shared" si="426"/>
        <v>369100</v>
      </c>
      <c r="M493" s="92">
        <f t="shared" si="426"/>
        <v>345400</v>
      </c>
      <c r="N493" s="92">
        <f t="shared" si="426"/>
        <v>359500</v>
      </c>
      <c r="O493" s="92">
        <f t="shared" si="426"/>
        <v>359700</v>
      </c>
      <c r="P493" s="92">
        <f t="shared" si="426"/>
        <v>360700</v>
      </c>
      <c r="Q493" s="92">
        <f t="shared" si="426"/>
        <v>362000</v>
      </c>
      <c r="R493" s="92">
        <f t="shared" si="426"/>
        <v>363500</v>
      </c>
      <c r="S493" s="92">
        <f t="shared" si="426"/>
        <v>365100</v>
      </c>
      <c r="T493" s="92">
        <f t="shared" si="426"/>
        <v>371900</v>
      </c>
      <c r="U493" s="92">
        <f t="shared" si="426"/>
        <v>377900</v>
      </c>
      <c r="V493" s="92">
        <f t="shared" si="426"/>
        <v>383200</v>
      </c>
      <c r="W493" s="92">
        <f t="shared" si="426"/>
        <v>387800</v>
      </c>
      <c r="X493" s="92">
        <f t="shared" si="426"/>
        <v>391600</v>
      </c>
      <c r="Y493" s="92">
        <f t="shared" si="426"/>
        <v>391000</v>
      </c>
      <c r="Z493" s="92">
        <f t="shared" si="426"/>
        <v>389300</v>
      </c>
      <c r="AA493" s="92">
        <f t="shared" si="426"/>
        <v>386500</v>
      </c>
      <c r="AB493" s="92">
        <f t="shared" si="426"/>
        <v>382500</v>
      </c>
      <c r="AC493" s="92">
        <f t="shared" si="426"/>
        <v>377400</v>
      </c>
      <c r="AD493" s="92">
        <f t="shared" si="426"/>
        <v>371000</v>
      </c>
      <c r="AE493" s="92">
        <f t="shared" si="426"/>
        <v>363300</v>
      </c>
      <c r="AF493" s="92">
        <f t="shared" si="426"/>
        <v>354200</v>
      </c>
      <c r="AG493" s="92">
        <f t="shared" si="426"/>
        <v>343700</v>
      </c>
      <c r="AH493" s="92">
        <f t="shared" si="426"/>
        <v>331900</v>
      </c>
      <c r="AI493" s="92">
        <f t="shared" si="426"/>
        <v>318900</v>
      </c>
      <c r="AJ493" s="92">
        <f t="shared" si="426"/>
        <v>0</v>
      </c>
      <c r="AK493" s="92">
        <f t="shared" si="426"/>
        <v>0</v>
      </c>
      <c r="AL493" s="92">
        <f t="shared" si="426"/>
        <v>0</v>
      </c>
      <c r="AM493" s="92">
        <f t="shared" si="426"/>
        <v>0</v>
      </c>
      <c r="AN493" s="92">
        <f t="shared" si="426"/>
        <v>0</v>
      </c>
      <c r="AO493" s="92">
        <f t="shared" si="426"/>
        <v>0</v>
      </c>
      <c r="AP493" s="92">
        <f t="shared" si="426"/>
        <v>0</v>
      </c>
      <c r="AQ493" s="92">
        <f t="shared" si="426"/>
        <v>0</v>
      </c>
      <c r="AR493" s="92">
        <f t="shared" si="426"/>
        <v>0</v>
      </c>
      <c r="AS493" s="92">
        <f t="shared" si="426"/>
        <v>0</v>
      </c>
    </row>
    <row r="494" spans="2:45">
      <c r="B494" s="43" t="s">
        <v>254</v>
      </c>
      <c r="F494" s="92">
        <f>(+F489+(F489+F490+F491+F492))/2</f>
        <v>480000</v>
      </c>
      <c r="G494" s="92">
        <f>(+G489+(G489+G490+G491+G492))/2</f>
        <v>470600</v>
      </c>
      <c r="H494" s="92">
        <f t="shared" ref="H494:AS494" si="427">(+H489+(H489+H490+H491+H492))/2</f>
        <v>459400</v>
      </c>
      <c r="I494" s="92">
        <f t="shared" si="427"/>
        <v>446250</v>
      </c>
      <c r="J494" s="92">
        <f t="shared" si="427"/>
        <v>430900</v>
      </c>
      <c r="K494" s="92">
        <f t="shared" si="427"/>
        <v>413200</v>
      </c>
      <c r="L494" s="92">
        <f t="shared" si="427"/>
        <v>393000</v>
      </c>
      <c r="M494" s="92">
        <f t="shared" si="427"/>
        <v>370000</v>
      </c>
      <c r="N494" s="92">
        <f t="shared" si="427"/>
        <v>364500</v>
      </c>
      <c r="O494" s="92">
        <f t="shared" si="427"/>
        <v>371450</v>
      </c>
      <c r="P494" s="92">
        <f t="shared" si="427"/>
        <v>372250</v>
      </c>
      <c r="Q494" s="92">
        <f t="shared" si="427"/>
        <v>373450</v>
      </c>
      <c r="R494" s="92">
        <f t="shared" si="427"/>
        <v>374900</v>
      </c>
      <c r="S494" s="92">
        <f t="shared" si="427"/>
        <v>376500</v>
      </c>
      <c r="T494" s="92">
        <f t="shared" si="427"/>
        <v>380750</v>
      </c>
      <c r="U494" s="92">
        <f t="shared" si="427"/>
        <v>387250</v>
      </c>
      <c r="V494" s="92">
        <f t="shared" si="427"/>
        <v>393150</v>
      </c>
      <c r="W494" s="92">
        <f t="shared" si="427"/>
        <v>398300</v>
      </c>
      <c r="X494" s="92">
        <f t="shared" si="427"/>
        <v>402650</v>
      </c>
      <c r="Y494" s="92">
        <f t="shared" si="427"/>
        <v>402550</v>
      </c>
      <c r="Z494" s="92">
        <f t="shared" si="427"/>
        <v>401400</v>
      </c>
      <c r="AA494" s="92">
        <f t="shared" si="427"/>
        <v>399150</v>
      </c>
      <c r="AB494" s="92">
        <f t="shared" si="427"/>
        <v>395700</v>
      </c>
      <c r="AC494" s="92">
        <f t="shared" si="427"/>
        <v>391050</v>
      </c>
      <c r="AD494" s="92">
        <f t="shared" si="427"/>
        <v>385150</v>
      </c>
      <c r="AE494" s="92">
        <f t="shared" si="427"/>
        <v>377950</v>
      </c>
      <c r="AF494" s="92">
        <f t="shared" si="427"/>
        <v>369350</v>
      </c>
      <c r="AG494" s="92">
        <f t="shared" si="427"/>
        <v>359300</v>
      </c>
      <c r="AH494" s="92">
        <f t="shared" si="427"/>
        <v>347850</v>
      </c>
      <c r="AI494" s="92">
        <f t="shared" si="427"/>
        <v>335150</v>
      </c>
      <c r="AJ494" s="92">
        <f t="shared" si="427"/>
        <v>0</v>
      </c>
      <c r="AK494" s="92">
        <f t="shared" si="427"/>
        <v>0</v>
      </c>
      <c r="AL494" s="92">
        <f t="shared" si="427"/>
        <v>0</v>
      </c>
      <c r="AM494" s="92">
        <f t="shared" si="427"/>
        <v>0</v>
      </c>
      <c r="AN494" s="92">
        <f t="shared" si="427"/>
        <v>0</v>
      </c>
      <c r="AO494" s="92">
        <f t="shared" si="427"/>
        <v>0</v>
      </c>
      <c r="AP494" s="92">
        <f t="shared" si="427"/>
        <v>0</v>
      </c>
      <c r="AQ494" s="92">
        <f t="shared" si="427"/>
        <v>0</v>
      </c>
      <c r="AR494" s="92">
        <f t="shared" si="427"/>
        <v>0</v>
      </c>
      <c r="AS494" s="92">
        <f t="shared" si="427"/>
        <v>0</v>
      </c>
    </row>
    <row r="495" spans="2:45">
      <c r="B495" s="43" t="s">
        <v>393</v>
      </c>
      <c r="F495" s="117">
        <f t="shared" ref="F495:AS495" si="428">IF(AND(Use_Class="c",F$4&gt;=Change_Age),tIRA_Return2,tIRA_Return)</f>
        <v>6.5000000000000002E-2</v>
      </c>
      <c r="G495" s="117">
        <f t="shared" si="428"/>
        <v>6.5000000000000002E-2</v>
      </c>
      <c r="H495" s="117">
        <f t="shared" si="428"/>
        <v>6.5000000000000002E-2</v>
      </c>
      <c r="I495" s="117">
        <f t="shared" si="428"/>
        <v>6.5000000000000002E-2</v>
      </c>
      <c r="J495" s="117">
        <f t="shared" si="428"/>
        <v>6.5000000000000002E-2</v>
      </c>
      <c r="K495" s="117">
        <f t="shared" si="428"/>
        <v>6.5000000000000002E-2</v>
      </c>
      <c r="L495" s="117">
        <f t="shared" si="428"/>
        <v>6.5000000000000002E-2</v>
      </c>
      <c r="M495" s="117">
        <f t="shared" si="428"/>
        <v>6.5000000000000002E-2</v>
      </c>
      <c r="N495" s="117">
        <f t="shared" si="428"/>
        <v>6.5000000000000002E-2</v>
      </c>
      <c r="O495" s="117">
        <f t="shared" si="428"/>
        <v>6.5000000000000002E-2</v>
      </c>
      <c r="P495" s="117">
        <f t="shared" si="428"/>
        <v>6.5000000000000002E-2</v>
      </c>
      <c r="Q495" s="117">
        <f t="shared" si="428"/>
        <v>6.5000000000000002E-2</v>
      </c>
      <c r="R495" s="117">
        <f t="shared" si="428"/>
        <v>6.5000000000000002E-2</v>
      </c>
      <c r="S495" s="117">
        <f t="shared" si="428"/>
        <v>6.5000000000000002E-2</v>
      </c>
      <c r="T495" s="117">
        <f t="shared" si="428"/>
        <v>6.5000000000000002E-2</v>
      </c>
      <c r="U495" s="117">
        <f t="shared" si="428"/>
        <v>6.5000000000000002E-2</v>
      </c>
      <c r="V495" s="117">
        <f t="shared" si="428"/>
        <v>6.5000000000000002E-2</v>
      </c>
      <c r="W495" s="117">
        <f t="shared" si="428"/>
        <v>6.5000000000000002E-2</v>
      </c>
      <c r="X495" s="117">
        <f t="shared" si="428"/>
        <v>5.6000000000000001E-2</v>
      </c>
      <c r="Y495" s="117">
        <f t="shared" si="428"/>
        <v>5.6000000000000001E-2</v>
      </c>
      <c r="Z495" s="117">
        <f t="shared" si="428"/>
        <v>5.6000000000000001E-2</v>
      </c>
      <c r="AA495" s="117">
        <f t="shared" si="428"/>
        <v>5.6000000000000001E-2</v>
      </c>
      <c r="AB495" s="117">
        <f t="shared" si="428"/>
        <v>5.6000000000000001E-2</v>
      </c>
      <c r="AC495" s="117">
        <f t="shared" si="428"/>
        <v>5.6000000000000001E-2</v>
      </c>
      <c r="AD495" s="117">
        <f t="shared" si="428"/>
        <v>5.6000000000000001E-2</v>
      </c>
      <c r="AE495" s="117">
        <f t="shared" si="428"/>
        <v>5.6000000000000001E-2</v>
      </c>
      <c r="AF495" s="117">
        <f t="shared" si="428"/>
        <v>5.6000000000000001E-2</v>
      </c>
      <c r="AG495" s="117">
        <f t="shared" si="428"/>
        <v>5.6000000000000001E-2</v>
      </c>
      <c r="AH495" s="117">
        <f t="shared" si="428"/>
        <v>5.6000000000000001E-2</v>
      </c>
      <c r="AI495" s="117">
        <f t="shared" si="428"/>
        <v>5.6000000000000001E-2</v>
      </c>
      <c r="AJ495" s="117">
        <f t="shared" si="428"/>
        <v>5.6000000000000001E-2</v>
      </c>
      <c r="AK495" s="117">
        <f t="shared" si="428"/>
        <v>5.6000000000000001E-2</v>
      </c>
      <c r="AL495" s="117">
        <f t="shared" si="428"/>
        <v>5.6000000000000001E-2</v>
      </c>
      <c r="AM495" s="117">
        <f t="shared" si="428"/>
        <v>5.6000000000000001E-2</v>
      </c>
      <c r="AN495" s="117">
        <f t="shared" si="428"/>
        <v>5.6000000000000001E-2</v>
      </c>
      <c r="AO495" s="117">
        <f t="shared" si="428"/>
        <v>5.6000000000000001E-2</v>
      </c>
      <c r="AP495" s="117">
        <f t="shared" si="428"/>
        <v>5.6000000000000001E-2</v>
      </c>
      <c r="AQ495" s="117">
        <f t="shared" si="428"/>
        <v>5.6000000000000001E-2</v>
      </c>
      <c r="AR495" s="117">
        <f t="shared" si="428"/>
        <v>5.6000000000000001E-2</v>
      </c>
      <c r="AS495" s="117">
        <f t="shared" si="428"/>
        <v>5.6000000000000001E-2</v>
      </c>
    </row>
    <row r="496" spans="2:45">
      <c r="B496" s="43" t="s">
        <v>1218</v>
      </c>
      <c r="D496" s="1"/>
      <c r="E496" s="65">
        <f>SUM(F496:AS496)</f>
        <v>727396.25</v>
      </c>
      <c r="F496" s="92">
        <f t="shared" ref="F496:M496" si="429">IF(F493=0,0,+F494*F495)</f>
        <v>31200</v>
      </c>
      <c r="G496" s="92">
        <f t="shared" si="429"/>
        <v>30589</v>
      </c>
      <c r="H496" s="92">
        <f t="shared" si="429"/>
        <v>29861</v>
      </c>
      <c r="I496" s="92">
        <f t="shared" si="429"/>
        <v>29006.25</v>
      </c>
      <c r="J496" s="92">
        <f t="shared" si="429"/>
        <v>28008.5</v>
      </c>
      <c r="K496" s="92">
        <f t="shared" si="429"/>
        <v>26858</v>
      </c>
      <c r="L496" s="92">
        <f t="shared" si="429"/>
        <v>25545</v>
      </c>
      <c r="M496" s="92">
        <f t="shared" si="429"/>
        <v>24050</v>
      </c>
      <c r="N496" s="92">
        <f>IF(N493=0,0,+N494*N495)</f>
        <v>23692.5</v>
      </c>
      <c r="O496" s="92">
        <f t="shared" ref="O496:AS496" si="430">IF(O493=0,0,+O494*O495)</f>
        <v>24144.25</v>
      </c>
      <c r="P496" s="92">
        <f t="shared" si="430"/>
        <v>24196.25</v>
      </c>
      <c r="Q496" s="92">
        <f t="shared" si="430"/>
        <v>24274.25</v>
      </c>
      <c r="R496" s="92">
        <f t="shared" si="430"/>
        <v>24368.5</v>
      </c>
      <c r="S496" s="92">
        <f t="shared" si="430"/>
        <v>24472.5</v>
      </c>
      <c r="T496" s="92">
        <f t="shared" si="430"/>
        <v>24748.75</v>
      </c>
      <c r="U496" s="92">
        <f t="shared" si="430"/>
        <v>25171.25</v>
      </c>
      <c r="V496" s="92">
        <f t="shared" si="430"/>
        <v>25554.75</v>
      </c>
      <c r="W496" s="92">
        <f t="shared" si="430"/>
        <v>25889.5</v>
      </c>
      <c r="X496" s="92">
        <f t="shared" si="430"/>
        <v>22548.400000000001</v>
      </c>
      <c r="Y496" s="92">
        <f t="shared" si="430"/>
        <v>22542.799999999999</v>
      </c>
      <c r="Z496" s="92">
        <f t="shared" si="430"/>
        <v>22478.400000000001</v>
      </c>
      <c r="AA496" s="92">
        <f t="shared" si="430"/>
        <v>22352.400000000001</v>
      </c>
      <c r="AB496" s="92">
        <f t="shared" si="430"/>
        <v>22159.200000000001</v>
      </c>
      <c r="AC496" s="92">
        <f t="shared" si="430"/>
        <v>21898.799999999999</v>
      </c>
      <c r="AD496" s="92">
        <f t="shared" si="430"/>
        <v>21568.400000000001</v>
      </c>
      <c r="AE496" s="92">
        <f t="shared" si="430"/>
        <v>21165.200000000001</v>
      </c>
      <c r="AF496" s="92">
        <f t="shared" si="430"/>
        <v>20683.600000000002</v>
      </c>
      <c r="AG496" s="92">
        <f t="shared" si="430"/>
        <v>20120.8</v>
      </c>
      <c r="AH496" s="92">
        <f t="shared" si="430"/>
        <v>19479.600000000002</v>
      </c>
      <c r="AI496" s="92">
        <f t="shared" si="430"/>
        <v>18768.400000000001</v>
      </c>
      <c r="AJ496" s="92">
        <f t="shared" si="430"/>
        <v>0</v>
      </c>
      <c r="AK496" s="92">
        <f t="shared" si="430"/>
        <v>0</v>
      </c>
      <c r="AL496" s="92">
        <f t="shared" si="430"/>
        <v>0</v>
      </c>
      <c r="AM496" s="92">
        <f t="shared" si="430"/>
        <v>0</v>
      </c>
      <c r="AN496" s="92">
        <f t="shared" si="430"/>
        <v>0</v>
      </c>
      <c r="AO496" s="92">
        <f t="shared" si="430"/>
        <v>0</v>
      </c>
      <c r="AP496" s="92">
        <f t="shared" si="430"/>
        <v>0</v>
      </c>
      <c r="AQ496" s="92">
        <f t="shared" si="430"/>
        <v>0</v>
      </c>
      <c r="AR496" s="92">
        <f t="shared" si="430"/>
        <v>0</v>
      </c>
      <c r="AS496" s="92">
        <f t="shared" si="430"/>
        <v>0</v>
      </c>
    </row>
    <row r="497" spans="2:45">
      <c r="B497" s="43" t="s">
        <v>455</v>
      </c>
      <c r="C497" s="136"/>
      <c r="E497" s="65">
        <f>SUM(F497:AS497)</f>
        <v>727700</v>
      </c>
      <c r="F497" s="92">
        <f t="shared" ref="F497:AS497" si="431">ROUND(+F496/Round_To,0)*Round_To</f>
        <v>31200</v>
      </c>
      <c r="G497" s="92">
        <f t="shared" si="431"/>
        <v>30600</v>
      </c>
      <c r="H497" s="92">
        <f t="shared" si="431"/>
        <v>29900</v>
      </c>
      <c r="I497" s="92">
        <f t="shared" si="431"/>
        <v>29000</v>
      </c>
      <c r="J497" s="92">
        <f t="shared" si="431"/>
        <v>28000</v>
      </c>
      <c r="K497" s="92">
        <f t="shared" si="431"/>
        <v>26900</v>
      </c>
      <c r="L497" s="92">
        <f t="shared" si="431"/>
        <v>25500</v>
      </c>
      <c r="M497" s="92">
        <f t="shared" si="431"/>
        <v>24100</v>
      </c>
      <c r="N497" s="92">
        <f t="shared" si="431"/>
        <v>23700</v>
      </c>
      <c r="O497" s="92">
        <f t="shared" si="431"/>
        <v>24100</v>
      </c>
      <c r="P497" s="92">
        <f t="shared" si="431"/>
        <v>24200</v>
      </c>
      <c r="Q497" s="92">
        <f t="shared" si="431"/>
        <v>24300</v>
      </c>
      <c r="R497" s="92">
        <f t="shared" si="431"/>
        <v>24400</v>
      </c>
      <c r="S497" s="92">
        <f t="shared" si="431"/>
        <v>24500</v>
      </c>
      <c r="T497" s="92">
        <f t="shared" si="431"/>
        <v>24700</v>
      </c>
      <c r="U497" s="92">
        <f t="shared" si="431"/>
        <v>25200</v>
      </c>
      <c r="V497" s="92">
        <f t="shared" si="431"/>
        <v>25600</v>
      </c>
      <c r="W497" s="92">
        <f t="shared" si="431"/>
        <v>25900</v>
      </c>
      <c r="X497" s="92">
        <f t="shared" si="431"/>
        <v>22500</v>
      </c>
      <c r="Y497" s="92">
        <f t="shared" si="431"/>
        <v>22500</v>
      </c>
      <c r="Z497" s="92">
        <f t="shared" si="431"/>
        <v>22500</v>
      </c>
      <c r="AA497" s="92">
        <f t="shared" si="431"/>
        <v>22400</v>
      </c>
      <c r="AB497" s="92">
        <f t="shared" si="431"/>
        <v>22200</v>
      </c>
      <c r="AC497" s="92">
        <f t="shared" si="431"/>
        <v>21900</v>
      </c>
      <c r="AD497" s="92">
        <f t="shared" si="431"/>
        <v>21600</v>
      </c>
      <c r="AE497" s="92">
        <f t="shared" si="431"/>
        <v>21200</v>
      </c>
      <c r="AF497" s="92">
        <f t="shared" si="431"/>
        <v>20700</v>
      </c>
      <c r="AG497" s="92">
        <f t="shared" si="431"/>
        <v>20100</v>
      </c>
      <c r="AH497" s="92">
        <f t="shared" si="431"/>
        <v>19500</v>
      </c>
      <c r="AI497" s="92">
        <f t="shared" si="431"/>
        <v>18800</v>
      </c>
      <c r="AJ497" s="92">
        <f t="shared" si="431"/>
        <v>0</v>
      </c>
      <c r="AK497" s="92">
        <f t="shared" si="431"/>
        <v>0</v>
      </c>
      <c r="AL497" s="92">
        <f t="shared" si="431"/>
        <v>0</v>
      </c>
      <c r="AM497" s="92">
        <f t="shared" si="431"/>
        <v>0</v>
      </c>
      <c r="AN497" s="92">
        <f t="shared" si="431"/>
        <v>0</v>
      </c>
      <c r="AO497" s="92">
        <f t="shared" si="431"/>
        <v>0</v>
      </c>
      <c r="AP497" s="92">
        <f t="shared" si="431"/>
        <v>0</v>
      </c>
      <c r="AQ497" s="92">
        <f t="shared" si="431"/>
        <v>0</v>
      </c>
      <c r="AR497" s="92">
        <f t="shared" si="431"/>
        <v>0</v>
      </c>
      <c r="AS497" s="92">
        <f t="shared" si="431"/>
        <v>0</v>
      </c>
    </row>
    <row r="498" spans="2:45">
      <c r="B498" s="43" t="s">
        <v>397</v>
      </c>
      <c r="C498" s="136"/>
      <c r="E498" s="65">
        <f>SUM(F498:AS498)</f>
        <v>0</v>
      </c>
      <c r="F498" s="92">
        <f t="shared" ref="F498:AS498" si="432">+F29-F497</f>
        <v>0</v>
      </c>
      <c r="G498" s="92">
        <f t="shared" si="432"/>
        <v>0</v>
      </c>
      <c r="H498" s="92">
        <f t="shared" si="432"/>
        <v>0</v>
      </c>
      <c r="I498" s="92">
        <f t="shared" si="432"/>
        <v>0</v>
      </c>
      <c r="J498" s="92">
        <f t="shared" si="432"/>
        <v>0</v>
      </c>
      <c r="K498" s="92">
        <f t="shared" si="432"/>
        <v>0</v>
      </c>
      <c r="L498" s="92">
        <f t="shared" si="432"/>
        <v>0</v>
      </c>
      <c r="M498" s="92">
        <f t="shared" si="432"/>
        <v>0</v>
      </c>
      <c r="N498" s="92">
        <f t="shared" si="432"/>
        <v>0</v>
      </c>
      <c r="O498" s="92">
        <f t="shared" si="432"/>
        <v>0</v>
      </c>
      <c r="P498" s="92">
        <f t="shared" si="432"/>
        <v>0</v>
      </c>
      <c r="Q498" s="92">
        <f t="shared" si="432"/>
        <v>0</v>
      </c>
      <c r="R498" s="92">
        <f t="shared" si="432"/>
        <v>0</v>
      </c>
      <c r="S498" s="92">
        <f t="shared" si="432"/>
        <v>0</v>
      </c>
      <c r="T498" s="92">
        <f t="shared" si="432"/>
        <v>0</v>
      </c>
      <c r="U498" s="92">
        <f t="shared" si="432"/>
        <v>0</v>
      </c>
      <c r="V498" s="92">
        <f t="shared" si="432"/>
        <v>0</v>
      </c>
      <c r="W498" s="92">
        <f t="shared" si="432"/>
        <v>0</v>
      </c>
      <c r="X498" s="92">
        <f t="shared" si="432"/>
        <v>0</v>
      </c>
      <c r="Y498" s="92">
        <f t="shared" si="432"/>
        <v>0</v>
      </c>
      <c r="Z498" s="92">
        <f t="shared" si="432"/>
        <v>0</v>
      </c>
      <c r="AA498" s="92">
        <f t="shared" si="432"/>
        <v>0</v>
      </c>
      <c r="AB498" s="92">
        <f t="shared" si="432"/>
        <v>0</v>
      </c>
      <c r="AC498" s="92">
        <f t="shared" si="432"/>
        <v>0</v>
      </c>
      <c r="AD498" s="92">
        <f t="shared" si="432"/>
        <v>0</v>
      </c>
      <c r="AE498" s="92">
        <f t="shared" si="432"/>
        <v>0</v>
      </c>
      <c r="AF498" s="92">
        <f t="shared" si="432"/>
        <v>0</v>
      </c>
      <c r="AG498" s="92">
        <f t="shared" si="432"/>
        <v>0</v>
      </c>
      <c r="AH498" s="92">
        <f t="shared" si="432"/>
        <v>0</v>
      </c>
      <c r="AI498" s="92">
        <f t="shared" si="432"/>
        <v>0</v>
      </c>
      <c r="AJ498" s="92">
        <f t="shared" si="432"/>
        <v>0</v>
      </c>
      <c r="AK498" s="92">
        <f t="shared" si="432"/>
        <v>0</v>
      </c>
      <c r="AL498" s="92">
        <f t="shared" si="432"/>
        <v>0</v>
      </c>
      <c r="AM498" s="92">
        <f t="shared" si="432"/>
        <v>0</v>
      </c>
      <c r="AN498" s="92">
        <f t="shared" si="432"/>
        <v>0</v>
      </c>
      <c r="AO498" s="92">
        <f t="shared" si="432"/>
        <v>0</v>
      </c>
      <c r="AP498" s="92">
        <f t="shared" si="432"/>
        <v>0</v>
      </c>
      <c r="AQ498" s="92">
        <f t="shared" si="432"/>
        <v>0</v>
      </c>
      <c r="AR498" s="92">
        <f t="shared" si="432"/>
        <v>0</v>
      </c>
      <c r="AS498" s="92">
        <f t="shared" si="432"/>
        <v>0</v>
      </c>
    </row>
    <row r="499" spans="2:45">
      <c r="B499" s="43"/>
      <c r="C499" s="136"/>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2"/>
      <c r="AK499" s="92"/>
      <c r="AL499" s="92"/>
      <c r="AM499" s="92"/>
      <c r="AN499" s="92"/>
      <c r="AO499" s="92"/>
      <c r="AP499" s="92"/>
      <c r="AQ499" s="92"/>
      <c r="AR499" s="92"/>
      <c r="AS499" s="92"/>
    </row>
    <row r="500" spans="2:45" ht="17.399999999999999">
      <c r="B500" s="1062" t="s">
        <v>1744</v>
      </c>
      <c r="C500" s="136"/>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2"/>
      <c r="AK500" s="92"/>
      <c r="AL500" s="92"/>
      <c r="AM500" s="92"/>
      <c r="AN500" s="92"/>
      <c r="AO500" s="92"/>
      <c r="AP500" s="92"/>
      <c r="AQ500" s="92"/>
      <c r="AR500" s="92"/>
      <c r="AS500" s="92"/>
    </row>
    <row r="501" spans="2:45">
      <c r="B501" s="43" t="s">
        <v>1737</v>
      </c>
      <c r="C501" s="136" t="str">
        <f>IF(+QCD_Src1="i1","IRA 1",IF(+QCD_Src1="i2","IRA 2",IF(+QCD_Src1="h1","Inherited RA 1",IF(+QCD_Src1="h2","Inherited IRA 2",""))))</f>
        <v>IRA 2</v>
      </c>
      <c r="E501" s="65">
        <f>SUM(F501:AS501)</f>
        <v>0</v>
      </c>
      <c r="F501" s="92">
        <f t="shared" ref="F501:AS501" si="433">IF(QCD_Src1="i1",-F91-F95-F96,0)+IF(QCD_Src1="i2",-F99-F103,0)+IF(QCD_Src1="h1",-F113-F116,0)+IF(QCD_Src1="h2",-F114-F117,0)</f>
        <v>0</v>
      </c>
      <c r="G501" s="92">
        <f t="shared" si="433"/>
        <v>0</v>
      </c>
      <c r="H501" s="92">
        <f t="shared" si="433"/>
        <v>0</v>
      </c>
      <c r="I501" s="92">
        <f t="shared" si="433"/>
        <v>0</v>
      </c>
      <c r="J501" s="92">
        <f t="shared" si="433"/>
        <v>0</v>
      </c>
      <c r="K501" s="92">
        <f t="shared" si="433"/>
        <v>0</v>
      </c>
      <c r="L501" s="92">
        <f t="shared" si="433"/>
        <v>0</v>
      </c>
      <c r="M501" s="92">
        <f t="shared" si="433"/>
        <v>0</v>
      </c>
      <c r="N501" s="92">
        <f t="shared" si="433"/>
        <v>0</v>
      </c>
      <c r="O501" s="92">
        <f t="shared" si="433"/>
        <v>0</v>
      </c>
      <c r="P501" s="92">
        <f t="shared" si="433"/>
        <v>0</v>
      </c>
      <c r="Q501" s="92">
        <f t="shared" si="433"/>
        <v>0</v>
      </c>
      <c r="R501" s="92">
        <f t="shared" si="433"/>
        <v>0</v>
      </c>
      <c r="S501" s="92">
        <f t="shared" si="433"/>
        <v>0</v>
      </c>
      <c r="T501" s="92">
        <f t="shared" si="433"/>
        <v>0</v>
      </c>
      <c r="U501" s="92">
        <f t="shared" si="433"/>
        <v>0</v>
      </c>
      <c r="V501" s="92">
        <f t="shared" si="433"/>
        <v>0</v>
      </c>
      <c r="W501" s="92">
        <f t="shared" si="433"/>
        <v>0</v>
      </c>
      <c r="X501" s="92">
        <f t="shared" si="433"/>
        <v>0</v>
      </c>
      <c r="Y501" s="92">
        <f t="shared" si="433"/>
        <v>0</v>
      </c>
      <c r="Z501" s="92">
        <f t="shared" si="433"/>
        <v>0</v>
      </c>
      <c r="AA501" s="92">
        <f t="shared" si="433"/>
        <v>0</v>
      </c>
      <c r="AB501" s="92">
        <f t="shared" si="433"/>
        <v>0</v>
      </c>
      <c r="AC501" s="92">
        <f t="shared" si="433"/>
        <v>0</v>
      </c>
      <c r="AD501" s="92">
        <f t="shared" si="433"/>
        <v>0</v>
      </c>
      <c r="AE501" s="92">
        <f t="shared" si="433"/>
        <v>0</v>
      </c>
      <c r="AF501" s="92">
        <f t="shared" si="433"/>
        <v>0</v>
      </c>
      <c r="AG501" s="92">
        <f t="shared" si="433"/>
        <v>0</v>
      </c>
      <c r="AH501" s="92">
        <f t="shared" si="433"/>
        <v>0</v>
      </c>
      <c r="AI501" s="92">
        <f t="shared" si="433"/>
        <v>0</v>
      </c>
      <c r="AJ501" s="92">
        <f t="shared" si="433"/>
        <v>0</v>
      </c>
      <c r="AK501" s="92">
        <f t="shared" si="433"/>
        <v>0</v>
      </c>
      <c r="AL501" s="92">
        <f t="shared" si="433"/>
        <v>0</v>
      </c>
      <c r="AM501" s="92">
        <f t="shared" si="433"/>
        <v>0</v>
      </c>
      <c r="AN501" s="92">
        <f t="shared" si="433"/>
        <v>0</v>
      </c>
      <c r="AO501" s="92">
        <f t="shared" si="433"/>
        <v>0</v>
      </c>
      <c r="AP501" s="92">
        <f t="shared" si="433"/>
        <v>0</v>
      </c>
      <c r="AQ501" s="92">
        <f t="shared" si="433"/>
        <v>0</v>
      </c>
      <c r="AR501" s="92">
        <f t="shared" si="433"/>
        <v>0</v>
      </c>
      <c r="AS501" s="92">
        <f t="shared" si="433"/>
        <v>0</v>
      </c>
    </row>
    <row r="502" spans="2:45">
      <c r="B502" s="43" t="s">
        <v>469</v>
      </c>
      <c r="C502" s="136"/>
      <c r="E502" s="635">
        <f>SUM(F502:AS502)</f>
        <v>530400</v>
      </c>
      <c r="F502" s="566">
        <f t="shared" ref="F502:AS502" si="434">IF(QCD_Src1="i1",-F94,0)+IF(QCD_Src1="i2",-F102,0)+IF(QCD_Src1="h1",-F110,0)+IF(QCD_Src1="h2",-F111,0)</f>
        <v>0</v>
      </c>
      <c r="G502" s="566">
        <f t="shared" si="434"/>
        <v>0</v>
      </c>
      <c r="H502" s="566">
        <f t="shared" si="434"/>
        <v>0</v>
      </c>
      <c r="I502" s="566">
        <f t="shared" si="434"/>
        <v>0</v>
      </c>
      <c r="J502" s="566">
        <f t="shared" si="434"/>
        <v>0</v>
      </c>
      <c r="K502" s="566">
        <f t="shared" si="434"/>
        <v>0</v>
      </c>
      <c r="L502" s="566">
        <f t="shared" si="434"/>
        <v>0</v>
      </c>
      <c r="M502" s="566">
        <f t="shared" si="434"/>
        <v>0</v>
      </c>
      <c r="N502" s="566">
        <f t="shared" si="434"/>
        <v>0</v>
      </c>
      <c r="O502" s="566">
        <f t="shared" si="434"/>
        <v>15000</v>
      </c>
      <c r="P502" s="566">
        <f t="shared" si="434"/>
        <v>15900</v>
      </c>
      <c r="Q502" s="566">
        <f t="shared" si="434"/>
        <v>16800</v>
      </c>
      <c r="R502" s="566">
        <f t="shared" si="434"/>
        <v>17700</v>
      </c>
      <c r="S502" s="566">
        <f t="shared" si="434"/>
        <v>18700</v>
      </c>
      <c r="T502" s="566">
        <f t="shared" si="434"/>
        <v>19700</v>
      </c>
      <c r="U502" s="566">
        <f t="shared" si="434"/>
        <v>20800</v>
      </c>
      <c r="V502" s="566">
        <f t="shared" si="434"/>
        <v>21900</v>
      </c>
      <c r="W502" s="566">
        <f t="shared" si="434"/>
        <v>23100</v>
      </c>
      <c r="X502" s="566">
        <f t="shared" si="434"/>
        <v>24200</v>
      </c>
      <c r="Y502" s="566">
        <f t="shared" si="434"/>
        <v>25300</v>
      </c>
      <c r="Z502" s="566">
        <f t="shared" si="434"/>
        <v>26300</v>
      </c>
      <c r="AA502" s="566">
        <f t="shared" si="434"/>
        <v>27500</v>
      </c>
      <c r="AB502" s="566">
        <f t="shared" si="434"/>
        <v>28600</v>
      </c>
      <c r="AC502" s="566">
        <f t="shared" si="434"/>
        <v>29800</v>
      </c>
      <c r="AD502" s="566">
        <f t="shared" si="434"/>
        <v>30800</v>
      </c>
      <c r="AE502" s="566">
        <f t="shared" si="434"/>
        <v>31800</v>
      </c>
      <c r="AF502" s="566">
        <f t="shared" si="434"/>
        <v>32700</v>
      </c>
      <c r="AG502" s="566">
        <f t="shared" si="434"/>
        <v>33700</v>
      </c>
      <c r="AH502" s="566">
        <f t="shared" si="434"/>
        <v>34700</v>
      </c>
      <c r="AI502" s="566">
        <f t="shared" si="434"/>
        <v>35400</v>
      </c>
      <c r="AJ502" s="566">
        <f t="shared" si="434"/>
        <v>0</v>
      </c>
      <c r="AK502" s="566">
        <f t="shared" si="434"/>
        <v>0</v>
      </c>
      <c r="AL502" s="566">
        <f t="shared" si="434"/>
        <v>0</v>
      </c>
      <c r="AM502" s="566">
        <f t="shared" si="434"/>
        <v>0</v>
      </c>
      <c r="AN502" s="566">
        <f t="shared" si="434"/>
        <v>0</v>
      </c>
      <c r="AO502" s="566">
        <f t="shared" si="434"/>
        <v>0</v>
      </c>
      <c r="AP502" s="566">
        <f t="shared" si="434"/>
        <v>0</v>
      </c>
      <c r="AQ502" s="566">
        <f t="shared" si="434"/>
        <v>0</v>
      </c>
      <c r="AR502" s="566">
        <f t="shared" si="434"/>
        <v>0</v>
      </c>
      <c r="AS502" s="566">
        <f t="shared" si="434"/>
        <v>0</v>
      </c>
    </row>
    <row r="503" spans="2:45">
      <c r="B503" s="113" t="s">
        <v>1740</v>
      </c>
      <c r="C503" s="136"/>
      <c r="E503" s="65">
        <f>SUM(F503:AS503)</f>
        <v>530400</v>
      </c>
      <c r="F503" s="92">
        <f>+F501+F502</f>
        <v>0</v>
      </c>
      <c r="G503" s="92">
        <f t="shared" ref="G503:AS503" si="435">+G501+G502</f>
        <v>0</v>
      </c>
      <c r="H503" s="92">
        <f t="shared" si="435"/>
        <v>0</v>
      </c>
      <c r="I503" s="92">
        <f t="shared" si="435"/>
        <v>0</v>
      </c>
      <c r="J503" s="92">
        <f t="shared" si="435"/>
        <v>0</v>
      </c>
      <c r="K503" s="92">
        <f t="shared" si="435"/>
        <v>0</v>
      </c>
      <c r="L503" s="92">
        <f t="shared" si="435"/>
        <v>0</v>
      </c>
      <c r="M503" s="92">
        <f t="shared" si="435"/>
        <v>0</v>
      </c>
      <c r="N503" s="92">
        <f t="shared" si="435"/>
        <v>0</v>
      </c>
      <c r="O503" s="92">
        <f t="shared" si="435"/>
        <v>15000</v>
      </c>
      <c r="P503" s="92">
        <f t="shared" si="435"/>
        <v>15900</v>
      </c>
      <c r="Q503" s="92">
        <f t="shared" si="435"/>
        <v>16800</v>
      </c>
      <c r="R503" s="92">
        <f t="shared" si="435"/>
        <v>17700</v>
      </c>
      <c r="S503" s="92">
        <f t="shared" si="435"/>
        <v>18700</v>
      </c>
      <c r="T503" s="92">
        <f t="shared" si="435"/>
        <v>19700</v>
      </c>
      <c r="U503" s="92">
        <f t="shared" si="435"/>
        <v>20800</v>
      </c>
      <c r="V503" s="92">
        <f t="shared" si="435"/>
        <v>21900</v>
      </c>
      <c r="W503" s="92">
        <f t="shared" si="435"/>
        <v>23100</v>
      </c>
      <c r="X503" s="92">
        <f t="shared" si="435"/>
        <v>24200</v>
      </c>
      <c r="Y503" s="92">
        <f t="shared" si="435"/>
        <v>25300</v>
      </c>
      <c r="Z503" s="92">
        <f t="shared" si="435"/>
        <v>26300</v>
      </c>
      <c r="AA503" s="92">
        <f t="shared" si="435"/>
        <v>27500</v>
      </c>
      <c r="AB503" s="92">
        <f t="shared" si="435"/>
        <v>28600</v>
      </c>
      <c r="AC503" s="92">
        <f t="shared" si="435"/>
        <v>29800</v>
      </c>
      <c r="AD503" s="92">
        <f t="shared" si="435"/>
        <v>30800</v>
      </c>
      <c r="AE503" s="92">
        <f t="shared" si="435"/>
        <v>31800</v>
      </c>
      <c r="AF503" s="92">
        <f t="shared" si="435"/>
        <v>32700</v>
      </c>
      <c r="AG503" s="92">
        <f t="shared" si="435"/>
        <v>33700</v>
      </c>
      <c r="AH503" s="92">
        <f t="shared" si="435"/>
        <v>34700</v>
      </c>
      <c r="AI503" s="92">
        <f t="shared" si="435"/>
        <v>35400</v>
      </c>
      <c r="AJ503" s="92">
        <f t="shared" si="435"/>
        <v>0</v>
      </c>
      <c r="AK503" s="92">
        <f t="shared" si="435"/>
        <v>0</v>
      </c>
      <c r="AL503" s="92">
        <f t="shared" si="435"/>
        <v>0</v>
      </c>
      <c r="AM503" s="92">
        <f t="shared" si="435"/>
        <v>0</v>
      </c>
      <c r="AN503" s="92">
        <f t="shared" si="435"/>
        <v>0</v>
      </c>
      <c r="AO503" s="92">
        <f t="shared" si="435"/>
        <v>0</v>
      </c>
      <c r="AP503" s="92">
        <f t="shared" si="435"/>
        <v>0</v>
      </c>
      <c r="AQ503" s="92">
        <f t="shared" si="435"/>
        <v>0</v>
      </c>
      <c r="AR503" s="92">
        <f t="shared" si="435"/>
        <v>0</v>
      </c>
      <c r="AS503" s="92">
        <f t="shared" si="435"/>
        <v>0</v>
      </c>
    </row>
    <row r="504" spans="2:45">
      <c r="B504" s="113" t="s">
        <v>1739</v>
      </c>
      <c r="C504" s="136"/>
      <c r="E504" s="635">
        <f>SUM(F504:AS504)</f>
        <v>-75000</v>
      </c>
      <c r="F504" s="34">
        <f t="shared" ref="F504:AS504" si="436">ROUND((-IF(OR(QCD_Age1=F$4,AND(QCD_Age1&lt;F$4,(QCD_Age1+QCD1_Cnt)&gt;F$4)),QCD_Amt1,0))*IF(Qual1="y",1,0)/Round_To,0)*Round_To</f>
        <v>0</v>
      </c>
      <c r="G504" s="34">
        <f t="shared" si="436"/>
        <v>0</v>
      </c>
      <c r="H504" s="34">
        <f t="shared" si="436"/>
        <v>0</v>
      </c>
      <c r="I504" s="34">
        <f t="shared" si="436"/>
        <v>0</v>
      </c>
      <c r="J504" s="34">
        <f t="shared" si="436"/>
        <v>0</v>
      </c>
      <c r="K504" s="34">
        <f t="shared" si="436"/>
        <v>0</v>
      </c>
      <c r="L504" s="34">
        <f t="shared" si="436"/>
        <v>0</v>
      </c>
      <c r="M504" s="34">
        <f t="shared" si="436"/>
        <v>0</v>
      </c>
      <c r="N504" s="34">
        <f t="shared" si="436"/>
        <v>0</v>
      </c>
      <c r="O504" s="34">
        <f t="shared" si="436"/>
        <v>-15000</v>
      </c>
      <c r="P504" s="34">
        <f t="shared" si="436"/>
        <v>-15000</v>
      </c>
      <c r="Q504" s="34">
        <f t="shared" si="436"/>
        <v>-15000</v>
      </c>
      <c r="R504" s="34">
        <f t="shared" si="436"/>
        <v>-15000</v>
      </c>
      <c r="S504" s="34">
        <f t="shared" si="436"/>
        <v>-15000</v>
      </c>
      <c r="T504" s="34">
        <f t="shared" si="436"/>
        <v>0</v>
      </c>
      <c r="U504" s="34">
        <f t="shared" si="436"/>
        <v>0</v>
      </c>
      <c r="V504" s="34">
        <f t="shared" si="436"/>
        <v>0</v>
      </c>
      <c r="W504" s="34">
        <f t="shared" si="436"/>
        <v>0</v>
      </c>
      <c r="X504" s="34">
        <f t="shared" si="436"/>
        <v>0</v>
      </c>
      <c r="Y504" s="34">
        <f t="shared" si="436"/>
        <v>0</v>
      </c>
      <c r="Z504" s="34">
        <f t="shared" si="436"/>
        <v>0</v>
      </c>
      <c r="AA504" s="34">
        <f t="shared" si="436"/>
        <v>0</v>
      </c>
      <c r="AB504" s="34">
        <f t="shared" si="436"/>
        <v>0</v>
      </c>
      <c r="AC504" s="34">
        <f t="shared" si="436"/>
        <v>0</v>
      </c>
      <c r="AD504" s="34">
        <f t="shared" si="436"/>
        <v>0</v>
      </c>
      <c r="AE504" s="34">
        <f t="shared" si="436"/>
        <v>0</v>
      </c>
      <c r="AF504" s="34">
        <f t="shared" si="436"/>
        <v>0</v>
      </c>
      <c r="AG504" s="34">
        <f t="shared" si="436"/>
        <v>0</v>
      </c>
      <c r="AH504" s="34">
        <f t="shared" si="436"/>
        <v>0</v>
      </c>
      <c r="AI504" s="34">
        <f t="shared" si="436"/>
        <v>0</v>
      </c>
      <c r="AJ504" s="34">
        <f t="shared" si="436"/>
        <v>0</v>
      </c>
      <c r="AK504" s="34">
        <f t="shared" si="436"/>
        <v>0</v>
      </c>
      <c r="AL504" s="34">
        <f t="shared" si="436"/>
        <v>0</v>
      </c>
      <c r="AM504" s="34">
        <f t="shared" si="436"/>
        <v>0</v>
      </c>
      <c r="AN504" s="34">
        <f t="shared" si="436"/>
        <v>0</v>
      </c>
      <c r="AO504" s="34">
        <f t="shared" si="436"/>
        <v>0</v>
      </c>
      <c r="AP504" s="34">
        <f t="shared" si="436"/>
        <v>0</v>
      </c>
      <c r="AQ504" s="34">
        <f t="shared" si="436"/>
        <v>0</v>
      </c>
      <c r="AR504" s="34">
        <f t="shared" si="436"/>
        <v>0</v>
      </c>
      <c r="AS504" s="34">
        <f t="shared" si="436"/>
        <v>0</v>
      </c>
    </row>
    <row r="505" spans="2:45">
      <c r="B505" s="43" t="s">
        <v>1698</v>
      </c>
      <c r="C505" s="136"/>
      <c r="E505" s="65">
        <f>SUM(F505:AS505)</f>
        <v>455400</v>
      </c>
      <c r="F505" s="92">
        <f>+F503+F504</f>
        <v>0</v>
      </c>
      <c r="G505" s="92">
        <f t="shared" ref="G505:AS505" si="437">+G503+G504</f>
        <v>0</v>
      </c>
      <c r="H505" s="92">
        <f t="shared" si="437"/>
        <v>0</v>
      </c>
      <c r="I505" s="92">
        <f t="shared" si="437"/>
        <v>0</v>
      </c>
      <c r="J505" s="92">
        <f t="shared" si="437"/>
        <v>0</v>
      </c>
      <c r="K505" s="92">
        <f t="shared" si="437"/>
        <v>0</v>
      </c>
      <c r="L505" s="92">
        <f t="shared" si="437"/>
        <v>0</v>
      </c>
      <c r="M505" s="92">
        <f t="shared" si="437"/>
        <v>0</v>
      </c>
      <c r="N505" s="92">
        <f t="shared" si="437"/>
        <v>0</v>
      </c>
      <c r="O505" s="92">
        <f t="shared" si="437"/>
        <v>0</v>
      </c>
      <c r="P505" s="92">
        <f t="shared" si="437"/>
        <v>900</v>
      </c>
      <c r="Q505" s="92">
        <f t="shared" si="437"/>
        <v>1800</v>
      </c>
      <c r="R505" s="92">
        <f t="shared" si="437"/>
        <v>2700</v>
      </c>
      <c r="S505" s="92">
        <f t="shared" si="437"/>
        <v>3700</v>
      </c>
      <c r="T505" s="92">
        <f t="shared" si="437"/>
        <v>19700</v>
      </c>
      <c r="U505" s="92">
        <f t="shared" si="437"/>
        <v>20800</v>
      </c>
      <c r="V505" s="92">
        <f t="shared" si="437"/>
        <v>21900</v>
      </c>
      <c r="W505" s="92">
        <f t="shared" si="437"/>
        <v>23100</v>
      </c>
      <c r="X505" s="92">
        <f t="shared" si="437"/>
        <v>24200</v>
      </c>
      <c r="Y505" s="92">
        <f t="shared" si="437"/>
        <v>25300</v>
      </c>
      <c r="Z505" s="92">
        <f t="shared" si="437"/>
        <v>26300</v>
      </c>
      <c r="AA505" s="92">
        <f t="shared" si="437"/>
        <v>27500</v>
      </c>
      <c r="AB505" s="92">
        <f t="shared" si="437"/>
        <v>28600</v>
      </c>
      <c r="AC505" s="92">
        <f t="shared" si="437"/>
        <v>29800</v>
      </c>
      <c r="AD505" s="92">
        <f t="shared" si="437"/>
        <v>30800</v>
      </c>
      <c r="AE505" s="92">
        <f t="shared" si="437"/>
        <v>31800</v>
      </c>
      <c r="AF505" s="92">
        <f t="shared" si="437"/>
        <v>32700</v>
      </c>
      <c r="AG505" s="92">
        <f t="shared" si="437"/>
        <v>33700</v>
      </c>
      <c r="AH505" s="92">
        <f t="shared" si="437"/>
        <v>34700</v>
      </c>
      <c r="AI505" s="92">
        <f t="shared" si="437"/>
        <v>35400</v>
      </c>
      <c r="AJ505" s="92">
        <f t="shared" si="437"/>
        <v>0</v>
      </c>
      <c r="AK505" s="92">
        <f t="shared" si="437"/>
        <v>0</v>
      </c>
      <c r="AL505" s="92">
        <f t="shared" si="437"/>
        <v>0</v>
      </c>
      <c r="AM505" s="92">
        <f t="shared" si="437"/>
        <v>0</v>
      </c>
      <c r="AN505" s="92">
        <f t="shared" si="437"/>
        <v>0</v>
      </c>
      <c r="AO505" s="92">
        <f t="shared" si="437"/>
        <v>0</v>
      </c>
      <c r="AP505" s="92">
        <f t="shared" si="437"/>
        <v>0</v>
      </c>
      <c r="AQ505" s="92">
        <f t="shared" si="437"/>
        <v>0</v>
      </c>
      <c r="AR505" s="92">
        <f t="shared" si="437"/>
        <v>0</v>
      </c>
      <c r="AS505" s="92">
        <f t="shared" si="437"/>
        <v>0</v>
      </c>
    </row>
    <row r="506" spans="2:45" ht="15.6">
      <c r="B506" s="43" t="s">
        <v>1743</v>
      </c>
      <c r="E506" s="65">
        <f t="shared" ref="E506:E515" si="438">SUM(F506:AS506)</f>
        <v>0</v>
      </c>
      <c r="F506" s="245" t="str">
        <f>IF(F505&lt;0,1,"")</f>
        <v/>
      </c>
      <c r="G506" s="245" t="str">
        <f t="shared" ref="G506:AS506" si="439">IF(G505&lt;0,1,"")</f>
        <v/>
      </c>
      <c r="H506" s="245" t="str">
        <f t="shared" si="439"/>
        <v/>
      </c>
      <c r="I506" s="245" t="str">
        <f t="shared" si="439"/>
        <v/>
      </c>
      <c r="J506" s="245" t="str">
        <f t="shared" si="439"/>
        <v/>
      </c>
      <c r="K506" s="245" t="str">
        <f t="shared" si="439"/>
        <v/>
      </c>
      <c r="L506" s="245" t="str">
        <f t="shared" si="439"/>
        <v/>
      </c>
      <c r="M506" s="245" t="str">
        <f t="shared" si="439"/>
        <v/>
      </c>
      <c r="N506" s="245" t="str">
        <f t="shared" si="439"/>
        <v/>
      </c>
      <c r="O506" s="245" t="str">
        <f t="shared" si="439"/>
        <v/>
      </c>
      <c r="P506" s="245" t="str">
        <f t="shared" si="439"/>
        <v/>
      </c>
      <c r="Q506" s="245" t="str">
        <f t="shared" si="439"/>
        <v/>
      </c>
      <c r="R506" s="245" t="str">
        <f t="shared" si="439"/>
        <v/>
      </c>
      <c r="S506" s="245" t="str">
        <f t="shared" si="439"/>
        <v/>
      </c>
      <c r="T506" s="245" t="str">
        <f t="shared" si="439"/>
        <v/>
      </c>
      <c r="U506" s="245" t="str">
        <f t="shared" si="439"/>
        <v/>
      </c>
      <c r="V506" s="245" t="str">
        <f t="shared" si="439"/>
        <v/>
      </c>
      <c r="W506" s="245" t="str">
        <f t="shared" si="439"/>
        <v/>
      </c>
      <c r="X506" s="245" t="str">
        <f t="shared" si="439"/>
        <v/>
      </c>
      <c r="Y506" s="245" t="str">
        <f t="shared" si="439"/>
        <v/>
      </c>
      <c r="Z506" s="245" t="str">
        <f t="shared" si="439"/>
        <v/>
      </c>
      <c r="AA506" s="245" t="str">
        <f t="shared" si="439"/>
        <v/>
      </c>
      <c r="AB506" s="245" t="str">
        <f t="shared" si="439"/>
        <v/>
      </c>
      <c r="AC506" s="245" t="str">
        <f t="shared" si="439"/>
        <v/>
      </c>
      <c r="AD506" s="245" t="str">
        <f t="shared" si="439"/>
        <v/>
      </c>
      <c r="AE506" s="245" t="str">
        <f t="shared" si="439"/>
        <v/>
      </c>
      <c r="AF506" s="245" t="str">
        <f t="shared" si="439"/>
        <v/>
      </c>
      <c r="AG506" s="245" t="str">
        <f t="shared" si="439"/>
        <v/>
      </c>
      <c r="AH506" s="245" t="str">
        <f t="shared" si="439"/>
        <v/>
      </c>
      <c r="AI506" s="245" t="str">
        <f t="shared" si="439"/>
        <v/>
      </c>
      <c r="AJ506" s="245" t="str">
        <f t="shared" si="439"/>
        <v/>
      </c>
      <c r="AK506" s="245" t="str">
        <f t="shared" si="439"/>
        <v/>
      </c>
      <c r="AL506" s="245" t="str">
        <f t="shared" si="439"/>
        <v/>
      </c>
      <c r="AM506" s="245" t="str">
        <f t="shared" si="439"/>
        <v/>
      </c>
      <c r="AN506" s="245" t="str">
        <f t="shared" si="439"/>
        <v/>
      </c>
      <c r="AO506" s="245" t="str">
        <f t="shared" si="439"/>
        <v/>
      </c>
      <c r="AP506" s="245" t="str">
        <f t="shared" si="439"/>
        <v/>
      </c>
      <c r="AQ506" s="245" t="str">
        <f t="shared" si="439"/>
        <v/>
      </c>
      <c r="AR506" s="245" t="str">
        <f t="shared" si="439"/>
        <v/>
      </c>
      <c r="AS506" s="245" t="str">
        <f t="shared" si="439"/>
        <v/>
      </c>
    </row>
    <row r="507" spans="2:45"/>
    <row r="508" spans="2:45">
      <c r="B508" s="43" t="s">
        <v>1737</v>
      </c>
      <c r="C508" s="136" t="str">
        <f>IF(+QCD_Src2="i1","IRA 1",IF(+QCD_Src2="i2","IRA 2",IF(+QCD_Src2="h1","Inherited IRA 1",IF(+QCD_Src2="h2","Inherited IRA 2",""))))</f>
        <v>Inherited IRA 2</v>
      </c>
      <c r="E508" s="65">
        <f t="shared" si="438"/>
        <v>3300</v>
      </c>
      <c r="F508" s="92">
        <f t="shared" ref="F508:AS508" si="440">IF(QCD_Src2="i1",-F91-F95-F96,0)+IF(QCD_Src2="i2",-F99-F103,0)+IF(QCD_Src2="h1",-F113-F116,0)+IF(QCD_Src2="h2",-F114-F117,0)</f>
        <v>0</v>
      </c>
      <c r="G508" s="92">
        <f t="shared" si="440"/>
        <v>0</v>
      </c>
      <c r="H508" s="92">
        <f t="shared" si="440"/>
        <v>0</v>
      </c>
      <c r="I508" s="92">
        <f t="shared" si="440"/>
        <v>0</v>
      </c>
      <c r="J508" s="92">
        <f t="shared" si="440"/>
        <v>0</v>
      </c>
      <c r="K508" s="92">
        <f t="shared" si="440"/>
        <v>0</v>
      </c>
      <c r="L508" s="92">
        <f t="shared" si="440"/>
        <v>0</v>
      </c>
      <c r="M508" s="92">
        <f t="shared" si="440"/>
        <v>0</v>
      </c>
      <c r="N508" s="92">
        <f t="shared" si="440"/>
        <v>0</v>
      </c>
      <c r="O508" s="92">
        <f t="shared" si="440"/>
        <v>0</v>
      </c>
      <c r="P508" s="92">
        <f t="shared" si="440"/>
        <v>0</v>
      </c>
      <c r="Q508" s="92">
        <f t="shared" si="440"/>
        <v>0</v>
      </c>
      <c r="R508" s="92">
        <f t="shared" si="440"/>
        <v>0</v>
      </c>
      <c r="S508" s="92">
        <f t="shared" si="440"/>
        <v>0</v>
      </c>
      <c r="T508" s="92">
        <f t="shared" si="440"/>
        <v>0</v>
      </c>
      <c r="U508" s="92">
        <f t="shared" si="440"/>
        <v>0</v>
      </c>
      <c r="V508" s="92">
        <f t="shared" si="440"/>
        <v>1000</v>
      </c>
      <c r="W508" s="92">
        <f t="shared" si="440"/>
        <v>1100</v>
      </c>
      <c r="X508" s="92">
        <f t="shared" si="440"/>
        <v>1200</v>
      </c>
      <c r="Y508" s="92">
        <f t="shared" si="440"/>
        <v>0</v>
      </c>
      <c r="Z508" s="92">
        <f t="shared" si="440"/>
        <v>0</v>
      </c>
      <c r="AA508" s="92">
        <f t="shared" si="440"/>
        <v>0</v>
      </c>
      <c r="AB508" s="92">
        <f t="shared" si="440"/>
        <v>0</v>
      </c>
      <c r="AC508" s="92">
        <f t="shared" si="440"/>
        <v>0</v>
      </c>
      <c r="AD508" s="92">
        <f t="shared" si="440"/>
        <v>0</v>
      </c>
      <c r="AE508" s="92">
        <f t="shared" si="440"/>
        <v>0</v>
      </c>
      <c r="AF508" s="92">
        <f t="shared" si="440"/>
        <v>0</v>
      </c>
      <c r="AG508" s="92">
        <f t="shared" si="440"/>
        <v>0</v>
      </c>
      <c r="AH508" s="92">
        <f t="shared" si="440"/>
        <v>0</v>
      </c>
      <c r="AI508" s="92">
        <f t="shared" si="440"/>
        <v>0</v>
      </c>
      <c r="AJ508" s="92">
        <f t="shared" si="440"/>
        <v>0</v>
      </c>
      <c r="AK508" s="92">
        <f t="shared" si="440"/>
        <v>0</v>
      </c>
      <c r="AL508" s="92">
        <f t="shared" si="440"/>
        <v>0</v>
      </c>
      <c r="AM508" s="92">
        <f t="shared" si="440"/>
        <v>0</v>
      </c>
      <c r="AN508" s="92">
        <f t="shared" si="440"/>
        <v>0</v>
      </c>
      <c r="AO508" s="92">
        <f t="shared" si="440"/>
        <v>0</v>
      </c>
      <c r="AP508" s="92">
        <f t="shared" si="440"/>
        <v>0</v>
      </c>
      <c r="AQ508" s="92">
        <f t="shared" si="440"/>
        <v>0</v>
      </c>
      <c r="AR508" s="92">
        <f t="shared" si="440"/>
        <v>0</v>
      </c>
      <c r="AS508" s="92">
        <f t="shared" si="440"/>
        <v>0</v>
      </c>
    </row>
    <row r="509" spans="2:45">
      <c r="B509" s="43" t="s">
        <v>469</v>
      </c>
      <c r="C509" s="136"/>
      <c r="E509" s="635">
        <f t="shared" si="438"/>
        <v>88600</v>
      </c>
      <c r="F509" s="566">
        <f t="shared" ref="F509:AS509" si="441">IF(QCD_Src2="i1",-F94,0)+IF(QCD_Src2="i2",-F102,0)+IF(QCD_Src2="h1",-F110,0)+IF(QCD_Src2="h2",-F111,0)</f>
        <v>0</v>
      </c>
      <c r="G509" s="566">
        <f t="shared" si="441"/>
        <v>0</v>
      </c>
      <c r="H509" s="566">
        <f t="shared" si="441"/>
        <v>0</v>
      </c>
      <c r="I509" s="566">
        <f t="shared" si="441"/>
        <v>0</v>
      </c>
      <c r="J509" s="566">
        <f t="shared" si="441"/>
        <v>0</v>
      </c>
      <c r="K509" s="566">
        <f t="shared" si="441"/>
        <v>0</v>
      </c>
      <c r="L509" s="566">
        <f t="shared" si="441"/>
        <v>0</v>
      </c>
      <c r="M509" s="566">
        <f t="shared" si="441"/>
        <v>0</v>
      </c>
      <c r="N509" s="566">
        <f t="shared" si="441"/>
        <v>0</v>
      </c>
      <c r="O509" s="566">
        <f t="shared" si="441"/>
        <v>0</v>
      </c>
      <c r="P509" s="566">
        <f t="shared" si="441"/>
        <v>0</v>
      </c>
      <c r="Q509" s="566">
        <f t="shared" si="441"/>
        <v>0</v>
      </c>
      <c r="R509" s="566">
        <f t="shared" si="441"/>
        <v>4100</v>
      </c>
      <c r="S509" s="566">
        <f t="shared" si="441"/>
        <v>4300</v>
      </c>
      <c r="T509" s="566">
        <f t="shared" si="441"/>
        <v>4600</v>
      </c>
      <c r="U509" s="566">
        <f t="shared" si="441"/>
        <v>4800</v>
      </c>
      <c r="V509" s="566">
        <f t="shared" si="441"/>
        <v>5100</v>
      </c>
      <c r="W509" s="566">
        <f t="shared" si="441"/>
        <v>5400</v>
      </c>
      <c r="X509" s="566">
        <f t="shared" si="441"/>
        <v>5600</v>
      </c>
      <c r="Y509" s="566">
        <f t="shared" si="441"/>
        <v>5700</v>
      </c>
      <c r="Z509" s="566">
        <f t="shared" si="441"/>
        <v>6000</v>
      </c>
      <c r="AA509" s="566">
        <f t="shared" si="441"/>
        <v>6400</v>
      </c>
      <c r="AB509" s="566">
        <f t="shared" si="441"/>
        <v>6800</v>
      </c>
      <c r="AC509" s="566">
        <f t="shared" si="441"/>
        <v>7100</v>
      </c>
      <c r="AD509" s="566">
        <f t="shared" si="441"/>
        <v>7600</v>
      </c>
      <c r="AE509" s="566">
        <f t="shared" si="441"/>
        <v>8100</v>
      </c>
      <c r="AF509" s="566">
        <f t="shared" si="441"/>
        <v>7000</v>
      </c>
      <c r="AG509" s="566">
        <f t="shared" si="441"/>
        <v>0</v>
      </c>
      <c r="AH509" s="566">
        <f t="shared" si="441"/>
        <v>0</v>
      </c>
      <c r="AI509" s="566">
        <f t="shared" si="441"/>
        <v>0</v>
      </c>
      <c r="AJ509" s="566">
        <f t="shared" si="441"/>
        <v>0</v>
      </c>
      <c r="AK509" s="566">
        <f t="shared" si="441"/>
        <v>0</v>
      </c>
      <c r="AL509" s="566">
        <f t="shared" si="441"/>
        <v>0</v>
      </c>
      <c r="AM509" s="566">
        <f t="shared" si="441"/>
        <v>0</v>
      </c>
      <c r="AN509" s="566">
        <f t="shared" si="441"/>
        <v>0</v>
      </c>
      <c r="AO509" s="566">
        <f t="shared" si="441"/>
        <v>0</v>
      </c>
      <c r="AP509" s="566">
        <f t="shared" si="441"/>
        <v>0</v>
      </c>
      <c r="AQ509" s="566">
        <f t="shared" si="441"/>
        <v>0</v>
      </c>
      <c r="AR509" s="566">
        <f t="shared" si="441"/>
        <v>0</v>
      </c>
      <c r="AS509" s="566">
        <f t="shared" si="441"/>
        <v>0</v>
      </c>
    </row>
    <row r="510" spans="2:45">
      <c r="B510" s="113" t="s">
        <v>1738</v>
      </c>
      <c r="C510" s="136"/>
      <c r="E510" s="65">
        <f t="shared" si="438"/>
        <v>91900</v>
      </c>
      <c r="F510" s="92">
        <f>+F508+F509</f>
        <v>0</v>
      </c>
      <c r="G510" s="92">
        <f t="shared" ref="G510:AS510" si="442">+G508+G509</f>
        <v>0</v>
      </c>
      <c r="H510" s="92">
        <f t="shared" si="442"/>
        <v>0</v>
      </c>
      <c r="I510" s="92">
        <f t="shared" si="442"/>
        <v>0</v>
      </c>
      <c r="J510" s="92">
        <f t="shared" si="442"/>
        <v>0</v>
      </c>
      <c r="K510" s="92">
        <f t="shared" si="442"/>
        <v>0</v>
      </c>
      <c r="L510" s="92">
        <f t="shared" si="442"/>
        <v>0</v>
      </c>
      <c r="M510" s="92">
        <f t="shared" si="442"/>
        <v>0</v>
      </c>
      <c r="N510" s="92">
        <f t="shared" si="442"/>
        <v>0</v>
      </c>
      <c r="O510" s="92">
        <f t="shared" si="442"/>
        <v>0</v>
      </c>
      <c r="P510" s="92">
        <f t="shared" si="442"/>
        <v>0</v>
      </c>
      <c r="Q510" s="92">
        <f t="shared" si="442"/>
        <v>0</v>
      </c>
      <c r="R510" s="92">
        <f t="shared" si="442"/>
        <v>4100</v>
      </c>
      <c r="S510" s="92">
        <f t="shared" si="442"/>
        <v>4300</v>
      </c>
      <c r="T510" s="92">
        <f t="shared" si="442"/>
        <v>4600</v>
      </c>
      <c r="U510" s="92">
        <f t="shared" si="442"/>
        <v>4800</v>
      </c>
      <c r="V510" s="92">
        <f t="shared" si="442"/>
        <v>6100</v>
      </c>
      <c r="W510" s="92">
        <f t="shared" si="442"/>
        <v>6500</v>
      </c>
      <c r="X510" s="92">
        <f t="shared" si="442"/>
        <v>6800</v>
      </c>
      <c r="Y510" s="92">
        <f t="shared" si="442"/>
        <v>5700</v>
      </c>
      <c r="Z510" s="92">
        <f t="shared" si="442"/>
        <v>6000</v>
      </c>
      <c r="AA510" s="92">
        <f t="shared" si="442"/>
        <v>6400</v>
      </c>
      <c r="AB510" s="92">
        <f t="shared" si="442"/>
        <v>6800</v>
      </c>
      <c r="AC510" s="92">
        <f t="shared" si="442"/>
        <v>7100</v>
      </c>
      <c r="AD510" s="92">
        <f t="shared" si="442"/>
        <v>7600</v>
      </c>
      <c r="AE510" s="92">
        <f t="shared" si="442"/>
        <v>8100</v>
      </c>
      <c r="AF510" s="92">
        <f t="shared" si="442"/>
        <v>7000</v>
      </c>
      <c r="AG510" s="92">
        <f t="shared" si="442"/>
        <v>0</v>
      </c>
      <c r="AH510" s="92">
        <f t="shared" si="442"/>
        <v>0</v>
      </c>
      <c r="AI510" s="92">
        <f t="shared" si="442"/>
        <v>0</v>
      </c>
      <c r="AJ510" s="92">
        <f t="shared" si="442"/>
        <v>0</v>
      </c>
      <c r="AK510" s="92">
        <f t="shared" si="442"/>
        <v>0</v>
      </c>
      <c r="AL510" s="92">
        <f t="shared" si="442"/>
        <v>0</v>
      </c>
      <c r="AM510" s="92">
        <f t="shared" si="442"/>
        <v>0</v>
      </c>
      <c r="AN510" s="92">
        <f t="shared" si="442"/>
        <v>0</v>
      </c>
      <c r="AO510" s="92">
        <f t="shared" si="442"/>
        <v>0</v>
      </c>
      <c r="AP510" s="92">
        <f t="shared" si="442"/>
        <v>0</v>
      </c>
      <c r="AQ510" s="92">
        <f t="shared" si="442"/>
        <v>0</v>
      </c>
      <c r="AR510" s="92">
        <f t="shared" si="442"/>
        <v>0</v>
      </c>
      <c r="AS510" s="92">
        <f t="shared" si="442"/>
        <v>0</v>
      </c>
    </row>
    <row r="511" spans="2:45">
      <c r="B511" s="113" t="s">
        <v>1742</v>
      </c>
      <c r="C511" s="136"/>
      <c r="E511" s="635">
        <f t="shared" si="438"/>
        <v>-25000</v>
      </c>
      <c r="F511" s="34">
        <f t="shared" ref="F511:AS511" si="443">ROUND((-IF(OR(QCD_Age2=F$4,AND(QCD_Age2&lt;F$4,(QCD_Age2+QCD2_Cnt)&gt;F$4)),QCD_Amt2,0))*IF(Qual1="y",1,0)/Round_To,0)*Round_To</f>
        <v>0</v>
      </c>
      <c r="G511" s="34">
        <f t="shared" si="443"/>
        <v>0</v>
      </c>
      <c r="H511" s="34">
        <f t="shared" si="443"/>
        <v>0</v>
      </c>
      <c r="I511" s="34">
        <f t="shared" si="443"/>
        <v>0</v>
      </c>
      <c r="J511" s="34">
        <f t="shared" si="443"/>
        <v>0</v>
      </c>
      <c r="K511" s="34">
        <f t="shared" si="443"/>
        <v>0</v>
      </c>
      <c r="L511" s="34">
        <f t="shared" si="443"/>
        <v>0</v>
      </c>
      <c r="M511" s="34">
        <f t="shared" si="443"/>
        <v>0</v>
      </c>
      <c r="N511" s="34">
        <f t="shared" si="443"/>
        <v>0</v>
      </c>
      <c r="O511" s="34">
        <f t="shared" si="443"/>
        <v>0</v>
      </c>
      <c r="P511" s="34">
        <f t="shared" si="443"/>
        <v>0</v>
      </c>
      <c r="Q511" s="34">
        <f t="shared" si="443"/>
        <v>0</v>
      </c>
      <c r="R511" s="34">
        <f t="shared" si="443"/>
        <v>0</v>
      </c>
      <c r="S511" s="34">
        <f t="shared" si="443"/>
        <v>0</v>
      </c>
      <c r="T511" s="34">
        <f t="shared" si="443"/>
        <v>0</v>
      </c>
      <c r="U511" s="34">
        <f t="shared" si="443"/>
        <v>0</v>
      </c>
      <c r="V511" s="34">
        <f t="shared" si="443"/>
        <v>0</v>
      </c>
      <c r="W511" s="34">
        <f t="shared" si="443"/>
        <v>0</v>
      </c>
      <c r="X511" s="34">
        <f t="shared" si="443"/>
        <v>-5000</v>
      </c>
      <c r="Y511" s="34">
        <f t="shared" si="443"/>
        <v>-5000</v>
      </c>
      <c r="Z511" s="34">
        <f t="shared" si="443"/>
        <v>-5000</v>
      </c>
      <c r="AA511" s="34">
        <f t="shared" si="443"/>
        <v>-5000</v>
      </c>
      <c r="AB511" s="34">
        <f t="shared" si="443"/>
        <v>-5000</v>
      </c>
      <c r="AC511" s="34">
        <f t="shared" si="443"/>
        <v>0</v>
      </c>
      <c r="AD511" s="34">
        <f t="shared" si="443"/>
        <v>0</v>
      </c>
      <c r="AE511" s="34">
        <f t="shared" si="443"/>
        <v>0</v>
      </c>
      <c r="AF511" s="34">
        <f t="shared" si="443"/>
        <v>0</v>
      </c>
      <c r="AG511" s="34">
        <f t="shared" si="443"/>
        <v>0</v>
      </c>
      <c r="AH511" s="34">
        <f t="shared" si="443"/>
        <v>0</v>
      </c>
      <c r="AI511" s="34">
        <f t="shared" si="443"/>
        <v>0</v>
      </c>
      <c r="AJ511" s="34">
        <f t="shared" si="443"/>
        <v>0</v>
      </c>
      <c r="AK511" s="34">
        <f t="shared" si="443"/>
        <v>0</v>
      </c>
      <c r="AL511" s="34">
        <f t="shared" si="443"/>
        <v>0</v>
      </c>
      <c r="AM511" s="34">
        <f t="shared" si="443"/>
        <v>0</v>
      </c>
      <c r="AN511" s="34">
        <f t="shared" si="443"/>
        <v>0</v>
      </c>
      <c r="AO511" s="34">
        <f t="shared" si="443"/>
        <v>0</v>
      </c>
      <c r="AP511" s="34">
        <f t="shared" si="443"/>
        <v>0</v>
      </c>
      <c r="AQ511" s="34">
        <f t="shared" si="443"/>
        <v>0</v>
      </c>
      <c r="AR511" s="34">
        <f t="shared" si="443"/>
        <v>0</v>
      </c>
      <c r="AS511" s="34">
        <f t="shared" si="443"/>
        <v>0</v>
      </c>
    </row>
    <row r="512" spans="2:45">
      <c r="B512" s="43" t="s">
        <v>1698</v>
      </c>
      <c r="C512" s="136"/>
      <c r="E512" s="65">
        <f t="shared" si="438"/>
        <v>66900</v>
      </c>
      <c r="F512" s="92">
        <f t="shared" ref="F512:AS512" si="444">+F510+F511</f>
        <v>0</v>
      </c>
      <c r="G512" s="92">
        <f t="shared" si="444"/>
        <v>0</v>
      </c>
      <c r="H512" s="92">
        <f t="shared" si="444"/>
        <v>0</v>
      </c>
      <c r="I512" s="92">
        <f t="shared" si="444"/>
        <v>0</v>
      </c>
      <c r="J512" s="92">
        <f t="shared" si="444"/>
        <v>0</v>
      </c>
      <c r="K512" s="92">
        <f t="shared" si="444"/>
        <v>0</v>
      </c>
      <c r="L512" s="92">
        <f t="shared" si="444"/>
        <v>0</v>
      </c>
      <c r="M512" s="92">
        <f t="shared" si="444"/>
        <v>0</v>
      </c>
      <c r="N512" s="92">
        <f t="shared" si="444"/>
        <v>0</v>
      </c>
      <c r="O512" s="92">
        <f t="shared" si="444"/>
        <v>0</v>
      </c>
      <c r="P512" s="92">
        <f t="shared" si="444"/>
        <v>0</v>
      </c>
      <c r="Q512" s="92">
        <f t="shared" si="444"/>
        <v>0</v>
      </c>
      <c r="R512" s="92">
        <f t="shared" si="444"/>
        <v>4100</v>
      </c>
      <c r="S512" s="92">
        <f t="shared" si="444"/>
        <v>4300</v>
      </c>
      <c r="T512" s="92">
        <f t="shared" si="444"/>
        <v>4600</v>
      </c>
      <c r="U512" s="92">
        <f t="shared" si="444"/>
        <v>4800</v>
      </c>
      <c r="V512" s="92">
        <f t="shared" si="444"/>
        <v>6100</v>
      </c>
      <c r="W512" s="92">
        <f t="shared" si="444"/>
        <v>6500</v>
      </c>
      <c r="X512" s="92">
        <f t="shared" si="444"/>
        <v>1800</v>
      </c>
      <c r="Y512" s="92">
        <f t="shared" si="444"/>
        <v>700</v>
      </c>
      <c r="Z512" s="92">
        <f t="shared" si="444"/>
        <v>1000</v>
      </c>
      <c r="AA512" s="92">
        <f t="shared" si="444"/>
        <v>1400</v>
      </c>
      <c r="AB512" s="92">
        <f t="shared" si="444"/>
        <v>1800</v>
      </c>
      <c r="AC512" s="92">
        <f t="shared" si="444"/>
        <v>7100</v>
      </c>
      <c r="AD512" s="92">
        <f t="shared" si="444"/>
        <v>7600</v>
      </c>
      <c r="AE512" s="92">
        <f t="shared" si="444"/>
        <v>8100</v>
      </c>
      <c r="AF512" s="92">
        <f t="shared" si="444"/>
        <v>7000</v>
      </c>
      <c r="AG512" s="92">
        <f t="shared" si="444"/>
        <v>0</v>
      </c>
      <c r="AH512" s="92">
        <f t="shared" si="444"/>
        <v>0</v>
      </c>
      <c r="AI512" s="92">
        <f t="shared" si="444"/>
        <v>0</v>
      </c>
      <c r="AJ512" s="92">
        <f t="shared" si="444"/>
        <v>0</v>
      </c>
      <c r="AK512" s="92">
        <f t="shared" si="444"/>
        <v>0</v>
      </c>
      <c r="AL512" s="92">
        <f t="shared" si="444"/>
        <v>0</v>
      </c>
      <c r="AM512" s="92">
        <f t="shared" si="444"/>
        <v>0</v>
      </c>
      <c r="AN512" s="92">
        <f t="shared" si="444"/>
        <v>0</v>
      </c>
      <c r="AO512" s="92">
        <f t="shared" si="444"/>
        <v>0</v>
      </c>
      <c r="AP512" s="92">
        <f t="shared" si="444"/>
        <v>0</v>
      </c>
      <c r="AQ512" s="92">
        <f t="shared" si="444"/>
        <v>0</v>
      </c>
      <c r="AR512" s="92">
        <f t="shared" si="444"/>
        <v>0</v>
      </c>
      <c r="AS512" s="92">
        <f t="shared" si="444"/>
        <v>0</v>
      </c>
    </row>
    <row r="513" spans="2:45" ht="15.6">
      <c r="B513" s="43" t="s">
        <v>1743</v>
      </c>
      <c r="C513" s="136"/>
      <c r="E513" s="65">
        <f t="shared" si="438"/>
        <v>0</v>
      </c>
      <c r="F513" s="245" t="str">
        <f>IF(F512&lt;0,1,"")</f>
        <v/>
      </c>
      <c r="G513" s="245" t="str">
        <f t="shared" ref="G513:AS513" si="445">IF(G512&lt;0,1,"")</f>
        <v/>
      </c>
      <c r="H513" s="245" t="str">
        <f t="shared" si="445"/>
        <v/>
      </c>
      <c r="I513" s="245" t="str">
        <f t="shared" si="445"/>
        <v/>
      </c>
      <c r="J513" s="245" t="str">
        <f t="shared" si="445"/>
        <v/>
      </c>
      <c r="K513" s="245" t="str">
        <f t="shared" si="445"/>
        <v/>
      </c>
      <c r="L513" s="245" t="str">
        <f t="shared" si="445"/>
        <v/>
      </c>
      <c r="M513" s="245" t="str">
        <f t="shared" si="445"/>
        <v/>
      </c>
      <c r="N513" s="245" t="str">
        <f t="shared" si="445"/>
        <v/>
      </c>
      <c r="O513" s="245" t="str">
        <f t="shared" si="445"/>
        <v/>
      </c>
      <c r="P513" s="245" t="str">
        <f t="shared" si="445"/>
        <v/>
      </c>
      <c r="Q513" s="245" t="str">
        <f t="shared" si="445"/>
        <v/>
      </c>
      <c r="R513" s="245" t="str">
        <f t="shared" si="445"/>
        <v/>
      </c>
      <c r="S513" s="245" t="str">
        <f t="shared" si="445"/>
        <v/>
      </c>
      <c r="T513" s="245" t="str">
        <f t="shared" si="445"/>
        <v/>
      </c>
      <c r="U513" s="245" t="str">
        <f t="shared" si="445"/>
        <v/>
      </c>
      <c r="V513" s="245" t="str">
        <f t="shared" si="445"/>
        <v/>
      </c>
      <c r="W513" s="245" t="str">
        <f t="shared" si="445"/>
        <v/>
      </c>
      <c r="X513" s="245" t="str">
        <f t="shared" si="445"/>
        <v/>
      </c>
      <c r="Y513" s="245" t="str">
        <f t="shared" si="445"/>
        <v/>
      </c>
      <c r="Z513" s="245" t="str">
        <f t="shared" si="445"/>
        <v/>
      </c>
      <c r="AA513" s="245" t="str">
        <f t="shared" si="445"/>
        <v/>
      </c>
      <c r="AB513" s="245" t="str">
        <f t="shared" si="445"/>
        <v/>
      </c>
      <c r="AC513" s="245" t="str">
        <f t="shared" si="445"/>
        <v/>
      </c>
      <c r="AD513" s="245" t="str">
        <f t="shared" si="445"/>
        <v/>
      </c>
      <c r="AE513" s="245" t="str">
        <f t="shared" si="445"/>
        <v/>
      </c>
      <c r="AF513" s="245" t="str">
        <f t="shared" si="445"/>
        <v/>
      </c>
      <c r="AG513" s="245" t="str">
        <f t="shared" si="445"/>
        <v/>
      </c>
      <c r="AH513" s="245" t="str">
        <f t="shared" si="445"/>
        <v/>
      </c>
      <c r="AI513" s="245" t="str">
        <f t="shared" si="445"/>
        <v/>
      </c>
      <c r="AJ513" s="245" t="str">
        <f t="shared" si="445"/>
        <v/>
      </c>
      <c r="AK513" s="245" t="str">
        <f t="shared" si="445"/>
        <v/>
      </c>
      <c r="AL513" s="245" t="str">
        <f t="shared" si="445"/>
        <v/>
      </c>
      <c r="AM513" s="245" t="str">
        <f t="shared" si="445"/>
        <v/>
      </c>
      <c r="AN513" s="245" t="str">
        <f t="shared" si="445"/>
        <v/>
      </c>
      <c r="AO513" s="245" t="str">
        <f t="shared" si="445"/>
        <v/>
      </c>
      <c r="AP513" s="245" t="str">
        <f t="shared" si="445"/>
        <v/>
      </c>
      <c r="AQ513" s="245" t="str">
        <f t="shared" si="445"/>
        <v/>
      </c>
      <c r="AR513" s="245" t="str">
        <f t="shared" si="445"/>
        <v/>
      </c>
      <c r="AS513" s="245" t="str">
        <f t="shared" si="445"/>
        <v/>
      </c>
    </row>
    <row r="514" spans="2:45">
      <c r="B514" s="43"/>
      <c r="C514" s="136"/>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2"/>
      <c r="AK514" s="92"/>
      <c r="AL514" s="92"/>
      <c r="AM514" s="92"/>
      <c r="AN514" s="92"/>
      <c r="AO514" s="92"/>
      <c r="AP514" s="92"/>
      <c r="AQ514" s="92"/>
      <c r="AR514" s="92"/>
      <c r="AS514" s="92"/>
    </row>
    <row r="515" spans="2:45" ht="15.6">
      <c r="B515" s="861" t="s">
        <v>1402</v>
      </c>
      <c r="C515" s="136"/>
      <c r="E515" s="65">
        <f t="shared" si="438"/>
        <v>-76838</v>
      </c>
      <c r="F515" s="92">
        <f t="shared" ref="F515:AS515" si="446">+F94*F204</f>
        <v>0</v>
      </c>
      <c r="G515" s="92">
        <f t="shared" si="446"/>
        <v>0</v>
      </c>
      <c r="H515" s="92">
        <f t="shared" si="446"/>
        <v>0</v>
      </c>
      <c r="I515" s="92">
        <f t="shared" si="446"/>
        <v>0</v>
      </c>
      <c r="J515" s="92">
        <f t="shared" si="446"/>
        <v>0</v>
      </c>
      <c r="K515" s="92">
        <f t="shared" si="446"/>
        <v>0</v>
      </c>
      <c r="L515" s="92">
        <f t="shared" si="446"/>
        <v>0</v>
      </c>
      <c r="M515" s="92">
        <f t="shared" si="446"/>
        <v>0</v>
      </c>
      <c r="N515" s="92">
        <f t="shared" si="446"/>
        <v>0</v>
      </c>
      <c r="O515" s="92">
        <f t="shared" si="446"/>
        <v>-1740</v>
      </c>
      <c r="P515" s="92">
        <f t="shared" si="446"/>
        <v>-1800</v>
      </c>
      <c r="Q515" s="92">
        <f t="shared" si="446"/>
        <v>-1872</v>
      </c>
      <c r="R515" s="92">
        <f t="shared" si="446"/>
        <v>-1944</v>
      </c>
      <c r="S515" s="92">
        <f t="shared" si="446"/>
        <v>-2028</v>
      </c>
      <c r="T515" s="92">
        <f t="shared" si="446"/>
        <v>-2124</v>
      </c>
      <c r="U515" s="92">
        <f t="shared" si="446"/>
        <v>-2244</v>
      </c>
      <c r="V515" s="92">
        <f t="shared" si="446"/>
        <v>-2388</v>
      </c>
      <c r="W515" s="92">
        <f t="shared" si="446"/>
        <v>-2520</v>
      </c>
      <c r="X515" s="92">
        <f t="shared" si="446"/>
        <v>-2652</v>
      </c>
      <c r="Y515" s="92">
        <f t="shared" si="446"/>
        <v>-2772</v>
      </c>
      <c r="Z515" s="92">
        <f t="shared" si="446"/>
        <v>-2904</v>
      </c>
      <c r="AA515" s="92">
        <f t="shared" si="446"/>
        <v>-3036</v>
      </c>
      <c r="AB515" s="92">
        <f t="shared" si="446"/>
        <v>-3168</v>
      </c>
      <c r="AC515" s="92">
        <f t="shared" si="446"/>
        <v>-3276</v>
      </c>
      <c r="AD515" s="92">
        <f t="shared" si="446"/>
        <v>-6226</v>
      </c>
      <c r="AE515" s="92">
        <f t="shared" si="446"/>
        <v>-6446</v>
      </c>
      <c r="AF515" s="92">
        <f t="shared" si="446"/>
        <v>-6666</v>
      </c>
      <c r="AG515" s="92">
        <f t="shared" si="446"/>
        <v>-6864</v>
      </c>
      <c r="AH515" s="92">
        <f t="shared" si="446"/>
        <v>-7018</v>
      </c>
      <c r="AI515" s="92">
        <f t="shared" si="446"/>
        <v>-7150</v>
      </c>
      <c r="AJ515" s="92">
        <f t="shared" si="446"/>
        <v>0</v>
      </c>
      <c r="AK515" s="92">
        <f t="shared" si="446"/>
        <v>0</v>
      </c>
      <c r="AL515" s="92">
        <f t="shared" si="446"/>
        <v>0</v>
      </c>
      <c r="AM515" s="92">
        <f t="shared" si="446"/>
        <v>0</v>
      </c>
      <c r="AN515" s="92">
        <f t="shared" si="446"/>
        <v>0</v>
      </c>
      <c r="AO515" s="92">
        <f t="shared" si="446"/>
        <v>0</v>
      </c>
      <c r="AP515" s="92">
        <f t="shared" si="446"/>
        <v>0</v>
      </c>
      <c r="AQ515" s="92">
        <f t="shared" si="446"/>
        <v>0</v>
      </c>
      <c r="AR515" s="92">
        <f t="shared" si="446"/>
        <v>0</v>
      </c>
      <c r="AS515" s="92">
        <f t="shared" si="446"/>
        <v>0</v>
      </c>
    </row>
    <row r="516" spans="2:45" ht="15.6">
      <c r="B516" s="861" t="s">
        <v>783</v>
      </c>
      <c r="C516" s="136"/>
      <c r="E516" s="65">
        <f>SUM(F516:AS516)</f>
        <v>-62447.060493968609</v>
      </c>
      <c r="F516" s="92">
        <f t="shared" ref="F516:AS516" si="447">+F94*F203</f>
        <v>0</v>
      </c>
      <c r="G516" s="92">
        <f t="shared" si="447"/>
        <v>0</v>
      </c>
      <c r="H516" s="92">
        <f t="shared" si="447"/>
        <v>0</v>
      </c>
      <c r="I516" s="92">
        <f t="shared" si="447"/>
        <v>0</v>
      </c>
      <c r="J516" s="92">
        <f t="shared" si="447"/>
        <v>0</v>
      </c>
      <c r="K516" s="92">
        <f t="shared" si="447"/>
        <v>0</v>
      </c>
      <c r="L516" s="92">
        <f t="shared" si="447"/>
        <v>0</v>
      </c>
      <c r="M516" s="92">
        <f t="shared" si="447"/>
        <v>0</v>
      </c>
      <c r="N516" s="92">
        <f t="shared" si="447"/>
        <v>0</v>
      </c>
      <c r="O516" s="92">
        <f t="shared" si="447"/>
        <v>-1569.5876288659795</v>
      </c>
      <c r="P516" s="92">
        <f t="shared" si="447"/>
        <v>-1608.4788029925187</v>
      </c>
      <c r="Q516" s="92">
        <f t="shared" si="447"/>
        <v>-1696.4539007092199</v>
      </c>
      <c r="R516" s="92">
        <f t="shared" si="447"/>
        <v>-1796.6165413533834</v>
      </c>
      <c r="S516" s="92">
        <f t="shared" si="447"/>
        <v>-1877.7777777777776</v>
      </c>
      <c r="T516" s="92">
        <f t="shared" si="447"/>
        <v>-1997.6941747572816</v>
      </c>
      <c r="U516" s="92">
        <f t="shared" si="447"/>
        <v>-2132.1129707112973</v>
      </c>
      <c r="V516" s="92">
        <f t="shared" si="447"/>
        <v>-2275.5605381165919</v>
      </c>
      <c r="W516" s="92">
        <f t="shared" si="447"/>
        <v>-2388.949079089924</v>
      </c>
      <c r="X516" s="92">
        <f t="shared" si="447"/>
        <v>-2501.4002333722287</v>
      </c>
      <c r="Y516" s="92">
        <f t="shared" si="447"/>
        <v>-2613.6</v>
      </c>
      <c r="Z516" s="92">
        <f t="shared" si="447"/>
        <v>-2748.1808158765161</v>
      </c>
      <c r="AA516" s="92">
        <f t="shared" si="447"/>
        <v>-2894.4915254237289</v>
      </c>
      <c r="AB516" s="92">
        <f t="shared" si="447"/>
        <v>-3001.8274111675128</v>
      </c>
      <c r="AC516" s="92">
        <f t="shared" si="447"/>
        <v>-3106.9029850746269</v>
      </c>
      <c r="AD516" s="92">
        <f t="shared" si="447"/>
        <v>-4429.117379435851</v>
      </c>
      <c r="AE516" s="92">
        <f t="shared" si="447"/>
        <v>-4612.7528583992962</v>
      </c>
      <c r="AF516" s="92">
        <f t="shared" si="447"/>
        <v>-4762.1761658031082</v>
      </c>
      <c r="AG516" s="92">
        <f t="shared" si="447"/>
        <v>-4751.559633027523</v>
      </c>
      <c r="AH516" s="92">
        <f t="shared" si="447"/>
        <v>-4802.4635036496347</v>
      </c>
      <c r="AI516" s="92">
        <f t="shared" si="447"/>
        <v>-4879.3565683646111</v>
      </c>
      <c r="AJ516" s="92">
        <f t="shared" si="447"/>
        <v>0</v>
      </c>
      <c r="AK516" s="92">
        <f t="shared" si="447"/>
        <v>0</v>
      </c>
      <c r="AL516" s="92">
        <f t="shared" si="447"/>
        <v>0</v>
      </c>
      <c r="AM516" s="92">
        <f t="shared" si="447"/>
        <v>0</v>
      </c>
      <c r="AN516" s="92">
        <f t="shared" si="447"/>
        <v>0</v>
      </c>
      <c r="AO516" s="92">
        <f t="shared" si="447"/>
        <v>0</v>
      </c>
      <c r="AP516" s="92">
        <f t="shared" si="447"/>
        <v>0</v>
      </c>
      <c r="AQ516" s="92">
        <f t="shared" si="447"/>
        <v>0</v>
      </c>
      <c r="AR516" s="92">
        <f t="shared" si="447"/>
        <v>0</v>
      </c>
      <c r="AS516" s="92">
        <f t="shared" si="447"/>
        <v>0</v>
      </c>
    </row>
    <row r="517" spans="2:45" ht="15.6">
      <c r="B517" s="282"/>
      <c r="C517" s="282"/>
      <c r="D517" s="28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2"/>
      <c r="AK517" s="92"/>
      <c r="AL517" s="92"/>
      <c r="AM517" s="92"/>
      <c r="AN517" s="92"/>
      <c r="AO517" s="92"/>
      <c r="AP517" s="92"/>
      <c r="AQ517" s="92"/>
      <c r="AR517" s="92"/>
      <c r="AS517" s="92"/>
    </row>
    <row r="518" spans="2:45" s="1540" customFormat="1">
      <c r="B518" s="1542" t="s">
        <v>435</v>
      </c>
      <c r="F518" s="1541"/>
      <c r="G518" s="1541"/>
      <c r="H518" s="1541"/>
      <c r="I518" s="1541"/>
      <c r="J518" s="1541"/>
      <c r="K518" s="1541"/>
      <c r="L518" s="1541"/>
      <c r="M518" s="1541"/>
      <c r="N518" s="1541"/>
      <c r="O518" s="1541"/>
      <c r="P518" s="1541"/>
      <c r="Q518" s="1541"/>
      <c r="R518" s="1541"/>
      <c r="S518" s="1541"/>
      <c r="T518" s="1541"/>
      <c r="U518" s="1541"/>
      <c r="V518" s="1541"/>
      <c r="W518" s="1541"/>
      <c r="X518" s="1541"/>
      <c r="Y518" s="1541"/>
      <c r="Z518" s="1541"/>
      <c r="AA518" s="1541"/>
      <c r="AB518" s="1541"/>
      <c r="AC518" s="1541"/>
      <c r="AD518" s="1541"/>
      <c r="AE518" s="1541"/>
      <c r="AF518" s="1541"/>
      <c r="AG518" s="1541"/>
      <c r="AH518" s="1541"/>
      <c r="AI518" s="1541"/>
      <c r="AJ518" s="1541"/>
      <c r="AK518" s="1541"/>
      <c r="AL518" s="1541"/>
      <c r="AM518" s="1541"/>
      <c r="AN518" s="1541"/>
      <c r="AO518" s="1541"/>
      <c r="AP518" s="1541"/>
      <c r="AQ518" s="1541"/>
      <c r="AR518" s="1541"/>
      <c r="AS518" s="1541"/>
    </row>
    <row r="519" spans="2:45">
      <c r="C519" s="136"/>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92"/>
      <c r="AD519" s="92"/>
      <c r="AE519" s="92"/>
      <c r="AF519" s="92"/>
      <c r="AG519" s="92"/>
      <c r="AH519" s="92"/>
      <c r="AI519" s="92"/>
      <c r="AJ519" s="92"/>
      <c r="AK519" s="92"/>
      <c r="AL519" s="92"/>
      <c r="AM519" s="92"/>
      <c r="AN519" s="92"/>
      <c r="AO519" s="92"/>
      <c r="AP519" s="92"/>
      <c r="AQ519" s="92"/>
      <c r="AR519" s="92"/>
      <c r="AS519" s="92"/>
    </row>
    <row r="520" spans="2:45">
      <c r="I520" s="92"/>
      <c r="J520" s="92"/>
    </row>
    <row r="521" spans="2:45"/>
    <row r="522" spans="2:45"/>
    <row r="523" spans="2:45"/>
    <row r="524" spans="2:45"/>
    <row r="525" spans="2:45"/>
    <row r="526" spans="2:45"/>
    <row r="527" spans="2:45"/>
    <row r="528" spans="2:45"/>
    <row r="529" spans="5:26"/>
    <row r="530" spans="5:26"/>
    <row r="531" spans="5:26"/>
    <row r="532" spans="5:26"/>
    <row r="533" spans="5:26">
      <c r="Z533" s="44"/>
    </row>
    <row r="534" spans="5:26">
      <c r="Z534" s="44"/>
    </row>
    <row r="535" spans="5:26">
      <c r="Z535" s="44"/>
    </row>
    <row r="536" spans="5:26">
      <c r="Z536" s="44"/>
    </row>
    <row r="537" spans="5:26">
      <c r="Z537" s="44"/>
    </row>
    <row r="538" spans="5:26">
      <c r="Z538" s="44"/>
    </row>
    <row r="539" spans="5:26">
      <c r="E539" s="44"/>
      <c r="Z539" s="44"/>
    </row>
    <row r="540" spans="5:26">
      <c r="E540" s="44"/>
      <c r="Z540" s="44"/>
    </row>
    <row r="541" spans="5:26">
      <c r="E541" s="44"/>
      <c r="Z541" s="44"/>
    </row>
    <row r="542" spans="5:26">
      <c r="E542" s="44"/>
      <c r="Z542" s="44"/>
    </row>
    <row r="543" spans="5:26">
      <c r="E543" s="44"/>
      <c r="Z543" s="44"/>
    </row>
    <row r="544" spans="5:26">
      <c r="E544" s="44"/>
      <c r="Z544" s="44"/>
    </row>
    <row r="545" spans="5:26">
      <c r="E545" s="44"/>
      <c r="Z545" s="44"/>
    </row>
    <row r="546" spans="5:26">
      <c r="E546" s="44"/>
      <c r="Z546" s="44"/>
    </row>
    <row r="547" spans="5:26">
      <c r="E547" s="44"/>
      <c r="Z547" s="44"/>
    </row>
    <row r="548" spans="5:26">
      <c r="E548" s="44"/>
      <c r="Z548" s="44"/>
    </row>
    <row r="549" spans="5:26">
      <c r="E549" s="44"/>
      <c r="Z549" s="44"/>
    </row>
    <row r="550" spans="5:26">
      <c r="E550" s="44"/>
      <c r="Z550" s="44"/>
    </row>
    <row r="551" spans="5:26">
      <c r="E551" s="44"/>
      <c r="Z551" s="44"/>
    </row>
    <row r="552" spans="5:26">
      <c r="E552" s="44"/>
      <c r="Z552" s="44"/>
    </row>
    <row r="553" spans="5:26">
      <c r="E553" s="44"/>
      <c r="Z553" s="44"/>
    </row>
    <row r="554" spans="5:26">
      <c r="E554" s="44"/>
      <c r="Z554" s="44"/>
    </row>
    <row r="555" spans="5:26">
      <c r="E555" s="44"/>
      <c r="Z555" s="44"/>
    </row>
    <row r="556" spans="5:26">
      <c r="E556" s="44"/>
      <c r="Z556" s="44"/>
    </row>
    <row r="557" spans="5:26">
      <c r="E557" s="44"/>
      <c r="Z557" s="44"/>
    </row>
    <row r="558" spans="5:26">
      <c r="E558" s="44"/>
      <c r="Z558" s="44"/>
    </row>
    <row r="559" spans="5:26">
      <c r="E559" s="44"/>
      <c r="Z559" s="44"/>
    </row>
    <row r="560" spans="5:26">
      <c r="E560" s="44"/>
      <c r="Z560" s="44"/>
    </row>
    <row r="561" spans="5:26">
      <c r="E561" s="44"/>
      <c r="Z561" s="44"/>
    </row>
    <row r="562" spans="5:26">
      <c r="E562" s="44"/>
      <c r="Z562" s="44"/>
    </row>
    <row r="563" spans="5:26">
      <c r="E563" s="44"/>
      <c r="Z563" s="44"/>
    </row>
    <row r="564" spans="5:26">
      <c r="E564" s="44"/>
      <c r="Z564" s="44"/>
    </row>
    <row r="565" spans="5:26">
      <c r="E565" s="44"/>
      <c r="Z565" s="44"/>
    </row>
    <row r="566" spans="5:26">
      <c r="E566" s="44"/>
      <c r="Z566" s="44"/>
    </row>
    <row r="567" spans="5:26">
      <c r="E567" s="44"/>
      <c r="Z567" s="44"/>
    </row>
    <row r="568" spans="5:26">
      <c r="E568" s="44"/>
      <c r="Z568" s="44"/>
    </row>
    <row r="569" spans="5:26">
      <c r="E569" s="44"/>
      <c r="Z569" s="44"/>
    </row>
    <row r="570" spans="5:26">
      <c r="E570" s="44"/>
      <c r="Z570" s="44"/>
    </row>
    <row r="571" spans="5:26">
      <c r="E571" s="44"/>
      <c r="Z571" s="44"/>
    </row>
    <row r="572" spans="5:26">
      <c r="E572" s="44"/>
      <c r="Z572" s="44"/>
    </row>
    <row r="573" spans="5:26">
      <c r="E573" s="44"/>
      <c r="Z573" s="44"/>
    </row>
    <row r="574" spans="5:26">
      <c r="E574" s="44"/>
      <c r="Z574" s="44"/>
    </row>
    <row r="575" spans="5:26">
      <c r="E575" s="44"/>
      <c r="Z575" s="44"/>
    </row>
    <row r="576" spans="5:26">
      <c r="E576" s="44"/>
      <c r="Z576" s="44"/>
    </row>
    <row r="577" spans="5:26">
      <c r="E577" s="44"/>
      <c r="Z577" s="44"/>
    </row>
    <row r="578" spans="5:26">
      <c r="E578" s="44"/>
      <c r="Z578" s="44"/>
    </row>
    <row r="579" spans="5:26">
      <c r="E579" s="44"/>
      <c r="Z579" s="44"/>
    </row>
    <row r="580" spans="5:26">
      <c r="E580" s="44"/>
      <c r="Z580" s="44"/>
    </row>
    <row r="581" spans="5:26">
      <c r="E581" s="44"/>
      <c r="Z581" s="44"/>
    </row>
    <row r="582" spans="5:26">
      <c r="E582" s="44"/>
      <c r="Z582" s="44"/>
    </row>
    <row r="583" spans="5:26">
      <c r="E583" s="44"/>
      <c r="Z583" s="44"/>
    </row>
    <row r="584" spans="5:26">
      <c r="E584" s="44"/>
      <c r="Z584" s="44"/>
    </row>
    <row r="585" spans="5:26">
      <c r="E585" s="44"/>
      <c r="Z585" s="44"/>
    </row>
    <row r="586" spans="5:26">
      <c r="E586" s="44"/>
      <c r="Z586" s="44"/>
    </row>
    <row r="587" spans="5:26">
      <c r="E587" s="44"/>
      <c r="Z587" s="44"/>
    </row>
    <row r="588" spans="5:26">
      <c r="E588" s="44"/>
      <c r="Z588" s="44"/>
    </row>
    <row r="589" spans="5:26">
      <c r="E589" s="44"/>
      <c r="Z589" s="44"/>
    </row>
    <row r="590" spans="5:26">
      <c r="E590" s="44"/>
      <c r="Z590" s="44"/>
    </row>
    <row r="591" spans="5:26">
      <c r="E591" s="44"/>
      <c r="Z591" s="44"/>
    </row>
    <row r="592" spans="5:26">
      <c r="E592" s="44"/>
      <c r="Z592" s="44"/>
    </row>
    <row r="593" spans="5:26">
      <c r="E593" s="44"/>
      <c r="Z593" s="44"/>
    </row>
    <row r="594" spans="5:26">
      <c r="E594" s="44"/>
      <c r="Z594" s="44"/>
    </row>
    <row r="595" spans="5:26">
      <c r="E595" s="44"/>
      <c r="Z595" s="44"/>
    </row>
    <row r="596" spans="5:26">
      <c r="E596" s="44"/>
      <c r="Z596" s="44"/>
    </row>
    <row r="597" spans="5:26">
      <c r="E597" s="44"/>
      <c r="Z597" s="44"/>
    </row>
    <row r="598" spans="5:26">
      <c r="E598" s="44"/>
      <c r="Z598" s="44"/>
    </row>
    <row r="599" spans="5:26">
      <c r="E599" s="44"/>
      <c r="Z599" s="44"/>
    </row>
    <row r="600" spans="5:26">
      <c r="E600" s="44"/>
      <c r="Z600" s="44"/>
    </row>
    <row r="601" spans="5:26">
      <c r="E601" s="44"/>
      <c r="Z601" s="44"/>
    </row>
    <row r="602" spans="5:26">
      <c r="E602" s="44"/>
      <c r="Z602" s="44"/>
    </row>
    <row r="603" spans="5:26">
      <c r="E603" s="44"/>
      <c r="Z603" s="44"/>
    </row>
    <row r="604" spans="5:26">
      <c r="E604" s="44"/>
      <c r="Z604" s="44"/>
    </row>
    <row r="605" spans="5:26">
      <c r="Z605" s="44"/>
    </row>
    <row r="606" spans="5:26"/>
    <row r="607" spans="5:26"/>
    <row r="608" spans="5:26"/>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sheetData>
  <sheetProtection sheet="1" objects="1" scenarios="1" formatCells="0" formatColumns="0" formatRows="0"/>
  <phoneticPr fontId="13" type="noConversion"/>
  <pageMargins left="0.75" right="0.75" top="1" bottom="1" header="0.5" footer="0.5"/>
  <pageSetup scale="40" orientation="landscape" r:id="rId1"/>
  <headerFooter alignWithMargins="0"/>
  <ignoredErrors>
    <ignoredError sqref="G5:H5 I5:AS5 AT316 F363:AS363 D131 AT314 F235:AS235 F223 E228 AU510:AW510 AT504 F124 AT511:AW511 F511:AS511 F504:AS504 F309:AS309 F145:AS145" formula="1"/>
  </ignoredError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9"/>
  </sheetPr>
  <dimension ref="A1:ED868"/>
  <sheetViews>
    <sheetView showGridLines="0" showRowColHeaders="0" zoomScale="75" zoomScaleNormal="75" workbookViewId="0">
      <pane xSplit="5" ySplit="7" topLeftCell="F8" activePane="bottomRight" state="frozen"/>
      <selection pane="topRight" activeCell="E1" sqref="E1"/>
      <selection pane="bottomLeft" activeCell="A5" sqref="A5"/>
      <selection pane="bottomRight"/>
    </sheetView>
  </sheetViews>
  <sheetFormatPr defaultColWidth="0" defaultRowHeight="15" zeroHeight="1"/>
  <cols>
    <col min="1" max="1" width="3.6328125" style="1425" customWidth="1"/>
    <col min="2" max="2" width="28.6328125" customWidth="1"/>
    <col min="3" max="3" width="12.81640625" customWidth="1"/>
    <col min="4" max="4" width="10.81640625" customWidth="1"/>
    <col min="5" max="5" width="12.6328125" customWidth="1"/>
    <col min="6" max="45" width="11.6328125" customWidth="1"/>
    <col min="46" max="46" width="5.453125" customWidth="1"/>
    <col min="47" max="47" width="12.08984375" customWidth="1"/>
    <col min="48" max="48" width="11.1796875" customWidth="1"/>
    <col min="49" max="49" width="2.6328125" style="1" customWidth="1"/>
    <col min="50" max="50" width="2.6328125" customWidth="1"/>
    <col min="51" max="91" width="11.1796875" customWidth="1"/>
  </cols>
  <sheetData>
    <row r="1" spans="1:91" ht="18" thickBot="1">
      <c r="A1" s="1424"/>
      <c r="B1" s="701" t="s">
        <v>1754</v>
      </c>
      <c r="C1" s="701"/>
      <c r="D1" s="704"/>
      <c r="E1" s="1138" t="s">
        <v>1363</v>
      </c>
      <c r="F1" s="1172" t="s">
        <v>580</v>
      </c>
      <c r="H1" s="1171" t="s">
        <v>577</v>
      </c>
      <c r="J1" s="879"/>
      <c r="K1" s="696" t="str">
        <f>+Setup!$B$6</f>
        <v>Example Data: $70k expenses bef tax. SS at 70 &amp; 66. 23% SS reduction in 2035.  $200k inherited. Sell house at 84. Wife widowed at 85. Roth conversions will leave $1.2M to heirs tax free.</v>
      </c>
      <c r="L1" s="696"/>
      <c r="M1" s="696"/>
      <c r="N1" s="696"/>
      <c r="O1" s="696"/>
      <c r="P1" s="696"/>
      <c r="Q1" s="696"/>
      <c r="R1" s="696"/>
      <c r="S1" s="696"/>
      <c r="T1" s="697"/>
      <c r="U1" s="697"/>
      <c r="V1" s="697"/>
      <c r="W1" s="695"/>
      <c r="X1" s="697"/>
      <c r="AT1" s="3"/>
      <c r="AU1" s="17"/>
      <c r="AX1" s="1741" t="s">
        <v>2282</v>
      </c>
      <c r="AY1" s="1738"/>
      <c r="AZ1" s="1739"/>
      <c r="BA1" s="1739"/>
      <c r="BB1" s="1740"/>
      <c r="BD1" s="709" t="s">
        <v>1363</v>
      </c>
    </row>
    <row r="2" spans="1:91" ht="15.75" customHeight="1">
      <c r="B2" s="206"/>
      <c r="F2" s="31"/>
      <c r="G2" s="148"/>
      <c r="H2" s="148"/>
      <c r="I2" s="148"/>
      <c r="J2" s="148"/>
      <c r="K2" s="148"/>
      <c r="L2" s="148"/>
      <c r="M2" s="148"/>
      <c r="N2" s="148"/>
      <c r="O2" s="148"/>
      <c r="P2" s="148"/>
      <c r="Q2" s="148"/>
      <c r="R2" s="3"/>
      <c r="S2" s="3"/>
      <c r="T2" s="3"/>
      <c r="U2" s="3"/>
      <c r="V2" s="3"/>
      <c r="W2" s="3"/>
      <c r="X2" s="3"/>
      <c r="Y2" s="3"/>
      <c r="Z2" s="3"/>
      <c r="AA2" s="3"/>
      <c r="AB2" s="3"/>
      <c r="AC2" s="3"/>
      <c r="AD2" s="3"/>
      <c r="AE2" s="3"/>
      <c r="AF2" s="3"/>
      <c r="AG2" s="3"/>
      <c r="AH2" s="3"/>
      <c r="AI2" s="3"/>
      <c r="AJ2" s="3"/>
      <c r="AT2" s="3"/>
    </row>
    <row r="3" spans="1:91" ht="18" customHeight="1">
      <c r="A3" s="1155" t="s">
        <v>948</v>
      </c>
      <c r="B3" s="661"/>
      <c r="F3" s="273">
        <v>1</v>
      </c>
      <c r="G3" s="232">
        <v>2</v>
      </c>
      <c r="H3" s="232">
        <v>3</v>
      </c>
      <c r="I3" s="232">
        <v>4</v>
      </c>
      <c r="J3" s="232">
        <v>5</v>
      </c>
      <c r="K3" s="232">
        <v>6</v>
      </c>
      <c r="L3" s="232">
        <v>7</v>
      </c>
      <c r="M3" s="232">
        <v>8</v>
      </c>
      <c r="N3" s="232">
        <v>9</v>
      </c>
      <c r="O3" s="232">
        <v>10</v>
      </c>
      <c r="P3" s="232">
        <v>11</v>
      </c>
      <c r="Q3" s="232">
        <v>12</v>
      </c>
      <c r="R3" s="232">
        <v>13</v>
      </c>
      <c r="S3" s="232">
        <v>14</v>
      </c>
      <c r="T3" s="232">
        <v>15</v>
      </c>
      <c r="U3" s="232">
        <v>16</v>
      </c>
      <c r="V3" s="232">
        <v>17</v>
      </c>
      <c r="W3" s="232">
        <v>18</v>
      </c>
      <c r="X3" s="232">
        <v>19</v>
      </c>
      <c r="Y3" s="232">
        <v>20</v>
      </c>
      <c r="Z3" s="232">
        <v>21</v>
      </c>
      <c r="AA3" s="232">
        <v>22</v>
      </c>
      <c r="AB3" s="232">
        <v>23</v>
      </c>
      <c r="AC3" s="232">
        <v>24</v>
      </c>
      <c r="AD3" s="232">
        <v>25</v>
      </c>
      <c r="AE3" s="232">
        <v>26</v>
      </c>
      <c r="AF3" s="232">
        <v>27</v>
      </c>
      <c r="AG3" s="232">
        <v>28</v>
      </c>
      <c r="AH3" s="232">
        <v>29</v>
      </c>
      <c r="AI3" s="232">
        <v>30</v>
      </c>
      <c r="AJ3" s="232">
        <v>31</v>
      </c>
      <c r="AK3" s="232">
        <v>32</v>
      </c>
      <c r="AL3" s="232">
        <v>33</v>
      </c>
      <c r="AM3" s="232">
        <v>34</v>
      </c>
      <c r="AN3" s="232">
        <v>35</v>
      </c>
      <c r="AO3" s="232">
        <v>36</v>
      </c>
      <c r="AP3" s="232">
        <v>37</v>
      </c>
      <c r="AQ3" s="232">
        <v>38</v>
      </c>
      <c r="AR3" s="232">
        <v>39</v>
      </c>
      <c r="AS3" s="232">
        <v>40</v>
      </c>
      <c r="AT3" s="3"/>
      <c r="AY3" s="273">
        <v>1</v>
      </c>
      <c r="AZ3" s="232">
        <v>2</v>
      </c>
      <c r="BA3" s="232">
        <v>3</v>
      </c>
      <c r="BB3" s="232">
        <v>4</v>
      </c>
      <c r="BC3" s="232">
        <v>5</v>
      </c>
      <c r="BD3" s="232">
        <v>6</v>
      </c>
      <c r="BE3" s="232">
        <v>7</v>
      </c>
      <c r="BF3" s="232">
        <v>8</v>
      </c>
      <c r="BG3" s="232">
        <v>9</v>
      </c>
      <c r="BH3" s="232">
        <v>10</v>
      </c>
      <c r="BI3" s="232">
        <v>11</v>
      </c>
      <c r="BJ3" s="232">
        <v>12</v>
      </c>
      <c r="BK3" s="232">
        <v>13</v>
      </c>
      <c r="BL3" s="232">
        <v>14</v>
      </c>
      <c r="BM3" s="232">
        <v>15</v>
      </c>
      <c r="BN3" s="232">
        <v>16</v>
      </c>
      <c r="BO3" s="232">
        <v>17</v>
      </c>
      <c r="BP3" s="232">
        <v>18</v>
      </c>
      <c r="BQ3" s="232">
        <v>19</v>
      </c>
      <c r="BR3" s="232">
        <v>20</v>
      </c>
      <c r="BS3" s="232">
        <v>21</v>
      </c>
      <c r="BT3" s="232">
        <v>22</v>
      </c>
      <c r="BU3" s="232">
        <v>23</v>
      </c>
      <c r="BV3" s="232">
        <v>24</v>
      </c>
      <c r="BW3" s="232">
        <v>25</v>
      </c>
      <c r="BX3" s="232">
        <v>26</v>
      </c>
      <c r="BY3" s="232">
        <v>27</v>
      </c>
      <c r="BZ3" s="232">
        <v>28</v>
      </c>
      <c r="CA3" s="232">
        <v>29</v>
      </c>
      <c r="CB3" s="232">
        <v>30</v>
      </c>
      <c r="CC3" s="232">
        <v>31</v>
      </c>
      <c r="CD3" s="232">
        <v>32</v>
      </c>
      <c r="CE3" s="232">
        <v>33</v>
      </c>
      <c r="CF3" s="232">
        <v>34</v>
      </c>
      <c r="CG3" s="232">
        <v>35</v>
      </c>
      <c r="CH3" s="232">
        <v>36</v>
      </c>
      <c r="CI3" s="232">
        <v>37</v>
      </c>
      <c r="CJ3" s="232">
        <v>38</v>
      </c>
      <c r="CK3" s="232">
        <v>39</v>
      </c>
      <c r="CL3" s="232">
        <v>40</v>
      </c>
    </row>
    <row r="4" spans="1:91" ht="17.399999999999999">
      <c r="A4" s="1629"/>
      <c r="C4" s="258"/>
      <c r="D4" s="22"/>
      <c r="E4" s="76"/>
      <c r="F4" s="1295">
        <f>Your_Age</f>
        <v>62</v>
      </c>
      <c r="G4" s="108">
        <f t="shared" ref="G4:AI4" si="0">+F4+1</f>
        <v>63</v>
      </c>
      <c r="H4" s="108">
        <f t="shared" si="0"/>
        <v>64</v>
      </c>
      <c r="I4" s="108">
        <f t="shared" si="0"/>
        <v>65</v>
      </c>
      <c r="J4" s="108">
        <f t="shared" si="0"/>
        <v>66</v>
      </c>
      <c r="K4" s="108">
        <f t="shared" si="0"/>
        <v>67</v>
      </c>
      <c r="L4" s="108">
        <f t="shared" si="0"/>
        <v>68</v>
      </c>
      <c r="M4" s="108">
        <f t="shared" si="0"/>
        <v>69</v>
      </c>
      <c r="N4" s="108">
        <f t="shared" si="0"/>
        <v>70</v>
      </c>
      <c r="O4" s="108">
        <f t="shared" si="0"/>
        <v>71</v>
      </c>
      <c r="P4" s="108">
        <f t="shared" si="0"/>
        <v>72</v>
      </c>
      <c r="Q4" s="108">
        <f t="shared" si="0"/>
        <v>73</v>
      </c>
      <c r="R4" s="108">
        <f t="shared" si="0"/>
        <v>74</v>
      </c>
      <c r="S4" s="108">
        <f t="shared" si="0"/>
        <v>75</v>
      </c>
      <c r="T4" s="108">
        <f t="shared" si="0"/>
        <v>76</v>
      </c>
      <c r="U4" s="108">
        <f t="shared" si="0"/>
        <v>77</v>
      </c>
      <c r="V4" s="108">
        <f t="shared" si="0"/>
        <v>78</v>
      </c>
      <c r="W4" s="108">
        <f t="shared" si="0"/>
        <v>79</v>
      </c>
      <c r="X4" s="108">
        <f t="shared" si="0"/>
        <v>80</v>
      </c>
      <c r="Y4" s="108">
        <f t="shared" si="0"/>
        <v>81</v>
      </c>
      <c r="Z4" s="108">
        <f t="shared" si="0"/>
        <v>82</v>
      </c>
      <c r="AA4" s="108">
        <f t="shared" si="0"/>
        <v>83</v>
      </c>
      <c r="AB4" s="108">
        <f t="shared" si="0"/>
        <v>84</v>
      </c>
      <c r="AC4" s="108">
        <f t="shared" si="0"/>
        <v>85</v>
      </c>
      <c r="AD4" s="108">
        <f t="shared" si="0"/>
        <v>86</v>
      </c>
      <c r="AE4" s="108">
        <f t="shared" si="0"/>
        <v>87</v>
      </c>
      <c r="AF4" s="108">
        <f t="shared" si="0"/>
        <v>88</v>
      </c>
      <c r="AG4" s="108">
        <f t="shared" si="0"/>
        <v>89</v>
      </c>
      <c r="AH4" s="108">
        <f t="shared" si="0"/>
        <v>90</v>
      </c>
      <c r="AI4" s="108">
        <f t="shared" si="0"/>
        <v>91</v>
      </c>
      <c r="AJ4" s="108">
        <f t="shared" ref="AJ4:AP4" si="1">+AI4+1</f>
        <v>92</v>
      </c>
      <c r="AK4" s="108">
        <f t="shared" si="1"/>
        <v>93</v>
      </c>
      <c r="AL4" s="108">
        <f t="shared" si="1"/>
        <v>94</v>
      </c>
      <c r="AM4" s="108">
        <f t="shared" si="1"/>
        <v>95</v>
      </c>
      <c r="AN4" s="108">
        <f t="shared" si="1"/>
        <v>96</v>
      </c>
      <c r="AO4" s="108">
        <f t="shared" si="1"/>
        <v>97</v>
      </c>
      <c r="AP4" s="108">
        <f t="shared" si="1"/>
        <v>98</v>
      </c>
      <c r="AQ4" s="108">
        <f t="shared" ref="AQ4:AR7" si="2">+AP4+1</f>
        <v>99</v>
      </c>
      <c r="AR4" s="108">
        <f t="shared" si="2"/>
        <v>100</v>
      </c>
      <c r="AS4" s="108">
        <f>+AR4+1</f>
        <v>101</v>
      </c>
      <c r="AT4" s="3"/>
      <c r="AW4" s="1736"/>
      <c r="AY4" s="107">
        <f>Your_Age</f>
        <v>62</v>
      </c>
      <c r="AZ4" s="108">
        <f t="shared" ref="AZ4:CL4" si="3">+AY4+1</f>
        <v>63</v>
      </c>
      <c r="BA4" s="108">
        <f t="shared" si="3"/>
        <v>64</v>
      </c>
      <c r="BB4" s="108">
        <f t="shared" si="3"/>
        <v>65</v>
      </c>
      <c r="BC4" s="108">
        <f t="shared" si="3"/>
        <v>66</v>
      </c>
      <c r="BD4" s="108">
        <f t="shared" si="3"/>
        <v>67</v>
      </c>
      <c r="BE4" s="108">
        <f t="shared" si="3"/>
        <v>68</v>
      </c>
      <c r="BF4" s="108">
        <f t="shared" si="3"/>
        <v>69</v>
      </c>
      <c r="BG4" s="108">
        <f t="shared" si="3"/>
        <v>70</v>
      </c>
      <c r="BH4" s="108">
        <f t="shared" si="3"/>
        <v>71</v>
      </c>
      <c r="BI4" s="108">
        <f t="shared" si="3"/>
        <v>72</v>
      </c>
      <c r="BJ4" s="108">
        <f t="shared" si="3"/>
        <v>73</v>
      </c>
      <c r="BK4" s="108">
        <f t="shared" si="3"/>
        <v>74</v>
      </c>
      <c r="BL4" s="108">
        <f t="shared" si="3"/>
        <v>75</v>
      </c>
      <c r="BM4" s="108">
        <f t="shared" si="3"/>
        <v>76</v>
      </c>
      <c r="BN4" s="108">
        <f t="shared" si="3"/>
        <v>77</v>
      </c>
      <c r="BO4" s="108">
        <f t="shared" si="3"/>
        <v>78</v>
      </c>
      <c r="BP4" s="108">
        <f t="shared" si="3"/>
        <v>79</v>
      </c>
      <c r="BQ4" s="108">
        <f t="shared" si="3"/>
        <v>80</v>
      </c>
      <c r="BR4" s="108">
        <f t="shared" si="3"/>
        <v>81</v>
      </c>
      <c r="BS4" s="108">
        <f t="shared" si="3"/>
        <v>82</v>
      </c>
      <c r="BT4" s="108">
        <f t="shared" si="3"/>
        <v>83</v>
      </c>
      <c r="BU4" s="108">
        <f t="shared" si="3"/>
        <v>84</v>
      </c>
      <c r="BV4" s="108">
        <f t="shared" si="3"/>
        <v>85</v>
      </c>
      <c r="BW4" s="108">
        <f t="shared" si="3"/>
        <v>86</v>
      </c>
      <c r="BX4" s="108">
        <f t="shared" si="3"/>
        <v>87</v>
      </c>
      <c r="BY4" s="108">
        <f t="shared" si="3"/>
        <v>88</v>
      </c>
      <c r="BZ4" s="108">
        <f t="shared" si="3"/>
        <v>89</v>
      </c>
      <c r="CA4" s="108">
        <f t="shared" si="3"/>
        <v>90</v>
      </c>
      <c r="CB4" s="108">
        <f t="shared" si="3"/>
        <v>91</v>
      </c>
      <c r="CC4" s="108">
        <f t="shared" si="3"/>
        <v>92</v>
      </c>
      <c r="CD4" s="108">
        <f t="shared" si="3"/>
        <v>93</v>
      </c>
      <c r="CE4" s="108">
        <f t="shared" si="3"/>
        <v>94</v>
      </c>
      <c r="CF4" s="108">
        <f t="shared" si="3"/>
        <v>95</v>
      </c>
      <c r="CG4" s="108">
        <f t="shared" si="3"/>
        <v>96</v>
      </c>
      <c r="CH4" s="108">
        <f t="shared" si="3"/>
        <v>97</v>
      </c>
      <c r="CI4" s="108">
        <f t="shared" si="3"/>
        <v>98</v>
      </c>
      <c r="CJ4" s="108">
        <f t="shared" si="3"/>
        <v>99</v>
      </c>
      <c r="CK4" s="108">
        <f t="shared" si="3"/>
        <v>100</v>
      </c>
      <c r="CL4" s="108">
        <f t="shared" si="3"/>
        <v>101</v>
      </c>
      <c r="CM4" s="13"/>
    </row>
    <row r="5" spans="1:91" ht="15.6">
      <c r="A5" s="231" t="s">
        <v>2133</v>
      </c>
      <c r="C5" s="24"/>
      <c r="D5" s="24" t="s">
        <v>852</v>
      </c>
      <c r="E5" s="1280" t="s">
        <v>1269</v>
      </c>
      <c r="F5" s="1295">
        <f>IF(Spouse_Age&gt;0,Spouse_Age,"")</f>
        <v>61</v>
      </c>
      <c r="G5" s="108">
        <f t="shared" ref="G5:AS5" si="4">IF(Spouse_Age&gt;0,F$5+1,"")</f>
        <v>62</v>
      </c>
      <c r="H5" s="108">
        <f t="shared" si="4"/>
        <v>63</v>
      </c>
      <c r="I5" s="108">
        <f t="shared" si="4"/>
        <v>64</v>
      </c>
      <c r="J5" s="108">
        <f t="shared" si="4"/>
        <v>65</v>
      </c>
      <c r="K5" s="108">
        <f t="shared" si="4"/>
        <v>66</v>
      </c>
      <c r="L5" s="108">
        <f t="shared" si="4"/>
        <v>67</v>
      </c>
      <c r="M5" s="108">
        <f t="shared" si="4"/>
        <v>68</v>
      </c>
      <c r="N5" s="108">
        <f t="shared" si="4"/>
        <v>69</v>
      </c>
      <c r="O5" s="108">
        <f t="shared" si="4"/>
        <v>70</v>
      </c>
      <c r="P5" s="108">
        <f t="shared" si="4"/>
        <v>71</v>
      </c>
      <c r="Q5" s="108">
        <f t="shared" si="4"/>
        <v>72</v>
      </c>
      <c r="R5" s="108">
        <f t="shared" si="4"/>
        <v>73</v>
      </c>
      <c r="S5" s="108">
        <f t="shared" si="4"/>
        <v>74</v>
      </c>
      <c r="T5" s="108">
        <f t="shared" si="4"/>
        <v>75</v>
      </c>
      <c r="U5" s="108">
        <f t="shared" si="4"/>
        <v>76</v>
      </c>
      <c r="V5" s="108">
        <f t="shared" si="4"/>
        <v>77</v>
      </c>
      <c r="W5" s="108">
        <f t="shared" si="4"/>
        <v>78</v>
      </c>
      <c r="X5" s="108">
        <f t="shared" si="4"/>
        <v>79</v>
      </c>
      <c r="Y5" s="108">
        <f t="shared" si="4"/>
        <v>80</v>
      </c>
      <c r="Z5" s="108">
        <f t="shared" si="4"/>
        <v>81</v>
      </c>
      <c r="AA5" s="108">
        <f t="shared" si="4"/>
        <v>82</v>
      </c>
      <c r="AB5" s="108">
        <f t="shared" si="4"/>
        <v>83</v>
      </c>
      <c r="AC5" s="108">
        <f t="shared" si="4"/>
        <v>84</v>
      </c>
      <c r="AD5" s="108">
        <f t="shared" si="4"/>
        <v>85</v>
      </c>
      <c r="AE5" s="108">
        <f t="shared" si="4"/>
        <v>86</v>
      </c>
      <c r="AF5" s="108">
        <f t="shared" si="4"/>
        <v>87</v>
      </c>
      <c r="AG5" s="108">
        <f t="shared" si="4"/>
        <v>88</v>
      </c>
      <c r="AH5" s="108">
        <f t="shared" si="4"/>
        <v>89</v>
      </c>
      <c r="AI5" s="108">
        <f t="shared" si="4"/>
        <v>90</v>
      </c>
      <c r="AJ5" s="108">
        <f t="shared" si="4"/>
        <v>91</v>
      </c>
      <c r="AK5" s="108">
        <f t="shared" si="4"/>
        <v>92</v>
      </c>
      <c r="AL5" s="108">
        <f t="shared" si="4"/>
        <v>93</v>
      </c>
      <c r="AM5" s="108">
        <f t="shared" si="4"/>
        <v>94</v>
      </c>
      <c r="AN5" s="108">
        <f t="shared" si="4"/>
        <v>95</v>
      </c>
      <c r="AO5" s="108">
        <f t="shared" si="4"/>
        <v>96</v>
      </c>
      <c r="AP5" s="108">
        <f t="shared" si="4"/>
        <v>97</v>
      </c>
      <c r="AQ5" s="108">
        <f t="shared" si="4"/>
        <v>98</v>
      </c>
      <c r="AR5" s="108">
        <f t="shared" si="4"/>
        <v>99</v>
      </c>
      <c r="AS5" s="108">
        <f t="shared" si="4"/>
        <v>100</v>
      </c>
      <c r="AT5" s="3"/>
      <c r="AU5" s="13" t="s">
        <v>2280</v>
      </c>
      <c r="AV5" s="13" t="s">
        <v>2235</v>
      </c>
      <c r="AW5" s="921"/>
      <c r="AY5" s="107">
        <f>IF(Spouse_Age&gt;0,Spouse_Age,"")</f>
        <v>61</v>
      </c>
      <c r="AZ5" s="108">
        <f t="shared" ref="AZ5:CL5" si="5">IF(Spouse_Age&gt;0,AY$5+1,"")</f>
        <v>62</v>
      </c>
      <c r="BA5" s="108">
        <f t="shared" si="5"/>
        <v>63</v>
      </c>
      <c r="BB5" s="108">
        <f t="shared" si="5"/>
        <v>64</v>
      </c>
      <c r="BC5" s="108">
        <f t="shared" si="5"/>
        <v>65</v>
      </c>
      <c r="BD5" s="108">
        <f t="shared" si="5"/>
        <v>66</v>
      </c>
      <c r="BE5" s="108">
        <f t="shared" si="5"/>
        <v>67</v>
      </c>
      <c r="BF5" s="108">
        <f t="shared" si="5"/>
        <v>68</v>
      </c>
      <c r="BG5" s="108">
        <f t="shared" si="5"/>
        <v>69</v>
      </c>
      <c r="BH5" s="108">
        <f t="shared" si="5"/>
        <v>70</v>
      </c>
      <c r="BI5" s="108">
        <f t="shared" si="5"/>
        <v>71</v>
      </c>
      <c r="BJ5" s="108">
        <f t="shared" si="5"/>
        <v>72</v>
      </c>
      <c r="BK5" s="108">
        <f t="shared" si="5"/>
        <v>73</v>
      </c>
      <c r="BL5" s="108">
        <f t="shared" si="5"/>
        <v>74</v>
      </c>
      <c r="BM5" s="108">
        <f t="shared" si="5"/>
        <v>75</v>
      </c>
      <c r="BN5" s="108">
        <f t="shared" si="5"/>
        <v>76</v>
      </c>
      <c r="BO5" s="108">
        <f t="shared" si="5"/>
        <v>77</v>
      </c>
      <c r="BP5" s="108">
        <f t="shared" si="5"/>
        <v>78</v>
      </c>
      <c r="BQ5" s="108">
        <f t="shared" si="5"/>
        <v>79</v>
      </c>
      <c r="BR5" s="108">
        <f t="shared" si="5"/>
        <v>80</v>
      </c>
      <c r="BS5" s="108">
        <f t="shared" si="5"/>
        <v>81</v>
      </c>
      <c r="BT5" s="108">
        <f t="shared" si="5"/>
        <v>82</v>
      </c>
      <c r="BU5" s="108">
        <f t="shared" si="5"/>
        <v>83</v>
      </c>
      <c r="BV5" s="108">
        <f t="shared" si="5"/>
        <v>84</v>
      </c>
      <c r="BW5" s="108">
        <f t="shared" si="5"/>
        <v>85</v>
      </c>
      <c r="BX5" s="108">
        <f t="shared" si="5"/>
        <v>86</v>
      </c>
      <c r="BY5" s="108">
        <f t="shared" si="5"/>
        <v>87</v>
      </c>
      <c r="BZ5" s="108">
        <f t="shared" si="5"/>
        <v>88</v>
      </c>
      <c r="CA5" s="108">
        <f t="shared" si="5"/>
        <v>89</v>
      </c>
      <c r="CB5" s="108">
        <f t="shared" si="5"/>
        <v>90</v>
      </c>
      <c r="CC5" s="108">
        <f t="shared" si="5"/>
        <v>91</v>
      </c>
      <c r="CD5" s="108">
        <f t="shared" si="5"/>
        <v>92</v>
      </c>
      <c r="CE5" s="108">
        <f t="shared" si="5"/>
        <v>93</v>
      </c>
      <c r="CF5" s="108">
        <f t="shared" si="5"/>
        <v>94</v>
      </c>
      <c r="CG5" s="108">
        <f t="shared" si="5"/>
        <v>95</v>
      </c>
      <c r="CH5" s="108">
        <f t="shared" si="5"/>
        <v>96</v>
      </c>
      <c r="CI5" s="108">
        <f t="shared" si="5"/>
        <v>97</v>
      </c>
      <c r="CJ5" s="108">
        <f t="shared" si="5"/>
        <v>98</v>
      </c>
      <c r="CK5" s="108">
        <f t="shared" si="5"/>
        <v>99</v>
      </c>
      <c r="CL5" s="108">
        <f t="shared" si="5"/>
        <v>100</v>
      </c>
      <c r="CM5" s="79"/>
    </row>
    <row r="6" spans="1:91" ht="15.6">
      <c r="B6" s="22"/>
      <c r="C6" s="24"/>
      <c r="D6" s="24" t="s">
        <v>976</v>
      </c>
      <c r="E6" s="1281" t="str">
        <f>Final_Year  &amp; " @ " &amp;  Your_Age_End &amp; " or"</f>
        <v>2048 @ 91 or</v>
      </c>
      <c r="F6" s="107"/>
      <c r="G6" s="108"/>
      <c r="H6" s="108"/>
      <c r="I6" s="108"/>
      <c r="J6" s="108"/>
      <c r="K6" s="108"/>
      <c r="L6" s="108"/>
      <c r="M6" s="108"/>
      <c r="N6" s="108"/>
      <c r="O6" s="108"/>
      <c r="P6" s="108"/>
      <c r="Q6" s="108"/>
      <c r="R6" s="108"/>
      <c r="S6" s="108"/>
      <c r="T6" s="108"/>
      <c r="U6" s="108"/>
      <c r="V6" s="108"/>
      <c r="W6" s="108"/>
      <c r="X6" s="108"/>
      <c r="Y6" s="108"/>
      <c r="Z6" s="108"/>
      <c r="AA6" s="108"/>
      <c r="AB6" s="108"/>
      <c r="AC6" s="108"/>
      <c r="AD6" s="108"/>
      <c r="AE6" s="108"/>
      <c r="AF6" s="108"/>
      <c r="AG6" s="108"/>
      <c r="AH6" s="108"/>
      <c r="AI6" s="108"/>
      <c r="AJ6" s="108"/>
      <c r="AK6" s="108"/>
      <c r="AL6" s="108"/>
      <c r="AM6" s="108"/>
      <c r="AN6" s="108"/>
      <c r="AO6" s="108"/>
      <c r="AP6" s="108"/>
      <c r="AQ6" s="108"/>
      <c r="AR6" s="108"/>
      <c r="AS6" s="108"/>
      <c r="AT6" s="3"/>
      <c r="AU6" s="71" t="s">
        <v>900</v>
      </c>
      <c r="AV6" s="79" t="s">
        <v>2236</v>
      </c>
      <c r="AW6" s="1730"/>
      <c r="AY6" s="107"/>
      <c r="AZ6" s="108"/>
      <c r="BA6" s="108"/>
      <c r="BB6" s="108"/>
      <c r="BC6" s="108"/>
      <c r="BD6" s="108"/>
      <c r="BE6" s="108"/>
      <c r="BF6" s="108"/>
      <c r="BG6" s="108"/>
      <c r="BH6" s="108"/>
      <c r="BI6" s="108"/>
      <c r="BJ6" s="108"/>
      <c r="BK6" s="108"/>
      <c r="BL6" s="108"/>
      <c r="BM6" s="108"/>
      <c r="BN6" s="108"/>
      <c r="BO6" s="108"/>
      <c r="BP6" s="108"/>
      <c r="BQ6" s="108"/>
      <c r="BR6" s="108"/>
      <c r="BS6" s="108"/>
      <c r="BT6" s="108"/>
      <c r="BU6" s="108"/>
      <c r="BV6" s="108"/>
      <c r="BW6" s="108"/>
      <c r="BX6" s="108"/>
      <c r="BY6" s="108"/>
      <c r="BZ6" s="108"/>
      <c r="CA6" s="108"/>
      <c r="CB6" s="108"/>
      <c r="CC6" s="108"/>
      <c r="CD6" s="108"/>
      <c r="CE6" s="108"/>
      <c r="CF6" s="108"/>
      <c r="CG6" s="108"/>
      <c r="CH6" s="108"/>
      <c r="CI6" s="108"/>
      <c r="CJ6" s="108"/>
      <c r="CK6" s="108"/>
      <c r="CL6" s="108"/>
      <c r="CM6" s="13"/>
    </row>
    <row r="7" spans="1:91" ht="16.2" customHeight="1">
      <c r="A7" s="1426"/>
      <c r="B7" s="1025" t="s">
        <v>1135</v>
      </c>
      <c r="C7" s="26"/>
      <c r="D7" s="26" t="s">
        <v>977</v>
      </c>
      <c r="E7" s="26" t="s">
        <v>836</v>
      </c>
      <c r="F7" s="27">
        <f>+Setup!$E$23</f>
        <v>2019</v>
      </c>
      <c r="G7" s="27">
        <f t="shared" ref="G7:AS7" si="6">+F7+1</f>
        <v>2020</v>
      </c>
      <c r="H7" s="27">
        <f t="shared" si="6"/>
        <v>2021</v>
      </c>
      <c r="I7" s="27">
        <f t="shared" si="6"/>
        <v>2022</v>
      </c>
      <c r="J7" s="27">
        <f t="shared" si="6"/>
        <v>2023</v>
      </c>
      <c r="K7" s="27">
        <f t="shared" si="6"/>
        <v>2024</v>
      </c>
      <c r="L7" s="27">
        <f t="shared" si="6"/>
        <v>2025</v>
      </c>
      <c r="M7" s="27">
        <f t="shared" si="6"/>
        <v>2026</v>
      </c>
      <c r="N7" s="27">
        <f t="shared" si="6"/>
        <v>2027</v>
      </c>
      <c r="O7" s="27">
        <f t="shared" si="6"/>
        <v>2028</v>
      </c>
      <c r="P7" s="27">
        <f t="shared" si="6"/>
        <v>2029</v>
      </c>
      <c r="Q7" s="27">
        <f t="shared" si="6"/>
        <v>2030</v>
      </c>
      <c r="R7" s="27">
        <f t="shared" si="6"/>
        <v>2031</v>
      </c>
      <c r="S7" s="27">
        <f t="shared" si="6"/>
        <v>2032</v>
      </c>
      <c r="T7" s="27">
        <f t="shared" si="6"/>
        <v>2033</v>
      </c>
      <c r="U7" s="27">
        <f t="shared" si="6"/>
        <v>2034</v>
      </c>
      <c r="V7" s="27">
        <f t="shared" si="6"/>
        <v>2035</v>
      </c>
      <c r="W7" s="27">
        <f t="shared" si="6"/>
        <v>2036</v>
      </c>
      <c r="X7" s="27">
        <f t="shared" si="6"/>
        <v>2037</v>
      </c>
      <c r="Y7" s="27">
        <f t="shared" si="6"/>
        <v>2038</v>
      </c>
      <c r="Z7" s="27">
        <f t="shared" si="6"/>
        <v>2039</v>
      </c>
      <c r="AA7" s="27">
        <f t="shared" si="6"/>
        <v>2040</v>
      </c>
      <c r="AB7" s="27">
        <f t="shared" si="6"/>
        <v>2041</v>
      </c>
      <c r="AC7" s="27">
        <f t="shared" si="6"/>
        <v>2042</v>
      </c>
      <c r="AD7" s="27">
        <f t="shared" si="6"/>
        <v>2043</v>
      </c>
      <c r="AE7" s="27">
        <f t="shared" si="6"/>
        <v>2044</v>
      </c>
      <c r="AF7" s="27">
        <f t="shared" si="6"/>
        <v>2045</v>
      </c>
      <c r="AG7" s="27">
        <f t="shared" si="6"/>
        <v>2046</v>
      </c>
      <c r="AH7" s="27">
        <f t="shared" si="6"/>
        <v>2047</v>
      </c>
      <c r="AI7" s="27">
        <f t="shared" si="6"/>
        <v>2048</v>
      </c>
      <c r="AJ7" s="27">
        <f t="shared" ref="AJ7:AP7" si="7">+AI7+1</f>
        <v>2049</v>
      </c>
      <c r="AK7" s="27">
        <f t="shared" si="7"/>
        <v>2050</v>
      </c>
      <c r="AL7" s="27">
        <f t="shared" si="7"/>
        <v>2051</v>
      </c>
      <c r="AM7" s="27">
        <f t="shared" si="7"/>
        <v>2052</v>
      </c>
      <c r="AN7" s="27">
        <f t="shared" si="7"/>
        <v>2053</v>
      </c>
      <c r="AO7" s="27">
        <f t="shared" si="7"/>
        <v>2054</v>
      </c>
      <c r="AP7" s="27">
        <f t="shared" si="7"/>
        <v>2055</v>
      </c>
      <c r="AQ7" s="27">
        <f t="shared" si="2"/>
        <v>2056</v>
      </c>
      <c r="AR7" s="27">
        <f t="shared" si="2"/>
        <v>2057</v>
      </c>
      <c r="AS7" s="27">
        <f t="shared" si="6"/>
        <v>2058</v>
      </c>
      <c r="AT7" s="3"/>
      <c r="AU7" s="1131" t="s">
        <v>1434</v>
      </c>
      <c r="AV7" s="13" t="s">
        <v>2281</v>
      </c>
      <c r="AW7" s="71"/>
      <c r="AY7" s="27">
        <f>+Setup!$E$23</f>
        <v>2019</v>
      </c>
      <c r="AZ7" s="27">
        <f t="shared" ref="AZ7:CL7" si="8">+AY7+1</f>
        <v>2020</v>
      </c>
      <c r="BA7" s="27">
        <f t="shared" si="8"/>
        <v>2021</v>
      </c>
      <c r="BB7" s="27">
        <f t="shared" si="8"/>
        <v>2022</v>
      </c>
      <c r="BC7" s="27">
        <f t="shared" si="8"/>
        <v>2023</v>
      </c>
      <c r="BD7" s="27">
        <f t="shared" si="8"/>
        <v>2024</v>
      </c>
      <c r="BE7" s="27">
        <f t="shared" si="8"/>
        <v>2025</v>
      </c>
      <c r="BF7" s="27">
        <f t="shared" si="8"/>
        <v>2026</v>
      </c>
      <c r="BG7" s="27">
        <f t="shared" si="8"/>
        <v>2027</v>
      </c>
      <c r="BH7" s="27">
        <f t="shared" si="8"/>
        <v>2028</v>
      </c>
      <c r="BI7" s="27">
        <f t="shared" si="8"/>
        <v>2029</v>
      </c>
      <c r="BJ7" s="27">
        <f t="shared" si="8"/>
        <v>2030</v>
      </c>
      <c r="BK7" s="27">
        <f t="shared" si="8"/>
        <v>2031</v>
      </c>
      <c r="BL7" s="27">
        <f t="shared" si="8"/>
        <v>2032</v>
      </c>
      <c r="BM7" s="27">
        <f t="shared" si="8"/>
        <v>2033</v>
      </c>
      <c r="BN7" s="27">
        <f t="shared" si="8"/>
        <v>2034</v>
      </c>
      <c r="BO7" s="27">
        <f t="shared" si="8"/>
        <v>2035</v>
      </c>
      <c r="BP7" s="27">
        <f t="shared" si="8"/>
        <v>2036</v>
      </c>
      <c r="BQ7" s="27">
        <f t="shared" si="8"/>
        <v>2037</v>
      </c>
      <c r="BR7" s="27">
        <f t="shared" si="8"/>
        <v>2038</v>
      </c>
      <c r="BS7" s="27">
        <f t="shared" si="8"/>
        <v>2039</v>
      </c>
      <c r="BT7" s="27">
        <f t="shared" si="8"/>
        <v>2040</v>
      </c>
      <c r="BU7" s="27">
        <f t="shared" si="8"/>
        <v>2041</v>
      </c>
      <c r="BV7" s="27">
        <f t="shared" si="8"/>
        <v>2042</v>
      </c>
      <c r="BW7" s="27">
        <f t="shared" si="8"/>
        <v>2043</v>
      </c>
      <c r="BX7" s="27">
        <f t="shared" si="8"/>
        <v>2044</v>
      </c>
      <c r="BY7" s="27">
        <f t="shared" si="8"/>
        <v>2045</v>
      </c>
      <c r="BZ7" s="27">
        <f t="shared" si="8"/>
        <v>2046</v>
      </c>
      <c r="CA7" s="27">
        <f t="shared" si="8"/>
        <v>2047</v>
      </c>
      <c r="CB7" s="27">
        <f t="shared" si="8"/>
        <v>2048</v>
      </c>
      <c r="CC7" s="27">
        <f t="shared" si="8"/>
        <v>2049</v>
      </c>
      <c r="CD7" s="27">
        <f t="shared" si="8"/>
        <v>2050</v>
      </c>
      <c r="CE7" s="27">
        <f t="shared" si="8"/>
        <v>2051</v>
      </c>
      <c r="CF7" s="27">
        <f t="shared" si="8"/>
        <v>2052</v>
      </c>
      <c r="CG7" s="27">
        <f t="shared" si="8"/>
        <v>2053</v>
      </c>
      <c r="CH7" s="27">
        <f t="shared" si="8"/>
        <v>2054</v>
      </c>
      <c r="CI7" s="27">
        <f t="shared" si="8"/>
        <v>2055</v>
      </c>
      <c r="CJ7" s="27">
        <f t="shared" si="8"/>
        <v>2056</v>
      </c>
      <c r="CK7" s="27">
        <f t="shared" si="8"/>
        <v>2057</v>
      </c>
      <c r="CL7" s="27">
        <f t="shared" si="8"/>
        <v>2058</v>
      </c>
      <c r="CM7" s="13"/>
    </row>
    <row r="8" spans="1:91" ht="15.6">
      <c r="B8" s="717" t="s">
        <v>979</v>
      </c>
      <c r="C8" s="314" t="str">
        <f ca="1">IF(E8&lt;-1,"Negative Balance!","")</f>
        <v/>
      </c>
      <c r="D8" s="314"/>
      <c r="E8" s="433">
        <f t="shared" ref="E8:E19" ca="1" si="9">+E248</f>
        <v>1538900</v>
      </c>
      <c r="F8" s="1302">
        <f>ROUND(Taxable_Begin/Round_To,0)*Round_To</f>
        <v>200000</v>
      </c>
      <c r="G8" s="1124">
        <f t="shared" ref="G8:AS8" si="10">ROUND((F8+F148)*IF(G$7-$F7&lt;=Total_Years-1,1,0)/Round_To,0)*Round_To</f>
        <v>187100</v>
      </c>
      <c r="H8" s="1124">
        <f t="shared" si="10"/>
        <v>186800</v>
      </c>
      <c r="I8" s="1124">
        <f t="shared" si="10"/>
        <v>173800</v>
      </c>
      <c r="J8" s="1124">
        <f t="shared" si="10"/>
        <v>160500</v>
      </c>
      <c r="K8" s="1124">
        <f t="shared" si="10"/>
        <v>148300</v>
      </c>
      <c r="L8" s="1124">
        <f t="shared" si="10"/>
        <v>156400</v>
      </c>
      <c r="M8" s="1124">
        <f t="shared" si="10"/>
        <v>166100</v>
      </c>
      <c r="N8" s="1124">
        <f t="shared" si="10"/>
        <v>175900</v>
      </c>
      <c r="O8" s="1124">
        <f t="shared" si="10"/>
        <v>202800</v>
      </c>
      <c r="P8" s="1124">
        <f t="shared" si="10"/>
        <v>238100</v>
      </c>
      <c r="Q8" s="1124">
        <f t="shared" si="10"/>
        <v>194200</v>
      </c>
      <c r="R8" s="1124">
        <f t="shared" si="10"/>
        <v>272100</v>
      </c>
      <c r="S8" s="1124">
        <f t="shared" si="10"/>
        <v>296700</v>
      </c>
      <c r="T8" s="1124">
        <f t="shared" si="10"/>
        <v>344500</v>
      </c>
      <c r="U8" s="1124">
        <f t="shared" si="10"/>
        <v>301300</v>
      </c>
      <c r="V8" s="1124">
        <f t="shared" si="10"/>
        <v>424600</v>
      </c>
      <c r="W8" s="1124">
        <f t="shared" si="10"/>
        <v>480700</v>
      </c>
      <c r="X8" s="1124">
        <f t="shared" si="10"/>
        <v>541400</v>
      </c>
      <c r="Y8" s="1124">
        <f t="shared" si="10"/>
        <v>574700</v>
      </c>
      <c r="Z8" s="1124">
        <f t="shared" si="10"/>
        <v>609500</v>
      </c>
      <c r="AA8" s="1124">
        <f t="shared" si="10"/>
        <v>647200</v>
      </c>
      <c r="AB8" s="1124">
        <f t="shared" si="10"/>
        <v>688000</v>
      </c>
      <c r="AC8" s="1124">
        <f t="shared" si="10"/>
        <v>1136000</v>
      </c>
      <c r="AD8" s="1124">
        <f t="shared" si="10"/>
        <v>1199500</v>
      </c>
      <c r="AE8" s="1124">
        <f t="shared" si="10"/>
        <v>1337600</v>
      </c>
      <c r="AF8" s="1124">
        <f t="shared" si="10"/>
        <v>1379900</v>
      </c>
      <c r="AG8" s="1124">
        <f t="shared" si="10"/>
        <v>1423300</v>
      </c>
      <c r="AH8" s="1124">
        <f t="shared" si="10"/>
        <v>1461500</v>
      </c>
      <c r="AI8" s="1124">
        <f t="shared" si="10"/>
        <v>1499700</v>
      </c>
      <c r="AJ8" s="1124">
        <f t="shared" si="10"/>
        <v>0</v>
      </c>
      <c r="AK8" s="1124">
        <f t="shared" si="10"/>
        <v>0</v>
      </c>
      <c r="AL8" s="1124">
        <f t="shared" si="10"/>
        <v>0</v>
      </c>
      <c r="AM8" s="1124">
        <f t="shared" si="10"/>
        <v>0</v>
      </c>
      <c r="AN8" s="1124">
        <f t="shared" si="10"/>
        <v>0</v>
      </c>
      <c r="AO8" s="1124">
        <f t="shared" si="10"/>
        <v>0</v>
      </c>
      <c r="AP8" s="1124">
        <f t="shared" si="10"/>
        <v>0</v>
      </c>
      <c r="AQ8" s="1124">
        <f t="shared" si="10"/>
        <v>0</v>
      </c>
      <c r="AR8" s="1124">
        <f t="shared" si="10"/>
        <v>0</v>
      </c>
      <c r="AS8" s="1124">
        <f t="shared" si="10"/>
        <v>0</v>
      </c>
      <c r="AT8" s="3"/>
      <c r="AU8" s="33">
        <f ca="1">+Details!E8</f>
        <v>1538900</v>
      </c>
      <c r="AV8" s="81">
        <f t="shared" ref="AV8:AV19" ca="1" si="11">+E8-AU8</f>
        <v>0</v>
      </c>
      <c r="AW8" s="110"/>
      <c r="AY8" s="31">
        <f>+Details!F8-Base!F8</f>
        <v>0</v>
      </c>
      <c r="AZ8" s="1124">
        <f>+Details!G8-Base!G8</f>
        <v>0</v>
      </c>
      <c r="BA8" s="1124">
        <f>+Details!H8-Base!H8</f>
        <v>0</v>
      </c>
      <c r="BB8" s="1124">
        <f>+Details!I8-Base!I8</f>
        <v>0</v>
      </c>
      <c r="BC8" s="1124">
        <f>+Details!J8-Base!J8</f>
        <v>0</v>
      </c>
      <c r="BD8" s="1124">
        <f>+Details!K8-Base!K8</f>
        <v>0</v>
      </c>
      <c r="BE8" s="1124">
        <f>+Details!L8-Base!L8</f>
        <v>0</v>
      </c>
      <c r="BF8" s="1124">
        <f>+Details!M8-Base!M8</f>
        <v>0</v>
      </c>
      <c r="BG8" s="1124">
        <f>+Details!N8-Base!N8</f>
        <v>0</v>
      </c>
      <c r="BH8" s="1124">
        <f>+Details!O8-Base!O8</f>
        <v>0</v>
      </c>
      <c r="BI8" s="1124">
        <f>+Details!P8-Base!P8</f>
        <v>0</v>
      </c>
      <c r="BJ8" s="1124">
        <f>+Details!Q8-Base!Q8</f>
        <v>0</v>
      </c>
      <c r="BK8" s="1124">
        <f>+Details!R8-Base!R8</f>
        <v>0</v>
      </c>
      <c r="BL8" s="1124">
        <f>+Details!S8-Base!S8</f>
        <v>0</v>
      </c>
      <c r="BM8" s="1124">
        <f>+Details!T8-Base!T8</f>
        <v>0</v>
      </c>
      <c r="BN8" s="1124">
        <f>+Details!U8-Base!U8</f>
        <v>0</v>
      </c>
      <c r="BO8" s="1124">
        <f>+Details!V8-Base!V8</f>
        <v>0</v>
      </c>
      <c r="BP8" s="1124">
        <f>+Details!W8-Base!W8</f>
        <v>0</v>
      </c>
      <c r="BQ8" s="1124">
        <f>+Details!X8-Base!X8</f>
        <v>0</v>
      </c>
      <c r="BR8" s="1124">
        <f>+Details!Y8-Base!Y8</f>
        <v>0</v>
      </c>
      <c r="BS8" s="1124">
        <f>+Details!Z8-Base!Z8</f>
        <v>0</v>
      </c>
      <c r="BT8" s="1124">
        <f>+Details!AA8-Base!AA8</f>
        <v>0</v>
      </c>
      <c r="BU8" s="1124">
        <f>+Details!AB8-Base!AB8</f>
        <v>0</v>
      </c>
      <c r="BV8" s="1124">
        <f>+Details!AC8-Base!AC8</f>
        <v>0</v>
      </c>
      <c r="BW8" s="1124">
        <f>+Details!AD8-Base!AD8</f>
        <v>0</v>
      </c>
      <c r="BX8" s="1124">
        <f>+Details!AE8-Base!AE8</f>
        <v>0</v>
      </c>
      <c r="BY8" s="1124">
        <f>+Details!AF8-Base!AF8</f>
        <v>0</v>
      </c>
      <c r="BZ8" s="1124">
        <f>+Details!AG8-Base!AG8</f>
        <v>0</v>
      </c>
      <c r="CA8" s="1124">
        <f>+Details!AH8-Base!AH8</f>
        <v>0</v>
      </c>
      <c r="CB8" s="1124">
        <f>+Details!AI8-Base!AI8</f>
        <v>0</v>
      </c>
      <c r="CC8" s="1124">
        <f>+Details!AJ8-Base!AJ8</f>
        <v>0</v>
      </c>
      <c r="CD8" s="1124">
        <f>+Details!AK8-Base!AK8</f>
        <v>0</v>
      </c>
      <c r="CE8" s="1124">
        <f>+Details!AL8-Base!AL8</f>
        <v>0</v>
      </c>
      <c r="CF8" s="1124">
        <f>+Details!AM8-Base!AM8</f>
        <v>0</v>
      </c>
      <c r="CG8" s="1124">
        <f>+Details!AN8-Base!AN8</f>
        <v>0</v>
      </c>
      <c r="CH8" s="1124">
        <f>+Details!AO8-Base!AO8</f>
        <v>0</v>
      </c>
      <c r="CI8" s="1124">
        <f>+Details!AP8-Base!AP8</f>
        <v>0</v>
      </c>
      <c r="CJ8" s="1124">
        <f>+Details!AQ8-Base!AQ8</f>
        <v>0</v>
      </c>
      <c r="CK8" s="1124">
        <f>+Details!AR8-Base!AR8</f>
        <v>0</v>
      </c>
      <c r="CL8" s="1124">
        <f>+Details!AS8-Base!AS8</f>
        <v>0</v>
      </c>
      <c r="CM8" s="81"/>
    </row>
    <row r="9" spans="1:91" ht="19.95" hidden="1" customHeight="1">
      <c r="A9" s="1427" t="s">
        <v>1578</v>
      </c>
      <c r="B9" s="1765" t="s">
        <v>1535</v>
      </c>
      <c r="C9" s="686"/>
      <c r="D9" s="96"/>
      <c r="E9" s="433">
        <f t="shared" ca="1" si="9"/>
        <v>337700</v>
      </c>
      <c r="F9" s="1302">
        <f>ROUND(tIRA_Begin/Round_To,0)*Round_To</f>
        <v>500000</v>
      </c>
      <c r="G9" s="1124">
        <f t="shared" ref="G9:AS9" si="12">ROUND((+F9+F29+F63+F87+F91+F94+F95+F96-F133)*IF(G$7-$F7&lt;=Total_Years-1,1,0)/Round_To,0)*Round_To</f>
        <v>491200</v>
      </c>
      <c r="H9" s="1124">
        <f t="shared" si="12"/>
        <v>480600</v>
      </c>
      <c r="I9" s="1124">
        <f t="shared" si="12"/>
        <v>468100</v>
      </c>
      <c r="J9" s="1124">
        <f t="shared" si="12"/>
        <v>453400</v>
      </c>
      <c r="K9" s="1124">
        <f t="shared" si="12"/>
        <v>436400</v>
      </c>
      <c r="L9" s="1124">
        <f t="shared" si="12"/>
        <v>416900</v>
      </c>
      <c r="M9" s="1124">
        <f t="shared" si="12"/>
        <v>394600</v>
      </c>
      <c r="N9" s="1124">
        <f t="shared" si="12"/>
        <v>369500</v>
      </c>
      <c r="O9" s="1124">
        <f t="shared" si="12"/>
        <v>383200</v>
      </c>
      <c r="P9" s="1124">
        <f t="shared" si="12"/>
        <v>383800</v>
      </c>
      <c r="Q9" s="1124">
        <f t="shared" si="12"/>
        <v>384900</v>
      </c>
      <c r="R9" s="1124">
        <f t="shared" si="12"/>
        <v>386300</v>
      </c>
      <c r="S9" s="1124">
        <f t="shared" si="12"/>
        <v>387900</v>
      </c>
      <c r="T9" s="1124">
        <f t="shared" si="12"/>
        <v>389600</v>
      </c>
      <c r="U9" s="1124">
        <f t="shared" si="12"/>
        <v>396600</v>
      </c>
      <c r="V9" s="1124">
        <f t="shared" si="12"/>
        <v>403100</v>
      </c>
      <c r="W9" s="1124">
        <f t="shared" si="12"/>
        <v>408800</v>
      </c>
      <c r="X9" s="1124">
        <f t="shared" si="12"/>
        <v>413700</v>
      </c>
      <c r="Y9" s="1124">
        <f t="shared" si="12"/>
        <v>414100</v>
      </c>
      <c r="Z9" s="1124">
        <f t="shared" si="12"/>
        <v>413500</v>
      </c>
      <c r="AA9" s="1124">
        <f t="shared" si="12"/>
        <v>411800</v>
      </c>
      <c r="AB9" s="1124">
        <f t="shared" si="12"/>
        <v>408900</v>
      </c>
      <c r="AC9" s="1124">
        <f t="shared" si="12"/>
        <v>404700</v>
      </c>
      <c r="AD9" s="1124">
        <f t="shared" si="12"/>
        <v>399300</v>
      </c>
      <c r="AE9" s="1124">
        <f t="shared" si="12"/>
        <v>392600</v>
      </c>
      <c r="AF9" s="1124">
        <f t="shared" si="12"/>
        <v>384500</v>
      </c>
      <c r="AG9" s="1124">
        <f t="shared" si="12"/>
        <v>374900</v>
      </c>
      <c r="AH9" s="1124">
        <f t="shared" si="12"/>
        <v>363800</v>
      </c>
      <c r="AI9" s="1124">
        <f t="shared" si="12"/>
        <v>351400</v>
      </c>
      <c r="AJ9" s="1124">
        <f t="shared" si="12"/>
        <v>0</v>
      </c>
      <c r="AK9" s="1124">
        <f t="shared" si="12"/>
        <v>0</v>
      </c>
      <c r="AL9" s="1124">
        <f t="shared" si="12"/>
        <v>0</v>
      </c>
      <c r="AM9" s="1124">
        <f t="shared" si="12"/>
        <v>0</v>
      </c>
      <c r="AN9" s="1124">
        <f t="shared" si="12"/>
        <v>0</v>
      </c>
      <c r="AO9" s="1124">
        <f t="shared" si="12"/>
        <v>0</v>
      </c>
      <c r="AP9" s="1124">
        <f t="shared" si="12"/>
        <v>0</v>
      </c>
      <c r="AQ9" s="1124">
        <f t="shared" si="12"/>
        <v>0</v>
      </c>
      <c r="AR9" s="1124">
        <f t="shared" si="12"/>
        <v>0</v>
      </c>
      <c r="AS9" s="1124">
        <f t="shared" si="12"/>
        <v>0</v>
      </c>
      <c r="AT9" s="3"/>
      <c r="AU9" s="33">
        <f ca="1">+Details!E9</f>
        <v>337700</v>
      </c>
      <c r="AV9" s="81">
        <f t="shared" ca="1" si="11"/>
        <v>0</v>
      </c>
      <c r="AW9" s="1731"/>
      <c r="AY9" s="31">
        <f>+Details!F9-Base!F9</f>
        <v>0</v>
      </c>
      <c r="AZ9" s="1124">
        <f>+Details!G9-Base!G9</f>
        <v>0</v>
      </c>
      <c r="BA9" s="1124">
        <f>+Details!H9-Base!H9</f>
        <v>0</v>
      </c>
      <c r="BB9" s="1124">
        <f>+Details!I9-Base!I9</f>
        <v>0</v>
      </c>
      <c r="BC9" s="1124">
        <f>+Details!J9-Base!J9</f>
        <v>0</v>
      </c>
      <c r="BD9" s="1124">
        <f>+Details!K9-Base!K9</f>
        <v>0</v>
      </c>
      <c r="BE9" s="1124">
        <f>+Details!L9-Base!L9</f>
        <v>0</v>
      </c>
      <c r="BF9" s="1124">
        <f>+Details!M9-Base!M9</f>
        <v>0</v>
      </c>
      <c r="BG9" s="1124">
        <f>+Details!N9-Base!N9</f>
        <v>0</v>
      </c>
      <c r="BH9" s="1124">
        <f>+Details!O9-Base!O9</f>
        <v>0</v>
      </c>
      <c r="BI9" s="1124">
        <f>+Details!P9-Base!P9</f>
        <v>0</v>
      </c>
      <c r="BJ9" s="1124">
        <f>+Details!Q9-Base!Q9</f>
        <v>0</v>
      </c>
      <c r="BK9" s="1124">
        <f>+Details!R9-Base!R9</f>
        <v>0</v>
      </c>
      <c r="BL9" s="1124">
        <f>+Details!S9-Base!S9</f>
        <v>0</v>
      </c>
      <c r="BM9" s="1124">
        <f>+Details!T9-Base!T9</f>
        <v>0</v>
      </c>
      <c r="BN9" s="1124">
        <f>+Details!U9-Base!U9</f>
        <v>0</v>
      </c>
      <c r="BO9" s="1124">
        <f>+Details!V9-Base!V9</f>
        <v>0</v>
      </c>
      <c r="BP9" s="1124">
        <f>+Details!W9-Base!W9</f>
        <v>0</v>
      </c>
      <c r="BQ9" s="1124">
        <f>+Details!X9-Base!X9</f>
        <v>0</v>
      </c>
      <c r="BR9" s="1124">
        <f>+Details!Y9-Base!Y9</f>
        <v>0</v>
      </c>
      <c r="BS9" s="1124">
        <f>+Details!Z9-Base!Z9</f>
        <v>0</v>
      </c>
      <c r="BT9" s="1124">
        <f>+Details!AA9-Base!AA9</f>
        <v>0</v>
      </c>
      <c r="BU9" s="1124">
        <f>+Details!AB9-Base!AB9</f>
        <v>0</v>
      </c>
      <c r="BV9" s="1124">
        <f>+Details!AC9-Base!AC9</f>
        <v>0</v>
      </c>
      <c r="BW9" s="1124">
        <f>+Details!AD9-Base!AD9</f>
        <v>0</v>
      </c>
      <c r="BX9" s="1124">
        <f>+Details!AE9-Base!AE9</f>
        <v>0</v>
      </c>
      <c r="BY9" s="1124">
        <f>+Details!AF9-Base!AF9</f>
        <v>0</v>
      </c>
      <c r="BZ9" s="1124">
        <f>+Details!AG9-Base!AG9</f>
        <v>0</v>
      </c>
      <c r="CA9" s="1124">
        <f>+Details!AH9-Base!AH9</f>
        <v>0</v>
      </c>
      <c r="CB9" s="1124">
        <f>+Details!AI9-Base!AI9</f>
        <v>0</v>
      </c>
      <c r="CC9" s="1124">
        <f>+Details!AJ9-Base!AJ9</f>
        <v>0</v>
      </c>
      <c r="CD9" s="1124">
        <f>+Details!AK9-Base!AK9</f>
        <v>0</v>
      </c>
      <c r="CE9" s="1124">
        <f>+Details!AL9-Base!AL9</f>
        <v>0</v>
      </c>
      <c r="CF9" s="1124">
        <f>+Details!AM9-Base!AM9</f>
        <v>0</v>
      </c>
      <c r="CG9" s="1124">
        <f>+Details!AN9-Base!AN9</f>
        <v>0</v>
      </c>
      <c r="CH9" s="1124">
        <f>+Details!AO9-Base!AO9</f>
        <v>0</v>
      </c>
      <c r="CI9" s="1124">
        <f>+Details!AP9-Base!AP9</f>
        <v>0</v>
      </c>
      <c r="CJ9" s="1124">
        <f>+Details!AQ9-Base!AQ9</f>
        <v>0</v>
      </c>
      <c r="CK9" s="1124">
        <f>+Details!AR9-Base!AR9</f>
        <v>0</v>
      </c>
      <c r="CL9" s="1124">
        <f>+Details!AS9-Base!AS9</f>
        <v>0</v>
      </c>
      <c r="CM9" s="81"/>
    </row>
    <row r="10" spans="1:91" ht="15.6" hidden="1">
      <c r="A10" s="1427" t="s">
        <v>1578</v>
      </c>
      <c r="B10" s="1765" t="s">
        <v>1536</v>
      </c>
      <c r="C10" s="686"/>
      <c r="E10" s="1301">
        <f t="shared" ca="1" si="9"/>
        <v>388100</v>
      </c>
      <c r="F10" s="1303">
        <f>ROUND(tIRA_Begin2/Round_To,0)*Round_To</f>
        <v>200000</v>
      </c>
      <c r="G10" s="1125">
        <f t="shared" ref="G10:AS10" si="13">ROUND((+F10+F30+F98+F99+F102+F103)*IF(G$7-$F7&lt;=Total_Years-1,1,0)/Round_To,0)*Round_To</f>
        <v>218500</v>
      </c>
      <c r="H10" s="1125">
        <f t="shared" si="13"/>
        <v>238100</v>
      </c>
      <c r="I10" s="1125">
        <f t="shared" si="13"/>
        <v>258800</v>
      </c>
      <c r="J10" s="1125">
        <f t="shared" si="13"/>
        <v>280800</v>
      </c>
      <c r="K10" s="1125">
        <f t="shared" si="13"/>
        <v>304100</v>
      </c>
      <c r="L10" s="1125">
        <f t="shared" si="13"/>
        <v>328700</v>
      </c>
      <c r="M10" s="1125">
        <f t="shared" si="13"/>
        <v>354800</v>
      </c>
      <c r="N10" s="1125">
        <f t="shared" si="13"/>
        <v>382400</v>
      </c>
      <c r="O10" s="1125">
        <f t="shared" si="13"/>
        <v>411700</v>
      </c>
      <c r="P10" s="1125">
        <f t="shared" si="13"/>
        <v>420500</v>
      </c>
      <c r="Q10" s="1125">
        <f t="shared" si="13"/>
        <v>428900</v>
      </c>
      <c r="R10" s="1125">
        <f t="shared" si="13"/>
        <v>436900</v>
      </c>
      <c r="S10" s="1125">
        <f t="shared" si="13"/>
        <v>444500</v>
      </c>
      <c r="T10" s="1125">
        <f t="shared" si="13"/>
        <v>451500</v>
      </c>
      <c r="U10" s="1125">
        <f t="shared" si="13"/>
        <v>457900</v>
      </c>
      <c r="V10" s="1125">
        <f t="shared" si="13"/>
        <v>463500</v>
      </c>
      <c r="W10" s="1125">
        <f t="shared" si="13"/>
        <v>468300</v>
      </c>
      <c r="X10" s="1125">
        <f t="shared" si="13"/>
        <v>472100</v>
      </c>
      <c r="Y10" s="1125">
        <f t="shared" si="13"/>
        <v>472300</v>
      </c>
      <c r="Z10" s="1125">
        <f t="shared" si="13"/>
        <v>471400</v>
      </c>
      <c r="AA10" s="1125">
        <f t="shared" si="13"/>
        <v>469400</v>
      </c>
      <c r="AB10" s="1125">
        <f t="shared" si="13"/>
        <v>466000</v>
      </c>
      <c r="AC10" s="1125">
        <f t="shared" si="13"/>
        <v>461300</v>
      </c>
      <c r="AD10" s="1125">
        <f t="shared" si="13"/>
        <v>455200</v>
      </c>
      <c r="AE10" s="1125">
        <f t="shared" si="13"/>
        <v>447700</v>
      </c>
      <c r="AF10" s="1125">
        <f t="shared" si="13"/>
        <v>438800</v>
      </c>
      <c r="AG10" s="1125">
        <f t="shared" si="13"/>
        <v>428500</v>
      </c>
      <c r="AH10" s="1125">
        <f t="shared" si="13"/>
        <v>416600</v>
      </c>
      <c r="AI10" s="1125">
        <f t="shared" si="13"/>
        <v>403100</v>
      </c>
      <c r="AJ10" s="1125">
        <f t="shared" si="13"/>
        <v>0</v>
      </c>
      <c r="AK10" s="1125">
        <f t="shared" si="13"/>
        <v>0</v>
      </c>
      <c r="AL10" s="1125">
        <f t="shared" si="13"/>
        <v>0</v>
      </c>
      <c r="AM10" s="1125">
        <f t="shared" si="13"/>
        <v>0</v>
      </c>
      <c r="AN10" s="1125">
        <f t="shared" si="13"/>
        <v>0</v>
      </c>
      <c r="AO10" s="1125">
        <f t="shared" si="13"/>
        <v>0</v>
      </c>
      <c r="AP10" s="1125">
        <f t="shared" si="13"/>
        <v>0</v>
      </c>
      <c r="AQ10" s="1125">
        <f t="shared" si="13"/>
        <v>0</v>
      </c>
      <c r="AR10" s="1125">
        <f t="shared" si="13"/>
        <v>0</v>
      </c>
      <c r="AS10" s="1125">
        <f t="shared" si="13"/>
        <v>0</v>
      </c>
      <c r="AT10" s="3"/>
      <c r="AU10" s="35">
        <f ca="1">+Details!E10</f>
        <v>388100</v>
      </c>
      <c r="AV10" s="83">
        <f t="shared" ca="1" si="11"/>
        <v>0</v>
      </c>
      <c r="AW10" s="1731"/>
      <c r="AY10" s="38">
        <f>+Details!F10-Base!F10</f>
        <v>0</v>
      </c>
      <c r="AZ10" s="1125">
        <f>+Details!G10-Base!G10</f>
        <v>0</v>
      </c>
      <c r="BA10" s="1125">
        <f>+Details!H10-Base!H10</f>
        <v>0</v>
      </c>
      <c r="BB10" s="1125">
        <f>+Details!I10-Base!I10</f>
        <v>0</v>
      </c>
      <c r="BC10" s="1125">
        <f>+Details!J10-Base!J10</f>
        <v>0</v>
      </c>
      <c r="BD10" s="1125">
        <f>+Details!K10-Base!K10</f>
        <v>0</v>
      </c>
      <c r="BE10" s="1125">
        <f>+Details!L10-Base!L10</f>
        <v>0</v>
      </c>
      <c r="BF10" s="1125">
        <f>+Details!M10-Base!M10</f>
        <v>0</v>
      </c>
      <c r="BG10" s="1125">
        <f>+Details!N10-Base!N10</f>
        <v>0</v>
      </c>
      <c r="BH10" s="1125">
        <f>+Details!O10-Base!O10</f>
        <v>0</v>
      </c>
      <c r="BI10" s="1125">
        <f>+Details!P10-Base!P10</f>
        <v>0</v>
      </c>
      <c r="BJ10" s="1125">
        <f>+Details!Q10-Base!Q10</f>
        <v>0</v>
      </c>
      <c r="BK10" s="1125">
        <f>+Details!R10-Base!R10</f>
        <v>0</v>
      </c>
      <c r="BL10" s="1125">
        <f>+Details!S10-Base!S10</f>
        <v>0</v>
      </c>
      <c r="BM10" s="1125">
        <f>+Details!T10-Base!T10</f>
        <v>0</v>
      </c>
      <c r="BN10" s="1125">
        <f>+Details!U10-Base!U10</f>
        <v>0</v>
      </c>
      <c r="BO10" s="1125">
        <f>+Details!V10-Base!V10</f>
        <v>0</v>
      </c>
      <c r="BP10" s="1125">
        <f>+Details!W10-Base!W10</f>
        <v>0</v>
      </c>
      <c r="BQ10" s="1125">
        <f>+Details!X10-Base!X10</f>
        <v>0</v>
      </c>
      <c r="BR10" s="1125">
        <f>+Details!Y10-Base!Y10</f>
        <v>0</v>
      </c>
      <c r="BS10" s="1125">
        <f>+Details!Z10-Base!Z10</f>
        <v>0</v>
      </c>
      <c r="BT10" s="1125">
        <f>+Details!AA10-Base!AA10</f>
        <v>0</v>
      </c>
      <c r="BU10" s="1125">
        <f>+Details!AB10-Base!AB10</f>
        <v>0</v>
      </c>
      <c r="BV10" s="1125">
        <f>+Details!AC10-Base!AC10</f>
        <v>0</v>
      </c>
      <c r="BW10" s="1125">
        <f>+Details!AD10-Base!AD10</f>
        <v>0</v>
      </c>
      <c r="BX10" s="1125">
        <f>+Details!AE10-Base!AE10</f>
        <v>0</v>
      </c>
      <c r="BY10" s="1125">
        <f>+Details!AF10-Base!AF10</f>
        <v>0</v>
      </c>
      <c r="BZ10" s="1125">
        <f>+Details!AG10-Base!AG10</f>
        <v>0</v>
      </c>
      <c r="CA10" s="1125">
        <f>+Details!AH10-Base!AH10</f>
        <v>0</v>
      </c>
      <c r="CB10" s="1125">
        <f>+Details!AI10-Base!AI10</f>
        <v>0</v>
      </c>
      <c r="CC10" s="1125">
        <f>+Details!AJ10-Base!AJ10</f>
        <v>0</v>
      </c>
      <c r="CD10" s="1125">
        <f>+Details!AK10-Base!AK10</f>
        <v>0</v>
      </c>
      <c r="CE10" s="1125">
        <f>+Details!AL10-Base!AL10</f>
        <v>0</v>
      </c>
      <c r="CF10" s="1125">
        <f>+Details!AM10-Base!AM10</f>
        <v>0</v>
      </c>
      <c r="CG10" s="1125">
        <f>+Details!AN10-Base!AN10</f>
        <v>0</v>
      </c>
      <c r="CH10" s="1125">
        <f>+Details!AO10-Base!AO10</f>
        <v>0</v>
      </c>
      <c r="CI10" s="1125">
        <f>+Details!AP10-Base!AP10</f>
        <v>0</v>
      </c>
      <c r="CJ10" s="1125">
        <f>+Details!AQ10-Base!AQ10</f>
        <v>0</v>
      </c>
      <c r="CK10" s="1125">
        <f>+Details!AR10-Base!AR10</f>
        <v>0</v>
      </c>
      <c r="CL10" s="1125">
        <f>+Details!AS10-Base!AS10</f>
        <v>0</v>
      </c>
      <c r="CM10" s="103"/>
    </row>
    <row r="11" spans="1:91" ht="15.6">
      <c r="A11" s="1428"/>
      <c r="B11" s="1767" t="s">
        <v>927</v>
      </c>
      <c r="C11" s="997" t="str">
        <f ca="1">IF(E11&lt;-1,"Negative Balance!","")</f>
        <v/>
      </c>
      <c r="D11" s="162"/>
      <c r="E11" s="433">
        <f t="shared" ca="1" si="9"/>
        <v>725800</v>
      </c>
      <c r="F11" s="1124">
        <f>+F9+F10</f>
        <v>700000</v>
      </c>
      <c r="G11" s="1124">
        <f>+G9+G10</f>
        <v>709700</v>
      </c>
      <c r="H11" s="1124">
        <f t="shared" ref="H11:AS11" si="14">+H9+H10</f>
        <v>718700</v>
      </c>
      <c r="I11" s="1124">
        <f t="shared" si="14"/>
        <v>726900</v>
      </c>
      <c r="J11" s="1124">
        <f t="shared" si="14"/>
        <v>734200</v>
      </c>
      <c r="K11" s="1124">
        <f t="shared" si="14"/>
        <v>740500</v>
      </c>
      <c r="L11" s="1124">
        <f t="shared" si="14"/>
        <v>745600</v>
      </c>
      <c r="M11" s="1124">
        <f t="shared" si="14"/>
        <v>749400</v>
      </c>
      <c r="N11" s="1124">
        <f t="shared" si="14"/>
        <v>751900</v>
      </c>
      <c r="O11" s="1124">
        <f t="shared" si="14"/>
        <v>794900</v>
      </c>
      <c r="P11" s="1124">
        <f t="shared" si="14"/>
        <v>804300</v>
      </c>
      <c r="Q11" s="1124">
        <f t="shared" si="14"/>
        <v>813800</v>
      </c>
      <c r="R11" s="1124">
        <f t="shared" si="14"/>
        <v>823200</v>
      </c>
      <c r="S11" s="1124">
        <f t="shared" si="14"/>
        <v>832400</v>
      </c>
      <c r="T11" s="1124">
        <f t="shared" si="14"/>
        <v>841100</v>
      </c>
      <c r="U11" s="1124">
        <f t="shared" si="14"/>
        <v>854500</v>
      </c>
      <c r="V11" s="1124">
        <f t="shared" si="14"/>
        <v>866600</v>
      </c>
      <c r="W11" s="1124">
        <f t="shared" si="14"/>
        <v>877100</v>
      </c>
      <c r="X11" s="1124">
        <f t="shared" si="14"/>
        <v>885800</v>
      </c>
      <c r="Y11" s="1124">
        <f t="shared" si="14"/>
        <v>886400</v>
      </c>
      <c r="Z11" s="1124">
        <f t="shared" si="14"/>
        <v>884900</v>
      </c>
      <c r="AA11" s="1124">
        <f t="shared" si="14"/>
        <v>881200</v>
      </c>
      <c r="AB11" s="1124">
        <f t="shared" si="14"/>
        <v>874900</v>
      </c>
      <c r="AC11" s="1124">
        <f t="shared" si="14"/>
        <v>866000</v>
      </c>
      <c r="AD11" s="1124">
        <f t="shared" si="14"/>
        <v>854500</v>
      </c>
      <c r="AE11" s="1124">
        <f t="shared" si="14"/>
        <v>840300</v>
      </c>
      <c r="AF11" s="1124">
        <f t="shared" si="14"/>
        <v>823300</v>
      </c>
      <c r="AG11" s="1124">
        <f t="shared" si="14"/>
        <v>803400</v>
      </c>
      <c r="AH11" s="1124">
        <f t="shared" si="14"/>
        <v>780400</v>
      </c>
      <c r="AI11" s="1124">
        <f t="shared" si="14"/>
        <v>754500</v>
      </c>
      <c r="AJ11" s="1124">
        <f t="shared" si="14"/>
        <v>0</v>
      </c>
      <c r="AK11" s="1124">
        <f t="shared" si="14"/>
        <v>0</v>
      </c>
      <c r="AL11" s="1124">
        <f t="shared" si="14"/>
        <v>0</v>
      </c>
      <c r="AM11" s="1124">
        <f t="shared" si="14"/>
        <v>0</v>
      </c>
      <c r="AN11" s="1124">
        <f t="shared" si="14"/>
        <v>0</v>
      </c>
      <c r="AO11" s="1124">
        <f t="shared" si="14"/>
        <v>0</v>
      </c>
      <c r="AP11" s="1124">
        <f t="shared" si="14"/>
        <v>0</v>
      </c>
      <c r="AQ11" s="1124">
        <f t="shared" si="14"/>
        <v>0</v>
      </c>
      <c r="AR11" s="1124">
        <f t="shared" si="14"/>
        <v>0</v>
      </c>
      <c r="AS11" s="1124">
        <f t="shared" si="14"/>
        <v>0</v>
      </c>
      <c r="AT11" s="3"/>
      <c r="AU11" s="33">
        <f ca="1">+Details!E11</f>
        <v>725800</v>
      </c>
      <c r="AV11" s="81">
        <f t="shared" ca="1" si="11"/>
        <v>0</v>
      </c>
      <c r="AW11" s="1731"/>
      <c r="AY11" s="31">
        <f>+Details!F11-Base!F11</f>
        <v>0</v>
      </c>
      <c r="AZ11" s="1124">
        <f>+Details!G11-Base!G11</f>
        <v>0</v>
      </c>
      <c r="BA11" s="1124">
        <f>+Details!H11-Base!H11</f>
        <v>0</v>
      </c>
      <c r="BB11" s="1124">
        <f>+Details!I11-Base!I11</f>
        <v>0</v>
      </c>
      <c r="BC11" s="1124">
        <f>+Details!J11-Base!J11</f>
        <v>0</v>
      </c>
      <c r="BD11" s="1124">
        <f>+Details!K11-Base!K11</f>
        <v>0</v>
      </c>
      <c r="BE11" s="1124">
        <f>+Details!L11-Base!L11</f>
        <v>0</v>
      </c>
      <c r="BF11" s="1124">
        <f>+Details!M11-Base!M11</f>
        <v>0</v>
      </c>
      <c r="BG11" s="1124">
        <f>+Details!N11-Base!N11</f>
        <v>0</v>
      </c>
      <c r="BH11" s="1124">
        <f>+Details!O11-Base!O11</f>
        <v>0</v>
      </c>
      <c r="BI11" s="1124">
        <f>+Details!P11-Base!P11</f>
        <v>0</v>
      </c>
      <c r="BJ11" s="1124">
        <f>+Details!Q11-Base!Q11</f>
        <v>0</v>
      </c>
      <c r="BK11" s="1124">
        <f>+Details!R11-Base!R11</f>
        <v>0</v>
      </c>
      <c r="BL11" s="1124">
        <f>+Details!S11-Base!S11</f>
        <v>0</v>
      </c>
      <c r="BM11" s="1124">
        <f>+Details!T11-Base!T11</f>
        <v>0</v>
      </c>
      <c r="BN11" s="1124">
        <f>+Details!U11-Base!U11</f>
        <v>0</v>
      </c>
      <c r="BO11" s="1124">
        <f>+Details!V11-Base!V11</f>
        <v>0</v>
      </c>
      <c r="BP11" s="1124">
        <f>+Details!W11-Base!W11</f>
        <v>0</v>
      </c>
      <c r="BQ11" s="1124">
        <f>+Details!X11-Base!X11</f>
        <v>0</v>
      </c>
      <c r="BR11" s="1124">
        <f>+Details!Y11-Base!Y11</f>
        <v>0</v>
      </c>
      <c r="BS11" s="1124">
        <f>+Details!Z11-Base!Z11</f>
        <v>0</v>
      </c>
      <c r="BT11" s="1124">
        <f>+Details!AA11-Base!AA11</f>
        <v>0</v>
      </c>
      <c r="BU11" s="1124">
        <f>+Details!AB11-Base!AB11</f>
        <v>0</v>
      </c>
      <c r="BV11" s="1124">
        <f>+Details!AC11-Base!AC11</f>
        <v>0</v>
      </c>
      <c r="BW11" s="1124">
        <f>+Details!AD11-Base!AD11</f>
        <v>0</v>
      </c>
      <c r="BX11" s="1124">
        <f>+Details!AE11-Base!AE11</f>
        <v>0</v>
      </c>
      <c r="BY11" s="1124">
        <f>+Details!AF11-Base!AF11</f>
        <v>0</v>
      </c>
      <c r="BZ11" s="1124">
        <f>+Details!AG11-Base!AG11</f>
        <v>0</v>
      </c>
      <c r="CA11" s="1124">
        <f>+Details!AH11-Base!AH11</f>
        <v>0</v>
      </c>
      <c r="CB11" s="1124">
        <f>+Details!AI11-Base!AI11</f>
        <v>0</v>
      </c>
      <c r="CC11" s="1124">
        <f>+Details!AJ11-Base!AJ11</f>
        <v>0</v>
      </c>
      <c r="CD11" s="1124">
        <f>+Details!AK11-Base!AK11</f>
        <v>0</v>
      </c>
      <c r="CE11" s="1124">
        <f>+Details!AL11-Base!AL11</f>
        <v>0</v>
      </c>
      <c r="CF11" s="1124">
        <f>+Details!AM11-Base!AM11</f>
        <v>0</v>
      </c>
      <c r="CG11" s="1124">
        <f>+Details!AN11-Base!AN11</f>
        <v>0</v>
      </c>
      <c r="CH11" s="1124">
        <f>+Details!AO11-Base!AO11</f>
        <v>0</v>
      </c>
      <c r="CI11" s="1124">
        <f>+Details!AP11-Base!AP11</f>
        <v>0</v>
      </c>
      <c r="CJ11" s="1124">
        <f>+Details!AQ11-Base!AQ11</f>
        <v>0</v>
      </c>
      <c r="CK11" s="1124">
        <f>+Details!AR11-Base!AR11</f>
        <v>0</v>
      </c>
      <c r="CL11" s="1124">
        <f>+Details!AS11-Base!AS11</f>
        <v>0</v>
      </c>
      <c r="CM11" s="81"/>
    </row>
    <row r="12" spans="1:91" ht="19.95" hidden="1" customHeight="1">
      <c r="A12" s="1427" t="s">
        <v>1578</v>
      </c>
      <c r="B12" s="436" t="s">
        <v>925</v>
      </c>
      <c r="C12" s="686"/>
      <c r="E12" s="433">
        <f t="shared" ca="1" si="9"/>
        <v>0</v>
      </c>
      <c r="F12" s="30">
        <v>0</v>
      </c>
      <c r="G12" s="1124">
        <f t="shared" ref="G12:AS12" si="15">ROUND((+F12+F32+F110+F113+F116+F105)*IF(G$7-$F7&lt;=Total_Years-1,1,0)/Round_To,0)*Round_To</f>
        <v>0</v>
      </c>
      <c r="H12" s="1124">
        <f t="shared" si="15"/>
        <v>0</v>
      </c>
      <c r="I12" s="1124">
        <f t="shared" si="15"/>
        <v>0</v>
      </c>
      <c r="J12" s="1124">
        <f t="shared" si="15"/>
        <v>0</v>
      </c>
      <c r="K12" s="1124">
        <f t="shared" si="15"/>
        <v>0</v>
      </c>
      <c r="L12" s="1124">
        <f t="shared" si="15"/>
        <v>0</v>
      </c>
      <c r="M12" s="1124">
        <f t="shared" si="15"/>
        <v>0</v>
      </c>
      <c r="N12" s="1124">
        <f t="shared" si="15"/>
        <v>0</v>
      </c>
      <c r="O12" s="1124">
        <f t="shared" si="15"/>
        <v>0</v>
      </c>
      <c r="P12" s="1124">
        <f t="shared" si="15"/>
        <v>0</v>
      </c>
      <c r="Q12" s="1124">
        <f t="shared" si="15"/>
        <v>0</v>
      </c>
      <c r="R12" s="1124">
        <f t="shared" si="15"/>
        <v>0</v>
      </c>
      <c r="S12" s="1124">
        <f t="shared" si="15"/>
        <v>0</v>
      </c>
      <c r="T12" s="1124">
        <f t="shared" si="15"/>
        <v>0</v>
      </c>
      <c r="U12" s="1124">
        <f t="shared" si="15"/>
        <v>0</v>
      </c>
      <c r="V12" s="1124">
        <f t="shared" si="15"/>
        <v>36000</v>
      </c>
      <c r="W12" s="1124">
        <f t="shared" si="15"/>
        <v>31000</v>
      </c>
      <c r="X12" s="1124">
        <f t="shared" si="15"/>
        <v>25900</v>
      </c>
      <c r="Y12" s="1124">
        <f t="shared" si="15"/>
        <v>24500</v>
      </c>
      <c r="Z12" s="1124">
        <f t="shared" si="15"/>
        <v>22900</v>
      </c>
      <c r="AA12" s="1124">
        <f t="shared" si="15"/>
        <v>21000</v>
      </c>
      <c r="AB12" s="1124">
        <f t="shared" si="15"/>
        <v>18800</v>
      </c>
      <c r="AC12" s="1124">
        <f t="shared" si="15"/>
        <v>16300</v>
      </c>
      <c r="AD12" s="1124">
        <f t="shared" si="15"/>
        <v>13400</v>
      </c>
      <c r="AE12" s="1124">
        <f t="shared" si="15"/>
        <v>10100</v>
      </c>
      <c r="AF12" s="1124">
        <f t="shared" si="15"/>
        <v>6300</v>
      </c>
      <c r="AG12" s="1124">
        <f t="shared" si="15"/>
        <v>2000</v>
      </c>
      <c r="AH12" s="1124">
        <f t="shared" si="15"/>
        <v>0</v>
      </c>
      <c r="AI12" s="1124">
        <f t="shared" si="15"/>
        <v>0</v>
      </c>
      <c r="AJ12" s="1124">
        <f t="shared" si="15"/>
        <v>0</v>
      </c>
      <c r="AK12" s="1124">
        <f t="shared" si="15"/>
        <v>0</v>
      </c>
      <c r="AL12" s="1124">
        <f t="shared" si="15"/>
        <v>0</v>
      </c>
      <c r="AM12" s="1124">
        <f t="shared" si="15"/>
        <v>0</v>
      </c>
      <c r="AN12" s="1124">
        <f t="shared" si="15"/>
        <v>0</v>
      </c>
      <c r="AO12" s="1124">
        <f t="shared" si="15"/>
        <v>0</v>
      </c>
      <c r="AP12" s="1124">
        <f t="shared" si="15"/>
        <v>0</v>
      </c>
      <c r="AQ12" s="1124">
        <f t="shared" si="15"/>
        <v>0</v>
      </c>
      <c r="AR12" s="1124">
        <f t="shared" si="15"/>
        <v>0</v>
      </c>
      <c r="AS12" s="1124">
        <f t="shared" si="15"/>
        <v>0</v>
      </c>
      <c r="AT12" s="3"/>
      <c r="AU12" s="33">
        <f ca="1">+Details!E12</f>
        <v>0</v>
      </c>
      <c r="AV12" s="81">
        <f t="shared" ca="1" si="11"/>
        <v>0</v>
      </c>
      <c r="AW12" s="110"/>
      <c r="AY12" s="31">
        <f>+Details!F12-Base!F12</f>
        <v>0</v>
      </c>
      <c r="AZ12" s="1124">
        <f>+Details!G12-Base!G12</f>
        <v>0</v>
      </c>
      <c r="BA12" s="1124">
        <f>+Details!H12-Base!H12</f>
        <v>0</v>
      </c>
      <c r="BB12" s="1124">
        <f>+Details!I12-Base!I12</f>
        <v>0</v>
      </c>
      <c r="BC12" s="1124">
        <f>+Details!J12-Base!J12</f>
        <v>0</v>
      </c>
      <c r="BD12" s="1124">
        <f>+Details!K12-Base!K12</f>
        <v>0</v>
      </c>
      <c r="BE12" s="1124">
        <f>+Details!L12-Base!L12</f>
        <v>0</v>
      </c>
      <c r="BF12" s="1124">
        <f>+Details!M12-Base!M12</f>
        <v>0</v>
      </c>
      <c r="BG12" s="1124">
        <f>+Details!N12-Base!N12</f>
        <v>0</v>
      </c>
      <c r="BH12" s="1124">
        <f>+Details!O12-Base!O12</f>
        <v>0</v>
      </c>
      <c r="BI12" s="1124">
        <f>+Details!P12-Base!P12</f>
        <v>0</v>
      </c>
      <c r="BJ12" s="1124">
        <f>+Details!Q12-Base!Q12</f>
        <v>0</v>
      </c>
      <c r="BK12" s="1124">
        <f>+Details!R12-Base!R12</f>
        <v>0</v>
      </c>
      <c r="BL12" s="1124">
        <f>+Details!S12-Base!S12</f>
        <v>0</v>
      </c>
      <c r="BM12" s="1124">
        <f>+Details!T12-Base!T12</f>
        <v>0</v>
      </c>
      <c r="BN12" s="1124">
        <f>+Details!U12-Base!U12</f>
        <v>0</v>
      </c>
      <c r="BO12" s="1124">
        <f>+Details!V12-Base!V12</f>
        <v>0</v>
      </c>
      <c r="BP12" s="1124">
        <f>+Details!W12-Base!W12</f>
        <v>0</v>
      </c>
      <c r="BQ12" s="1124">
        <f>+Details!X12-Base!X12</f>
        <v>0</v>
      </c>
      <c r="BR12" s="1124">
        <f>+Details!Y12-Base!Y12</f>
        <v>0</v>
      </c>
      <c r="BS12" s="1124">
        <f>+Details!Z12-Base!Z12</f>
        <v>0</v>
      </c>
      <c r="BT12" s="1124">
        <f>+Details!AA12-Base!AA12</f>
        <v>0</v>
      </c>
      <c r="BU12" s="1124">
        <f>+Details!AB12-Base!AB12</f>
        <v>0</v>
      </c>
      <c r="BV12" s="1124">
        <f>+Details!AC12-Base!AC12</f>
        <v>0</v>
      </c>
      <c r="BW12" s="1124">
        <f>+Details!AD12-Base!AD12</f>
        <v>0</v>
      </c>
      <c r="BX12" s="1124">
        <f>+Details!AE12-Base!AE12</f>
        <v>0</v>
      </c>
      <c r="BY12" s="1124">
        <f>+Details!AF12-Base!AF12</f>
        <v>0</v>
      </c>
      <c r="BZ12" s="1124">
        <f>+Details!AG12-Base!AG12</f>
        <v>0</v>
      </c>
      <c r="CA12" s="1124">
        <f>+Details!AH12-Base!AH12</f>
        <v>0</v>
      </c>
      <c r="CB12" s="1124">
        <f>+Details!AI12-Base!AI12</f>
        <v>0</v>
      </c>
      <c r="CC12" s="1124">
        <f>+Details!AJ12-Base!AJ12</f>
        <v>0</v>
      </c>
      <c r="CD12" s="1124">
        <f>+Details!AK12-Base!AK12</f>
        <v>0</v>
      </c>
      <c r="CE12" s="1124">
        <f>+Details!AL12-Base!AL12</f>
        <v>0</v>
      </c>
      <c r="CF12" s="1124">
        <f>+Details!AM12-Base!AM12</f>
        <v>0</v>
      </c>
      <c r="CG12" s="1124">
        <f>+Details!AN12-Base!AN12</f>
        <v>0</v>
      </c>
      <c r="CH12" s="1124">
        <f>+Details!AO12-Base!AO12</f>
        <v>0</v>
      </c>
      <c r="CI12" s="1124">
        <f>+Details!AP12-Base!AP12</f>
        <v>0</v>
      </c>
      <c r="CJ12" s="1124">
        <f>+Details!AQ12-Base!AQ12</f>
        <v>0</v>
      </c>
      <c r="CK12" s="1124">
        <f>+Details!AR12-Base!AR12</f>
        <v>0</v>
      </c>
      <c r="CL12" s="1124">
        <f>+Details!AS12-Base!AS12</f>
        <v>0</v>
      </c>
      <c r="CM12" s="81"/>
    </row>
    <row r="13" spans="1:91" ht="15.6" hidden="1">
      <c r="A13" s="1427" t="s">
        <v>1578</v>
      </c>
      <c r="B13" s="436" t="s">
        <v>926</v>
      </c>
      <c r="C13" s="686"/>
      <c r="D13" s="96"/>
      <c r="E13" s="1301">
        <f t="shared" ca="1" si="9"/>
        <v>0</v>
      </c>
      <c r="F13" s="508">
        <v>0</v>
      </c>
      <c r="G13" s="1125">
        <f t="shared" ref="G13:AS13" si="16">ROUND((+F13+F33+F111+F114+F117+F106)*IF(G$7-$F7&lt;=Total_Years-1,1,0)/Round_To,0)*Round_To</f>
        <v>0</v>
      </c>
      <c r="H13" s="1125">
        <f t="shared" si="16"/>
        <v>0</v>
      </c>
      <c r="I13" s="1125">
        <f t="shared" si="16"/>
        <v>0</v>
      </c>
      <c r="J13" s="1125">
        <f t="shared" si="16"/>
        <v>0</v>
      </c>
      <c r="K13" s="1125">
        <f t="shared" si="16"/>
        <v>0</v>
      </c>
      <c r="L13" s="1125">
        <f t="shared" si="16"/>
        <v>0</v>
      </c>
      <c r="M13" s="1125">
        <f t="shared" si="16"/>
        <v>0</v>
      </c>
      <c r="N13" s="1125">
        <f t="shared" si="16"/>
        <v>0</v>
      </c>
      <c r="O13" s="1125">
        <f t="shared" si="16"/>
        <v>0</v>
      </c>
      <c r="P13" s="1125">
        <f t="shared" si="16"/>
        <v>0</v>
      </c>
      <c r="Q13" s="1125">
        <f t="shared" si="16"/>
        <v>0</v>
      </c>
      <c r="R13" s="1125">
        <f t="shared" si="16"/>
        <v>60000</v>
      </c>
      <c r="S13" s="1125">
        <f t="shared" si="16"/>
        <v>59300</v>
      </c>
      <c r="T13" s="1125">
        <f t="shared" si="16"/>
        <v>58400</v>
      </c>
      <c r="U13" s="1125">
        <f t="shared" si="16"/>
        <v>57100</v>
      </c>
      <c r="V13" s="1125">
        <f t="shared" si="16"/>
        <v>55500</v>
      </c>
      <c r="W13" s="1125">
        <f t="shared" si="16"/>
        <v>52500</v>
      </c>
      <c r="X13" s="1125">
        <f t="shared" si="16"/>
        <v>48900</v>
      </c>
      <c r="Y13" s="1125">
        <f t="shared" si="16"/>
        <v>44500</v>
      </c>
      <c r="Z13" s="1125">
        <f t="shared" si="16"/>
        <v>41000</v>
      </c>
      <c r="AA13" s="1125">
        <f t="shared" si="16"/>
        <v>37000</v>
      </c>
      <c r="AB13" s="1125">
        <f t="shared" si="16"/>
        <v>32400</v>
      </c>
      <c r="AC13" s="1125">
        <f t="shared" si="16"/>
        <v>27100</v>
      </c>
      <c r="AD13" s="1125">
        <f t="shared" si="16"/>
        <v>21200</v>
      </c>
      <c r="AE13" s="1125">
        <f t="shared" si="16"/>
        <v>14500</v>
      </c>
      <c r="AF13" s="1125">
        <f t="shared" si="16"/>
        <v>7000</v>
      </c>
      <c r="AG13" s="1125">
        <f t="shared" si="16"/>
        <v>0</v>
      </c>
      <c r="AH13" s="1125">
        <f t="shared" si="16"/>
        <v>0</v>
      </c>
      <c r="AI13" s="1125">
        <f t="shared" si="16"/>
        <v>0</v>
      </c>
      <c r="AJ13" s="1125">
        <f t="shared" si="16"/>
        <v>0</v>
      </c>
      <c r="AK13" s="1125">
        <f t="shared" si="16"/>
        <v>0</v>
      </c>
      <c r="AL13" s="1125">
        <f t="shared" si="16"/>
        <v>0</v>
      </c>
      <c r="AM13" s="1125">
        <f t="shared" si="16"/>
        <v>0</v>
      </c>
      <c r="AN13" s="1125">
        <f t="shared" si="16"/>
        <v>0</v>
      </c>
      <c r="AO13" s="1125">
        <f t="shared" si="16"/>
        <v>0</v>
      </c>
      <c r="AP13" s="1125">
        <f t="shared" si="16"/>
        <v>0</v>
      </c>
      <c r="AQ13" s="1125">
        <f t="shared" si="16"/>
        <v>0</v>
      </c>
      <c r="AR13" s="1125">
        <f t="shared" si="16"/>
        <v>0</v>
      </c>
      <c r="AS13" s="1125">
        <f t="shared" si="16"/>
        <v>0</v>
      </c>
      <c r="AT13" s="3"/>
      <c r="AU13" s="35">
        <f ca="1">+Details!E13</f>
        <v>0</v>
      </c>
      <c r="AV13" s="83">
        <f t="shared" ca="1" si="11"/>
        <v>0</v>
      </c>
      <c r="AW13" s="110"/>
      <c r="AY13" s="38">
        <f>+Details!F13-Base!F13</f>
        <v>0</v>
      </c>
      <c r="AZ13" s="1125">
        <f>+Details!G13-Base!G13</f>
        <v>0</v>
      </c>
      <c r="BA13" s="1125">
        <f>+Details!H13-Base!H13</f>
        <v>0</v>
      </c>
      <c r="BB13" s="1125">
        <f>+Details!I13-Base!I13</f>
        <v>0</v>
      </c>
      <c r="BC13" s="1125">
        <f>+Details!J13-Base!J13</f>
        <v>0</v>
      </c>
      <c r="BD13" s="1125">
        <f>+Details!K13-Base!K13</f>
        <v>0</v>
      </c>
      <c r="BE13" s="1125">
        <f>+Details!L13-Base!L13</f>
        <v>0</v>
      </c>
      <c r="BF13" s="1125">
        <f>+Details!M13-Base!M13</f>
        <v>0</v>
      </c>
      <c r="BG13" s="1125">
        <f>+Details!N13-Base!N13</f>
        <v>0</v>
      </c>
      <c r="BH13" s="1125">
        <f>+Details!O13-Base!O13</f>
        <v>0</v>
      </c>
      <c r="BI13" s="1125">
        <f>+Details!P13-Base!P13</f>
        <v>0</v>
      </c>
      <c r="BJ13" s="1125">
        <f>+Details!Q13-Base!Q13</f>
        <v>0</v>
      </c>
      <c r="BK13" s="1125">
        <f>+Details!R13-Base!R13</f>
        <v>0</v>
      </c>
      <c r="BL13" s="1125">
        <f>+Details!S13-Base!S13</f>
        <v>0</v>
      </c>
      <c r="BM13" s="1125">
        <f>+Details!T13-Base!T13</f>
        <v>0</v>
      </c>
      <c r="BN13" s="1125">
        <f>+Details!U13-Base!U13</f>
        <v>0</v>
      </c>
      <c r="BO13" s="1125">
        <f>+Details!V13-Base!V13</f>
        <v>0</v>
      </c>
      <c r="BP13" s="1125">
        <f>+Details!W13-Base!W13</f>
        <v>0</v>
      </c>
      <c r="BQ13" s="1125">
        <f>+Details!X13-Base!X13</f>
        <v>0</v>
      </c>
      <c r="BR13" s="1125">
        <f>+Details!Y13-Base!Y13</f>
        <v>0</v>
      </c>
      <c r="BS13" s="1125">
        <f>+Details!Z13-Base!Z13</f>
        <v>0</v>
      </c>
      <c r="BT13" s="1125">
        <f>+Details!AA13-Base!AA13</f>
        <v>0</v>
      </c>
      <c r="BU13" s="1125">
        <f>+Details!AB13-Base!AB13</f>
        <v>0</v>
      </c>
      <c r="BV13" s="1125">
        <f>+Details!AC13-Base!AC13</f>
        <v>0</v>
      </c>
      <c r="BW13" s="1125">
        <f>+Details!AD13-Base!AD13</f>
        <v>0</v>
      </c>
      <c r="BX13" s="1125">
        <f>+Details!AE13-Base!AE13</f>
        <v>0</v>
      </c>
      <c r="BY13" s="1125">
        <f>+Details!AF13-Base!AF13</f>
        <v>0</v>
      </c>
      <c r="BZ13" s="1125">
        <f>+Details!AG13-Base!AG13</f>
        <v>0</v>
      </c>
      <c r="CA13" s="1125">
        <f>+Details!AH13-Base!AH13</f>
        <v>0</v>
      </c>
      <c r="CB13" s="1125">
        <f>+Details!AI13-Base!AI13</f>
        <v>0</v>
      </c>
      <c r="CC13" s="1125">
        <f>+Details!AJ13-Base!AJ13</f>
        <v>0</v>
      </c>
      <c r="CD13" s="1125">
        <f>+Details!AK13-Base!AK13</f>
        <v>0</v>
      </c>
      <c r="CE13" s="1125">
        <f>+Details!AL13-Base!AL13</f>
        <v>0</v>
      </c>
      <c r="CF13" s="1125">
        <f>+Details!AM13-Base!AM13</f>
        <v>0</v>
      </c>
      <c r="CG13" s="1125">
        <f>+Details!AN13-Base!AN13</f>
        <v>0</v>
      </c>
      <c r="CH13" s="1125">
        <f>+Details!AO13-Base!AO13</f>
        <v>0</v>
      </c>
      <c r="CI13" s="1125">
        <f>+Details!AP13-Base!AP13</f>
        <v>0</v>
      </c>
      <c r="CJ13" s="1125">
        <f>+Details!AQ13-Base!AQ13</f>
        <v>0</v>
      </c>
      <c r="CK13" s="1125">
        <f>+Details!AR13-Base!AR13</f>
        <v>0</v>
      </c>
      <c r="CL13" s="1125">
        <f>+Details!AS13-Base!AS13</f>
        <v>0</v>
      </c>
      <c r="CM13" s="103"/>
    </row>
    <row r="14" spans="1:91" ht="15.6">
      <c r="B14" s="381" t="s">
        <v>928</v>
      </c>
      <c r="C14" s="997" t="str">
        <f ca="1">IF(E14&lt;0,"Negative Balance!","")</f>
        <v/>
      </c>
      <c r="E14" s="433">
        <f t="shared" ca="1" si="9"/>
        <v>0</v>
      </c>
      <c r="F14" s="73">
        <f>+F12+F13</f>
        <v>0</v>
      </c>
      <c r="G14" s="1124">
        <f>+G12+G13</f>
        <v>0</v>
      </c>
      <c r="H14" s="1124">
        <f t="shared" ref="H14:AS14" si="17">+H12+H13</f>
        <v>0</v>
      </c>
      <c r="I14" s="1124">
        <f t="shared" si="17"/>
        <v>0</v>
      </c>
      <c r="J14" s="1124">
        <f t="shared" si="17"/>
        <v>0</v>
      </c>
      <c r="K14" s="1124">
        <f t="shared" si="17"/>
        <v>0</v>
      </c>
      <c r="L14" s="1124">
        <f t="shared" si="17"/>
        <v>0</v>
      </c>
      <c r="M14" s="1124">
        <f t="shared" si="17"/>
        <v>0</v>
      </c>
      <c r="N14" s="1124">
        <f t="shared" si="17"/>
        <v>0</v>
      </c>
      <c r="O14" s="1124">
        <f t="shared" si="17"/>
        <v>0</v>
      </c>
      <c r="P14" s="1124">
        <f t="shared" si="17"/>
        <v>0</v>
      </c>
      <c r="Q14" s="1124">
        <f t="shared" si="17"/>
        <v>0</v>
      </c>
      <c r="R14" s="1124">
        <f t="shared" si="17"/>
        <v>60000</v>
      </c>
      <c r="S14" s="1124">
        <f t="shared" si="17"/>
        <v>59300</v>
      </c>
      <c r="T14" s="1124">
        <f t="shared" si="17"/>
        <v>58400</v>
      </c>
      <c r="U14" s="1124">
        <f t="shared" si="17"/>
        <v>57100</v>
      </c>
      <c r="V14" s="1124">
        <f t="shared" si="17"/>
        <v>91500</v>
      </c>
      <c r="W14" s="1124">
        <f t="shared" si="17"/>
        <v>83500</v>
      </c>
      <c r="X14" s="1124">
        <f t="shared" si="17"/>
        <v>74800</v>
      </c>
      <c r="Y14" s="1124">
        <f t="shared" si="17"/>
        <v>69000</v>
      </c>
      <c r="Z14" s="1124">
        <f t="shared" si="17"/>
        <v>63900</v>
      </c>
      <c r="AA14" s="1124">
        <f t="shared" si="17"/>
        <v>58000</v>
      </c>
      <c r="AB14" s="1124">
        <f t="shared" si="17"/>
        <v>51200</v>
      </c>
      <c r="AC14" s="1124">
        <f t="shared" si="17"/>
        <v>43400</v>
      </c>
      <c r="AD14" s="1124">
        <f t="shared" si="17"/>
        <v>34600</v>
      </c>
      <c r="AE14" s="1124">
        <f t="shared" si="17"/>
        <v>24600</v>
      </c>
      <c r="AF14" s="1124">
        <f t="shared" si="17"/>
        <v>13300</v>
      </c>
      <c r="AG14" s="1124">
        <f t="shared" si="17"/>
        <v>2000</v>
      </c>
      <c r="AH14" s="1124">
        <f t="shared" si="17"/>
        <v>0</v>
      </c>
      <c r="AI14" s="1124">
        <f t="shared" si="17"/>
        <v>0</v>
      </c>
      <c r="AJ14" s="1124">
        <f t="shared" si="17"/>
        <v>0</v>
      </c>
      <c r="AK14" s="1124">
        <f t="shared" si="17"/>
        <v>0</v>
      </c>
      <c r="AL14" s="1124">
        <f t="shared" si="17"/>
        <v>0</v>
      </c>
      <c r="AM14" s="1124">
        <f t="shared" si="17"/>
        <v>0</v>
      </c>
      <c r="AN14" s="1124">
        <f t="shared" si="17"/>
        <v>0</v>
      </c>
      <c r="AO14" s="1124">
        <f t="shared" si="17"/>
        <v>0</v>
      </c>
      <c r="AP14" s="1124">
        <f t="shared" si="17"/>
        <v>0</v>
      </c>
      <c r="AQ14" s="1124">
        <f t="shared" si="17"/>
        <v>0</v>
      </c>
      <c r="AR14" s="1124">
        <f t="shared" si="17"/>
        <v>0</v>
      </c>
      <c r="AS14" s="1124">
        <f t="shared" si="17"/>
        <v>0</v>
      </c>
      <c r="AT14" s="3"/>
      <c r="AU14" s="33">
        <f ca="1">+Details!E14</f>
        <v>0</v>
      </c>
      <c r="AV14" s="81">
        <f t="shared" ca="1" si="11"/>
        <v>0</v>
      </c>
      <c r="AW14" s="110"/>
      <c r="AY14" s="31">
        <f>+Details!F14-Base!F14</f>
        <v>0</v>
      </c>
      <c r="AZ14" s="1124">
        <f>+Details!G14-Base!G14</f>
        <v>0</v>
      </c>
      <c r="BA14" s="1124">
        <f>+Details!H14-Base!H14</f>
        <v>0</v>
      </c>
      <c r="BB14" s="1124">
        <f>+Details!I14-Base!I14</f>
        <v>0</v>
      </c>
      <c r="BC14" s="1124">
        <f>+Details!J14-Base!J14</f>
        <v>0</v>
      </c>
      <c r="BD14" s="1124">
        <f>+Details!K14-Base!K14</f>
        <v>0</v>
      </c>
      <c r="BE14" s="1124">
        <f>+Details!L14-Base!L14</f>
        <v>0</v>
      </c>
      <c r="BF14" s="1124">
        <f>+Details!M14-Base!M14</f>
        <v>0</v>
      </c>
      <c r="BG14" s="1124">
        <f>+Details!N14-Base!N14</f>
        <v>0</v>
      </c>
      <c r="BH14" s="1124">
        <f>+Details!O14-Base!O14</f>
        <v>0</v>
      </c>
      <c r="BI14" s="1124">
        <f>+Details!P14-Base!P14</f>
        <v>0</v>
      </c>
      <c r="BJ14" s="1124">
        <f>+Details!Q14-Base!Q14</f>
        <v>0</v>
      </c>
      <c r="BK14" s="1124">
        <f>+Details!R14-Base!R14</f>
        <v>0</v>
      </c>
      <c r="BL14" s="1124">
        <f>+Details!S14-Base!S14</f>
        <v>0</v>
      </c>
      <c r="BM14" s="1124">
        <f>+Details!T14-Base!T14</f>
        <v>0</v>
      </c>
      <c r="BN14" s="1124">
        <f>+Details!U14-Base!U14</f>
        <v>0</v>
      </c>
      <c r="BO14" s="1124">
        <f>+Details!V14-Base!V14</f>
        <v>0</v>
      </c>
      <c r="BP14" s="1124">
        <f>+Details!W14-Base!W14</f>
        <v>0</v>
      </c>
      <c r="BQ14" s="1124">
        <f>+Details!X14-Base!X14</f>
        <v>0</v>
      </c>
      <c r="BR14" s="1124">
        <f>+Details!Y14-Base!Y14</f>
        <v>0</v>
      </c>
      <c r="BS14" s="1124">
        <f>+Details!Z14-Base!Z14</f>
        <v>0</v>
      </c>
      <c r="BT14" s="1124">
        <f>+Details!AA14-Base!AA14</f>
        <v>0</v>
      </c>
      <c r="BU14" s="1124">
        <f>+Details!AB14-Base!AB14</f>
        <v>0</v>
      </c>
      <c r="BV14" s="1124">
        <f>+Details!AC14-Base!AC14</f>
        <v>0</v>
      </c>
      <c r="BW14" s="1124">
        <f>+Details!AD14-Base!AD14</f>
        <v>0</v>
      </c>
      <c r="BX14" s="1124">
        <f>+Details!AE14-Base!AE14</f>
        <v>0</v>
      </c>
      <c r="BY14" s="1124">
        <f>+Details!AF14-Base!AF14</f>
        <v>0</v>
      </c>
      <c r="BZ14" s="1124">
        <f>+Details!AG14-Base!AG14</f>
        <v>0</v>
      </c>
      <c r="CA14" s="1124">
        <f>+Details!AH14-Base!AH14</f>
        <v>0</v>
      </c>
      <c r="CB14" s="1124">
        <f>+Details!AI14-Base!AI14</f>
        <v>0</v>
      </c>
      <c r="CC14" s="1124">
        <f>+Details!AJ14-Base!AJ14</f>
        <v>0</v>
      </c>
      <c r="CD14" s="1124">
        <f>+Details!AK14-Base!AK14</f>
        <v>0</v>
      </c>
      <c r="CE14" s="1124">
        <f>+Details!AL14-Base!AL14</f>
        <v>0</v>
      </c>
      <c r="CF14" s="1124">
        <f>+Details!AM14-Base!AM14</f>
        <v>0</v>
      </c>
      <c r="CG14" s="1124">
        <f>+Details!AN14-Base!AN14</f>
        <v>0</v>
      </c>
      <c r="CH14" s="1124">
        <f>+Details!AO14-Base!AO14</f>
        <v>0</v>
      </c>
      <c r="CI14" s="1124">
        <f>+Details!AP14-Base!AP14</f>
        <v>0</v>
      </c>
      <c r="CJ14" s="1124">
        <f>+Details!AQ14-Base!AQ14</f>
        <v>0</v>
      </c>
      <c r="CK14" s="1124">
        <f>+Details!AR14-Base!AR14</f>
        <v>0</v>
      </c>
      <c r="CL14" s="1124">
        <f>+Details!AS14-Base!AS14</f>
        <v>0</v>
      </c>
      <c r="CM14" s="81"/>
    </row>
    <row r="15" spans="1:91" ht="19.95" hidden="1" customHeight="1">
      <c r="A15" s="1427" t="s">
        <v>1578</v>
      </c>
      <c r="B15" s="992" t="s">
        <v>760</v>
      </c>
      <c r="C15" s="686"/>
      <c r="E15" s="33">
        <f t="shared" ca="1" si="9"/>
        <v>416600</v>
      </c>
      <c r="F15" s="1302">
        <f>ROUND(Roth_Begin/Round_To,0)*Round_To</f>
        <v>75000</v>
      </c>
      <c r="G15" s="1124">
        <f t="shared" ref="G15:AS15" si="18">ROUND((+F15+F35+F64+F120+F123+F126+F127)*IF(G$7-$F7&lt;=Total_Years-1,1,0)/Round_To,0)*Round_To</f>
        <v>80700</v>
      </c>
      <c r="H15" s="1124">
        <f t="shared" si="18"/>
        <v>86800</v>
      </c>
      <c r="I15" s="1124">
        <f t="shared" si="18"/>
        <v>93400</v>
      </c>
      <c r="J15" s="1124">
        <f t="shared" si="18"/>
        <v>100500</v>
      </c>
      <c r="K15" s="1124">
        <f t="shared" si="18"/>
        <v>106700</v>
      </c>
      <c r="L15" s="1124">
        <f t="shared" si="18"/>
        <v>113300</v>
      </c>
      <c r="M15" s="1124">
        <f t="shared" si="18"/>
        <v>120300</v>
      </c>
      <c r="N15" s="1124">
        <f t="shared" si="18"/>
        <v>127800</v>
      </c>
      <c r="O15" s="1124">
        <f t="shared" si="18"/>
        <v>135700</v>
      </c>
      <c r="P15" s="1124">
        <f t="shared" si="18"/>
        <v>144100</v>
      </c>
      <c r="Q15" s="1124">
        <f t="shared" si="18"/>
        <v>153000</v>
      </c>
      <c r="R15" s="1124">
        <f t="shared" si="18"/>
        <v>162500</v>
      </c>
      <c r="S15" s="1124">
        <f t="shared" si="18"/>
        <v>172600</v>
      </c>
      <c r="T15" s="1124">
        <f t="shared" si="18"/>
        <v>183300</v>
      </c>
      <c r="U15" s="1124">
        <f t="shared" si="18"/>
        <v>194700</v>
      </c>
      <c r="V15" s="1124">
        <f t="shared" si="18"/>
        <v>206800</v>
      </c>
      <c r="W15" s="1124">
        <f t="shared" si="18"/>
        <v>219600</v>
      </c>
      <c r="X15" s="1124">
        <f t="shared" si="18"/>
        <v>233200</v>
      </c>
      <c r="Y15" s="1124">
        <f t="shared" si="18"/>
        <v>244500</v>
      </c>
      <c r="Z15" s="1124">
        <f t="shared" si="18"/>
        <v>256400</v>
      </c>
      <c r="AA15" s="1124">
        <f t="shared" si="18"/>
        <v>269000</v>
      </c>
      <c r="AB15" s="1124">
        <f t="shared" si="18"/>
        <v>282200</v>
      </c>
      <c r="AC15" s="1124">
        <f t="shared" si="18"/>
        <v>296100</v>
      </c>
      <c r="AD15" s="1124">
        <f t="shared" si="18"/>
        <v>310800</v>
      </c>
      <c r="AE15" s="1124">
        <f t="shared" si="18"/>
        <v>326200</v>
      </c>
      <c r="AF15" s="1124">
        <f t="shared" si="18"/>
        <v>342500</v>
      </c>
      <c r="AG15" s="1124">
        <f t="shared" si="18"/>
        <v>359600</v>
      </c>
      <c r="AH15" s="1124">
        <f t="shared" si="18"/>
        <v>377600</v>
      </c>
      <c r="AI15" s="1124">
        <f t="shared" si="18"/>
        <v>396600</v>
      </c>
      <c r="AJ15" s="1124">
        <f t="shared" si="18"/>
        <v>0</v>
      </c>
      <c r="AK15" s="1124">
        <f t="shared" si="18"/>
        <v>0</v>
      </c>
      <c r="AL15" s="1124">
        <f t="shared" si="18"/>
        <v>0</v>
      </c>
      <c r="AM15" s="1124">
        <f t="shared" si="18"/>
        <v>0</v>
      </c>
      <c r="AN15" s="1124">
        <f t="shared" si="18"/>
        <v>0</v>
      </c>
      <c r="AO15" s="1124">
        <f t="shared" si="18"/>
        <v>0</v>
      </c>
      <c r="AP15" s="1124">
        <f t="shared" si="18"/>
        <v>0</v>
      </c>
      <c r="AQ15" s="1124">
        <f t="shared" si="18"/>
        <v>0</v>
      </c>
      <c r="AR15" s="1124">
        <f t="shared" si="18"/>
        <v>0</v>
      </c>
      <c r="AS15" s="1124">
        <f t="shared" si="18"/>
        <v>0</v>
      </c>
      <c r="AT15" s="3"/>
      <c r="AU15" s="1312">
        <f ca="1">+Base!E15</f>
        <v>416600</v>
      </c>
      <c r="AV15" s="81">
        <f t="shared" ca="1" si="11"/>
        <v>0</v>
      </c>
      <c r="AW15" s="110"/>
      <c r="AY15" s="31">
        <f>+Details!F15-Base!F15</f>
        <v>0</v>
      </c>
      <c r="AZ15" s="1124">
        <f>+Details!G15-Base!G15</f>
        <v>0</v>
      </c>
      <c r="BA15" s="1124">
        <f>+Details!H15-Base!H15</f>
        <v>0</v>
      </c>
      <c r="BB15" s="1124">
        <f>+Details!I15-Base!I15</f>
        <v>0</v>
      </c>
      <c r="BC15" s="1124">
        <f>+Details!J15-Base!J15</f>
        <v>0</v>
      </c>
      <c r="BD15" s="1124">
        <f>+Details!K15-Base!K15</f>
        <v>0</v>
      </c>
      <c r="BE15" s="1124">
        <f>+Details!L15-Base!L15</f>
        <v>0</v>
      </c>
      <c r="BF15" s="1124">
        <f>+Details!M15-Base!M15</f>
        <v>0</v>
      </c>
      <c r="BG15" s="1124">
        <f>+Details!N15-Base!N15</f>
        <v>0</v>
      </c>
      <c r="BH15" s="1124">
        <f>+Details!O15-Base!O15</f>
        <v>0</v>
      </c>
      <c r="BI15" s="1124">
        <f>+Details!P15-Base!P15</f>
        <v>0</v>
      </c>
      <c r="BJ15" s="1124">
        <f>+Details!Q15-Base!Q15</f>
        <v>0</v>
      </c>
      <c r="BK15" s="1124">
        <f>+Details!R15-Base!R15</f>
        <v>0</v>
      </c>
      <c r="BL15" s="1124">
        <f>+Details!S15-Base!S15</f>
        <v>0</v>
      </c>
      <c r="BM15" s="1124">
        <f>+Details!T15-Base!T15</f>
        <v>0</v>
      </c>
      <c r="BN15" s="1124">
        <f>+Details!U15-Base!U15</f>
        <v>0</v>
      </c>
      <c r="BO15" s="1124">
        <f>+Details!V15-Base!V15</f>
        <v>0</v>
      </c>
      <c r="BP15" s="1124">
        <f>+Details!W15-Base!W15</f>
        <v>0</v>
      </c>
      <c r="BQ15" s="1124">
        <f>+Details!X15-Base!X15</f>
        <v>0</v>
      </c>
      <c r="BR15" s="1124">
        <f>+Details!Y15-Base!Y15</f>
        <v>0</v>
      </c>
      <c r="BS15" s="1124">
        <f>+Details!Z15-Base!Z15</f>
        <v>0</v>
      </c>
      <c r="BT15" s="1124">
        <f>+Details!AA15-Base!AA15</f>
        <v>0</v>
      </c>
      <c r="BU15" s="1124">
        <f>+Details!AB15-Base!AB15</f>
        <v>0</v>
      </c>
      <c r="BV15" s="1124">
        <f>+Details!AC15-Base!AC15</f>
        <v>0</v>
      </c>
      <c r="BW15" s="1124">
        <f>+Details!AD15-Base!AD15</f>
        <v>0</v>
      </c>
      <c r="BX15" s="1124">
        <f>+Details!AE15-Base!AE15</f>
        <v>0</v>
      </c>
      <c r="BY15" s="1124">
        <f>+Details!AF15-Base!AF15</f>
        <v>0</v>
      </c>
      <c r="BZ15" s="1124">
        <f>+Details!AG15-Base!AG15</f>
        <v>0</v>
      </c>
      <c r="CA15" s="1124">
        <f>+Details!AH15-Base!AH15</f>
        <v>0</v>
      </c>
      <c r="CB15" s="1124">
        <f>+Details!AI15-Base!AI15</f>
        <v>0</v>
      </c>
      <c r="CC15" s="1124">
        <f>+Details!AJ15-Base!AJ15</f>
        <v>0</v>
      </c>
      <c r="CD15" s="1124">
        <f>+Details!AK15-Base!AK15</f>
        <v>0</v>
      </c>
      <c r="CE15" s="1124">
        <f>+Details!AL15-Base!AL15</f>
        <v>0</v>
      </c>
      <c r="CF15" s="1124">
        <f>+Details!AM15-Base!AM15</f>
        <v>0</v>
      </c>
      <c r="CG15" s="1124">
        <f>+Details!AN15-Base!AN15</f>
        <v>0</v>
      </c>
      <c r="CH15" s="1124">
        <f>+Details!AO15-Base!AO15</f>
        <v>0</v>
      </c>
      <c r="CI15" s="1124">
        <f>+Details!AP15-Base!AP15</f>
        <v>0</v>
      </c>
      <c r="CJ15" s="1124">
        <f>+Details!AQ15-Base!AQ15</f>
        <v>0</v>
      </c>
      <c r="CK15" s="1124">
        <f>+Details!AR15-Base!AR15</f>
        <v>0</v>
      </c>
      <c r="CL15" s="1124">
        <f>+Details!AS15-Base!AS15</f>
        <v>0</v>
      </c>
      <c r="CM15" s="81"/>
    </row>
    <row r="16" spans="1:91" ht="15.6" hidden="1">
      <c r="A16" s="1427" t="s">
        <v>1578</v>
      </c>
      <c r="B16" s="992" t="s">
        <v>761</v>
      </c>
      <c r="C16" s="686"/>
      <c r="E16" s="35">
        <f t="shared" ca="1" si="9"/>
        <v>21100</v>
      </c>
      <c r="F16" s="1303">
        <f>ROUND(Roth2_Begin/Round_To,0)*Round_To</f>
        <v>25000</v>
      </c>
      <c r="G16" s="1125">
        <f t="shared" ref="G16:AS16" si="19">ROUND((+F16+F36+F124)*IF(G$7-$F7&lt;=Total_Years-1,1,0)/Round_To,0)*Round_To</f>
        <v>26400</v>
      </c>
      <c r="H16" s="1125">
        <f t="shared" si="19"/>
        <v>27900</v>
      </c>
      <c r="I16" s="1125">
        <f t="shared" si="19"/>
        <v>29500</v>
      </c>
      <c r="J16" s="1125">
        <f t="shared" si="19"/>
        <v>31200</v>
      </c>
      <c r="K16" s="1125">
        <f t="shared" si="19"/>
        <v>33000</v>
      </c>
      <c r="L16" s="1125">
        <f t="shared" si="19"/>
        <v>34900</v>
      </c>
      <c r="M16" s="1125">
        <f t="shared" si="19"/>
        <v>36900</v>
      </c>
      <c r="N16" s="1125">
        <f t="shared" si="19"/>
        <v>39000</v>
      </c>
      <c r="O16" s="1125">
        <f t="shared" si="19"/>
        <v>36100</v>
      </c>
      <c r="P16" s="1125">
        <f t="shared" si="19"/>
        <v>32500</v>
      </c>
      <c r="Q16" s="1125">
        <f t="shared" si="19"/>
        <v>28100</v>
      </c>
      <c r="R16" s="1125">
        <f t="shared" si="19"/>
        <v>22800</v>
      </c>
      <c r="S16" s="1125">
        <f t="shared" si="19"/>
        <v>16500</v>
      </c>
      <c r="T16" s="1125">
        <f t="shared" si="19"/>
        <v>9100</v>
      </c>
      <c r="U16" s="1125">
        <f t="shared" si="19"/>
        <v>9600</v>
      </c>
      <c r="V16" s="1125">
        <f t="shared" si="19"/>
        <v>10100</v>
      </c>
      <c r="W16" s="1125">
        <f t="shared" si="19"/>
        <v>10700</v>
      </c>
      <c r="X16" s="1125">
        <f t="shared" si="19"/>
        <v>11300</v>
      </c>
      <c r="Y16" s="1125">
        <f t="shared" si="19"/>
        <v>11900</v>
      </c>
      <c r="Z16" s="1125">
        <f t="shared" si="19"/>
        <v>12500</v>
      </c>
      <c r="AA16" s="1125">
        <f t="shared" si="19"/>
        <v>13200</v>
      </c>
      <c r="AB16" s="1125">
        <f t="shared" si="19"/>
        <v>13900</v>
      </c>
      <c r="AC16" s="1125">
        <f t="shared" si="19"/>
        <v>14600</v>
      </c>
      <c r="AD16" s="1125">
        <f t="shared" si="19"/>
        <v>15400</v>
      </c>
      <c r="AE16" s="1125">
        <f t="shared" si="19"/>
        <v>16200</v>
      </c>
      <c r="AF16" s="1125">
        <f t="shared" si="19"/>
        <v>17100</v>
      </c>
      <c r="AG16" s="1125">
        <f t="shared" si="19"/>
        <v>18000</v>
      </c>
      <c r="AH16" s="1125">
        <f t="shared" si="19"/>
        <v>19000</v>
      </c>
      <c r="AI16" s="1125">
        <f t="shared" si="19"/>
        <v>20000</v>
      </c>
      <c r="AJ16" s="1125">
        <f t="shared" si="19"/>
        <v>0</v>
      </c>
      <c r="AK16" s="1125">
        <f t="shared" si="19"/>
        <v>0</v>
      </c>
      <c r="AL16" s="1125">
        <f t="shared" si="19"/>
        <v>0</v>
      </c>
      <c r="AM16" s="1125">
        <f t="shared" si="19"/>
        <v>0</v>
      </c>
      <c r="AN16" s="1125">
        <f t="shared" si="19"/>
        <v>0</v>
      </c>
      <c r="AO16" s="1125">
        <f t="shared" si="19"/>
        <v>0</v>
      </c>
      <c r="AP16" s="1125">
        <f t="shared" si="19"/>
        <v>0</v>
      </c>
      <c r="AQ16" s="1125">
        <f t="shared" si="19"/>
        <v>0</v>
      </c>
      <c r="AR16" s="1125">
        <f t="shared" si="19"/>
        <v>0</v>
      </c>
      <c r="AS16" s="1125">
        <f t="shared" si="19"/>
        <v>0</v>
      </c>
      <c r="AT16" s="3"/>
      <c r="AU16" s="1313">
        <f ca="1">+Base!E16</f>
        <v>21100</v>
      </c>
      <c r="AV16" s="83">
        <f t="shared" ca="1" si="11"/>
        <v>0</v>
      </c>
      <c r="AW16" s="110"/>
      <c r="AY16" s="38">
        <f>+Details!F16-Base!F16</f>
        <v>0</v>
      </c>
      <c r="AZ16" s="1125">
        <f>+Details!G16-Base!G16</f>
        <v>0</v>
      </c>
      <c r="BA16" s="1125">
        <f>+Details!H16-Base!H16</f>
        <v>0</v>
      </c>
      <c r="BB16" s="1125">
        <f>+Details!I16-Base!I16</f>
        <v>0</v>
      </c>
      <c r="BC16" s="1125">
        <f>+Details!J16-Base!J16</f>
        <v>0</v>
      </c>
      <c r="BD16" s="1125">
        <f>+Details!K16-Base!K16</f>
        <v>0</v>
      </c>
      <c r="BE16" s="1125">
        <f>+Details!L16-Base!L16</f>
        <v>0</v>
      </c>
      <c r="BF16" s="1125">
        <f>+Details!M16-Base!M16</f>
        <v>0</v>
      </c>
      <c r="BG16" s="1125">
        <f>+Details!N16-Base!N16</f>
        <v>0</v>
      </c>
      <c r="BH16" s="1125">
        <f>+Details!O16-Base!O16</f>
        <v>0</v>
      </c>
      <c r="BI16" s="1125">
        <f>+Details!P16-Base!P16</f>
        <v>0</v>
      </c>
      <c r="BJ16" s="1125">
        <f>+Details!Q16-Base!Q16</f>
        <v>0</v>
      </c>
      <c r="BK16" s="1125">
        <f>+Details!R16-Base!R16</f>
        <v>0</v>
      </c>
      <c r="BL16" s="1125">
        <f>+Details!S16-Base!S16</f>
        <v>0</v>
      </c>
      <c r="BM16" s="1125">
        <f>+Details!T16-Base!T16</f>
        <v>0</v>
      </c>
      <c r="BN16" s="1125">
        <f>+Details!U16-Base!U16</f>
        <v>0</v>
      </c>
      <c r="BO16" s="1125">
        <f>+Details!V16-Base!V16</f>
        <v>0</v>
      </c>
      <c r="BP16" s="1125">
        <f>+Details!W16-Base!W16</f>
        <v>0</v>
      </c>
      <c r="BQ16" s="1125">
        <f>+Details!X16-Base!X16</f>
        <v>0</v>
      </c>
      <c r="BR16" s="1125">
        <f>+Details!Y16-Base!Y16</f>
        <v>0</v>
      </c>
      <c r="BS16" s="1125">
        <f>+Details!Z16-Base!Z16</f>
        <v>0</v>
      </c>
      <c r="BT16" s="1125">
        <f>+Details!AA16-Base!AA16</f>
        <v>0</v>
      </c>
      <c r="BU16" s="1125">
        <f>+Details!AB16-Base!AB16</f>
        <v>0</v>
      </c>
      <c r="BV16" s="1125">
        <f>+Details!AC16-Base!AC16</f>
        <v>0</v>
      </c>
      <c r="BW16" s="1125">
        <f>+Details!AD16-Base!AD16</f>
        <v>0</v>
      </c>
      <c r="BX16" s="1125">
        <f>+Details!AE16-Base!AE16</f>
        <v>0</v>
      </c>
      <c r="BY16" s="1125">
        <f>+Details!AF16-Base!AF16</f>
        <v>0</v>
      </c>
      <c r="BZ16" s="1125">
        <f>+Details!AG16-Base!AG16</f>
        <v>0</v>
      </c>
      <c r="CA16" s="1125">
        <f>+Details!AH16-Base!AH16</f>
        <v>0</v>
      </c>
      <c r="CB16" s="1125">
        <f>+Details!AI16-Base!AI16</f>
        <v>0</v>
      </c>
      <c r="CC16" s="1125">
        <f>+Details!AJ16-Base!AJ16</f>
        <v>0</v>
      </c>
      <c r="CD16" s="1125">
        <f>+Details!AK16-Base!AK16</f>
        <v>0</v>
      </c>
      <c r="CE16" s="1125">
        <f>+Details!AL16-Base!AL16</f>
        <v>0</v>
      </c>
      <c r="CF16" s="1125">
        <f>+Details!AM16-Base!AM16</f>
        <v>0</v>
      </c>
      <c r="CG16" s="1125">
        <f>+Details!AN16-Base!AN16</f>
        <v>0</v>
      </c>
      <c r="CH16" s="1125">
        <f>+Details!AO16-Base!AO16</f>
        <v>0</v>
      </c>
      <c r="CI16" s="1125">
        <f>+Details!AP16-Base!AP16</f>
        <v>0</v>
      </c>
      <c r="CJ16" s="1125">
        <f>+Details!AQ16-Base!AQ16</f>
        <v>0</v>
      </c>
      <c r="CK16" s="1125">
        <f>+Details!AR16-Base!AR16</f>
        <v>0</v>
      </c>
      <c r="CL16" s="1125">
        <f>+Details!AS16-Base!AS16</f>
        <v>0</v>
      </c>
      <c r="CM16" s="103"/>
    </row>
    <row r="17" spans="1:91" ht="15.6">
      <c r="B17" s="718" t="s">
        <v>929</v>
      </c>
      <c r="C17" s="997" t="str">
        <f ca="1">IF(E17&lt;0,"Negative Balance!","")</f>
        <v/>
      </c>
      <c r="D17" s="162"/>
      <c r="E17" s="33">
        <f t="shared" ca="1" si="9"/>
        <v>437700</v>
      </c>
      <c r="F17" s="1124">
        <f>+F15+F16</f>
        <v>100000</v>
      </c>
      <c r="G17" s="1124">
        <f t="shared" ref="G17:AS17" si="20">+G15+G16</f>
        <v>107100</v>
      </c>
      <c r="H17" s="1124">
        <f t="shared" si="20"/>
        <v>114700</v>
      </c>
      <c r="I17" s="1124">
        <f t="shared" si="20"/>
        <v>122900</v>
      </c>
      <c r="J17" s="1124">
        <f t="shared" si="20"/>
        <v>131700</v>
      </c>
      <c r="K17" s="1124">
        <f t="shared" si="20"/>
        <v>139700</v>
      </c>
      <c r="L17" s="1124">
        <f t="shared" si="20"/>
        <v>148200</v>
      </c>
      <c r="M17" s="1124">
        <f t="shared" si="20"/>
        <v>157200</v>
      </c>
      <c r="N17" s="1124">
        <f t="shared" si="20"/>
        <v>166800</v>
      </c>
      <c r="O17" s="1124">
        <f t="shared" si="20"/>
        <v>171800</v>
      </c>
      <c r="P17" s="1124">
        <f t="shared" si="20"/>
        <v>176600</v>
      </c>
      <c r="Q17" s="1124">
        <f t="shared" si="20"/>
        <v>181100</v>
      </c>
      <c r="R17" s="1124">
        <f t="shared" si="20"/>
        <v>185300</v>
      </c>
      <c r="S17" s="1124">
        <f t="shared" si="20"/>
        <v>189100</v>
      </c>
      <c r="T17" s="1124">
        <f t="shared" si="20"/>
        <v>192400</v>
      </c>
      <c r="U17" s="1124">
        <f t="shared" si="20"/>
        <v>204300</v>
      </c>
      <c r="V17" s="1124">
        <f t="shared" si="20"/>
        <v>216900</v>
      </c>
      <c r="W17" s="1124">
        <f t="shared" si="20"/>
        <v>230300</v>
      </c>
      <c r="X17" s="1124">
        <f t="shared" si="20"/>
        <v>244500</v>
      </c>
      <c r="Y17" s="1124">
        <f t="shared" si="20"/>
        <v>256400</v>
      </c>
      <c r="Z17" s="1124">
        <f t="shared" si="20"/>
        <v>268900</v>
      </c>
      <c r="AA17" s="1124">
        <f t="shared" si="20"/>
        <v>282200</v>
      </c>
      <c r="AB17" s="1124">
        <f t="shared" si="20"/>
        <v>296100</v>
      </c>
      <c r="AC17" s="1124">
        <f t="shared" si="20"/>
        <v>310700</v>
      </c>
      <c r="AD17" s="1124">
        <f t="shared" si="20"/>
        <v>326200</v>
      </c>
      <c r="AE17" s="1124">
        <f t="shared" si="20"/>
        <v>342400</v>
      </c>
      <c r="AF17" s="1124">
        <f t="shared" si="20"/>
        <v>359600</v>
      </c>
      <c r="AG17" s="1124">
        <f t="shared" si="20"/>
        <v>377600</v>
      </c>
      <c r="AH17" s="1124">
        <f t="shared" si="20"/>
        <v>396600</v>
      </c>
      <c r="AI17" s="1124">
        <f t="shared" si="20"/>
        <v>416600</v>
      </c>
      <c r="AJ17" s="1124">
        <f t="shared" si="20"/>
        <v>0</v>
      </c>
      <c r="AK17" s="1124">
        <f t="shared" si="20"/>
        <v>0</v>
      </c>
      <c r="AL17" s="1124">
        <f t="shared" si="20"/>
        <v>0</v>
      </c>
      <c r="AM17" s="1124">
        <f t="shared" si="20"/>
        <v>0</v>
      </c>
      <c r="AN17" s="1124">
        <f t="shared" si="20"/>
        <v>0</v>
      </c>
      <c r="AO17" s="1124">
        <f t="shared" si="20"/>
        <v>0</v>
      </c>
      <c r="AP17" s="1124">
        <f t="shared" si="20"/>
        <v>0</v>
      </c>
      <c r="AQ17" s="1124">
        <f t="shared" si="20"/>
        <v>0</v>
      </c>
      <c r="AR17" s="1124">
        <f t="shared" si="20"/>
        <v>0</v>
      </c>
      <c r="AS17" s="1124">
        <f t="shared" si="20"/>
        <v>0</v>
      </c>
      <c r="AT17" s="3"/>
      <c r="AU17" s="1312">
        <f ca="1">+Base!E17</f>
        <v>437700</v>
      </c>
      <c r="AV17" s="81">
        <f t="shared" ca="1" si="11"/>
        <v>0</v>
      </c>
      <c r="AW17" s="110"/>
      <c r="AY17" s="31">
        <f>+Details!F17-Base!F17</f>
        <v>0</v>
      </c>
      <c r="AZ17" s="1124">
        <f>+Details!G17-Base!G17</f>
        <v>0</v>
      </c>
      <c r="BA17" s="1124">
        <f>+Details!H17-Base!H17</f>
        <v>0</v>
      </c>
      <c r="BB17" s="1124">
        <f>+Details!I17-Base!I17</f>
        <v>0</v>
      </c>
      <c r="BC17" s="1124">
        <f>+Details!J17-Base!J17</f>
        <v>0</v>
      </c>
      <c r="BD17" s="1124">
        <f>+Details!K17-Base!K17</f>
        <v>0</v>
      </c>
      <c r="BE17" s="1124">
        <f>+Details!L17-Base!L17</f>
        <v>0</v>
      </c>
      <c r="BF17" s="1124">
        <f>+Details!M17-Base!M17</f>
        <v>0</v>
      </c>
      <c r="BG17" s="1124">
        <f>+Details!N17-Base!N17</f>
        <v>0</v>
      </c>
      <c r="BH17" s="1124">
        <f>+Details!O17-Base!O17</f>
        <v>0</v>
      </c>
      <c r="BI17" s="1124">
        <f>+Details!P17-Base!P17</f>
        <v>0</v>
      </c>
      <c r="BJ17" s="1124">
        <f>+Details!Q17-Base!Q17</f>
        <v>0</v>
      </c>
      <c r="BK17" s="1124">
        <f>+Details!R17-Base!R17</f>
        <v>0</v>
      </c>
      <c r="BL17" s="1124">
        <f>+Details!S17-Base!S17</f>
        <v>0</v>
      </c>
      <c r="BM17" s="1124">
        <f>+Details!T17-Base!T17</f>
        <v>0</v>
      </c>
      <c r="BN17" s="1124">
        <f>+Details!U17-Base!U17</f>
        <v>0</v>
      </c>
      <c r="BO17" s="1124">
        <f>+Details!V17-Base!V17</f>
        <v>0</v>
      </c>
      <c r="BP17" s="1124">
        <f>+Details!W17-Base!W17</f>
        <v>0</v>
      </c>
      <c r="BQ17" s="1124">
        <f>+Details!X17-Base!X17</f>
        <v>0</v>
      </c>
      <c r="BR17" s="1124">
        <f>+Details!Y17-Base!Y17</f>
        <v>0</v>
      </c>
      <c r="BS17" s="1124">
        <f>+Details!Z17-Base!Z17</f>
        <v>0</v>
      </c>
      <c r="BT17" s="1124">
        <f>+Details!AA17-Base!AA17</f>
        <v>0</v>
      </c>
      <c r="BU17" s="1124">
        <f>+Details!AB17-Base!AB17</f>
        <v>0</v>
      </c>
      <c r="BV17" s="1124">
        <f>+Details!AC17-Base!AC17</f>
        <v>0</v>
      </c>
      <c r="BW17" s="1124">
        <f>+Details!AD17-Base!AD17</f>
        <v>0</v>
      </c>
      <c r="BX17" s="1124">
        <f>+Details!AE17-Base!AE17</f>
        <v>0</v>
      </c>
      <c r="BY17" s="1124">
        <f>+Details!AF17-Base!AF17</f>
        <v>0</v>
      </c>
      <c r="BZ17" s="1124">
        <f>+Details!AG17-Base!AG17</f>
        <v>0</v>
      </c>
      <c r="CA17" s="1124">
        <f>+Details!AH17-Base!AH17</f>
        <v>0</v>
      </c>
      <c r="CB17" s="1124">
        <f>+Details!AI17-Base!AI17</f>
        <v>0</v>
      </c>
      <c r="CC17" s="1124">
        <f>+Details!AJ17-Base!AJ17</f>
        <v>0</v>
      </c>
      <c r="CD17" s="1124">
        <f>+Details!AK17-Base!AK17</f>
        <v>0</v>
      </c>
      <c r="CE17" s="1124">
        <f>+Details!AL17-Base!AL17</f>
        <v>0</v>
      </c>
      <c r="CF17" s="1124">
        <f>+Details!AM17-Base!AM17</f>
        <v>0</v>
      </c>
      <c r="CG17" s="1124">
        <f>+Details!AN17-Base!AN17</f>
        <v>0</v>
      </c>
      <c r="CH17" s="1124">
        <f>+Details!AO17-Base!AO17</f>
        <v>0</v>
      </c>
      <c r="CI17" s="1124">
        <f>+Details!AP17-Base!AP17</f>
        <v>0</v>
      </c>
      <c r="CJ17" s="1124">
        <f>+Details!AQ17-Base!AQ17</f>
        <v>0</v>
      </c>
      <c r="CK17" s="1124">
        <f>+Details!AR17-Base!AR17</f>
        <v>0</v>
      </c>
      <c r="CL17" s="1124">
        <f>+Details!AS17-Base!AS17</f>
        <v>0</v>
      </c>
      <c r="CM17" s="81"/>
    </row>
    <row r="18" spans="1:91" ht="15.6">
      <c r="B18" s="719" t="s">
        <v>921</v>
      </c>
      <c r="C18" s="1176"/>
      <c r="D18" s="666" t="s">
        <v>579</v>
      </c>
      <c r="E18" s="35">
        <f t="shared" ca="1" si="9"/>
        <v>0</v>
      </c>
      <c r="F18" s="1126"/>
      <c r="G18" s="1125"/>
      <c r="H18" s="1125"/>
      <c r="I18" s="1125"/>
      <c r="J18" s="1125"/>
      <c r="K18" s="1125"/>
      <c r="L18" s="1125"/>
      <c r="M18" s="1125"/>
      <c r="N18" s="1125"/>
      <c r="O18" s="1125"/>
      <c r="P18" s="1125"/>
      <c r="Q18" s="1125"/>
      <c r="R18" s="1125"/>
      <c r="S18" s="1125"/>
      <c r="T18" s="1125"/>
      <c r="U18" s="1125"/>
      <c r="V18" s="1125"/>
      <c r="W18" s="1125"/>
      <c r="X18" s="1125"/>
      <c r="Y18" s="1125"/>
      <c r="Z18" s="1125"/>
      <c r="AA18" s="1125"/>
      <c r="AB18" s="1125"/>
      <c r="AC18" s="1125"/>
      <c r="AD18" s="1125"/>
      <c r="AE18" s="1125"/>
      <c r="AF18" s="1125"/>
      <c r="AG18" s="1125"/>
      <c r="AH18" s="1125"/>
      <c r="AI18" s="1125"/>
      <c r="AJ18" s="1125"/>
      <c r="AK18" s="1125"/>
      <c r="AL18" s="1125"/>
      <c r="AM18" s="1125"/>
      <c r="AN18" s="1125"/>
      <c r="AO18" s="1125"/>
      <c r="AP18" s="1125"/>
      <c r="AQ18" s="1125"/>
      <c r="AR18" s="1125"/>
      <c r="AS18" s="1125"/>
      <c r="AT18" s="3"/>
      <c r="AU18" s="35">
        <f ca="1">+Details!E18</f>
        <v>0</v>
      </c>
      <c r="AV18" s="83">
        <f t="shared" ca="1" si="11"/>
        <v>0</v>
      </c>
      <c r="AW18" s="110"/>
      <c r="AY18" s="38">
        <f>+Details!F18-Base!F18</f>
        <v>0</v>
      </c>
      <c r="AZ18" s="1125">
        <f>+Details!G18-Base!G18</f>
        <v>0</v>
      </c>
      <c r="BA18" s="1125">
        <f>+Details!H18-Base!H18</f>
        <v>0</v>
      </c>
      <c r="BB18" s="1125">
        <f>+Details!I18-Base!I18</f>
        <v>0</v>
      </c>
      <c r="BC18" s="1125">
        <f>+Details!J18-Base!J18</f>
        <v>0</v>
      </c>
      <c r="BD18" s="1125">
        <f>+Details!K18-Base!K18</f>
        <v>0</v>
      </c>
      <c r="BE18" s="1125">
        <f>+Details!L18-Base!L18</f>
        <v>0</v>
      </c>
      <c r="BF18" s="1125">
        <f>+Details!M18-Base!M18</f>
        <v>0</v>
      </c>
      <c r="BG18" s="1125">
        <f>+Details!N18-Base!N18</f>
        <v>0</v>
      </c>
      <c r="BH18" s="1125">
        <f>+Details!O18-Base!O18</f>
        <v>0</v>
      </c>
      <c r="BI18" s="1125">
        <f>+Details!P18-Base!P18</f>
        <v>0</v>
      </c>
      <c r="BJ18" s="1125">
        <f>+Details!Q18-Base!Q18</f>
        <v>0</v>
      </c>
      <c r="BK18" s="1125">
        <f>+Details!R18-Base!R18</f>
        <v>0</v>
      </c>
      <c r="BL18" s="1125">
        <f>+Details!S18-Base!S18</f>
        <v>0</v>
      </c>
      <c r="BM18" s="1125">
        <f>+Details!T18-Base!T18</f>
        <v>0</v>
      </c>
      <c r="BN18" s="1125">
        <f>+Details!U18-Base!U18</f>
        <v>0</v>
      </c>
      <c r="BO18" s="1125">
        <f>+Details!V18-Base!V18</f>
        <v>0</v>
      </c>
      <c r="BP18" s="1125">
        <f>+Details!W18-Base!W18</f>
        <v>0</v>
      </c>
      <c r="BQ18" s="1125">
        <f>+Details!X18-Base!X18</f>
        <v>0</v>
      </c>
      <c r="BR18" s="1125">
        <f>+Details!Y18-Base!Y18</f>
        <v>0</v>
      </c>
      <c r="BS18" s="1125">
        <f>+Details!Z18-Base!Z18</f>
        <v>0</v>
      </c>
      <c r="BT18" s="1125">
        <f>+Details!AA18-Base!AA18</f>
        <v>0</v>
      </c>
      <c r="BU18" s="1125">
        <f>+Details!AB18-Base!AB18</f>
        <v>0</v>
      </c>
      <c r="BV18" s="1125">
        <f>+Details!AC18-Base!AC18</f>
        <v>0</v>
      </c>
      <c r="BW18" s="1125">
        <f>+Details!AD18-Base!AD18</f>
        <v>0</v>
      </c>
      <c r="BX18" s="1125">
        <f>+Details!AE18-Base!AE18</f>
        <v>0</v>
      </c>
      <c r="BY18" s="1125">
        <f>+Details!AF18-Base!AF18</f>
        <v>0</v>
      </c>
      <c r="BZ18" s="1125">
        <f>+Details!AG18-Base!AG18</f>
        <v>0</v>
      </c>
      <c r="CA18" s="1125">
        <f>+Details!AH18-Base!AH18</f>
        <v>0</v>
      </c>
      <c r="CB18" s="1125">
        <f>+Details!AI18-Base!AI18</f>
        <v>0</v>
      </c>
      <c r="CC18" s="1125">
        <f>+Details!AJ18-Base!AJ18</f>
        <v>0</v>
      </c>
      <c r="CD18" s="1125">
        <f>+Details!AK18-Base!AK18</f>
        <v>0</v>
      </c>
      <c r="CE18" s="1125">
        <f>+Details!AL18-Base!AL18</f>
        <v>0</v>
      </c>
      <c r="CF18" s="1125">
        <f>+Details!AM18-Base!AM18</f>
        <v>0</v>
      </c>
      <c r="CG18" s="1125">
        <f>+Details!AN18-Base!AN18</f>
        <v>0</v>
      </c>
      <c r="CH18" s="1125">
        <f>+Details!AO18-Base!AO18</f>
        <v>0</v>
      </c>
      <c r="CI18" s="1125">
        <f>+Details!AP18-Base!AP18</f>
        <v>0</v>
      </c>
      <c r="CJ18" s="1125">
        <f>+Details!AQ18-Base!AQ18</f>
        <v>0</v>
      </c>
      <c r="CK18" s="1125">
        <f>+Details!AR18-Base!AR18</f>
        <v>0</v>
      </c>
      <c r="CL18" s="1125">
        <f>+Details!AS18-Base!AS18</f>
        <v>0</v>
      </c>
      <c r="CM18" s="103"/>
    </row>
    <row r="19" spans="1:91" ht="15.6">
      <c r="B19" s="28" t="s">
        <v>635</v>
      </c>
      <c r="C19" s="998" t="str">
        <f ca="1">IF(OR($E$8&lt;0,$E$11&lt;0,$E$14&lt;0,$E$18&lt;0),"Negative! Adjust factors.","")</f>
        <v/>
      </c>
      <c r="D19" s="312"/>
      <c r="E19" s="33">
        <f t="shared" ca="1" si="9"/>
        <v>2702400</v>
      </c>
      <c r="F19" s="1124">
        <f t="shared" ref="F19:AS19" si="21">ROUND(+F8+F11+F14+F17+F18,0)</f>
        <v>1000000</v>
      </c>
      <c r="G19" s="1124">
        <f t="shared" si="21"/>
        <v>1003900</v>
      </c>
      <c r="H19" s="1124">
        <f t="shared" si="21"/>
        <v>1020200</v>
      </c>
      <c r="I19" s="1124">
        <f t="shared" si="21"/>
        <v>1023600</v>
      </c>
      <c r="J19" s="1124">
        <f t="shared" si="21"/>
        <v>1026400</v>
      </c>
      <c r="K19" s="1124">
        <f t="shared" si="21"/>
        <v>1028500</v>
      </c>
      <c r="L19" s="1124">
        <f t="shared" si="21"/>
        <v>1050200</v>
      </c>
      <c r="M19" s="1124">
        <f t="shared" si="21"/>
        <v>1072700</v>
      </c>
      <c r="N19" s="1124">
        <f t="shared" si="21"/>
        <v>1094600</v>
      </c>
      <c r="O19" s="1124">
        <f t="shared" si="21"/>
        <v>1169500</v>
      </c>
      <c r="P19" s="1124">
        <f t="shared" si="21"/>
        <v>1219000</v>
      </c>
      <c r="Q19" s="1124">
        <f t="shared" si="21"/>
        <v>1189100</v>
      </c>
      <c r="R19" s="1124">
        <f t="shared" si="21"/>
        <v>1340600</v>
      </c>
      <c r="S19" s="1124">
        <f t="shared" si="21"/>
        <v>1377500</v>
      </c>
      <c r="T19" s="1124">
        <f t="shared" si="21"/>
        <v>1436400</v>
      </c>
      <c r="U19" s="1124">
        <f t="shared" si="21"/>
        <v>1417200</v>
      </c>
      <c r="V19" s="1124">
        <f t="shared" si="21"/>
        <v>1599600</v>
      </c>
      <c r="W19" s="1124">
        <f t="shared" si="21"/>
        <v>1671600</v>
      </c>
      <c r="X19" s="1124">
        <f t="shared" si="21"/>
        <v>1746500</v>
      </c>
      <c r="Y19" s="1124">
        <f t="shared" si="21"/>
        <v>1786500</v>
      </c>
      <c r="Z19" s="1124">
        <f t="shared" si="21"/>
        <v>1827200</v>
      </c>
      <c r="AA19" s="1124">
        <f t="shared" si="21"/>
        <v>1868600</v>
      </c>
      <c r="AB19" s="1124">
        <f t="shared" si="21"/>
        <v>1910200</v>
      </c>
      <c r="AC19" s="1124">
        <f t="shared" si="21"/>
        <v>2356100</v>
      </c>
      <c r="AD19" s="1124">
        <f t="shared" si="21"/>
        <v>2414800</v>
      </c>
      <c r="AE19" s="1124">
        <f t="shared" si="21"/>
        <v>2544900</v>
      </c>
      <c r="AF19" s="1124">
        <f t="shared" si="21"/>
        <v>2576100</v>
      </c>
      <c r="AG19" s="1124">
        <f t="shared" si="21"/>
        <v>2606300</v>
      </c>
      <c r="AH19" s="1124">
        <f t="shared" si="21"/>
        <v>2638500</v>
      </c>
      <c r="AI19" s="1124">
        <f t="shared" si="21"/>
        <v>2670800</v>
      </c>
      <c r="AJ19" s="1124">
        <f t="shared" si="21"/>
        <v>0</v>
      </c>
      <c r="AK19" s="1124">
        <f t="shared" si="21"/>
        <v>0</v>
      </c>
      <c r="AL19" s="1124">
        <f t="shared" si="21"/>
        <v>0</v>
      </c>
      <c r="AM19" s="1124">
        <f t="shared" si="21"/>
        <v>0</v>
      </c>
      <c r="AN19" s="1124">
        <f t="shared" si="21"/>
        <v>0</v>
      </c>
      <c r="AO19" s="1124">
        <f t="shared" si="21"/>
        <v>0</v>
      </c>
      <c r="AP19" s="1124">
        <f t="shared" si="21"/>
        <v>0</v>
      </c>
      <c r="AQ19" s="1124">
        <f t="shared" si="21"/>
        <v>0</v>
      </c>
      <c r="AR19" s="1124">
        <f t="shared" si="21"/>
        <v>0</v>
      </c>
      <c r="AS19" s="1124">
        <f t="shared" si="21"/>
        <v>0</v>
      </c>
      <c r="AT19" s="3"/>
      <c r="AU19" s="33">
        <f ca="1">+Details!E19</f>
        <v>2702400</v>
      </c>
      <c r="AV19" s="81">
        <f t="shared" ca="1" si="11"/>
        <v>0</v>
      </c>
      <c r="AW19" s="110"/>
      <c r="AY19" s="31">
        <f>+Details!F19-Base!F19</f>
        <v>0</v>
      </c>
      <c r="AZ19" s="1124">
        <f>+Details!G19-Base!G19</f>
        <v>0</v>
      </c>
      <c r="BA19" s="1124">
        <f>+Details!H19-Base!H19</f>
        <v>0</v>
      </c>
      <c r="BB19" s="1124">
        <f>+Details!I19-Base!I19</f>
        <v>0</v>
      </c>
      <c r="BC19" s="1124">
        <f>+Details!J19-Base!J19</f>
        <v>0</v>
      </c>
      <c r="BD19" s="1124">
        <f>+Details!K19-Base!K19</f>
        <v>0</v>
      </c>
      <c r="BE19" s="1124">
        <f>+Details!L19-Base!L19</f>
        <v>0</v>
      </c>
      <c r="BF19" s="1124">
        <f>+Details!M19-Base!M19</f>
        <v>0</v>
      </c>
      <c r="BG19" s="1124">
        <f>+Details!N19-Base!N19</f>
        <v>0</v>
      </c>
      <c r="BH19" s="1124">
        <f>+Details!O19-Base!O19</f>
        <v>0</v>
      </c>
      <c r="BI19" s="1124">
        <f>+Details!P19-Base!P19</f>
        <v>0</v>
      </c>
      <c r="BJ19" s="1124">
        <f>+Details!Q19-Base!Q19</f>
        <v>0</v>
      </c>
      <c r="BK19" s="1124">
        <f>+Details!R19-Base!R19</f>
        <v>0</v>
      </c>
      <c r="BL19" s="1124">
        <f>+Details!S19-Base!S19</f>
        <v>0</v>
      </c>
      <c r="BM19" s="1124">
        <f>+Details!T19-Base!T19</f>
        <v>0</v>
      </c>
      <c r="BN19" s="1124">
        <f>+Details!U19-Base!U19</f>
        <v>0</v>
      </c>
      <c r="BO19" s="1124">
        <f>+Details!V19-Base!V19</f>
        <v>0</v>
      </c>
      <c r="BP19" s="1124">
        <f>+Details!W19-Base!W19</f>
        <v>0</v>
      </c>
      <c r="BQ19" s="1124">
        <f>+Details!X19-Base!X19</f>
        <v>0</v>
      </c>
      <c r="BR19" s="1124">
        <f>+Details!Y19-Base!Y19</f>
        <v>0</v>
      </c>
      <c r="BS19" s="1124">
        <f>+Details!Z19-Base!Z19</f>
        <v>0</v>
      </c>
      <c r="BT19" s="1124">
        <f>+Details!AA19-Base!AA19</f>
        <v>0</v>
      </c>
      <c r="BU19" s="1124">
        <f>+Details!AB19-Base!AB19</f>
        <v>0</v>
      </c>
      <c r="BV19" s="1124">
        <f>+Details!AC19-Base!AC19</f>
        <v>0</v>
      </c>
      <c r="BW19" s="1124">
        <f>+Details!AD19-Base!AD19</f>
        <v>0</v>
      </c>
      <c r="BX19" s="1124">
        <f>+Details!AE19-Base!AE19</f>
        <v>0</v>
      </c>
      <c r="BY19" s="1124">
        <f>+Details!AF19-Base!AF19</f>
        <v>0</v>
      </c>
      <c r="BZ19" s="1124">
        <f>+Details!AG19-Base!AG19</f>
        <v>0</v>
      </c>
      <c r="CA19" s="1124">
        <f>+Details!AH19-Base!AH19</f>
        <v>0</v>
      </c>
      <c r="CB19" s="1124">
        <f>+Details!AI19-Base!AI19</f>
        <v>0</v>
      </c>
      <c r="CC19" s="1124">
        <f>+Details!AJ19-Base!AJ19</f>
        <v>0</v>
      </c>
      <c r="CD19" s="1124">
        <f>+Details!AK19-Base!AK19</f>
        <v>0</v>
      </c>
      <c r="CE19" s="1124">
        <f>+Details!AL19-Base!AL19</f>
        <v>0</v>
      </c>
      <c r="CF19" s="1124">
        <f>+Details!AM19-Base!AM19</f>
        <v>0</v>
      </c>
      <c r="CG19" s="1124">
        <f>+Details!AN19-Base!AN19</f>
        <v>0</v>
      </c>
      <c r="CH19" s="1124">
        <f>+Details!AO19-Base!AO19</f>
        <v>0</v>
      </c>
      <c r="CI19" s="1124">
        <f>+Details!AP19-Base!AP19</f>
        <v>0</v>
      </c>
      <c r="CJ19" s="1124">
        <f>+Details!AQ19-Base!AQ19</f>
        <v>0</v>
      </c>
      <c r="CK19" s="1124">
        <f>+Details!AR19-Base!AR19</f>
        <v>0</v>
      </c>
      <c r="CL19" s="1124">
        <f>+Details!AS19-Base!AS19</f>
        <v>0</v>
      </c>
      <c r="CM19" s="81"/>
    </row>
    <row r="20" spans="1:91" ht="15.6">
      <c r="B20" s="361" t="str">
        <f>IF(Negative_Full&gt;0,"Negative balances in one or more years. Adjust setup factors.","")</f>
        <v/>
      </c>
      <c r="C20" s="361"/>
      <c r="D20" s="361"/>
      <c r="E20" s="361"/>
      <c r="F20" s="119" t="str">
        <f>IF(OR(F8&lt;0,F9&lt;0,F10&lt;0,F12&lt;0,F13&lt;0,F15&lt;0,F16&lt;0,F18&lt;0),"Negative"," ")</f>
        <v xml:space="preserve"> </v>
      </c>
      <c r="G20" s="119" t="str">
        <f t="shared" ref="G20:AS20" si="22">IF(OR(G8&lt;0,G9&lt;0,G10&lt;0,G12&lt;0,G13&lt;0,G15&lt;0,G16&lt;0,G18&lt;0),"Negative"," ")</f>
        <v xml:space="preserve"> </v>
      </c>
      <c r="H20" s="119" t="str">
        <f t="shared" si="22"/>
        <v xml:space="preserve"> </v>
      </c>
      <c r="I20" s="119" t="str">
        <f t="shared" si="22"/>
        <v xml:space="preserve"> </v>
      </c>
      <c r="J20" s="119" t="str">
        <f t="shared" si="22"/>
        <v xml:space="preserve"> </v>
      </c>
      <c r="K20" s="119" t="str">
        <f t="shared" si="22"/>
        <v xml:space="preserve"> </v>
      </c>
      <c r="L20" s="119" t="str">
        <f t="shared" si="22"/>
        <v xml:space="preserve"> </v>
      </c>
      <c r="M20" s="119" t="str">
        <f t="shared" si="22"/>
        <v xml:space="preserve"> </v>
      </c>
      <c r="N20" s="119" t="str">
        <f t="shared" si="22"/>
        <v xml:space="preserve"> </v>
      </c>
      <c r="O20" s="119" t="str">
        <f t="shared" si="22"/>
        <v xml:space="preserve"> </v>
      </c>
      <c r="P20" s="119" t="str">
        <f t="shared" si="22"/>
        <v xml:space="preserve"> </v>
      </c>
      <c r="Q20" s="119" t="str">
        <f t="shared" si="22"/>
        <v xml:space="preserve"> </v>
      </c>
      <c r="R20" s="119" t="str">
        <f t="shared" si="22"/>
        <v xml:space="preserve"> </v>
      </c>
      <c r="S20" s="119" t="str">
        <f t="shared" si="22"/>
        <v xml:space="preserve"> </v>
      </c>
      <c r="T20" s="119" t="str">
        <f t="shared" si="22"/>
        <v xml:space="preserve"> </v>
      </c>
      <c r="U20" s="119" t="str">
        <f t="shared" si="22"/>
        <v xml:space="preserve"> </v>
      </c>
      <c r="V20" s="119" t="str">
        <f t="shared" si="22"/>
        <v xml:space="preserve"> </v>
      </c>
      <c r="W20" s="119" t="str">
        <f t="shared" si="22"/>
        <v xml:space="preserve"> </v>
      </c>
      <c r="X20" s="119" t="str">
        <f t="shared" si="22"/>
        <v xml:space="preserve"> </v>
      </c>
      <c r="Y20" s="119" t="str">
        <f t="shared" si="22"/>
        <v xml:space="preserve"> </v>
      </c>
      <c r="Z20" s="119" t="str">
        <f t="shared" si="22"/>
        <v xml:space="preserve"> </v>
      </c>
      <c r="AA20" s="119" t="str">
        <f t="shared" si="22"/>
        <v xml:space="preserve"> </v>
      </c>
      <c r="AB20" s="119" t="str">
        <f t="shared" si="22"/>
        <v xml:space="preserve"> </v>
      </c>
      <c r="AC20" s="119" t="str">
        <f t="shared" si="22"/>
        <v xml:space="preserve"> </v>
      </c>
      <c r="AD20" s="119" t="str">
        <f t="shared" si="22"/>
        <v xml:space="preserve"> </v>
      </c>
      <c r="AE20" s="119" t="str">
        <f t="shared" si="22"/>
        <v xml:space="preserve"> </v>
      </c>
      <c r="AF20" s="119" t="str">
        <f t="shared" si="22"/>
        <v xml:space="preserve"> </v>
      </c>
      <c r="AG20" s="119" t="str">
        <f t="shared" si="22"/>
        <v xml:space="preserve"> </v>
      </c>
      <c r="AH20" s="119" t="str">
        <f t="shared" si="22"/>
        <v xml:space="preserve"> </v>
      </c>
      <c r="AI20" s="119" t="str">
        <f t="shared" si="22"/>
        <v xml:space="preserve"> </v>
      </c>
      <c r="AJ20" s="119" t="str">
        <f t="shared" si="22"/>
        <v xml:space="preserve"> </v>
      </c>
      <c r="AK20" s="119" t="str">
        <f t="shared" si="22"/>
        <v xml:space="preserve"> </v>
      </c>
      <c r="AL20" s="119" t="str">
        <f t="shared" si="22"/>
        <v xml:space="preserve"> </v>
      </c>
      <c r="AM20" s="119" t="str">
        <f t="shared" si="22"/>
        <v xml:space="preserve"> </v>
      </c>
      <c r="AN20" s="119" t="str">
        <f t="shared" si="22"/>
        <v xml:space="preserve"> </v>
      </c>
      <c r="AO20" s="119" t="str">
        <f t="shared" si="22"/>
        <v xml:space="preserve"> </v>
      </c>
      <c r="AP20" s="119" t="str">
        <f t="shared" si="22"/>
        <v xml:space="preserve"> </v>
      </c>
      <c r="AQ20" s="119" t="str">
        <f t="shared" si="22"/>
        <v xml:space="preserve"> </v>
      </c>
      <c r="AR20" s="119" t="str">
        <f t="shared" si="22"/>
        <v xml:space="preserve"> </v>
      </c>
      <c r="AS20" s="119" t="str">
        <f t="shared" si="22"/>
        <v xml:space="preserve"> </v>
      </c>
      <c r="AT20" s="380">
        <f>40-COUNTIF(F20:AS20," ")</f>
        <v>0</v>
      </c>
      <c r="AU20" s="197" t="s">
        <v>1537</v>
      </c>
      <c r="AV20" s="48"/>
      <c r="AW20" s="1732"/>
      <c r="AZ20" s="119"/>
      <c r="BA20" s="119"/>
      <c r="BB20" s="119"/>
      <c r="BC20" s="119"/>
      <c r="BD20" s="119"/>
      <c r="BE20" s="119"/>
      <c r="BF20" s="119"/>
      <c r="BG20" s="119"/>
      <c r="BH20" s="119"/>
      <c r="BI20" s="119"/>
      <c r="BJ20" s="119"/>
      <c r="BK20" s="119"/>
      <c r="BL20" s="119"/>
      <c r="BM20" s="119"/>
      <c r="BN20" s="119"/>
      <c r="BO20" s="119"/>
      <c r="BP20" s="119"/>
      <c r="BQ20" s="119"/>
      <c r="BR20" s="119"/>
      <c r="BS20" s="119"/>
      <c r="BT20" s="119"/>
      <c r="BU20" s="119"/>
      <c r="BV20" s="119"/>
      <c r="BW20" s="119"/>
      <c r="BX20" s="119"/>
      <c r="BY20" s="119"/>
      <c r="BZ20" s="119"/>
      <c r="CA20" s="119"/>
      <c r="CB20" s="119"/>
      <c r="CC20" s="119"/>
      <c r="CD20" s="119"/>
      <c r="CE20" s="119"/>
      <c r="CF20" s="119"/>
      <c r="CG20" s="119"/>
      <c r="CH20" s="119"/>
      <c r="CI20" s="119"/>
      <c r="CJ20" s="119"/>
      <c r="CK20" s="119"/>
      <c r="CL20" s="119"/>
      <c r="CM20" s="48"/>
    </row>
    <row r="21" spans="1:91" ht="17.399999999999999">
      <c r="B21" s="1025" t="s">
        <v>448</v>
      </c>
      <c r="C21" s="422"/>
      <c r="D21" s="1352" t="s">
        <v>600</v>
      </c>
      <c r="E21" s="29"/>
      <c r="F21" s="1012" t="str">
        <f t="shared" ref="F21:AS21" si="23">IF(Change_Age=F4,"rate chg","")</f>
        <v/>
      </c>
      <c r="G21" s="1012" t="str">
        <f t="shared" si="23"/>
        <v/>
      </c>
      <c r="H21" s="1012" t="str">
        <f t="shared" si="23"/>
        <v/>
      </c>
      <c r="I21" s="1012" t="str">
        <f t="shared" si="23"/>
        <v/>
      </c>
      <c r="J21" s="1012" t="str">
        <f t="shared" si="23"/>
        <v/>
      </c>
      <c r="K21" s="1012" t="str">
        <f t="shared" si="23"/>
        <v/>
      </c>
      <c r="L21" s="1012" t="str">
        <f t="shared" si="23"/>
        <v/>
      </c>
      <c r="M21" s="1012" t="str">
        <f t="shared" si="23"/>
        <v/>
      </c>
      <c r="N21" s="1012" t="str">
        <f t="shared" si="23"/>
        <v/>
      </c>
      <c r="O21" s="1012" t="str">
        <f t="shared" si="23"/>
        <v/>
      </c>
      <c r="P21" s="1012" t="str">
        <f t="shared" si="23"/>
        <v/>
      </c>
      <c r="Q21" s="1012" t="str">
        <f t="shared" si="23"/>
        <v/>
      </c>
      <c r="R21" s="1012" t="str">
        <f t="shared" si="23"/>
        <v/>
      </c>
      <c r="S21" s="1012" t="str">
        <f t="shared" si="23"/>
        <v/>
      </c>
      <c r="T21" s="1012" t="str">
        <f t="shared" si="23"/>
        <v/>
      </c>
      <c r="U21" s="1012" t="str">
        <f t="shared" si="23"/>
        <v/>
      </c>
      <c r="V21" s="1012" t="str">
        <f t="shared" si="23"/>
        <v/>
      </c>
      <c r="W21" s="1012" t="str">
        <f t="shared" si="23"/>
        <v/>
      </c>
      <c r="X21" s="1012" t="str">
        <f t="shared" si="23"/>
        <v>rate chg</v>
      </c>
      <c r="Y21" s="1012" t="str">
        <f t="shared" si="23"/>
        <v/>
      </c>
      <c r="Z21" s="1012" t="str">
        <f t="shared" si="23"/>
        <v/>
      </c>
      <c r="AA21" s="1012" t="str">
        <f t="shared" si="23"/>
        <v/>
      </c>
      <c r="AB21" s="1012" t="str">
        <f t="shared" si="23"/>
        <v/>
      </c>
      <c r="AC21" s="1012" t="str">
        <f t="shared" si="23"/>
        <v/>
      </c>
      <c r="AD21" s="1012" t="str">
        <f t="shared" si="23"/>
        <v/>
      </c>
      <c r="AE21" s="1012" t="str">
        <f t="shared" si="23"/>
        <v/>
      </c>
      <c r="AF21" s="1012" t="str">
        <f t="shared" si="23"/>
        <v/>
      </c>
      <c r="AG21" s="1012" t="str">
        <f t="shared" si="23"/>
        <v/>
      </c>
      <c r="AH21" s="1012" t="str">
        <f t="shared" si="23"/>
        <v/>
      </c>
      <c r="AI21" s="1012" t="str">
        <f t="shared" si="23"/>
        <v/>
      </c>
      <c r="AJ21" s="1012" t="str">
        <f t="shared" si="23"/>
        <v/>
      </c>
      <c r="AK21" s="1012" t="str">
        <f t="shared" si="23"/>
        <v/>
      </c>
      <c r="AL21" s="1012" t="str">
        <f t="shared" si="23"/>
        <v/>
      </c>
      <c r="AM21" s="1012" t="str">
        <f t="shared" si="23"/>
        <v/>
      </c>
      <c r="AN21" s="1012" t="str">
        <f t="shared" si="23"/>
        <v/>
      </c>
      <c r="AO21" s="1012" t="str">
        <f t="shared" si="23"/>
        <v/>
      </c>
      <c r="AP21" s="1012" t="str">
        <f t="shared" si="23"/>
        <v/>
      </c>
      <c r="AQ21" s="1012" t="str">
        <f t="shared" si="23"/>
        <v/>
      </c>
      <c r="AR21" s="1012" t="str">
        <f t="shared" si="23"/>
        <v/>
      </c>
      <c r="AS21" s="1012" t="str">
        <f t="shared" si="23"/>
        <v/>
      </c>
      <c r="AT21" s="380"/>
      <c r="AU21" s="197"/>
      <c r="AV21" s="48"/>
      <c r="AW21" s="1733"/>
      <c r="AY21" s="1012" t="str">
        <f>IF(Change_Age=Base!AY4,"rate chg","")</f>
        <v/>
      </c>
      <c r="AZ21" s="1012" t="str">
        <f>IF(Change_Age=Base!AZ4,"rate chg","")</f>
        <v/>
      </c>
      <c r="BA21" s="1012" t="str">
        <f>IF(Change_Age=Base!BA4,"rate chg","")</f>
        <v/>
      </c>
      <c r="BB21" s="1012" t="str">
        <f>IF(Change_Age=Base!BB4,"rate chg","")</f>
        <v/>
      </c>
      <c r="BC21" s="1012" t="str">
        <f>IF(Change_Age=Base!BC4,"rate chg","")</f>
        <v/>
      </c>
      <c r="BD21" s="1012" t="str">
        <f>IF(Change_Age=Base!BD4,"rate chg","")</f>
        <v/>
      </c>
      <c r="BE21" s="1012" t="str">
        <f>IF(Change_Age=Base!BE4,"rate chg","")</f>
        <v/>
      </c>
      <c r="BF21" s="1012" t="str">
        <f>IF(Change_Age=Base!BF4,"rate chg","")</f>
        <v/>
      </c>
      <c r="BG21" s="1012" t="str">
        <f>IF(Change_Age=Base!BG4,"rate chg","")</f>
        <v/>
      </c>
      <c r="BH21" s="1012" t="str">
        <f>IF(Change_Age=Base!BH4,"rate chg","")</f>
        <v/>
      </c>
      <c r="BI21" s="1012" t="str">
        <f>IF(Change_Age=Base!BI4,"rate chg","")</f>
        <v/>
      </c>
      <c r="BJ21" s="1012" t="str">
        <f>IF(Change_Age=Base!BJ4,"rate chg","")</f>
        <v/>
      </c>
      <c r="BK21" s="1012" t="str">
        <f>IF(Change_Age=Base!BK4,"rate chg","")</f>
        <v/>
      </c>
      <c r="BL21" s="1012" t="str">
        <f>IF(Change_Age=Base!BL4,"rate chg","")</f>
        <v/>
      </c>
      <c r="BM21" s="1012" t="str">
        <f>IF(Change_Age=Base!BM4,"rate chg","")</f>
        <v/>
      </c>
      <c r="BN21" s="1012" t="str">
        <f>IF(Change_Age=Base!BN4,"rate chg","")</f>
        <v/>
      </c>
      <c r="BO21" s="1012" t="str">
        <f>IF(Change_Age=Base!BO4,"rate chg","")</f>
        <v/>
      </c>
      <c r="BP21" s="1012" t="str">
        <f>IF(Change_Age=Base!BP4,"rate chg","")</f>
        <v/>
      </c>
      <c r="BQ21" s="1012" t="str">
        <f>IF(Change_Age=Base!BQ4,"rate chg","")</f>
        <v>rate chg</v>
      </c>
      <c r="BR21" s="1012" t="str">
        <f>IF(Change_Age=Base!BR4,"rate chg","")</f>
        <v/>
      </c>
      <c r="BS21" s="1012" t="str">
        <f>IF(Change_Age=Base!BS4,"rate chg","")</f>
        <v/>
      </c>
      <c r="BT21" s="1012" t="str">
        <f>IF(Change_Age=Base!BT4,"rate chg","")</f>
        <v/>
      </c>
      <c r="BU21" s="1012" t="str">
        <f>IF(Change_Age=Base!BU4,"rate chg","")</f>
        <v/>
      </c>
      <c r="BV21" s="1012" t="str">
        <f>IF(Change_Age=Base!BV4,"rate chg","")</f>
        <v/>
      </c>
      <c r="BW21" s="1012" t="str">
        <f>IF(Change_Age=Base!BW4,"rate chg","")</f>
        <v/>
      </c>
      <c r="BX21" s="1012" t="str">
        <f>IF(Change_Age=Base!BX4,"rate chg","")</f>
        <v/>
      </c>
      <c r="BY21" s="1012" t="str">
        <f>IF(Change_Age=Base!BY4,"rate chg","")</f>
        <v/>
      </c>
      <c r="BZ21" s="1012" t="str">
        <f>IF(Change_Age=Base!BZ4,"rate chg","")</f>
        <v/>
      </c>
      <c r="CA21" s="1012" t="str">
        <f>IF(Change_Age=Base!CA4,"rate chg","")</f>
        <v/>
      </c>
      <c r="CB21" s="1012" t="str">
        <f>IF(Change_Age=Base!CB4,"rate chg","")</f>
        <v/>
      </c>
      <c r="CC21" s="1012" t="str">
        <f>IF(Change_Age=Base!CC4,"rate chg","")</f>
        <v/>
      </c>
      <c r="CD21" s="1012" t="str">
        <f>IF(Change_Age=Base!CD4,"rate chg","")</f>
        <v/>
      </c>
      <c r="CE21" s="1012" t="str">
        <f>IF(Change_Age=Base!CE4,"rate chg","")</f>
        <v/>
      </c>
      <c r="CF21" s="1012" t="str">
        <f>IF(Change_Age=Base!CF4,"rate chg","")</f>
        <v/>
      </c>
      <c r="CG21" s="1012" t="str">
        <f>IF(Change_Age=Base!CG4,"rate chg","")</f>
        <v/>
      </c>
      <c r="CH21" s="1012" t="str">
        <f>IF(Change_Age=Base!CH4,"rate chg","")</f>
        <v/>
      </c>
      <c r="CI21" s="1012" t="str">
        <f>IF(Change_Age=Base!CI4,"rate chg","")</f>
        <v/>
      </c>
      <c r="CJ21" s="1012" t="str">
        <f>IF(Change_Age=Base!CJ4,"rate chg","")</f>
        <v/>
      </c>
      <c r="CK21" s="1012" t="str">
        <f>IF(Change_Age=Base!CK4,"rate chg","")</f>
        <v/>
      </c>
      <c r="CL21" s="1012" t="str">
        <f>IF(Change_Age=Base!CL4,"rate chg","")</f>
        <v/>
      </c>
      <c r="CM21" s="48"/>
    </row>
    <row r="22" spans="1:91" ht="15.6" hidden="1">
      <c r="A22" s="1427" t="s">
        <v>1578</v>
      </c>
      <c r="B22" s="552" t="s">
        <v>75</v>
      </c>
      <c r="C22" s="437"/>
      <c r="D22" s="1662" t="str">
        <f>"Rate change year: " &amp; IF(Change_Age&gt;0,Change_Age-Your_Age+First_Year,First_Year)</f>
        <v>Rate change year: 2037</v>
      </c>
      <c r="E22" s="29"/>
      <c r="F22" s="117">
        <f t="shared" ref="F22:AS22" si="24">IF(AND(Use_Class="c",F$4&gt;=Change_Age),Taxable_Return2,Taxable_Return)</f>
        <v>0.05</v>
      </c>
      <c r="G22" s="117">
        <f t="shared" si="24"/>
        <v>0.05</v>
      </c>
      <c r="H22" s="117">
        <f t="shared" si="24"/>
        <v>0.05</v>
      </c>
      <c r="I22" s="117">
        <f t="shared" si="24"/>
        <v>0.05</v>
      </c>
      <c r="J22" s="117">
        <f t="shared" si="24"/>
        <v>0.05</v>
      </c>
      <c r="K22" s="117">
        <f t="shared" si="24"/>
        <v>0.05</v>
      </c>
      <c r="L22" s="117">
        <f t="shared" si="24"/>
        <v>0.05</v>
      </c>
      <c r="M22" s="117">
        <f t="shared" si="24"/>
        <v>0.05</v>
      </c>
      <c r="N22" s="117">
        <f t="shared" si="24"/>
        <v>0.05</v>
      </c>
      <c r="O22" s="117">
        <f t="shared" si="24"/>
        <v>0.05</v>
      </c>
      <c r="P22" s="117">
        <f t="shared" si="24"/>
        <v>0.05</v>
      </c>
      <c r="Q22" s="117">
        <f t="shared" si="24"/>
        <v>0.05</v>
      </c>
      <c r="R22" s="117">
        <f t="shared" si="24"/>
        <v>0.05</v>
      </c>
      <c r="S22" s="117">
        <f t="shared" si="24"/>
        <v>0.05</v>
      </c>
      <c r="T22" s="117">
        <f t="shared" si="24"/>
        <v>0.05</v>
      </c>
      <c r="U22" s="117">
        <f t="shared" si="24"/>
        <v>0.05</v>
      </c>
      <c r="V22" s="117">
        <f t="shared" si="24"/>
        <v>0.05</v>
      </c>
      <c r="W22" s="117">
        <f t="shared" si="24"/>
        <v>0.05</v>
      </c>
      <c r="X22" s="117">
        <f t="shared" si="24"/>
        <v>4.1000000000000002E-2</v>
      </c>
      <c r="Y22" s="117">
        <f t="shared" si="24"/>
        <v>4.1000000000000002E-2</v>
      </c>
      <c r="Z22" s="117">
        <f t="shared" si="24"/>
        <v>4.1000000000000002E-2</v>
      </c>
      <c r="AA22" s="117">
        <f t="shared" si="24"/>
        <v>4.1000000000000002E-2</v>
      </c>
      <c r="AB22" s="117">
        <f t="shared" si="24"/>
        <v>4.1000000000000002E-2</v>
      </c>
      <c r="AC22" s="117">
        <f t="shared" si="24"/>
        <v>4.1000000000000002E-2</v>
      </c>
      <c r="AD22" s="117">
        <f t="shared" si="24"/>
        <v>4.1000000000000002E-2</v>
      </c>
      <c r="AE22" s="117">
        <f t="shared" si="24"/>
        <v>4.1000000000000002E-2</v>
      </c>
      <c r="AF22" s="117">
        <f t="shared" si="24"/>
        <v>4.1000000000000002E-2</v>
      </c>
      <c r="AG22" s="117">
        <f t="shared" si="24"/>
        <v>4.1000000000000002E-2</v>
      </c>
      <c r="AH22" s="117">
        <f t="shared" si="24"/>
        <v>4.1000000000000002E-2</v>
      </c>
      <c r="AI22" s="117">
        <f t="shared" si="24"/>
        <v>4.1000000000000002E-2</v>
      </c>
      <c r="AJ22" s="117">
        <f t="shared" si="24"/>
        <v>4.1000000000000002E-2</v>
      </c>
      <c r="AK22" s="117">
        <f t="shared" si="24"/>
        <v>4.1000000000000002E-2</v>
      </c>
      <c r="AL22" s="117">
        <f t="shared" si="24"/>
        <v>4.1000000000000002E-2</v>
      </c>
      <c r="AM22" s="117">
        <f t="shared" si="24"/>
        <v>4.1000000000000002E-2</v>
      </c>
      <c r="AN22" s="117">
        <f t="shared" si="24"/>
        <v>4.1000000000000002E-2</v>
      </c>
      <c r="AO22" s="117">
        <f t="shared" si="24"/>
        <v>4.1000000000000002E-2</v>
      </c>
      <c r="AP22" s="117">
        <f t="shared" si="24"/>
        <v>4.1000000000000002E-2</v>
      </c>
      <c r="AQ22" s="117">
        <f t="shared" si="24"/>
        <v>4.1000000000000002E-2</v>
      </c>
      <c r="AR22" s="117">
        <f t="shared" si="24"/>
        <v>4.1000000000000002E-2</v>
      </c>
      <c r="AS22" s="117">
        <f t="shared" si="24"/>
        <v>4.1000000000000002E-2</v>
      </c>
      <c r="AT22" s="380"/>
      <c r="AU22" s="40"/>
      <c r="AV22" s="118"/>
      <c r="AW22" s="102"/>
      <c r="AY22" s="44">
        <f>+Details!F22-Base!F22</f>
        <v>0</v>
      </c>
      <c r="AZ22" s="117">
        <f>+Details!G22-Base!G22</f>
        <v>0</v>
      </c>
      <c r="BA22" s="117">
        <f>+Details!H22-Base!H22</f>
        <v>0</v>
      </c>
      <c r="BB22" s="117">
        <f>+Details!I22-Base!I22</f>
        <v>0</v>
      </c>
      <c r="BC22" s="117">
        <f>+Details!J22-Base!J22</f>
        <v>0</v>
      </c>
      <c r="BD22" s="117">
        <f>+Details!K22-Base!K22</f>
        <v>0</v>
      </c>
      <c r="BE22" s="117">
        <f>+Details!L22-Base!L22</f>
        <v>0</v>
      </c>
      <c r="BF22" s="117">
        <f>+Details!M22-Base!M22</f>
        <v>0</v>
      </c>
      <c r="BG22" s="117">
        <f>+Details!N22-Base!N22</f>
        <v>0</v>
      </c>
      <c r="BH22" s="117">
        <f>+Details!O22-Base!O22</f>
        <v>0</v>
      </c>
      <c r="BI22" s="117">
        <f>+Details!P22-Base!P22</f>
        <v>0</v>
      </c>
      <c r="BJ22" s="117">
        <f>+Details!Q22-Base!Q22</f>
        <v>0</v>
      </c>
      <c r="BK22" s="117">
        <f>+Details!R22-Base!R22</f>
        <v>0</v>
      </c>
      <c r="BL22" s="117">
        <f>+Details!S22-Base!S22</f>
        <v>0</v>
      </c>
      <c r="BM22" s="117">
        <f>+Details!T22-Base!T22</f>
        <v>0</v>
      </c>
      <c r="BN22" s="117">
        <f>+Details!U22-Base!U22</f>
        <v>0</v>
      </c>
      <c r="BO22" s="117">
        <f>+Details!V22-Base!V22</f>
        <v>0</v>
      </c>
      <c r="BP22" s="117">
        <f>+Details!W22-Base!W22</f>
        <v>0</v>
      </c>
      <c r="BQ22" s="117">
        <f>+Details!X22-Base!X22</f>
        <v>0</v>
      </c>
      <c r="BR22" s="117">
        <f>+Details!Y22-Base!Y22</f>
        <v>0</v>
      </c>
      <c r="BS22" s="117">
        <f>+Details!Z22-Base!Z22</f>
        <v>0</v>
      </c>
      <c r="BT22" s="117">
        <f>+Details!AA22-Base!AA22</f>
        <v>0</v>
      </c>
      <c r="BU22" s="117">
        <f>+Details!AB22-Base!AB22</f>
        <v>0</v>
      </c>
      <c r="BV22" s="117">
        <f>+Details!AC22-Base!AC22</f>
        <v>0</v>
      </c>
      <c r="BW22" s="117">
        <f>+Details!AD22-Base!AD22</f>
        <v>0</v>
      </c>
      <c r="BX22" s="117">
        <f>+Details!AE22-Base!AE22</f>
        <v>0</v>
      </c>
      <c r="BY22" s="117">
        <f>+Details!AF22-Base!AF22</f>
        <v>0</v>
      </c>
      <c r="BZ22" s="117">
        <f>+Details!AG22-Base!AG22</f>
        <v>0</v>
      </c>
      <c r="CA22" s="117">
        <f>+Details!AH22-Base!AH22</f>
        <v>0</v>
      </c>
      <c r="CB22" s="117">
        <f>+Details!AI22-Base!AI22</f>
        <v>0</v>
      </c>
      <c r="CC22" s="117">
        <f>+Details!AJ22-Base!AJ22</f>
        <v>0</v>
      </c>
      <c r="CD22" s="117">
        <f>+Details!AK22-Base!AK22</f>
        <v>0</v>
      </c>
      <c r="CE22" s="117">
        <f>+Details!AL22-Base!AL22</f>
        <v>0</v>
      </c>
      <c r="CF22" s="117">
        <f>+Details!AM22-Base!AM22</f>
        <v>0</v>
      </c>
      <c r="CG22" s="117">
        <f>+Details!AN22-Base!AN22</f>
        <v>0</v>
      </c>
      <c r="CH22" s="117">
        <f>+Details!AO22-Base!AO22</f>
        <v>0</v>
      </c>
      <c r="CI22" s="117">
        <f>+Details!AP22-Base!AP22</f>
        <v>0</v>
      </c>
      <c r="CJ22" s="117">
        <f>+Details!AQ22-Base!AQ22</f>
        <v>0</v>
      </c>
      <c r="CK22" s="117">
        <f>+Details!AR22-Base!AR22</f>
        <v>0</v>
      </c>
      <c r="CL22" s="117">
        <f>+Details!AS22-Base!AS22</f>
        <v>0</v>
      </c>
      <c r="CM22" s="118"/>
    </row>
    <row r="23" spans="1:91" ht="15.6" hidden="1">
      <c r="A23" s="1427" t="s">
        <v>1578</v>
      </c>
      <c r="B23" s="552" t="s">
        <v>174</v>
      </c>
      <c r="C23" s="437"/>
      <c r="D23" s="1663" t="str">
        <f>IF(Use_Class="a","Using rates by account method","Using rates by asset class method")</f>
        <v>Using rates by asset class method</v>
      </c>
      <c r="E23" s="29"/>
      <c r="F23" s="117">
        <f t="shared" ref="F23:AS23" si="25">IF(AND(Use_Class="c",F$4&gt;=Change_Age),tIRA_Return2,tIRA_Return)</f>
        <v>6.5000000000000002E-2</v>
      </c>
      <c r="G23" s="117">
        <f t="shared" si="25"/>
        <v>6.5000000000000002E-2</v>
      </c>
      <c r="H23" s="117">
        <f t="shared" si="25"/>
        <v>6.5000000000000002E-2</v>
      </c>
      <c r="I23" s="117">
        <f t="shared" si="25"/>
        <v>6.5000000000000002E-2</v>
      </c>
      <c r="J23" s="117">
        <f t="shared" si="25"/>
        <v>6.5000000000000002E-2</v>
      </c>
      <c r="K23" s="117">
        <f t="shared" si="25"/>
        <v>6.5000000000000002E-2</v>
      </c>
      <c r="L23" s="117">
        <f t="shared" si="25"/>
        <v>6.5000000000000002E-2</v>
      </c>
      <c r="M23" s="117">
        <f t="shared" si="25"/>
        <v>6.5000000000000002E-2</v>
      </c>
      <c r="N23" s="117">
        <f t="shared" si="25"/>
        <v>6.5000000000000002E-2</v>
      </c>
      <c r="O23" s="117">
        <f t="shared" si="25"/>
        <v>6.5000000000000002E-2</v>
      </c>
      <c r="P23" s="117">
        <f t="shared" si="25"/>
        <v>6.5000000000000002E-2</v>
      </c>
      <c r="Q23" s="117">
        <f t="shared" si="25"/>
        <v>6.5000000000000002E-2</v>
      </c>
      <c r="R23" s="117">
        <f t="shared" si="25"/>
        <v>6.5000000000000002E-2</v>
      </c>
      <c r="S23" s="117">
        <f t="shared" si="25"/>
        <v>6.5000000000000002E-2</v>
      </c>
      <c r="T23" s="117">
        <f t="shared" si="25"/>
        <v>6.5000000000000002E-2</v>
      </c>
      <c r="U23" s="117">
        <f t="shared" si="25"/>
        <v>6.5000000000000002E-2</v>
      </c>
      <c r="V23" s="117">
        <f t="shared" si="25"/>
        <v>6.5000000000000002E-2</v>
      </c>
      <c r="W23" s="117">
        <f t="shared" si="25"/>
        <v>6.5000000000000002E-2</v>
      </c>
      <c r="X23" s="117">
        <f t="shared" si="25"/>
        <v>5.6000000000000001E-2</v>
      </c>
      <c r="Y23" s="117">
        <f t="shared" si="25"/>
        <v>5.6000000000000001E-2</v>
      </c>
      <c r="Z23" s="117">
        <f t="shared" si="25"/>
        <v>5.6000000000000001E-2</v>
      </c>
      <c r="AA23" s="117">
        <f t="shared" si="25"/>
        <v>5.6000000000000001E-2</v>
      </c>
      <c r="AB23" s="117">
        <f t="shared" si="25"/>
        <v>5.6000000000000001E-2</v>
      </c>
      <c r="AC23" s="117">
        <f t="shared" si="25"/>
        <v>5.6000000000000001E-2</v>
      </c>
      <c r="AD23" s="117">
        <f t="shared" si="25"/>
        <v>5.6000000000000001E-2</v>
      </c>
      <c r="AE23" s="117">
        <f t="shared" si="25"/>
        <v>5.6000000000000001E-2</v>
      </c>
      <c r="AF23" s="117">
        <f t="shared" si="25"/>
        <v>5.6000000000000001E-2</v>
      </c>
      <c r="AG23" s="117">
        <f t="shared" si="25"/>
        <v>5.6000000000000001E-2</v>
      </c>
      <c r="AH23" s="117">
        <f t="shared" si="25"/>
        <v>5.6000000000000001E-2</v>
      </c>
      <c r="AI23" s="117">
        <f t="shared" si="25"/>
        <v>5.6000000000000001E-2</v>
      </c>
      <c r="AJ23" s="117">
        <f t="shared" si="25"/>
        <v>5.6000000000000001E-2</v>
      </c>
      <c r="AK23" s="117">
        <f t="shared" si="25"/>
        <v>5.6000000000000001E-2</v>
      </c>
      <c r="AL23" s="117">
        <f t="shared" si="25"/>
        <v>5.6000000000000001E-2</v>
      </c>
      <c r="AM23" s="117">
        <f t="shared" si="25"/>
        <v>5.6000000000000001E-2</v>
      </c>
      <c r="AN23" s="117">
        <f t="shared" si="25"/>
        <v>5.6000000000000001E-2</v>
      </c>
      <c r="AO23" s="117">
        <f t="shared" si="25"/>
        <v>5.6000000000000001E-2</v>
      </c>
      <c r="AP23" s="117">
        <f t="shared" si="25"/>
        <v>5.6000000000000001E-2</v>
      </c>
      <c r="AQ23" s="117">
        <f t="shared" si="25"/>
        <v>5.6000000000000001E-2</v>
      </c>
      <c r="AR23" s="117">
        <f t="shared" si="25"/>
        <v>5.6000000000000001E-2</v>
      </c>
      <c r="AS23" s="117">
        <f t="shared" si="25"/>
        <v>5.6000000000000001E-2</v>
      </c>
      <c r="AT23" s="380"/>
      <c r="AU23" s="40"/>
      <c r="AV23" s="118"/>
      <c r="AW23" s="102"/>
      <c r="AY23" s="44">
        <f>+Details!F23-Base!F23</f>
        <v>0</v>
      </c>
      <c r="AZ23" s="117">
        <f>+Details!G23-Base!G23</f>
        <v>0</v>
      </c>
      <c r="BA23" s="117">
        <f>+Details!H23-Base!H23</f>
        <v>0</v>
      </c>
      <c r="BB23" s="117">
        <f>+Details!I23-Base!I23</f>
        <v>0</v>
      </c>
      <c r="BC23" s="117">
        <f>+Details!J23-Base!J23</f>
        <v>0</v>
      </c>
      <c r="BD23" s="117">
        <f>+Details!K23-Base!K23</f>
        <v>0</v>
      </c>
      <c r="BE23" s="117">
        <f>+Details!L23-Base!L23</f>
        <v>0</v>
      </c>
      <c r="BF23" s="117">
        <f>+Details!M23-Base!M23</f>
        <v>0</v>
      </c>
      <c r="BG23" s="117">
        <f>+Details!N23-Base!N23</f>
        <v>0</v>
      </c>
      <c r="BH23" s="117">
        <f>+Details!O23-Base!O23</f>
        <v>0</v>
      </c>
      <c r="BI23" s="117">
        <f>+Details!P23-Base!P23</f>
        <v>0</v>
      </c>
      <c r="BJ23" s="117">
        <f>+Details!Q23-Base!Q23</f>
        <v>0</v>
      </c>
      <c r="BK23" s="117">
        <f>+Details!R23-Base!R23</f>
        <v>0</v>
      </c>
      <c r="BL23" s="117">
        <f>+Details!S23-Base!S23</f>
        <v>0</v>
      </c>
      <c r="BM23" s="117">
        <f>+Details!T23-Base!T23</f>
        <v>0</v>
      </c>
      <c r="BN23" s="117">
        <f>+Details!U23-Base!U23</f>
        <v>0</v>
      </c>
      <c r="BO23" s="117">
        <f>+Details!V23-Base!V23</f>
        <v>0</v>
      </c>
      <c r="BP23" s="117">
        <f>+Details!W23-Base!W23</f>
        <v>0</v>
      </c>
      <c r="BQ23" s="117">
        <f>+Details!X23-Base!X23</f>
        <v>0</v>
      </c>
      <c r="BR23" s="117">
        <f>+Details!Y23-Base!Y23</f>
        <v>0</v>
      </c>
      <c r="BS23" s="117">
        <f>+Details!Z23-Base!Z23</f>
        <v>0</v>
      </c>
      <c r="BT23" s="117">
        <f>+Details!AA23-Base!AA23</f>
        <v>0</v>
      </c>
      <c r="BU23" s="117">
        <f>+Details!AB23-Base!AB23</f>
        <v>0</v>
      </c>
      <c r="BV23" s="117">
        <f>+Details!AC23-Base!AC23</f>
        <v>0</v>
      </c>
      <c r="BW23" s="117">
        <f>+Details!AD23-Base!AD23</f>
        <v>0</v>
      </c>
      <c r="BX23" s="117">
        <f>+Details!AE23-Base!AE23</f>
        <v>0</v>
      </c>
      <c r="BY23" s="117">
        <f>+Details!AF23-Base!AF23</f>
        <v>0</v>
      </c>
      <c r="BZ23" s="117">
        <f>+Details!AG23-Base!AG23</f>
        <v>0</v>
      </c>
      <c r="CA23" s="117">
        <f>+Details!AH23-Base!AH23</f>
        <v>0</v>
      </c>
      <c r="CB23" s="117">
        <f>+Details!AI23-Base!AI23</f>
        <v>0</v>
      </c>
      <c r="CC23" s="117">
        <f>+Details!AJ23-Base!AJ23</f>
        <v>0</v>
      </c>
      <c r="CD23" s="117">
        <f>+Details!AK23-Base!AK23</f>
        <v>0</v>
      </c>
      <c r="CE23" s="117">
        <f>+Details!AL23-Base!AL23</f>
        <v>0</v>
      </c>
      <c r="CF23" s="117">
        <f>+Details!AM23-Base!AM23</f>
        <v>0</v>
      </c>
      <c r="CG23" s="117">
        <f>+Details!AN23-Base!AN23</f>
        <v>0</v>
      </c>
      <c r="CH23" s="117">
        <f>+Details!AO23-Base!AO23</f>
        <v>0</v>
      </c>
      <c r="CI23" s="117">
        <f>+Details!AP23-Base!AP23</f>
        <v>0</v>
      </c>
      <c r="CJ23" s="117">
        <f>+Details!AQ23-Base!AQ23</f>
        <v>0</v>
      </c>
      <c r="CK23" s="117">
        <f>+Details!AR23-Base!AR23</f>
        <v>0</v>
      </c>
      <c r="CL23" s="117">
        <f>+Details!AS23-Base!AS23</f>
        <v>0</v>
      </c>
      <c r="CM23" s="118"/>
    </row>
    <row r="24" spans="1:91" ht="15.6" hidden="1">
      <c r="A24" s="1427" t="s">
        <v>1578</v>
      </c>
      <c r="B24" s="552" t="s">
        <v>725</v>
      </c>
      <c r="C24" s="437"/>
      <c r="D24" s="32"/>
      <c r="E24" s="29"/>
      <c r="F24" s="117">
        <f t="shared" ref="F24:AS24" si="26">IF(AND(Use_Class="c",F$4&gt;=Change_Age),tIRA2_Return2,tIRA2_Return)</f>
        <v>5.8999999999999997E-2</v>
      </c>
      <c r="G24" s="117">
        <f t="shared" si="26"/>
        <v>5.8999999999999997E-2</v>
      </c>
      <c r="H24" s="117">
        <f t="shared" si="26"/>
        <v>5.8999999999999997E-2</v>
      </c>
      <c r="I24" s="117">
        <f t="shared" si="26"/>
        <v>5.8999999999999997E-2</v>
      </c>
      <c r="J24" s="117">
        <f t="shared" si="26"/>
        <v>5.8999999999999997E-2</v>
      </c>
      <c r="K24" s="117">
        <f t="shared" si="26"/>
        <v>5.8999999999999997E-2</v>
      </c>
      <c r="L24" s="117">
        <f t="shared" si="26"/>
        <v>5.8999999999999997E-2</v>
      </c>
      <c r="M24" s="117">
        <f t="shared" si="26"/>
        <v>5.8999999999999997E-2</v>
      </c>
      <c r="N24" s="117">
        <f t="shared" si="26"/>
        <v>5.8999999999999997E-2</v>
      </c>
      <c r="O24" s="117">
        <f t="shared" si="26"/>
        <v>5.8999999999999997E-2</v>
      </c>
      <c r="P24" s="117">
        <f t="shared" si="26"/>
        <v>5.8999999999999997E-2</v>
      </c>
      <c r="Q24" s="117">
        <f t="shared" si="26"/>
        <v>5.8999999999999997E-2</v>
      </c>
      <c r="R24" s="117">
        <f t="shared" si="26"/>
        <v>5.8999999999999997E-2</v>
      </c>
      <c r="S24" s="117">
        <f t="shared" si="26"/>
        <v>5.8999999999999997E-2</v>
      </c>
      <c r="T24" s="117">
        <f t="shared" si="26"/>
        <v>5.8999999999999997E-2</v>
      </c>
      <c r="U24" s="117">
        <f t="shared" si="26"/>
        <v>5.8999999999999997E-2</v>
      </c>
      <c r="V24" s="117">
        <f t="shared" si="26"/>
        <v>5.8999999999999997E-2</v>
      </c>
      <c r="W24" s="117">
        <f t="shared" si="26"/>
        <v>5.8999999999999997E-2</v>
      </c>
      <c r="X24" s="117">
        <f t="shared" si="26"/>
        <v>5.2999999999999999E-2</v>
      </c>
      <c r="Y24" s="117">
        <f t="shared" si="26"/>
        <v>5.2999999999999999E-2</v>
      </c>
      <c r="Z24" s="117">
        <f t="shared" si="26"/>
        <v>5.2999999999999999E-2</v>
      </c>
      <c r="AA24" s="117">
        <f t="shared" si="26"/>
        <v>5.2999999999999999E-2</v>
      </c>
      <c r="AB24" s="117">
        <f t="shared" si="26"/>
        <v>5.2999999999999999E-2</v>
      </c>
      <c r="AC24" s="117">
        <f t="shared" si="26"/>
        <v>5.2999999999999999E-2</v>
      </c>
      <c r="AD24" s="117">
        <f t="shared" si="26"/>
        <v>5.2999999999999999E-2</v>
      </c>
      <c r="AE24" s="117">
        <f t="shared" si="26"/>
        <v>5.2999999999999999E-2</v>
      </c>
      <c r="AF24" s="117">
        <f t="shared" si="26"/>
        <v>5.2999999999999999E-2</v>
      </c>
      <c r="AG24" s="117">
        <f t="shared" si="26"/>
        <v>5.2999999999999999E-2</v>
      </c>
      <c r="AH24" s="117">
        <f t="shared" si="26"/>
        <v>5.2999999999999999E-2</v>
      </c>
      <c r="AI24" s="117">
        <f t="shared" si="26"/>
        <v>5.2999999999999999E-2</v>
      </c>
      <c r="AJ24" s="117">
        <f t="shared" si="26"/>
        <v>5.2999999999999999E-2</v>
      </c>
      <c r="AK24" s="117">
        <f t="shared" si="26"/>
        <v>5.2999999999999999E-2</v>
      </c>
      <c r="AL24" s="117">
        <f t="shared" si="26"/>
        <v>5.2999999999999999E-2</v>
      </c>
      <c r="AM24" s="117">
        <f t="shared" si="26"/>
        <v>5.2999999999999999E-2</v>
      </c>
      <c r="AN24" s="117">
        <f t="shared" si="26"/>
        <v>5.2999999999999999E-2</v>
      </c>
      <c r="AO24" s="117">
        <f t="shared" si="26"/>
        <v>5.2999999999999999E-2</v>
      </c>
      <c r="AP24" s="117">
        <f t="shared" si="26"/>
        <v>5.2999999999999999E-2</v>
      </c>
      <c r="AQ24" s="117">
        <f t="shared" si="26"/>
        <v>5.2999999999999999E-2</v>
      </c>
      <c r="AR24" s="117">
        <f t="shared" si="26"/>
        <v>5.2999999999999999E-2</v>
      </c>
      <c r="AS24" s="117">
        <f t="shared" si="26"/>
        <v>5.2999999999999999E-2</v>
      </c>
      <c r="AT24" s="380"/>
      <c r="AU24" s="40"/>
      <c r="AV24" s="118"/>
      <c r="AW24" s="102"/>
      <c r="AY24" s="44">
        <f>+Details!F24-Base!F24</f>
        <v>0</v>
      </c>
      <c r="AZ24" s="117">
        <f>+Details!G24-Base!G24</f>
        <v>0</v>
      </c>
      <c r="BA24" s="117">
        <f>+Details!H24-Base!H24</f>
        <v>0</v>
      </c>
      <c r="BB24" s="117">
        <f>+Details!I24-Base!I24</f>
        <v>0</v>
      </c>
      <c r="BC24" s="117">
        <f>+Details!J24-Base!J24</f>
        <v>0</v>
      </c>
      <c r="BD24" s="117">
        <f>+Details!K24-Base!K24</f>
        <v>0</v>
      </c>
      <c r="BE24" s="117">
        <f>+Details!L24-Base!L24</f>
        <v>0</v>
      </c>
      <c r="BF24" s="117">
        <f>+Details!M24-Base!M24</f>
        <v>0</v>
      </c>
      <c r="BG24" s="117">
        <f>+Details!N24-Base!N24</f>
        <v>0</v>
      </c>
      <c r="BH24" s="117">
        <f>+Details!O24-Base!O24</f>
        <v>0</v>
      </c>
      <c r="BI24" s="117">
        <f>+Details!P24-Base!P24</f>
        <v>0</v>
      </c>
      <c r="BJ24" s="117">
        <f>+Details!Q24-Base!Q24</f>
        <v>0</v>
      </c>
      <c r="BK24" s="117">
        <f>+Details!R24-Base!R24</f>
        <v>0</v>
      </c>
      <c r="BL24" s="117">
        <f>+Details!S24-Base!S24</f>
        <v>0</v>
      </c>
      <c r="BM24" s="117">
        <f>+Details!T24-Base!T24</f>
        <v>0</v>
      </c>
      <c r="BN24" s="117">
        <f>+Details!U24-Base!U24</f>
        <v>0</v>
      </c>
      <c r="BO24" s="117">
        <f>+Details!V24-Base!V24</f>
        <v>0</v>
      </c>
      <c r="BP24" s="117">
        <f>+Details!W24-Base!W24</f>
        <v>0</v>
      </c>
      <c r="BQ24" s="117">
        <f>+Details!X24-Base!X24</f>
        <v>0</v>
      </c>
      <c r="BR24" s="117">
        <f>+Details!Y24-Base!Y24</f>
        <v>0</v>
      </c>
      <c r="BS24" s="117">
        <f>+Details!Z24-Base!Z24</f>
        <v>0</v>
      </c>
      <c r="BT24" s="117">
        <f>+Details!AA24-Base!AA24</f>
        <v>0</v>
      </c>
      <c r="BU24" s="117">
        <f>+Details!AB24-Base!AB24</f>
        <v>0</v>
      </c>
      <c r="BV24" s="117">
        <f>+Details!AC24-Base!AC24</f>
        <v>0</v>
      </c>
      <c r="BW24" s="117">
        <f>+Details!AD24-Base!AD24</f>
        <v>0</v>
      </c>
      <c r="BX24" s="117">
        <f>+Details!AE24-Base!AE24</f>
        <v>0</v>
      </c>
      <c r="BY24" s="117">
        <f>+Details!AF24-Base!AF24</f>
        <v>0</v>
      </c>
      <c r="BZ24" s="117">
        <f>+Details!AG24-Base!AG24</f>
        <v>0</v>
      </c>
      <c r="CA24" s="117">
        <f>+Details!AH24-Base!AH24</f>
        <v>0</v>
      </c>
      <c r="CB24" s="117">
        <f>+Details!AI24-Base!AI24</f>
        <v>0</v>
      </c>
      <c r="CC24" s="117">
        <f>+Details!AJ24-Base!AJ24</f>
        <v>0</v>
      </c>
      <c r="CD24" s="117">
        <f>+Details!AK24-Base!AK24</f>
        <v>0</v>
      </c>
      <c r="CE24" s="117">
        <f>+Details!AL24-Base!AL24</f>
        <v>0</v>
      </c>
      <c r="CF24" s="117">
        <f>+Details!AM24-Base!AM24</f>
        <v>0</v>
      </c>
      <c r="CG24" s="117">
        <f>+Details!AN24-Base!AN24</f>
        <v>0</v>
      </c>
      <c r="CH24" s="117">
        <f>+Details!AO24-Base!AO24</f>
        <v>0</v>
      </c>
      <c r="CI24" s="117">
        <f>+Details!AP24-Base!AP24</f>
        <v>0</v>
      </c>
      <c r="CJ24" s="117">
        <f>+Details!AQ24-Base!AQ24</f>
        <v>0</v>
      </c>
      <c r="CK24" s="117">
        <f>+Details!AR24-Base!AR24</f>
        <v>0</v>
      </c>
      <c r="CL24" s="117">
        <f>+Details!AS24-Base!AS24</f>
        <v>0</v>
      </c>
      <c r="CM24" s="118"/>
    </row>
    <row r="25" spans="1:91" ht="15.6" hidden="1">
      <c r="A25" s="1427" t="s">
        <v>1578</v>
      </c>
      <c r="B25" s="1603" t="s">
        <v>760</v>
      </c>
      <c r="C25" s="437"/>
      <c r="D25" s="32"/>
      <c r="E25" s="29"/>
      <c r="F25" s="117">
        <f t="shared" ref="F25:AS25" si="27">IF(AND(Use_Class="c",F$4&gt;=Change_Age),Roth_Return2,Roth_Return)</f>
        <v>6.2E-2</v>
      </c>
      <c r="G25" s="117">
        <f t="shared" si="27"/>
        <v>6.2E-2</v>
      </c>
      <c r="H25" s="117">
        <f t="shared" si="27"/>
        <v>6.2E-2</v>
      </c>
      <c r="I25" s="117">
        <f t="shared" si="27"/>
        <v>6.2E-2</v>
      </c>
      <c r="J25" s="117">
        <f t="shared" si="27"/>
        <v>6.2E-2</v>
      </c>
      <c r="K25" s="117">
        <f t="shared" si="27"/>
        <v>6.2E-2</v>
      </c>
      <c r="L25" s="117">
        <f t="shared" si="27"/>
        <v>6.2E-2</v>
      </c>
      <c r="M25" s="117">
        <f t="shared" si="27"/>
        <v>6.2E-2</v>
      </c>
      <c r="N25" s="117">
        <f t="shared" si="27"/>
        <v>6.2E-2</v>
      </c>
      <c r="O25" s="117">
        <f t="shared" si="27"/>
        <v>6.2E-2</v>
      </c>
      <c r="P25" s="117">
        <f t="shared" si="27"/>
        <v>6.2E-2</v>
      </c>
      <c r="Q25" s="117">
        <f t="shared" si="27"/>
        <v>6.2E-2</v>
      </c>
      <c r="R25" s="117">
        <f t="shared" si="27"/>
        <v>6.2E-2</v>
      </c>
      <c r="S25" s="117">
        <f t="shared" si="27"/>
        <v>6.2E-2</v>
      </c>
      <c r="T25" s="117">
        <f t="shared" si="27"/>
        <v>6.2E-2</v>
      </c>
      <c r="U25" s="117">
        <f t="shared" si="27"/>
        <v>6.2E-2</v>
      </c>
      <c r="V25" s="117">
        <f t="shared" si="27"/>
        <v>6.2E-2</v>
      </c>
      <c r="W25" s="117">
        <f t="shared" si="27"/>
        <v>6.2E-2</v>
      </c>
      <c r="X25" s="117">
        <f t="shared" si="27"/>
        <v>5.2999999999999999E-2</v>
      </c>
      <c r="Y25" s="117">
        <f t="shared" si="27"/>
        <v>5.2999999999999999E-2</v>
      </c>
      <c r="Z25" s="117">
        <f t="shared" si="27"/>
        <v>5.2999999999999999E-2</v>
      </c>
      <c r="AA25" s="117">
        <f t="shared" si="27"/>
        <v>5.2999999999999999E-2</v>
      </c>
      <c r="AB25" s="117">
        <f t="shared" si="27"/>
        <v>5.2999999999999999E-2</v>
      </c>
      <c r="AC25" s="117">
        <f t="shared" si="27"/>
        <v>5.2999999999999999E-2</v>
      </c>
      <c r="AD25" s="117">
        <f t="shared" si="27"/>
        <v>5.2999999999999999E-2</v>
      </c>
      <c r="AE25" s="117">
        <f t="shared" si="27"/>
        <v>5.2999999999999999E-2</v>
      </c>
      <c r="AF25" s="117">
        <f t="shared" si="27"/>
        <v>5.2999999999999999E-2</v>
      </c>
      <c r="AG25" s="117">
        <f t="shared" si="27"/>
        <v>5.2999999999999999E-2</v>
      </c>
      <c r="AH25" s="117">
        <f t="shared" si="27"/>
        <v>5.2999999999999999E-2</v>
      </c>
      <c r="AI25" s="117">
        <f t="shared" si="27"/>
        <v>5.2999999999999999E-2</v>
      </c>
      <c r="AJ25" s="117">
        <f t="shared" si="27"/>
        <v>5.2999999999999999E-2</v>
      </c>
      <c r="AK25" s="117">
        <f t="shared" si="27"/>
        <v>5.2999999999999999E-2</v>
      </c>
      <c r="AL25" s="117">
        <f t="shared" si="27"/>
        <v>5.2999999999999999E-2</v>
      </c>
      <c r="AM25" s="117">
        <f t="shared" si="27"/>
        <v>5.2999999999999999E-2</v>
      </c>
      <c r="AN25" s="117">
        <f t="shared" si="27"/>
        <v>5.2999999999999999E-2</v>
      </c>
      <c r="AO25" s="117">
        <f t="shared" si="27"/>
        <v>5.2999999999999999E-2</v>
      </c>
      <c r="AP25" s="117">
        <f t="shared" si="27"/>
        <v>5.2999999999999999E-2</v>
      </c>
      <c r="AQ25" s="117">
        <f t="shared" si="27"/>
        <v>5.2999999999999999E-2</v>
      </c>
      <c r="AR25" s="117">
        <f t="shared" si="27"/>
        <v>5.2999999999999999E-2</v>
      </c>
      <c r="AS25" s="117">
        <f t="shared" si="27"/>
        <v>5.2999999999999999E-2</v>
      </c>
      <c r="AT25" s="380"/>
      <c r="AU25" s="40"/>
      <c r="AV25" s="118"/>
      <c r="AW25" s="102"/>
      <c r="AY25" s="44">
        <f>+Details!F25-Base!F25</f>
        <v>0</v>
      </c>
      <c r="AZ25" s="117">
        <f>+Details!G25-Base!G25</f>
        <v>0</v>
      </c>
      <c r="BA25" s="117">
        <f>+Details!H25-Base!H25</f>
        <v>0</v>
      </c>
      <c r="BB25" s="117">
        <f>+Details!I25-Base!I25</f>
        <v>0</v>
      </c>
      <c r="BC25" s="117">
        <f>+Details!J25-Base!J25</f>
        <v>0</v>
      </c>
      <c r="BD25" s="117">
        <f>+Details!K25-Base!K25</f>
        <v>0</v>
      </c>
      <c r="BE25" s="117">
        <f>+Details!L25-Base!L25</f>
        <v>0</v>
      </c>
      <c r="BF25" s="117">
        <f>+Details!M25-Base!M25</f>
        <v>0</v>
      </c>
      <c r="BG25" s="117">
        <f>+Details!N25-Base!N25</f>
        <v>0</v>
      </c>
      <c r="BH25" s="117">
        <f>+Details!O25-Base!O25</f>
        <v>0</v>
      </c>
      <c r="BI25" s="117">
        <f>+Details!P25-Base!P25</f>
        <v>0</v>
      </c>
      <c r="BJ25" s="117">
        <f>+Details!Q25-Base!Q25</f>
        <v>0</v>
      </c>
      <c r="BK25" s="117">
        <f>+Details!R25-Base!R25</f>
        <v>0</v>
      </c>
      <c r="BL25" s="117">
        <f>+Details!S25-Base!S25</f>
        <v>0</v>
      </c>
      <c r="BM25" s="117">
        <f>+Details!T25-Base!T25</f>
        <v>0</v>
      </c>
      <c r="BN25" s="117">
        <f>+Details!U25-Base!U25</f>
        <v>0</v>
      </c>
      <c r="BO25" s="117">
        <f>+Details!V25-Base!V25</f>
        <v>0</v>
      </c>
      <c r="BP25" s="117">
        <f>+Details!W25-Base!W25</f>
        <v>0</v>
      </c>
      <c r="BQ25" s="117">
        <f>+Details!X25-Base!X25</f>
        <v>0</v>
      </c>
      <c r="BR25" s="117">
        <f>+Details!Y25-Base!Y25</f>
        <v>0</v>
      </c>
      <c r="BS25" s="117">
        <f>+Details!Z25-Base!Z25</f>
        <v>0</v>
      </c>
      <c r="BT25" s="117">
        <f>+Details!AA25-Base!AA25</f>
        <v>0</v>
      </c>
      <c r="BU25" s="117">
        <f>+Details!AB25-Base!AB25</f>
        <v>0</v>
      </c>
      <c r="BV25" s="117">
        <f>+Details!AC25-Base!AC25</f>
        <v>0</v>
      </c>
      <c r="BW25" s="117">
        <f>+Details!AD25-Base!AD25</f>
        <v>0</v>
      </c>
      <c r="BX25" s="117">
        <f>+Details!AE25-Base!AE25</f>
        <v>0</v>
      </c>
      <c r="BY25" s="117">
        <f>+Details!AF25-Base!AF25</f>
        <v>0</v>
      </c>
      <c r="BZ25" s="117">
        <f>+Details!AG25-Base!AG25</f>
        <v>0</v>
      </c>
      <c r="CA25" s="117">
        <f>+Details!AH25-Base!AH25</f>
        <v>0</v>
      </c>
      <c r="CB25" s="117">
        <f>+Details!AI25-Base!AI25</f>
        <v>0</v>
      </c>
      <c r="CC25" s="117">
        <f>+Details!AJ25-Base!AJ25</f>
        <v>0</v>
      </c>
      <c r="CD25" s="117">
        <f>+Details!AK25-Base!AK25</f>
        <v>0</v>
      </c>
      <c r="CE25" s="117">
        <f>+Details!AL25-Base!AL25</f>
        <v>0</v>
      </c>
      <c r="CF25" s="117">
        <f>+Details!AM25-Base!AM25</f>
        <v>0</v>
      </c>
      <c r="CG25" s="117">
        <f>+Details!AN25-Base!AN25</f>
        <v>0</v>
      </c>
      <c r="CH25" s="117">
        <f>+Details!AO25-Base!AO25</f>
        <v>0</v>
      </c>
      <c r="CI25" s="117">
        <f>+Details!AP25-Base!AP25</f>
        <v>0</v>
      </c>
      <c r="CJ25" s="117">
        <f>+Details!AQ25-Base!AQ25</f>
        <v>0</v>
      </c>
      <c r="CK25" s="117">
        <f>+Details!AR25-Base!AR25</f>
        <v>0</v>
      </c>
      <c r="CL25" s="117">
        <f>+Details!AS25-Base!AS25</f>
        <v>0</v>
      </c>
      <c r="CM25" s="118"/>
    </row>
    <row r="26" spans="1:91" ht="15.6" hidden="1">
      <c r="A26" s="1427" t="s">
        <v>1578</v>
      </c>
      <c r="B26" s="1603" t="s">
        <v>761</v>
      </c>
      <c r="C26" s="437"/>
      <c r="D26" s="32"/>
      <c r="E26" s="1605" t="s">
        <v>2027</v>
      </c>
      <c r="F26" s="117">
        <f t="shared" ref="F26:AS26" si="28">IF(AND(Use_Class="c",F$4&gt;=Change_Age),Roth2_Return2,Roth2_Return)</f>
        <v>5.7000000000000002E-2</v>
      </c>
      <c r="G26" s="117">
        <f t="shared" si="28"/>
        <v>5.7000000000000002E-2</v>
      </c>
      <c r="H26" s="117">
        <f t="shared" si="28"/>
        <v>5.7000000000000002E-2</v>
      </c>
      <c r="I26" s="117">
        <f t="shared" si="28"/>
        <v>5.7000000000000002E-2</v>
      </c>
      <c r="J26" s="117">
        <f t="shared" si="28"/>
        <v>5.7000000000000002E-2</v>
      </c>
      <c r="K26" s="117">
        <f t="shared" si="28"/>
        <v>5.7000000000000002E-2</v>
      </c>
      <c r="L26" s="117">
        <f t="shared" si="28"/>
        <v>5.7000000000000002E-2</v>
      </c>
      <c r="M26" s="117">
        <f t="shared" si="28"/>
        <v>5.7000000000000002E-2</v>
      </c>
      <c r="N26" s="117">
        <f t="shared" si="28"/>
        <v>5.7000000000000002E-2</v>
      </c>
      <c r="O26" s="117">
        <f t="shared" si="28"/>
        <v>5.7000000000000002E-2</v>
      </c>
      <c r="P26" s="117">
        <f t="shared" si="28"/>
        <v>5.7000000000000002E-2</v>
      </c>
      <c r="Q26" s="117">
        <f t="shared" si="28"/>
        <v>5.7000000000000002E-2</v>
      </c>
      <c r="R26" s="117">
        <f t="shared" si="28"/>
        <v>5.7000000000000002E-2</v>
      </c>
      <c r="S26" s="117">
        <f t="shared" si="28"/>
        <v>5.7000000000000002E-2</v>
      </c>
      <c r="T26" s="117">
        <f t="shared" si="28"/>
        <v>5.7000000000000002E-2</v>
      </c>
      <c r="U26" s="117">
        <f t="shared" si="28"/>
        <v>5.7000000000000002E-2</v>
      </c>
      <c r="V26" s="117">
        <f t="shared" si="28"/>
        <v>5.7000000000000002E-2</v>
      </c>
      <c r="W26" s="117">
        <f t="shared" si="28"/>
        <v>5.7000000000000002E-2</v>
      </c>
      <c r="X26" s="117">
        <f t="shared" si="28"/>
        <v>5.2999999999999999E-2</v>
      </c>
      <c r="Y26" s="117">
        <f t="shared" si="28"/>
        <v>5.2999999999999999E-2</v>
      </c>
      <c r="Z26" s="117">
        <f t="shared" si="28"/>
        <v>5.2999999999999999E-2</v>
      </c>
      <c r="AA26" s="117">
        <f t="shared" si="28"/>
        <v>5.2999999999999999E-2</v>
      </c>
      <c r="AB26" s="117">
        <f t="shared" si="28"/>
        <v>5.2999999999999999E-2</v>
      </c>
      <c r="AC26" s="117">
        <f t="shared" si="28"/>
        <v>5.2999999999999999E-2</v>
      </c>
      <c r="AD26" s="117">
        <f t="shared" si="28"/>
        <v>5.2999999999999999E-2</v>
      </c>
      <c r="AE26" s="117">
        <f t="shared" si="28"/>
        <v>5.2999999999999999E-2</v>
      </c>
      <c r="AF26" s="117">
        <f t="shared" si="28"/>
        <v>5.2999999999999999E-2</v>
      </c>
      <c r="AG26" s="117">
        <f t="shared" si="28"/>
        <v>5.2999999999999999E-2</v>
      </c>
      <c r="AH26" s="117">
        <f t="shared" si="28"/>
        <v>5.2999999999999999E-2</v>
      </c>
      <c r="AI26" s="117">
        <f t="shared" si="28"/>
        <v>5.2999999999999999E-2</v>
      </c>
      <c r="AJ26" s="117">
        <f t="shared" si="28"/>
        <v>5.2999999999999999E-2</v>
      </c>
      <c r="AK26" s="117">
        <f t="shared" si="28"/>
        <v>5.2999999999999999E-2</v>
      </c>
      <c r="AL26" s="117">
        <f t="shared" si="28"/>
        <v>5.2999999999999999E-2</v>
      </c>
      <c r="AM26" s="117">
        <f t="shared" si="28"/>
        <v>5.2999999999999999E-2</v>
      </c>
      <c r="AN26" s="117">
        <f t="shared" si="28"/>
        <v>5.2999999999999999E-2</v>
      </c>
      <c r="AO26" s="117">
        <f t="shared" si="28"/>
        <v>5.2999999999999999E-2</v>
      </c>
      <c r="AP26" s="117">
        <f t="shared" si="28"/>
        <v>5.2999999999999999E-2</v>
      </c>
      <c r="AQ26" s="117">
        <f t="shared" si="28"/>
        <v>5.2999999999999999E-2</v>
      </c>
      <c r="AR26" s="117">
        <f t="shared" si="28"/>
        <v>5.2999999999999999E-2</v>
      </c>
      <c r="AS26" s="117">
        <f t="shared" si="28"/>
        <v>5.2999999999999999E-2</v>
      </c>
      <c r="AT26" s="380"/>
      <c r="AU26" s="40"/>
      <c r="AV26" s="118"/>
      <c r="AW26" s="102"/>
      <c r="AY26" s="44">
        <f>+Details!F26-Base!F26</f>
        <v>0</v>
      </c>
      <c r="AZ26" s="44">
        <f>+Details!G26-Base!G26</f>
        <v>0</v>
      </c>
      <c r="BA26" s="44">
        <f>+Details!H26-Base!H26</f>
        <v>0</v>
      </c>
      <c r="BB26" s="44">
        <f>+Details!I26-Base!I26</f>
        <v>0</v>
      </c>
      <c r="BC26" s="44">
        <f>+Details!J26-Base!J26</f>
        <v>0</v>
      </c>
      <c r="BD26" s="44">
        <f>+Details!K26-Base!K26</f>
        <v>0</v>
      </c>
      <c r="BE26" s="44">
        <f>+Details!L26-Base!L26</f>
        <v>0</v>
      </c>
      <c r="BF26" s="44">
        <f>+Details!M26-Base!M26</f>
        <v>0</v>
      </c>
      <c r="BG26" s="44">
        <f>+Details!N26-Base!N26</f>
        <v>0</v>
      </c>
      <c r="BH26" s="44">
        <f>+Details!O26-Base!O26</f>
        <v>0</v>
      </c>
      <c r="BI26" s="44">
        <f>+Details!P26-Base!P26</f>
        <v>0</v>
      </c>
      <c r="BJ26" s="44">
        <f>+Details!Q26-Base!Q26</f>
        <v>0</v>
      </c>
      <c r="BK26" s="44">
        <f>+Details!R26-Base!R26</f>
        <v>0</v>
      </c>
      <c r="BL26" s="44">
        <f>+Details!S26-Base!S26</f>
        <v>0</v>
      </c>
      <c r="BM26" s="44">
        <f>+Details!T26-Base!T26</f>
        <v>0</v>
      </c>
      <c r="BN26" s="44">
        <f>+Details!U26-Base!U26</f>
        <v>0</v>
      </c>
      <c r="BO26" s="44">
        <f>+Details!V26-Base!V26</f>
        <v>0</v>
      </c>
      <c r="BP26" s="44">
        <f>+Details!W26-Base!W26</f>
        <v>0</v>
      </c>
      <c r="BQ26" s="44">
        <f>+Details!X26-Base!X26</f>
        <v>0</v>
      </c>
      <c r="BR26" s="44">
        <f>+Details!Y26-Base!Y26</f>
        <v>0</v>
      </c>
      <c r="BS26" s="44">
        <f>+Details!Z26-Base!Z26</f>
        <v>0</v>
      </c>
      <c r="BT26" s="44">
        <f>+Details!AA26-Base!AA26</f>
        <v>0</v>
      </c>
      <c r="BU26" s="44">
        <f>+Details!AB26-Base!AB26</f>
        <v>0</v>
      </c>
      <c r="BV26" s="44">
        <f>+Details!AC26-Base!AC26</f>
        <v>0</v>
      </c>
      <c r="BW26" s="44">
        <f>+Details!AD26-Base!AD26</f>
        <v>0</v>
      </c>
      <c r="BX26" s="44">
        <f>+Details!AE26-Base!AE26</f>
        <v>0</v>
      </c>
      <c r="BY26" s="44">
        <f>+Details!AF26-Base!AF26</f>
        <v>0</v>
      </c>
      <c r="BZ26" s="44">
        <f>+Details!AG26-Base!AG26</f>
        <v>0</v>
      </c>
      <c r="CA26" s="44">
        <f>+Details!AH26-Base!AH26</f>
        <v>0</v>
      </c>
      <c r="CB26" s="44">
        <f>+Details!AI26-Base!AI26</f>
        <v>0</v>
      </c>
      <c r="CC26" s="44">
        <f>+Details!AJ26-Base!AJ26</f>
        <v>0</v>
      </c>
      <c r="CD26" s="44">
        <f>+Details!AK26-Base!AK26</f>
        <v>0</v>
      </c>
      <c r="CE26" s="44">
        <f>+Details!AL26-Base!AL26</f>
        <v>0</v>
      </c>
      <c r="CF26" s="44">
        <f>+Details!AM26-Base!AM26</f>
        <v>0</v>
      </c>
      <c r="CG26" s="44">
        <f>+Details!AN26-Base!AN26</f>
        <v>0</v>
      </c>
      <c r="CH26" s="44">
        <f>+Details!AO26-Base!AO26</f>
        <v>0</v>
      </c>
      <c r="CI26" s="44">
        <f>+Details!AP26-Base!AP26</f>
        <v>0</v>
      </c>
      <c r="CJ26" s="44">
        <f>+Details!AQ26-Base!AQ26</f>
        <v>0</v>
      </c>
      <c r="CK26" s="44">
        <f>+Details!AR26-Base!AR26</f>
        <v>0</v>
      </c>
      <c r="CL26" s="44">
        <f>+Details!AS26-Base!AS26</f>
        <v>0</v>
      </c>
      <c r="CM26" s="118"/>
    </row>
    <row r="27" spans="1:91" ht="15.6" hidden="1">
      <c r="A27" s="1427" t="s">
        <v>1578</v>
      </c>
      <c r="B27" s="1603" t="s">
        <v>1504</v>
      </c>
      <c r="C27" s="437"/>
      <c r="D27" s="32"/>
      <c r="E27" s="1605" t="s">
        <v>2027</v>
      </c>
      <c r="F27" s="117">
        <f t="shared" ref="F27:AS27" si="29">IF(AND(Use_Class="c",F$4&gt;=Change_Age),RothConv_Return2,RothConv_Return)</f>
        <v>6.3E-2</v>
      </c>
      <c r="G27" s="117">
        <f t="shared" si="29"/>
        <v>6.3E-2</v>
      </c>
      <c r="H27" s="117">
        <f t="shared" si="29"/>
        <v>6.3E-2</v>
      </c>
      <c r="I27" s="117">
        <f t="shared" si="29"/>
        <v>6.3E-2</v>
      </c>
      <c r="J27" s="117">
        <f t="shared" si="29"/>
        <v>6.3E-2</v>
      </c>
      <c r="K27" s="117">
        <f t="shared" si="29"/>
        <v>6.3E-2</v>
      </c>
      <c r="L27" s="117">
        <f t="shared" si="29"/>
        <v>6.3E-2</v>
      </c>
      <c r="M27" s="117">
        <f t="shared" si="29"/>
        <v>6.3E-2</v>
      </c>
      <c r="N27" s="117">
        <f t="shared" si="29"/>
        <v>6.3E-2</v>
      </c>
      <c r="O27" s="117">
        <f t="shared" si="29"/>
        <v>6.3E-2</v>
      </c>
      <c r="P27" s="117">
        <f t="shared" si="29"/>
        <v>6.3E-2</v>
      </c>
      <c r="Q27" s="117">
        <f t="shared" si="29"/>
        <v>6.3E-2</v>
      </c>
      <c r="R27" s="117">
        <f t="shared" si="29"/>
        <v>6.3E-2</v>
      </c>
      <c r="S27" s="117">
        <f t="shared" si="29"/>
        <v>6.3E-2</v>
      </c>
      <c r="T27" s="117">
        <f t="shared" si="29"/>
        <v>6.3E-2</v>
      </c>
      <c r="U27" s="117">
        <f t="shared" si="29"/>
        <v>6.3E-2</v>
      </c>
      <c r="V27" s="117">
        <f t="shared" si="29"/>
        <v>6.3E-2</v>
      </c>
      <c r="W27" s="117">
        <f t="shared" si="29"/>
        <v>6.3E-2</v>
      </c>
      <c r="X27" s="117">
        <f t="shared" si="29"/>
        <v>5.2999999999999999E-2</v>
      </c>
      <c r="Y27" s="117">
        <f t="shared" si="29"/>
        <v>5.2999999999999999E-2</v>
      </c>
      <c r="Z27" s="117">
        <f t="shared" si="29"/>
        <v>5.2999999999999999E-2</v>
      </c>
      <c r="AA27" s="117">
        <f t="shared" si="29"/>
        <v>5.2999999999999999E-2</v>
      </c>
      <c r="AB27" s="117">
        <f t="shared" si="29"/>
        <v>5.2999999999999999E-2</v>
      </c>
      <c r="AC27" s="117">
        <f t="shared" si="29"/>
        <v>5.2999999999999999E-2</v>
      </c>
      <c r="AD27" s="117">
        <f t="shared" si="29"/>
        <v>5.2999999999999999E-2</v>
      </c>
      <c r="AE27" s="117">
        <f t="shared" si="29"/>
        <v>5.2999999999999999E-2</v>
      </c>
      <c r="AF27" s="117">
        <f t="shared" si="29"/>
        <v>5.2999999999999999E-2</v>
      </c>
      <c r="AG27" s="117">
        <f t="shared" si="29"/>
        <v>5.2999999999999999E-2</v>
      </c>
      <c r="AH27" s="117">
        <f t="shared" si="29"/>
        <v>5.2999999999999999E-2</v>
      </c>
      <c r="AI27" s="117">
        <f t="shared" si="29"/>
        <v>5.2999999999999999E-2</v>
      </c>
      <c r="AJ27" s="117">
        <f t="shared" si="29"/>
        <v>5.2999999999999999E-2</v>
      </c>
      <c r="AK27" s="117">
        <f t="shared" si="29"/>
        <v>5.2999999999999999E-2</v>
      </c>
      <c r="AL27" s="117">
        <f t="shared" si="29"/>
        <v>5.2999999999999999E-2</v>
      </c>
      <c r="AM27" s="117">
        <f t="shared" si="29"/>
        <v>5.2999999999999999E-2</v>
      </c>
      <c r="AN27" s="117">
        <f t="shared" si="29"/>
        <v>5.2999999999999999E-2</v>
      </c>
      <c r="AO27" s="117">
        <f t="shared" si="29"/>
        <v>5.2999999999999999E-2</v>
      </c>
      <c r="AP27" s="117">
        <f t="shared" si="29"/>
        <v>5.2999999999999999E-2</v>
      </c>
      <c r="AQ27" s="117">
        <f t="shared" si="29"/>
        <v>5.2999999999999999E-2</v>
      </c>
      <c r="AR27" s="117">
        <f t="shared" si="29"/>
        <v>5.2999999999999999E-2</v>
      </c>
      <c r="AS27" s="117">
        <f t="shared" si="29"/>
        <v>5.2999999999999999E-2</v>
      </c>
      <c r="AT27" s="380"/>
      <c r="AU27" s="40"/>
      <c r="AV27" s="118"/>
      <c r="AW27" s="102"/>
      <c r="AY27" s="44">
        <f>+Details!F27-Base!F27</f>
        <v>0</v>
      </c>
      <c r="AZ27" s="44">
        <f>+Details!G27-Base!G27</f>
        <v>0</v>
      </c>
      <c r="BA27" s="44">
        <f>+Details!H27-Base!H27</f>
        <v>0</v>
      </c>
      <c r="BB27" s="44">
        <f>+Details!I27-Base!I27</f>
        <v>0</v>
      </c>
      <c r="BC27" s="44">
        <f>+Details!J27-Base!J27</f>
        <v>0</v>
      </c>
      <c r="BD27" s="44">
        <f>+Details!K27-Base!K27</f>
        <v>0</v>
      </c>
      <c r="BE27" s="44">
        <f>+Details!L27-Base!L27</f>
        <v>0</v>
      </c>
      <c r="BF27" s="44">
        <f>+Details!M27-Base!M27</f>
        <v>0</v>
      </c>
      <c r="BG27" s="44">
        <f>+Details!N27-Base!N27</f>
        <v>0</v>
      </c>
      <c r="BH27" s="44">
        <f>+Details!O27-Base!O27</f>
        <v>0</v>
      </c>
      <c r="BI27" s="44">
        <f>+Details!P27-Base!P27</f>
        <v>0</v>
      </c>
      <c r="BJ27" s="44">
        <f>+Details!Q27-Base!Q27</f>
        <v>0</v>
      </c>
      <c r="BK27" s="44">
        <f>+Details!R27-Base!R27</f>
        <v>0</v>
      </c>
      <c r="BL27" s="44">
        <f>+Details!S27-Base!S27</f>
        <v>0</v>
      </c>
      <c r="BM27" s="44">
        <f>+Details!T27-Base!T27</f>
        <v>0</v>
      </c>
      <c r="BN27" s="44">
        <f>+Details!U27-Base!U27</f>
        <v>0</v>
      </c>
      <c r="BO27" s="44">
        <f>+Details!V27-Base!V27</f>
        <v>0</v>
      </c>
      <c r="BP27" s="44">
        <f>+Details!W27-Base!W27</f>
        <v>0</v>
      </c>
      <c r="BQ27" s="44">
        <f>+Details!X27-Base!X27</f>
        <v>0</v>
      </c>
      <c r="BR27" s="44">
        <f>+Details!Y27-Base!Y27</f>
        <v>0</v>
      </c>
      <c r="BS27" s="44">
        <f>+Details!Z27-Base!Z27</f>
        <v>0</v>
      </c>
      <c r="BT27" s="44">
        <f>+Details!AA27-Base!AA27</f>
        <v>0</v>
      </c>
      <c r="BU27" s="44">
        <f>+Details!AB27-Base!AB27</f>
        <v>0</v>
      </c>
      <c r="BV27" s="44">
        <f>+Details!AC27-Base!AC27</f>
        <v>0</v>
      </c>
      <c r="BW27" s="44">
        <f>+Details!AD27-Base!AD27</f>
        <v>0</v>
      </c>
      <c r="BX27" s="44">
        <f>+Details!AE27-Base!AE27</f>
        <v>0</v>
      </c>
      <c r="BY27" s="44">
        <f>+Details!AF27-Base!AF27</f>
        <v>0</v>
      </c>
      <c r="BZ27" s="44">
        <f>+Details!AG27-Base!AG27</f>
        <v>0</v>
      </c>
      <c r="CA27" s="44">
        <f>+Details!AH27-Base!AH27</f>
        <v>0</v>
      </c>
      <c r="CB27" s="44">
        <f>+Details!AI27-Base!AI27</f>
        <v>0</v>
      </c>
      <c r="CC27" s="44">
        <f>+Details!AJ27-Base!AJ27</f>
        <v>0</v>
      </c>
      <c r="CD27" s="44">
        <f>+Details!AK27-Base!AK27</f>
        <v>0</v>
      </c>
      <c r="CE27" s="44">
        <f>+Details!AL27-Base!AL27</f>
        <v>0</v>
      </c>
      <c r="CF27" s="44">
        <f>+Details!AM27-Base!AM27</f>
        <v>0</v>
      </c>
      <c r="CG27" s="44">
        <f>+Details!AN27-Base!AN27</f>
        <v>0</v>
      </c>
      <c r="CH27" s="44">
        <f>+Details!AO27-Base!AO27</f>
        <v>0</v>
      </c>
      <c r="CI27" s="44">
        <f>+Details!AP27-Base!AP27</f>
        <v>0</v>
      </c>
      <c r="CJ27" s="44">
        <f>+Details!AQ27-Base!AQ27</f>
        <v>0</v>
      </c>
      <c r="CK27" s="44">
        <f>+Details!AR27-Base!AR27</f>
        <v>0</v>
      </c>
      <c r="CL27" s="44">
        <f>+Details!AS27-Base!AS27</f>
        <v>0</v>
      </c>
      <c r="CM27" s="118"/>
    </row>
    <row r="28" spans="1:91" ht="18" customHeight="1">
      <c r="B28" s="717" t="s">
        <v>642</v>
      </c>
      <c r="C28" s="1013"/>
      <c r="D28" s="1369" t="str">
        <f>Taxable_Return*100 &amp; "%-" &amp; Taxable_Return2*100 &amp; "%"</f>
        <v>5%-4.1%</v>
      </c>
      <c r="E28" s="65">
        <f t="shared" ref="E28:E71" si="30">SUM(F28:AS28)</f>
        <v>748900</v>
      </c>
      <c r="F28" s="1302">
        <f>ROUND(IF((+F8+F472)&lt;=0,0,(F8+(F8+F472))/2*F22)/Round_To,0)*Round_To</f>
        <v>9600</v>
      </c>
      <c r="G28" s="1124">
        <f t="shared" ref="G28:AS28" si="31">ROUND(IF(AND(F8=0,(+G8+G472)&lt;=0),0,(G8+(G8+G472))/2*G22)/Round_To,0)*Round_To</f>
        <v>9300</v>
      </c>
      <c r="H28" s="1124">
        <f t="shared" si="31"/>
        <v>8900</v>
      </c>
      <c r="I28" s="1124">
        <f t="shared" si="31"/>
        <v>8300</v>
      </c>
      <c r="J28" s="1124">
        <f t="shared" si="31"/>
        <v>7700</v>
      </c>
      <c r="K28" s="1124">
        <f t="shared" si="31"/>
        <v>7600</v>
      </c>
      <c r="L28" s="1124">
        <f t="shared" si="31"/>
        <v>8100</v>
      </c>
      <c r="M28" s="1124">
        <f t="shared" si="31"/>
        <v>8600</v>
      </c>
      <c r="N28" s="1124">
        <f t="shared" si="31"/>
        <v>9400</v>
      </c>
      <c r="O28" s="1124">
        <f t="shared" si="31"/>
        <v>10900</v>
      </c>
      <c r="P28" s="1124">
        <f t="shared" si="31"/>
        <v>10700</v>
      </c>
      <c r="Q28" s="1124">
        <f t="shared" si="31"/>
        <v>11500</v>
      </c>
      <c r="R28" s="1124">
        <f t="shared" si="31"/>
        <v>14000</v>
      </c>
      <c r="S28" s="1124">
        <f t="shared" si="31"/>
        <v>15800</v>
      </c>
      <c r="T28" s="1124">
        <f t="shared" si="31"/>
        <v>16000</v>
      </c>
      <c r="U28" s="1124">
        <f t="shared" si="31"/>
        <v>18000</v>
      </c>
      <c r="V28" s="1124">
        <f t="shared" si="31"/>
        <v>22400</v>
      </c>
      <c r="W28" s="1124">
        <f t="shared" si="31"/>
        <v>25200</v>
      </c>
      <c r="X28" s="1124">
        <f t="shared" si="31"/>
        <v>22700</v>
      </c>
      <c r="Y28" s="1124">
        <f t="shared" si="31"/>
        <v>24000</v>
      </c>
      <c r="Z28" s="1124">
        <f t="shared" si="31"/>
        <v>25500</v>
      </c>
      <c r="AA28" s="1124">
        <f t="shared" si="31"/>
        <v>27100</v>
      </c>
      <c r="AB28" s="1124">
        <f t="shared" si="31"/>
        <v>37000</v>
      </c>
      <c r="AC28" s="1124">
        <f t="shared" si="31"/>
        <v>47300</v>
      </c>
      <c r="AD28" s="1124">
        <f t="shared" si="31"/>
        <v>51500</v>
      </c>
      <c r="AE28" s="1124">
        <f t="shared" si="31"/>
        <v>55100</v>
      </c>
      <c r="AF28" s="1124">
        <f t="shared" si="31"/>
        <v>56800</v>
      </c>
      <c r="AG28" s="1124">
        <f t="shared" si="31"/>
        <v>58400</v>
      </c>
      <c r="AH28" s="1124">
        <f t="shared" si="31"/>
        <v>60000</v>
      </c>
      <c r="AI28" s="1124">
        <f t="shared" si="31"/>
        <v>61500</v>
      </c>
      <c r="AJ28" s="1124">
        <f t="shared" si="31"/>
        <v>0</v>
      </c>
      <c r="AK28" s="1124">
        <f t="shared" si="31"/>
        <v>0</v>
      </c>
      <c r="AL28" s="1124">
        <f t="shared" si="31"/>
        <v>0</v>
      </c>
      <c r="AM28" s="1124">
        <f t="shared" si="31"/>
        <v>0</v>
      </c>
      <c r="AN28" s="1124">
        <f t="shared" si="31"/>
        <v>0</v>
      </c>
      <c r="AO28" s="1124">
        <f t="shared" si="31"/>
        <v>0</v>
      </c>
      <c r="AP28" s="1124">
        <f t="shared" si="31"/>
        <v>0</v>
      </c>
      <c r="AQ28" s="1124">
        <f t="shared" si="31"/>
        <v>0</v>
      </c>
      <c r="AR28" s="1124">
        <f t="shared" si="31"/>
        <v>0</v>
      </c>
      <c r="AS28" s="1124">
        <f t="shared" si="31"/>
        <v>0</v>
      </c>
      <c r="AT28" s="3"/>
      <c r="AU28" s="29">
        <f>+Details!E28</f>
        <v>748900</v>
      </c>
      <c r="AV28" s="81">
        <f t="shared" ref="AV28:AV38" si="32">+E28-AU28</f>
        <v>0</v>
      </c>
      <c r="AW28" s="102"/>
      <c r="AY28" s="31">
        <f>+Details!F28-Base!F28</f>
        <v>0</v>
      </c>
      <c r="AZ28" s="1124">
        <f>+Details!G28-Base!G28</f>
        <v>0</v>
      </c>
      <c r="BA28" s="1124">
        <f>+Details!H28-Base!H28</f>
        <v>0</v>
      </c>
      <c r="BB28" s="1124">
        <f>+Details!I28-Base!I28</f>
        <v>0</v>
      </c>
      <c r="BC28" s="1124">
        <f>+Details!J28-Base!J28</f>
        <v>0</v>
      </c>
      <c r="BD28" s="1124">
        <f>+Details!K28-Base!K28</f>
        <v>0</v>
      </c>
      <c r="BE28" s="1124">
        <f>+Details!L28-Base!L28</f>
        <v>0</v>
      </c>
      <c r="BF28" s="1124">
        <f>+Details!M28-Base!M28</f>
        <v>0</v>
      </c>
      <c r="BG28" s="1124">
        <f>+Details!N28-Base!N28</f>
        <v>0</v>
      </c>
      <c r="BH28" s="1124">
        <f>+Details!O28-Base!O28</f>
        <v>0</v>
      </c>
      <c r="BI28" s="1124">
        <f>+Details!P28-Base!P28</f>
        <v>0</v>
      </c>
      <c r="BJ28" s="1124">
        <f>+Details!Q28-Base!Q28</f>
        <v>0</v>
      </c>
      <c r="BK28" s="1124">
        <f>+Details!R28-Base!R28</f>
        <v>0</v>
      </c>
      <c r="BL28" s="1124">
        <f>+Details!S28-Base!S28</f>
        <v>0</v>
      </c>
      <c r="BM28" s="1124">
        <f>+Details!T28-Base!T28</f>
        <v>0</v>
      </c>
      <c r="BN28" s="1124">
        <f>+Details!U28-Base!U28</f>
        <v>0</v>
      </c>
      <c r="BO28" s="1124">
        <f>+Details!V28-Base!V28</f>
        <v>0</v>
      </c>
      <c r="BP28" s="1124">
        <f>+Details!W28-Base!W28</f>
        <v>0</v>
      </c>
      <c r="BQ28" s="1124">
        <f>+Details!X28-Base!X28</f>
        <v>0</v>
      </c>
      <c r="BR28" s="1124">
        <f>+Details!Y28-Base!Y28</f>
        <v>0</v>
      </c>
      <c r="BS28" s="1124">
        <f>+Details!Z28-Base!Z28</f>
        <v>0</v>
      </c>
      <c r="BT28" s="1124">
        <f>+Details!AA28-Base!AA28</f>
        <v>0</v>
      </c>
      <c r="BU28" s="1124">
        <f>+Details!AB28-Base!AB28</f>
        <v>0</v>
      </c>
      <c r="BV28" s="1124">
        <f>+Details!AC28-Base!AC28</f>
        <v>0</v>
      </c>
      <c r="BW28" s="1124">
        <f>+Details!AD28-Base!AD28</f>
        <v>0</v>
      </c>
      <c r="BX28" s="1124">
        <f>+Details!AE28-Base!AE28</f>
        <v>0</v>
      </c>
      <c r="BY28" s="1124">
        <f>+Details!AF28-Base!AF28</f>
        <v>0</v>
      </c>
      <c r="BZ28" s="1124">
        <f>+Details!AG28-Base!AG28</f>
        <v>0</v>
      </c>
      <c r="CA28" s="1124">
        <f>+Details!AH28-Base!AH28</f>
        <v>0</v>
      </c>
      <c r="CB28" s="1124">
        <f>+Details!AI28-Base!AI28</f>
        <v>0</v>
      </c>
      <c r="CC28" s="1124">
        <f>+Details!AJ28-Base!AJ28</f>
        <v>0</v>
      </c>
      <c r="CD28" s="1124">
        <f>+Details!AK28-Base!AK28</f>
        <v>0</v>
      </c>
      <c r="CE28" s="1124">
        <f>+Details!AL28-Base!AL28</f>
        <v>0</v>
      </c>
      <c r="CF28" s="1124">
        <f>+Details!AM28-Base!AM28</f>
        <v>0</v>
      </c>
      <c r="CG28" s="1124">
        <f>+Details!AN28-Base!AN28</f>
        <v>0</v>
      </c>
      <c r="CH28" s="1124">
        <f>+Details!AO28-Base!AO28</f>
        <v>0</v>
      </c>
      <c r="CI28" s="1124">
        <f>+Details!AP28-Base!AP28</f>
        <v>0</v>
      </c>
      <c r="CJ28" s="1124">
        <f>+Details!AQ28-Base!AQ28</f>
        <v>0</v>
      </c>
      <c r="CK28" s="1124">
        <f>+Details!AR28-Base!AR28</f>
        <v>0</v>
      </c>
      <c r="CL28" s="1124">
        <f>+Details!AS28-Base!AS28</f>
        <v>0</v>
      </c>
      <c r="CM28" s="81"/>
    </row>
    <row r="29" spans="1:91" ht="19.95" hidden="1" customHeight="1">
      <c r="A29" s="1427" t="s">
        <v>1578</v>
      </c>
      <c r="B29" s="1765" t="s">
        <v>1535</v>
      </c>
      <c r="C29" s="437"/>
      <c r="D29" s="1369" t="str">
        <f>tIRA_Return*100 &amp; "%-" &amp; tIRA_Return2*100 &amp; "%"</f>
        <v>6.5%-5.6%</v>
      </c>
      <c r="E29" s="29">
        <f t="shared" si="30"/>
        <v>727700</v>
      </c>
      <c r="F29" s="1302">
        <f>ROUND(IF((F9+F87+F91+F94+F96-F133)&lt;=0,0,+(F9+(F9+F87+F91+F94+F96-F133))/2*F23)/Round_To,0)*Round_To</f>
        <v>31200</v>
      </c>
      <c r="G29" s="1124">
        <f t="shared" ref="G29:AS29" si="33">ROUND(IF(OR(AND(F9=0,G9=0),(G9+G87+G91+G94+G96-G133)&lt;=0),0,+(G9+(G9+G87+G91+G94+G96-G133))/2*G23)/Round_To,0)*Round_To</f>
        <v>30600</v>
      </c>
      <c r="H29" s="1124">
        <f t="shared" si="33"/>
        <v>29900</v>
      </c>
      <c r="I29" s="1124">
        <f t="shared" si="33"/>
        <v>29000</v>
      </c>
      <c r="J29" s="1124">
        <f t="shared" si="33"/>
        <v>28000</v>
      </c>
      <c r="K29" s="1124">
        <f t="shared" si="33"/>
        <v>26900</v>
      </c>
      <c r="L29" s="1124">
        <f t="shared" si="33"/>
        <v>25500</v>
      </c>
      <c r="M29" s="1124">
        <f t="shared" si="33"/>
        <v>24100</v>
      </c>
      <c r="N29" s="1124">
        <f t="shared" si="33"/>
        <v>23700</v>
      </c>
      <c r="O29" s="1124">
        <f t="shared" si="33"/>
        <v>24100</v>
      </c>
      <c r="P29" s="1124">
        <f t="shared" si="33"/>
        <v>24200</v>
      </c>
      <c r="Q29" s="1124">
        <f t="shared" si="33"/>
        <v>24300</v>
      </c>
      <c r="R29" s="1124">
        <f t="shared" si="33"/>
        <v>24400</v>
      </c>
      <c r="S29" s="1124">
        <f t="shared" si="33"/>
        <v>24500</v>
      </c>
      <c r="T29" s="1124">
        <f t="shared" si="33"/>
        <v>24700</v>
      </c>
      <c r="U29" s="1124">
        <f t="shared" si="33"/>
        <v>25200</v>
      </c>
      <c r="V29" s="1124">
        <f t="shared" si="33"/>
        <v>25600</v>
      </c>
      <c r="W29" s="1124">
        <f t="shared" si="33"/>
        <v>25900</v>
      </c>
      <c r="X29" s="1124">
        <f t="shared" si="33"/>
        <v>22500</v>
      </c>
      <c r="Y29" s="1124">
        <f t="shared" si="33"/>
        <v>22500</v>
      </c>
      <c r="Z29" s="1124">
        <f t="shared" si="33"/>
        <v>22500</v>
      </c>
      <c r="AA29" s="1124">
        <f t="shared" si="33"/>
        <v>22400</v>
      </c>
      <c r="AB29" s="1124">
        <f t="shared" si="33"/>
        <v>22200</v>
      </c>
      <c r="AC29" s="1124">
        <f t="shared" si="33"/>
        <v>21900</v>
      </c>
      <c r="AD29" s="1124">
        <f t="shared" si="33"/>
        <v>21600</v>
      </c>
      <c r="AE29" s="1124">
        <f t="shared" si="33"/>
        <v>21200</v>
      </c>
      <c r="AF29" s="1124">
        <f t="shared" si="33"/>
        <v>20700</v>
      </c>
      <c r="AG29" s="1124">
        <f t="shared" si="33"/>
        <v>20100</v>
      </c>
      <c r="AH29" s="1124">
        <f t="shared" si="33"/>
        <v>19500</v>
      </c>
      <c r="AI29" s="1124">
        <f t="shared" si="33"/>
        <v>18800</v>
      </c>
      <c r="AJ29" s="1124">
        <f t="shared" si="33"/>
        <v>0</v>
      </c>
      <c r="AK29" s="1124">
        <f t="shared" si="33"/>
        <v>0</v>
      </c>
      <c r="AL29" s="1124">
        <f t="shared" si="33"/>
        <v>0</v>
      </c>
      <c r="AM29" s="1124">
        <f t="shared" si="33"/>
        <v>0</v>
      </c>
      <c r="AN29" s="1124">
        <f t="shared" si="33"/>
        <v>0</v>
      </c>
      <c r="AO29" s="1124">
        <f t="shared" si="33"/>
        <v>0</v>
      </c>
      <c r="AP29" s="1124">
        <f t="shared" si="33"/>
        <v>0</v>
      </c>
      <c r="AQ29" s="1124">
        <f t="shared" si="33"/>
        <v>0</v>
      </c>
      <c r="AR29" s="1124">
        <f t="shared" si="33"/>
        <v>0</v>
      </c>
      <c r="AS29" s="1124">
        <f t="shared" si="33"/>
        <v>0</v>
      </c>
      <c r="AT29" s="3"/>
      <c r="AU29" s="29">
        <f>+Details!E29</f>
        <v>727700</v>
      </c>
      <c r="AV29" s="81">
        <f t="shared" si="32"/>
        <v>0</v>
      </c>
      <c r="AW29" s="102"/>
      <c r="AY29" s="31">
        <f>+Details!F29-Base!F29</f>
        <v>0</v>
      </c>
      <c r="AZ29" s="1124">
        <f>+Details!G29-Base!G29</f>
        <v>0</v>
      </c>
      <c r="BA29" s="1124">
        <f>+Details!H29-Base!H29</f>
        <v>0</v>
      </c>
      <c r="BB29" s="1124">
        <f>+Details!I29-Base!I29</f>
        <v>0</v>
      </c>
      <c r="BC29" s="1124">
        <f>+Details!J29-Base!J29</f>
        <v>0</v>
      </c>
      <c r="BD29" s="1124">
        <f>+Details!K29-Base!K29</f>
        <v>0</v>
      </c>
      <c r="BE29" s="1124">
        <f>+Details!L29-Base!L29</f>
        <v>0</v>
      </c>
      <c r="BF29" s="1124">
        <f>+Details!M29-Base!M29</f>
        <v>0</v>
      </c>
      <c r="BG29" s="1124">
        <f>+Details!N29-Base!N29</f>
        <v>0</v>
      </c>
      <c r="BH29" s="1124">
        <f>+Details!O29-Base!O29</f>
        <v>0</v>
      </c>
      <c r="BI29" s="1124">
        <f>+Details!P29-Base!P29</f>
        <v>0</v>
      </c>
      <c r="BJ29" s="1124">
        <f>+Details!Q29-Base!Q29</f>
        <v>0</v>
      </c>
      <c r="BK29" s="1124">
        <f>+Details!R29-Base!R29</f>
        <v>0</v>
      </c>
      <c r="BL29" s="1124">
        <f>+Details!S29-Base!S29</f>
        <v>0</v>
      </c>
      <c r="BM29" s="1124">
        <f>+Details!T29-Base!T29</f>
        <v>0</v>
      </c>
      <c r="BN29" s="1124">
        <f>+Details!U29-Base!U29</f>
        <v>0</v>
      </c>
      <c r="BO29" s="1124">
        <f>+Details!V29-Base!V29</f>
        <v>0</v>
      </c>
      <c r="BP29" s="1124">
        <f>+Details!W29-Base!W29</f>
        <v>0</v>
      </c>
      <c r="BQ29" s="1124">
        <f>+Details!X29-Base!X29</f>
        <v>0</v>
      </c>
      <c r="BR29" s="1124">
        <f>+Details!Y29-Base!Y29</f>
        <v>0</v>
      </c>
      <c r="BS29" s="1124">
        <f>+Details!Z29-Base!Z29</f>
        <v>0</v>
      </c>
      <c r="BT29" s="1124">
        <f>+Details!AA29-Base!AA29</f>
        <v>0</v>
      </c>
      <c r="BU29" s="1124">
        <f>+Details!AB29-Base!AB29</f>
        <v>0</v>
      </c>
      <c r="BV29" s="1124">
        <f>+Details!AC29-Base!AC29</f>
        <v>0</v>
      </c>
      <c r="BW29" s="1124">
        <f>+Details!AD29-Base!AD29</f>
        <v>0</v>
      </c>
      <c r="BX29" s="1124">
        <f>+Details!AE29-Base!AE29</f>
        <v>0</v>
      </c>
      <c r="BY29" s="1124">
        <f>+Details!AF29-Base!AF29</f>
        <v>0</v>
      </c>
      <c r="BZ29" s="1124">
        <f>+Details!AG29-Base!AG29</f>
        <v>0</v>
      </c>
      <c r="CA29" s="1124">
        <f>+Details!AH29-Base!AH29</f>
        <v>0</v>
      </c>
      <c r="CB29" s="1124">
        <f>+Details!AI29-Base!AI29</f>
        <v>0</v>
      </c>
      <c r="CC29" s="1124">
        <f>+Details!AJ29-Base!AJ29</f>
        <v>0</v>
      </c>
      <c r="CD29" s="1124">
        <f>+Details!AK29-Base!AK29</f>
        <v>0</v>
      </c>
      <c r="CE29" s="1124">
        <f>+Details!AL29-Base!AL29</f>
        <v>0</v>
      </c>
      <c r="CF29" s="1124">
        <f>+Details!AM29-Base!AM29</f>
        <v>0</v>
      </c>
      <c r="CG29" s="1124">
        <f>+Details!AN29-Base!AN29</f>
        <v>0</v>
      </c>
      <c r="CH29" s="1124">
        <f>+Details!AO29-Base!AO29</f>
        <v>0</v>
      </c>
      <c r="CI29" s="1124">
        <f>+Details!AP29-Base!AP29</f>
        <v>0</v>
      </c>
      <c r="CJ29" s="1124">
        <f>+Details!AQ29-Base!AQ29</f>
        <v>0</v>
      </c>
      <c r="CK29" s="1124">
        <f>+Details!AR29-Base!AR29</f>
        <v>0</v>
      </c>
      <c r="CL29" s="1124">
        <f>+Details!AS29-Base!AS29</f>
        <v>0</v>
      </c>
      <c r="CM29" s="81"/>
    </row>
    <row r="30" spans="1:91" ht="15.6" hidden="1">
      <c r="A30" s="1427" t="s">
        <v>1578</v>
      </c>
      <c r="B30" s="1765" t="s">
        <v>1536</v>
      </c>
      <c r="C30" s="437"/>
      <c r="D30" s="1369" t="str">
        <f>tIRA2_Return*100 &amp; "%-" &amp; tIRA2_Return2*100 &amp; "%"</f>
        <v>5.9%-5.3%</v>
      </c>
      <c r="E30" s="34">
        <f t="shared" si="30"/>
        <v>660000</v>
      </c>
      <c r="F30" s="1303">
        <f>ROUND(IF((F10+F98+F99+F102)&lt;=0,0,+(F10+(F10+F98+F99+F102))/2*F24)/Round_To,0)*Round_To</f>
        <v>12000</v>
      </c>
      <c r="G30" s="1125">
        <f t="shared" ref="G30:AS30" si="34">ROUND(IF(OR(AND(F10=0,G10=0),(G10+G98+G99+G102)&lt;=0),0,+(G10+(G10+G98+G99+G102))/2*G24)/Round_To,0)*Round_To</f>
        <v>13100</v>
      </c>
      <c r="H30" s="1125">
        <f t="shared" si="34"/>
        <v>14200</v>
      </c>
      <c r="I30" s="1125">
        <f t="shared" si="34"/>
        <v>15500</v>
      </c>
      <c r="J30" s="1125">
        <f t="shared" si="34"/>
        <v>16800</v>
      </c>
      <c r="K30" s="1125">
        <f t="shared" si="34"/>
        <v>18100</v>
      </c>
      <c r="L30" s="1125">
        <f t="shared" si="34"/>
        <v>19600</v>
      </c>
      <c r="M30" s="1125">
        <f t="shared" si="34"/>
        <v>21100</v>
      </c>
      <c r="N30" s="1125">
        <f t="shared" si="34"/>
        <v>22800</v>
      </c>
      <c r="O30" s="1125">
        <f t="shared" si="34"/>
        <v>23800</v>
      </c>
      <c r="P30" s="1125">
        <f t="shared" si="34"/>
        <v>24300</v>
      </c>
      <c r="Q30" s="1125">
        <f t="shared" si="34"/>
        <v>24800</v>
      </c>
      <c r="R30" s="1125">
        <f t="shared" si="34"/>
        <v>25300</v>
      </c>
      <c r="S30" s="1125">
        <f t="shared" si="34"/>
        <v>25700</v>
      </c>
      <c r="T30" s="1125">
        <f t="shared" si="34"/>
        <v>26100</v>
      </c>
      <c r="U30" s="1125">
        <f t="shared" si="34"/>
        <v>26400</v>
      </c>
      <c r="V30" s="1125">
        <f t="shared" si="34"/>
        <v>26700</v>
      </c>
      <c r="W30" s="1125">
        <f t="shared" si="34"/>
        <v>26900</v>
      </c>
      <c r="X30" s="1125">
        <f t="shared" si="34"/>
        <v>24400</v>
      </c>
      <c r="Y30" s="1125">
        <f t="shared" si="34"/>
        <v>24400</v>
      </c>
      <c r="Z30" s="1125">
        <f t="shared" si="34"/>
        <v>24300</v>
      </c>
      <c r="AA30" s="1125">
        <f t="shared" si="34"/>
        <v>24100</v>
      </c>
      <c r="AB30" s="1125">
        <f t="shared" si="34"/>
        <v>23900</v>
      </c>
      <c r="AC30" s="1125">
        <f t="shared" si="34"/>
        <v>23700</v>
      </c>
      <c r="AD30" s="1125">
        <f t="shared" si="34"/>
        <v>23300</v>
      </c>
      <c r="AE30" s="1125">
        <f t="shared" si="34"/>
        <v>22900</v>
      </c>
      <c r="AF30" s="1125">
        <f t="shared" si="34"/>
        <v>22400</v>
      </c>
      <c r="AG30" s="1125">
        <f t="shared" si="34"/>
        <v>21800</v>
      </c>
      <c r="AH30" s="1125">
        <f t="shared" si="34"/>
        <v>21200</v>
      </c>
      <c r="AI30" s="1125">
        <f t="shared" si="34"/>
        <v>20400</v>
      </c>
      <c r="AJ30" s="1125">
        <f t="shared" si="34"/>
        <v>0</v>
      </c>
      <c r="AK30" s="1125">
        <f t="shared" si="34"/>
        <v>0</v>
      </c>
      <c r="AL30" s="1125">
        <f t="shared" si="34"/>
        <v>0</v>
      </c>
      <c r="AM30" s="1125">
        <f t="shared" si="34"/>
        <v>0</v>
      </c>
      <c r="AN30" s="1125">
        <f t="shared" si="34"/>
        <v>0</v>
      </c>
      <c r="AO30" s="1125">
        <f t="shared" si="34"/>
        <v>0</v>
      </c>
      <c r="AP30" s="1125">
        <f t="shared" si="34"/>
        <v>0</v>
      </c>
      <c r="AQ30" s="1125">
        <f t="shared" si="34"/>
        <v>0</v>
      </c>
      <c r="AR30" s="1125">
        <f t="shared" si="34"/>
        <v>0</v>
      </c>
      <c r="AS30" s="1125">
        <f t="shared" si="34"/>
        <v>0</v>
      </c>
      <c r="AT30" s="3"/>
      <c r="AU30" s="34">
        <f>+Details!E30</f>
        <v>660000</v>
      </c>
      <c r="AV30" s="83">
        <f t="shared" si="32"/>
        <v>0</v>
      </c>
      <c r="AW30" s="102"/>
      <c r="AY30" s="38">
        <f>+Details!F30-Base!F30</f>
        <v>0</v>
      </c>
      <c r="AZ30" s="1125">
        <f>+Details!G30-Base!G30</f>
        <v>0</v>
      </c>
      <c r="BA30" s="1125">
        <f>+Details!H30-Base!H30</f>
        <v>0</v>
      </c>
      <c r="BB30" s="1125">
        <f>+Details!I30-Base!I30</f>
        <v>0</v>
      </c>
      <c r="BC30" s="1125">
        <f>+Details!J30-Base!J30</f>
        <v>0</v>
      </c>
      <c r="BD30" s="1125">
        <f>+Details!K30-Base!K30</f>
        <v>0</v>
      </c>
      <c r="BE30" s="1125">
        <f>+Details!L30-Base!L30</f>
        <v>0</v>
      </c>
      <c r="BF30" s="1125">
        <f>+Details!M30-Base!M30</f>
        <v>0</v>
      </c>
      <c r="BG30" s="1125">
        <f>+Details!N30-Base!N30</f>
        <v>0</v>
      </c>
      <c r="BH30" s="1125">
        <f>+Details!O30-Base!O30</f>
        <v>0</v>
      </c>
      <c r="BI30" s="1125">
        <f>+Details!P30-Base!P30</f>
        <v>0</v>
      </c>
      <c r="BJ30" s="1125">
        <f>+Details!Q30-Base!Q30</f>
        <v>0</v>
      </c>
      <c r="BK30" s="1125">
        <f>+Details!R30-Base!R30</f>
        <v>0</v>
      </c>
      <c r="BL30" s="1125">
        <f>+Details!S30-Base!S30</f>
        <v>0</v>
      </c>
      <c r="BM30" s="1125">
        <f>+Details!T30-Base!T30</f>
        <v>0</v>
      </c>
      <c r="BN30" s="1125">
        <f>+Details!U30-Base!U30</f>
        <v>0</v>
      </c>
      <c r="BO30" s="1125">
        <f>+Details!V30-Base!V30</f>
        <v>0</v>
      </c>
      <c r="BP30" s="1125">
        <f>+Details!W30-Base!W30</f>
        <v>0</v>
      </c>
      <c r="BQ30" s="1125">
        <f>+Details!X30-Base!X30</f>
        <v>0</v>
      </c>
      <c r="BR30" s="1125">
        <f>+Details!Y30-Base!Y30</f>
        <v>0</v>
      </c>
      <c r="BS30" s="1125">
        <f>+Details!Z30-Base!Z30</f>
        <v>0</v>
      </c>
      <c r="BT30" s="1125">
        <f>+Details!AA30-Base!AA30</f>
        <v>0</v>
      </c>
      <c r="BU30" s="1125">
        <f>+Details!AB30-Base!AB30</f>
        <v>0</v>
      </c>
      <c r="BV30" s="1125">
        <f>+Details!AC30-Base!AC30</f>
        <v>0</v>
      </c>
      <c r="BW30" s="1125">
        <f>+Details!AD30-Base!AD30</f>
        <v>0</v>
      </c>
      <c r="BX30" s="1125">
        <f>+Details!AE30-Base!AE30</f>
        <v>0</v>
      </c>
      <c r="BY30" s="1125">
        <f>+Details!AF30-Base!AF30</f>
        <v>0</v>
      </c>
      <c r="BZ30" s="1125">
        <f>+Details!AG30-Base!AG30</f>
        <v>0</v>
      </c>
      <c r="CA30" s="1125">
        <f>+Details!AH30-Base!AH30</f>
        <v>0</v>
      </c>
      <c r="CB30" s="1125">
        <f>+Details!AI30-Base!AI30</f>
        <v>0</v>
      </c>
      <c r="CC30" s="1125">
        <f>+Details!AJ30-Base!AJ30</f>
        <v>0</v>
      </c>
      <c r="CD30" s="1125">
        <f>+Details!AK30-Base!AK30</f>
        <v>0</v>
      </c>
      <c r="CE30" s="1125">
        <f>+Details!AL30-Base!AL30</f>
        <v>0</v>
      </c>
      <c r="CF30" s="1125">
        <f>+Details!AM30-Base!AM30</f>
        <v>0</v>
      </c>
      <c r="CG30" s="1125">
        <f>+Details!AN30-Base!AN30</f>
        <v>0</v>
      </c>
      <c r="CH30" s="1125">
        <f>+Details!AO30-Base!AO30</f>
        <v>0</v>
      </c>
      <c r="CI30" s="1125">
        <f>+Details!AP30-Base!AP30</f>
        <v>0</v>
      </c>
      <c r="CJ30" s="1125">
        <f>+Details!AQ30-Base!AQ30</f>
        <v>0</v>
      </c>
      <c r="CK30" s="1125">
        <f>+Details!AR30-Base!AR30</f>
        <v>0</v>
      </c>
      <c r="CL30" s="1125">
        <f>+Details!AS30-Base!AS30</f>
        <v>0</v>
      </c>
      <c r="CM30" s="103"/>
    </row>
    <row r="31" spans="1:91" ht="15.6">
      <c r="B31" s="1767" t="s">
        <v>927</v>
      </c>
      <c r="C31" s="422"/>
      <c r="D31" s="1369" t="str">
        <f>"1: " &amp; tIRA_Return*100 &amp; "%-" &amp; tIRA_Return2*100 &amp; "%   2: " &amp; tIRA2_Return*100 &amp; "%-" &amp; tIRA2_Return2*100 &amp; "%"</f>
        <v>1: 6.5%-5.6%   2: 5.9%-5.3%</v>
      </c>
      <c r="E31" s="29">
        <f t="shared" si="30"/>
        <v>1387700</v>
      </c>
      <c r="F31" s="1124">
        <f t="shared" ref="F31:AS31" si="35">+F29+F30</f>
        <v>43200</v>
      </c>
      <c r="G31" s="1124">
        <f t="shared" si="35"/>
        <v>43700</v>
      </c>
      <c r="H31" s="1124">
        <f t="shared" si="35"/>
        <v>44100</v>
      </c>
      <c r="I31" s="1124">
        <f t="shared" si="35"/>
        <v>44500</v>
      </c>
      <c r="J31" s="1124">
        <f t="shared" si="35"/>
        <v>44800</v>
      </c>
      <c r="K31" s="1124">
        <f t="shared" si="35"/>
        <v>45000</v>
      </c>
      <c r="L31" s="1124">
        <f t="shared" si="35"/>
        <v>45100</v>
      </c>
      <c r="M31" s="1124">
        <f t="shared" si="35"/>
        <v>45200</v>
      </c>
      <c r="N31" s="1124">
        <f t="shared" si="35"/>
        <v>46500</v>
      </c>
      <c r="O31" s="1124">
        <f t="shared" si="35"/>
        <v>47900</v>
      </c>
      <c r="P31" s="1124">
        <f t="shared" si="35"/>
        <v>48500</v>
      </c>
      <c r="Q31" s="1124">
        <f t="shared" si="35"/>
        <v>49100</v>
      </c>
      <c r="R31" s="1124">
        <f t="shared" si="35"/>
        <v>49700</v>
      </c>
      <c r="S31" s="1124">
        <f t="shared" si="35"/>
        <v>50200</v>
      </c>
      <c r="T31" s="1124">
        <f t="shared" si="35"/>
        <v>50800</v>
      </c>
      <c r="U31" s="1124">
        <f t="shared" si="35"/>
        <v>51600</v>
      </c>
      <c r="V31" s="1124">
        <f t="shared" si="35"/>
        <v>52300</v>
      </c>
      <c r="W31" s="1124">
        <f t="shared" si="35"/>
        <v>52800</v>
      </c>
      <c r="X31" s="1124">
        <f t="shared" si="35"/>
        <v>46900</v>
      </c>
      <c r="Y31" s="1124">
        <f t="shared" si="35"/>
        <v>46900</v>
      </c>
      <c r="Z31" s="1124">
        <f t="shared" si="35"/>
        <v>46800</v>
      </c>
      <c r="AA31" s="1124">
        <f t="shared" si="35"/>
        <v>46500</v>
      </c>
      <c r="AB31" s="1124">
        <f t="shared" si="35"/>
        <v>46100</v>
      </c>
      <c r="AC31" s="1124">
        <f t="shared" si="35"/>
        <v>45600</v>
      </c>
      <c r="AD31" s="1124">
        <f t="shared" si="35"/>
        <v>44900</v>
      </c>
      <c r="AE31" s="1124">
        <f t="shared" si="35"/>
        <v>44100</v>
      </c>
      <c r="AF31" s="1124">
        <f t="shared" si="35"/>
        <v>43100</v>
      </c>
      <c r="AG31" s="1124">
        <f t="shared" si="35"/>
        <v>41900</v>
      </c>
      <c r="AH31" s="1124">
        <f t="shared" si="35"/>
        <v>40700</v>
      </c>
      <c r="AI31" s="1124">
        <f t="shared" si="35"/>
        <v>39200</v>
      </c>
      <c r="AJ31" s="1124">
        <f t="shared" si="35"/>
        <v>0</v>
      </c>
      <c r="AK31" s="1124">
        <f t="shared" si="35"/>
        <v>0</v>
      </c>
      <c r="AL31" s="1124">
        <f t="shared" si="35"/>
        <v>0</v>
      </c>
      <c r="AM31" s="1124">
        <f t="shared" si="35"/>
        <v>0</v>
      </c>
      <c r="AN31" s="1124">
        <f t="shared" si="35"/>
        <v>0</v>
      </c>
      <c r="AO31" s="1124">
        <f t="shared" si="35"/>
        <v>0</v>
      </c>
      <c r="AP31" s="1124">
        <f t="shared" si="35"/>
        <v>0</v>
      </c>
      <c r="AQ31" s="1124">
        <f t="shared" si="35"/>
        <v>0</v>
      </c>
      <c r="AR31" s="1124">
        <f t="shared" si="35"/>
        <v>0</v>
      </c>
      <c r="AS31" s="1124">
        <f t="shared" si="35"/>
        <v>0</v>
      </c>
      <c r="AT31" s="3"/>
      <c r="AU31" s="29">
        <f>+Details!E31</f>
        <v>1387700</v>
      </c>
      <c r="AV31" s="81">
        <f t="shared" si="32"/>
        <v>0</v>
      </c>
      <c r="AW31" s="102"/>
      <c r="AY31" s="31">
        <f>+Details!F31-Base!F31</f>
        <v>0</v>
      </c>
      <c r="AZ31" s="1124">
        <f>+Details!G31-Base!G31</f>
        <v>0</v>
      </c>
      <c r="BA31" s="1124">
        <f>+Details!H31-Base!H31</f>
        <v>0</v>
      </c>
      <c r="BB31" s="1124">
        <f>+Details!I31-Base!I31</f>
        <v>0</v>
      </c>
      <c r="BC31" s="1124">
        <f>+Details!J31-Base!J31</f>
        <v>0</v>
      </c>
      <c r="BD31" s="1124">
        <f>+Details!K31-Base!K31</f>
        <v>0</v>
      </c>
      <c r="BE31" s="1124">
        <f>+Details!L31-Base!L31</f>
        <v>0</v>
      </c>
      <c r="BF31" s="1124">
        <f>+Details!M31-Base!M31</f>
        <v>0</v>
      </c>
      <c r="BG31" s="1124">
        <f>+Details!N31-Base!N31</f>
        <v>0</v>
      </c>
      <c r="BH31" s="1124">
        <f>+Details!O31-Base!O31</f>
        <v>0</v>
      </c>
      <c r="BI31" s="1124">
        <f>+Details!P31-Base!P31</f>
        <v>0</v>
      </c>
      <c r="BJ31" s="1124">
        <f>+Details!Q31-Base!Q31</f>
        <v>0</v>
      </c>
      <c r="BK31" s="1124">
        <f>+Details!R31-Base!R31</f>
        <v>0</v>
      </c>
      <c r="BL31" s="1124">
        <f>+Details!S31-Base!S31</f>
        <v>0</v>
      </c>
      <c r="BM31" s="1124">
        <f>+Details!T31-Base!T31</f>
        <v>0</v>
      </c>
      <c r="BN31" s="1124">
        <f>+Details!U31-Base!U31</f>
        <v>0</v>
      </c>
      <c r="BO31" s="1124">
        <f>+Details!V31-Base!V31</f>
        <v>0</v>
      </c>
      <c r="BP31" s="1124">
        <f>+Details!W31-Base!W31</f>
        <v>0</v>
      </c>
      <c r="BQ31" s="1124">
        <f>+Details!X31-Base!X31</f>
        <v>0</v>
      </c>
      <c r="BR31" s="1124">
        <f>+Details!Y31-Base!Y31</f>
        <v>0</v>
      </c>
      <c r="BS31" s="1124">
        <f>+Details!Z31-Base!Z31</f>
        <v>0</v>
      </c>
      <c r="BT31" s="1124">
        <f>+Details!AA31-Base!AA31</f>
        <v>0</v>
      </c>
      <c r="BU31" s="1124">
        <f>+Details!AB31-Base!AB31</f>
        <v>0</v>
      </c>
      <c r="BV31" s="1124">
        <f>+Details!AC31-Base!AC31</f>
        <v>0</v>
      </c>
      <c r="BW31" s="1124">
        <f>+Details!AD31-Base!AD31</f>
        <v>0</v>
      </c>
      <c r="BX31" s="1124">
        <f>+Details!AE31-Base!AE31</f>
        <v>0</v>
      </c>
      <c r="BY31" s="1124">
        <f>+Details!AF31-Base!AF31</f>
        <v>0</v>
      </c>
      <c r="BZ31" s="1124">
        <f>+Details!AG31-Base!AG31</f>
        <v>0</v>
      </c>
      <c r="CA31" s="1124">
        <f>+Details!AH31-Base!AH31</f>
        <v>0</v>
      </c>
      <c r="CB31" s="1124">
        <f>+Details!AI31-Base!AI31</f>
        <v>0</v>
      </c>
      <c r="CC31" s="1124">
        <f>+Details!AJ31-Base!AJ31</f>
        <v>0</v>
      </c>
      <c r="CD31" s="1124">
        <f>+Details!AK31-Base!AK31</f>
        <v>0</v>
      </c>
      <c r="CE31" s="1124">
        <f>+Details!AL31-Base!AL31</f>
        <v>0</v>
      </c>
      <c r="CF31" s="1124">
        <f>+Details!AM31-Base!AM31</f>
        <v>0</v>
      </c>
      <c r="CG31" s="1124">
        <f>+Details!AN31-Base!AN31</f>
        <v>0</v>
      </c>
      <c r="CH31" s="1124">
        <f>+Details!AO31-Base!AO31</f>
        <v>0</v>
      </c>
      <c r="CI31" s="1124">
        <f>+Details!AP31-Base!AP31</f>
        <v>0</v>
      </c>
      <c r="CJ31" s="1124">
        <f>+Details!AQ31-Base!AQ31</f>
        <v>0</v>
      </c>
      <c r="CK31" s="1124">
        <f>+Details!AR31-Base!AR31</f>
        <v>0</v>
      </c>
      <c r="CL31" s="1124">
        <f>+Details!AS31-Base!AS31</f>
        <v>0</v>
      </c>
      <c r="CM31" s="81"/>
    </row>
    <row r="32" spans="1:91" ht="19.95" hidden="1" customHeight="1">
      <c r="A32" s="1427" t="s">
        <v>1578</v>
      </c>
      <c r="B32" s="436" t="s">
        <v>925</v>
      </c>
      <c r="C32" s="422"/>
      <c r="D32" s="1369" t="str">
        <f>tIRA_Return*100 &amp; "%-" &amp; tIRA_Return2*100 &amp; "%"</f>
        <v>6.5%-5.6%</v>
      </c>
      <c r="E32" s="29">
        <f t="shared" si="30"/>
        <v>12100</v>
      </c>
      <c r="F32" s="1103">
        <f>ROUND(IF((F12+F110&lt;=0),0,+(F12+(F12+F110))/2*F23)/Round_To,0)*Round_To</f>
        <v>0</v>
      </c>
      <c r="G32" s="1124">
        <f t="shared" ref="G32:AS32" si="36">ROUND(IF(OR(AND(F12=0,G12=0),(G12+G110)&lt;=0),0,+(G12+(G12+G110))/2*G23)/Round_To,0)*Round_To</f>
        <v>0</v>
      </c>
      <c r="H32" s="1124">
        <f t="shared" si="36"/>
        <v>0</v>
      </c>
      <c r="I32" s="1124">
        <f t="shared" si="36"/>
        <v>0</v>
      </c>
      <c r="J32" s="1124">
        <f t="shared" si="36"/>
        <v>0</v>
      </c>
      <c r="K32" s="1124">
        <f t="shared" si="36"/>
        <v>0</v>
      </c>
      <c r="L32" s="1124">
        <f t="shared" si="36"/>
        <v>0</v>
      </c>
      <c r="M32" s="1124">
        <f t="shared" si="36"/>
        <v>0</v>
      </c>
      <c r="N32" s="1124">
        <f t="shared" si="36"/>
        <v>0</v>
      </c>
      <c r="O32" s="1124">
        <f t="shared" si="36"/>
        <v>0</v>
      </c>
      <c r="P32" s="1124">
        <f t="shared" si="36"/>
        <v>0</v>
      </c>
      <c r="Q32" s="1124">
        <f t="shared" si="36"/>
        <v>0</v>
      </c>
      <c r="R32" s="1124">
        <f t="shared" si="36"/>
        <v>0</v>
      </c>
      <c r="S32" s="1124">
        <f t="shared" si="36"/>
        <v>0</v>
      </c>
      <c r="T32" s="1124">
        <f t="shared" si="36"/>
        <v>0</v>
      </c>
      <c r="U32" s="1124">
        <f t="shared" si="36"/>
        <v>0</v>
      </c>
      <c r="V32" s="1124">
        <f t="shared" si="36"/>
        <v>2200</v>
      </c>
      <c r="W32" s="1124">
        <f t="shared" si="36"/>
        <v>1900</v>
      </c>
      <c r="X32" s="1124">
        <f t="shared" si="36"/>
        <v>1400</v>
      </c>
      <c r="Y32" s="1124">
        <f t="shared" si="36"/>
        <v>1300</v>
      </c>
      <c r="Z32" s="1124">
        <f t="shared" si="36"/>
        <v>1200</v>
      </c>
      <c r="AA32" s="1124">
        <f t="shared" si="36"/>
        <v>1100</v>
      </c>
      <c r="AB32" s="1124">
        <f t="shared" si="36"/>
        <v>1000</v>
      </c>
      <c r="AC32" s="1124">
        <f t="shared" si="36"/>
        <v>800</v>
      </c>
      <c r="AD32" s="1124">
        <f t="shared" si="36"/>
        <v>600</v>
      </c>
      <c r="AE32" s="1124">
        <f t="shared" si="36"/>
        <v>400</v>
      </c>
      <c r="AF32" s="1124">
        <f t="shared" si="36"/>
        <v>200</v>
      </c>
      <c r="AG32" s="1124">
        <f t="shared" si="36"/>
        <v>0</v>
      </c>
      <c r="AH32" s="1124">
        <f t="shared" si="36"/>
        <v>0</v>
      </c>
      <c r="AI32" s="1124">
        <f t="shared" si="36"/>
        <v>0</v>
      </c>
      <c r="AJ32" s="1124">
        <f t="shared" si="36"/>
        <v>0</v>
      </c>
      <c r="AK32" s="1124">
        <f t="shared" si="36"/>
        <v>0</v>
      </c>
      <c r="AL32" s="1124">
        <f t="shared" si="36"/>
        <v>0</v>
      </c>
      <c r="AM32" s="1124">
        <f t="shared" si="36"/>
        <v>0</v>
      </c>
      <c r="AN32" s="1124">
        <f t="shared" si="36"/>
        <v>0</v>
      </c>
      <c r="AO32" s="1124">
        <f t="shared" si="36"/>
        <v>0</v>
      </c>
      <c r="AP32" s="1124">
        <f t="shared" si="36"/>
        <v>0</v>
      </c>
      <c r="AQ32" s="1124">
        <f t="shared" si="36"/>
        <v>0</v>
      </c>
      <c r="AR32" s="1124">
        <f t="shared" si="36"/>
        <v>0</v>
      </c>
      <c r="AS32" s="1124">
        <f t="shared" si="36"/>
        <v>0</v>
      </c>
      <c r="AT32" s="3"/>
      <c r="AU32" s="29">
        <f>+Details!E32</f>
        <v>12100</v>
      </c>
      <c r="AV32" s="81">
        <f t="shared" si="32"/>
        <v>0</v>
      </c>
      <c r="AW32" s="102"/>
      <c r="AY32" s="31">
        <f>+Details!F32-Base!F32</f>
        <v>0</v>
      </c>
      <c r="AZ32" s="1124">
        <f>+Details!G32-Base!G32</f>
        <v>0</v>
      </c>
      <c r="BA32" s="1124">
        <f>+Details!H32-Base!H32</f>
        <v>0</v>
      </c>
      <c r="BB32" s="1124">
        <f>+Details!I32-Base!I32</f>
        <v>0</v>
      </c>
      <c r="BC32" s="1124">
        <f>+Details!J32-Base!J32</f>
        <v>0</v>
      </c>
      <c r="BD32" s="1124">
        <f>+Details!K32-Base!K32</f>
        <v>0</v>
      </c>
      <c r="BE32" s="1124">
        <f>+Details!L32-Base!L32</f>
        <v>0</v>
      </c>
      <c r="BF32" s="1124">
        <f>+Details!M32-Base!M32</f>
        <v>0</v>
      </c>
      <c r="BG32" s="1124">
        <f>+Details!N32-Base!N32</f>
        <v>0</v>
      </c>
      <c r="BH32" s="1124">
        <f>+Details!O32-Base!O32</f>
        <v>0</v>
      </c>
      <c r="BI32" s="1124">
        <f>+Details!P32-Base!P32</f>
        <v>0</v>
      </c>
      <c r="BJ32" s="1124">
        <f>+Details!Q32-Base!Q32</f>
        <v>0</v>
      </c>
      <c r="BK32" s="1124">
        <f>+Details!R32-Base!R32</f>
        <v>0</v>
      </c>
      <c r="BL32" s="1124">
        <f>+Details!S32-Base!S32</f>
        <v>0</v>
      </c>
      <c r="BM32" s="1124">
        <f>+Details!T32-Base!T32</f>
        <v>0</v>
      </c>
      <c r="BN32" s="1124">
        <f>+Details!U32-Base!U32</f>
        <v>0</v>
      </c>
      <c r="BO32" s="1124">
        <f>+Details!V32-Base!V32</f>
        <v>0</v>
      </c>
      <c r="BP32" s="1124">
        <f>+Details!W32-Base!W32</f>
        <v>0</v>
      </c>
      <c r="BQ32" s="1124">
        <f>+Details!X32-Base!X32</f>
        <v>0</v>
      </c>
      <c r="BR32" s="1124">
        <f>+Details!Y32-Base!Y32</f>
        <v>0</v>
      </c>
      <c r="BS32" s="1124">
        <f>+Details!Z32-Base!Z32</f>
        <v>0</v>
      </c>
      <c r="BT32" s="1124">
        <f>+Details!AA32-Base!AA32</f>
        <v>0</v>
      </c>
      <c r="BU32" s="1124">
        <f>+Details!AB32-Base!AB32</f>
        <v>0</v>
      </c>
      <c r="BV32" s="1124">
        <f>+Details!AC32-Base!AC32</f>
        <v>0</v>
      </c>
      <c r="BW32" s="1124">
        <f>+Details!AD32-Base!AD32</f>
        <v>0</v>
      </c>
      <c r="BX32" s="1124">
        <f>+Details!AE32-Base!AE32</f>
        <v>0</v>
      </c>
      <c r="BY32" s="1124">
        <f>+Details!AF32-Base!AF32</f>
        <v>0</v>
      </c>
      <c r="BZ32" s="1124">
        <f>+Details!AG32-Base!AG32</f>
        <v>0</v>
      </c>
      <c r="CA32" s="1124">
        <f>+Details!AH32-Base!AH32</f>
        <v>0</v>
      </c>
      <c r="CB32" s="1124">
        <f>+Details!AI32-Base!AI32</f>
        <v>0</v>
      </c>
      <c r="CC32" s="1124">
        <f>+Details!AJ32-Base!AJ32</f>
        <v>0</v>
      </c>
      <c r="CD32" s="1124">
        <f>+Details!AK32-Base!AK32</f>
        <v>0</v>
      </c>
      <c r="CE32" s="1124">
        <f>+Details!AL32-Base!AL32</f>
        <v>0</v>
      </c>
      <c r="CF32" s="1124">
        <f>+Details!AM32-Base!AM32</f>
        <v>0</v>
      </c>
      <c r="CG32" s="1124">
        <f>+Details!AN32-Base!AN32</f>
        <v>0</v>
      </c>
      <c r="CH32" s="1124">
        <f>+Details!AO32-Base!AO32</f>
        <v>0</v>
      </c>
      <c r="CI32" s="1124">
        <f>+Details!AP32-Base!AP32</f>
        <v>0</v>
      </c>
      <c r="CJ32" s="1124">
        <f>+Details!AQ32-Base!AQ32</f>
        <v>0</v>
      </c>
      <c r="CK32" s="1124">
        <f>+Details!AR32-Base!AR32</f>
        <v>0</v>
      </c>
      <c r="CL32" s="1124">
        <f>+Details!AS32-Base!AS32</f>
        <v>0</v>
      </c>
      <c r="CM32" s="81"/>
    </row>
    <row r="33" spans="1:91" hidden="1">
      <c r="A33" s="1427" t="s">
        <v>1578</v>
      </c>
      <c r="B33" s="436" t="s">
        <v>926</v>
      </c>
      <c r="C33" s="422"/>
      <c r="D33" s="1369" t="str">
        <f>tIRA2_Return*100 &amp; "%-" &amp; tIRA2_Return2*100 &amp; "%"</f>
        <v>5.9%-5.3%</v>
      </c>
      <c r="E33" s="34">
        <f t="shared" si="30"/>
        <v>31900</v>
      </c>
      <c r="F33" s="1104">
        <f>ROUND(IF((F13+F111&lt;=0),0,+(F13+(F13+F111))/2*F24)/Round_To,0)*Round_To</f>
        <v>0</v>
      </c>
      <c r="G33" s="1125">
        <f t="shared" ref="G33:AS33" si="37">ROUND(IF(OR(AND(F13=0,G13=0),(G13+G111)&lt;=0),0,+(G13+(G13+G111))/2*G24)/Round_To,0)*Round_To</f>
        <v>0</v>
      </c>
      <c r="H33" s="1125">
        <f t="shared" si="37"/>
        <v>0</v>
      </c>
      <c r="I33" s="1125">
        <f t="shared" si="37"/>
        <v>0</v>
      </c>
      <c r="J33" s="1125">
        <f t="shared" si="37"/>
        <v>0</v>
      </c>
      <c r="K33" s="1125">
        <f t="shared" si="37"/>
        <v>0</v>
      </c>
      <c r="L33" s="1125">
        <f t="shared" si="37"/>
        <v>0</v>
      </c>
      <c r="M33" s="1125">
        <f t="shared" si="37"/>
        <v>0</v>
      </c>
      <c r="N33" s="1125">
        <f t="shared" si="37"/>
        <v>0</v>
      </c>
      <c r="O33" s="1125">
        <f t="shared" si="37"/>
        <v>0</v>
      </c>
      <c r="P33" s="1125">
        <f t="shared" si="37"/>
        <v>0</v>
      </c>
      <c r="Q33" s="1125">
        <f t="shared" si="37"/>
        <v>0</v>
      </c>
      <c r="R33" s="1125">
        <f t="shared" si="37"/>
        <v>3400</v>
      </c>
      <c r="S33" s="1125">
        <f t="shared" si="37"/>
        <v>3400</v>
      </c>
      <c r="T33" s="1125">
        <f t="shared" si="37"/>
        <v>3300</v>
      </c>
      <c r="U33" s="1125">
        <f t="shared" si="37"/>
        <v>3200</v>
      </c>
      <c r="V33" s="1125">
        <f t="shared" si="37"/>
        <v>3100</v>
      </c>
      <c r="W33" s="1125">
        <f t="shared" si="37"/>
        <v>2900</v>
      </c>
      <c r="X33" s="1125">
        <f t="shared" si="37"/>
        <v>2400</v>
      </c>
      <c r="Y33" s="1125">
        <f t="shared" si="37"/>
        <v>2200</v>
      </c>
      <c r="Z33" s="1125">
        <f t="shared" si="37"/>
        <v>2000</v>
      </c>
      <c r="AA33" s="1125">
        <f t="shared" si="37"/>
        <v>1800</v>
      </c>
      <c r="AB33" s="1125">
        <f t="shared" si="37"/>
        <v>1500</v>
      </c>
      <c r="AC33" s="1125">
        <f t="shared" si="37"/>
        <v>1200</v>
      </c>
      <c r="AD33" s="1125">
        <f t="shared" si="37"/>
        <v>900</v>
      </c>
      <c r="AE33" s="1125">
        <f t="shared" si="37"/>
        <v>600</v>
      </c>
      <c r="AF33" s="1125">
        <f t="shared" si="37"/>
        <v>0</v>
      </c>
      <c r="AG33" s="1125">
        <f t="shared" si="37"/>
        <v>0</v>
      </c>
      <c r="AH33" s="1125">
        <f t="shared" si="37"/>
        <v>0</v>
      </c>
      <c r="AI33" s="1125">
        <f t="shared" si="37"/>
        <v>0</v>
      </c>
      <c r="AJ33" s="1125">
        <f t="shared" si="37"/>
        <v>0</v>
      </c>
      <c r="AK33" s="1125">
        <f t="shared" si="37"/>
        <v>0</v>
      </c>
      <c r="AL33" s="1125">
        <f t="shared" si="37"/>
        <v>0</v>
      </c>
      <c r="AM33" s="1125">
        <f t="shared" si="37"/>
        <v>0</v>
      </c>
      <c r="AN33" s="1125">
        <f t="shared" si="37"/>
        <v>0</v>
      </c>
      <c r="AO33" s="1125">
        <f t="shared" si="37"/>
        <v>0</v>
      </c>
      <c r="AP33" s="1125">
        <f t="shared" si="37"/>
        <v>0</v>
      </c>
      <c r="AQ33" s="1125">
        <f t="shared" si="37"/>
        <v>0</v>
      </c>
      <c r="AR33" s="1125">
        <f t="shared" si="37"/>
        <v>0</v>
      </c>
      <c r="AS33" s="1125">
        <f t="shared" si="37"/>
        <v>0</v>
      </c>
      <c r="AT33" s="3"/>
      <c r="AU33" s="34">
        <f>+Details!E33</f>
        <v>31900</v>
      </c>
      <c r="AV33" s="83">
        <f t="shared" si="32"/>
        <v>0</v>
      </c>
      <c r="AW33" s="102"/>
      <c r="AY33" s="38">
        <f>+Details!F33-Base!F33</f>
        <v>0</v>
      </c>
      <c r="AZ33" s="1125">
        <f>+Details!G33-Base!G33</f>
        <v>0</v>
      </c>
      <c r="BA33" s="1125">
        <f>+Details!H33-Base!H33</f>
        <v>0</v>
      </c>
      <c r="BB33" s="1125">
        <f>+Details!I33-Base!I33</f>
        <v>0</v>
      </c>
      <c r="BC33" s="1125">
        <f>+Details!J33-Base!J33</f>
        <v>0</v>
      </c>
      <c r="BD33" s="1125">
        <f>+Details!K33-Base!K33</f>
        <v>0</v>
      </c>
      <c r="BE33" s="1125">
        <f>+Details!L33-Base!L33</f>
        <v>0</v>
      </c>
      <c r="BF33" s="1125">
        <f>+Details!M33-Base!M33</f>
        <v>0</v>
      </c>
      <c r="BG33" s="1125">
        <f>+Details!N33-Base!N33</f>
        <v>0</v>
      </c>
      <c r="BH33" s="1125">
        <f>+Details!O33-Base!O33</f>
        <v>0</v>
      </c>
      <c r="BI33" s="1125">
        <f>+Details!P33-Base!P33</f>
        <v>0</v>
      </c>
      <c r="BJ33" s="1125">
        <f>+Details!Q33-Base!Q33</f>
        <v>0</v>
      </c>
      <c r="BK33" s="1125">
        <f>+Details!R33-Base!R33</f>
        <v>0</v>
      </c>
      <c r="BL33" s="1125">
        <f>+Details!S33-Base!S33</f>
        <v>0</v>
      </c>
      <c r="BM33" s="1125">
        <f>+Details!T33-Base!T33</f>
        <v>0</v>
      </c>
      <c r="BN33" s="1125">
        <f>+Details!U33-Base!U33</f>
        <v>0</v>
      </c>
      <c r="BO33" s="1125">
        <f>+Details!V33-Base!V33</f>
        <v>0</v>
      </c>
      <c r="BP33" s="1125">
        <f>+Details!W33-Base!W33</f>
        <v>0</v>
      </c>
      <c r="BQ33" s="1125">
        <f>+Details!X33-Base!X33</f>
        <v>0</v>
      </c>
      <c r="BR33" s="1125">
        <f>+Details!Y33-Base!Y33</f>
        <v>0</v>
      </c>
      <c r="BS33" s="1125">
        <f>+Details!Z33-Base!Z33</f>
        <v>0</v>
      </c>
      <c r="BT33" s="1125">
        <f>+Details!AA33-Base!AA33</f>
        <v>0</v>
      </c>
      <c r="BU33" s="1125">
        <f>+Details!AB33-Base!AB33</f>
        <v>0</v>
      </c>
      <c r="BV33" s="1125">
        <f>+Details!AC33-Base!AC33</f>
        <v>0</v>
      </c>
      <c r="BW33" s="1125">
        <f>+Details!AD33-Base!AD33</f>
        <v>0</v>
      </c>
      <c r="BX33" s="1125">
        <f>+Details!AE33-Base!AE33</f>
        <v>0</v>
      </c>
      <c r="BY33" s="1125">
        <f>+Details!AF33-Base!AF33</f>
        <v>0</v>
      </c>
      <c r="BZ33" s="1125">
        <f>+Details!AG33-Base!AG33</f>
        <v>0</v>
      </c>
      <c r="CA33" s="1125">
        <f>+Details!AH33-Base!AH33</f>
        <v>0</v>
      </c>
      <c r="CB33" s="1125">
        <f>+Details!AI33-Base!AI33</f>
        <v>0</v>
      </c>
      <c r="CC33" s="1125">
        <f>+Details!AJ33-Base!AJ33</f>
        <v>0</v>
      </c>
      <c r="CD33" s="1125">
        <f>+Details!AK33-Base!AK33</f>
        <v>0</v>
      </c>
      <c r="CE33" s="1125">
        <f>+Details!AL33-Base!AL33</f>
        <v>0</v>
      </c>
      <c r="CF33" s="1125">
        <f>+Details!AM33-Base!AM33</f>
        <v>0</v>
      </c>
      <c r="CG33" s="1125">
        <f>+Details!AN33-Base!AN33</f>
        <v>0</v>
      </c>
      <c r="CH33" s="1125">
        <f>+Details!AO33-Base!AO33</f>
        <v>0</v>
      </c>
      <c r="CI33" s="1125">
        <f>+Details!AP33-Base!AP33</f>
        <v>0</v>
      </c>
      <c r="CJ33" s="1125">
        <f>+Details!AQ33-Base!AQ33</f>
        <v>0</v>
      </c>
      <c r="CK33" s="1125">
        <f>+Details!AR33-Base!AR33</f>
        <v>0</v>
      </c>
      <c r="CL33" s="1125">
        <f>+Details!AS33-Base!AS33</f>
        <v>0</v>
      </c>
      <c r="CM33" s="103"/>
    </row>
    <row r="34" spans="1:91" ht="15.6">
      <c r="B34" s="381" t="s">
        <v>602</v>
      </c>
      <c r="C34" s="422"/>
      <c r="D34" s="1369" t="str">
        <f>"1: " &amp; tIRA_Return*100 &amp; "%-" &amp; tIRA_Return2*100 &amp; "%   2: " &amp; tIRA2_Return*100 &amp; "%-" &amp; tIRA2_Return2*100 &amp; "%"</f>
        <v>1: 6.5%-5.6%   2: 5.9%-5.3%</v>
      </c>
      <c r="E34" s="29">
        <f t="shared" si="30"/>
        <v>44000</v>
      </c>
      <c r="F34" s="447">
        <f>+F32+F33</f>
        <v>0</v>
      </c>
      <c r="G34" s="1124">
        <f t="shared" ref="G34:AS34" si="38">+G32+G33</f>
        <v>0</v>
      </c>
      <c r="H34" s="1124">
        <f t="shared" si="38"/>
        <v>0</v>
      </c>
      <c r="I34" s="1124">
        <f t="shared" si="38"/>
        <v>0</v>
      </c>
      <c r="J34" s="1124">
        <f t="shared" si="38"/>
        <v>0</v>
      </c>
      <c r="K34" s="1124">
        <f t="shared" si="38"/>
        <v>0</v>
      </c>
      <c r="L34" s="1124">
        <f t="shared" si="38"/>
        <v>0</v>
      </c>
      <c r="M34" s="1124">
        <f t="shared" si="38"/>
        <v>0</v>
      </c>
      <c r="N34" s="1124">
        <f t="shared" si="38"/>
        <v>0</v>
      </c>
      <c r="O34" s="1124">
        <f t="shared" si="38"/>
        <v>0</v>
      </c>
      <c r="P34" s="1124">
        <f t="shared" si="38"/>
        <v>0</v>
      </c>
      <c r="Q34" s="1124">
        <f t="shared" si="38"/>
        <v>0</v>
      </c>
      <c r="R34" s="1124">
        <f t="shared" si="38"/>
        <v>3400</v>
      </c>
      <c r="S34" s="1124">
        <f t="shared" si="38"/>
        <v>3400</v>
      </c>
      <c r="T34" s="1124">
        <f t="shared" si="38"/>
        <v>3300</v>
      </c>
      <c r="U34" s="1124">
        <f t="shared" si="38"/>
        <v>3200</v>
      </c>
      <c r="V34" s="1124">
        <f t="shared" si="38"/>
        <v>5300</v>
      </c>
      <c r="W34" s="1124">
        <f t="shared" si="38"/>
        <v>4800</v>
      </c>
      <c r="X34" s="1124">
        <f t="shared" si="38"/>
        <v>3800</v>
      </c>
      <c r="Y34" s="1124">
        <f t="shared" si="38"/>
        <v>3500</v>
      </c>
      <c r="Z34" s="1124">
        <f t="shared" si="38"/>
        <v>3200</v>
      </c>
      <c r="AA34" s="1124">
        <f t="shared" si="38"/>
        <v>2900</v>
      </c>
      <c r="AB34" s="1124">
        <f t="shared" si="38"/>
        <v>2500</v>
      </c>
      <c r="AC34" s="1124">
        <f t="shared" si="38"/>
        <v>2000</v>
      </c>
      <c r="AD34" s="1124">
        <f t="shared" si="38"/>
        <v>1500</v>
      </c>
      <c r="AE34" s="1124">
        <f t="shared" si="38"/>
        <v>1000</v>
      </c>
      <c r="AF34" s="1124">
        <f t="shared" si="38"/>
        <v>200</v>
      </c>
      <c r="AG34" s="1124">
        <f t="shared" si="38"/>
        <v>0</v>
      </c>
      <c r="AH34" s="1124">
        <f t="shared" si="38"/>
        <v>0</v>
      </c>
      <c r="AI34" s="1124">
        <f t="shared" si="38"/>
        <v>0</v>
      </c>
      <c r="AJ34" s="1124">
        <f t="shared" si="38"/>
        <v>0</v>
      </c>
      <c r="AK34" s="1124">
        <f t="shared" si="38"/>
        <v>0</v>
      </c>
      <c r="AL34" s="1124">
        <f t="shared" si="38"/>
        <v>0</v>
      </c>
      <c r="AM34" s="1124">
        <f t="shared" si="38"/>
        <v>0</v>
      </c>
      <c r="AN34" s="1124">
        <f t="shared" si="38"/>
        <v>0</v>
      </c>
      <c r="AO34" s="1124">
        <f t="shared" si="38"/>
        <v>0</v>
      </c>
      <c r="AP34" s="1124">
        <f t="shared" si="38"/>
        <v>0</v>
      </c>
      <c r="AQ34" s="1124">
        <f t="shared" si="38"/>
        <v>0</v>
      </c>
      <c r="AR34" s="1124">
        <f t="shared" si="38"/>
        <v>0</v>
      </c>
      <c r="AS34" s="1124">
        <f t="shared" si="38"/>
        <v>0</v>
      </c>
      <c r="AT34" s="3"/>
      <c r="AU34" s="29">
        <f>+Details!E34</f>
        <v>44000</v>
      </c>
      <c r="AV34" s="81">
        <f t="shared" si="32"/>
        <v>0</v>
      </c>
      <c r="AW34" s="102"/>
      <c r="AY34" s="31">
        <f>+Details!F34-Base!F34</f>
        <v>0</v>
      </c>
      <c r="AZ34" s="1124">
        <f>+Details!G34-Base!G34</f>
        <v>0</v>
      </c>
      <c r="BA34" s="1124">
        <f>+Details!H34-Base!H34</f>
        <v>0</v>
      </c>
      <c r="BB34" s="1124">
        <f>+Details!I34-Base!I34</f>
        <v>0</v>
      </c>
      <c r="BC34" s="1124">
        <f>+Details!J34-Base!J34</f>
        <v>0</v>
      </c>
      <c r="BD34" s="1124">
        <f>+Details!K34-Base!K34</f>
        <v>0</v>
      </c>
      <c r="BE34" s="1124">
        <f>+Details!L34-Base!L34</f>
        <v>0</v>
      </c>
      <c r="BF34" s="1124">
        <f>+Details!M34-Base!M34</f>
        <v>0</v>
      </c>
      <c r="BG34" s="1124">
        <f>+Details!N34-Base!N34</f>
        <v>0</v>
      </c>
      <c r="BH34" s="1124">
        <f>+Details!O34-Base!O34</f>
        <v>0</v>
      </c>
      <c r="BI34" s="1124">
        <f>+Details!P34-Base!P34</f>
        <v>0</v>
      </c>
      <c r="BJ34" s="1124">
        <f>+Details!Q34-Base!Q34</f>
        <v>0</v>
      </c>
      <c r="BK34" s="1124">
        <f>+Details!R34-Base!R34</f>
        <v>0</v>
      </c>
      <c r="BL34" s="1124">
        <f>+Details!S34-Base!S34</f>
        <v>0</v>
      </c>
      <c r="BM34" s="1124">
        <f>+Details!T34-Base!T34</f>
        <v>0</v>
      </c>
      <c r="BN34" s="1124">
        <f>+Details!U34-Base!U34</f>
        <v>0</v>
      </c>
      <c r="BO34" s="1124">
        <f>+Details!V34-Base!V34</f>
        <v>0</v>
      </c>
      <c r="BP34" s="1124">
        <f>+Details!W34-Base!W34</f>
        <v>0</v>
      </c>
      <c r="BQ34" s="1124">
        <f>+Details!X34-Base!X34</f>
        <v>0</v>
      </c>
      <c r="BR34" s="1124">
        <f>+Details!Y34-Base!Y34</f>
        <v>0</v>
      </c>
      <c r="BS34" s="1124">
        <f>+Details!Z34-Base!Z34</f>
        <v>0</v>
      </c>
      <c r="BT34" s="1124">
        <f>+Details!AA34-Base!AA34</f>
        <v>0</v>
      </c>
      <c r="BU34" s="1124">
        <f>+Details!AB34-Base!AB34</f>
        <v>0</v>
      </c>
      <c r="BV34" s="1124">
        <f>+Details!AC34-Base!AC34</f>
        <v>0</v>
      </c>
      <c r="BW34" s="1124">
        <f>+Details!AD34-Base!AD34</f>
        <v>0</v>
      </c>
      <c r="BX34" s="1124">
        <f>+Details!AE34-Base!AE34</f>
        <v>0</v>
      </c>
      <c r="BY34" s="1124">
        <f>+Details!AF34-Base!AF34</f>
        <v>0</v>
      </c>
      <c r="BZ34" s="1124">
        <f>+Details!AG34-Base!AG34</f>
        <v>0</v>
      </c>
      <c r="CA34" s="1124">
        <f>+Details!AH34-Base!AH34</f>
        <v>0</v>
      </c>
      <c r="CB34" s="1124">
        <f>+Details!AI34-Base!AI34</f>
        <v>0</v>
      </c>
      <c r="CC34" s="1124">
        <f>+Details!AJ34-Base!AJ34</f>
        <v>0</v>
      </c>
      <c r="CD34" s="1124">
        <f>+Details!AK34-Base!AK34</f>
        <v>0</v>
      </c>
      <c r="CE34" s="1124">
        <f>+Details!AL34-Base!AL34</f>
        <v>0</v>
      </c>
      <c r="CF34" s="1124">
        <f>+Details!AM34-Base!AM34</f>
        <v>0</v>
      </c>
      <c r="CG34" s="1124">
        <f>+Details!AN34-Base!AN34</f>
        <v>0</v>
      </c>
      <c r="CH34" s="1124">
        <f>+Details!AO34-Base!AO34</f>
        <v>0</v>
      </c>
      <c r="CI34" s="1124">
        <f>+Details!AP34-Base!AP34</f>
        <v>0</v>
      </c>
      <c r="CJ34" s="1124">
        <f>+Details!AQ34-Base!AQ34</f>
        <v>0</v>
      </c>
      <c r="CK34" s="1124">
        <f>+Details!AR34-Base!AR34</f>
        <v>0</v>
      </c>
      <c r="CL34" s="1124">
        <f>+Details!AS34-Base!AS34</f>
        <v>0</v>
      </c>
      <c r="CM34" s="81"/>
    </row>
    <row r="35" spans="1:91" ht="19.95" hidden="1" customHeight="1">
      <c r="A35" s="1427" t="s">
        <v>1578</v>
      </c>
      <c r="B35" s="992" t="s">
        <v>760</v>
      </c>
      <c r="C35" s="1418" t="s">
        <v>2303</v>
      </c>
      <c r="D35" s="1369" t="str">
        <f xml:space="preserve"> Roth_Return*100 &amp; "%-" &amp; Roth_Return2*100 &amp; "%"</f>
        <v>6.2%-5.3%</v>
      </c>
      <c r="E35" s="29">
        <f t="shared" si="30"/>
        <v>349000</v>
      </c>
      <c r="F35" s="1302">
        <f>ROUND(IF((F15+F120+F123)&lt;=0,0,+(F15+(F15+F120+F123))/2*F$25)/Round_To,0)*Round_To</f>
        <v>4700</v>
      </c>
      <c r="G35" s="1124">
        <f t="shared" ref="G35:AS35" si="39">ROUND(IF(OR(AND(F15=0,G15=0),(G15+G120+G123)&lt;=0),0,+(G15+(G15+G120+G123))/2*G$25)/Round_To,0)*Round_To</f>
        <v>5000</v>
      </c>
      <c r="H35" s="1124">
        <f t="shared" si="39"/>
        <v>5400</v>
      </c>
      <c r="I35" s="1124">
        <f t="shared" si="39"/>
        <v>5800</v>
      </c>
      <c r="J35" s="1124">
        <f t="shared" si="39"/>
        <v>6200</v>
      </c>
      <c r="K35" s="1124">
        <f t="shared" si="39"/>
        <v>6600</v>
      </c>
      <c r="L35" s="1124">
        <f t="shared" si="39"/>
        <v>7000</v>
      </c>
      <c r="M35" s="1124">
        <f t="shared" si="39"/>
        <v>7500</v>
      </c>
      <c r="N35" s="1124">
        <f t="shared" si="39"/>
        <v>7900</v>
      </c>
      <c r="O35" s="1124">
        <f t="shared" si="39"/>
        <v>8400</v>
      </c>
      <c r="P35" s="1124">
        <f t="shared" si="39"/>
        <v>8900</v>
      </c>
      <c r="Q35" s="1124">
        <f t="shared" si="39"/>
        <v>9500</v>
      </c>
      <c r="R35" s="1124">
        <f t="shared" si="39"/>
        <v>10100</v>
      </c>
      <c r="S35" s="1124">
        <f t="shared" si="39"/>
        <v>10700</v>
      </c>
      <c r="T35" s="1124">
        <f t="shared" si="39"/>
        <v>11400</v>
      </c>
      <c r="U35" s="1124">
        <f t="shared" si="39"/>
        <v>12100</v>
      </c>
      <c r="V35" s="1124">
        <f t="shared" si="39"/>
        <v>12800</v>
      </c>
      <c r="W35" s="1124">
        <f t="shared" si="39"/>
        <v>13600</v>
      </c>
      <c r="X35" s="1124">
        <f t="shared" si="39"/>
        <v>12300</v>
      </c>
      <c r="Y35" s="1124">
        <f t="shared" si="39"/>
        <v>12900</v>
      </c>
      <c r="Z35" s="1124">
        <f t="shared" si="39"/>
        <v>13600</v>
      </c>
      <c r="AA35" s="1124">
        <f t="shared" si="39"/>
        <v>14200</v>
      </c>
      <c r="AB35" s="1124">
        <f t="shared" si="39"/>
        <v>14900</v>
      </c>
      <c r="AC35" s="1124">
        <f t="shared" si="39"/>
        <v>15700</v>
      </c>
      <c r="AD35" s="1124">
        <f t="shared" si="39"/>
        <v>16400</v>
      </c>
      <c r="AE35" s="1124">
        <f t="shared" si="39"/>
        <v>17300</v>
      </c>
      <c r="AF35" s="1124">
        <f t="shared" si="39"/>
        <v>18100</v>
      </c>
      <c r="AG35" s="1124">
        <f t="shared" si="39"/>
        <v>19000</v>
      </c>
      <c r="AH35" s="1124">
        <f t="shared" si="39"/>
        <v>20000</v>
      </c>
      <c r="AI35" s="1124">
        <f t="shared" si="39"/>
        <v>21000</v>
      </c>
      <c r="AJ35" s="1124">
        <f t="shared" si="39"/>
        <v>0</v>
      </c>
      <c r="AK35" s="1124">
        <f t="shared" si="39"/>
        <v>0</v>
      </c>
      <c r="AL35" s="1124">
        <f t="shared" si="39"/>
        <v>0</v>
      </c>
      <c r="AM35" s="1124">
        <f t="shared" si="39"/>
        <v>0</v>
      </c>
      <c r="AN35" s="1124">
        <f t="shared" si="39"/>
        <v>0</v>
      </c>
      <c r="AO35" s="1124">
        <f t="shared" si="39"/>
        <v>0</v>
      </c>
      <c r="AP35" s="1124">
        <f t="shared" si="39"/>
        <v>0</v>
      </c>
      <c r="AQ35" s="1124">
        <f t="shared" si="39"/>
        <v>0</v>
      </c>
      <c r="AR35" s="1124">
        <f t="shared" si="39"/>
        <v>0</v>
      </c>
      <c r="AS35" s="1124">
        <f t="shared" si="39"/>
        <v>0</v>
      </c>
      <c r="AT35" s="3"/>
      <c r="AU35" s="29">
        <f>+Details!E35</f>
        <v>349000</v>
      </c>
      <c r="AV35" s="81">
        <f>+E35-AU35</f>
        <v>0</v>
      </c>
      <c r="AW35" s="102"/>
      <c r="AY35" s="31">
        <f>+Details!F35-Base!F35</f>
        <v>0</v>
      </c>
      <c r="AZ35" s="1124">
        <f>+Details!G35-Base!G35</f>
        <v>0</v>
      </c>
      <c r="BA35" s="1124">
        <f>+Details!H35-Base!H35</f>
        <v>0</v>
      </c>
      <c r="BB35" s="1124">
        <f>+Details!I35-Base!I35</f>
        <v>0</v>
      </c>
      <c r="BC35" s="1124">
        <f>+Details!J35-Base!J35</f>
        <v>0</v>
      </c>
      <c r="BD35" s="1124">
        <f>+Details!K35-Base!K35</f>
        <v>0</v>
      </c>
      <c r="BE35" s="1124">
        <f>+Details!L35-Base!L35</f>
        <v>0</v>
      </c>
      <c r="BF35" s="1124">
        <f>+Details!M35-Base!M35</f>
        <v>0</v>
      </c>
      <c r="BG35" s="1124">
        <f>+Details!N35-Base!N35</f>
        <v>0</v>
      </c>
      <c r="BH35" s="1124">
        <f>+Details!O35-Base!O35</f>
        <v>0</v>
      </c>
      <c r="BI35" s="1124">
        <f>+Details!P35-Base!P35</f>
        <v>0</v>
      </c>
      <c r="BJ35" s="1124">
        <f>+Details!Q35-Base!Q35</f>
        <v>0</v>
      </c>
      <c r="BK35" s="1124">
        <f>+Details!R35-Base!R35</f>
        <v>0</v>
      </c>
      <c r="BL35" s="1124">
        <f>+Details!S35-Base!S35</f>
        <v>0</v>
      </c>
      <c r="BM35" s="1124">
        <f>+Details!T35-Base!T35</f>
        <v>0</v>
      </c>
      <c r="BN35" s="1124">
        <f>+Details!U35-Base!U35</f>
        <v>0</v>
      </c>
      <c r="BO35" s="1124">
        <f>+Details!V35-Base!V35</f>
        <v>0</v>
      </c>
      <c r="BP35" s="1124">
        <f>+Details!W35-Base!W35</f>
        <v>0</v>
      </c>
      <c r="BQ35" s="1124">
        <f>+Details!X35-Base!X35</f>
        <v>0</v>
      </c>
      <c r="BR35" s="1124">
        <f>+Details!Y35-Base!Y35</f>
        <v>0</v>
      </c>
      <c r="BS35" s="1124">
        <f>+Details!Z35-Base!Z35</f>
        <v>0</v>
      </c>
      <c r="BT35" s="1124">
        <f>+Details!AA35-Base!AA35</f>
        <v>0</v>
      </c>
      <c r="BU35" s="1124">
        <f>+Details!AB35-Base!AB35</f>
        <v>0</v>
      </c>
      <c r="BV35" s="1124">
        <f>+Details!AC35-Base!AC35</f>
        <v>0</v>
      </c>
      <c r="BW35" s="1124">
        <f>+Details!AD35-Base!AD35</f>
        <v>0</v>
      </c>
      <c r="BX35" s="1124">
        <f>+Details!AE35-Base!AE35</f>
        <v>0</v>
      </c>
      <c r="BY35" s="1124">
        <f>+Details!AF35-Base!AF35</f>
        <v>0</v>
      </c>
      <c r="BZ35" s="1124">
        <f>+Details!AG35-Base!AG35</f>
        <v>0</v>
      </c>
      <c r="CA35" s="1124">
        <f>+Details!AH35-Base!AH35</f>
        <v>0</v>
      </c>
      <c r="CB35" s="1124">
        <f>+Details!AI35-Base!AI35</f>
        <v>0</v>
      </c>
      <c r="CC35" s="1124">
        <f>+Details!AJ35-Base!AJ35</f>
        <v>0</v>
      </c>
      <c r="CD35" s="1124">
        <f>+Details!AK35-Base!AK35</f>
        <v>0</v>
      </c>
      <c r="CE35" s="1124">
        <f>+Details!AL35-Base!AL35</f>
        <v>0</v>
      </c>
      <c r="CF35" s="1124">
        <f>+Details!AM35-Base!AM35</f>
        <v>0</v>
      </c>
      <c r="CG35" s="1124">
        <f>+Details!AN35-Base!AN35</f>
        <v>0</v>
      </c>
      <c r="CH35" s="1124">
        <f>+Details!AO35-Base!AO35</f>
        <v>0</v>
      </c>
      <c r="CI35" s="1124">
        <f>+Details!AP35-Base!AP35</f>
        <v>0</v>
      </c>
      <c r="CJ35" s="1124">
        <f>+Details!AQ35-Base!AQ35</f>
        <v>0</v>
      </c>
      <c r="CK35" s="1124">
        <f>+Details!AR35-Base!AR35</f>
        <v>0</v>
      </c>
      <c r="CL35" s="1124">
        <f>+Details!AS35-Base!AS35</f>
        <v>0</v>
      </c>
      <c r="CM35" s="81"/>
    </row>
    <row r="36" spans="1:91" ht="15.6" hidden="1">
      <c r="A36" s="1427" t="s">
        <v>1578</v>
      </c>
      <c r="B36" s="992" t="s">
        <v>761</v>
      </c>
      <c r="C36" s="1418" t="s">
        <v>2028</v>
      </c>
      <c r="D36" s="1369" t="str">
        <f xml:space="preserve"> Roth2_Return*100 &amp; "%-" &amp; Roth2_Return2*100 &amp; "%"</f>
        <v>5.7%-5.3%</v>
      </c>
      <c r="E36" s="34">
        <f t="shared" si="30"/>
        <v>34900</v>
      </c>
      <c r="F36" s="1303">
        <f>ROUND(IF((F16+F124)&lt;=0,0,+(F16+(F16+F124))/2*F$26)/Round_To,0)*Round_To</f>
        <v>1400</v>
      </c>
      <c r="G36" s="1125">
        <f t="shared" ref="G36:AS36" si="40">ROUND(IF(OR(AND(F16=0,G16=0),(G16+G124)&lt;=0),0,+(G16+(G16+G124))/2*G$26)/Round_To,0)*Round_To</f>
        <v>1500</v>
      </c>
      <c r="H36" s="1125">
        <f t="shared" si="40"/>
        <v>1600</v>
      </c>
      <c r="I36" s="1125">
        <f t="shared" si="40"/>
        <v>1700</v>
      </c>
      <c r="J36" s="1125">
        <f t="shared" si="40"/>
        <v>1800</v>
      </c>
      <c r="K36" s="1125">
        <f t="shared" si="40"/>
        <v>1900</v>
      </c>
      <c r="L36" s="1125">
        <f t="shared" si="40"/>
        <v>2000</v>
      </c>
      <c r="M36" s="1125">
        <f t="shared" si="40"/>
        <v>2100</v>
      </c>
      <c r="N36" s="1125">
        <f t="shared" si="40"/>
        <v>2100</v>
      </c>
      <c r="O36" s="1125">
        <f t="shared" si="40"/>
        <v>1900</v>
      </c>
      <c r="P36" s="1125">
        <f t="shared" si="40"/>
        <v>1700</v>
      </c>
      <c r="Q36" s="1125">
        <f t="shared" si="40"/>
        <v>1400</v>
      </c>
      <c r="R36" s="1125">
        <f t="shared" si="40"/>
        <v>1100</v>
      </c>
      <c r="S36" s="1125">
        <f t="shared" si="40"/>
        <v>700</v>
      </c>
      <c r="T36" s="1125">
        <f t="shared" si="40"/>
        <v>500</v>
      </c>
      <c r="U36" s="1125">
        <f t="shared" si="40"/>
        <v>500</v>
      </c>
      <c r="V36" s="1125">
        <f t="shared" si="40"/>
        <v>600</v>
      </c>
      <c r="W36" s="1125">
        <f t="shared" si="40"/>
        <v>600</v>
      </c>
      <c r="X36" s="1125">
        <f t="shared" si="40"/>
        <v>600</v>
      </c>
      <c r="Y36" s="1125">
        <f t="shared" si="40"/>
        <v>600</v>
      </c>
      <c r="Z36" s="1125">
        <f t="shared" si="40"/>
        <v>700</v>
      </c>
      <c r="AA36" s="1125">
        <f t="shared" si="40"/>
        <v>700</v>
      </c>
      <c r="AB36" s="1125">
        <f t="shared" si="40"/>
        <v>700</v>
      </c>
      <c r="AC36" s="1125">
        <f t="shared" si="40"/>
        <v>800</v>
      </c>
      <c r="AD36" s="1125">
        <f t="shared" si="40"/>
        <v>800</v>
      </c>
      <c r="AE36" s="1125">
        <f t="shared" si="40"/>
        <v>900</v>
      </c>
      <c r="AF36" s="1125">
        <f t="shared" si="40"/>
        <v>900</v>
      </c>
      <c r="AG36" s="1125">
        <f t="shared" si="40"/>
        <v>1000</v>
      </c>
      <c r="AH36" s="1125">
        <f t="shared" si="40"/>
        <v>1000</v>
      </c>
      <c r="AI36" s="1125">
        <f t="shared" si="40"/>
        <v>1100</v>
      </c>
      <c r="AJ36" s="1125">
        <f t="shared" si="40"/>
        <v>0</v>
      </c>
      <c r="AK36" s="1125">
        <f t="shared" si="40"/>
        <v>0</v>
      </c>
      <c r="AL36" s="1125">
        <f t="shared" si="40"/>
        <v>0</v>
      </c>
      <c r="AM36" s="1125">
        <f t="shared" si="40"/>
        <v>0</v>
      </c>
      <c r="AN36" s="1125">
        <f t="shared" si="40"/>
        <v>0</v>
      </c>
      <c r="AO36" s="1125">
        <f t="shared" si="40"/>
        <v>0</v>
      </c>
      <c r="AP36" s="1125">
        <f t="shared" si="40"/>
        <v>0</v>
      </c>
      <c r="AQ36" s="1125">
        <f t="shared" si="40"/>
        <v>0</v>
      </c>
      <c r="AR36" s="1125">
        <f t="shared" si="40"/>
        <v>0</v>
      </c>
      <c r="AS36" s="1125">
        <f t="shared" si="40"/>
        <v>0</v>
      </c>
      <c r="AT36" s="3"/>
      <c r="AU36" s="34">
        <f>+Details!E36</f>
        <v>34900</v>
      </c>
      <c r="AV36" s="83">
        <f>+E36-AU36</f>
        <v>0</v>
      </c>
      <c r="AW36" s="102"/>
      <c r="AY36" s="38">
        <f>+Details!F36-Base!F36</f>
        <v>0</v>
      </c>
      <c r="AZ36" s="1125">
        <f>+Details!G36-Base!G36</f>
        <v>0</v>
      </c>
      <c r="BA36" s="1125">
        <f>+Details!H36-Base!H36</f>
        <v>0</v>
      </c>
      <c r="BB36" s="1125">
        <f>+Details!I36-Base!I36</f>
        <v>0</v>
      </c>
      <c r="BC36" s="1125">
        <f>+Details!J36-Base!J36</f>
        <v>0</v>
      </c>
      <c r="BD36" s="1125">
        <f>+Details!K36-Base!K36</f>
        <v>0</v>
      </c>
      <c r="BE36" s="1125">
        <f>+Details!L36-Base!L36</f>
        <v>0</v>
      </c>
      <c r="BF36" s="1125">
        <f>+Details!M36-Base!M36</f>
        <v>0</v>
      </c>
      <c r="BG36" s="1125">
        <f>+Details!N36-Base!N36</f>
        <v>0</v>
      </c>
      <c r="BH36" s="1125">
        <f>+Details!O36-Base!O36</f>
        <v>0</v>
      </c>
      <c r="BI36" s="1125">
        <f>+Details!P36-Base!P36</f>
        <v>0</v>
      </c>
      <c r="BJ36" s="1125">
        <f>+Details!Q36-Base!Q36</f>
        <v>0</v>
      </c>
      <c r="BK36" s="1125">
        <f>+Details!R36-Base!R36</f>
        <v>0</v>
      </c>
      <c r="BL36" s="1125">
        <f>+Details!S36-Base!S36</f>
        <v>0</v>
      </c>
      <c r="BM36" s="1125">
        <f>+Details!T36-Base!T36</f>
        <v>0</v>
      </c>
      <c r="BN36" s="1125">
        <f>+Details!U36-Base!U36</f>
        <v>0</v>
      </c>
      <c r="BO36" s="1125">
        <f>+Details!V36-Base!V36</f>
        <v>0</v>
      </c>
      <c r="BP36" s="1125">
        <f>+Details!W36-Base!W36</f>
        <v>0</v>
      </c>
      <c r="BQ36" s="1125">
        <f>+Details!X36-Base!X36</f>
        <v>0</v>
      </c>
      <c r="BR36" s="1125">
        <f>+Details!Y36-Base!Y36</f>
        <v>0</v>
      </c>
      <c r="BS36" s="1125">
        <f>+Details!Z36-Base!Z36</f>
        <v>0</v>
      </c>
      <c r="BT36" s="1125">
        <f>+Details!AA36-Base!AA36</f>
        <v>0</v>
      </c>
      <c r="BU36" s="1125">
        <f>+Details!AB36-Base!AB36</f>
        <v>0</v>
      </c>
      <c r="BV36" s="1125">
        <f>+Details!AC36-Base!AC36</f>
        <v>0</v>
      </c>
      <c r="BW36" s="1125">
        <f>+Details!AD36-Base!AD36</f>
        <v>0</v>
      </c>
      <c r="BX36" s="1125">
        <f>+Details!AE36-Base!AE36</f>
        <v>0</v>
      </c>
      <c r="BY36" s="1125">
        <f>+Details!AF36-Base!AF36</f>
        <v>0</v>
      </c>
      <c r="BZ36" s="1125">
        <f>+Details!AG36-Base!AG36</f>
        <v>0</v>
      </c>
      <c r="CA36" s="1125">
        <f>+Details!AH36-Base!AH36</f>
        <v>0</v>
      </c>
      <c r="CB36" s="1125">
        <f>+Details!AI36-Base!AI36</f>
        <v>0</v>
      </c>
      <c r="CC36" s="1125">
        <f>+Details!AJ36-Base!AJ36</f>
        <v>0</v>
      </c>
      <c r="CD36" s="1125">
        <f>+Details!AK36-Base!AK36</f>
        <v>0</v>
      </c>
      <c r="CE36" s="1125">
        <f>+Details!AL36-Base!AL36</f>
        <v>0</v>
      </c>
      <c r="CF36" s="1125">
        <f>+Details!AM36-Base!AM36</f>
        <v>0</v>
      </c>
      <c r="CG36" s="1125">
        <f>+Details!AN36-Base!AN36</f>
        <v>0</v>
      </c>
      <c r="CH36" s="1125">
        <f>+Details!AO36-Base!AO36</f>
        <v>0</v>
      </c>
      <c r="CI36" s="1125">
        <f>+Details!AP36-Base!AP36</f>
        <v>0</v>
      </c>
      <c r="CJ36" s="1125">
        <f>+Details!AQ36-Base!AQ36</f>
        <v>0</v>
      </c>
      <c r="CK36" s="1125">
        <f>+Details!AR36-Base!AR36</f>
        <v>0</v>
      </c>
      <c r="CL36" s="1125">
        <f>+Details!AS36-Base!AS36</f>
        <v>0</v>
      </c>
      <c r="CM36" s="103"/>
    </row>
    <row r="37" spans="1:91" ht="15.6">
      <c r="B37" s="718" t="s">
        <v>601</v>
      </c>
      <c r="C37" s="32"/>
      <c r="D37" s="1369" t="str">
        <f>"1: " &amp; Roth_Return*100 &amp; "%-" &amp; Roth_Return2*100 &amp; "%   2: " &amp; Roth2_Return*100 &amp; "%-" &amp; Roth2_Return2*100 &amp; "%"</f>
        <v>1: 6.2%-5.3%   2: 5.7%-5.3%</v>
      </c>
      <c r="E37" s="29">
        <f t="shared" si="30"/>
        <v>383900</v>
      </c>
      <c r="F37" s="1124">
        <f>+F35+F36</f>
        <v>6100</v>
      </c>
      <c r="G37" s="1124">
        <f t="shared" ref="G37:AS37" si="41">+G35+G36</f>
        <v>6500</v>
      </c>
      <c r="H37" s="1124">
        <f t="shared" si="41"/>
        <v>7000</v>
      </c>
      <c r="I37" s="1124">
        <f t="shared" si="41"/>
        <v>7500</v>
      </c>
      <c r="J37" s="1124">
        <f t="shared" si="41"/>
        <v>8000</v>
      </c>
      <c r="K37" s="1124">
        <f t="shared" si="41"/>
        <v>8500</v>
      </c>
      <c r="L37" s="1124">
        <f t="shared" si="41"/>
        <v>9000</v>
      </c>
      <c r="M37" s="1124">
        <f t="shared" si="41"/>
        <v>9600</v>
      </c>
      <c r="N37" s="1124">
        <f t="shared" si="41"/>
        <v>10000</v>
      </c>
      <c r="O37" s="1124">
        <f t="shared" si="41"/>
        <v>10300</v>
      </c>
      <c r="P37" s="1124">
        <f t="shared" si="41"/>
        <v>10600</v>
      </c>
      <c r="Q37" s="1124">
        <f t="shared" si="41"/>
        <v>10900</v>
      </c>
      <c r="R37" s="1124">
        <f t="shared" si="41"/>
        <v>11200</v>
      </c>
      <c r="S37" s="1124">
        <f t="shared" si="41"/>
        <v>11400</v>
      </c>
      <c r="T37" s="1124">
        <f t="shared" si="41"/>
        <v>11900</v>
      </c>
      <c r="U37" s="1124">
        <f t="shared" si="41"/>
        <v>12600</v>
      </c>
      <c r="V37" s="1124">
        <f t="shared" si="41"/>
        <v>13400</v>
      </c>
      <c r="W37" s="1124">
        <f t="shared" si="41"/>
        <v>14200</v>
      </c>
      <c r="X37" s="1124">
        <f t="shared" si="41"/>
        <v>12900</v>
      </c>
      <c r="Y37" s="1124">
        <f t="shared" si="41"/>
        <v>13500</v>
      </c>
      <c r="Z37" s="1124">
        <f t="shared" si="41"/>
        <v>14300</v>
      </c>
      <c r="AA37" s="1124">
        <f t="shared" si="41"/>
        <v>14900</v>
      </c>
      <c r="AB37" s="1124">
        <f t="shared" si="41"/>
        <v>15600</v>
      </c>
      <c r="AC37" s="1124">
        <f t="shared" si="41"/>
        <v>16500</v>
      </c>
      <c r="AD37" s="1124">
        <f t="shared" si="41"/>
        <v>17200</v>
      </c>
      <c r="AE37" s="1124">
        <f t="shared" si="41"/>
        <v>18200</v>
      </c>
      <c r="AF37" s="1124">
        <f t="shared" si="41"/>
        <v>19000</v>
      </c>
      <c r="AG37" s="1124">
        <f t="shared" si="41"/>
        <v>20000</v>
      </c>
      <c r="AH37" s="1124">
        <f t="shared" si="41"/>
        <v>21000</v>
      </c>
      <c r="AI37" s="1124">
        <f t="shared" si="41"/>
        <v>22100</v>
      </c>
      <c r="AJ37" s="1124">
        <f t="shared" si="41"/>
        <v>0</v>
      </c>
      <c r="AK37" s="1124">
        <f t="shared" si="41"/>
        <v>0</v>
      </c>
      <c r="AL37" s="1124">
        <f t="shared" si="41"/>
        <v>0</v>
      </c>
      <c r="AM37" s="1124">
        <f t="shared" si="41"/>
        <v>0</v>
      </c>
      <c r="AN37" s="1124">
        <f t="shared" si="41"/>
        <v>0</v>
      </c>
      <c r="AO37" s="1124">
        <f t="shared" si="41"/>
        <v>0</v>
      </c>
      <c r="AP37" s="1124">
        <f t="shared" si="41"/>
        <v>0</v>
      </c>
      <c r="AQ37" s="1124">
        <f t="shared" si="41"/>
        <v>0</v>
      </c>
      <c r="AR37" s="1124">
        <f t="shared" si="41"/>
        <v>0</v>
      </c>
      <c r="AS37" s="1124">
        <f t="shared" si="41"/>
        <v>0</v>
      </c>
      <c r="AT37" s="3"/>
      <c r="AU37" s="29">
        <f>+Details!E37</f>
        <v>383900</v>
      </c>
      <c r="AV37" s="81">
        <f t="shared" si="32"/>
        <v>0</v>
      </c>
      <c r="AW37" s="102"/>
      <c r="AY37" s="31">
        <f>+Details!F37-Base!F37</f>
        <v>0</v>
      </c>
      <c r="AZ37" s="1124">
        <f>+Details!G37-Base!G37</f>
        <v>0</v>
      </c>
      <c r="BA37" s="1124">
        <f>+Details!H37-Base!H37</f>
        <v>0</v>
      </c>
      <c r="BB37" s="1124">
        <f>+Details!I37-Base!I37</f>
        <v>0</v>
      </c>
      <c r="BC37" s="1124">
        <f>+Details!J37-Base!J37</f>
        <v>0</v>
      </c>
      <c r="BD37" s="1124">
        <f>+Details!K37-Base!K37</f>
        <v>0</v>
      </c>
      <c r="BE37" s="1124">
        <f>+Details!L37-Base!L37</f>
        <v>0</v>
      </c>
      <c r="BF37" s="1124">
        <f>+Details!M37-Base!M37</f>
        <v>0</v>
      </c>
      <c r="BG37" s="1124">
        <f>+Details!N37-Base!N37</f>
        <v>0</v>
      </c>
      <c r="BH37" s="1124">
        <f>+Details!O37-Base!O37</f>
        <v>0</v>
      </c>
      <c r="BI37" s="1124">
        <f>+Details!P37-Base!P37</f>
        <v>0</v>
      </c>
      <c r="BJ37" s="1124">
        <f>+Details!Q37-Base!Q37</f>
        <v>0</v>
      </c>
      <c r="BK37" s="1124">
        <f>+Details!R37-Base!R37</f>
        <v>0</v>
      </c>
      <c r="BL37" s="1124">
        <f>+Details!S37-Base!S37</f>
        <v>0</v>
      </c>
      <c r="BM37" s="1124">
        <f>+Details!T37-Base!T37</f>
        <v>0</v>
      </c>
      <c r="BN37" s="1124">
        <f>+Details!U37-Base!U37</f>
        <v>0</v>
      </c>
      <c r="BO37" s="1124">
        <f>+Details!V37-Base!V37</f>
        <v>0</v>
      </c>
      <c r="BP37" s="1124">
        <f>+Details!W37-Base!W37</f>
        <v>0</v>
      </c>
      <c r="BQ37" s="1124">
        <f>+Details!X37-Base!X37</f>
        <v>0</v>
      </c>
      <c r="BR37" s="1124">
        <f>+Details!Y37-Base!Y37</f>
        <v>0</v>
      </c>
      <c r="BS37" s="1124">
        <f>+Details!Z37-Base!Z37</f>
        <v>0</v>
      </c>
      <c r="BT37" s="1124">
        <f>+Details!AA37-Base!AA37</f>
        <v>0</v>
      </c>
      <c r="BU37" s="1124">
        <f>+Details!AB37-Base!AB37</f>
        <v>0</v>
      </c>
      <c r="BV37" s="1124">
        <f>+Details!AC37-Base!AC37</f>
        <v>0</v>
      </c>
      <c r="BW37" s="1124">
        <f>+Details!AD37-Base!AD37</f>
        <v>0</v>
      </c>
      <c r="BX37" s="1124">
        <f>+Details!AE37-Base!AE37</f>
        <v>0</v>
      </c>
      <c r="BY37" s="1124">
        <f>+Details!AF37-Base!AF37</f>
        <v>0</v>
      </c>
      <c r="BZ37" s="1124">
        <f>+Details!AG37-Base!AG37</f>
        <v>0</v>
      </c>
      <c r="CA37" s="1124">
        <f>+Details!AH37-Base!AH37</f>
        <v>0</v>
      </c>
      <c r="CB37" s="1124">
        <f>+Details!AI37-Base!AI37</f>
        <v>0</v>
      </c>
      <c r="CC37" s="1124">
        <f>+Details!AJ37-Base!AJ37</f>
        <v>0</v>
      </c>
      <c r="CD37" s="1124">
        <f>+Details!AK37-Base!AK37</f>
        <v>0</v>
      </c>
      <c r="CE37" s="1124">
        <f>+Details!AL37-Base!AL37</f>
        <v>0</v>
      </c>
      <c r="CF37" s="1124">
        <f>+Details!AM37-Base!AM37</f>
        <v>0</v>
      </c>
      <c r="CG37" s="1124">
        <f>+Details!AN37-Base!AN37</f>
        <v>0</v>
      </c>
      <c r="CH37" s="1124">
        <f>+Details!AO37-Base!AO37</f>
        <v>0</v>
      </c>
      <c r="CI37" s="1124">
        <f>+Details!AP37-Base!AP37</f>
        <v>0</v>
      </c>
      <c r="CJ37" s="1124">
        <f>+Details!AQ37-Base!AQ37</f>
        <v>0</v>
      </c>
      <c r="CK37" s="1124">
        <f>+Details!AR37-Base!AR37</f>
        <v>0</v>
      </c>
      <c r="CL37" s="1124">
        <f>+Details!AS37-Base!AS37</f>
        <v>0</v>
      </c>
      <c r="CM37" s="81"/>
    </row>
    <row r="38" spans="1:91" ht="15.6">
      <c r="B38" s="719" t="s">
        <v>921</v>
      </c>
      <c r="C38" s="1418" t="s">
        <v>2028</v>
      </c>
      <c r="D38" s="1369" t="str">
        <f xml:space="preserve"> RothConv_Return*100 &amp; "%-" &amp; RothConv_Return2*100 &amp; "%"</f>
        <v>6.3%-5.3%</v>
      </c>
      <c r="E38" s="29">
        <f t="shared" si="30"/>
        <v>0</v>
      </c>
      <c r="F38" s="1124"/>
      <c r="G38" s="1124"/>
      <c r="H38" s="1124"/>
      <c r="I38" s="1124"/>
      <c r="J38" s="1124"/>
      <c r="K38" s="1124"/>
      <c r="L38" s="1124"/>
      <c r="M38" s="1124"/>
      <c r="N38" s="1124"/>
      <c r="O38" s="1124"/>
      <c r="P38" s="1124"/>
      <c r="Q38" s="1124"/>
      <c r="R38" s="1124"/>
      <c r="S38" s="1124"/>
      <c r="T38" s="1124"/>
      <c r="U38" s="1124"/>
      <c r="V38" s="1124"/>
      <c r="W38" s="1124"/>
      <c r="X38" s="1124"/>
      <c r="Y38" s="1124"/>
      <c r="Z38" s="1124"/>
      <c r="AA38" s="1124"/>
      <c r="AB38" s="1124"/>
      <c r="AC38" s="1124"/>
      <c r="AD38" s="1124"/>
      <c r="AE38" s="1124"/>
      <c r="AF38" s="1124"/>
      <c r="AG38" s="1124"/>
      <c r="AH38" s="1124"/>
      <c r="AI38" s="1124"/>
      <c r="AJ38" s="1124"/>
      <c r="AK38" s="1124"/>
      <c r="AL38" s="1124"/>
      <c r="AM38" s="1124"/>
      <c r="AN38" s="1124"/>
      <c r="AO38" s="1124"/>
      <c r="AP38" s="1124"/>
      <c r="AQ38" s="1124"/>
      <c r="AR38" s="1124"/>
      <c r="AS38" s="1124"/>
      <c r="AT38" s="3"/>
      <c r="AU38" s="29">
        <f>+Details!E38</f>
        <v>0</v>
      </c>
      <c r="AV38" s="81">
        <f t="shared" si="32"/>
        <v>0</v>
      </c>
      <c r="AW38" s="102"/>
      <c r="AY38" s="31">
        <f>+Details!F38-Base!F38</f>
        <v>0</v>
      </c>
      <c r="AZ38" s="1124">
        <f>+Details!G38-Base!G38</f>
        <v>0</v>
      </c>
      <c r="BA38" s="1124">
        <f>+Details!H38-Base!H38</f>
        <v>0</v>
      </c>
      <c r="BB38" s="1124">
        <f>+Details!I38-Base!I38</f>
        <v>0</v>
      </c>
      <c r="BC38" s="1124">
        <f>+Details!J38-Base!J38</f>
        <v>0</v>
      </c>
      <c r="BD38" s="1124">
        <f>+Details!K38-Base!K38</f>
        <v>0</v>
      </c>
      <c r="BE38" s="1124">
        <f>+Details!L38-Base!L38</f>
        <v>0</v>
      </c>
      <c r="BF38" s="1124">
        <f>+Details!M38-Base!M38</f>
        <v>0</v>
      </c>
      <c r="BG38" s="1124">
        <f>+Details!N38-Base!N38</f>
        <v>0</v>
      </c>
      <c r="BH38" s="1124">
        <f>+Details!O38-Base!O38</f>
        <v>0</v>
      </c>
      <c r="BI38" s="1124">
        <f>+Details!P38-Base!P38</f>
        <v>0</v>
      </c>
      <c r="BJ38" s="1124">
        <f>+Details!Q38-Base!Q38</f>
        <v>0</v>
      </c>
      <c r="BK38" s="1124">
        <f>+Details!R38-Base!R38</f>
        <v>0</v>
      </c>
      <c r="BL38" s="1124">
        <f>+Details!S38-Base!S38</f>
        <v>0</v>
      </c>
      <c r="BM38" s="1124">
        <f>+Details!T38-Base!T38</f>
        <v>0</v>
      </c>
      <c r="BN38" s="1124">
        <f>+Details!U38-Base!U38</f>
        <v>0</v>
      </c>
      <c r="BO38" s="1124">
        <f>+Details!V38-Base!V38</f>
        <v>0</v>
      </c>
      <c r="BP38" s="1124">
        <f>+Details!W38-Base!W38</f>
        <v>0</v>
      </c>
      <c r="BQ38" s="1124">
        <f>+Details!X38-Base!X38</f>
        <v>0</v>
      </c>
      <c r="BR38" s="1124">
        <f>+Details!Y38-Base!Y38</f>
        <v>0</v>
      </c>
      <c r="BS38" s="1124">
        <f>+Details!Z38-Base!Z38</f>
        <v>0</v>
      </c>
      <c r="BT38" s="1124">
        <f>+Details!AA38-Base!AA38</f>
        <v>0</v>
      </c>
      <c r="BU38" s="1124">
        <f>+Details!AB38-Base!AB38</f>
        <v>0</v>
      </c>
      <c r="BV38" s="1124">
        <f>+Details!AC38-Base!AC38</f>
        <v>0</v>
      </c>
      <c r="BW38" s="1124">
        <f>+Details!AD38-Base!AD38</f>
        <v>0</v>
      </c>
      <c r="BX38" s="1124">
        <f>+Details!AE38-Base!AE38</f>
        <v>0</v>
      </c>
      <c r="BY38" s="1124">
        <f>+Details!AF38-Base!AF38</f>
        <v>0</v>
      </c>
      <c r="BZ38" s="1124">
        <f>+Details!AG38-Base!AG38</f>
        <v>0</v>
      </c>
      <c r="CA38" s="1124">
        <f>+Details!AH38-Base!AH38</f>
        <v>0</v>
      </c>
      <c r="CB38" s="1124">
        <f>+Details!AI38-Base!AI38</f>
        <v>0</v>
      </c>
      <c r="CC38" s="1124">
        <f>+Details!AJ38-Base!AJ38</f>
        <v>0</v>
      </c>
      <c r="CD38" s="1124">
        <f>+Details!AK38-Base!AK38</f>
        <v>0</v>
      </c>
      <c r="CE38" s="1124">
        <f>+Details!AL38-Base!AL38</f>
        <v>0</v>
      </c>
      <c r="CF38" s="1124">
        <f>+Details!AM38-Base!AM38</f>
        <v>0</v>
      </c>
      <c r="CG38" s="1124">
        <f>+Details!AN38-Base!AN38</f>
        <v>0</v>
      </c>
      <c r="CH38" s="1124">
        <f>+Details!AO38-Base!AO38</f>
        <v>0</v>
      </c>
      <c r="CI38" s="1124">
        <f>+Details!AP38-Base!AP38</f>
        <v>0</v>
      </c>
      <c r="CJ38" s="1124">
        <f>+Details!AQ38-Base!AQ38</f>
        <v>0</v>
      </c>
      <c r="CK38" s="1124">
        <f>+Details!AR38-Base!AR38</f>
        <v>0</v>
      </c>
      <c r="CL38" s="1124">
        <f>+Details!AS38-Base!AS38</f>
        <v>0</v>
      </c>
      <c r="CM38" s="81"/>
    </row>
    <row r="39" spans="1:91" ht="19.95" hidden="1" customHeight="1">
      <c r="A39" s="1427" t="s">
        <v>1578</v>
      </c>
      <c r="B39" s="1764" t="s">
        <v>1690</v>
      </c>
      <c r="C39" s="1314">
        <f>Your_SS_Start</f>
        <v>70</v>
      </c>
      <c r="D39" s="1314">
        <f>Your_SS_CA</f>
        <v>46400</v>
      </c>
      <c r="E39" s="29">
        <f t="shared" si="30"/>
        <v>1065900</v>
      </c>
      <c r="F39" s="553">
        <f>ROUND(IF(Your_SS_Start=F$4,Your_SS_Calc,0)/Round_To,0)*Round_To</f>
        <v>0</v>
      </c>
      <c r="G39" s="1124">
        <f t="shared" ref="G39:AS39" si="42">ROUND((IF(Your_SS_Start=G$4,Your_SS_Calc,0)+IF(AND(OR(G$5&lt;=Your_SS_End,Your_SS_End=0),Final_Year&gt;=G$7,F39&gt;0),F39*(1+SS_COLA),0))*IF(AND(SS_re_yr=G7,SS_re_pc&gt;0),(1-SS_re_pc),1)/Round_To,0)*Round_To</f>
        <v>0</v>
      </c>
      <c r="H39" s="1124">
        <f t="shared" si="42"/>
        <v>0</v>
      </c>
      <c r="I39" s="1124">
        <f t="shared" si="42"/>
        <v>0</v>
      </c>
      <c r="J39" s="1124">
        <f t="shared" si="42"/>
        <v>0</v>
      </c>
      <c r="K39" s="1124">
        <f t="shared" si="42"/>
        <v>0</v>
      </c>
      <c r="L39" s="1124">
        <f t="shared" si="42"/>
        <v>0</v>
      </c>
      <c r="M39" s="1124">
        <f t="shared" si="42"/>
        <v>0</v>
      </c>
      <c r="N39" s="1124">
        <f t="shared" si="42"/>
        <v>46400</v>
      </c>
      <c r="O39" s="1124">
        <f t="shared" si="42"/>
        <v>47300</v>
      </c>
      <c r="P39" s="1124">
        <f t="shared" si="42"/>
        <v>48200</v>
      </c>
      <c r="Q39" s="1124">
        <f t="shared" si="42"/>
        <v>49200</v>
      </c>
      <c r="R39" s="1124">
        <f t="shared" si="42"/>
        <v>50200</v>
      </c>
      <c r="S39" s="1124">
        <f t="shared" si="42"/>
        <v>51200</v>
      </c>
      <c r="T39" s="1124">
        <f t="shared" si="42"/>
        <v>52200</v>
      </c>
      <c r="U39" s="1124">
        <f t="shared" si="42"/>
        <v>53200</v>
      </c>
      <c r="V39" s="1124">
        <f t="shared" si="42"/>
        <v>41800</v>
      </c>
      <c r="W39" s="1124">
        <f t="shared" si="42"/>
        <v>42600</v>
      </c>
      <c r="X39" s="1124">
        <f t="shared" si="42"/>
        <v>43500</v>
      </c>
      <c r="Y39" s="1124">
        <f t="shared" si="42"/>
        <v>44400</v>
      </c>
      <c r="Z39" s="1124">
        <f t="shared" si="42"/>
        <v>45300</v>
      </c>
      <c r="AA39" s="1124">
        <f t="shared" si="42"/>
        <v>46200</v>
      </c>
      <c r="AB39" s="1124">
        <f t="shared" si="42"/>
        <v>47100</v>
      </c>
      <c r="AC39" s="1124">
        <f t="shared" si="42"/>
        <v>48000</v>
      </c>
      <c r="AD39" s="1124">
        <f t="shared" si="42"/>
        <v>49000</v>
      </c>
      <c r="AE39" s="1124">
        <f t="shared" si="42"/>
        <v>50000</v>
      </c>
      <c r="AF39" s="1124">
        <f t="shared" si="42"/>
        <v>51000</v>
      </c>
      <c r="AG39" s="1124">
        <f t="shared" si="42"/>
        <v>52000</v>
      </c>
      <c r="AH39" s="1124">
        <f t="shared" si="42"/>
        <v>53000</v>
      </c>
      <c r="AI39" s="1124">
        <f t="shared" si="42"/>
        <v>54100</v>
      </c>
      <c r="AJ39" s="1124">
        <f t="shared" si="42"/>
        <v>0</v>
      </c>
      <c r="AK39" s="1124">
        <f t="shared" si="42"/>
        <v>0</v>
      </c>
      <c r="AL39" s="1124">
        <f t="shared" si="42"/>
        <v>0</v>
      </c>
      <c r="AM39" s="1124">
        <f t="shared" si="42"/>
        <v>0</v>
      </c>
      <c r="AN39" s="1124">
        <f t="shared" si="42"/>
        <v>0</v>
      </c>
      <c r="AO39" s="1124">
        <f t="shared" si="42"/>
        <v>0</v>
      </c>
      <c r="AP39" s="1124">
        <f t="shared" si="42"/>
        <v>0</v>
      </c>
      <c r="AQ39" s="1124">
        <f t="shared" si="42"/>
        <v>0</v>
      </c>
      <c r="AR39" s="1124">
        <f t="shared" si="42"/>
        <v>0</v>
      </c>
      <c r="AS39" s="1124">
        <f t="shared" si="42"/>
        <v>0</v>
      </c>
      <c r="AT39" s="3"/>
      <c r="AU39" s="29">
        <f>+Details!E39</f>
        <v>1065900</v>
      </c>
      <c r="AV39" s="81">
        <f t="shared" ref="AV39:AV46" si="43">+E39-AU39</f>
        <v>0</v>
      </c>
      <c r="AW39" s="102"/>
      <c r="AY39" s="31">
        <f>+Details!F39-Base!F39</f>
        <v>0</v>
      </c>
      <c r="AZ39" s="1124">
        <f>+Details!G39-Base!G39</f>
        <v>0</v>
      </c>
      <c r="BA39" s="1124">
        <f>+Details!H39-Base!H39</f>
        <v>0</v>
      </c>
      <c r="BB39" s="1124">
        <f>+Details!I39-Base!I39</f>
        <v>0</v>
      </c>
      <c r="BC39" s="1124">
        <f>+Details!J39-Base!J39</f>
        <v>0</v>
      </c>
      <c r="BD39" s="1124">
        <f>+Details!K39-Base!K39</f>
        <v>0</v>
      </c>
      <c r="BE39" s="1124">
        <f>+Details!L39-Base!L39</f>
        <v>0</v>
      </c>
      <c r="BF39" s="1124">
        <f>+Details!M39-Base!M39</f>
        <v>0</v>
      </c>
      <c r="BG39" s="1124">
        <f>+Details!N39-Base!N39</f>
        <v>0</v>
      </c>
      <c r="BH39" s="1124">
        <f>+Details!O39-Base!O39</f>
        <v>0</v>
      </c>
      <c r="BI39" s="1124">
        <f>+Details!P39-Base!P39</f>
        <v>0</v>
      </c>
      <c r="BJ39" s="1124">
        <f>+Details!Q39-Base!Q39</f>
        <v>0</v>
      </c>
      <c r="BK39" s="1124">
        <f>+Details!R39-Base!R39</f>
        <v>0</v>
      </c>
      <c r="BL39" s="1124">
        <f>+Details!S39-Base!S39</f>
        <v>0</v>
      </c>
      <c r="BM39" s="1124">
        <f>+Details!T39-Base!T39</f>
        <v>0</v>
      </c>
      <c r="BN39" s="1124">
        <f>+Details!U39-Base!U39</f>
        <v>0</v>
      </c>
      <c r="BO39" s="1124">
        <f>+Details!V39-Base!V39</f>
        <v>0</v>
      </c>
      <c r="BP39" s="1124">
        <f>+Details!W39-Base!W39</f>
        <v>0</v>
      </c>
      <c r="BQ39" s="1124">
        <f>+Details!X39-Base!X39</f>
        <v>0</v>
      </c>
      <c r="BR39" s="1124">
        <f>+Details!Y39-Base!Y39</f>
        <v>0</v>
      </c>
      <c r="BS39" s="1124">
        <f>+Details!Z39-Base!Z39</f>
        <v>0</v>
      </c>
      <c r="BT39" s="1124">
        <f>+Details!AA39-Base!AA39</f>
        <v>0</v>
      </c>
      <c r="BU39" s="1124">
        <f>+Details!AB39-Base!AB39</f>
        <v>0</v>
      </c>
      <c r="BV39" s="1124">
        <f>+Details!AC39-Base!AC39</f>
        <v>0</v>
      </c>
      <c r="BW39" s="1124">
        <f>+Details!AD39-Base!AD39</f>
        <v>0</v>
      </c>
      <c r="BX39" s="1124">
        <f>+Details!AE39-Base!AE39</f>
        <v>0</v>
      </c>
      <c r="BY39" s="1124">
        <f>+Details!AF39-Base!AF39</f>
        <v>0</v>
      </c>
      <c r="BZ39" s="1124">
        <f>+Details!AG39-Base!AG39</f>
        <v>0</v>
      </c>
      <c r="CA39" s="1124">
        <f>+Details!AH39-Base!AH39</f>
        <v>0</v>
      </c>
      <c r="CB39" s="1124">
        <f>+Details!AI39-Base!AI39</f>
        <v>0</v>
      </c>
      <c r="CC39" s="1124">
        <f>+Details!AJ39-Base!AJ39</f>
        <v>0</v>
      </c>
      <c r="CD39" s="1124">
        <f>+Details!AK39-Base!AK39</f>
        <v>0</v>
      </c>
      <c r="CE39" s="1124">
        <f>+Details!AL39-Base!AL39</f>
        <v>0</v>
      </c>
      <c r="CF39" s="1124">
        <f>+Details!AM39-Base!AM39</f>
        <v>0</v>
      </c>
      <c r="CG39" s="1124">
        <f>+Details!AN39-Base!AN39</f>
        <v>0</v>
      </c>
      <c r="CH39" s="1124">
        <f>+Details!AO39-Base!AO39</f>
        <v>0</v>
      </c>
      <c r="CI39" s="1124">
        <f>+Details!AP39-Base!AP39</f>
        <v>0</v>
      </c>
      <c r="CJ39" s="1124">
        <f>+Details!AQ39-Base!AQ39</f>
        <v>0</v>
      </c>
      <c r="CK39" s="1124">
        <f>+Details!AR39-Base!AR39</f>
        <v>0</v>
      </c>
      <c r="CL39" s="1124">
        <f>+Details!AS39-Base!AS39</f>
        <v>0</v>
      </c>
      <c r="CM39" s="81"/>
    </row>
    <row r="40" spans="1:91" hidden="1">
      <c r="A40" s="1427" t="s">
        <v>1578</v>
      </c>
      <c r="B40" s="1764" t="s">
        <v>841</v>
      </c>
      <c r="C40" s="1314" t="str">
        <f>Your_SB</f>
        <v>self - 2027</v>
      </c>
      <c r="E40" s="29">
        <f t="shared" si="30"/>
        <v>265600</v>
      </c>
      <c r="F40" s="553">
        <f>ROUND(IF(Your_SS_Start=F$4,Your_Spousal,0)/Round_To,0)*Round_To</f>
        <v>0</v>
      </c>
      <c r="G40" s="1124">
        <f t="shared" ref="G40:AS40" si="44">ROUND((IF(Your_SS_Start=G$4,Your_Spousal,0)+IF(AND(OR(G$5&lt;=Your_SS_End,Your_SS_End=0),Final_Year&gt;=G$7),F40*(1+SS_COLA),0))*IF(AND(SS_re_yr=G7,SS_re_pc&gt;0),(1-SS_re_pc),1)/Round_To,0)*Round_To</f>
        <v>0</v>
      </c>
      <c r="H40" s="1124">
        <f t="shared" si="44"/>
        <v>0</v>
      </c>
      <c r="I40" s="1124">
        <f t="shared" si="44"/>
        <v>0</v>
      </c>
      <c r="J40" s="1124">
        <f t="shared" si="44"/>
        <v>0</v>
      </c>
      <c r="K40" s="1124">
        <f t="shared" si="44"/>
        <v>0</v>
      </c>
      <c r="L40" s="1124">
        <f t="shared" si="44"/>
        <v>0</v>
      </c>
      <c r="M40" s="1124">
        <f t="shared" si="44"/>
        <v>0</v>
      </c>
      <c r="N40" s="1124">
        <f t="shared" si="44"/>
        <v>11700</v>
      </c>
      <c r="O40" s="1124">
        <f t="shared" si="44"/>
        <v>11900</v>
      </c>
      <c r="P40" s="1124">
        <f t="shared" si="44"/>
        <v>12100</v>
      </c>
      <c r="Q40" s="1124">
        <f t="shared" si="44"/>
        <v>12300</v>
      </c>
      <c r="R40" s="1124">
        <f t="shared" si="44"/>
        <v>12500</v>
      </c>
      <c r="S40" s="1124">
        <f t="shared" si="44"/>
        <v>12800</v>
      </c>
      <c r="T40" s="1124">
        <f t="shared" si="44"/>
        <v>13100</v>
      </c>
      <c r="U40" s="1124">
        <f t="shared" si="44"/>
        <v>13400</v>
      </c>
      <c r="V40" s="1124">
        <f t="shared" si="44"/>
        <v>10500</v>
      </c>
      <c r="W40" s="1124">
        <f t="shared" si="44"/>
        <v>10700</v>
      </c>
      <c r="X40" s="1124">
        <f t="shared" si="44"/>
        <v>10900</v>
      </c>
      <c r="Y40" s="1124">
        <f t="shared" si="44"/>
        <v>11100</v>
      </c>
      <c r="Z40" s="1124">
        <f t="shared" si="44"/>
        <v>11300</v>
      </c>
      <c r="AA40" s="1124">
        <f t="shared" si="44"/>
        <v>11500</v>
      </c>
      <c r="AB40" s="1124">
        <f t="shared" si="44"/>
        <v>11700</v>
      </c>
      <c r="AC40" s="1124">
        <f t="shared" si="44"/>
        <v>11900</v>
      </c>
      <c r="AD40" s="1124">
        <f t="shared" si="44"/>
        <v>12100</v>
      </c>
      <c r="AE40" s="1124">
        <f t="shared" si="44"/>
        <v>12300</v>
      </c>
      <c r="AF40" s="1124">
        <f t="shared" si="44"/>
        <v>12500</v>
      </c>
      <c r="AG40" s="1124">
        <f t="shared" si="44"/>
        <v>12800</v>
      </c>
      <c r="AH40" s="1124">
        <f t="shared" si="44"/>
        <v>13100</v>
      </c>
      <c r="AI40" s="1124">
        <f t="shared" si="44"/>
        <v>13400</v>
      </c>
      <c r="AJ40" s="1124">
        <f t="shared" si="44"/>
        <v>0</v>
      </c>
      <c r="AK40" s="1124">
        <f t="shared" si="44"/>
        <v>0</v>
      </c>
      <c r="AL40" s="1124">
        <f t="shared" si="44"/>
        <v>0</v>
      </c>
      <c r="AM40" s="1124">
        <f t="shared" si="44"/>
        <v>0</v>
      </c>
      <c r="AN40" s="1124">
        <f t="shared" si="44"/>
        <v>0</v>
      </c>
      <c r="AO40" s="1124">
        <f t="shared" si="44"/>
        <v>0</v>
      </c>
      <c r="AP40" s="1124">
        <f t="shared" si="44"/>
        <v>0</v>
      </c>
      <c r="AQ40" s="1124">
        <f t="shared" si="44"/>
        <v>0</v>
      </c>
      <c r="AR40" s="1124">
        <f t="shared" si="44"/>
        <v>0</v>
      </c>
      <c r="AS40" s="1124">
        <f t="shared" si="44"/>
        <v>0</v>
      </c>
      <c r="AT40" s="3"/>
      <c r="AU40" s="29">
        <f>+Details!E40</f>
        <v>265600</v>
      </c>
      <c r="AV40" s="81">
        <f t="shared" si="43"/>
        <v>0</v>
      </c>
      <c r="AW40" s="102"/>
      <c r="AY40" s="31">
        <f>+Details!F40-Base!F40</f>
        <v>0</v>
      </c>
      <c r="AZ40" s="1124">
        <f>+Details!G40-Base!G40</f>
        <v>0</v>
      </c>
      <c r="BA40" s="1124">
        <f>+Details!H40-Base!H40</f>
        <v>0</v>
      </c>
      <c r="BB40" s="1124">
        <f>+Details!I40-Base!I40</f>
        <v>0</v>
      </c>
      <c r="BC40" s="1124">
        <f>+Details!J40-Base!J40</f>
        <v>0</v>
      </c>
      <c r="BD40" s="1124">
        <f>+Details!K40-Base!K40</f>
        <v>0</v>
      </c>
      <c r="BE40" s="1124">
        <f>+Details!L40-Base!L40</f>
        <v>0</v>
      </c>
      <c r="BF40" s="1124">
        <f>+Details!M40-Base!M40</f>
        <v>0</v>
      </c>
      <c r="BG40" s="1124">
        <f>+Details!N40-Base!N40</f>
        <v>0</v>
      </c>
      <c r="BH40" s="1124">
        <f>+Details!O40-Base!O40</f>
        <v>0</v>
      </c>
      <c r="BI40" s="1124">
        <f>+Details!P40-Base!P40</f>
        <v>0</v>
      </c>
      <c r="BJ40" s="1124">
        <f>+Details!Q40-Base!Q40</f>
        <v>0</v>
      </c>
      <c r="BK40" s="1124">
        <f>+Details!R40-Base!R40</f>
        <v>0</v>
      </c>
      <c r="BL40" s="1124">
        <f>+Details!S40-Base!S40</f>
        <v>0</v>
      </c>
      <c r="BM40" s="1124">
        <f>+Details!T40-Base!T40</f>
        <v>0</v>
      </c>
      <c r="BN40" s="1124">
        <f>+Details!U40-Base!U40</f>
        <v>0</v>
      </c>
      <c r="BO40" s="1124">
        <f>+Details!V40-Base!V40</f>
        <v>0</v>
      </c>
      <c r="BP40" s="1124">
        <f>+Details!W40-Base!W40</f>
        <v>0</v>
      </c>
      <c r="BQ40" s="1124">
        <f>+Details!X40-Base!X40</f>
        <v>0</v>
      </c>
      <c r="BR40" s="1124">
        <f>+Details!Y40-Base!Y40</f>
        <v>0</v>
      </c>
      <c r="BS40" s="1124">
        <f>+Details!Z40-Base!Z40</f>
        <v>0</v>
      </c>
      <c r="BT40" s="1124">
        <f>+Details!AA40-Base!AA40</f>
        <v>0</v>
      </c>
      <c r="BU40" s="1124">
        <f>+Details!AB40-Base!AB40</f>
        <v>0</v>
      </c>
      <c r="BV40" s="1124">
        <f>+Details!AC40-Base!AC40</f>
        <v>0</v>
      </c>
      <c r="BW40" s="1124">
        <f>+Details!AD40-Base!AD40</f>
        <v>0</v>
      </c>
      <c r="BX40" s="1124">
        <f>+Details!AE40-Base!AE40</f>
        <v>0</v>
      </c>
      <c r="BY40" s="1124">
        <f>+Details!AF40-Base!AF40</f>
        <v>0</v>
      </c>
      <c r="BZ40" s="1124">
        <f>+Details!AG40-Base!AG40</f>
        <v>0</v>
      </c>
      <c r="CA40" s="1124">
        <f>+Details!AH40-Base!AH40</f>
        <v>0</v>
      </c>
      <c r="CB40" s="1124">
        <f>+Details!AI40-Base!AI40</f>
        <v>0</v>
      </c>
      <c r="CC40" s="1124">
        <f>+Details!AJ40-Base!AJ40</f>
        <v>0</v>
      </c>
      <c r="CD40" s="1124">
        <f>+Details!AK40-Base!AK40</f>
        <v>0</v>
      </c>
      <c r="CE40" s="1124">
        <f>+Details!AL40-Base!AL40</f>
        <v>0</v>
      </c>
      <c r="CF40" s="1124">
        <f>+Details!AM40-Base!AM40</f>
        <v>0</v>
      </c>
      <c r="CG40" s="1124">
        <f>+Details!AN40-Base!AN40</f>
        <v>0</v>
      </c>
      <c r="CH40" s="1124">
        <f>+Details!AO40-Base!AO40</f>
        <v>0</v>
      </c>
      <c r="CI40" s="1124">
        <f>+Details!AP40-Base!AP40</f>
        <v>0</v>
      </c>
      <c r="CJ40" s="1124">
        <f>+Details!AQ40-Base!AQ40</f>
        <v>0</v>
      </c>
      <c r="CK40" s="1124">
        <f>+Details!AR40-Base!AR40</f>
        <v>0</v>
      </c>
      <c r="CL40" s="1124">
        <f>+Details!AS40-Base!AS40</f>
        <v>0</v>
      </c>
      <c r="CM40" s="81"/>
    </row>
    <row r="41" spans="1:91" ht="15.6" hidden="1">
      <c r="A41" s="1427" t="s">
        <v>1578</v>
      </c>
      <c r="B41" s="1768" t="s">
        <v>1405</v>
      </c>
      <c r="C41" s="380"/>
      <c r="D41" s="678"/>
      <c r="E41" s="29">
        <f t="shared" si="30"/>
        <v>1065900</v>
      </c>
      <c r="F41" s="554">
        <f t="shared" ref="F41:AS41" si="45">IF(AND(Auto_Spousal="y",Your_SB&lt;&gt;"self"),IF(F40&gt;F39,F40,F39),F39)*IF(F$4&lt;Your_SS_Start,0,1)</f>
        <v>0</v>
      </c>
      <c r="G41" s="1124">
        <f t="shared" si="45"/>
        <v>0</v>
      </c>
      <c r="H41" s="1124">
        <f t="shared" si="45"/>
        <v>0</v>
      </c>
      <c r="I41" s="1124">
        <f t="shared" si="45"/>
        <v>0</v>
      </c>
      <c r="J41" s="1124">
        <f t="shared" si="45"/>
        <v>0</v>
      </c>
      <c r="K41" s="1124">
        <f t="shared" si="45"/>
        <v>0</v>
      </c>
      <c r="L41" s="1124">
        <f t="shared" si="45"/>
        <v>0</v>
      </c>
      <c r="M41" s="1124">
        <f t="shared" si="45"/>
        <v>0</v>
      </c>
      <c r="N41" s="1124">
        <f t="shared" si="45"/>
        <v>46400</v>
      </c>
      <c r="O41" s="1124">
        <f t="shared" si="45"/>
        <v>47300</v>
      </c>
      <c r="P41" s="1124">
        <f t="shared" si="45"/>
        <v>48200</v>
      </c>
      <c r="Q41" s="1124">
        <f t="shared" si="45"/>
        <v>49200</v>
      </c>
      <c r="R41" s="1124">
        <f t="shared" si="45"/>
        <v>50200</v>
      </c>
      <c r="S41" s="1124">
        <f t="shared" si="45"/>
        <v>51200</v>
      </c>
      <c r="T41" s="1124">
        <f t="shared" si="45"/>
        <v>52200</v>
      </c>
      <c r="U41" s="1124">
        <f t="shared" si="45"/>
        <v>53200</v>
      </c>
      <c r="V41" s="1124">
        <f t="shared" si="45"/>
        <v>41800</v>
      </c>
      <c r="W41" s="1124">
        <f t="shared" si="45"/>
        <v>42600</v>
      </c>
      <c r="X41" s="1124">
        <f t="shared" si="45"/>
        <v>43500</v>
      </c>
      <c r="Y41" s="1124">
        <f t="shared" si="45"/>
        <v>44400</v>
      </c>
      <c r="Z41" s="1124">
        <f t="shared" si="45"/>
        <v>45300</v>
      </c>
      <c r="AA41" s="1124">
        <f t="shared" si="45"/>
        <v>46200</v>
      </c>
      <c r="AB41" s="1124">
        <f t="shared" si="45"/>
        <v>47100</v>
      </c>
      <c r="AC41" s="1124">
        <f t="shared" si="45"/>
        <v>48000</v>
      </c>
      <c r="AD41" s="1124">
        <f t="shared" si="45"/>
        <v>49000</v>
      </c>
      <c r="AE41" s="1124">
        <f t="shared" si="45"/>
        <v>50000</v>
      </c>
      <c r="AF41" s="1124">
        <f t="shared" si="45"/>
        <v>51000</v>
      </c>
      <c r="AG41" s="1124">
        <f t="shared" si="45"/>
        <v>52000</v>
      </c>
      <c r="AH41" s="1124">
        <f t="shared" si="45"/>
        <v>53000</v>
      </c>
      <c r="AI41" s="1124">
        <f t="shared" si="45"/>
        <v>54100</v>
      </c>
      <c r="AJ41" s="1124">
        <f t="shared" si="45"/>
        <v>0</v>
      </c>
      <c r="AK41" s="1124">
        <f t="shared" si="45"/>
        <v>0</v>
      </c>
      <c r="AL41" s="1124">
        <f t="shared" si="45"/>
        <v>0</v>
      </c>
      <c r="AM41" s="1124">
        <f t="shared" si="45"/>
        <v>0</v>
      </c>
      <c r="AN41" s="1124">
        <f t="shared" si="45"/>
        <v>0</v>
      </c>
      <c r="AO41" s="1124">
        <f t="shared" si="45"/>
        <v>0</v>
      </c>
      <c r="AP41" s="1124">
        <f t="shared" si="45"/>
        <v>0</v>
      </c>
      <c r="AQ41" s="1124">
        <f t="shared" si="45"/>
        <v>0</v>
      </c>
      <c r="AR41" s="1124">
        <f t="shared" si="45"/>
        <v>0</v>
      </c>
      <c r="AS41" s="1124">
        <f t="shared" si="45"/>
        <v>0</v>
      </c>
      <c r="AT41" s="3"/>
      <c r="AU41" s="29">
        <f>+Details!E41</f>
        <v>1065900</v>
      </c>
      <c r="AV41" s="81">
        <f t="shared" si="43"/>
        <v>0</v>
      </c>
      <c r="AW41" s="102"/>
      <c r="AY41" s="31">
        <f>+Details!F41-Base!F41</f>
        <v>0</v>
      </c>
      <c r="AZ41" s="1124">
        <f>+Details!G41-Base!G41</f>
        <v>0</v>
      </c>
      <c r="BA41" s="1124">
        <f>+Details!H41-Base!H41</f>
        <v>0</v>
      </c>
      <c r="BB41" s="1124">
        <f>+Details!I41-Base!I41</f>
        <v>0</v>
      </c>
      <c r="BC41" s="1124">
        <f>+Details!J41-Base!J41</f>
        <v>0</v>
      </c>
      <c r="BD41" s="1124">
        <f>+Details!K41-Base!K41</f>
        <v>0</v>
      </c>
      <c r="BE41" s="1124">
        <f>+Details!L41-Base!L41</f>
        <v>0</v>
      </c>
      <c r="BF41" s="1124">
        <f>+Details!M41-Base!M41</f>
        <v>0</v>
      </c>
      <c r="BG41" s="1124">
        <f>+Details!N41-Base!N41</f>
        <v>0</v>
      </c>
      <c r="BH41" s="1124">
        <f>+Details!O41-Base!O41</f>
        <v>0</v>
      </c>
      <c r="BI41" s="1124">
        <f>+Details!P41-Base!P41</f>
        <v>0</v>
      </c>
      <c r="BJ41" s="1124">
        <f>+Details!Q41-Base!Q41</f>
        <v>0</v>
      </c>
      <c r="BK41" s="1124">
        <f>+Details!R41-Base!R41</f>
        <v>0</v>
      </c>
      <c r="BL41" s="1124">
        <f>+Details!S41-Base!S41</f>
        <v>0</v>
      </c>
      <c r="BM41" s="1124">
        <f>+Details!T41-Base!T41</f>
        <v>0</v>
      </c>
      <c r="BN41" s="1124">
        <f>+Details!U41-Base!U41</f>
        <v>0</v>
      </c>
      <c r="BO41" s="1124">
        <f>+Details!V41-Base!V41</f>
        <v>0</v>
      </c>
      <c r="BP41" s="1124">
        <f>+Details!W41-Base!W41</f>
        <v>0</v>
      </c>
      <c r="BQ41" s="1124">
        <f>+Details!X41-Base!X41</f>
        <v>0</v>
      </c>
      <c r="BR41" s="1124">
        <f>+Details!Y41-Base!Y41</f>
        <v>0</v>
      </c>
      <c r="BS41" s="1124">
        <f>+Details!Z41-Base!Z41</f>
        <v>0</v>
      </c>
      <c r="BT41" s="1124">
        <f>+Details!AA41-Base!AA41</f>
        <v>0</v>
      </c>
      <c r="BU41" s="1124">
        <f>+Details!AB41-Base!AB41</f>
        <v>0</v>
      </c>
      <c r="BV41" s="1124">
        <f>+Details!AC41-Base!AC41</f>
        <v>0</v>
      </c>
      <c r="BW41" s="1124">
        <f>+Details!AD41-Base!AD41</f>
        <v>0</v>
      </c>
      <c r="BX41" s="1124">
        <f>+Details!AE41-Base!AE41</f>
        <v>0</v>
      </c>
      <c r="BY41" s="1124">
        <f>+Details!AF41-Base!AF41</f>
        <v>0</v>
      </c>
      <c r="BZ41" s="1124">
        <f>+Details!AG41-Base!AG41</f>
        <v>0</v>
      </c>
      <c r="CA41" s="1124">
        <f>+Details!AH41-Base!AH41</f>
        <v>0</v>
      </c>
      <c r="CB41" s="1124">
        <f>+Details!AI41-Base!AI41</f>
        <v>0</v>
      </c>
      <c r="CC41" s="1124">
        <f>+Details!AJ41-Base!AJ41</f>
        <v>0</v>
      </c>
      <c r="CD41" s="1124">
        <f>+Details!AK41-Base!AK41</f>
        <v>0</v>
      </c>
      <c r="CE41" s="1124">
        <f>+Details!AL41-Base!AL41</f>
        <v>0</v>
      </c>
      <c r="CF41" s="1124">
        <f>+Details!AM41-Base!AM41</f>
        <v>0</v>
      </c>
      <c r="CG41" s="1124">
        <f>+Details!AN41-Base!AN41</f>
        <v>0</v>
      </c>
      <c r="CH41" s="1124">
        <f>+Details!AO41-Base!AO41</f>
        <v>0</v>
      </c>
      <c r="CI41" s="1124">
        <f>+Details!AP41-Base!AP41</f>
        <v>0</v>
      </c>
      <c r="CJ41" s="1124">
        <f>+Details!AQ41-Base!AQ41</f>
        <v>0</v>
      </c>
      <c r="CK41" s="1124">
        <f>+Details!AR41-Base!AR41</f>
        <v>0</v>
      </c>
      <c r="CL41" s="1124">
        <f>+Details!AS41-Base!AS41</f>
        <v>0</v>
      </c>
      <c r="CM41" s="81"/>
    </row>
    <row r="42" spans="1:91" hidden="1">
      <c r="A42" s="1427" t="s">
        <v>1578</v>
      </c>
      <c r="B42" s="1764" t="s">
        <v>1404</v>
      </c>
      <c r="C42" s="380"/>
      <c r="D42" s="677"/>
      <c r="E42" s="29">
        <f t="shared" si="30"/>
        <v>0</v>
      </c>
      <c r="F42" s="553">
        <f>ROUND(IF(SS_Add_Start=F$4,Your_SS_Add,0)/Round_To,0)*Round_To</f>
        <v>0</v>
      </c>
      <c r="G42" s="1124">
        <f t="shared" ref="G42:AS42" si="46">ROUND(IF(SS_Add_Start=G$4,Your_SS_Add,IF(AND(SS_Add_Start&lt;G$4,SS_Add_End&gt;=G$4),F42*(1+SS_COLA),0))/Round_To,0)*Round_To</f>
        <v>0</v>
      </c>
      <c r="H42" s="1124">
        <f t="shared" si="46"/>
        <v>0</v>
      </c>
      <c r="I42" s="1124">
        <f t="shared" si="46"/>
        <v>0</v>
      </c>
      <c r="J42" s="1124">
        <f t="shared" si="46"/>
        <v>0</v>
      </c>
      <c r="K42" s="1124">
        <f t="shared" si="46"/>
        <v>0</v>
      </c>
      <c r="L42" s="1124">
        <f t="shared" si="46"/>
        <v>0</v>
      </c>
      <c r="M42" s="1124">
        <f t="shared" si="46"/>
        <v>0</v>
      </c>
      <c r="N42" s="1124">
        <f t="shared" si="46"/>
        <v>0</v>
      </c>
      <c r="O42" s="1124">
        <f t="shared" si="46"/>
        <v>0</v>
      </c>
      <c r="P42" s="1124">
        <f t="shared" si="46"/>
        <v>0</v>
      </c>
      <c r="Q42" s="1124">
        <f t="shared" si="46"/>
        <v>0</v>
      </c>
      <c r="R42" s="1124">
        <f t="shared" si="46"/>
        <v>0</v>
      </c>
      <c r="S42" s="1124">
        <f t="shared" si="46"/>
        <v>0</v>
      </c>
      <c r="T42" s="1124">
        <f t="shared" si="46"/>
        <v>0</v>
      </c>
      <c r="U42" s="1124">
        <f t="shared" si="46"/>
        <v>0</v>
      </c>
      <c r="V42" s="1124">
        <f t="shared" si="46"/>
        <v>0</v>
      </c>
      <c r="W42" s="1124">
        <f t="shared" si="46"/>
        <v>0</v>
      </c>
      <c r="X42" s="1124">
        <f t="shared" si="46"/>
        <v>0</v>
      </c>
      <c r="Y42" s="1124">
        <f t="shared" si="46"/>
        <v>0</v>
      </c>
      <c r="Z42" s="1124">
        <f t="shared" si="46"/>
        <v>0</v>
      </c>
      <c r="AA42" s="1124">
        <f t="shared" si="46"/>
        <v>0</v>
      </c>
      <c r="AB42" s="1124">
        <f t="shared" si="46"/>
        <v>0</v>
      </c>
      <c r="AC42" s="1124">
        <f t="shared" si="46"/>
        <v>0</v>
      </c>
      <c r="AD42" s="1124">
        <f t="shared" si="46"/>
        <v>0</v>
      </c>
      <c r="AE42" s="1124">
        <f t="shared" si="46"/>
        <v>0</v>
      </c>
      <c r="AF42" s="1124">
        <f t="shared" si="46"/>
        <v>0</v>
      </c>
      <c r="AG42" s="1124">
        <f t="shared" si="46"/>
        <v>0</v>
      </c>
      <c r="AH42" s="1124">
        <f t="shared" si="46"/>
        <v>0</v>
      </c>
      <c r="AI42" s="1124">
        <f t="shared" si="46"/>
        <v>0</v>
      </c>
      <c r="AJ42" s="1124">
        <f t="shared" si="46"/>
        <v>0</v>
      </c>
      <c r="AK42" s="1124">
        <f t="shared" si="46"/>
        <v>0</v>
      </c>
      <c r="AL42" s="1124">
        <f t="shared" si="46"/>
        <v>0</v>
      </c>
      <c r="AM42" s="1124">
        <f t="shared" si="46"/>
        <v>0</v>
      </c>
      <c r="AN42" s="1124">
        <f t="shared" si="46"/>
        <v>0</v>
      </c>
      <c r="AO42" s="1124">
        <f t="shared" si="46"/>
        <v>0</v>
      </c>
      <c r="AP42" s="1124">
        <f t="shared" si="46"/>
        <v>0</v>
      </c>
      <c r="AQ42" s="1124">
        <f t="shared" si="46"/>
        <v>0</v>
      </c>
      <c r="AR42" s="1124">
        <f t="shared" si="46"/>
        <v>0</v>
      </c>
      <c r="AS42" s="1124">
        <f t="shared" si="46"/>
        <v>0</v>
      </c>
      <c r="AT42" s="3"/>
      <c r="AU42" s="29">
        <f>+Details!E42</f>
        <v>0</v>
      </c>
      <c r="AV42" s="81">
        <f t="shared" si="43"/>
        <v>0</v>
      </c>
      <c r="AW42" s="102"/>
      <c r="AY42" s="31">
        <f>+Details!F42-Base!F42</f>
        <v>0</v>
      </c>
      <c r="AZ42" s="1124">
        <f>+Details!G42-Base!G42</f>
        <v>0</v>
      </c>
      <c r="BA42" s="1124">
        <f>+Details!H42-Base!H42</f>
        <v>0</v>
      </c>
      <c r="BB42" s="1124">
        <f>+Details!I42-Base!I42</f>
        <v>0</v>
      </c>
      <c r="BC42" s="1124">
        <f>+Details!J42-Base!J42</f>
        <v>0</v>
      </c>
      <c r="BD42" s="1124">
        <f>+Details!K42-Base!K42</f>
        <v>0</v>
      </c>
      <c r="BE42" s="1124">
        <f>+Details!L42-Base!L42</f>
        <v>0</v>
      </c>
      <c r="BF42" s="1124">
        <f>+Details!M42-Base!M42</f>
        <v>0</v>
      </c>
      <c r="BG42" s="1124">
        <f>+Details!N42-Base!N42</f>
        <v>0</v>
      </c>
      <c r="BH42" s="1124">
        <f>+Details!O42-Base!O42</f>
        <v>0</v>
      </c>
      <c r="BI42" s="1124">
        <f>+Details!P42-Base!P42</f>
        <v>0</v>
      </c>
      <c r="BJ42" s="1124">
        <f>+Details!Q42-Base!Q42</f>
        <v>0</v>
      </c>
      <c r="BK42" s="1124">
        <f>+Details!R42-Base!R42</f>
        <v>0</v>
      </c>
      <c r="BL42" s="1124">
        <f>+Details!S42-Base!S42</f>
        <v>0</v>
      </c>
      <c r="BM42" s="1124">
        <f>+Details!T42-Base!T42</f>
        <v>0</v>
      </c>
      <c r="BN42" s="1124">
        <f>+Details!U42-Base!U42</f>
        <v>0</v>
      </c>
      <c r="BO42" s="1124">
        <f>+Details!V42-Base!V42</f>
        <v>0</v>
      </c>
      <c r="BP42" s="1124">
        <f>+Details!W42-Base!W42</f>
        <v>0</v>
      </c>
      <c r="BQ42" s="1124">
        <f>+Details!X42-Base!X42</f>
        <v>0</v>
      </c>
      <c r="BR42" s="1124">
        <f>+Details!Y42-Base!Y42</f>
        <v>0</v>
      </c>
      <c r="BS42" s="1124">
        <f>+Details!Z42-Base!Z42</f>
        <v>0</v>
      </c>
      <c r="BT42" s="1124">
        <f>+Details!AA42-Base!AA42</f>
        <v>0</v>
      </c>
      <c r="BU42" s="1124">
        <f>+Details!AB42-Base!AB42</f>
        <v>0</v>
      </c>
      <c r="BV42" s="1124">
        <f>+Details!AC42-Base!AC42</f>
        <v>0</v>
      </c>
      <c r="BW42" s="1124">
        <f>+Details!AD42-Base!AD42</f>
        <v>0</v>
      </c>
      <c r="BX42" s="1124">
        <f>+Details!AE42-Base!AE42</f>
        <v>0</v>
      </c>
      <c r="BY42" s="1124">
        <f>+Details!AF42-Base!AF42</f>
        <v>0</v>
      </c>
      <c r="BZ42" s="1124">
        <f>+Details!AG42-Base!AG42</f>
        <v>0</v>
      </c>
      <c r="CA42" s="1124">
        <f>+Details!AH42-Base!AH42</f>
        <v>0</v>
      </c>
      <c r="CB42" s="1124">
        <f>+Details!AI42-Base!AI42</f>
        <v>0</v>
      </c>
      <c r="CC42" s="1124">
        <f>+Details!AJ42-Base!AJ42</f>
        <v>0</v>
      </c>
      <c r="CD42" s="1124">
        <f>+Details!AK42-Base!AK42</f>
        <v>0</v>
      </c>
      <c r="CE42" s="1124">
        <f>+Details!AL42-Base!AL42</f>
        <v>0</v>
      </c>
      <c r="CF42" s="1124">
        <f>+Details!AM42-Base!AM42</f>
        <v>0</v>
      </c>
      <c r="CG42" s="1124">
        <f>+Details!AN42-Base!AN42</f>
        <v>0</v>
      </c>
      <c r="CH42" s="1124">
        <f>+Details!AO42-Base!AO42</f>
        <v>0</v>
      </c>
      <c r="CI42" s="1124">
        <f>+Details!AP42-Base!AP42</f>
        <v>0</v>
      </c>
      <c r="CJ42" s="1124">
        <f>+Details!AQ42-Base!AQ42</f>
        <v>0</v>
      </c>
      <c r="CK42" s="1124">
        <f>+Details!AR42-Base!AR42</f>
        <v>0</v>
      </c>
      <c r="CL42" s="1124">
        <f>+Details!AS42-Base!AS42</f>
        <v>0</v>
      </c>
      <c r="CM42" s="81"/>
    </row>
    <row r="43" spans="1:91" ht="15.6" hidden="1">
      <c r="A43" s="1427" t="s">
        <v>1578</v>
      </c>
      <c r="B43" s="1766" t="s">
        <v>1227</v>
      </c>
      <c r="C43" s="1496"/>
      <c r="D43" s="199"/>
      <c r="E43" s="535">
        <f t="shared" si="30"/>
        <v>1065900</v>
      </c>
      <c r="F43" s="665">
        <f>(+F41+F42)</f>
        <v>0</v>
      </c>
      <c r="G43" s="1127">
        <f>(+G41+G42)</f>
        <v>0</v>
      </c>
      <c r="H43" s="1127">
        <f t="shared" ref="H43:AS43" si="47">(+H41+H42)</f>
        <v>0</v>
      </c>
      <c r="I43" s="1127">
        <f t="shared" si="47"/>
        <v>0</v>
      </c>
      <c r="J43" s="1127">
        <f t="shared" si="47"/>
        <v>0</v>
      </c>
      <c r="K43" s="1127">
        <f t="shared" si="47"/>
        <v>0</v>
      </c>
      <c r="L43" s="1127">
        <f t="shared" si="47"/>
        <v>0</v>
      </c>
      <c r="M43" s="1127">
        <f t="shared" si="47"/>
        <v>0</v>
      </c>
      <c r="N43" s="1127">
        <f t="shared" si="47"/>
        <v>46400</v>
      </c>
      <c r="O43" s="1127">
        <f t="shared" si="47"/>
        <v>47300</v>
      </c>
      <c r="P43" s="1127">
        <f t="shared" si="47"/>
        <v>48200</v>
      </c>
      <c r="Q43" s="1127">
        <f t="shared" si="47"/>
        <v>49200</v>
      </c>
      <c r="R43" s="1127">
        <f t="shared" si="47"/>
        <v>50200</v>
      </c>
      <c r="S43" s="1127">
        <f t="shared" si="47"/>
        <v>51200</v>
      </c>
      <c r="T43" s="1127">
        <f t="shared" si="47"/>
        <v>52200</v>
      </c>
      <c r="U43" s="1127">
        <f t="shared" si="47"/>
        <v>53200</v>
      </c>
      <c r="V43" s="1127">
        <f t="shared" si="47"/>
        <v>41800</v>
      </c>
      <c r="W43" s="1127">
        <f t="shared" si="47"/>
        <v>42600</v>
      </c>
      <c r="X43" s="1127">
        <f t="shared" si="47"/>
        <v>43500</v>
      </c>
      <c r="Y43" s="1127">
        <f t="shared" si="47"/>
        <v>44400</v>
      </c>
      <c r="Z43" s="1127">
        <f t="shared" si="47"/>
        <v>45300</v>
      </c>
      <c r="AA43" s="1127">
        <f t="shared" si="47"/>
        <v>46200</v>
      </c>
      <c r="AB43" s="1127">
        <f t="shared" si="47"/>
        <v>47100</v>
      </c>
      <c r="AC43" s="1127">
        <f t="shared" si="47"/>
        <v>48000</v>
      </c>
      <c r="AD43" s="1127">
        <f t="shared" si="47"/>
        <v>49000</v>
      </c>
      <c r="AE43" s="1127">
        <f t="shared" si="47"/>
        <v>50000</v>
      </c>
      <c r="AF43" s="1127">
        <f t="shared" si="47"/>
        <v>51000</v>
      </c>
      <c r="AG43" s="1127">
        <f t="shared" si="47"/>
        <v>52000</v>
      </c>
      <c r="AH43" s="1127">
        <f t="shared" si="47"/>
        <v>53000</v>
      </c>
      <c r="AI43" s="1127">
        <f t="shared" si="47"/>
        <v>54100</v>
      </c>
      <c r="AJ43" s="1127">
        <f t="shared" si="47"/>
        <v>0</v>
      </c>
      <c r="AK43" s="1127">
        <f t="shared" si="47"/>
        <v>0</v>
      </c>
      <c r="AL43" s="1127">
        <f t="shared" si="47"/>
        <v>0</v>
      </c>
      <c r="AM43" s="1127">
        <f t="shared" si="47"/>
        <v>0</v>
      </c>
      <c r="AN43" s="1127">
        <f t="shared" si="47"/>
        <v>0</v>
      </c>
      <c r="AO43" s="1127">
        <f t="shared" si="47"/>
        <v>0</v>
      </c>
      <c r="AP43" s="1127">
        <f t="shared" si="47"/>
        <v>0</v>
      </c>
      <c r="AQ43" s="1127">
        <f t="shared" si="47"/>
        <v>0</v>
      </c>
      <c r="AR43" s="1127">
        <f t="shared" si="47"/>
        <v>0</v>
      </c>
      <c r="AS43" s="1127">
        <f t="shared" si="47"/>
        <v>0</v>
      </c>
      <c r="AT43" s="89"/>
      <c r="AU43" s="29">
        <f>+Details!E43</f>
        <v>1065900</v>
      </c>
      <c r="AV43" s="81">
        <f t="shared" si="43"/>
        <v>0</v>
      </c>
      <c r="AW43" s="102"/>
      <c r="AY43" s="31">
        <f>+Details!F43-Base!F43</f>
        <v>0</v>
      </c>
      <c r="AZ43" s="1127">
        <f>+Details!G43-Base!G43</f>
        <v>0</v>
      </c>
      <c r="BA43" s="1127">
        <f>+Details!H43-Base!H43</f>
        <v>0</v>
      </c>
      <c r="BB43" s="1127">
        <f>+Details!I43-Base!I43</f>
        <v>0</v>
      </c>
      <c r="BC43" s="1127">
        <f>+Details!J43-Base!J43</f>
        <v>0</v>
      </c>
      <c r="BD43" s="1127">
        <f>+Details!K43-Base!K43</f>
        <v>0</v>
      </c>
      <c r="BE43" s="1127">
        <f>+Details!L43-Base!L43</f>
        <v>0</v>
      </c>
      <c r="BF43" s="1127">
        <f>+Details!M43-Base!M43</f>
        <v>0</v>
      </c>
      <c r="BG43" s="1127">
        <f>+Details!N43-Base!N43</f>
        <v>0</v>
      </c>
      <c r="BH43" s="1127">
        <f>+Details!O43-Base!O43</f>
        <v>0</v>
      </c>
      <c r="BI43" s="1127">
        <f>+Details!P43-Base!P43</f>
        <v>0</v>
      </c>
      <c r="BJ43" s="1127">
        <f>+Details!Q43-Base!Q43</f>
        <v>0</v>
      </c>
      <c r="BK43" s="1127">
        <f>+Details!R43-Base!R43</f>
        <v>0</v>
      </c>
      <c r="BL43" s="1127">
        <f>+Details!S43-Base!S43</f>
        <v>0</v>
      </c>
      <c r="BM43" s="1127">
        <f>+Details!T43-Base!T43</f>
        <v>0</v>
      </c>
      <c r="BN43" s="1127">
        <f>+Details!U43-Base!U43</f>
        <v>0</v>
      </c>
      <c r="BO43" s="1127">
        <f>+Details!V43-Base!V43</f>
        <v>0</v>
      </c>
      <c r="BP43" s="1127">
        <f>+Details!W43-Base!W43</f>
        <v>0</v>
      </c>
      <c r="BQ43" s="1127">
        <f>+Details!X43-Base!X43</f>
        <v>0</v>
      </c>
      <c r="BR43" s="1127">
        <f>+Details!Y43-Base!Y43</f>
        <v>0</v>
      </c>
      <c r="BS43" s="1127">
        <f>+Details!Z43-Base!Z43</f>
        <v>0</v>
      </c>
      <c r="BT43" s="1127">
        <f>+Details!AA43-Base!AA43</f>
        <v>0</v>
      </c>
      <c r="BU43" s="1127">
        <f>+Details!AB43-Base!AB43</f>
        <v>0</v>
      </c>
      <c r="BV43" s="1127">
        <f>+Details!AC43-Base!AC43</f>
        <v>0</v>
      </c>
      <c r="BW43" s="1127">
        <f>+Details!AD43-Base!AD43</f>
        <v>0</v>
      </c>
      <c r="BX43" s="1127">
        <f>+Details!AE43-Base!AE43</f>
        <v>0</v>
      </c>
      <c r="BY43" s="1127">
        <f>+Details!AF43-Base!AF43</f>
        <v>0</v>
      </c>
      <c r="BZ43" s="1127">
        <f>+Details!AG43-Base!AG43</f>
        <v>0</v>
      </c>
      <c r="CA43" s="1127">
        <f>+Details!AH43-Base!AH43</f>
        <v>0</v>
      </c>
      <c r="CB43" s="1127">
        <f>+Details!AI43-Base!AI43</f>
        <v>0</v>
      </c>
      <c r="CC43" s="1127">
        <f>+Details!AJ43-Base!AJ43</f>
        <v>0</v>
      </c>
      <c r="CD43" s="1127">
        <f>+Details!AK43-Base!AK43</f>
        <v>0</v>
      </c>
      <c r="CE43" s="1127">
        <f>+Details!AL43-Base!AL43</f>
        <v>0</v>
      </c>
      <c r="CF43" s="1127">
        <f>+Details!AM43-Base!AM43</f>
        <v>0</v>
      </c>
      <c r="CG43" s="1127">
        <f>+Details!AN43-Base!AN43</f>
        <v>0</v>
      </c>
      <c r="CH43" s="1127">
        <f>+Details!AO43-Base!AO43</f>
        <v>0</v>
      </c>
      <c r="CI43" s="1127">
        <f>+Details!AP43-Base!AP43</f>
        <v>0</v>
      </c>
      <c r="CJ43" s="1127">
        <f>+Details!AQ43-Base!AQ43</f>
        <v>0</v>
      </c>
      <c r="CK43" s="1127">
        <f>+Details!AR43-Base!AR43</f>
        <v>0</v>
      </c>
      <c r="CL43" s="1127">
        <f>+Details!AS43-Base!AS43</f>
        <v>0</v>
      </c>
      <c r="CM43" s="81"/>
    </row>
    <row r="44" spans="1:91" ht="19.95" hidden="1" customHeight="1">
      <c r="A44" s="1427" t="s">
        <v>1578</v>
      </c>
      <c r="B44" s="563" t="s">
        <v>1691</v>
      </c>
      <c r="C44" s="1000"/>
      <c r="D44" s="666" t="s">
        <v>579</v>
      </c>
      <c r="E44" s="29"/>
      <c r="F44" s="914"/>
      <c r="G44" s="1124"/>
      <c r="H44" s="1124"/>
      <c r="I44" s="1124"/>
      <c r="J44" s="1124"/>
      <c r="K44" s="1124"/>
      <c r="L44" s="1124"/>
      <c r="M44" s="1124"/>
      <c r="N44" s="1124"/>
      <c r="O44" s="1124"/>
      <c r="P44" s="1124"/>
      <c r="Q44" s="1124"/>
      <c r="R44" s="1124"/>
      <c r="S44" s="1124"/>
      <c r="T44" s="1124"/>
      <c r="U44" s="1124"/>
      <c r="V44" s="1124"/>
      <c r="W44" s="1124"/>
      <c r="X44" s="1124"/>
      <c r="Y44" s="1124"/>
      <c r="Z44" s="1124"/>
      <c r="AA44" s="1124"/>
      <c r="AB44" s="1124"/>
      <c r="AC44" s="1124"/>
      <c r="AD44" s="1124"/>
      <c r="AE44" s="1124"/>
      <c r="AF44" s="1124"/>
      <c r="AG44" s="1124"/>
      <c r="AH44" s="1124"/>
      <c r="AI44" s="1124"/>
      <c r="AJ44" s="1124"/>
      <c r="AK44" s="1124"/>
      <c r="AL44" s="1124"/>
      <c r="AM44" s="1124"/>
      <c r="AN44" s="1124"/>
      <c r="AO44" s="1124"/>
      <c r="AP44" s="1124"/>
      <c r="AQ44" s="1124"/>
      <c r="AR44" s="1124"/>
      <c r="AS44" s="1124"/>
      <c r="AT44" s="3"/>
      <c r="AU44" s="29">
        <f>+Details!E44</f>
        <v>805100</v>
      </c>
      <c r="AV44" s="81">
        <f t="shared" si="43"/>
        <v>-805100</v>
      </c>
      <c r="AW44" s="102"/>
      <c r="AY44" s="31">
        <f>+Details!F44-Base!F44</f>
        <v>22500</v>
      </c>
      <c r="AZ44" s="1124">
        <f>+Details!G44-Base!G44</f>
        <v>23000</v>
      </c>
      <c r="BA44" s="1124">
        <f>+Details!H44-Base!H44</f>
        <v>23500</v>
      </c>
      <c r="BB44" s="1124">
        <f>+Details!I44-Base!I44</f>
        <v>24000</v>
      </c>
      <c r="BC44" s="1124">
        <f>+Details!J44-Base!J44</f>
        <v>24500</v>
      </c>
      <c r="BD44" s="1124">
        <f>+Details!K44-Base!K44</f>
        <v>25000</v>
      </c>
      <c r="BE44" s="1124">
        <f>+Details!L44-Base!L44</f>
        <v>25500</v>
      </c>
      <c r="BF44" s="1124">
        <f>+Details!M44-Base!M44</f>
        <v>26000</v>
      </c>
      <c r="BG44" s="1124">
        <f>+Details!N44-Base!N44</f>
        <v>26500</v>
      </c>
      <c r="BH44" s="1124">
        <f>+Details!O44-Base!O44</f>
        <v>27000</v>
      </c>
      <c r="BI44" s="1124">
        <f>+Details!P44-Base!P44</f>
        <v>27500</v>
      </c>
      <c r="BJ44" s="1124">
        <f>+Details!Q44-Base!Q44</f>
        <v>28100</v>
      </c>
      <c r="BK44" s="1124">
        <f>+Details!R44-Base!R44</f>
        <v>28700</v>
      </c>
      <c r="BL44" s="1124">
        <f>+Details!S44-Base!S44</f>
        <v>29300</v>
      </c>
      <c r="BM44" s="1124">
        <f>+Details!T44-Base!T44</f>
        <v>29900</v>
      </c>
      <c r="BN44" s="1124">
        <f>+Details!U44-Base!U44</f>
        <v>30500</v>
      </c>
      <c r="BO44" s="1124">
        <f>+Details!V44-Base!V44</f>
        <v>24000</v>
      </c>
      <c r="BP44" s="1124">
        <f>+Details!W44-Base!W44</f>
        <v>24500</v>
      </c>
      <c r="BQ44" s="1124">
        <f>+Details!X44-Base!X44</f>
        <v>25000</v>
      </c>
      <c r="BR44" s="1124">
        <f>+Details!Y44-Base!Y44</f>
        <v>25500</v>
      </c>
      <c r="BS44" s="1124">
        <f>+Details!Z44-Base!Z44</f>
        <v>26000</v>
      </c>
      <c r="BT44" s="1124">
        <f>+Details!AA44-Base!AA44</f>
        <v>26500</v>
      </c>
      <c r="BU44" s="1124">
        <f>+Details!AB44-Base!AB44</f>
        <v>27000</v>
      </c>
      <c r="BV44" s="1124">
        <f>+Details!AC44-Base!AC44</f>
        <v>27500</v>
      </c>
      <c r="BW44" s="1124">
        <f>+Details!AD44-Base!AD44</f>
        <v>28100</v>
      </c>
      <c r="BX44" s="1124">
        <f>+Details!AE44-Base!AE44</f>
        <v>28700</v>
      </c>
      <c r="BY44" s="1124">
        <f>+Details!AF44-Base!AF44</f>
        <v>29300</v>
      </c>
      <c r="BZ44" s="1124">
        <f>+Details!AG44-Base!AG44</f>
        <v>29900</v>
      </c>
      <c r="CA44" s="1124">
        <f>+Details!AH44-Base!AH44</f>
        <v>30500</v>
      </c>
      <c r="CB44" s="1124">
        <f>+Details!AI44-Base!AI44</f>
        <v>31100</v>
      </c>
      <c r="CC44" s="1124">
        <f>+Details!AJ44-Base!AJ44</f>
        <v>0</v>
      </c>
      <c r="CD44" s="1124">
        <f>+Details!AK44-Base!AK44</f>
        <v>0</v>
      </c>
      <c r="CE44" s="1124">
        <f>+Details!AL44-Base!AL44</f>
        <v>0</v>
      </c>
      <c r="CF44" s="1124">
        <f>+Details!AM44-Base!AM44</f>
        <v>0</v>
      </c>
      <c r="CG44" s="1124">
        <f>+Details!AN44-Base!AN44</f>
        <v>0</v>
      </c>
      <c r="CH44" s="1124">
        <f>+Details!AO44-Base!AO44</f>
        <v>0</v>
      </c>
      <c r="CI44" s="1124">
        <f>+Details!AP44-Base!AP44</f>
        <v>0</v>
      </c>
      <c r="CJ44" s="1124">
        <f>+Details!AQ44-Base!AQ44</f>
        <v>0</v>
      </c>
      <c r="CK44" s="1124">
        <f>+Details!AR44-Base!AR44</f>
        <v>0</v>
      </c>
      <c r="CL44" s="1124">
        <f>+Details!AS44-Base!AS44</f>
        <v>0</v>
      </c>
      <c r="CM44" s="81"/>
    </row>
    <row r="45" spans="1:91" ht="15.6" hidden="1">
      <c r="A45" s="1427" t="s">
        <v>1578</v>
      </c>
      <c r="B45" s="563" t="s">
        <v>842</v>
      </c>
      <c r="C45" s="1000"/>
      <c r="D45" s="666" t="s">
        <v>579</v>
      </c>
      <c r="E45" s="29"/>
      <c r="F45" s="914"/>
      <c r="G45" s="1124"/>
      <c r="H45" s="1124"/>
      <c r="I45" s="1124"/>
      <c r="J45" s="1124"/>
      <c r="K45" s="1124"/>
      <c r="L45" s="1124"/>
      <c r="M45" s="1124"/>
      <c r="N45" s="1124"/>
      <c r="O45" s="1124"/>
      <c r="P45" s="1124"/>
      <c r="Q45" s="1124"/>
      <c r="R45" s="1124"/>
      <c r="S45" s="1124"/>
      <c r="T45" s="1124"/>
      <c r="U45" s="1124"/>
      <c r="V45" s="1124"/>
      <c r="W45" s="1124"/>
      <c r="X45" s="1124"/>
      <c r="Y45" s="1124"/>
      <c r="Z45" s="1124"/>
      <c r="AA45" s="1124"/>
      <c r="AB45" s="1124"/>
      <c r="AC45" s="1124"/>
      <c r="AD45" s="1124"/>
      <c r="AE45" s="1124"/>
      <c r="AF45" s="1124"/>
      <c r="AG45" s="1124"/>
      <c r="AH45" s="1124"/>
      <c r="AI45" s="1124"/>
      <c r="AJ45" s="1124"/>
      <c r="AK45" s="1124"/>
      <c r="AL45" s="1124"/>
      <c r="AM45" s="1124"/>
      <c r="AN45" s="1124"/>
      <c r="AO45" s="1124"/>
      <c r="AP45" s="1124"/>
      <c r="AQ45" s="1124"/>
      <c r="AR45" s="1124"/>
      <c r="AS45" s="1124"/>
      <c r="AT45" s="3"/>
      <c r="AU45" s="29">
        <f>+Details!E45</f>
        <v>252700</v>
      </c>
      <c r="AV45" s="81">
        <f>+E45-AU45</f>
        <v>-252700</v>
      </c>
      <c r="AW45" s="102"/>
      <c r="AY45" s="31">
        <f>+Details!F45-Base!F45</f>
        <v>7000</v>
      </c>
      <c r="AZ45" s="1124">
        <f>+Details!G45-Base!G45</f>
        <v>7100</v>
      </c>
      <c r="BA45" s="1124">
        <f>+Details!H45-Base!H45</f>
        <v>7200</v>
      </c>
      <c r="BB45" s="1124">
        <f>+Details!I45-Base!I45</f>
        <v>7300</v>
      </c>
      <c r="BC45" s="1124">
        <f>+Details!J45-Base!J45</f>
        <v>7400</v>
      </c>
      <c r="BD45" s="1124">
        <f>+Details!K45-Base!K45</f>
        <v>7500</v>
      </c>
      <c r="BE45" s="1124">
        <f>+Details!L45-Base!L45</f>
        <v>7700</v>
      </c>
      <c r="BF45" s="1124">
        <f>+Details!M45-Base!M45</f>
        <v>7900</v>
      </c>
      <c r="BG45" s="1124">
        <f>+Details!N45-Base!N45</f>
        <v>8100</v>
      </c>
      <c r="BH45" s="1124">
        <f>+Details!O45-Base!O45</f>
        <v>8300</v>
      </c>
      <c r="BI45" s="1124">
        <f>+Details!P45-Base!P45</f>
        <v>8500</v>
      </c>
      <c r="BJ45" s="1124">
        <f>+Details!Q45-Base!Q45</f>
        <v>8700</v>
      </c>
      <c r="BK45" s="1124">
        <f>+Details!R45-Base!R45</f>
        <v>8900</v>
      </c>
      <c r="BL45" s="1124">
        <f>+Details!S45-Base!S45</f>
        <v>9100</v>
      </c>
      <c r="BM45" s="1124">
        <f>+Details!T45-Base!T45</f>
        <v>9300</v>
      </c>
      <c r="BN45" s="1124">
        <f>+Details!U45-Base!U45</f>
        <v>9500</v>
      </c>
      <c r="BO45" s="1124">
        <f>+Details!V45-Base!V45</f>
        <v>7500</v>
      </c>
      <c r="BP45" s="1124">
        <f>+Details!W45-Base!W45</f>
        <v>7700</v>
      </c>
      <c r="BQ45" s="1124">
        <f>+Details!X45-Base!X45</f>
        <v>7900</v>
      </c>
      <c r="BR45" s="1124">
        <f>+Details!Y45-Base!Y45</f>
        <v>8100</v>
      </c>
      <c r="BS45" s="1124">
        <f>+Details!Z45-Base!Z45</f>
        <v>8300</v>
      </c>
      <c r="BT45" s="1124">
        <f>+Details!AA45-Base!AA45</f>
        <v>8500</v>
      </c>
      <c r="BU45" s="1124">
        <f>+Details!AB45-Base!AB45</f>
        <v>8700</v>
      </c>
      <c r="BV45" s="1124">
        <f>+Details!AC45-Base!AC45</f>
        <v>8900</v>
      </c>
      <c r="BW45" s="1124">
        <f>+Details!AD45-Base!AD45</f>
        <v>9100</v>
      </c>
      <c r="BX45" s="1124">
        <f>+Details!AE45-Base!AE45</f>
        <v>9300</v>
      </c>
      <c r="BY45" s="1124">
        <f>+Details!AF45-Base!AF45</f>
        <v>9500</v>
      </c>
      <c r="BZ45" s="1124">
        <f>+Details!AG45-Base!AG45</f>
        <v>9700</v>
      </c>
      <c r="CA45" s="1124">
        <f>+Details!AH45-Base!AH45</f>
        <v>9900</v>
      </c>
      <c r="CB45" s="1124">
        <f>+Details!AI45-Base!AI45</f>
        <v>10100</v>
      </c>
      <c r="CC45" s="1124">
        <f>+Details!AJ45-Base!AJ45</f>
        <v>0</v>
      </c>
      <c r="CD45" s="1124">
        <f>+Details!AK45-Base!AK45</f>
        <v>0</v>
      </c>
      <c r="CE45" s="1124">
        <f>+Details!AL45-Base!AL45</f>
        <v>0</v>
      </c>
      <c r="CF45" s="1124">
        <f>+Details!AM45-Base!AM45</f>
        <v>0</v>
      </c>
      <c r="CG45" s="1124">
        <f>+Details!AN45-Base!AN45</f>
        <v>0</v>
      </c>
      <c r="CH45" s="1124">
        <f>+Details!AO45-Base!AO45</f>
        <v>0</v>
      </c>
      <c r="CI45" s="1124">
        <f>+Details!AP45-Base!AP45</f>
        <v>0</v>
      </c>
      <c r="CJ45" s="1124">
        <f>+Details!AQ45-Base!AQ45</f>
        <v>0</v>
      </c>
      <c r="CK45" s="1124">
        <f>+Details!AR45-Base!AR45</f>
        <v>0</v>
      </c>
      <c r="CL45" s="1124">
        <f>+Details!AS45-Base!AS45</f>
        <v>0</v>
      </c>
      <c r="CM45" s="81"/>
    </row>
    <row r="46" spans="1:91" ht="15.6" hidden="1">
      <c r="A46" s="1427" t="s">
        <v>1578</v>
      </c>
      <c r="B46" s="563" t="s">
        <v>1405</v>
      </c>
      <c r="C46" s="380"/>
      <c r="D46" s="666" t="s">
        <v>579</v>
      </c>
      <c r="E46" s="29"/>
      <c r="F46" s="554"/>
      <c r="G46" s="1124"/>
      <c r="H46" s="1124"/>
      <c r="I46" s="1124"/>
      <c r="J46" s="1124"/>
      <c r="K46" s="1124"/>
      <c r="L46" s="1124"/>
      <c r="M46" s="1124"/>
      <c r="N46" s="1124"/>
      <c r="O46" s="1124"/>
      <c r="P46" s="1124"/>
      <c r="Q46" s="1124"/>
      <c r="R46" s="1124"/>
      <c r="S46" s="1124"/>
      <c r="T46" s="1124"/>
      <c r="U46" s="1124"/>
      <c r="V46" s="1124"/>
      <c r="W46" s="1124"/>
      <c r="X46" s="1124"/>
      <c r="Y46" s="1124"/>
      <c r="Z46" s="1124"/>
      <c r="AA46" s="1124"/>
      <c r="AB46" s="1124"/>
      <c r="AC46" s="1124"/>
      <c r="AD46" s="1124"/>
      <c r="AE46" s="1124"/>
      <c r="AF46" s="1124"/>
      <c r="AG46" s="1124"/>
      <c r="AH46" s="1124"/>
      <c r="AI46" s="1124"/>
      <c r="AJ46" s="1124"/>
      <c r="AK46" s="1124"/>
      <c r="AL46" s="1124"/>
      <c r="AM46" s="1124"/>
      <c r="AN46" s="1124"/>
      <c r="AO46" s="1124"/>
      <c r="AP46" s="1124"/>
      <c r="AQ46" s="1124"/>
      <c r="AR46" s="1124"/>
      <c r="AS46" s="1124"/>
      <c r="AT46" s="3"/>
      <c r="AU46" s="29">
        <f>+Details!E46</f>
        <v>805100</v>
      </c>
      <c r="AV46" s="81">
        <f t="shared" si="43"/>
        <v>-805100</v>
      </c>
      <c r="AW46" s="102"/>
      <c r="AY46" s="31">
        <f>+Details!F46-Base!F46</f>
        <v>22500</v>
      </c>
      <c r="AZ46" s="1124">
        <f>+Details!G46-Base!G46</f>
        <v>23000</v>
      </c>
      <c r="BA46" s="1124">
        <f>+Details!H46-Base!H46</f>
        <v>23500</v>
      </c>
      <c r="BB46" s="1124">
        <f>+Details!I46-Base!I46</f>
        <v>24000</v>
      </c>
      <c r="BC46" s="1124">
        <f>+Details!J46-Base!J46</f>
        <v>24500</v>
      </c>
      <c r="BD46" s="1124">
        <f>+Details!K46-Base!K46</f>
        <v>25000</v>
      </c>
      <c r="BE46" s="1124">
        <f>+Details!L46-Base!L46</f>
        <v>25500</v>
      </c>
      <c r="BF46" s="1124">
        <f>+Details!M46-Base!M46</f>
        <v>26000</v>
      </c>
      <c r="BG46" s="1124">
        <f>+Details!N46-Base!N46</f>
        <v>26500</v>
      </c>
      <c r="BH46" s="1124">
        <f>+Details!O46-Base!O46</f>
        <v>27000</v>
      </c>
      <c r="BI46" s="1124">
        <f>+Details!P46-Base!P46</f>
        <v>27500</v>
      </c>
      <c r="BJ46" s="1124">
        <f>+Details!Q46-Base!Q46</f>
        <v>28100</v>
      </c>
      <c r="BK46" s="1124">
        <f>+Details!R46-Base!R46</f>
        <v>28700</v>
      </c>
      <c r="BL46" s="1124">
        <f>+Details!S46-Base!S46</f>
        <v>29300</v>
      </c>
      <c r="BM46" s="1124">
        <f>+Details!T46-Base!T46</f>
        <v>29900</v>
      </c>
      <c r="BN46" s="1124">
        <f>+Details!U46-Base!U46</f>
        <v>30500</v>
      </c>
      <c r="BO46" s="1124">
        <f>+Details!V46-Base!V46</f>
        <v>24000</v>
      </c>
      <c r="BP46" s="1124">
        <f>+Details!W46-Base!W46</f>
        <v>24500</v>
      </c>
      <c r="BQ46" s="1124">
        <f>+Details!X46-Base!X46</f>
        <v>25000</v>
      </c>
      <c r="BR46" s="1124">
        <f>+Details!Y46-Base!Y46</f>
        <v>25500</v>
      </c>
      <c r="BS46" s="1124">
        <f>+Details!Z46-Base!Z46</f>
        <v>26000</v>
      </c>
      <c r="BT46" s="1124">
        <f>+Details!AA46-Base!AA46</f>
        <v>26500</v>
      </c>
      <c r="BU46" s="1124">
        <f>+Details!AB46-Base!AB46</f>
        <v>27000</v>
      </c>
      <c r="BV46" s="1124">
        <f>+Details!AC46-Base!AC46</f>
        <v>27500</v>
      </c>
      <c r="BW46" s="1124">
        <f>+Details!AD46-Base!AD46</f>
        <v>28100</v>
      </c>
      <c r="BX46" s="1124">
        <f>+Details!AE46-Base!AE46</f>
        <v>28700</v>
      </c>
      <c r="BY46" s="1124">
        <f>+Details!AF46-Base!AF46</f>
        <v>29300</v>
      </c>
      <c r="BZ46" s="1124">
        <f>+Details!AG46-Base!AG46</f>
        <v>29900</v>
      </c>
      <c r="CA46" s="1124">
        <f>+Details!AH46-Base!AH46</f>
        <v>30500</v>
      </c>
      <c r="CB46" s="1124">
        <f>+Details!AI46-Base!AI46</f>
        <v>31100</v>
      </c>
      <c r="CC46" s="1124">
        <f>+Details!AJ46-Base!AJ46</f>
        <v>0</v>
      </c>
      <c r="CD46" s="1124">
        <f>+Details!AK46-Base!AK46</f>
        <v>0</v>
      </c>
      <c r="CE46" s="1124">
        <f>+Details!AL46-Base!AL46</f>
        <v>0</v>
      </c>
      <c r="CF46" s="1124">
        <f>+Details!AM46-Base!AM46</f>
        <v>0</v>
      </c>
      <c r="CG46" s="1124">
        <f>+Details!AN46-Base!AN46</f>
        <v>0</v>
      </c>
      <c r="CH46" s="1124">
        <f>+Details!AO46-Base!AO46</f>
        <v>0</v>
      </c>
      <c r="CI46" s="1124">
        <f>+Details!AP46-Base!AP46</f>
        <v>0</v>
      </c>
      <c r="CJ46" s="1124">
        <f>+Details!AQ46-Base!AQ46</f>
        <v>0</v>
      </c>
      <c r="CK46" s="1124">
        <f>+Details!AR46-Base!AR46</f>
        <v>0</v>
      </c>
      <c r="CL46" s="1124">
        <f>+Details!AS46-Base!AS46</f>
        <v>0</v>
      </c>
      <c r="CM46" s="81"/>
    </row>
    <row r="47" spans="1:91" ht="15.6" hidden="1">
      <c r="A47" s="1427" t="s">
        <v>1578</v>
      </c>
      <c r="B47" s="563" t="s">
        <v>1404</v>
      </c>
      <c r="C47" s="380"/>
      <c r="D47" s="666" t="s">
        <v>579</v>
      </c>
      <c r="E47" s="29"/>
      <c r="F47" s="914"/>
      <c r="G47" s="1124"/>
      <c r="H47" s="1124"/>
      <c r="I47" s="1124"/>
      <c r="J47" s="1124"/>
      <c r="K47" s="1124"/>
      <c r="L47" s="1124"/>
      <c r="M47" s="1124"/>
      <c r="N47" s="1124"/>
      <c r="O47" s="1124"/>
      <c r="P47" s="1124"/>
      <c r="Q47" s="1124"/>
      <c r="R47" s="1124"/>
      <c r="S47" s="1124"/>
      <c r="T47" s="1124"/>
      <c r="U47" s="1124"/>
      <c r="V47" s="1124"/>
      <c r="W47" s="1124"/>
      <c r="X47" s="1124"/>
      <c r="Y47" s="1124"/>
      <c r="Z47" s="1124"/>
      <c r="AA47" s="1124"/>
      <c r="AB47" s="1124"/>
      <c r="AC47" s="1124"/>
      <c r="AD47" s="1124"/>
      <c r="AE47" s="1124"/>
      <c r="AF47" s="1124"/>
      <c r="AG47" s="1124"/>
      <c r="AH47" s="1124"/>
      <c r="AI47" s="1124"/>
      <c r="AJ47" s="1124"/>
      <c r="AK47" s="1124"/>
      <c r="AL47" s="1124"/>
      <c r="AM47" s="1124"/>
      <c r="AN47" s="1124"/>
      <c r="AO47" s="1124"/>
      <c r="AP47" s="1124"/>
      <c r="AQ47" s="1124"/>
      <c r="AR47" s="1124"/>
      <c r="AS47" s="1124"/>
      <c r="AT47" s="3"/>
      <c r="AU47" s="29">
        <f>+Details!E47</f>
        <v>42800</v>
      </c>
      <c r="AV47" s="81">
        <f>+E47-AU47</f>
        <v>-42800</v>
      </c>
      <c r="AW47" s="102"/>
      <c r="AY47" s="31">
        <f>+Details!F47-Base!F47</f>
        <v>5000</v>
      </c>
      <c r="AZ47" s="1124">
        <f>+Details!G47-Base!G47</f>
        <v>5100</v>
      </c>
      <c r="BA47" s="1124">
        <f>+Details!H47-Base!H47</f>
        <v>5200</v>
      </c>
      <c r="BB47" s="1124">
        <f>+Details!I47-Base!I47</f>
        <v>5300</v>
      </c>
      <c r="BC47" s="1124">
        <f>+Details!J47-Base!J47</f>
        <v>5400</v>
      </c>
      <c r="BD47" s="1124">
        <f>+Details!K47-Base!K47</f>
        <v>5500</v>
      </c>
      <c r="BE47" s="1124">
        <f>+Details!L47-Base!L47</f>
        <v>5600</v>
      </c>
      <c r="BF47" s="1124">
        <f>+Details!M47-Base!M47</f>
        <v>5700</v>
      </c>
      <c r="BG47" s="1124">
        <f>+Details!N47-Base!N47</f>
        <v>0</v>
      </c>
      <c r="BH47" s="1124">
        <f>+Details!O47-Base!O47</f>
        <v>0</v>
      </c>
      <c r="BI47" s="1124">
        <f>+Details!P47-Base!P47</f>
        <v>0</v>
      </c>
      <c r="BJ47" s="1124">
        <f>+Details!Q47-Base!Q47</f>
        <v>0</v>
      </c>
      <c r="BK47" s="1124">
        <f>+Details!R47-Base!R47</f>
        <v>0</v>
      </c>
      <c r="BL47" s="1124">
        <f>+Details!S47-Base!S47</f>
        <v>0</v>
      </c>
      <c r="BM47" s="1124">
        <f>+Details!T47-Base!T47</f>
        <v>0</v>
      </c>
      <c r="BN47" s="1124">
        <f>+Details!U47-Base!U47</f>
        <v>0</v>
      </c>
      <c r="BO47" s="1124">
        <f>+Details!V47-Base!V47</f>
        <v>0</v>
      </c>
      <c r="BP47" s="1124">
        <f>+Details!W47-Base!W47</f>
        <v>0</v>
      </c>
      <c r="BQ47" s="1124">
        <f>+Details!X47-Base!X47</f>
        <v>0</v>
      </c>
      <c r="BR47" s="1124">
        <f>+Details!Y47-Base!Y47</f>
        <v>0</v>
      </c>
      <c r="BS47" s="1124">
        <f>+Details!Z47-Base!Z47</f>
        <v>0</v>
      </c>
      <c r="BT47" s="1124">
        <f>+Details!AA47-Base!AA47</f>
        <v>0</v>
      </c>
      <c r="BU47" s="1124">
        <f>+Details!AB47-Base!AB47</f>
        <v>0</v>
      </c>
      <c r="BV47" s="1124">
        <f>+Details!AC47-Base!AC47</f>
        <v>0</v>
      </c>
      <c r="BW47" s="1124">
        <f>+Details!AD47-Base!AD47</f>
        <v>0</v>
      </c>
      <c r="BX47" s="1124">
        <f>+Details!AE47-Base!AE47</f>
        <v>0</v>
      </c>
      <c r="BY47" s="1124">
        <f>+Details!AF47-Base!AF47</f>
        <v>0</v>
      </c>
      <c r="BZ47" s="1124">
        <f>+Details!AG47-Base!AG47</f>
        <v>0</v>
      </c>
      <c r="CA47" s="1124">
        <f>+Details!AH47-Base!AH47</f>
        <v>0</v>
      </c>
      <c r="CB47" s="1124">
        <f>+Details!AI47-Base!AI47</f>
        <v>0</v>
      </c>
      <c r="CC47" s="1124">
        <f>+Details!AJ47-Base!AJ47</f>
        <v>0</v>
      </c>
      <c r="CD47" s="1124">
        <f>+Details!AK47-Base!AK47</f>
        <v>0</v>
      </c>
      <c r="CE47" s="1124">
        <f>+Details!AL47-Base!AL47</f>
        <v>0</v>
      </c>
      <c r="CF47" s="1124">
        <f>+Details!AM47-Base!AM47</f>
        <v>0</v>
      </c>
      <c r="CG47" s="1124">
        <f>+Details!AN47-Base!AN47</f>
        <v>0</v>
      </c>
      <c r="CH47" s="1124">
        <f>+Details!AO47-Base!AO47</f>
        <v>0</v>
      </c>
      <c r="CI47" s="1124">
        <f>+Details!AP47-Base!AP47</f>
        <v>0</v>
      </c>
      <c r="CJ47" s="1124">
        <f>+Details!AQ47-Base!AQ47</f>
        <v>0</v>
      </c>
      <c r="CK47" s="1124">
        <f>+Details!AR47-Base!AR47</f>
        <v>0</v>
      </c>
      <c r="CL47" s="1124">
        <f>+Details!AS47-Base!AS47</f>
        <v>0</v>
      </c>
      <c r="CM47" s="81"/>
    </row>
    <row r="48" spans="1:91" ht="15.6" hidden="1">
      <c r="A48" s="1427" t="s">
        <v>1578</v>
      </c>
      <c r="B48" s="1766" t="s">
        <v>189</v>
      </c>
      <c r="C48" s="380"/>
      <c r="D48" s="666" t="s">
        <v>579</v>
      </c>
      <c r="E48" s="29"/>
      <c r="F48" s="665"/>
      <c r="G48" s="1127"/>
      <c r="H48" s="1127"/>
      <c r="I48" s="1127"/>
      <c r="J48" s="1127"/>
      <c r="K48" s="1127"/>
      <c r="L48" s="1127"/>
      <c r="M48" s="1127"/>
      <c r="N48" s="1127"/>
      <c r="O48" s="1127"/>
      <c r="P48" s="1127"/>
      <c r="Q48" s="1127"/>
      <c r="R48" s="1127"/>
      <c r="S48" s="1127"/>
      <c r="T48" s="1127"/>
      <c r="U48" s="1127"/>
      <c r="V48" s="1127"/>
      <c r="W48" s="1127"/>
      <c r="X48" s="1127"/>
      <c r="Y48" s="1127"/>
      <c r="Z48" s="1127"/>
      <c r="AA48" s="1127"/>
      <c r="AB48" s="1127"/>
      <c r="AC48" s="1127"/>
      <c r="AD48" s="1127"/>
      <c r="AE48" s="1127"/>
      <c r="AF48" s="1127"/>
      <c r="AG48" s="1127"/>
      <c r="AH48" s="1127"/>
      <c r="AI48" s="1127"/>
      <c r="AJ48" s="1127"/>
      <c r="AK48" s="1127"/>
      <c r="AL48" s="1127"/>
      <c r="AM48" s="1127"/>
      <c r="AN48" s="1127"/>
      <c r="AO48" s="1127"/>
      <c r="AP48" s="1127"/>
      <c r="AQ48" s="1127"/>
      <c r="AR48" s="1127"/>
      <c r="AS48" s="1127"/>
      <c r="AT48" s="89"/>
      <c r="AU48" s="29">
        <f>+Details!E48</f>
        <v>847900</v>
      </c>
      <c r="AV48" s="81">
        <f t="shared" ref="AV48:AV53" si="48">+E48-AU48</f>
        <v>-847900</v>
      </c>
      <c r="AW48" s="102"/>
      <c r="AY48" s="31">
        <f>+Details!F48-Base!F48</f>
        <v>27500</v>
      </c>
      <c r="AZ48" s="1127">
        <f>+Details!G48-Base!G48</f>
        <v>28100</v>
      </c>
      <c r="BA48" s="1127">
        <f>+Details!H48-Base!H48</f>
        <v>28700</v>
      </c>
      <c r="BB48" s="1127">
        <f>+Details!I48-Base!I48</f>
        <v>29300</v>
      </c>
      <c r="BC48" s="1127">
        <f>+Details!J48-Base!J48</f>
        <v>29900</v>
      </c>
      <c r="BD48" s="1127">
        <f>+Details!K48-Base!K48</f>
        <v>30500</v>
      </c>
      <c r="BE48" s="1127">
        <f>+Details!L48-Base!L48</f>
        <v>31100</v>
      </c>
      <c r="BF48" s="1127">
        <f>+Details!M48-Base!M48</f>
        <v>31700</v>
      </c>
      <c r="BG48" s="1127">
        <f>+Details!N48-Base!N48</f>
        <v>26500</v>
      </c>
      <c r="BH48" s="1127">
        <f>+Details!O48-Base!O48</f>
        <v>27000</v>
      </c>
      <c r="BI48" s="1127">
        <f>+Details!P48-Base!P48</f>
        <v>27500</v>
      </c>
      <c r="BJ48" s="1127">
        <f>+Details!Q48-Base!Q48</f>
        <v>28100</v>
      </c>
      <c r="BK48" s="1127">
        <f>+Details!R48-Base!R48</f>
        <v>28700</v>
      </c>
      <c r="BL48" s="1127">
        <f>+Details!S48-Base!S48</f>
        <v>29300</v>
      </c>
      <c r="BM48" s="1127">
        <f>+Details!T48-Base!T48</f>
        <v>29900</v>
      </c>
      <c r="BN48" s="1127">
        <f>+Details!U48-Base!U48</f>
        <v>30500</v>
      </c>
      <c r="BO48" s="1127">
        <f>+Details!V48-Base!V48</f>
        <v>24000</v>
      </c>
      <c r="BP48" s="1127">
        <f>+Details!W48-Base!W48</f>
        <v>24500</v>
      </c>
      <c r="BQ48" s="1127">
        <f>+Details!X48-Base!X48</f>
        <v>25000</v>
      </c>
      <c r="BR48" s="1127">
        <f>+Details!Y48-Base!Y48</f>
        <v>25500</v>
      </c>
      <c r="BS48" s="1127">
        <f>+Details!Z48-Base!Z48</f>
        <v>26000</v>
      </c>
      <c r="BT48" s="1127">
        <f>+Details!AA48-Base!AA48</f>
        <v>26500</v>
      </c>
      <c r="BU48" s="1127">
        <f>+Details!AB48-Base!AB48</f>
        <v>27000</v>
      </c>
      <c r="BV48" s="1127">
        <f>+Details!AC48-Base!AC48</f>
        <v>27500</v>
      </c>
      <c r="BW48" s="1127">
        <f>+Details!AD48-Base!AD48</f>
        <v>28100</v>
      </c>
      <c r="BX48" s="1127">
        <f>+Details!AE48-Base!AE48</f>
        <v>28700</v>
      </c>
      <c r="BY48" s="1127">
        <f>+Details!AF48-Base!AF48</f>
        <v>29300</v>
      </c>
      <c r="BZ48" s="1127">
        <f>+Details!AG48-Base!AG48</f>
        <v>29900</v>
      </c>
      <c r="CA48" s="1127">
        <f>+Details!AH48-Base!AH48</f>
        <v>30500</v>
      </c>
      <c r="CB48" s="1127">
        <f>+Details!AI48-Base!AI48</f>
        <v>31100</v>
      </c>
      <c r="CC48" s="1127">
        <f>+Details!AJ48-Base!AJ48</f>
        <v>0</v>
      </c>
      <c r="CD48" s="1127">
        <f>+Details!AK48-Base!AK48</f>
        <v>0</v>
      </c>
      <c r="CE48" s="1127">
        <f>+Details!AL48-Base!AL48</f>
        <v>0</v>
      </c>
      <c r="CF48" s="1127">
        <f>+Details!AM48-Base!AM48</f>
        <v>0</v>
      </c>
      <c r="CG48" s="1127">
        <f>+Details!AN48-Base!AN48</f>
        <v>0</v>
      </c>
      <c r="CH48" s="1127">
        <f>+Details!AO48-Base!AO48</f>
        <v>0</v>
      </c>
      <c r="CI48" s="1127">
        <f>+Details!AP48-Base!AP48</f>
        <v>0</v>
      </c>
      <c r="CJ48" s="1127">
        <f>+Details!AQ48-Base!AQ48</f>
        <v>0</v>
      </c>
      <c r="CK48" s="1127">
        <f>+Details!AR48-Base!AR48</f>
        <v>0</v>
      </c>
      <c r="CL48" s="1127">
        <f>+Details!AS48-Base!AS48</f>
        <v>0</v>
      </c>
      <c r="CM48" s="81"/>
    </row>
    <row r="49" spans="1:91" s="22" customFormat="1" ht="15" customHeight="1">
      <c r="A49" s="1429"/>
      <c r="B49" s="1766" t="s">
        <v>2240</v>
      </c>
      <c r="C49" s="380"/>
      <c r="D49" s="664"/>
      <c r="E49" s="29">
        <f t="shared" si="30"/>
        <v>1065900</v>
      </c>
      <c r="F49" s="554">
        <f>+F43</f>
        <v>0</v>
      </c>
      <c r="G49" s="1124">
        <f>+G43</f>
        <v>0</v>
      </c>
      <c r="H49" s="1124">
        <f t="shared" ref="H49:AS49" si="49">+H43</f>
        <v>0</v>
      </c>
      <c r="I49" s="1124">
        <f t="shared" si="49"/>
        <v>0</v>
      </c>
      <c r="J49" s="1124">
        <f t="shared" si="49"/>
        <v>0</v>
      </c>
      <c r="K49" s="1124">
        <f t="shared" si="49"/>
        <v>0</v>
      </c>
      <c r="L49" s="1124">
        <f t="shared" si="49"/>
        <v>0</v>
      </c>
      <c r="M49" s="1124">
        <f t="shared" si="49"/>
        <v>0</v>
      </c>
      <c r="N49" s="1124">
        <f t="shared" si="49"/>
        <v>46400</v>
      </c>
      <c r="O49" s="1124">
        <f t="shared" si="49"/>
        <v>47300</v>
      </c>
      <c r="P49" s="1124">
        <f t="shared" si="49"/>
        <v>48200</v>
      </c>
      <c r="Q49" s="1124">
        <f t="shared" si="49"/>
        <v>49200</v>
      </c>
      <c r="R49" s="1124">
        <f t="shared" si="49"/>
        <v>50200</v>
      </c>
      <c r="S49" s="1124">
        <f t="shared" si="49"/>
        <v>51200</v>
      </c>
      <c r="T49" s="1124">
        <f t="shared" si="49"/>
        <v>52200</v>
      </c>
      <c r="U49" s="1124">
        <f t="shared" si="49"/>
        <v>53200</v>
      </c>
      <c r="V49" s="1124">
        <f t="shared" si="49"/>
        <v>41800</v>
      </c>
      <c r="W49" s="1124">
        <f t="shared" si="49"/>
        <v>42600</v>
      </c>
      <c r="X49" s="1124">
        <f t="shared" si="49"/>
        <v>43500</v>
      </c>
      <c r="Y49" s="1124">
        <f t="shared" si="49"/>
        <v>44400</v>
      </c>
      <c r="Z49" s="1124">
        <f t="shared" si="49"/>
        <v>45300</v>
      </c>
      <c r="AA49" s="1124">
        <f t="shared" si="49"/>
        <v>46200</v>
      </c>
      <c r="AB49" s="1124">
        <f t="shared" si="49"/>
        <v>47100</v>
      </c>
      <c r="AC49" s="1124">
        <f t="shared" si="49"/>
        <v>48000</v>
      </c>
      <c r="AD49" s="1124">
        <f t="shared" si="49"/>
        <v>49000</v>
      </c>
      <c r="AE49" s="1124">
        <f t="shared" si="49"/>
        <v>50000</v>
      </c>
      <c r="AF49" s="1124">
        <f t="shared" si="49"/>
        <v>51000</v>
      </c>
      <c r="AG49" s="1124">
        <f t="shared" si="49"/>
        <v>52000</v>
      </c>
      <c r="AH49" s="1124">
        <f t="shared" si="49"/>
        <v>53000</v>
      </c>
      <c r="AI49" s="1124">
        <f t="shared" si="49"/>
        <v>54100</v>
      </c>
      <c r="AJ49" s="1124">
        <f t="shared" si="49"/>
        <v>0</v>
      </c>
      <c r="AK49" s="1124">
        <f t="shared" si="49"/>
        <v>0</v>
      </c>
      <c r="AL49" s="1124">
        <f t="shared" si="49"/>
        <v>0</v>
      </c>
      <c r="AM49" s="1124">
        <f t="shared" si="49"/>
        <v>0</v>
      </c>
      <c r="AN49" s="1124">
        <f t="shared" si="49"/>
        <v>0</v>
      </c>
      <c r="AO49" s="1124">
        <f t="shared" si="49"/>
        <v>0</v>
      </c>
      <c r="AP49" s="1124">
        <f t="shared" si="49"/>
        <v>0</v>
      </c>
      <c r="AQ49" s="1124">
        <f t="shared" si="49"/>
        <v>0</v>
      </c>
      <c r="AR49" s="1124">
        <f t="shared" si="49"/>
        <v>0</v>
      </c>
      <c r="AS49" s="1124">
        <f t="shared" si="49"/>
        <v>0</v>
      </c>
      <c r="AT49" s="722"/>
      <c r="AU49" s="29">
        <f>+Details!E49</f>
        <v>1065900</v>
      </c>
      <c r="AV49" s="78">
        <f t="shared" si="48"/>
        <v>0</v>
      </c>
      <c r="AW49" s="102"/>
      <c r="AY49" s="31">
        <f>+Details!F49-Base!F49</f>
        <v>0</v>
      </c>
      <c r="AZ49" s="1124">
        <f>+Details!G49-Base!G49</f>
        <v>0</v>
      </c>
      <c r="BA49" s="1124">
        <f>+Details!H49-Base!H49</f>
        <v>0</v>
      </c>
      <c r="BB49" s="1124">
        <f>+Details!I49-Base!I49</f>
        <v>0</v>
      </c>
      <c r="BC49" s="1124">
        <f>+Details!J49-Base!J49</f>
        <v>0</v>
      </c>
      <c r="BD49" s="1124">
        <f>+Details!K49-Base!K49</f>
        <v>0</v>
      </c>
      <c r="BE49" s="1124">
        <f>+Details!L49-Base!L49</f>
        <v>0</v>
      </c>
      <c r="BF49" s="1124">
        <f>+Details!M49-Base!M49</f>
        <v>0</v>
      </c>
      <c r="BG49" s="1124">
        <f>+Details!N49-Base!N49</f>
        <v>0</v>
      </c>
      <c r="BH49" s="1124">
        <f>+Details!O49-Base!O49</f>
        <v>0</v>
      </c>
      <c r="BI49" s="1124">
        <f>+Details!P49-Base!P49</f>
        <v>0</v>
      </c>
      <c r="BJ49" s="1124">
        <f>+Details!Q49-Base!Q49</f>
        <v>0</v>
      </c>
      <c r="BK49" s="1124">
        <f>+Details!R49-Base!R49</f>
        <v>0</v>
      </c>
      <c r="BL49" s="1124">
        <f>+Details!S49-Base!S49</f>
        <v>0</v>
      </c>
      <c r="BM49" s="1124">
        <f>+Details!T49-Base!T49</f>
        <v>0</v>
      </c>
      <c r="BN49" s="1124">
        <f>+Details!U49-Base!U49</f>
        <v>0</v>
      </c>
      <c r="BO49" s="1124">
        <f>+Details!V49-Base!V49</f>
        <v>0</v>
      </c>
      <c r="BP49" s="1124">
        <f>+Details!W49-Base!W49</f>
        <v>0</v>
      </c>
      <c r="BQ49" s="1124">
        <f>+Details!X49-Base!X49</f>
        <v>0</v>
      </c>
      <c r="BR49" s="1124">
        <f>+Details!Y49-Base!Y49</f>
        <v>0</v>
      </c>
      <c r="BS49" s="1124">
        <f>+Details!Z49-Base!Z49</f>
        <v>0</v>
      </c>
      <c r="BT49" s="1124">
        <f>+Details!AA49-Base!AA49</f>
        <v>0</v>
      </c>
      <c r="BU49" s="1124">
        <f>+Details!AB49-Base!AB49</f>
        <v>0</v>
      </c>
      <c r="BV49" s="1124">
        <f>+Details!AC49-Base!AC49</f>
        <v>0</v>
      </c>
      <c r="BW49" s="1124">
        <f>+Details!AD49-Base!AD49</f>
        <v>0</v>
      </c>
      <c r="BX49" s="1124">
        <f>+Details!AE49-Base!AE49</f>
        <v>0</v>
      </c>
      <c r="BY49" s="1124">
        <f>+Details!AF49-Base!AF49</f>
        <v>0</v>
      </c>
      <c r="BZ49" s="1124">
        <f>+Details!AG49-Base!AG49</f>
        <v>0</v>
      </c>
      <c r="CA49" s="1124">
        <f>+Details!AH49-Base!AH49</f>
        <v>0</v>
      </c>
      <c r="CB49" s="1124">
        <f>+Details!AI49-Base!AI49</f>
        <v>0</v>
      </c>
      <c r="CC49" s="1124">
        <f>+Details!AJ49-Base!AJ49</f>
        <v>0</v>
      </c>
      <c r="CD49" s="1124">
        <f>+Details!AK49-Base!AK49</f>
        <v>0</v>
      </c>
      <c r="CE49" s="1124">
        <f>+Details!AL49-Base!AL49</f>
        <v>0</v>
      </c>
      <c r="CF49" s="1124">
        <f>+Details!AM49-Base!AM49</f>
        <v>0</v>
      </c>
      <c r="CG49" s="1124">
        <f>+Details!AN49-Base!AN49</f>
        <v>0</v>
      </c>
      <c r="CH49" s="1124">
        <f>+Details!AO49-Base!AO49</f>
        <v>0</v>
      </c>
      <c r="CI49" s="1124">
        <f>+Details!AP49-Base!AP49</f>
        <v>0</v>
      </c>
      <c r="CJ49" s="1124">
        <f>+Details!AQ49-Base!AQ49</f>
        <v>0</v>
      </c>
      <c r="CK49" s="1124">
        <f>+Details!AR49-Base!AR49</f>
        <v>0</v>
      </c>
      <c r="CL49" s="1124">
        <f>+Details!AS49-Base!AS49</f>
        <v>0</v>
      </c>
      <c r="CM49" s="78"/>
    </row>
    <row r="50" spans="1:91" ht="19.95" hidden="1" customHeight="1">
      <c r="A50" s="1427" t="s">
        <v>1578</v>
      </c>
      <c r="B50" s="1764" t="s">
        <v>1692</v>
      </c>
      <c r="C50" s="1314">
        <f>Spouse_SS_Start</f>
        <v>66</v>
      </c>
      <c r="D50" s="1314">
        <f>Spouse_SS_CA</f>
        <v>22100</v>
      </c>
      <c r="E50" s="29">
        <f t="shared" si="30"/>
        <v>451000</v>
      </c>
      <c r="F50" s="914">
        <f>ROUND(IF(Spouse_SS_Start=F$5,Spouse_SS_Calc,0)/Round_To,0)*Round_To</f>
        <v>0</v>
      </c>
      <c r="G50" s="1124">
        <f t="shared" ref="G50:AS50" si="50">ROUND((IF(Spouse_SS_Start=G$5,+Spouse_SS_Calc,0)+IF(AND(OR(G$4&lt;=Spouse_SS_End,Spouse_SS_End=0),Final_Year&gt;=G$7,F50&gt;0),F50*(1+SS_COLA),0))*IF(AND(SS_re_yr=G7,SS_re_pc&gt;0),(1-SS_re_pc),1)/Round_To,0)*Round_To</f>
        <v>0</v>
      </c>
      <c r="H50" s="1124">
        <f t="shared" si="50"/>
        <v>0</v>
      </c>
      <c r="I50" s="1124">
        <f t="shared" si="50"/>
        <v>0</v>
      </c>
      <c r="J50" s="1124">
        <f t="shared" si="50"/>
        <v>0</v>
      </c>
      <c r="K50" s="1124">
        <f t="shared" si="50"/>
        <v>22100</v>
      </c>
      <c r="L50" s="1124">
        <f t="shared" si="50"/>
        <v>22500</v>
      </c>
      <c r="M50" s="1124">
        <f t="shared" si="50"/>
        <v>23000</v>
      </c>
      <c r="N50" s="1124">
        <f t="shared" si="50"/>
        <v>23500</v>
      </c>
      <c r="O50" s="1124">
        <f t="shared" si="50"/>
        <v>24000</v>
      </c>
      <c r="P50" s="1124">
        <f t="shared" si="50"/>
        <v>24500</v>
      </c>
      <c r="Q50" s="1124">
        <f t="shared" si="50"/>
        <v>25000</v>
      </c>
      <c r="R50" s="1124">
        <f t="shared" si="50"/>
        <v>25500</v>
      </c>
      <c r="S50" s="1124">
        <f t="shared" si="50"/>
        <v>26000</v>
      </c>
      <c r="T50" s="1124">
        <f t="shared" si="50"/>
        <v>26500</v>
      </c>
      <c r="U50" s="1124">
        <f t="shared" si="50"/>
        <v>27000</v>
      </c>
      <c r="V50" s="1124">
        <f t="shared" si="50"/>
        <v>21200</v>
      </c>
      <c r="W50" s="1124">
        <f t="shared" si="50"/>
        <v>21600</v>
      </c>
      <c r="X50" s="1124">
        <f t="shared" si="50"/>
        <v>22000</v>
      </c>
      <c r="Y50" s="1124">
        <f t="shared" si="50"/>
        <v>22400</v>
      </c>
      <c r="Z50" s="1124">
        <f t="shared" si="50"/>
        <v>22800</v>
      </c>
      <c r="AA50" s="1124">
        <f t="shared" si="50"/>
        <v>23300</v>
      </c>
      <c r="AB50" s="1124">
        <f t="shared" si="50"/>
        <v>23800</v>
      </c>
      <c r="AC50" s="1124">
        <f t="shared" si="50"/>
        <v>24300</v>
      </c>
      <c r="AD50" s="1124">
        <f t="shared" si="50"/>
        <v>0</v>
      </c>
      <c r="AE50" s="1124">
        <f t="shared" si="50"/>
        <v>0</v>
      </c>
      <c r="AF50" s="1124">
        <f t="shared" si="50"/>
        <v>0</v>
      </c>
      <c r="AG50" s="1124">
        <f t="shared" si="50"/>
        <v>0</v>
      </c>
      <c r="AH50" s="1124">
        <f t="shared" si="50"/>
        <v>0</v>
      </c>
      <c r="AI50" s="1124">
        <f t="shared" si="50"/>
        <v>0</v>
      </c>
      <c r="AJ50" s="1124">
        <f t="shared" si="50"/>
        <v>0</v>
      </c>
      <c r="AK50" s="1124">
        <f t="shared" si="50"/>
        <v>0</v>
      </c>
      <c r="AL50" s="1124">
        <f t="shared" si="50"/>
        <v>0</v>
      </c>
      <c r="AM50" s="1124">
        <f t="shared" si="50"/>
        <v>0</v>
      </c>
      <c r="AN50" s="1124">
        <f t="shared" si="50"/>
        <v>0</v>
      </c>
      <c r="AO50" s="1124">
        <f t="shared" si="50"/>
        <v>0</v>
      </c>
      <c r="AP50" s="1124">
        <f t="shared" si="50"/>
        <v>0</v>
      </c>
      <c r="AQ50" s="1124">
        <f t="shared" si="50"/>
        <v>0</v>
      </c>
      <c r="AR50" s="1124">
        <f t="shared" si="50"/>
        <v>0</v>
      </c>
      <c r="AS50" s="1124">
        <f t="shared" si="50"/>
        <v>0</v>
      </c>
      <c r="AT50" s="3"/>
      <c r="AU50" s="29">
        <f>+Details!E50</f>
        <v>451000</v>
      </c>
      <c r="AV50" s="81">
        <f t="shared" si="48"/>
        <v>0</v>
      </c>
      <c r="AW50" s="102"/>
      <c r="AY50" s="31">
        <f>+Details!F50-Base!F50</f>
        <v>0</v>
      </c>
      <c r="AZ50" s="1124">
        <f>+Details!G50-Base!G50</f>
        <v>0</v>
      </c>
      <c r="BA50" s="1124">
        <f>+Details!H50-Base!H50</f>
        <v>0</v>
      </c>
      <c r="BB50" s="1124">
        <f>+Details!I50-Base!I50</f>
        <v>0</v>
      </c>
      <c r="BC50" s="1124">
        <f>+Details!J50-Base!J50</f>
        <v>0</v>
      </c>
      <c r="BD50" s="1124">
        <f>+Details!K50-Base!K50</f>
        <v>0</v>
      </c>
      <c r="BE50" s="1124">
        <f>+Details!L50-Base!L50</f>
        <v>0</v>
      </c>
      <c r="BF50" s="1124">
        <f>+Details!M50-Base!M50</f>
        <v>0</v>
      </c>
      <c r="BG50" s="1124">
        <f>+Details!N50-Base!N50</f>
        <v>0</v>
      </c>
      <c r="BH50" s="1124">
        <f>+Details!O50-Base!O50</f>
        <v>0</v>
      </c>
      <c r="BI50" s="1124">
        <f>+Details!P50-Base!P50</f>
        <v>0</v>
      </c>
      <c r="BJ50" s="1124">
        <f>+Details!Q50-Base!Q50</f>
        <v>0</v>
      </c>
      <c r="BK50" s="1124">
        <f>+Details!R50-Base!R50</f>
        <v>0</v>
      </c>
      <c r="BL50" s="1124">
        <f>+Details!S50-Base!S50</f>
        <v>0</v>
      </c>
      <c r="BM50" s="1124">
        <f>+Details!T50-Base!T50</f>
        <v>0</v>
      </c>
      <c r="BN50" s="1124">
        <f>+Details!U50-Base!U50</f>
        <v>0</v>
      </c>
      <c r="BO50" s="1124">
        <f>+Details!V50-Base!V50</f>
        <v>0</v>
      </c>
      <c r="BP50" s="1124">
        <f>+Details!W50-Base!W50</f>
        <v>0</v>
      </c>
      <c r="BQ50" s="1124">
        <f>+Details!X50-Base!X50</f>
        <v>0</v>
      </c>
      <c r="BR50" s="1124">
        <f>+Details!Y50-Base!Y50</f>
        <v>0</v>
      </c>
      <c r="BS50" s="1124">
        <f>+Details!Z50-Base!Z50</f>
        <v>0</v>
      </c>
      <c r="BT50" s="1124">
        <f>+Details!AA50-Base!AA50</f>
        <v>0</v>
      </c>
      <c r="BU50" s="1124">
        <f>+Details!AB50-Base!AB50</f>
        <v>0</v>
      </c>
      <c r="BV50" s="1124">
        <f>+Details!AC50-Base!AC50</f>
        <v>0</v>
      </c>
      <c r="BW50" s="1124">
        <f>+Details!AD50-Base!AD50</f>
        <v>0</v>
      </c>
      <c r="BX50" s="1124">
        <f>+Details!AE50-Base!AE50</f>
        <v>0</v>
      </c>
      <c r="BY50" s="1124">
        <f>+Details!AF50-Base!AF50</f>
        <v>0</v>
      </c>
      <c r="BZ50" s="1124">
        <f>+Details!AG50-Base!AG50</f>
        <v>0</v>
      </c>
      <c r="CA50" s="1124">
        <f>+Details!AH50-Base!AH50</f>
        <v>0</v>
      </c>
      <c r="CB50" s="1124">
        <f>+Details!AI50-Base!AI50</f>
        <v>0</v>
      </c>
      <c r="CC50" s="1124">
        <f>+Details!AJ50-Base!AJ50</f>
        <v>0</v>
      </c>
      <c r="CD50" s="1124">
        <f>+Details!AK50-Base!AK50</f>
        <v>0</v>
      </c>
      <c r="CE50" s="1124">
        <f>+Details!AL50-Base!AL50</f>
        <v>0</v>
      </c>
      <c r="CF50" s="1124">
        <f>+Details!AM50-Base!AM50</f>
        <v>0</v>
      </c>
      <c r="CG50" s="1124">
        <f>+Details!AN50-Base!AN50</f>
        <v>0</v>
      </c>
      <c r="CH50" s="1124">
        <f>+Details!AO50-Base!AO50</f>
        <v>0</v>
      </c>
      <c r="CI50" s="1124">
        <f>+Details!AP50-Base!AP50</f>
        <v>0</v>
      </c>
      <c r="CJ50" s="1124">
        <f>+Details!AQ50-Base!AQ50</f>
        <v>0</v>
      </c>
      <c r="CK50" s="1124">
        <f>+Details!AR50-Base!AR50</f>
        <v>0</v>
      </c>
      <c r="CL50" s="1124">
        <f>+Details!AS50-Base!AS50</f>
        <v>0</v>
      </c>
      <c r="CM50" s="81"/>
    </row>
    <row r="51" spans="1:91" ht="15" hidden="1" customHeight="1">
      <c r="A51" s="1427" t="s">
        <v>1578</v>
      </c>
      <c r="B51" s="1764" t="s">
        <v>843</v>
      </c>
      <c r="C51" s="1314" t="str">
        <f>Spouse_SB</f>
        <v>self - 2024</v>
      </c>
      <c r="D51" s="558"/>
      <c r="E51" s="102">
        <f t="shared" si="30"/>
        <v>337600</v>
      </c>
      <c r="F51" s="914">
        <f>ROUND(IF(Spouse_SS_Start=F$5,+Spouse_Spousal,0)/Round_To,0)*Round_To</f>
        <v>0</v>
      </c>
      <c r="G51" s="1124">
        <f t="shared" ref="G51:AS51" si="51">ROUND((IF(Spouse_SS_Start=G$5,+Spouse_Spousal,0)+IF(AND(OR(G$4&lt;=Spouse_SS_End,Spouse_SS_End=0),Final_Year&gt;=G$7),F51*(1+SS_COLA),0))*IF(AND(SS_re_yr=G7,SS_re_pc&gt;0),(1-SS_re_pc),1)/Round_To,0)*Round_To</f>
        <v>0</v>
      </c>
      <c r="H51" s="1124">
        <f t="shared" si="51"/>
        <v>0</v>
      </c>
      <c r="I51" s="1124">
        <f t="shared" si="51"/>
        <v>0</v>
      </c>
      <c r="J51" s="1124">
        <f t="shared" si="51"/>
        <v>0</v>
      </c>
      <c r="K51" s="1124">
        <f t="shared" si="51"/>
        <v>16600</v>
      </c>
      <c r="L51" s="1124">
        <f t="shared" si="51"/>
        <v>16900</v>
      </c>
      <c r="M51" s="1124">
        <f t="shared" si="51"/>
        <v>17200</v>
      </c>
      <c r="N51" s="1124">
        <f t="shared" si="51"/>
        <v>17500</v>
      </c>
      <c r="O51" s="1124">
        <f t="shared" si="51"/>
        <v>17900</v>
      </c>
      <c r="P51" s="1124">
        <f t="shared" si="51"/>
        <v>18300</v>
      </c>
      <c r="Q51" s="1124">
        <f t="shared" si="51"/>
        <v>18700</v>
      </c>
      <c r="R51" s="1124">
        <f t="shared" si="51"/>
        <v>19100</v>
      </c>
      <c r="S51" s="1124">
        <f t="shared" si="51"/>
        <v>19500</v>
      </c>
      <c r="T51" s="1124">
        <f t="shared" si="51"/>
        <v>19900</v>
      </c>
      <c r="U51" s="1124">
        <f t="shared" si="51"/>
        <v>20300</v>
      </c>
      <c r="V51" s="1124">
        <f t="shared" si="51"/>
        <v>15900</v>
      </c>
      <c r="W51" s="1124">
        <f t="shared" si="51"/>
        <v>16200</v>
      </c>
      <c r="X51" s="1124">
        <f t="shared" si="51"/>
        <v>16500</v>
      </c>
      <c r="Y51" s="1124">
        <f t="shared" si="51"/>
        <v>16800</v>
      </c>
      <c r="Z51" s="1124">
        <f t="shared" si="51"/>
        <v>17100</v>
      </c>
      <c r="AA51" s="1124">
        <f t="shared" si="51"/>
        <v>17400</v>
      </c>
      <c r="AB51" s="1124">
        <f t="shared" si="51"/>
        <v>17700</v>
      </c>
      <c r="AC51" s="1124">
        <f t="shared" si="51"/>
        <v>18100</v>
      </c>
      <c r="AD51" s="1124">
        <f t="shared" si="51"/>
        <v>0</v>
      </c>
      <c r="AE51" s="1124">
        <f t="shared" si="51"/>
        <v>0</v>
      </c>
      <c r="AF51" s="1124">
        <f t="shared" si="51"/>
        <v>0</v>
      </c>
      <c r="AG51" s="1124">
        <f t="shared" si="51"/>
        <v>0</v>
      </c>
      <c r="AH51" s="1124">
        <f t="shared" si="51"/>
        <v>0</v>
      </c>
      <c r="AI51" s="1124">
        <f t="shared" si="51"/>
        <v>0</v>
      </c>
      <c r="AJ51" s="1124">
        <f t="shared" si="51"/>
        <v>0</v>
      </c>
      <c r="AK51" s="1124">
        <f t="shared" si="51"/>
        <v>0</v>
      </c>
      <c r="AL51" s="1124">
        <f t="shared" si="51"/>
        <v>0</v>
      </c>
      <c r="AM51" s="1124">
        <f t="shared" si="51"/>
        <v>0</v>
      </c>
      <c r="AN51" s="1124">
        <f t="shared" si="51"/>
        <v>0</v>
      </c>
      <c r="AO51" s="1124">
        <f t="shared" si="51"/>
        <v>0</v>
      </c>
      <c r="AP51" s="1124">
        <f t="shared" si="51"/>
        <v>0</v>
      </c>
      <c r="AQ51" s="1124">
        <f t="shared" si="51"/>
        <v>0</v>
      </c>
      <c r="AR51" s="1124">
        <f t="shared" si="51"/>
        <v>0</v>
      </c>
      <c r="AS51" s="1124">
        <f t="shared" si="51"/>
        <v>0</v>
      </c>
      <c r="AT51" s="89"/>
      <c r="AU51" s="102">
        <f>+Details!E51</f>
        <v>337600</v>
      </c>
      <c r="AV51" s="81">
        <f t="shared" si="48"/>
        <v>0</v>
      </c>
      <c r="AW51" s="102"/>
      <c r="AY51" s="31">
        <f>+Details!F51-Base!F51</f>
        <v>0</v>
      </c>
      <c r="AZ51" s="1124">
        <f>+Details!G51-Base!G51</f>
        <v>0</v>
      </c>
      <c r="BA51" s="1124">
        <f>+Details!H51-Base!H51</f>
        <v>0</v>
      </c>
      <c r="BB51" s="1124">
        <f>+Details!I51-Base!I51</f>
        <v>0</v>
      </c>
      <c r="BC51" s="1124">
        <f>+Details!J51-Base!J51</f>
        <v>0</v>
      </c>
      <c r="BD51" s="1124">
        <f>+Details!K51-Base!K51</f>
        <v>0</v>
      </c>
      <c r="BE51" s="1124">
        <f>+Details!L51-Base!L51</f>
        <v>0</v>
      </c>
      <c r="BF51" s="1124">
        <f>+Details!M51-Base!M51</f>
        <v>0</v>
      </c>
      <c r="BG51" s="1124">
        <f>+Details!N51-Base!N51</f>
        <v>0</v>
      </c>
      <c r="BH51" s="1124">
        <f>+Details!O51-Base!O51</f>
        <v>0</v>
      </c>
      <c r="BI51" s="1124">
        <f>+Details!P51-Base!P51</f>
        <v>0</v>
      </c>
      <c r="BJ51" s="1124">
        <f>+Details!Q51-Base!Q51</f>
        <v>0</v>
      </c>
      <c r="BK51" s="1124">
        <f>+Details!R51-Base!R51</f>
        <v>0</v>
      </c>
      <c r="BL51" s="1124">
        <f>+Details!S51-Base!S51</f>
        <v>0</v>
      </c>
      <c r="BM51" s="1124">
        <f>+Details!T51-Base!T51</f>
        <v>0</v>
      </c>
      <c r="BN51" s="1124">
        <f>+Details!U51-Base!U51</f>
        <v>0</v>
      </c>
      <c r="BO51" s="1124">
        <f>+Details!V51-Base!V51</f>
        <v>0</v>
      </c>
      <c r="BP51" s="1124">
        <f>+Details!W51-Base!W51</f>
        <v>0</v>
      </c>
      <c r="BQ51" s="1124">
        <f>+Details!X51-Base!X51</f>
        <v>0</v>
      </c>
      <c r="BR51" s="1124">
        <f>+Details!Y51-Base!Y51</f>
        <v>0</v>
      </c>
      <c r="BS51" s="1124">
        <f>+Details!Z51-Base!Z51</f>
        <v>0</v>
      </c>
      <c r="BT51" s="1124">
        <f>+Details!AA51-Base!AA51</f>
        <v>0</v>
      </c>
      <c r="BU51" s="1124">
        <f>+Details!AB51-Base!AB51</f>
        <v>0</v>
      </c>
      <c r="BV51" s="1124">
        <f>+Details!AC51-Base!AC51</f>
        <v>0</v>
      </c>
      <c r="BW51" s="1124">
        <f>+Details!AD51-Base!AD51</f>
        <v>0</v>
      </c>
      <c r="BX51" s="1124">
        <f>+Details!AE51-Base!AE51</f>
        <v>0</v>
      </c>
      <c r="BY51" s="1124">
        <f>+Details!AF51-Base!AF51</f>
        <v>0</v>
      </c>
      <c r="BZ51" s="1124">
        <f>+Details!AG51-Base!AG51</f>
        <v>0</v>
      </c>
      <c r="CA51" s="1124">
        <f>+Details!AH51-Base!AH51</f>
        <v>0</v>
      </c>
      <c r="CB51" s="1124">
        <f>+Details!AI51-Base!AI51</f>
        <v>0</v>
      </c>
      <c r="CC51" s="1124">
        <f>+Details!AJ51-Base!AJ51</f>
        <v>0</v>
      </c>
      <c r="CD51" s="1124">
        <f>+Details!AK51-Base!AK51</f>
        <v>0</v>
      </c>
      <c r="CE51" s="1124">
        <f>+Details!AL51-Base!AL51</f>
        <v>0</v>
      </c>
      <c r="CF51" s="1124">
        <f>+Details!AM51-Base!AM51</f>
        <v>0</v>
      </c>
      <c r="CG51" s="1124">
        <f>+Details!AN51-Base!AN51</f>
        <v>0</v>
      </c>
      <c r="CH51" s="1124">
        <f>+Details!AO51-Base!AO51</f>
        <v>0</v>
      </c>
      <c r="CI51" s="1124">
        <f>+Details!AP51-Base!AP51</f>
        <v>0</v>
      </c>
      <c r="CJ51" s="1124">
        <f>+Details!AQ51-Base!AQ51</f>
        <v>0</v>
      </c>
      <c r="CK51" s="1124">
        <f>+Details!AR51-Base!AR51</f>
        <v>0</v>
      </c>
      <c r="CL51" s="1124">
        <f>+Details!AS51-Base!AS51</f>
        <v>0</v>
      </c>
      <c r="CM51" s="81"/>
    </row>
    <row r="52" spans="1:91" ht="15" hidden="1" customHeight="1">
      <c r="A52" s="1427" t="s">
        <v>1578</v>
      </c>
      <c r="B52" s="1768" t="s">
        <v>459</v>
      </c>
      <c r="C52" s="380"/>
      <c r="D52" s="678"/>
      <c r="E52" s="29">
        <f t="shared" si="30"/>
        <v>451000</v>
      </c>
      <c r="F52" s="554">
        <f t="shared" ref="F52:AS52" si="52">IF(AND(Auto_Spousal="y",Spouse_SB&lt;&gt;"self"),IF(F51&gt;F50,F51,F50),F50)*IF(F$5&lt;Spouse_SS_Start,0,1)</f>
        <v>0</v>
      </c>
      <c r="G52" s="1124">
        <f t="shared" si="52"/>
        <v>0</v>
      </c>
      <c r="H52" s="1124">
        <f t="shared" si="52"/>
        <v>0</v>
      </c>
      <c r="I52" s="1124">
        <f t="shared" si="52"/>
        <v>0</v>
      </c>
      <c r="J52" s="1124">
        <f t="shared" si="52"/>
        <v>0</v>
      </c>
      <c r="K52" s="1124">
        <f t="shared" si="52"/>
        <v>22100</v>
      </c>
      <c r="L52" s="1124">
        <f t="shared" si="52"/>
        <v>22500</v>
      </c>
      <c r="M52" s="1124">
        <f t="shared" si="52"/>
        <v>23000</v>
      </c>
      <c r="N52" s="1124">
        <f t="shared" si="52"/>
        <v>23500</v>
      </c>
      <c r="O52" s="1124">
        <f t="shared" si="52"/>
        <v>24000</v>
      </c>
      <c r="P52" s="1124">
        <f t="shared" si="52"/>
        <v>24500</v>
      </c>
      <c r="Q52" s="1124">
        <f t="shared" si="52"/>
        <v>25000</v>
      </c>
      <c r="R52" s="1124">
        <f t="shared" si="52"/>
        <v>25500</v>
      </c>
      <c r="S52" s="1124">
        <f t="shared" si="52"/>
        <v>26000</v>
      </c>
      <c r="T52" s="1124">
        <f t="shared" si="52"/>
        <v>26500</v>
      </c>
      <c r="U52" s="1124">
        <f t="shared" si="52"/>
        <v>27000</v>
      </c>
      <c r="V52" s="1124">
        <f t="shared" si="52"/>
        <v>21200</v>
      </c>
      <c r="W52" s="1124">
        <f t="shared" si="52"/>
        <v>21600</v>
      </c>
      <c r="X52" s="1124">
        <f t="shared" si="52"/>
        <v>22000</v>
      </c>
      <c r="Y52" s="1124">
        <f t="shared" si="52"/>
        <v>22400</v>
      </c>
      <c r="Z52" s="1124">
        <f t="shared" si="52"/>
        <v>22800</v>
      </c>
      <c r="AA52" s="1124">
        <f t="shared" si="52"/>
        <v>23300</v>
      </c>
      <c r="AB52" s="1124">
        <f t="shared" si="52"/>
        <v>23800</v>
      </c>
      <c r="AC52" s="1124">
        <f t="shared" si="52"/>
        <v>24300</v>
      </c>
      <c r="AD52" s="1124">
        <f t="shared" si="52"/>
        <v>0</v>
      </c>
      <c r="AE52" s="1124">
        <f t="shared" si="52"/>
        <v>0</v>
      </c>
      <c r="AF52" s="1124">
        <f t="shared" si="52"/>
        <v>0</v>
      </c>
      <c r="AG52" s="1124">
        <f t="shared" si="52"/>
        <v>0</v>
      </c>
      <c r="AH52" s="1124">
        <f t="shared" si="52"/>
        <v>0</v>
      </c>
      <c r="AI52" s="1124">
        <f t="shared" si="52"/>
        <v>0</v>
      </c>
      <c r="AJ52" s="1124">
        <f t="shared" si="52"/>
        <v>0</v>
      </c>
      <c r="AK52" s="1124">
        <f t="shared" si="52"/>
        <v>0</v>
      </c>
      <c r="AL52" s="1124">
        <f t="shared" si="52"/>
        <v>0</v>
      </c>
      <c r="AM52" s="1124">
        <f t="shared" si="52"/>
        <v>0</v>
      </c>
      <c r="AN52" s="1124">
        <f t="shared" si="52"/>
        <v>0</v>
      </c>
      <c r="AO52" s="1124">
        <f t="shared" si="52"/>
        <v>0</v>
      </c>
      <c r="AP52" s="1124">
        <f t="shared" si="52"/>
        <v>0</v>
      </c>
      <c r="AQ52" s="1124">
        <f t="shared" si="52"/>
        <v>0</v>
      </c>
      <c r="AR52" s="1124">
        <f t="shared" si="52"/>
        <v>0</v>
      </c>
      <c r="AS52" s="1124">
        <f t="shared" si="52"/>
        <v>0</v>
      </c>
      <c r="AT52" s="3"/>
      <c r="AU52" s="29">
        <f>+Details!E52</f>
        <v>451000</v>
      </c>
      <c r="AV52" s="81">
        <f t="shared" si="48"/>
        <v>0</v>
      </c>
      <c r="AW52" s="102"/>
      <c r="AY52" s="31">
        <f>+Details!F52-Base!F52</f>
        <v>0</v>
      </c>
      <c r="AZ52" s="1124">
        <f>+Details!G52-Base!G52</f>
        <v>0</v>
      </c>
      <c r="BA52" s="1124">
        <f>+Details!H52-Base!H52</f>
        <v>0</v>
      </c>
      <c r="BB52" s="1124">
        <f>+Details!I52-Base!I52</f>
        <v>0</v>
      </c>
      <c r="BC52" s="1124">
        <f>+Details!J52-Base!J52</f>
        <v>0</v>
      </c>
      <c r="BD52" s="1124">
        <f>+Details!K52-Base!K52</f>
        <v>0</v>
      </c>
      <c r="BE52" s="1124">
        <f>+Details!L52-Base!L52</f>
        <v>0</v>
      </c>
      <c r="BF52" s="1124">
        <f>+Details!M52-Base!M52</f>
        <v>0</v>
      </c>
      <c r="BG52" s="1124">
        <f>+Details!N52-Base!N52</f>
        <v>0</v>
      </c>
      <c r="BH52" s="1124">
        <f>+Details!O52-Base!O52</f>
        <v>0</v>
      </c>
      <c r="BI52" s="1124">
        <f>+Details!P52-Base!P52</f>
        <v>0</v>
      </c>
      <c r="BJ52" s="1124">
        <f>+Details!Q52-Base!Q52</f>
        <v>0</v>
      </c>
      <c r="BK52" s="1124">
        <f>+Details!R52-Base!R52</f>
        <v>0</v>
      </c>
      <c r="BL52" s="1124">
        <f>+Details!S52-Base!S52</f>
        <v>0</v>
      </c>
      <c r="BM52" s="1124">
        <f>+Details!T52-Base!T52</f>
        <v>0</v>
      </c>
      <c r="BN52" s="1124">
        <f>+Details!U52-Base!U52</f>
        <v>0</v>
      </c>
      <c r="BO52" s="1124">
        <f>+Details!V52-Base!V52</f>
        <v>0</v>
      </c>
      <c r="BP52" s="1124">
        <f>+Details!W52-Base!W52</f>
        <v>0</v>
      </c>
      <c r="BQ52" s="1124">
        <f>+Details!X52-Base!X52</f>
        <v>0</v>
      </c>
      <c r="BR52" s="1124">
        <f>+Details!Y52-Base!Y52</f>
        <v>0</v>
      </c>
      <c r="BS52" s="1124">
        <f>+Details!Z52-Base!Z52</f>
        <v>0</v>
      </c>
      <c r="BT52" s="1124">
        <f>+Details!AA52-Base!AA52</f>
        <v>0</v>
      </c>
      <c r="BU52" s="1124">
        <f>+Details!AB52-Base!AB52</f>
        <v>0</v>
      </c>
      <c r="BV52" s="1124">
        <f>+Details!AC52-Base!AC52</f>
        <v>0</v>
      </c>
      <c r="BW52" s="1124">
        <f>+Details!AD52-Base!AD52</f>
        <v>0</v>
      </c>
      <c r="BX52" s="1124">
        <f>+Details!AE52-Base!AE52</f>
        <v>0</v>
      </c>
      <c r="BY52" s="1124">
        <f>+Details!AF52-Base!AF52</f>
        <v>0</v>
      </c>
      <c r="BZ52" s="1124">
        <f>+Details!AG52-Base!AG52</f>
        <v>0</v>
      </c>
      <c r="CA52" s="1124">
        <f>+Details!AH52-Base!AH52</f>
        <v>0</v>
      </c>
      <c r="CB52" s="1124">
        <f>+Details!AI52-Base!AI52</f>
        <v>0</v>
      </c>
      <c r="CC52" s="1124">
        <f>+Details!AJ52-Base!AJ52</f>
        <v>0</v>
      </c>
      <c r="CD52" s="1124">
        <f>+Details!AK52-Base!AK52</f>
        <v>0</v>
      </c>
      <c r="CE52" s="1124">
        <f>+Details!AL52-Base!AL52</f>
        <v>0</v>
      </c>
      <c r="CF52" s="1124">
        <f>+Details!AM52-Base!AM52</f>
        <v>0</v>
      </c>
      <c r="CG52" s="1124">
        <f>+Details!AN52-Base!AN52</f>
        <v>0</v>
      </c>
      <c r="CH52" s="1124">
        <f>+Details!AO52-Base!AO52</f>
        <v>0</v>
      </c>
      <c r="CI52" s="1124">
        <f>+Details!AP52-Base!AP52</f>
        <v>0</v>
      </c>
      <c r="CJ52" s="1124">
        <f>+Details!AQ52-Base!AQ52</f>
        <v>0</v>
      </c>
      <c r="CK52" s="1124">
        <f>+Details!AR52-Base!AR52</f>
        <v>0</v>
      </c>
      <c r="CL52" s="1124">
        <f>+Details!AS52-Base!AS52</f>
        <v>0</v>
      </c>
      <c r="CM52" s="81"/>
    </row>
    <row r="53" spans="1:91" ht="15" hidden="1" customHeight="1">
      <c r="A53" s="1427" t="s">
        <v>1578</v>
      </c>
      <c r="B53" s="1764" t="s">
        <v>1341</v>
      </c>
      <c r="C53" s="380"/>
      <c r="D53" s="677"/>
      <c r="E53" s="29">
        <f t="shared" si="30"/>
        <v>0</v>
      </c>
      <c r="F53" s="914">
        <f>ROUND(IF(SS_Add_Start_Sp=F$5,Spouse_SS_Add,0)/Round_To,0)*Round_To</f>
        <v>0</v>
      </c>
      <c r="G53" s="1124">
        <f t="shared" ref="G53:AS53" si="53">ROUND(IF(SS_Add_Start_Sp=G$5,Spouse_SS_Add,IF(AND(SS_Add_Start_Sp&lt;G$5,SS_Add_End_Sp&gt;=G$5),F53*(1+SS_COLA),0))/Round_To,0)*Round_To</f>
        <v>0</v>
      </c>
      <c r="H53" s="1124">
        <f t="shared" si="53"/>
        <v>0</v>
      </c>
      <c r="I53" s="1124">
        <f t="shared" si="53"/>
        <v>0</v>
      </c>
      <c r="J53" s="1124">
        <f t="shared" si="53"/>
        <v>0</v>
      </c>
      <c r="K53" s="1124">
        <f t="shared" si="53"/>
        <v>0</v>
      </c>
      <c r="L53" s="1124">
        <f t="shared" si="53"/>
        <v>0</v>
      </c>
      <c r="M53" s="1124">
        <f t="shared" si="53"/>
        <v>0</v>
      </c>
      <c r="N53" s="1124">
        <f t="shared" si="53"/>
        <v>0</v>
      </c>
      <c r="O53" s="1124">
        <f t="shared" si="53"/>
        <v>0</v>
      </c>
      <c r="P53" s="1124">
        <f t="shared" si="53"/>
        <v>0</v>
      </c>
      <c r="Q53" s="1124">
        <f t="shared" si="53"/>
        <v>0</v>
      </c>
      <c r="R53" s="1124">
        <f t="shared" si="53"/>
        <v>0</v>
      </c>
      <c r="S53" s="1124">
        <f t="shared" si="53"/>
        <v>0</v>
      </c>
      <c r="T53" s="1124">
        <f t="shared" si="53"/>
        <v>0</v>
      </c>
      <c r="U53" s="1124">
        <f t="shared" si="53"/>
        <v>0</v>
      </c>
      <c r="V53" s="1124">
        <f t="shared" si="53"/>
        <v>0</v>
      </c>
      <c r="W53" s="1124">
        <f t="shared" si="53"/>
        <v>0</v>
      </c>
      <c r="X53" s="1124">
        <f t="shared" si="53"/>
        <v>0</v>
      </c>
      <c r="Y53" s="1124">
        <f t="shared" si="53"/>
        <v>0</v>
      </c>
      <c r="Z53" s="1124">
        <f t="shared" si="53"/>
        <v>0</v>
      </c>
      <c r="AA53" s="1124">
        <f t="shared" si="53"/>
        <v>0</v>
      </c>
      <c r="AB53" s="1124">
        <f t="shared" si="53"/>
        <v>0</v>
      </c>
      <c r="AC53" s="1124">
        <f t="shared" si="53"/>
        <v>0</v>
      </c>
      <c r="AD53" s="1124">
        <f t="shared" si="53"/>
        <v>0</v>
      </c>
      <c r="AE53" s="1124">
        <f t="shared" si="53"/>
        <v>0</v>
      </c>
      <c r="AF53" s="1124">
        <f t="shared" si="53"/>
        <v>0</v>
      </c>
      <c r="AG53" s="1124">
        <f t="shared" si="53"/>
        <v>0</v>
      </c>
      <c r="AH53" s="1124">
        <f t="shared" si="53"/>
        <v>0</v>
      </c>
      <c r="AI53" s="1124">
        <f t="shared" si="53"/>
        <v>0</v>
      </c>
      <c r="AJ53" s="1124">
        <f t="shared" si="53"/>
        <v>0</v>
      </c>
      <c r="AK53" s="1124">
        <f t="shared" si="53"/>
        <v>0</v>
      </c>
      <c r="AL53" s="1124">
        <f t="shared" si="53"/>
        <v>0</v>
      </c>
      <c r="AM53" s="1124">
        <f t="shared" si="53"/>
        <v>0</v>
      </c>
      <c r="AN53" s="1124">
        <f t="shared" si="53"/>
        <v>0</v>
      </c>
      <c r="AO53" s="1124">
        <f t="shared" si="53"/>
        <v>0</v>
      </c>
      <c r="AP53" s="1124">
        <f t="shared" si="53"/>
        <v>0</v>
      </c>
      <c r="AQ53" s="1124">
        <f t="shared" si="53"/>
        <v>0</v>
      </c>
      <c r="AR53" s="1124">
        <f t="shared" si="53"/>
        <v>0</v>
      </c>
      <c r="AS53" s="1124">
        <f t="shared" si="53"/>
        <v>0</v>
      </c>
      <c r="AT53" s="3"/>
      <c r="AU53" s="29">
        <f>+Details!E53</f>
        <v>0</v>
      </c>
      <c r="AV53" s="81">
        <f t="shared" si="48"/>
        <v>0</v>
      </c>
      <c r="AW53" s="102"/>
      <c r="AY53" s="31">
        <f>+Details!F53-Base!F53</f>
        <v>0</v>
      </c>
      <c r="AZ53" s="1124">
        <f>+Details!G53-Base!G53</f>
        <v>0</v>
      </c>
      <c r="BA53" s="1124">
        <f>+Details!H53-Base!H53</f>
        <v>0</v>
      </c>
      <c r="BB53" s="1124">
        <f>+Details!I53-Base!I53</f>
        <v>0</v>
      </c>
      <c r="BC53" s="1124">
        <f>+Details!J53-Base!J53</f>
        <v>0</v>
      </c>
      <c r="BD53" s="1124">
        <f>+Details!K53-Base!K53</f>
        <v>0</v>
      </c>
      <c r="BE53" s="1124">
        <f>+Details!L53-Base!L53</f>
        <v>0</v>
      </c>
      <c r="BF53" s="1124">
        <f>+Details!M53-Base!M53</f>
        <v>0</v>
      </c>
      <c r="BG53" s="1124">
        <f>+Details!N53-Base!N53</f>
        <v>0</v>
      </c>
      <c r="BH53" s="1124">
        <f>+Details!O53-Base!O53</f>
        <v>0</v>
      </c>
      <c r="BI53" s="1124">
        <f>+Details!P53-Base!P53</f>
        <v>0</v>
      </c>
      <c r="BJ53" s="1124">
        <f>+Details!Q53-Base!Q53</f>
        <v>0</v>
      </c>
      <c r="BK53" s="1124">
        <f>+Details!R53-Base!R53</f>
        <v>0</v>
      </c>
      <c r="BL53" s="1124">
        <f>+Details!S53-Base!S53</f>
        <v>0</v>
      </c>
      <c r="BM53" s="1124">
        <f>+Details!T53-Base!T53</f>
        <v>0</v>
      </c>
      <c r="BN53" s="1124">
        <f>+Details!U53-Base!U53</f>
        <v>0</v>
      </c>
      <c r="BO53" s="1124">
        <f>+Details!V53-Base!V53</f>
        <v>0</v>
      </c>
      <c r="BP53" s="1124">
        <f>+Details!W53-Base!W53</f>
        <v>0</v>
      </c>
      <c r="BQ53" s="1124">
        <f>+Details!X53-Base!X53</f>
        <v>0</v>
      </c>
      <c r="BR53" s="1124">
        <f>+Details!Y53-Base!Y53</f>
        <v>0</v>
      </c>
      <c r="BS53" s="1124">
        <f>+Details!Z53-Base!Z53</f>
        <v>0</v>
      </c>
      <c r="BT53" s="1124">
        <f>+Details!AA53-Base!AA53</f>
        <v>0</v>
      </c>
      <c r="BU53" s="1124">
        <f>+Details!AB53-Base!AB53</f>
        <v>0</v>
      </c>
      <c r="BV53" s="1124">
        <f>+Details!AC53-Base!AC53</f>
        <v>0</v>
      </c>
      <c r="BW53" s="1124">
        <f>+Details!AD53-Base!AD53</f>
        <v>0</v>
      </c>
      <c r="BX53" s="1124">
        <f>+Details!AE53-Base!AE53</f>
        <v>0</v>
      </c>
      <c r="BY53" s="1124">
        <f>+Details!AF53-Base!AF53</f>
        <v>0</v>
      </c>
      <c r="BZ53" s="1124">
        <f>+Details!AG53-Base!AG53</f>
        <v>0</v>
      </c>
      <c r="CA53" s="1124">
        <f>+Details!AH53-Base!AH53</f>
        <v>0</v>
      </c>
      <c r="CB53" s="1124">
        <f>+Details!AI53-Base!AI53</f>
        <v>0</v>
      </c>
      <c r="CC53" s="1124">
        <f>+Details!AJ53-Base!AJ53</f>
        <v>0</v>
      </c>
      <c r="CD53" s="1124">
        <f>+Details!AK53-Base!AK53</f>
        <v>0</v>
      </c>
      <c r="CE53" s="1124">
        <f>+Details!AL53-Base!AL53</f>
        <v>0</v>
      </c>
      <c r="CF53" s="1124">
        <f>+Details!AM53-Base!AM53</f>
        <v>0</v>
      </c>
      <c r="CG53" s="1124">
        <f>+Details!AN53-Base!AN53</f>
        <v>0</v>
      </c>
      <c r="CH53" s="1124">
        <f>+Details!AO53-Base!AO53</f>
        <v>0</v>
      </c>
      <c r="CI53" s="1124">
        <f>+Details!AP53-Base!AP53</f>
        <v>0</v>
      </c>
      <c r="CJ53" s="1124">
        <f>+Details!AQ53-Base!AQ53</f>
        <v>0</v>
      </c>
      <c r="CK53" s="1124">
        <f>+Details!AR53-Base!AR53</f>
        <v>0</v>
      </c>
      <c r="CL53" s="1124">
        <f>+Details!AS53-Base!AS53</f>
        <v>0</v>
      </c>
      <c r="CM53" s="81"/>
    </row>
    <row r="54" spans="1:91" ht="15" hidden="1" customHeight="1">
      <c r="A54" s="1427" t="s">
        <v>1578</v>
      </c>
      <c r="B54" s="1766" t="s">
        <v>1226</v>
      </c>
      <c r="C54" s="380"/>
      <c r="D54" s="199"/>
      <c r="E54" s="535">
        <f>SUM(F54:AS54)</f>
        <v>451000</v>
      </c>
      <c r="F54" s="665">
        <f>(+F52+F53)</f>
        <v>0</v>
      </c>
      <c r="G54" s="1127">
        <f>(+G52+G53)</f>
        <v>0</v>
      </c>
      <c r="H54" s="1127">
        <f t="shared" ref="H54:AS54" si="54">(+H52+H53)</f>
        <v>0</v>
      </c>
      <c r="I54" s="1127">
        <f t="shared" si="54"/>
        <v>0</v>
      </c>
      <c r="J54" s="1127">
        <f t="shared" si="54"/>
        <v>0</v>
      </c>
      <c r="K54" s="1127">
        <f t="shared" si="54"/>
        <v>22100</v>
      </c>
      <c r="L54" s="1127">
        <f t="shared" si="54"/>
        <v>22500</v>
      </c>
      <c r="M54" s="1127">
        <f t="shared" si="54"/>
        <v>23000</v>
      </c>
      <c r="N54" s="1127">
        <f t="shared" si="54"/>
        <v>23500</v>
      </c>
      <c r="O54" s="1127">
        <f t="shared" si="54"/>
        <v>24000</v>
      </c>
      <c r="P54" s="1127">
        <f t="shared" si="54"/>
        <v>24500</v>
      </c>
      <c r="Q54" s="1127">
        <f t="shared" si="54"/>
        <v>25000</v>
      </c>
      <c r="R54" s="1127">
        <f t="shared" si="54"/>
        <v>25500</v>
      </c>
      <c r="S54" s="1127">
        <f t="shared" si="54"/>
        <v>26000</v>
      </c>
      <c r="T54" s="1127">
        <f t="shared" si="54"/>
        <v>26500</v>
      </c>
      <c r="U54" s="1127">
        <f t="shared" si="54"/>
        <v>27000</v>
      </c>
      <c r="V54" s="1127">
        <f t="shared" si="54"/>
        <v>21200</v>
      </c>
      <c r="W54" s="1127">
        <f t="shared" si="54"/>
        <v>21600</v>
      </c>
      <c r="X54" s="1127">
        <f t="shared" si="54"/>
        <v>22000</v>
      </c>
      <c r="Y54" s="1127">
        <f t="shared" si="54"/>
        <v>22400</v>
      </c>
      <c r="Z54" s="1127">
        <f t="shared" si="54"/>
        <v>22800</v>
      </c>
      <c r="AA54" s="1127">
        <f t="shared" si="54"/>
        <v>23300</v>
      </c>
      <c r="AB54" s="1127">
        <f t="shared" si="54"/>
        <v>23800</v>
      </c>
      <c r="AC54" s="1127">
        <f t="shared" si="54"/>
        <v>24300</v>
      </c>
      <c r="AD54" s="1127">
        <f t="shared" si="54"/>
        <v>0</v>
      </c>
      <c r="AE54" s="1127">
        <f t="shared" si="54"/>
        <v>0</v>
      </c>
      <c r="AF54" s="1127">
        <f t="shared" si="54"/>
        <v>0</v>
      </c>
      <c r="AG54" s="1127">
        <f t="shared" si="54"/>
        <v>0</v>
      </c>
      <c r="AH54" s="1127">
        <f t="shared" si="54"/>
        <v>0</v>
      </c>
      <c r="AI54" s="1127">
        <f t="shared" si="54"/>
        <v>0</v>
      </c>
      <c r="AJ54" s="1127">
        <f t="shared" si="54"/>
        <v>0</v>
      </c>
      <c r="AK54" s="1127">
        <f t="shared" si="54"/>
        <v>0</v>
      </c>
      <c r="AL54" s="1127">
        <f t="shared" si="54"/>
        <v>0</v>
      </c>
      <c r="AM54" s="1127">
        <f t="shared" si="54"/>
        <v>0</v>
      </c>
      <c r="AN54" s="1127">
        <f t="shared" si="54"/>
        <v>0</v>
      </c>
      <c r="AO54" s="1127">
        <f t="shared" si="54"/>
        <v>0</v>
      </c>
      <c r="AP54" s="1127">
        <f t="shared" si="54"/>
        <v>0</v>
      </c>
      <c r="AQ54" s="1127">
        <f t="shared" si="54"/>
        <v>0</v>
      </c>
      <c r="AR54" s="1127">
        <f t="shared" si="54"/>
        <v>0</v>
      </c>
      <c r="AS54" s="1127">
        <f t="shared" si="54"/>
        <v>0</v>
      </c>
      <c r="AT54" s="89"/>
      <c r="AU54" s="29">
        <f>+Details!E54</f>
        <v>451000</v>
      </c>
      <c r="AV54" s="81">
        <f t="shared" ref="AV54:AV61" si="55">+E54-AU54</f>
        <v>0</v>
      </c>
      <c r="AW54" s="102"/>
      <c r="AY54" s="31">
        <f>+Details!F54-Base!F54</f>
        <v>0</v>
      </c>
      <c r="AZ54" s="1127">
        <f>+Details!G54-Base!G54</f>
        <v>0</v>
      </c>
      <c r="BA54" s="1127">
        <f>+Details!H54-Base!H54</f>
        <v>0</v>
      </c>
      <c r="BB54" s="1127">
        <f>+Details!I54-Base!I54</f>
        <v>0</v>
      </c>
      <c r="BC54" s="1127">
        <f>+Details!J54-Base!J54</f>
        <v>0</v>
      </c>
      <c r="BD54" s="1127">
        <f>+Details!K54-Base!K54</f>
        <v>0</v>
      </c>
      <c r="BE54" s="1127">
        <f>+Details!L54-Base!L54</f>
        <v>0</v>
      </c>
      <c r="BF54" s="1127">
        <f>+Details!M54-Base!M54</f>
        <v>0</v>
      </c>
      <c r="BG54" s="1127">
        <f>+Details!N54-Base!N54</f>
        <v>0</v>
      </c>
      <c r="BH54" s="1127">
        <f>+Details!O54-Base!O54</f>
        <v>0</v>
      </c>
      <c r="BI54" s="1127">
        <f>+Details!P54-Base!P54</f>
        <v>0</v>
      </c>
      <c r="BJ54" s="1127">
        <f>+Details!Q54-Base!Q54</f>
        <v>0</v>
      </c>
      <c r="BK54" s="1127">
        <f>+Details!R54-Base!R54</f>
        <v>0</v>
      </c>
      <c r="BL54" s="1127">
        <f>+Details!S54-Base!S54</f>
        <v>0</v>
      </c>
      <c r="BM54" s="1127">
        <f>+Details!T54-Base!T54</f>
        <v>0</v>
      </c>
      <c r="BN54" s="1127">
        <f>+Details!U54-Base!U54</f>
        <v>0</v>
      </c>
      <c r="BO54" s="1127">
        <f>+Details!V54-Base!V54</f>
        <v>0</v>
      </c>
      <c r="BP54" s="1127">
        <f>+Details!W54-Base!W54</f>
        <v>0</v>
      </c>
      <c r="BQ54" s="1127">
        <f>+Details!X54-Base!X54</f>
        <v>0</v>
      </c>
      <c r="BR54" s="1127">
        <f>+Details!Y54-Base!Y54</f>
        <v>0</v>
      </c>
      <c r="BS54" s="1127">
        <f>+Details!Z54-Base!Z54</f>
        <v>0</v>
      </c>
      <c r="BT54" s="1127">
        <f>+Details!AA54-Base!AA54</f>
        <v>0</v>
      </c>
      <c r="BU54" s="1127">
        <f>+Details!AB54-Base!AB54</f>
        <v>0</v>
      </c>
      <c r="BV54" s="1127">
        <f>+Details!AC54-Base!AC54</f>
        <v>0</v>
      </c>
      <c r="BW54" s="1127">
        <f>+Details!AD54-Base!AD54</f>
        <v>0</v>
      </c>
      <c r="BX54" s="1127">
        <f>+Details!AE54-Base!AE54</f>
        <v>0</v>
      </c>
      <c r="BY54" s="1127">
        <f>+Details!AF54-Base!AF54</f>
        <v>0</v>
      </c>
      <c r="BZ54" s="1127">
        <f>+Details!AG54-Base!AG54</f>
        <v>0</v>
      </c>
      <c r="CA54" s="1127">
        <f>+Details!AH54-Base!AH54</f>
        <v>0</v>
      </c>
      <c r="CB54" s="1127">
        <f>+Details!AI54-Base!AI54</f>
        <v>0</v>
      </c>
      <c r="CC54" s="1127">
        <f>+Details!AJ54-Base!AJ54</f>
        <v>0</v>
      </c>
      <c r="CD54" s="1127">
        <f>+Details!AK54-Base!AK54</f>
        <v>0</v>
      </c>
      <c r="CE54" s="1127">
        <f>+Details!AL54-Base!AL54</f>
        <v>0</v>
      </c>
      <c r="CF54" s="1127">
        <f>+Details!AM54-Base!AM54</f>
        <v>0</v>
      </c>
      <c r="CG54" s="1127">
        <f>+Details!AN54-Base!AN54</f>
        <v>0</v>
      </c>
      <c r="CH54" s="1127">
        <f>+Details!AO54-Base!AO54</f>
        <v>0</v>
      </c>
      <c r="CI54" s="1127">
        <f>+Details!AP54-Base!AP54</f>
        <v>0</v>
      </c>
      <c r="CJ54" s="1127">
        <f>+Details!AQ54-Base!AQ54</f>
        <v>0</v>
      </c>
      <c r="CK54" s="1127">
        <f>+Details!AR54-Base!AR54</f>
        <v>0</v>
      </c>
      <c r="CL54" s="1127">
        <f>+Details!AS54-Base!AS54</f>
        <v>0</v>
      </c>
      <c r="CM54" s="81"/>
    </row>
    <row r="55" spans="1:91" ht="19.95" hidden="1" customHeight="1">
      <c r="A55" s="1427" t="s">
        <v>1578</v>
      </c>
      <c r="B55" s="563" t="s">
        <v>1693</v>
      </c>
      <c r="C55" s="1000"/>
      <c r="D55" s="666" t="s">
        <v>579</v>
      </c>
      <c r="E55" s="29"/>
      <c r="F55" s="914"/>
      <c r="G55" s="1124"/>
      <c r="H55" s="1124"/>
      <c r="I55" s="1124"/>
      <c r="J55" s="1124"/>
      <c r="K55" s="1124"/>
      <c r="L55" s="1124"/>
      <c r="M55" s="1124"/>
      <c r="N55" s="1124"/>
      <c r="O55" s="1124"/>
      <c r="P55" s="1124"/>
      <c r="Q55" s="1124"/>
      <c r="R55" s="1124"/>
      <c r="S55" s="1124"/>
      <c r="T55" s="1124"/>
      <c r="U55" s="1124"/>
      <c r="V55" s="1124"/>
      <c r="W55" s="1124"/>
      <c r="X55" s="1124"/>
      <c r="Y55" s="1124"/>
      <c r="Z55" s="1124"/>
      <c r="AA55" s="1124"/>
      <c r="AB55" s="1124"/>
      <c r="AC55" s="1124"/>
      <c r="AD55" s="1124"/>
      <c r="AE55" s="1124"/>
      <c r="AF55" s="1124"/>
      <c r="AG55" s="1124"/>
      <c r="AH55" s="1124"/>
      <c r="AI55" s="1124"/>
      <c r="AJ55" s="1124"/>
      <c r="AK55" s="1124"/>
      <c r="AL55" s="1124"/>
      <c r="AM55" s="1124"/>
      <c r="AN55" s="1124"/>
      <c r="AO55" s="1124"/>
      <c r="AP55" s="1124"/>
      <c r="AQ55" s="1124"/>
      <c r="AR55" s="1124"/>
      <c r="AS55" s="1124"/>
      <c r="AT55" s="3"/>
      <c r="AU55" s="29">
        <f>+Details!E55</f>
        <v>398000</v>
      </c>
      <c r="AV55" s="81">
        <f t="shared" si="55"/>
        <v>-398000</v>
      </c>
      <c r="AW55" s="102"/>
      <c r="AY55" s="31">
        <f>+Details!F55-Base!F55</f>
        <v>0</v>
      </c>
      <c r="AZ55" s="1124">
        <f>+Details!G55-Base!G55</f>
        <v>15300</v>
      </c>
      <c r="BA55" s="1124">
        <f>+Details!H55-Base!H55</f>
        <v>15600</v>
      </c>
      <c r="BB55" s="1124">
        <f>+Details!I55-Base!I55</f>
        <v>15900</v>
      </c>
      <c r="BC55" s="1124">
        <f>+Details!J55-Base!J55</f>
        <v>16200</v>
      </c>
      <c r="BD55" s="1124">
        <f>+Details!K55-Base!K55</f>
        <v>16500</v>
      </c>
      <c r="BE55" s="1124">
        <f>+Details!L55-Base!L55</f>
        <v>16800</v>
      </c>
      <c r="BF55" s="1124">
        <f>+Details!M55-Base!M55</f>
        <v>17100</v>
      </c>
      <c r="BG55" s="1124">
        <f>+Details!N55-Base!N55</f>
        <v>17400</v>
      </c>
      <c r="BH55" s="1124">
        <f>+Details!O55-Base!O55</f>
        <v>17700</v>
      </c>
      <c r="BI55" s="1124">
        <f>+Details!P55-Base!P55</f>
        <v>18100</v>
      </c>
      <c r="BJ55" s="1124">
        <f>+Details!Q55-Base!Q55</f>
        <v>18500</v>
      </c>
      <c r="BK55" s="1124">
        <f>+Details!R55-Base!R55</f>
        <v>18900</v>
      </c>
      <c r="BL55" s="1124">
        <f>+Details!S55-Base!S55</f>
        <v>19300</v>
      </c>
      <c r="BM55" s="1124">
        <f>+Details!T55-Base!T55</f>
        <v>19700</v>
      </c>
      <c r="BN55" s="1124">
        <f>+Details!U55-Base!U55</f>
        <v>20100</v>
      </c>
      <c r="BO55" s="1124">
        <f>+Details!V55-Base!V55</f>
        <v>15800</v>
      </c>
      <c r="BP55" s="1124">
        <f>+Details!W55-Base!W55</f>
        <v>16100</v>
      </c>
      <c r="BQ55" s="1124">
        <f>+Details!X55-Base!X55</f>
        <v>16400</v>
      </c>
      <c r="BR55" s="1124">
        <f>+Details!Y55-Base!Y55</f>
        <v>16700</v>
      </c>
      <c r="BS55" s="1124">
        <f>+Details!Z55-Base!Z55</f>
        <v>17000</v>
      </c>
      <c r="BT55" s="1124">
        <f>+Details!AA55-Base!AA55</f>
        <v>17300</v>
      </c>
      <c r="BU55" s="1124">
        <f>+Details!AB55-Base!AB55</f>
        <v>17600</v>
      </c>
      <c r="BV55" s="1124">
        <f>+Details!AC55-Base!AC55</f>
        <v>18000</v>
      </c>
      <c r="BW55" s="1124">
        <f>+Details!AD55-Base!AD55</f>
        <v>0</v>
      </c>
      <c r="BX55" s="1124">
        <f>+Details!AE55-Base!AE55</f>
        <v>0</v>
      </c>
      <c r="BY55" s="1124">
        <f>+Details!AF55-Base!AF55</f>
        <v>0</v>
      </c>
      <c r="BZ55" s="1124">
        <f>+Details!AG55-Base!AG55</f>
        <v>0</v>
      </c>
      <c r="CA55" s="1124">
        <f>+Details!AH55-Base!AH55</f>
        <v>0</v>
      </c>
      <c r="CB55" s="1124">
        <f>+Details!AI55-Base!AI55</f>
        <v>0</v>
      </c>
      <c r="CC55" s="1124">
        <f>+Details!AJ55-Base!AJ55</f>
        <v>0</v>
      </c>
      <c r="CD55" s="1124">
        <f>+Details!AK55-Base!AK55</f>
        <v>0</v>
      </c>
      <c r="CE55" s="1124">
        <f>+Details!AL55-Base!AL55</f>
        <v>0</v>
      </c>
      <c r="CF55" s="1124">
        <f>+Details!AM55-Base!AM55</f>
        <v>0</v>
      </c>
      <c r="CG55" s="1124">
        <f>+Details!AN55-Base!AN55</f>
        <v>0</v>
      </c>
      <c r="CH55" s="1124">
        <f>+Details!AO55-Base!AO55</f>
        <v>0</v>
      </c>
      <c r="CI55" s="1124">
        <f>+Details!AP55-Base!AP55</f>
        <v>0</v>
      </c>
      <c r="CJ55" s="1124">
        <f>+Details!AQ55-Base!AQ55</f>
        <v>0</v>
      </c>
      <c r="CK55" s="1124">
        <f>+Details!AR55-Base!AR55</f>
        <v>0</v>
      </c>
      <c r="CL55" s="1124">
        <f>+Details!AS55-Base!AS55</f>
        <v>0</v>
      </c>
      <c r="CM55" s="81"/>
    </row>
    <row r="56" spans="1:91" ht="15" hidden="1" customHeight="1">
      <c r="A56" s="1427" t="s">
        <v>1578</v>
      </c>
      <c r="B56" s="563" t="s">
        <v>428</v>
      </c>
      <c r="C56" s="1000"/>
      <c r="D56" s="666" t="s">
        <v>579</v>
      </c>
      <c r="E56" s="29"/>
      <c r="F56" s="914"/>
      <c r="G56" s="1124"/>
      <c r="H56" s="1124"/>
      <c r="I56" s="1124"/>
      <c r="J56" s="1124"/>
      <c r="K56" s="1124"/>
      <c r="L56" s="1124"/>
      <c r="M56" s="1124"/>
      <c r="N56" s="1124"/>
      <c r="O56" s="1124"/>
      <c r="P56" s="1124"/>
      <c r="Q56" s="1124"/>
      <c r="R56" s="1124"/>
      <c r="S56" s="1124"/>
      <c r="T56" s="1124"/>
      <c r="U56" s="1124"/>
      <c r="V56" s="1124"/>
      <c r="W56" s="1124"/>
      <c r="X56" s="1124"/>
      <c r="Y56" s="1124"/>
      <c r="Z56" s="1124"/>
      <c r="AA56" s="1124"/>
      <c r="AB56" s="1124"/>
      <c r="AC56" s="1124"/>
      <c r="AD56" s="1124"/>
      <c r="AE56" s="1124"/>
      <c r="AF56" s="1124"/>
      <c r="AG56" s="1124"/>
      <c r="AH56" s="1124"/>
      <c r="AI56" s="1124"/>
      <c r="AJ56" s="1124"/>
      <c r="AK56" s="1124"/>
      <c r="AL56" s="1124"/>
      <c r="AM56" s="1124"/>
      <c r="AN56" s="1124"/>
      <c r="AO56" s="1124"/>
      <c r="AP56" s="1124"/>
      <c r="AQ56" s="1124"/>
      <c r="AR56" s="1124"/>
      <c r="AS56" s="1124"/>
      <c r="AT56" s="3"/>
      <c r="AU56" s="29">
        <f>+Details!E56</f>
        <v>276600</v>
      </c>
      <c r="AV56" s="81">
        <f t="shared" si="55"/>
        <v>-276600</v>
      </c>
      <c r="AW56" s="102"/>
      <c r="AY56" s="31">
        <f>+Details!F56-Base!F56</f>
        <v>0</v>
      </c>
      <c r="AZ56" s="1124">
        <f>+Details!G56-Base!G56</f>
        <v>10700</v>
      </c>
      <c r="BA56" s="1124">
        <f>+Details!H56-Base!H56</f>
        <v>10900</v>
      </c>
      <c r="BB56" s="1124">
        <f>+Details!I56-Base!I56</f>
        <v>11100</v>
      </c>
      <c r="BC56" s="1124">
        <f>+Details!J56-Base!J56</f>
        <v>11300</v>
      </c>
      <c r="BD56" s="1124">
        <f>+Details!K56-Base!K56</f>
        <v>11500</v>
      </c>
      <c r="BE56" s="1124">
        <f>+Details!L56-Base!L56</f>
        <v>11700</v>
      </c>
      <c r="BF56" s="1124">
        <f>+Details!M56-Base!M56</f>
        <v>11900</v>
      </c>
      <c r="BG56" s="1124">
        <f>+Details!N56-Base!N56</f>
        <v>12100</v>
      </c>
      <c r="BH56" s="1124">
        <f>+Details!O56-Base!O56</f>
        <v>12300</v>
      </c>
      <c r="BI56" s="1124">
        <f>+Details!P56-Base!P56</f>
        <v>12500</v>
      </c>
      <c r="BJ56" s="1124">
        <f>+Details!Q56-Base!Q56</f>
        <v>12800</v>
      </c>
      <c r="BK56" s="1124">
        <f>+Details!R56-Base!R56</f>
        <v>13100</v>
      </c>
      <c r="BL56" s="1124">
        <f>+Details!S56-Base!S56</f>
        <v>13400</v>
      </c>
      <c r="BM56" s="1124">
        <f>+Details!T56-Base!T56</f>
        <v>13700</v>
      </c>
      <c r="BN56" s="1124">
        <f>+Details!U56-Base!U56</f>
        <v>14000</v>
      </c>
      <c r="BO56" s="1124">
        <f>+Details!V56-Base!V56</f>
        <v>11000</v>
      </c>
      <c r="BP56" s="1124">
        <f>+Details!W56-Base!W56</f>
        <v>11200</v>
      </c>
      <c r="BQ56" s="1124">
        <f>+Details!X56-Base!X56</f>
        <v>11400</v>
      </c>
      <c r="BR56" s="1124">
        <f>+Details!Y56-Base!Y56</f>
        <v>11600</v>
      </c>
      <c r="BS56" s="1124">
        <f>+Details!Z56-Base!Z56</f>
        <v>11800</v>
      </c>
      <c r="BT56" s="1124">
        <f>+Details!AA56-Base!AA56</f>
        <v>12000</v>
      </c>
      <c r="BU56" s="1124">
        <f>+Details!AB56-Base!AB56</f>
        <v>12200</v>
      </c>
      <c r="BV56" s="1124">
        <f>+Details!AC56-Base!AC56</f>
        <v>12400</v>
      </c>
      <c r="BW56" s="1124">
        <f>+Details!AD56-Base!AD56</f>
        <v>0</v>
      </c>
      <c r="BX56" s="1124">
        <f>+Details!AE56-Base!AE56</f>
        <v>0</v>
      </c>
      <c r="BY56" s="1124">
        <f>+Details!AF56-Base!AF56</f>
        <v>0</v>
      </c>
      <c r="BZ56" s="1124">
        <f>+Details!AG56-Base!AG56</f>
        <v>0</v>
      </c>
      <c r="CA56" s="1124">
        <f>+Details!AH56-Base!AH56</f>
        <v>0</v>
      </c>
      <c r="CB56" s="1124">
        <f>+Details!AI56-Base!AI56</f>
        <v>0</v>
      </c>
      <c r="CC56" s="1124">
        <f>+Details!AJ56-Base!AJ56</f>
        <v>0</v>
      </c>
      <c r="CD56" s="1124">
        <f>+Details!AK56-Base!AK56</f>
        <v>0</v>
      </c>
      <c r="CE56" s="1124">
        <f>+Details!AL56-Base!AL56</f>
        <v>0</v>
      </c>
      <c r="CF56" s="1124">
        <f>+Details!AM56-Base!AM56</f>
        <v>0</v>
      </c>
      <c r="CG56" s="1124">
        <f>+Details!AN56-Base!AN56</f>
        <v>0</v>
      </c>
      <c r="CH56" s="1124">
        <f>+Details!AO56-Base!AO56</f>
        <v>0</v>
      </c>
      <c r="CI56" s="1124">
        <f>+Details!AP56-Base!AP56</f>
        <v>0</v>
      </c>
      <c r="CJ56" s="1124">
        <f>+Details!AQ56-Base!AQ56</f>
        <v>0</v>
      </c>
      <c r="CK56" s="1124">
        <f>+Details!AR56-Base!AR56</f>
        <v>0</v>
      </c>
      <c r="CL56" s="1124">
        <f>+Details!AS56-Base!AS56</f>
        <v>0</v>
      </c>
      <c r="CM56" s="81"/>
    </row>
    <row r="57" spans="1:91" ht="15" hidden="1" customHeight="1">
      <c r="A57" s="1427" t="s">
        <v>1578</v>
      </c>
      <c r="B57" s="563" t="s">
        <v>459</v>
      </c>
      <c r="C57" s="380"/>
      <c r="D57" s="666" t="s">
        <v>579</v>
      </c>
      <c r="E57" s="29"/>
      <c r="F57" s="554"/>
      <c r="G57" s="1124"/>
      <c r="H57" s="1124"/>
      <c r="I57" s="1124"/>
      <c r="J57" s="1124"/>
      <c r="K57" s="1124"/>
      <c r="L57" s="1124"/>
      <c r="M57" s="1124"/>
      <c r="N57" s="1124"/>
      <c r="O57" s="1124"/>
      <c r="P57" s="1124"/>
      <c r="Q57" s="1124"/>
      <c r="R57" s="1124"/>
      <c r="S57" s="1124"/>
      <c r="T57" s="1124"/>
      <c r="U57" s="1124"/>
      <c r="V57" s="1124"/>
      <c r="W57" s="1124"/>
      <c r="X57" s="1124"/>
      <c r="Y57" s="1124"/>
      <c r="Z57" s="1124"/>
      <c r="AA57" s="1124"/>
      <c r="AB57" s="1124"/>
      <c r="AC57" s="1124"/>
      <c r="AD57" s="1124"/>
      <c r="AE57" s="1124"/>
      <c r="AF57" s="1124"/>
      <c r="AG57" s="1124"/>
      <c r="AH57" s="1124"/>
      <c r="AI57" s="1124"/>
      <c r="AJ57" s="1124"/>
      <c r="AK57" s="1124"/>
      <c r="AL57" s="1124"/>
      <c r="AM57" s="1124"/>
      <c r="AN57" s="1124"/>
      <c r="AO57" s="1124"/>
      <c r="AP57" s="1124"/>
      <c r="AQ57" s="1124"/>
      <c r="AR57" s="1124"/>
      <c r="AS57" s="1124"/>
      <c r="AT57" s="3"/>
      <c r="AU57" s="29">
        <f>+Details!E57</f>
        <v>398000</v>
      </c>
      <c r="AV57" s="81">
        <f t="shared" si="55"/>
        <v>-398000</v>
      </c>
      <c r="AW57" s="102"/>
      <c r="AY57" s="31">
        <f>+Details!F57-Base!F57</f>
        <v>0</v>
      </c>
      <c r="AZ57" s="1124">
        <f>+Details!G57-Base!G57</f>
        <v>15300</v>
      </c>
      <c r="BA57" s="1124">
        <f>+Details!H57-Base!H57</f>
        <v>15600</v>
      </c>
      <c r="BB57" s="1124">
        <f>+Details!I57-Base!I57</f>
        <v>15900</v>
      </c>
      <c r="BC57" s="1124">
        <f>+Details!J57-Base!J57</f>
        <v>16200</v>
      </c>
      <c r="BD57" s="1124">
        <f>+Details!K57-Base!K57</f>
        <v>16500</v>
      </c>
      <c r="BE57" s="1124">
        <f>+Details!L57-Base!L57</f>
        <v>16800</v>
      </c>
      <c r="BF57" s="1124">
        <f>+Details!M57-Base!M57</f>
        <v>17100</v>
      </c>
      <c r="BG57" s="1124">
        <f>+Details!N57-Base!N57</f>
        <v>17400</v>
      </c>
      <c r="BH57" s="1124">
        <f>+Details!O57-Base!O57</f>
        <v>17700</v>
      </c>
      <c r="BI57" s="1124">
        <f>+Details!P57-Base!P57</f>
        <v>18100</v>
      </c>
      <c r="BJ57" s="1124">
        <f>+Details!Q57-Base!Q57</f>
        <v>18500</v>
      </c>
      <c r="BK57" s="1124">
        <f>+Details!R57-Base!R57</f>
        <v>18900</v>
      </c>
      <c r="BL57" s="1124">
        <f>+Details!S57-Base!S57</f>
        <v>19300</v>
      </c>
      <c r="BM57" s="1124">
        <f>+Details!T57-Base!T57</f>
        <v>19700</v>
      </c>
      <c r="BN57" s="1124">
        <f>+Details!U57-Base!U57</f>
        <v>20100</v>
      </c>
      <c r="BO57" s="1124">
        <f>+Details!V57-Base!V57</f>
        <v>15800</v>
      </c>
      <c r="BP57" s="1124">
        <f>+Details!W57-Base!W57</f>
        <v>16100</v>
      </c>
      <c r="BQ57" s="1124">
        <f>+Details!X57-Base!X57</f>
        <v>16400</v>
      </c>
      <c r="BR57" s="1124">
        <f>+Details!Y57-Base!Y57</f>
        <v>16700</v>
      </c>
      <c r="BS57" s="1124">
        <f>+Details!Z57-Base!Z57</f>
        <v>17000</v>
      </c>
      <c r="BT57" s="1124">
        <f>+Details!AA57-Base!AA57</f>
        <v>17300</v>
      </c>
      <c r="BU57" s="1124">
        <f>+Details!AB57-Base!AB57</f>
        <v>17600</v>
      </c>
      <c r="BV57" s="1124">
        <f>+Details!AC57-Base!AC57</f>
        <v>18000</v>
      </c>
      <c r="BW57" s="1124">
        <f>+Details!AD57-Base!AD57</f>
        <v>0</v>
      </c>
      <c r="BX57" s="1124">
        <f>+Details!AE57-Base!AE57</f>
        <v>0</v>
      </c>
      <c r="BY57" s="1124">
        <f>+Details!AF57-Base!AF57</f>
        <v>0</v>
      </c>
      <c r="BZ57" s="1124">
        <f>+Details!AG57-Base!AG57</f>
        <v>0</v>
      </c>
      <c r="CA57" s="1124">
        <f>+Details!AH57-Base!AH57</f>
        <v>0</v>
      </c>
      <c r="CB57" s="1124">
        <f>+Details!AI57-Base!AI57</f>
        <v>0</v>
      </c>
      <c r="CC57" s="1124">
        <f>+Details!AJ57-Base!AJ57</f>
        <v>0</v>
      </c>
      <c r="CD57" s="1124">
        <f>+Details!AK57-Base!AK57</f>
        <v>0</v>
      </c>
      <c r="CE57" s="1124">
        <f>+Details!AL57-Base!AL57</f>
        <v>0</v>
      </c>
      <c r="CF57" s="1124">
        <f>+Details!AM57-Base!AM57</f>
        <v>0</v>
      </c>
      <c r="CG57" s="1124">
        <f>+Details!AN57-Base!AN57</f>
        <v>0</v>
      </c>
      <c r="CH57" s="1124">
        <f>+Details!AO57-Base!AO57</f>
        <v>0</v>
      </c>
      <c r="CI57" s="1124">
        <f>+Details!AP57-Base!AP57</f>
        <v>0</v>
      </c>
      <c r="CJ57" s="1124">
        <f>+Details!AQ57-Base!AQ57</f>
        <v>0</v>
      </c>
      <c r="CK57" s="1124">
        <f>+Details!AR57-Base!AR57</f>
        <v>0</v>
      </c>
      <c r="CL57" s="1124">
        <f>+Details!AS57-Base!AS57</f>
        <v>0</v>
      </c>
      <c r="CM57" s="81"/>
    </row>
    <row r="58" spans="1:91" ht="15" hidden="1" customHeight="1">
      <c r="A58" s="1427" t="s">
        <v>1578</v>
      </c>
      <c r="B58" s="234" t="s">
        <v>1341</v>
      </c>
      <c r="C58" s="380"/>
      <c r="D58" s="666" t="s">
        <v>579</v>
      </c>
      <c r="E58" s="29"/>
      <c r="F58" s="914"/>
      <c r="G58" s="1124"/>
      <c r="H58" s="1124"/>
      <c r="I58" s="1124"/>
      <c r="J58" s="1124"/>
      <c r="K58" s="1124"/>
      <c r="L58" s="1124"/>
      <c r="M58" s="1124"/>
      <c r="N58" s="1124"/>
      <c r="O58" s="1124"/>
      <c r="P58" s="1124"/>
      <c r="Q58" s="1124"/>
      <c r="R58" s="1124"/>
      <c r="S58" s="1124"/>
      <c r="T58" s="1124"/>
      <c r="U58" s="1124"/>
      <c r="V58" s="1124"/>
      <c r="W58" s="1124"/>
      <c r="X58" s="1124"/>
      <c r="Y58" s="1124"/>
      <c r="Z58" s="1124"/>
      <c r="AA58" s="1124"/>
      <c r="AB58" s="1124"/>
      <c r="AC58" s="1124"/>
      <c r="AD58" s="1124"/>
      <c r="AE58" s="1124"/>
      <c r="AF58" s="1124"/>
      <c r="AG58" s="1124"/>
      <c r="AH58" s="1124"/>
      <c r="AI58" s="1124"/>
      <c r="AJ58" s="1124"/>
      <c r="AK58" s="1124"/>
      <c r="AL58" s="1124"/>
      <c r="AM58" s="1124"/>
      <c r="AN58" s="1124"/>
      <c r="AO58" s="1124"/>
      <c r="AP58" s="1124"/>
      <c r="AQ58" s="1124"/>
      <c r="AR58" s="1124"/>
      <c r="AS58" s="1124"/>
      <c r="AT58" s="3"/>
      <c r="AU58" s="29">
        <f>+Details!E58</f>
        <v>0</v>
      </c>
      <c r="AV58" s="81">
        <f t="shared" si="55"/>
        <v>0</v>
      </c>
      <c r="AW58" s="102"/>
      <c r="AY58" s="31">
        <f>+Details!F58-Base!F58</f>
        <v>0</v>
      </c>
      <c r="AZ58" s="1124">
        <f>+Details!G58-Base!G58</f>
        <v>0</v>
      </c>
      <c r="BA58" s="1124">
        <f>+Details!H58-Base!H58</f>
        <v>0</v>
      </c>
      <c r="BB58" s="1124">
        <f>+Details!I58-Base!I58</f>
        <v>0</v>
      </c>
      <c r="BC58" s="1124">
        <f>+Details!J58-Base!J58</f>
        <v>0</v>
      </c>
      <c r="BD58" s="1124">
        <f>+Details!K58-Base!K58</f>
        <v>0</v>
      </c>
      <c r="BE58" s="1124">
        <f>+Details!L58-Base!L58</f>
        <v>0</v>
      </c>
      <c r="BF58" s="1124">
        <f>+Details!M58-Base!M58</f>
        <v>0</v>
      </c>
      <c r="BG58" s="1124">
        <f>+Details!N58-Base!N58</f>
        <v>0</v>
      </c>
      <c r="BH58" s="1124">
        <f>+Details!O58-Base!O58</f>
        <v>0</v>
      </c>
      <c r="BI58" s="1124">
        <f>+Details!P58-Base!P58</f>
        <v>0</v>
      </c>
      <c r="BJ58" s="1124">
        <f>+Details!Q58-Base!Q58</f>
        <v>0</v>
      </c>
      <c r="BK58" s="1124">
        <f>+Details!R58-Base!R58</f>
        <v>0</v>
      </c>
      <c r="BL58" s="1124">
        <f>+Details!S58-Base!S58</f>
        <v>0</v>
      </c>
      <c r="BM58" s="1124">
        <f>+Details!T58-Base!T58</f>
        <v>0</v>
      </c>
      <c r="BN58" s="1124">
        <f>+Details!U58-Base!U58</f>
        <v>0</v>
      </c>
      <c r="BO58" s="1124">
        <f>+Details!V58-Base!V58</f>
        <v>0</v>
      </c>
      <c r="BP58" s="1124">
        <f>+Details!W58-Base!W58</f>
        <v>0</v>
      </c>
      <c r="BQ58" s="1124">
        <f>+Details!X58-Base!X58</f>
        <v>0</v>
      </c>
      <c r="BR58" s="1124">
        <f>+Details!Y58-Base!Y58</f>
        <v>0</v>
      </c>
      <c r="BS58" s="1124">
        <f>+Details!Z58-Base!Z58</f>
        <v>0</v>
      </c>
      <c r="BT58" s="1124">
        <f>+Details!AA58-Base!AA58</f>
        <v>0</v>
      </c>
      <c r="BU58" s="1124">
        <f>+Details!AB58-Base!AB58</f>
        <v>0</v>
      </c>
      <c r="BV58" s="1124">
        <f>+Details!AC58-Base!AC58</f>
        <v>0</v>
      </c>
      <c r="BW58" s="1124">
        <f>+Details!AD58-Base!AD58</f>
        <v>0</v>
      </c>
      <c r="BX58" s="1124">
        <f>+Details!AE58-Base!AE58</f>
        <v>0</v>
      </c>
      <c r="BY58" s="1124">
        <f>+Details!AF58-Base!AF58</f>
        <v>0</v>
      </c>
      <c r="BZ58" s="1124">
        <f>+Details!AG58-Base!AG58</f>
        <v>0</v>
      </c>
      <c r="CA58" s="1124">
        <f>+Details!AH58-Base!AH58</f>
        <v>0</v>
      </c>
      <c r="CB58" s="1124">
        <f>+Details!AI58-Base!AI58</f>
        <v>0</v>
      </c>
      <c r="CC58" s="1124">
        <f>+Details!AJ58-Base!AJ58</f>
        <v>0</v>
      </c>
      <c r="CD58" s="1124">
        <f>+Details!AK58-Base!AK58</f>
        <v>0</v>
      </c>
      <c r="CE58" s="1124">
        <f>+Details!AL58-Base!AL58</f>
        <v>0</v>
      </c>
      <c r="CF58" s="1124">
        <f>+Details!AM58-Base!AM58</f>
        <v>0</v>
      </c>
      <c r="CG58" s="1124">
        <f>+Details!AN58-Base!AN58</f>
        <v>0</v>
      </c>
      <c r="CH58" s="1124">
        <f>+Details!AO58-Base!AO58</f>
        <v>0</v>
      </c>
      <c r="CI58" s="1124">
        <f>+Details!AP58-Base!AP58</f>
        <v>0</v>
      </c>
      <c r="CJ58" s="1124">
        <f>+Details!AQ58-Base!AQ58</f>
        <v>0</v>
      </c>
      <c r="CK58" s="1124">
        <f>+Details!AR58-Base!AR58</f>
        <v>0</v>
      </c>
      <c r="CL58" s="1124">
        <f>+Details!AS58-Base!AS58</f>
        <v>0</v>
      </c>
      <c r="CM58" s="81"/>
    </row>
    <row r="59" spans="1:91" ht="15.6" hidden="1">
      <c r="A59" s="1427" t="s">
        <v>1578</v>
      </c>
      <c r="B59" s="1766" t="s">
        <v>190</v>
      </c>
      <c r="C59" s="558"/>
      <c r="D59" s="666" t="s">
        <v>579</v>
      </c>
      <c r="E59" s="29"/>
      <c r="F59" s="665"/>
      <c r="G59" s="1127"/>
      <c r="H59" s="1127"/>
      <c r="I59" s="1127"/>
      <c r="J59" s="1127"/>
      <c r="K59" s="1127"/>
      <c r="L59" s="1127"/>
      <c r="M59" s="1127"/>
      <c r="N59" s="1127"/>
      <c r="O59" s="1127"/>
      <c r="P59" s="1127"/>
      <c r="Q59" s="1127"/>
      <c r="R59" s="1127"/>
      <c r="S59" s="1127"/>
      <c r="T59" s="1127"/>
      <c r="U59" s="1127"/>
      <c r="V59" s="1127"/>
      <c r="W59" s="1127"/>
      <c r="X59" s="1127"/>
      <c r="Y59" s="1127"/>
      <c r="Z59" s="1127"/>
      <c r="AA59" s="1127"/>
      <c r="AB59" s="1127"/>
      <c r="AC59" s="1127"/>
      <c r="AD59" s="1127"/>
      <c r="AE59" s="1127"/>
      <c r="AF59" s="1127"/>
      <c r="AG59" s="1127"/>
      <c r="AH59" s="1127"/>
      <c r="AI59" s="1127"/>
      <c r="AJ59" s="1127"/>
      <c r="AK59" s="1127"/>
      <c r="AL59" s="1127"/>
      <c r="AM59" s="1127"/>
      <c r="AN59" s="1127"/>
      <c r="AO59" s="1127"/>
      <c r="AP59" s="1127"/>
      <c r="AQ59" s="1127"/>
      <c r="AR59" s="1127"/>
      <c r="AS59" s="1127"/>
      <c r="AT59" s="89"/>
      <c r="AU59" s="29">
        <f>+Details!E59</f>
        <v>398000</v>
      </c>
      <c r="AV59" s="81">
        <f t="shared" si="55"/>
        <v>-398000</v>
      </c>
      <c r="AW59" s="102"/>
      <c r="AY59" s="31">
        <f>+Details!F59-Base!F59</f>
        <v>0</v>
      </c>
      <c r="AZ59" s="1127">
        <f>+Details!G59-Base!G59</f>
        <v>15300</v>
      </c>
      <c r="BA59" s="1127">
        <f>+Details!H59-Base!H59</f>
        <v>15600</v>
      </c>
      <c r="BB59" s="1127">
        <f>+Details!I59-Base!I59</f>
        <v>15900</v>
      </c>
      <c r="BC59" s="1127">
        <f>+Details!J59-Base!J59</f>
        <v>16200</v>
      </c>
      <c r="BD59" s="1127">
        <f>+Details!K59-Base!K59</f>
        <v>16500</v>
      </c>
      <c r="BE59" s="1127">
        <f>+Details!L59-Base!L59</f>
        <v>16800</v>
      </c>
      <c r="BF59" s="1127">
        <f>+Details!M59-Base!M59</f>
        <v>17100</v>
      </c>
      <c r="BG59" s="1127">
        <f>+Details!N59-Base!N59</f>
        <v>17400</v>
      </c>
      <c r="BH59" s="1127">
        <f>+Details!O59-Base!O59</f>
        <v>17700</v>
      </c>
      <c r="BI59" s="1127">
        <f>+Details!P59-Base!P59</f>
        <v>18100</v>
      </c>
      <c r="BJ59" s="1127">
        <f>+Details!Q59-Base!Q59</f>
        <v>18500</v>
      </c>
      <c r="BK59" s="1127">
        <f>+Details!R59-Base!R59</f>
        <v>18900</v>
      </c>
      <c r="BL59" s="1127">
        <f>+Details!S59-Base!S59</f>
        <v>19300</v>
      </c>
      <c r="BM59" s="1127">
        <f>+Details!T59-Base!T59</f>
        <v>19700</v>
      </c>
      <c r="BN59" s="1127">
        <f>+Details!U59-Base!U59</f>
        <v>20100</v>
      </c>
      <c r="BO59" s="1127">
        <f>+Details!V59-Base!V59</f>
        <v>15800</v>
      </c>
      <c r="BP59" s="1127">
        <f>+Details!W59-Base!W59</f>
        <v>16100</v>
      </c>
      <c r="BQ59" s="1127">
        <f>+Details!X59-Base!X59</f>
        <v>16400</v>
      </c>
      <c r="BR59" s="1127">
        <f>+Details!Y59-Base!Y59</f>
        <v>16700</v>
      </c>
      <c r="BS59" s="1127">
        <f>+Details!Z59-Base!Z59</f>
        <v>17000</v>
      </c>
      <c r="BT59" s="1127">
        <f>+Details!AA59-Base!AA59</f>
        <v>17300</v>
      </c>
      <c r="BU59" s="1127">
        <f>+Details!AB59-Base!AB59</f>
        <v>17600</v>
      </c>
      <c r="BV59" s="1127">
        <f>+Details!AC59-Base!AC59</f>
        <v>18000</v>
      </c>
      <c r="BW59" s="1127">
        <f>+Details!AD59-Base!AD59</f>
        <v>0</v>
      </c>
      <c r="BX59" s="1127">
        <f>+Details!AE59-Base!AE59</f>
        <v>0</v>
      </c>
      <c r="BY59" s="1127">
        <f>+Details!AF59-Base!AF59</f>
        <v>0</v>
      </c>
      <c r="BZ59" s="1127">
        <f>+Details!AG59-Base!AG59</f>
        <v>0</v>
      </c>
      <c r="CA59" s="1127">
        <f>+Details!AH59-Base!AH59</f>
        <v>0</v>
      </c>
      <c r="CB59" s="1127">
        <f>+Details!AI59-Base!AI59</f>
        <v>0</v>
      </c>
      <c r="CC59" s="1127">
        <f>+Details!AJ59-Base!AJ59</f>
        <v>0</v>
      </c>
      <c r="CD59" s="1127">
        <f>+Details!AK59-Base!AK59</f>
        <v>0</v>
      </c>
      <c r="CE59" s="1127">
        <f>+Details!AL59-Base!AL59</f>
        <v>0</v>
      </c>
      <c r="CF59" s="1127">
        <f>+Details!AM59-Base!AM59</f>
        <v>0</v>
      </c>
      <c r="CG59" s="1127">
        <f>+Details!AN59-Base!AN59</f>
        <v>0</v>
      </c>
      <c r="CH59" s="1127">
        <f>+Details!AO59-Base!AO59</f>
        <v>0</v>
      </c>
      <c r="CI59" s="1127">
        <f>+Details!AP59-Base!AP59</f>
        <v>0</v>
      </c>
      <c r="CJ59" s="1127">
        <f>+Details!AQ59-Base!AQ59</f>
        <v>0</v>
      </c>
      <c r="CK59" s="1127">
        <f>+Details!AR59-Base!AR59</f>
        <v>0</v>
      </c>
      <c r="CL59" s="1127">
        <f>+Details!AS59-Base!AS59</f>
        <v>0</v>
      </c>
      <c r="CM59" s="81"/>
    </row>
    <row r="60" spans="1:91" s="22" customFormat="1" ht="15.6">
      <c r="A60" s="1429"/>
      <c r="B60" s="1766" t="s">
        <v>2239</v>
      </c>
      <c r="C60" s="670"/>
      <c r="D60" s="666" t="str">
        <f>IF(AV60&lt;&gt;0,"Differs vs Full","")</f>
        <v/>
      </c>
      <c r="E60" s="29">
        <f>SUM(F60:AS60)</f>
        <v>451000</v>
      </c>
      <c r="F60" s="554">
        <f>+F54</f>
        <v>0</v>
      </c>
      <c r="G60" s="1124">
        <f>+G54</f>
        <v>0</v>
      </c>
      <c r="H60" s="1124">
        <f t="shared" ref="H60:AS60" si="56">+H54</f>
        <v>0</v>
      </c>
      <c r="I60" s="1124">
        <f t="shared" si="56"/>
        <v>0</v>
      </c>
      <c r="J60" s="1124">
        <f t="shared" si="56"/>
        <v>0</v>
      </c>
      <c r="K60" s="1124">
        <f t="shared" si="56"/>
        <v>22100</v>
      </c>
      <c r="L60" s="1124">
        <f t="shared" si="56"/>
        <v>22500</v>
      </c>
      <c r="M60" s="1124">
        <f t="shared" si="56"/>
        <v>23000</v>
      </c>
      <c r="N60" s="1124">
        <f t="shared" si="56"/>
        <v>23500</v>
      </c>
      <c r="O60" s="1124">
        <f t="shared" si="56"/>
        <v>24000</v>
      </c>
      <c r="P60" s="1124">
        <f t="shared" si="56"/>
        <v>24500</v>
      </c>
      <c r="Q60" s="1124">
        <f t="shared" si="56"/>
        <v>25000</v>
      </c>
      <c r="R60" s="1124">
        <f t="shared" si="56"/>
        <v>25500</v>
      </c>
      <c r="S60" s="1124">
        <f t="shared" si="56"/>
        <v>26000</v>
      </c>
      <c r="T60" s="1124">
        <f t="shared" si="56"/>
        <v>26500</v>
      </c>
      <c r="U60" s="1124">
        <f t="shared" si="56"/>
        <v>27000</v>
      </c>
      <c r="V60" s="1124">
        <f t="shared" si="56"/>
        <v>21200</v>
      </c>
      <c r="W60" s="1124">
        <f t="shared" si="56"/>
        <v>21600</v>
      </c>
      <c r="X60" s="1124">
        <f t="shared" si="56"/>
        <v>22000</v>
      </c>
      <c r="Y60" s="1124">
        <f t="shared" si="56"/>
        <v>22400</v>
      </c>
      <c r="Z60" s="1124">
        <f t="shared" si="56"/>
        <v>22800</v>
      </c>
      <c r="AA60" s="1124">
        <f t="shared" si="56"/>
        <v>23300</v>
      </c>
      <c r="AB60" s="1124">
        <f t="shared" si="56"/>
        <v>23800</v>
      </c>
      <c r="AC60" s="1124">
        <f t="shared" si="56"/>
        <v>24300</v>
      </c>
      <c r="AD60" s="1124">
        <f t="shared" si="56"/>
        <v>0</v>
      </c>
      <c r="AE60" s="1124">
        <f t="shared" si="56"/>
        <v>0</v>
      </c>
      <c r="AF60" s="1124">
        <f t="shared" si="56"/>
        <v>0</v>
      </c>
      <c r="AG60" s="1124">
        <f t="shared" si="56"/>
        <v>0</v>
      </c>
      <c r="AH60" s="1124">
        <f t="shared" si="56"/>
        <v>0</v>
      </c>
      <c r="AI60" s="1124">
        <f t="shared" si="56"/>
        <v>0</v>
      </c>
      <c r="AJ60" s="1124">
        <f t="shared" si="56"/>
        <v>0</v>
      </c>
      <c r="AK60" s="1124">
        <f t="shared" si="56"/>
        <v>0</v>
      </c>
      <c r="AL60" s="1124">
        <f t="shared" si="56"/>
        <v>0</v>
      </c>
      <c r="AM60" s="1124">
        <f t="shared" si="56"/>
        <v>0</v>
      </c>
      <c r="AN60" s="1124">
        <f t="shared" si="56"/>
        <v>0</v>
      </c>
      <c r="AO60" s="1124">
        <f t="shared" si="56"/>
        <v>0</v>
      </c>
      <c r="AP60" s="1124">
        <f t="shared" si="56"/>
        <v>0</v>
      </c>
      <c r="AQ60" s="1124">
        <f t="shared" si="56"/>
        <v>0</v>
      </c>
      <c r="AR60" s="1124">
        <f t="shared" si="56"/>
        <v>0</v>
      </c>
      <c r="AS60" s="1124">
        <f t="shared" si="56"/>
        <v>0</v>
      </c>
      <c r="AT60" s="59"/>
      <c r="AU60" s="102">
        <f>+Details!E60</f>
        <v>451000</v>
      </c>
      <c r="AV60" s="15">
        <f t="shared" si="55"/>
        <v>0</v>
      </c>
      <c r="AW60" s="102"/>
      <c r="AY60" s="88">
        <f>+Details!F59-Base!F54</f>
        <v>0</v>
      </c>
      <c r="AZ60" s="1124">
        <f>+Details!G60-Base!G60</f>
        <v>0</v>
      </c>
      <c r="BA60" s="1124">
        <f>+Details!H60-Base!H60</f>
        <v>0</v>
      </c>
      <c r="BB60" s="1124">
        <f>+Details!I60-Base!I60</f>
        <v>0</v>
      </c>
      <c r="BC60" s="1124">
        <f>+Details!J60-Base!J60</f>
        <v>0</v>
      </c>
      <c r="BD60" s="1124">
        <f>+Details!K60-Base!K60</f>
        <v>0</v>
      </c>
      <c r="BE60" s="1124">
        <f>+Details!L60-Base!L60</f>
        <v>0</v>
      </c>
      <c r="BF60" s="1124">
        <f>+Details!M60-Base!M60</f>
        <v>0</v>
      </c>
      <c r="BG60" s="1124">
        <f>+Details!N60-Base!N60</f>
        <v>0</v>
      </c>
      <c r="BH60" s="1124">
        <f>+Details!O60-Base!O60</f>
        <v>0</v>
      </c>
      <c r="BI60" s="1124">
        <f>+Details!P60-Base!P60</f>
        <v>0</v>
      </c>
      <c r="BJ60" s="1124">
        <f>+Details!Q60-Base!Q60</f>
        <v>0</v>
      </c>
      <c r="BK60" s="1124">
        <f>+Details!R60-Base!R60</f>
        <v>0</v>
      </c>
      <c r="BL60" s="1124">
        <f>+Details!S60-Base!S60</f>
        <v>0</v>
      </c>
      <c r="BM60" s="1124">
        <f>+Details!T60-Base!T60</f>
        <v>0</v>
      </c>
      <c r="BN60" s="1124">
        <f>+Details!U60-Base!U60</f>
        <v>0</v>
      </c>
      <c r="BO60" s="1124">
        <f>+Details!V60-Base!V60</f>
        <v>0</v>
      </c>
      <c r="BP60" s="1124">
        <f>+Details!W60-Base!W60</f>
        <v>0</v>
      </c>
      <c r="BQ60" s="1124">
        <f>+Details!X60-Base!X60</f>
        <v>0</v>
      </c>
      <c r="BR60" s="1124">
        <f>+Details!Y60-Base!Y60</f>
        <v>0</v>
      </c>
      <c r="BS60" s="1124">
        <f>+Details!Z60-Base!Z60</f>
        <v>0</v>
      </c>
      <c r="BT60" s="1124">
        <f>+Details!AA60-Base!AA60</f>
        <v>0</v>
      </c>
      <c r="BU60" s="1124">
        <f>+Details!AB60-Base!AB60</f>
        <v>0</v>
      </c>
      <c r="BV60" s="1124">
        <f>+Details!AC60-Base!AC60</f>
        <v>0</v>
      </c>
      <c r="BW60" s="1124">
        <f>+Details!AD60-Base!AD60</f>
        <v>0</v>
      </c>
      <c r="BX60" s="1124">
        <f>+Details!AE60-Base!AE60</f>
        <v>0</v>
      </c>
      <c r="BY60" s="1124">
        <f>+Details!AF60-Base!AF60</f>
        <v>0</v>
      </c>
      <c r="BZ60" s="1124">
        <f>+Details!AG60-Base!AG60</f>
        <v>0</v>
      </c>
      <c r="CA60" s="1124">
        <f>+Details!AH60-Base!AH60</f>
        <v>0</v>
      </c>
      <c r="CB60" s="1124">
        <f>+Details!AI60-Base!AI60</f>
        <v>0</v>
      </c>
      <c r="CC60" s="1124">
        <f>+Details!AJ60-Base!AJ60</f>
        <v>0</v>
      </c>
      <c r="CD60" s="1124">
        <f>+Details!AK60-Base!AK60</f>
        <v>0</v>
      </c>
      <c r="CE60" s="1124">
        <f>+Details!AL60-Base!AL60</f>
        <v>0</v>
      </c>
      <c r="CF60" s="1124">
        <f>+Details!AM60-Base!AM60</f>
        <v>0</v>
      </c>
      <c r="CG60" s="1124">
        <f>+Details!AN60-Base!AN60</f>
        <v>0</v>
      </c>
      <c r="CH60" s="1124">
        <f>+Details!AO60-Base!AO60</f>
        <v>0</v>
      </c>
      <c r="CI60" s="1124">
        <f>+Details!AP60-Base!AP60</f>
        <v>0</v>
      </c>
      <c r="CJ60" s="1124">
        <f>+Details!AQ60-Base!AQ60</f>
        <v>0</v>
      </c>
      <c r="CK60" s="1124">
        <f>+Details!AR60-Base!AR60</f>
        <v>0</v>
      </c>
      <c r="CL60" s="1124">
        <f>+Details!AS60-Base!AS60</f>
        <v>0</v>
      </c>
      <c r="CM60" s="15"/>
    </row>
    <row r="61" spans="1:91" ht="18" customHeight="1">
      <c r="B61" s="1766" t="s">
        <v>482</v>
      </c>
      <c r="C61" s="1496" t="str">
        <f>IF(OR(SS_re_pc=0,SS_re_yr=0),".","Reduction of " &amp; (SS_re_pc*100) &amp; "% in " &amp; SS_re_yr)</f>
        <v>Reduction of 23% in 2035</v>
      </c>
      <c r="D61" s="1315"/>
      <c r="E61" s="29">
        <f t="shared" si="30"/>
        <v>1516900</v>
      </c>
      <c r="F61" s="29">
        <f>(+F49+F60)</f>
        <v>0</v>
      </c>
      <c r="G61" s="1124">
        <f>(+G49+G60)</f>
        <v>0</v>
      </c>
      <c r="H61" s="1124">
        <f t="shared" ref="H61:AS61" si="57">(+H49+H60)</f>
        <v>0</v>
      </c>
      <c r="I61" s="1124">
        <f t="shared" si="57"/>
        <v>0</v>
      </c>
      <c r="J61" s="1124">
        <f t="shared" si="57"/>
        <v>0</v>
      </c>
      <c r="K61" s="1124">
        <f t="shared" si="57"/>
        <v>22100</v>
      </c>
      <c r="L61" s="1124">
        <f t="shared" si="57"/>
        <v>22500</v>
      </c>
      <c r="M61" s="1124">
        <f t="shared" si="57"/>
        <v>23000</v>
      </c>
      <c r="N61" s="1124">
        <f t="shared" si="57"/>
        <v>69900</v>
      </c>
      <c r="O61" s="1124">
        <f t="shared" si="57"/>
        <v>71300</v>
      </c>
      <c r="P61" s="1124">
        <f t="shared" si="57"/>
        <v>72700</v>
      </c>
      <c r="Q61" s="1124">
        <f t="shared" si="57"/>
        <v>74200</v>
      </c>
      <c r="R61" s="1124">
        <f t="shared" si="57"/>
        <v>75700</v>
      </c>
      <c r="S61" s="1124">
        <f t="shared" si="57"/>
        <v>77200</v>
      </c>
      <c r="T61" s="1124">
        <f t="shared" si="57"/>
        <v>78700</v>
      </c>
      <c r="U61" s="1124">
        <f t="shared" si="57"/>
        <v>80200</v>
      </c>
      <c r="V61" s="1124">
        <f t="shared" si="57"/>
        <v>63000</v>
      </c>
      <c r="W61" s="1124">
        <f t="shared" si="57"/>
        <v>64200</v>
      </c>
      <c r="X61" s="1124">
        <f t="shared" si="57"/>
        <v>65500</v>
      </c>
      <c r="Y61" s="1124">
        <f t="shared" si="57"/>
        <v>66800</v>
      </c>
      <c r="Z61" s="1124">
        <f t="shared" si="57"/>
        <v>68100</v>
      </c>
      <c r="AA61" s="1124">
        <f t="shared" si="57"/>
        <v>69500</v>
      </c>
      <c r="AB61" s="1124">
        <f t="shared" si="57"/>
        <v>70900</v>
      </c>
      <c r="AC61" s="1124">
        <f t="shared" si="57"/>
        <v>72300</v>
      </c>
      <c r="AD61" s="1124">
        <f t="shared" si="57"/>
        <v>49000</v>
      </c>
      <c r="AE61" s="1124">
        <f t="shared" si="57"/>
        <v>50000</v>
      </c>
      <c r="AF61" s="1124">
        <f t="shared" si="57"/>
        <v>51000</v>
      </c>
      <c r="AG61" s="1124">
        <f t="shared" si="57"/>
        <v>52000</v>
      </c>
      <c r="AH61" s="1124">
        <f t="shared" si="57"/>
        <v>53000</v>
      </c>
      <c r="AI61" s="1124">
        <f t="shared" si="57"/>
        <v>54100</v>
      </c>
      <c r="AJ61" s="1124">
        <f t="shared" si="57"/>
        <v>0</v>
      </c>
      <c r="AK61" s="1124">
        <f t="shared" si="57"/>
        <v>0</v>
      </c>
      <c r="AL61" s="1124">
        <f t="shared" si="57"/>
        <v>0</v>
      </c>
      <c r="AM61" s="1124">
        <f t="shared" si="57"/>
        <v>0</v>
      </c>
      <c r="AN61" s="1124">
        <f t="shared" si="57"/>
        <v>0</v>
      </c>
      <c r="AO61" s="1124">
        <f t="shared" si="57"/>
        <v>0</v>
      </c>
      <c r="AP61" s="1124">
        <f t="shared" si="57"/>
        <v>0</v>
      </c>
      <c r="AQ61" s="1124">
        <f t="shared" si="57"/>
        <v>0</v>
      </c>
      <c r="AR61" s="1124">
        <f t="shared" si="57"/>
        <v>0</v>
      </c>
      <c r="AS61" s="1124">
        <f t="shared" si="57"/>
        <v>0</v>
      </c>
      <c r="AT61" s="3"/>
      <c r="AU61" s="29">
        <f>+Details!E61</f>
        <v>1516900</v>
      </c>
      <c r="AV61" s="81">
        <f t="shared" si="55"/>
        <v>0</v>
      </c>
      <c r="AW61" s="102"/>
      <c r="AY61" s="31">
        <f>+Details!F61-Base!F61</f>
        <v>0</v>
      </c>
      <c r="AZ61" s="1124">
        <f>+Details!G61-Base!G61</f>
        <v>0</v>
      </c>
      <c r="BA61" s="1124">
        <f>+Details!H61-Base!H61</f>
        <v>0</v>
      </c>
      <c r="BB61" s="1124">
        <f>+Details!I61-Base!I61</f>
        <v>0</v>
      </c>
      <c r="BC61" s="1124">
        <f>+Details!J61-Base!J61</f>
        <v>0</v>
      </c>
      <c r="BD61" s="1124">
        <f>+Details!K61-Base!K61</f>
        <v>0</v>
      </c>
      <c r="BE61" s="1124">
        <f>+Details!L61-Base!L61</f>
        <v>0</v>
      </c>
      <c r="BF61" s="1124">
        <f>+Details!M61-Base!M61</f>
        <v>0</v>
      </c>
      <c r="BG61" s="1124">
        <f>+Details!N61-Base!N61</f>
        <v>0</v>
      </c>
      <c r="BH61" s="1124">
        <f>+Details!O61-Base!O61</f>
        <v>0</v>
      </c>
      <c r="BI61" s="1124">
        <f>+Details!P61-Base!P61</f>
        <v>0</v>
      </c>
      <c r="BJ61" s="1124">
        <f>+Details!Q61-Base!Q61</f>
        <v>0</v>
      </c>
      <c r="BK61" s="1124">
        <f>+Details!R61-Base!R61</f>
        <v>0</v>
      </c>
      <c r="BL61" s="1124">
        <f>+Details!S61-Base!S61</f>
        <v>0</v>
      </c>
      <c r="BM61" s="1124">
        <f>+Details!T61-Base!T61</f>
        <v>0</v>
      </c>
      <c r="BN61" s="1124">
        <f>+Details!U61-Base!U61</f>
        <v>0</v>
      </c>
      <c r="BO61" s="1124">
        <f>+Details!V61-Base!V61</f>
        <v>0</v>
      </c>
      <c r="BP61" s="1124">
        <f>+Details!W61-Base!W61</f>
        <v>0</v>
      </c>
      <c r="BQ61" s="1124">
        <f>+Details!X61-Base!X61</f>
        <v>0</v>
      </c>
      <c r="BR61" s="1124">
        <f>+Details!Y61-Base!Y61</f>
        <v>0</v>
      </c>
      <c r="BS61" s="1124">
        <f>+Details!Z61-Base!Z61</f>
        <v>0</v>
      </c>
      <c r="BT61" s="1124">
        <f>+Details!AA61-Base!AA61</f>
        <v>0</v>
      </c>
      <c r="BU61" s="1124">
        <f>+Details!AB61-Base!AB61</f>
        <v>0</v>
      </c>
      <c r="BV61" s="1124">
        <f>+Details!AC61-Base!AC61</f>
        <v>0</v>
      </c>
      <c r="BW61" s="1124">
        <f>+Details!AD61-Base!AD61</f>
        <v>0</v>
      </c>
      <c r="BX61" s="1124">
        <f>+Details!AE61-Base!AE61</f>
        <v>0</v>
      </c>
      <c r="BY61" s="1124">
        <f>+Details!AF61-Base!AF61</f>
        <v>0</v>
      </c>
      <c r="BZ61" s="1124">
        <f>+Details!AG61-Base!AG61</f>
        <v>0</v>
      </c>
      <c r="CA61" s="1124">
        <f>+Details!AH61-Base!AH61</f>
        <v>0</v>
      </c>
      <c r="CB61" s="1124">
        <f>+Details!AI61-Base!AI61</f>
        <v>0</v>
      </c>
      <c r="CC61" s="1124">
        <f>+Details!AJ61-Base!AJ61</f>
        <v>0</v>
      </c>
      <c r="CD61" s="1124">
        <f>+Details!AK61-Base!AK61</f>
        <v>0</v>
      </c>
      <c r="CE61" s="1124">
        <f>+Details!AL61-Base!AL61</f>
        <v>0</v>
      </c>
      <c r="CF61" s="1124">
        <f>+Details!AM61-Base!AM61</f>
        <v>0</v>
      </c>
      <c r="CG61" s="1124">
        <f>+Details!AN61-Base!AN61</f>
        <v>0</v>
      </c>
      <c r="CH61" s="1124">
        <f>+Details!AO61-Base!AO61</f>
        <v>0</v>
      </c>
      <c r="CI61" s="1124">
        <f>+Details!AP61-Base!AP61</f>
        <v>0</v>
      </c>
      <c r="CJ61" s="1124">
        <f>+Details!AQ61-Base!AQ61</f>
        <v>0</v>
      </c>
      <c r="CK61" s="1124">
        <f>+Details!AR61-Base!AR61</f>
        <v>0</v>
      </c>
      <c r="CL61" s="1124">
        <f>+Details!AS61-Base!AS61</f>
        <v>0</v>
      </c>
      <c r="CM61" s="81"/>
    </row>
    <row r="62" spans="1:91" s="1" customFormat="1" ht="19.95" hidden="1" customHeight="1">
      <c r="A62" s="1427" t="s">
        <v>1578</v>
      </c>
      <c r="B62" s="511" t="s">
        <v>1077</v>
      </c>
      <c r="C62" s="437"/>
      <c r="D62" s="209"/>
      <c r="E62" s="102">
        <f>SUM(F62:AS62)</f>
        <v>144000</v>
      </c>
      <c r="F62" s="4">
        <f>IF(SPIA_From="t",IF(OR(SPIA_Amt=0,SPIA_Age=0),0,ROUND(IF(SPIA_Start&lt;=F$4,SPIA_Income,0)/Round_To,0)*Round_To),0)</f>
        <v>0</v>
      </c>
      <c r="G62" s="1124">
        <f t="shared" ref="G62:AS62" si="58">IF(SPIA_From="t",IF(OR(SPIA_Amt=0,SPIA_Age=0),0,ROUND(IF(OR(AND(SPIA_End&lt;G$4,SPIA_End&lt;&gt;""),OR(SPIA_Income=0,SPIA_Start&gt;G$4,Your_Age_End&lt;G$4)),0,IF(SPIA_Start=G$4,SPIA_Income,IF(F62&gt;0,(+F62*(1+SPIA_Esc)))))/Round_To,0)*Round_To),0)</f>
        <v>0</v>
      </c>
      <c r="H62" s="1124">
        <f t="shared" si="58"/>
        <v>0</v>
      </c>
      <c r="I62" s="1124">
        <f t="shared" si="58"/>
        <v>0</v>
      </c>
      <c r="J62" s="1124">
        <f t="shared" si="58"/>
        <v>0</v>
      </c>
      <c r="K62" s="1124">
        <f t="shared" si="58"/>
        <v>0</v>
      </c>
      <c r="L62" s="1124">
        <f t="shared" si="58"/>
        <v>0</v>
      </c>
      <c r="M62" s="1124">
        <f t="shared" si="58"/>
        <v>0</v>
      </c>
      <c r="N62" s="1124">
        <f t="shared" si="58"/>
        <v>0</v>
      </c>
      <c r="O62" s="1124">
        <f t="shared" si="58"/>
        <v>0</v>
      </c>
      <c r="P62" s="1124">
        <f t="shared" si="58"/>
        <v>0</v>
      </c>
      <c r="Q62" s="1124">
        <f t="shared" si="58"/>
        <v>0</v>
      </c>
      <c r="R62" s="1124">
        <f t="shared" si="58"/>
        <v>0</v>
      </c>
      <c r="S62" s="1124">
        <f t="shared" si="58"/>
        <v>0</v>
      </c>
      <c r="T62" s="1124">
        <f t="shared" si="58"/>
        <v>9000</v>
      </c>
      <c r="U62" s="1124">
        <f t="shared" si="58"/>
        <v>9000</v>
      </c>
      <c r="V62" s="1124">
        <f t="shared" si="58"/>
        <v>9000</v>
      </c>
      <c r="W62" s="1124">
        <f t="shared" si="58"/>
        <v>9000</v>
      </c>
      <c r="X62" s="1124">
        <f t="shared" si="58"/>
        <v>9000</v>
      </c>
      <c r="Y62" s="1124">
        <f t="shared" si="58"/>
        <v>9000</v>
      </c>
      <c r="Z62" s="1124">
        <f t="shared" si="58"/>
        <v>9000</v>
      </c>
      <c r="AA62" s="1124">
        <f t="shared" si="58"/>
        <v>9000</v>
      </c>
      <c r="AB62" s="1124">
        <f t="shared" si="58"/>
        <v>9000</v>
      </c>
      <c r="AC62" s="1124">
        <f t="shared" si="58"/>
        <v>9000</v>
      </c>
      <c r="AD62" s="1124">
        <f t="shared" si="58"/>
        <v>9000</v>
      </c>
      <c r="AE62" s="1124">
        <f t="shared" si="58"/>
        <v>9000</v>
      </c>
      <c r="AF62" s="1124">
        <f t="shared" si="58"/>
        <v>9000</v>
      </c>
      <c r="AG62" s="1124">
        <f t="shared" si="58"/>
        <v>9000</v>
      </c>
      <c r="AH62" s="1124">
        <f t="shared" si="58"/>
        <v>9000</v>
      </c>
      <c r="AI62" s="1124">
        <f t="shared" si="58"/>
        <v>9000</v>
      </c>
      <c r="AJ62" s="1124">
        <f t="shared" si="58"/>
        <v>0</v>
      </c>
      <c r="AK62" s="1124">
        <f t="shared" si="58"/>
        <v>0</v>
      </c>
      <c r="AL62" s="1124">
        <f t="shared" si="58"/>
        <v>0</v>
      </c>
      <c r="AM62" s="1124">
        <f t="shared" si="58"/>
        <v>0</v>
      </c>
      <c r="AN62" s="1124">
        <f t="shared" si="58"/>
        <v>0</v>
      </c>
      <c r="AO62" s="1124">
        <f t="shared" si="58"/>
        <v>0</v>
      </c>
      <c r="AP62" s="1124">
        <f t="shared" si="58"/>
        <v>0</v>
      </c>
      <c r="AQ62" s="1124">
        <f t="shared" si="58"/>
        <v>0</v>
      </c>
      <c r="AR62" s="1124">
        <f t="shared" si="58"/>
        <v>0</v>
      </c>
      <c r="AS62" s="1124">
        <f t="shared" si="58"/>
        <v>0</v>
      </c>
      <c r="AT62" s="89"/>
      <c r="AU62" s="102">
        <f>+Details!E62</f>
        <v>144000</v>
      </c>
      <c r="AV62" s="103">
        <f t="shared" ref="AV62:AV68" si="59">+E62-AU62</f>
        <v>0</v>
      </c>
      <c r="AW62" s="102"/>
      <c r="AY62" s="31">
        <f>+Details!F62-Base!F62</f>
        <v>0</v>
      </c>
      <c r="AZ62" s="1124">
        <f>+Details!G62-Base!G62</f>
        <v>0</v>
      </c>
      <c r="BA62" s="1124">
        <f>+Details!H62-Base!H62</f>
        <v>0</v>
      </c>
      <c r="BB62" s="1124">
        <f>+Details!I62-Base!I62</f>
        <v>0</v>
      </c>
      <c r="BC62" s="1124">
        <f>+Details!J62-Base!J62</f>
        <v>0</v>
      </c>
      <c r="BD62" s="1124">
        <f>+Details!K62-Base!K62</f>
        <v>0</v>
      </c>
      <c r="BE62" s="1124">
        <f>+Details!L62-Base!L62</f>
        <v>0</v>
      </c>
      <c r="BF62" s="1124">
        <f>+Details!M62-Base!M62</f>
        <v>0</v>
      </c>
      <c r="BG62" s="1124">
        <f>+Details!N62-Base!N62</f>
        <v>0</v>
      </c>
      <c r="BH62" s="1124">
        <f>+Details!O62-Base!O62</f>
        <v>0</v>
      </c>
      <c r="BI62" s="1124">
        <f>+Details!P62-Base!P62</f>
        <v>0</v>
      </c>
      <c r="BJ62" s="1124">
        <f>+Details!Q62-Base!Q62</f>
        <v>0</v>
      </c>
      <c r="BK62" s="1124">
        <f>+Details!R62-Base!R62</f>
        <v>0</v>
      </c>
      <c r="BL62" s="1124">
        <f>+Details!S62-Base!S62</f>
        <v>0</v>
      </c>
      <c r="BM62" s="1124">
        <f>+Details!T62-Base!T62</f>
        <v>0</v>
      </c>
      <c r="BN62" s="1124">
        <f>+Details!U62-Base!U62</f>
        <v>0</v>
      </c>
      <c r="BO62" s="1124">
        <f>+Details!V62-Base!V62</f>
        <v>0</v>
      </c>
      <c r="BP62" s="1124">
        <f>+Details!W62-Base!W62</f>
        <v>0</v>
      </c>
      <c r="BQ62" s="1124">
        <f>+Details!X62-Base!X62</f>
        <v>0</v>
      </c>
      <c r="BR62" s="1124">
        <f>+Details!Y62-Base!Y62</f>
        <v>0</v>
      </c>
      <c r="BS62" s="1124">
        <f>+Details!Z62-Base!Z62</f>
        <v>0</v>
      </c>
      <c r="BT62" s="1124">
        <f>+Details!AA62-Base!AA62</f>
        <v>0</v>
      </c>
      <c r="BU62" s="1124">
        <f>+Details!AB62-Base!AB62</f>
        <v>0</v>
      </c>
      <c r="BV62" s="1124">
        <f>+Details!AC62-Base!AC62</f>
        <v>0</v>
      </c>
      <c r="BW62" s="1124">
        <f>+Details!AD62-Base!AD62</f>
        <v>0</v>
      </c>
      <c r="BX62" s="1124">
        <f>+Details!AE62-Base!AE62</f>
        <v>0</v>
      </c>
      <c r="BY62" s="1124">
        <f>+Details!AF62-Base!AF62</f>
        <v>0</v>
      </c>
      <c r="BZ62" s="1124">
        <f>+Details!AG62-Base!AG62</f>
        <v>0</v>
      </c>
      <c r="CA62" s="1124">
        <f>+Details!AH62-Base!AH62</f>
        <v>0</v>
      </c>
      <c r="CB62" s="1124">
        <f>+Details!AI62-Base!AI62</f>
        <v>0</v>
      </c>
      <c r="CC62" s="1124">
        <f>+Details!AJ62-Base!AJ62</f>
        <v>0</v>
      </c>
      <c r="CD62" s="1124">
        <f>+Details!AK62-Base!AK62</f>
        <v>0</v>
      </c>
      <c r="CE62" s="1124">
        <f>+Details!AL62-Base!AL62</f>
        <v>0</v>
      </c>
      <c r="CF62" s="1124">
        <f>+Details!AM62-Base!AM62</f>
        <v>0</v>
      </c>
      <c r="CG62" s="1124">
        <f>+Details!AN62-Base!AN62</f>
        <v>0</v>
      </c>
      <c r="CH62" s="1124">
        <f>+Details!AO62-Base!AO62</f>
        <v>0</v>
      </c>
      <c r="CI62" s="1124">
        <f>+Details!AP62-Base!AP62</f>
        <v>0</v>
      </c>
      <c r="CJ62" s="1124">
        <f>+Details!AQ62-Base!AQ62</f>
        <v>0</v>
      </c>
      <c r="CK62" s="1124">
        <f>+Details!AR62-Base!AR62</f>
        <v>0</v>
      </c>
      <c r="CL62" s="1124">
        <f>+Details!AS62-Base!AS62</f>
        <v>0</v>
      </c>
      <c r="CM62" s="103"/>
    </row>
    <row r="63" spans="1:91" ht="15.75" hidden="1" customHeight="1">
      <c r="A63" s="1427" t="s">
        <v>1578</v>
      </c>
      <c r="B63" s="1765" t="s">
        <v>1079</v>
      </c>
      <c r="C63" s="437"/>
      <c r="D63" s="37"/>
      <c r="E63" s="29">
        <f>SUM(F63:AS63)</f>
        <v>0</v>
      </c>
      <c r="F63" s="4">
        <f>IF(SPIA_From="i",IF(OR(SPIA_Amt=0,SPIA_Age=0),0,ROUND(IF(SPIA_Start&lt;=F$4,SPIA_Income,0)/Round_To,0)*Round_To),0)</f>
        <v>0</v>
      </c>
      <c r="G63" s="1124">
        <f t="shared" ref="G63:AS63" si="60">IF(SPIA_From="i",IF(OR(SPIA_Amt=0,SPIA_Age=0),0,ROUND(IF(OR(AND(SPIA_End&lt;G$4,SPIA_End&lt;&gt;""),OR(SPIA_Income=0,SPIA_Start&gt;G$4,Your_Age_End&lt;G$4)),0,IF(SPIA_Start=G$4,SPIA_Income,IF(F63&gt;0,(+F63*(1+SPIA_Esc)))))/Round_To,0)*Round_To),0)</f>
        <v>0</v>
      </c>
      <c r="H63" s="1124">
        <f t="shared" si="60"/>
        <v>0</v>
      </c>
      <c r="I63" s="1124">
        <f t="shared" si="60"/>
        <v>0</v>
      </c>
      <c r="J63" s="1124">
        <f t="shared" si="60"/>
        <v>0</v>
      </c>
      <c r="K63" s="1124">
        <f t="shared" si="60"/>
        <v>0</v>
      </c>
      <c r="L63" s="1124">
        <f t="shared" si="60"/>
        <v>0</v>
      </c>
      <c r="M63" s="1124">
        <f t="shared" si="60"/>
        <v>0</v>
      </c>
      <c r="N63" s="1124">
        <f t="shared" si="60"/>
        <v>0</v>
      </c>
      <c r="O63" s="1124">
        <f t="shared" si="60"/>
        <v>0</v>
      </c>
      <c r="P63" s="1124">
        <f t="shared" si="60"/>
        <v>0</v>
      </c>
      <c r="Q63" s="1124">
        <f t="shared" si="60"/>
        <v>0</v>
      </c>
      <c r="R63" s="1124">
        <f t="shared" si="60"/>
        <v>0</v>
      </c>
      <c r="S63" s="1124">
        <f t="shared" si="60"/>
        <v>0</v>
      </c>
      <c r="T63" s="1124">
        <f t="shared" si="60"/>
        <v>0</v>
      </c>
      <c r="U63" s="1124">
        <f t="shared" si="60"/>
        <v>0</v>
      </c>
      <c r="V63" s="1124">
        <f t="shared" si="60"/>
        <v>0</v>
      </c>
      <c r="W63" s="1124">
        <f t="shared" si="60"/>
        <v>0</v>
      </c>
      <c r="X63" s="1124">
        <f t="shared" si="60"/>
        <v>0</v>
      </c>
      <c r="Y63" s="1124">
        <f t="shared" si="60"/>
        <v>0</v>
      </c>
      <c r="Z63" s="1124">
        <f t="shared" si="60"/>
        <v>0</v>
      </c>
      <c r="AA63" s="1124">
        <f t="shared" si="60"/>
        <v>0</v>
      </c>
      <c r="AB63" s="1124">
        <f t="shared" si="60"/>
        <v>0</v>
      </c>
      <c r="AC63" s="1124">
        <f t="shared" si="60"/>
        <v>0</v>
      </c>
      <c r="AD63" s="1124">
        <f t="shared" si="60"/>
        <v>0</v>
      </c>
      <c r="AE63" s="1124">
        <f t="shared" si="60"/>
        <v>0</v>
      </c>
      <c r="AF63" s="1124">
        <f t="shared" si="60"/>
        <v>0</v>
      </c>
      <c r="AG63" s="1124">
        <f t="shared" si="60"/>
        <v>0</v>
      </c>
      <c r="AH63" s="1124">
        <f t="shared" si="60"/>
        <v>0</v>
      </c>
      <c r="AI63" s="1124">
        <f t="shared" si="60"/>
        <v>0</v>
      </c>
      <c r="AJ63" s="1124">
        <f t="shared" si="60"/>
        <v>0</v>
      </c>
      <c r="AK63" s="1124">
        <f t="shared" si="60"/>
        <v>0</v>
      </c>
      <c r="AL63" s="1124">
        <f t="shared" si="60"/>
        <v>0</v>
      </c>
      <c r="AM63" s="1124">
        <f t="shared" si="60"/>
        <v>0</v>
      </c>
      <c r="AN63" s="1124">
        <f t="shared" si="60"/>
        <v>0</v>
      </c>
      <c r="AO63" s="1124">
        <f t="shared" si="60"/>
        <v>0</v>
      </c>
      <c r="AP63" s="1124">
        <f t="shared" si="60"/>
        <v>0</v>
      </c>
      <c r="AQ63" s="1124">
        <f t="shared" si="60"/>
        <v>0</v>
      </c>
      <c r="AR63" s="1124">
        <f t="shared" si="60"/>
        <v>0</v>
      </c>
      <c r="AS63" s="1124">
        <f t="shared" si="60"/>
        <v>0</v>
      </c>
      <c r="AT63" s="3"/>
      <c r="AU63" s="29">
        <f>+Details!E63</f>
        <v>0</v>
      </c>
      <c r="AV63" s="81">
        <f t="shared" si="59"/>
        <v>0</v>
      </c>
      <c r="AW63" s="102"/>
      <c r="AY63" s="31">
        <f>+Details!F63-Base!F63</f>
        <v>0</v>
      </c>
      <c r="AZ63" s="1124">
        <f>+Details!G63-Base!G63</f>
        <v>0</v>
      </c>
      <c r="BA63" s="1124">
        <f>+Details!H63-Base!H63</f>
        <v>0</v>
      </c>
      <c r="BB63" s="1124">
        <f>+Details!I63-Base!I63</f>
        <v>0</v>
      </c>
      <c r="BC63" s="1124">
        <f>+Details!J63-Base!J63</f>
        <v>0</v>
      </c>
      <c r="BD63" s="1124">
        <f>+Details!K63-Base!K63</f>
        <v>0</v>
      </c>
      <c r="BE63" s="1124">
        <f>+Details!L63-Base!L63</f>
        <v>0</v>
      </c>
      <c r="BF63" s="1124">
        <f>+Details!M63-Base!M63</f>
        <v>0</v>
      </c>
      <c r="BG63" s="1124">
        <f>+Details!N63-Base!N63</f>
        <v>0</v>
      </c>
      <c r="BH63" s="1124">
        <f>+Details!O63-Base!O63</f>
        <v>0</v>
      </c>
      <c r="BI63" s="1124">
        <f>+Details!P63-Base!P63</f>
        <v>0</v>
      </c>
      <c r="BJ63" s="1124">
        <f>+Details!Q63-Base!Q63</f>
        <v>0</v>
      </c>
      <c r="BK63" s="1124">
        <f>+Details!R63-Base!R63</f>
        <v>0</v>
      </c>
      <c r="BL63" s="1124">
        <f>+Details!S63-Base!S63</f>
        <v>0</v>
      </c>
      <c r="BM63" s="1124">
        <f>+Details!T63-Base!T63</f>
        <v>0</v>
      </c>
      <c r="BN63" s="1124">
        <f>+Details!U63-Base!U63</f>
        <v>0</v>
      </c>
      <c r="BO63" s="1124">
        <f>+Details!V63-Base!V63</f>
        <v>0</v>
      </c>
      <c r="BP63" s="1124">
        <f>+Details!W63-Base!W63</f>
        <v>0</v>
      </c>
      <c r="BQ63" s="1124">
        <f>+Details!X63-Base!X63</f>
        <v>0</v>
      </c>
      <c r="BR63" s="1124">
        <f>+Details!Y63-Base!Y63</f>
        <v>0</v>
      </c>
      <c r="BS63" s="1124">
        <f>+Details!Z63-Base!Z63</f>
        <v>0</v>
      </c>
      <c r="BT63" s="1124">
        <f>+Details!AA63-Base!AA63</f>
        <v>0</v>
      </c>
      <c r="BU63" s="1124">
        <f>+Details!AB63-Base!AB63</f>
        <v>0</v>
      </c>
      <c r="BV63" s="1124">
        <f>+Details!AC63-Base!AC63</f>
        <v>0</v>
      </c>
      <c r="BW63" s="1124">
        <f>+Details!AD63-Base!AD63</f>
        <v>0</v>
      </c>
      <c r="BX63" s="1124">
        <f>+Details!AE63-Base!AE63</f>
        <v>0</v>
      </c>
      <c r="BY63" s="1124">
        <f>+Details!AF63-Base!AF63</f>
        <v>0</v>
      </c>
      <c r="BZ63" s="1124">
        <f>+Details!AG63-Base!AG63</f>
        <v>0</v>
      </c>
      <c r="CA63" s="1124">
        <f>+Details!AH63-Base!AH63</f>
        <v>0</v>
      </c>
      <c r="CB63" s="1124">
        <f>+Details!AI63-Base!AI63</f>
        <v>0</v>
      </c>
      <c r="CC63" s="1124">
        <f>+Details!AJ63-Base!AJ63</f>
        <v>0</v>
      </c>
      <c r="CD63" s="1124">
        <f>+Details!AK63-Base!AK63</f>
        <v>0</v>
      </c>
      <c r="CE63" s="1124">
        <f>+Details!AL63-Base!AL63</f>
        <v>0</v>
      </c>
      <c r="CF63" s="1124">
        <f>+Details!AM63-Base!AM63</f>
        <v>0</v>
      </c>
      <c r="CG63" s="1124">
        <f>+Details!AN63-Base!AN63</f>
        <v>0</v>
      </c>
      <c r="CH63" s="1124">
        <f>+Details!AO63-Base!AO63</f>
        <v>0</v>
      </c>
      <c r="CI63" s="1124">
        <f>+Details!AP63-Base!AP63</f>
        <v>0</v>
      </c>
      <c r="CJ63" s="1124">
        <f>+Details!AQ63-Base!AQ63</f>
        <v>0</v>
      </c>
      <c r="CK63" s="1124">
        <f>+Details!AR63-Base!AR63</f>
        <v>0</v>
      </c>
      <c r="CL63" s="1124">
        <f>+Details!AS63-Base!AS63</f>
        <v>0</v>
      </c>
      <c r="CM63" s="81"/>
    </row>
    <row r="64" spans="1:91" ht="15.6" hidden="1">
      <c r="A64" s="1427" t="s">
        <v>1578</v>
      </c>
      <c r="B64" s="436" t="s">
        <v>762</v>
      </c>
      <c r="C64" s="437"/>
      <c r="D64" s="37"/>
      <c r="E64" s="34">
        <f>SUM(F64:AS64)</f>
        <v>0</v>
      </c>
      <c r="F64" s="1304">
        <f>IF(SPIA_From="r",IF(OR(SPIA_Amt=0,SPIA_Age=0),0,ROUND(IF(SPIA_Start&lt;=F$4,SPIA_Income,0)/Round_To,0)*Round_To),0)</f>
        <v>0</v>
      </c>
      <c r="G64" s="1125">
        <f t="shared" ref="G64:AS64" si="61">IF(SPIA_From="r",IF(OR(SPIA_Amt=0,SPIA_Age=0),0,ROUND(IF(OR(AND(SPIA_End&lt;G$4,SPIA_End&lt;&gt;""),OR(SPIA_Income=0,SPIA_Start&gt;G$4,Your_Age_End&lt;G$4)),0,IF(SPIA_Start=G$4,SPIA_Income,IF(F64&gt;0,(+F64*(1+SPIA_Esc)))))/Round_To,0)*Round_To),0)</f>
        <v>0</v>
      </c>
      <c r="H64" s="1125">
        <f t="shared" si="61"/>
        <v>0</v>
      </c>
      <c r="I64" s="1125">
        <f t="shared" si="61"/>
        <v>0</v>
      </c>
      <c r="J64" s="1125">
        <f t="shared" si="61"/>
        <v>0</v>
      </c>
      <c r="K64" s="1125">
        <f t="shared" si="61"/>
        <v>0</v>
      </c>
      <c r="L64" s="1125">
        <f t="shared" si="61"/>
        <v>0</v>
      </c>
      <c r="M64" s="1125">
        <f t="shared" si="61"/>
        <v>0</v>
      </c>
      <c r="N64" s="1125">
        <f t="shared" si="61"/>
        <v>0</v>
      </c>
      <c r="O64" s="1125">
        <f t="shared" si="61"/>
        <v>0</v>
      </c>
      <c r="P64" s="1125">
        <f t="shared" si="61"/>
        <v>0</v>
      </c>
      <c r="Q64" s="1125">
        <f t="shared" si="61"/>
        <v>0</v>
      </c>
      <c r="R64" s="1125">
        <f t="shared" si="61"/>
        <v>0</v>
      </c>
      <c r="S64" s="1125">
        <f t="shared" si="61"/>
        <v>0</v>
      </c>
      <c r="T64" s="1125">
        <f t="shared" si="61"/>
        <v>0</v>
      </c>
      <c r="U64" s="1125">
        <f t="shared" si="61"/>
        <v>0</v>
      </c>
      <c r="V64" s="1125">
        <f t="shared" si="61"/>
        <v>0</v>
      </c>
      <c r="W64" s="1125">
        <f t="shared" si="61"/>
        <v>0</v>
      </c>
      <c r="X64" s="1125">
        <f t="shared" si="61"/>
        <v>0</v>
      </c>
      <c r="Y64" s="1125">
        <f t="shared" si="61"/>
        <v>0</v>
      </c>
      <c r="Z64" s="1125">
        <f t="shared" si="61"/>
        <v>0</v>
      </c>
      <c r="AA64" s="1125">
        <f t="shared" si="61"/>
        <v>0</v>
      </c>
      <c r="AB64" s="1125">
        <f t="shared" si="61"/>
        <v>0</v>
      </c>
      <c r="AC64" s="1125">
        <f t="shared" si="61"/>
        <v>0</v>
      </c>
      <c r="AD64" s="1125">
        <f t="shared" si="61"/>
        <v>0</v>
      </c>
      <c r="AE64" s="1125">
        <f t="shared" si="61"/>
        <v>0</v>
      </c>
      <c r="AF64" s="1125">
        <f t="shared" si="61"/>
        <v>0</v>
      </c>
      <c r="AG64" s="1125">
        <f t="shared" si="61"/>
        <v>0</v>
      </c>
      <c r="AH64" s="1125">
        <f t="shared" si="61"/>
        <v>0</v>
      </c>
      <c r="AI64" s="1125">
        <f t="shared" si="61"/>
        <v>0</v>
      </c>
      <c r="AJ64" s="1125">
        <f t="shared" si="61"/>
        <v>0</v>
      </c>
      <c r="AK64" s="1125">
        <f t="shared" si="61"/>
        <v>0</v>
      </c>
      <c r="AL64" s="1125">
        <f t="shared" si="61"/>
        <v>0</v>
      </c>
      <c r="AM64" s="1125">
        <f t="shared" si="61"/>
        <v>0</v>
      </c>
      <c r="AN64" s="1125">
        <f t="shared" si="61"/>
        <v>0</v>
      </c>
      <c r="AO64" s="1125">
        <f t="shared" si="61"/>
        <v>0</v>
      </c>
      <c r="AP64" s="1125">
        <f t="shared" si="61"/>
        <v>0</v>
      </c>
      <c r="AQ64" s="1125">
        <f t="shared" si="61"/>
        <v>0</v>
      </c>
      <c r="AR64" s="1125">
        <f t="shared" si="61"/>
        <v>0</v>
      </c>
      <c r="AS64" s="1125">
        <f t="shared" si="61"/>
        <v>0</v>
      </c>
      <c r="AT64" s="3"/>
      <c r="AU64" s="34">
        <f>+Details!E64</f>
        <v>0</v>
      </c>
      <c r="AV64" s="83">
        <f t="shared" si="59"/>
        <v>0</v>
      </c>
      <c r="AW64" s="102"/>
      <c r="AY64" s="38">
        <f>+Details!F64-Base!F64</f>
        <v>0</v>
      </c>
      <c r="AZ64" s="1125">
        <f>+Details!G64-Base!G64</f>
        <v>0</v>
      </c>
      <c r="BA64" s="1125">
        <f>+Details!H64-Base!H64</f>
        <v>0</v>
      </c>
      <c r="BB64" s="1125">
        <f>+Details!I64-Base!I64</f>
        <v>0</v>
      </c>
      <c r="BC64" s="1125">
        <f>+Details!J64-Base!J64</f>
        <v>0</v>
      </c>
      <c r="BD64" s="1125">
        <f>+Details!K64-Base!K64</f>
        <v>0</v>
      </c>
      <c r="BE64" s="1125">
        <f>+Details!L64-Base!L64</f>
        <v>0</v>
      </c>
      <c r="BF64" s="1125">
        <f>+Details!M64-Base!M64</f>
        <v>0</v>
      </c>
      <c r="BG64" s="1125">
        <f>+Details!N64-Base!N64</f>
        <v>0</v>
      </c>
      <c r="BH64" s="1125">
        <f>+Details!O64-Base!O64</f>
        <v>0</v>
      </c>
      <c r="BI64" s="1125">
        <f>+Details!P64-Base!P64</f>
        <v>0</v>
      </c>
      <c r="BJ64" s="1125">
        <f>+Details!Q64-Base!Q64</f>
        <v>0</v>
      </c>
      <c r="BK64" s="1125">
        <f>+Details!R64-Base!R64</f>
        <v>0</v>
      </c>
      <c r="BL64" s="1125">
        <f>+Details!S64-Base!S64</f>
        <v>0</v>
      </c>
      <c r="BM64" s="1125">
        <f>+Details!T64-Base!T64</f>
        <v>0</v>
      </c>
      <c r="BN64" s="1125">
        <f>+Details!U64-Base!U64</f>
        <v>0</v>
      </c>
      <c r="BO64" s="1125">
        <f>+Details!V64-Base!V64</f>
        <v>0</v>
      </c>
      <c r="BP64" s="1125">
        <f>+Details!W64-Base!W64</f>
        <v>0</v>
      </c>
      <c r="BQ64" s="1125">
        <f>+Details!X64-Base!X64</f>
        <v>0</v>
      </c>
      <c r="BR64" s="1125">
        <f>+Details!Y64-Base!Y64</f>
        <v>0</v>
      </c>
      <c r="BS64" s="1125">
        <f>+Details!Z64-Base!Z64</f>
        <v>0</v>
      </c>
      <c r="BT64" s="1125">
        <f>+Details!AA64-Base!AA64</f>
        <v>0</v>
      </c>
      <c r="BU64" s="1125">
        <f>+Details!AB64-Base!AB64</f>
        <v>0</v>
      </c>
      <c r="BV64" s="1125">
        <f>+Details!AC64-Base!AC64</f>
        <v>0</v>
      </c>
      <c r="BW64" s="1125">
        <f>+Details!AD64-Base!AD64</f>
        <v>0</v>
      </c>
      <c r="BX64" s="1125">
        <f>+Details!AE64-Base!AE64</f>
        <v>0</v>
      </c>
      <c r="BY64" s="1125">
        <f>+Details!AF64-Base!AF64</f>
        <v>0</v>
      </c>
      <c r="BZ64" s="1125">
        <f>+Details!AG64-Base!AG64</f>
        <v>0</v>
      </c>
      <c r="CA64" s="1125">
        <f>+Details!AH64-Base!AH64</f>
        <v>0</v>
      </c>
      <c r="CB64" s="1125">
        <f>+Details!AI64-Base!AI64</f>
        <v>0</v>
      </c>
      <c r="CC64" s="1125">
        <f>+Details!AJ64-Base!AJ64</f>
        <v>0</v>
      </c>
      <c r="CD64" s="1125">
        <f>+Details!AK64-Base!AK64</f>
        <v>0</v>
      </c>
      <c r="CE64" s="1125">
        <f>+Details!AL64-Base!AL64</f>
        <v>0</v>
      </c>
      <c r="CF64" s="1125">
        <f>+Details!AM64-Base!AM64</f>
        <v>0</v>
      </c>
      <c r="CG64" s="1125">
        <f>+Details!AN64-Base!AN64</f>
        <v>0</v>
      </c>
      <c r="CH64" s="1125">
        <f>+Details!AO64-Base!AO64</f>
        <v>0</v>
      </c>
      <c r="CI64" s="1125">
        <f>+Details!AP64-Base!AP64</f>
        <v>0</v>
      </c>
      <c r="CJ64" s="1125">
        <f>+Details!AQ64-Base!AQ64</f>
        <v>0</v>
      </c>
      <c r="CK64" s="1125">
        <f>+Details!AR64-Base!AR64</f>
        <v>0</v>
      </c>
      <c r="CL64" s="1125">
        <f>+Details!AS64-Base!AS64</f>
        <v>0</v>
      </c>
      <c r="CM64" s="103"/>
    </row>
    <row r="65" spans="1:91" s="1" customFormat="1" ht="18" customHeight="1">
      <c r="A65" s="1425"/>
      <c r="B65" s="720" t="s">
        <v>603</v>
      </c>
      <c r="C65" s="437"/>
      <c r="D65" s="969" t="str">
        <f>"using " &amp; IF(SPIA_From="t","Taxable",IF(SPIA_From="I","Traditional IRA","Roth IRA")) &amp; " account"</f>
        <v>using Taxable account</v>
      </c>
      <c r="E65" s="29">
        <f>SUM(F65:AS65)</f>
        <v>144000</v>
      </c>
      <c r="F65" s="29">
        <f>(+F62+F63+F64)</f>
        <v>0</v>
      </c>
      <c r="G65" s="1147">
        <f t="shared" ref="G65:AS65" si="62">(+G62+G63+G64)</f>
        <v>0</v>
      </c>
      <c r="H65" s="1124">
        <f t="shared" si="62"/>
        <v>0</v>
      </c>
      <c r="I65" s="1124">
        <f t="shared" si="62"/>
        <v>0</v>
      </c>
      <c r="J65" s="1124">
        <f t="shared" si="62"/>
        <v>0</v>
      </c>
      <c r="K65" s="1124">
        <f t="shared" si="62"/>
        <v>0</v>
      </c>
      <c r="L65" s="1124">
        <f t="shared" si="62"/>
        <v>0</v>
      </c>
      <c r="M65" s="1124">
        <f t="shared" si="62"/>
        <v>0</v>
      </c>
      <c r="N65" s="1124">
        <f t="shared" si="62"/>
        <v>0</v>
      </c>
      <c r="O65" s="1124">
        <f t="shared" si="62"/>
        <v>0</v>
      </c>
      <c r="P65" s="1124">
        <f t="shared" si="62"/>
        <v>0</v>
      </c>
      <c r="Q65" s="1124">
        <f t="shared" si="62"/>
        <v>0</v>
      </c>
      <c r="R65" s="1124">
        <f t="shared" si="62"/>
        <v>0</v>
      </c>
      <c r="S65" s="1124">
        <f t="shared" si="62"/>
        <v>0</v>
      </c>
      <c r="T65" s="1124">
        <f t="shared" si="62"/>
        <v>9000</v>
      </c>
      <c r="U65" s="1124">
        <f t="shared" si="62"/>
        <v>9000</v>
      </c>
      <c r="V65" s="1124">
        <f t="shared" si="62"/>
        <v>9000</v>
      </c>
      <c r="W65" s="1124">
        <f t="shared" si="62"/>
        <v>9000</v>
      </c>
      <c r="X65" s="1124">
        <f t="shared" si="62"/>
        <v>9000</v>
      </c>
      <c r="Y65" s="1124">
        <f t="shared" si="62"/>
        <v>9000</v>
      </c>
      <c r="Z65" s="1124">
        <f t="shared" si="62"/>
        <v>9000</v>
      </c>
      <c r="AA65" s="1124">
        <f t="shared" si="62"/>
        <v>9000</v>
      </c>
      <c r="AB65" s="1124">
        <f t="shared" si="62"/>
        <v>9000</v>
      </c>
      <c r="AC65" s="1124">
        <f t="shared" si="62"/>
        <v>9000</v>
      </c>
      <c r="AD65" s="1124">
        <f t="shared" si="62"/>
        <v>9000</v>
      </c>
      <c r="AE65" s="1124">
        <f t="shared" si="62"/>
        <v>9000</v>
      </c>
      <c r="AF65" s="1124">
        <f t="shared" si="62"/>
        <v>9000</v>
      </c>
      <c r="AG65" s="1124">
        <f t="shared" si="62"/>
        <v>9000</v>
      </c>
      <c r="AH65" s="1124">
        <f t="shared" si="62"/>
        <v>9000</v>
      </c>
      <c r="AI65" s="1124">
        <f t="shared" si="62"/>
        <v>9000</v>
      </c>
      <c r="AJ65" s="1124">
        <f t="shared" si="62"/>
        <v>0</v>
      </c>
      <c r="AK65" s="1124">
        <f t="shared" si="62"/>
        <v>0</v>
      </c>
      <c r="AL65" s="1124">
        <f t="shared" si="62"/>
        <v>0</v>
      </c>
      <c r="AM65" s="1124">
        <f t="shared" si="62"/>
        <v>0</v>
      </c>
      <c r="AN65" s="1124">
        <f t="shared" si="62"/>
        <v>0</v>
      </c>
      <c r="AO65" s="1124">
        <f t="shared" si="62"/>
        <v>0</v>
      </c>
      <c r="AP65" s="1124">
        <f t="shared" si="62"/>
        <v>0</v>
      </c>
      <c r="AQ65" s="1124">
        <f t="shared" si="62"/>
        <v>0</v>
      </c>
      <c r="AR65" s="1124">
        <f t="shared" si="62"/>
        <v>0</v>
      </c>
      <c r="AS65" s="1124">
        <f t="shared" si="62"/>
        <v>0</v>
      </c>
      <c r="AT65" s="89"/>
      <c r="AU65" s="29">
        <f>+Details!E65</f>
        <v>144000</v>
      </c>
      <c r="AV65" s="81">
        <f t="shared" si="59"/>
        <v>0</v>
      </c>
      <c r="AW65" s="102"/>
      <c r="AY65" s="31">
        <f>+Details!F65-Base!F65</f>
        <v>0</v>
      </c>
      <c r="AZ65" s="1124">
        <f>+Details!G65-Base!G65</f>
        <v>0</v>
      </c>
      <c r="BA65" s="1124">
        <f>+Details!H65-Base!H65</f>
        <v>0</v>
      </c>
      <c r="BB65" s="1124">
        <f>+Details!I65-Base!I65</f>
        <v>0</v>
      </c>
      <c r="BC65" s="1124">
        <f>+Details!J65-Base!J65</f>
        <v>0</v>
      </c>
      <c r="BD65" s="1124">
        <f>+Details!K65-Base!K65</f>
        <v>0</v>
      </c>
      <c r="BE65" s="1124">
        <f>+Details!L65-Base!L65</f>
        <v>0</v>
      </c>
      <c r="BF65" s="1124">
        <f>+Details!M65-Base!M65</f>
        <v>0</v>
      </c>
      <c r="BG65" s="1124">
        <f>+Details!N65-Base!N65</f>
        <v>0</v>
      </c>
      <c r="BH65" s="1124">
        <f>+Details!O65-Base!O65</f>
        <v>0</v>
      </c>
      <c r="BI65" s="1124">
        <f>+Details!P65-Base!P65</f>
        <v>0</v>
      </c>
      <c r="BJ65" s="1124">
        <f>+Details!Q65-Base!Q65</f>
        <v>0</v>
      </c>
      <c r="BK65" s="1124">
        <f>+Details!R65-Base!R65</f>
        <v>0</v>
      </c>
      <c r="BL65" s="1124">
        <f>+Details!S65-Base!S65</f>
        <v>0</v>
      </c>
      <c r="BM65" s="1124">
        <f>+Details!T65-Base!T65</f>
        <v>0</v>
      </c>
      <c r="BN65" s="1124">
        <f>+Details!U65-Base!U65</f>
        <v>0</v>
      </c>
      <c r="BO65" s="1124">
        <f>+Details!V65-Base!V65</f>
        <v>0</v>
      </c>
      <c r="BP65" s="1124">
        <f>+Details!W65-Base!W65</f>
        <v>0</v>
      </c>
      <c r="BQ65" s="1124">
        <f>+Details!X65-Base!X65</f>
        <v>0</v>
      </c>
      <c r="BR65" s="1124">
        <f>+Details!Y65-Base!Y65</f>
        <v>0</v>
      </c>
      <c r="BS65" s="1124">
        <f>+Details!Z65-Base!Z65</f>
        <v>0</v>
      </c>
      <c r="BT65" s="1124">
        <f>+Details!AA65-Base!AA65</f>
        <v>0</v>
      </c>
      <c r="BU65" s="1124">
        <f>+Details!AB65-Base!AB65</f>
        <v>0</v>
      </c>
      <c r="BV65" s="1124">
        <f>+Details!AC65-Base!AC65</f>
        <v>0</v>
      </c>
      <c r="BW65" s="1124">
        <f>+Details!AD65-Base!AD65</f>
        <v>0</v>
      </c>
      <c r="BX65" s="1124">
        <f>+Details!AE65-Base!AE65</f>
        <v>0</v>
      </c>
      <c r="BY65" s="1124">
        <f>+Details!AF65-Base!AF65</f>
        <v>0</v>
      </c>
      <c r="BZ65" s="1124">
        <f>+Details!AG65-Base!AG65</f>
        <v>0</v>
      </c>
      <c r="CA65" s="1124">
        <f>+Details!AH65-Base!AH65</f>
        <v>0</v>
      </c>
      <c r="CB65" s="1124">
        <f>+Details!AI65-Base!AI65</f>
        <v>0</v>
      </c>
      <c r="CC65" s="1124">
        <f>+Details!AJ65-Base!AJ65</f>
        <v>0</v>
      </c>
      <c r="CD65" s="1124">
        <f>+Details!AK65-Base!AK65</f>
        <v>0</v>
      </c>
      <c r="CE65" s="1124">
        <f>+Details!AL65-Base!AL65</f>
        <v>0</v>
      </c>
      <c r="CF65" s="1124">
        <f>+Details!AM65-Base!AM65</f>
        <v>0</v>
      </c>
      <c r="CG65" s="1124">
        <f>+Details!AN65-Base!AN65</f>
        <v>0</v>
      </c>
      <c r="CH65" s="1124">
        <f>+Details!AO65-Base!AO65</f>
        <v>0</v>
      </c>
      <c r="CI65" s="1124">
        <f>+Details!AP65-Base!AP65</f>
        <v>0</v>
      </c>
      <c r="CJ65" s="1124">
        <f>+Details!AQ65-Base!AQ65</f>
        <v>0</v>
      </c>
      <c r="CK65" s="1124">
        <f>+Details!AR65-Base!AR65</f>
        <v>0</v>
      </c>
      <c r="CL65" s="1124">
        <f>+Details!AS65-Base!AS65</f>
        <v>0</v>
      </c>
      <c r="CM65" s="81"/>
    </row>
    <row r="66" spans="1:91" ht="19.95" hidden="1" customHeight="1">
      <c r="A66" s="1427" t="s">
        <v>1578</v>
      </c>
      <c r="B66" s="275" t="s">
        <v>964</v>
      </c>
      <c r="C66" s="437"/>
      <c r="D66" s="1370">
        <f>Esc_OInc_Long</f>
        <v>0.03</v>
      </c>
      <c r="E66" s="29">
        <f t="shared" si="30"/>
        <v>381200</v>
      </c>
      <c r="F66" s="16">
        <f>ROUND(IF(Start_OInc_Long&lt;=F$4,Income_OInc_Long,0)/Round_To,0)*Round_To</f>
        <v>8000</v>
      </c>
      <c r="G66" s="1124">
        <f t="shared" ref="G66:AS66" si="63">ROUND(IF(OR(AND(End_OInc_Long&lt;G$4,End_OInc_Long&lt;&gt;""),OR(Income_OInc_Long=0,Start_OInc_Long&gt;G$4,Your_Age_End&lt;G$4)),0,IF(Start_OInc_Long=G$4,Income_OInc_Long,IF(F66&gt;0,(+F66*(1+Esc_OInc_Long)))))/Round_To,0)*Round_To</f>
        <v>8200</v>
      </c>
      <c r="H66" s="1124">
        <f t="shared" si="63"/>
        <v>8400</v>
      </c>
      <c r="I66" s="1124">
        <f t="shared" si="63"/>
        <v>8700</v>
      </c>
      <c r="J66" s="1124">
        <f t="shared" si="63"/>
        <v>9000</v>
      </c>
      <c r="K66" s="1124">
        <f t="shared" si="63"/>
        <v>9300</v>
      </c>
      <c r="L66" s="1124">
        <f t="shared" si="63"/>
        <v>9600</v>
      </c>
      <c r="M66" s="1124">
        <f t="shared" si="63"/>
        <v>9900</v>
      </c>
      <c r="N66" s="1124">
        <f t="shared" si="63"/>
        <v>10200</v>
      </c>
      <c r="O66" s="1124">
        <f t="shared" si="63"/>
        <v>10500</v>
      </c>
      <c r="P66" s="1124">
        <f t="shared" si="63"/>
        <v>10800</v>
      </c>
      <c r="Q66" s="1124">
        <f t="shared" si="63"/>
        <v>11100</v>
      </c>
      <c r="R66" s="1124">
        <f t="shared" si="63"/>
        <v>11400</v>
      </c>
      <c r="S66" s="1124">
        <f t="shared" si="63"/>
        <v>11700</v>
      </c>
      <c r="T66" s="1124">
        <f t="shared" si="63"/>
        <v>12100</v>
      </c>
      <c r="U66" s="1124">
        <f t="shared" si="63"/>
        <v>12500</v>
      </c>
      <c r="V66" s="1124">
        <f t="shared" si="63"/>
        <v>12900</v>
      </c>
      <c r="W66" s="1124">
        <f t="shared" si="63"/>
        <v>13300</v>
      </c>
      <c r="X66" s="1124">
        <f t="shared" si="63"/>
        <v>13700</v>
      </c>
      <c r="Y66" s="1124">
        <f t="shared" si="63"/>
        <v>14100</v>
      </c>
      <c r="Z66" s="1124">
        <f t="shared" si="63"/>
        <v>14500</v>
      </c>
      <c r="AA66" s="1124">
        <f t="shared" si="63"/>
        <v>14900</v>
      </c>
      <c r="AB66" s="1124">
        <f t="shared" si="63"/>
        <v>15300</v>
      </c>
      <c r="AC66" s="1124">
        <f t="shared" si="63"/>
        <v>15800</v>
      </c>
      <c r="AD66" s="1124">
        <f t="shared" si="63"/>
        <v>16300</v>
      </c>
      <c r="AE66" s="1124">
        <f t="shared" si="63"/>
        <v>16800</v>
      </c>
      <c r="AF66" s="1124">
        <f t="shared" si="63"/>
        <v>17300</v>
      </c>
      <c r="AG66" s="1124">
        <f t="shared" si="63"/>
        <v>17800</v>
      </c>
      <c r="AH66" s="1124">
        <f t="shared" si="63"/>
        <v>18300</v>
      </c>
      <c r="AI66" s="1124">
        <f t="shared" si="63"/>
        <v>18800</v>
      </c>
      <c r="AJ66" s="1124">
        <f t="shared" si="63"/>
        <v>0</v>
      </c>
      <c r="AK66" s="1124">
        <f t="shared" si="63"/>
        <v>0</v>
      </c>
      <c r="AL66" s="1124">
        <f t="shared" si="63"/>
        <v>0</v>
      </c>
      <c r="AM66" s="1124">
        <f t="shared" si="63"/>
        <v>0</v>
      </c>
      <c r="AN66" s="1124">
        <f t="shared" si="63"/>
        <v>0</v>
      </c>
      <c r="AO66" s="1124">
        <f t="shared" si="63"/>
        <v>0</v>
      </c>
      <c r="AP66" s="1124">
        <f t="shared" si="63"/>
        <v>0</v>
      </c>
      <c r="AQ66" s="1124">
        <f t="shared" si="63"/>
        <v>0</v>
      </c>
      <c r="AR66" s="1124">
        <f t="shared" si="63"/>
        <v>0</v>
      </c>
      <c r="AS66" s="1124">
        <f t="shared" si="63"/>
        <v>0</v>
      </c>
      <c r="AT66" s="3"/>
      <c r="AU66" s="29">
        <f>+Details!E66</f>
        <v>381200</v>
      </c>
      <c r="AV66" s="81">
        <f t="shared" si="59"/>
        <v>0</v>
      </c>
      <c r="AW66" s="102"/>
      <c r="AY66" s="31">
        <f>+Details!F66-Base!F66</f>
        <v>0</v>
      </c>
      <c r="AZ66" s="1124">
        <f>+Details!G66-Base!G66</f>
        <v>0</v>
      </c>
      <c r="BA66" s="1124">
        <f>+Details!H66-Base!H66</f>
        <v>0</v>
      </c>
      <c r="BB66" s="1124">
        <f>+Details!I66-Base!I66</f>
        <v>0</v>
      </c>
      <c r="BC66" s="1124">
        <f>+Details!J66-Base!J66</f>
        <v>0</v>
      </c>
      <c r="BD66" s="1124">
        <f>+Details!K66-Base!K66</f>
        <v>0</v>
      </c>
      <c r="BE66" s="1124">
        <f>+Details!L66-Base!L66</f>
        <v>0</v>
      </c>
      <c r="BF66" s="1124">
        <f>+Details!M66-Base!M66</f>
        <v>0</v>
      </c>
      <c r="BG66" s="1124">
        <f>+Details!N66-Base!N66</f>
        <v>0</v>
      </c>
      <c r="BH66" s="1124">
        <f>+Details!O66-Base!O66</f>
        <v>0</v>
      </c>
      <c r="BI66" s="1124">
        <f>+Details!P66-Base!P66</f>
        <v>0</v>
      </c>
      <c r="BJ66" s="1124">
        <f>+Details!Q66-Base!Q66</f>
        <v>0</v>
      </c>
      <c r="BK66" s="1124">
        <f>+Details!R66-Base!R66</f>
        <v>0</v>
      </c>
      <c r="BL66" s="1124">
        <f>+Details!S66-Base!S66</f>
        <v>0</v>
      </c>
      <c r="BM66" s="1124">
        <f>+Details!T66-Base!T66</f>
        <v>0</v>
      </c>
      <c r="BN66" s="1124">
        <f>+Details!U66-Base!U66</f>
        <v>0</v>
      </c>
      <c r="BO66" s="1124">
        <f>+Details!V66-Base!V66</f>
        <v>0</v>
      </c>
      <c r="BP66" s="1124">
        <f>+Details!W66-Base!W66</f>
        <v>0</v>
      </c>
      <c r="BQ66" s="1124">
        <f>+Details!X66-Base!X66</f>
        <v>0</v>
      </c>
      <c r="BR66" s="1124">
        <f>+Details!Y66-Base!Y66</f>
        <v>0</v>
      </c>
      <c r="BS66" s="1124">
        <f>+Details!Z66-Base!Z66</f>
        <v>0</v>
      </c>
      <c r="BT66" s="1124">
        <f>+Details!AA66-Base!AA66</f>
        <v>0</v>
      </c>
      <c r="BU66" s="1124">
        <f>+Details!AB66-Base!AB66</f>
        <v>0</v>
      </c>
      <c r="BV66" s="1124">
        <f>+Details!AC66-Base!AC66</f>
        <v>0</v>
      </c>
      <c r="BW66" s="1124">
        <f>+Details!AD66-Base!AD66</f>
        <v>0</v>
      </c>
      <c r="BX66" s="1124">
        <f>+Details!AE66-Base!AE66</f>
        <v>0</v>
      </c>
      <c r="BY66" s="1124">
        <f>+Details!AF66-Base!AF66</f>
        <v>0</v>
      </c>
      <c r="BZ66" s="1124">
        <f>+Details!AG66-Base!AG66</f>
        <v>0</v>
      </c>
      <c r="CA66" s="1124">
        <f>+Details!AH66-Base!AH66</f>
        <v>0</v>
      </c>
      <c r="CB66" s="1124">
        <f>+Details!AI66-Base!AI66</f>
        <v>0</v>
      </c>
      <c r="CC66" s="1124">
        <f>+Details!AJ66-Base!AJ66</f>
        <v>0</v>
      </c>
      <c r="CD66" s="1124">
        <f>+Details!AK66-Base!AK66</f>
        <v>0</v>
      </c>
      <c r="CE66" s="1124">
        <f>+Details!AL66-Base!AL66</f>
        <v>0</v>
      </c>
      <c r="CF66" s="1124">
        <f>+Details!AM66-Base!AM66</f>
        <v>0</v>
      </c>
      <c r="CG66" s="1124">
        <f>+Details!AN66-Base!AN66</f>
        <v>0</v>
      </c>
      <c r="CH66" s="1124">
        <f>+Details!AO66-Base!AO66</f>
        <v>0</v>
      </c>
      <c r="CI66" s="1124">
        <f>+Details!AP66-Base!AP66</f>
        <v>0</v>
      </c>
      <c r="CJ66" s="1124">
        <f>+Details!AQ66-Base!AQ66</f>
        <v>0</v>
      </c>
      <c r="CK66" s="1124">
        <f>+Details!AR66-Base!AR66</f>
        <v>0</v>
      </c>
      <c r="CL66" s="1124">
        <f>+Details!AS66-Base!AS66</f>
        <v>0</v>
      </c>
      <c r="CM66" s="81"/>
    </row>
    <row r="67" spans="1:91" ht="15.75" hidden="1" customHeight="1">
      <c r="A67" s="1427" t="s">
        <v>1578</v>
      </c>
      <c r="B67" s="275" t="s">
        <v>965</v>
      </c>
      <c r="C67" s="437"/>
      <c r="D67" s="1370">
        <f>Esc_OInc_Long2</f>
        <v>0</v>
      </c>
      <c r="E67" s="29">
        <f t="shared" si="30"/>
        <v>48000</v>
      </c>
      <c r="F67" s="16">
        <f>ROUND(IF(Start_OInc_Long2&lt;=F$4,Income_OInc_Long2,0)/Round_To,0)*Round_To</f>
        <v>2000</v>
      </c>
      <c r="G67" s="1124">
        <f t="shared" ref="G67:AS67" si="64">ROUND(IF(OR(AND(End_OInc_Long2&lt;G$4,End_OInc_Long2&lt;&gt;""),OR(Income_OInc_Long2=0,Start_OInc_Long2&gt;G$4,Your_Age_End&lt;G$4)),0,IF(Start_OInc_Long2=G$4,Income_OInc_Long2,IF(F67&gt;0,(+F67*(1+Esc_OInc_Long2)))))/Round_To,0)*Round_To</f>
        <v>2000</v>
      </c>
      <c r="H67" s="1124">
        <f t="shared" si="64"/>
        <v>2000</v>
      </c>
      <c r="I67" s="1124">
        <f t="shared" si="64"/>
        <v>2000</v>
      </c>
      <c r="J67" s="1124">
        <f t="shared" si="64"/>
        <v>2000</v>
      </c>
      <c r="K67" s="1124">
        <f t="shared" si="64"/>
        <v>2000</v>
      </c>
      <c r="L67" s="1124">
        <f t="shared" si="64"/>
        <v>2000</v>
      </c>
      <c r="M67" s="1124">
        <f t="shared" si="64"/>
        <v>2000</v>
      </c>
      <c r="N67" s="1124">
        <f t="shared" si="64"/>
        <v>2000</v>
      </c>
      <c r="O67" s="1124">
        <f t="shared" si="64"/>
        <v>2000</v>
      </c>
      <c r="P67" s="1124">
        <f t="shared" si="64"/>
        <v>2000</v>
      </c>
      <c r="Q67" s="1124">
        <f t="shared" si="64"/>
        <v>2000</v>
      </c>
      <c r="R67" s="1124">
        <f t="shared" si="64"/>
        <v>2000</v>
      </c>
      <c r="S67" s="1124">
        <f t="shared" si="64"/>
        <v>2000</v>
      </c>
      <c r="T67" s="1124">
        <f t="shared" si="64"/>
        <v>2000</v>
      </c>
      <c r="U67" s="1124">
        <f t="shared" si="64"/>
        <v>2000</v>
      </c>
      <c r="V67" s="1124">
        <f t="shared" si="64"/>
        <v>2000</v>
      </c>
      <c r="W67" s="1124">
        <f t="shared" si="64"/>
        <v>2000</v>
      </c>
      <c r="X67" s="1124">
        <f t="shared" si="64"/>
        <v>2000</v>
      </c>
      <c r="Y67" s="1124">
        <f t="shared" si="64"/>
        <v>2000</v>
      </c>
      <c r="Z67" s="1124">
        <f t="shared" si="64"/>
        <v>2000</v>
      </c>
      <c r="AA67" s="1124">
        <f t="shared" si="64"/>
        <v>2000</v>
      </c>
      <c r="AB67" s="1124">
        <f t="shared" si="64"/>
        <v>2000</v>
      </c>
      <c r="AC67" s="1124">
        <f t="shared" si="64"/>
        <v>2000</v>
      </c>
      <c r="AD67" s="1124">
        <f t="shared" si="64"/>
        <v>0</v>
      </c>
      <c r="AE67" s="1124">
        <f t="shared" si="64"/>
        <v>0</v>
      </c>
      <c r="AF67" s="1124">
        <f t="shared" si="64"/>
        <v>0</v>
      </c>
      <c r="AG67" s="1124">
        <f t="shared" si="64"/>
        <v>0</v>
      </c>
      <c r="AH67" s="1124">
        <f t="shared" si="64"/>
        <v>0</v>
      </c>
      <c r="AI67" s="1124">
        <f t="shared" si="64"/>
        <v>0</v>
      </c>
      <c r="AJ67" s="1124">
        <f t="shared" si="64"/>
        <v>0</v>
      </c>
      <c r="AK67" s="1124">
        <f t="shared" si="64"/>
        <v>0</v>
      </c>
      <c r="AL67" s="1124">
        <f t="shared" si="64"/>
        <v>0</v>
      </c>
      <c r="AM67" s="1124">
        <f t="shared" si="64"/>
        <v>0</v>
      </c>
      <c r="AN67" s="1124">
        <f t="shared" si="64"/>
        <v>0</v>
      </c>
      <c r="AO67" s="1124">
        <f t="shared" si="64"/>
        <v>0</v>
      </c>
      <c r="AP67" s="1124">
        <f t="shared" si="64"/>
        <v>0</v>
      </c>
      <c r="AQ67" s="1124">
        <f t="shared" si="64"/>
        <v>0</v>
      </c>
      <c r="AR67" s="1124">
        <f t="shared" si="64"/>
        <v>0</v>
      </c>
      <c r="AS67" s="1124">
        <f t="shared" si="64"/>
        <v>0</v>
      </c>
      <c r="AT67" s="3"/>
      <c r="AU67" s="29">
        <f>+Details!E67</f>
        <v>48000</v>
      </c>
      <c r="AV67" s="81">
        <f>+E67-AU67</f>
        <v>0</v>
      </c>
      <c r="AW67" s="102"/>
      <c r="AY67" s="31">
        <f>+Details!F67-Base!F67</f>
        <v>0</v>
      </c>
      <c r="AZ67" s="1124">
        <f>+Details!G67-Base!G67</f>
        <v>0</v>
      </c>
      <c r="BA67" s="1124">
        <f>+Details!H67-Base!H67</f>
        <v>0</v>
      </c>
      <c r="BB67" s="1124">
        <f>+Details!I67-Base!I67</f>
        <v>0</v>
      </c>
      <c r="BC67" s="1124">
        <f>+Details!J67-Base!J67</f>
        <v>0</v>
      </c>
      <c r="BD67" s="1124">
        <f>+Details!K67-Base!K67</f>
        <v>0</v>
      </c>
      <c r="BE67" s="1124">
        <f>+Details!L67-Base!L67</f>
        <v>0</v>
      </c>
      <c r="BF67" s="1124">
        <f>+Details!M67-Base!M67</f>
        <v>0</v>
      </c>
      <c r="BG67" s="1124">
        <f>+Details!N67-Base!N67</f>
        <v>0</v>
      </c>
      <c r="BH67" s="1124">
        <f>+Details!O67-Base!O67</f>
        <v>0</v>
      </c>
      <c r="BI67" s="1124">
        <f>+Details!P67-Base!P67</f>
        <v>0</v>
      </c>
      <c r="BJ67" s="1124">
        <f>+Details!Q67-Base!Q67</f>
        <v>0</v>
      </c>
      <c r="BK67" s="1124">
        <f>+Details!R67-Base!R67</f>
        <v>0</v>
      </c>
      <c r="BL67" s="1124">
        <f>+Details!S67-Base!S67</f>
        <v>0</v>
      </c>
      <c r="BM67" s="1124">
        <f>+Details!T67-Base!T67</f>
        <v>0</v>
      </c>
      <c r="BN67" s="1124">
        <f>+Details!U67-Base!U67</f>
        <v>0</v>
      </c>
      <c r="BO67" s="1124">
        <f>+Details!V67-Base!V67</f>
        <v>0</v>
      </c>
      <c r="BP67" s="1124">
        <f>+Details!W67-Base!W67</f>
        <v>0</v>
      </c>
      <c r="BQ67" s="1124">
        <f>+Details!X67-Base!X67</f>
        <v>0</v>
      </c>
      <c r="BR67" s="1124">
        <f>+Details!Y67-Base!Y67</f>
        <v>0</v>
      </c>
      <c r="BS67" s="1124">
        <f>+Details!Z67-Base!Z67</f>
        <v>0</v>
      </c>
      <c r="BT67" s="1124">
        <f>+Details!AA67-Base!AA67</f>
        <v>0</v>
      </c>
      <c r="BU67" s="1124">
        <f>+Details!AB67-Base!AB67</f>
        <v>0</v>
      </c>
      <c r="BV67" s="1124">
        <f>+Details!AC67-Base!AC67</f>
        <v>0</v>
      </c>
      <c r="BW67" s="1124">
        <f>+Details!AD67-Base!AD67</f>
        <v>0</v>
      </c>
      <c r="BX67" s="1124">
        <f>+Details!AE67-Base!AE67</f>
        <v>0</v>
      </c>
      <c r="BY67" s="1124">
        <f>+Details!AF67-Base!AF67</f>
        <v>0</v>
      </c>
      <c r="BZ67" s="1124">
        <f>+Details!AG67-Base!AG67</f>
        <v>0</v>
      </c>
      <c r="CA67" s="1124">
        <f>+Details!AH67-Base!AH67</f>
        <v>0</v>
      </c>
      <c r="CB67" s="1124">
        <f>+Details!AI67-Base!AI67</f>
        <v>0</v>
      </c>
      <c r="CC67" s="1124">
        <f>+Details!AJ67-Base!AJ67</f>
        <v>0</v>
      </c>
      <c r="CD67" s="1124">
        <f>+Details!AK67-Base!AK67</f>
        <v>0</v>
      </c>
      <c r="CE67" s="1124">
        <f>+Details!AL67-Base!AL67</f>
        <v>0</v>
      </c>
      <c r="CF67" s="1124">
        <f>+Details!AM67-Base!AM67</f>
        <v>0</v>
      </c>
      <c r="CG67" s="1124">
        <f>+Details!AN67-Base!AN67</f>
        <v>0</v>
      </c>
      <c r="CH67" s="1124">
        <f>+Details!AO67-Base!AO67</f>
        <v>0</v>
      </c>
      <c r="CI67" s="1124">
        <f>+Details!AP67-Base!AP67</f>
        <v>0</v>
      </c>
      <c r="CJ67" s="1124">
        <f>+Details!AQ67-Base!AQ67</f>
        <v>0</v>
      </c>
      <c r="CK67" s="1124">
        <f>+Details!AR67-Base!AR67</f>
        <v>0</v>
      </c>
      <c r="CL67" s="1124">
        <f>+Details!AS67-Base!AS67</f>
        <v>0</v>
      </c>
      <c r="CM67" s="81"/>
    </row>
    <row r="68" spans="1:91" ht="15.6" hidden="1">
      <c r="A68" s="1427" t="s">
        <v>1578</v>
      </c>
      <c r="B68" s="275" t="s">
        <v>1723</v>
      </c>
      <c r="C68" s="437"/>
      <c r="D68" s="1370">
        <f>Esc_OInc_Temp</f>
        <v>0.04</v>
      </c>
      <c r="E68" s="29">
        <f t="shared" si="30"/>
        <v>105400</v>
      </c>
      <c r="F68" s="4">
        <f>ROUND(IF(Start_OInc_Temp&lt;=F$4,Income_OInc_Temp,0)/Round_To,0)*Round_To</f>
        <v>10000</v>
      </c>
      <c r="G68" s="1124">
        <f t="shared" ref="G68:AS68" si="65">ROUND(IF(OR(AND(End_OInc_Temp&lt;G$4,End_OInc_Temp&lt;&gt;""),OR(Income_OInc_Temp=0,Start_OInc_Temp&gt;G$4,Your_Age_End&lt;G$4)),0,IF(Start_OInc_Temp=G$4,Income_OInc_Temp,IF(F68&gt;0,(+F68*(1+Esc_OInc_Temp)))))/Round_To,0)*Round_To</f>
        <v>10400</v>
      </c>
      <c r="H68" s="1124">
        <f t="shared" si="65"/>
        <v>10800</v>
      </c>
      <c r="I68" s="1124">
        <f t="shared" si="65"/>
        <v>11200</v>
      </c>
      <c r="J68" s="1124">
        <f t="shared" si="65"/>
        <v>11600</v>
      </c>
      <c r="K68" s="1124">
        <f t="shared" si="65"/>
        <v>12100</v>
      </c>
      <c r="L68" s="1124">
        <f t="shared" si="65"/>
        <v>12600</v>
      </c>
      <c r="M68" s="1124">
        <f t="shared" si="65"/>
        <v>13100</v>
      </c>
      <c r="N68" s="1124">
        <f t="shared" si="65"/>
        <v>13600</v>
      </c>
      <c r="O68" s="1124">
        <f t="shared" si="65"/>
        <v>0</v>
      </c>
      <c r="P68" s="1124">
        <f t="shared" si="65"/>
        <v>0</v>
      </c>
      <c r="Q68" s="1124">
        <f t="shared" si="65"/>
        <v>0</v>
      </c>
      <c r="R68" s="1124">
        <f t="shared" si="65"/>
        <v>0</v>
      </c>
      <c r="S68" s="1124">
        <f t="shared" si="65"/>
        <v>0</v>
      </c>
      <c r="T68" s="1124">
        <f t="shared" si="65"/>
        <v>0</v>
      </c>
      <c r="U68" s="1124">
        <f t="shared" si="65"/>
        <v>0</v>
      </c>
      <c r="V68" s="1124">
        <f t="shared" si="65"/>
        <v>0</v>
      </c>
      <c r="W68" s="1124">
        <f t="shared" si="65"/>
        <v>0</v>
      </c>
      <c r="X68" s="1124">
        <f t="shared" si="65"/>
        <v>0</v>
      </c>
      <c r="Y68" s="1124">
        <f t="shared" si="65"/>
        <v>0</v>
      </c>
      <c r="Z68" s="1124">
        <f t="shared" si="65"/>
        <v>0</v>
      </c>
      <c r="AA68" s="1124">
        <f t="shared" si="65"/>
        <v>0</v>
      </c>
      <c r="AB68" s="1124">
        <f t="shared" si="65"/>
        <v>0</v>
      </c>
      <c r="AC68" s="1124">
        <f t="shared" si="65"/>
        <v>0</v>
      </c>
      <c r="AD68" s="1124">
        <f t="shared" si="65"/>
        <v>0</v>
      </c>
      <c r="AE68" s="1124">
        <f t="shared" si="65"/>
        <v>0</v>
      </c>
      <c r="AF68" s="1124">
        <f t="shared" si="65"/>
        <v>0</v>
      </c>
      <c r="AG68" s="1124">
        <f t="shared" si="65"/>
        <v>0</v>
      </c>
      <c r="AH68" s="1124">
        <f t="shared" si="65"/>
        <v>0</v>
      </c>
      <c r="AI68" s="1124">
        <f t="shared" si="65"/>
        <v>0</v>
      </c>
      <c r="AJ68" s="1124">
        <f t="shared" si="65"/>
        <v>0</v>
      </c>
      <c r="AK68" s="1124">
        <f t="shared" si="65"/>
        <v>0</v>
      </c>
      <c r="AL68" s="1124">
        <f t="shared" si="65"/>
        <v>0</v>
      </c>
      <c r="AM68" s="1124">
        <f t="shared" si="65"/>
        <v>0</v>
      </c>
      <c r="AN68" s="1124">
        <f t="shared" si="65"/>
        <v>0</v>
      </c>
      <c r="AO68" s="1124">
        <f t="shared" si="65"/>
        <v>0</v>
      </c>
      <c r="AP68" s="1124">
        <f t="shared" si="65"/>
        <v>0</v>
      </c>
      <c r="AQ68" s="1124">
        <f t="shared" si="65"/>
        <v>0</v>
      </c>
      <c r="AR68" s="1124">
        <f t="shared" si="65"/>
        <v>0</v>
      </c>
      <c r="AS68" s="1124">
        <f t="shared" si="65"/>
        <v>0</v>
      </c>
      <c r="AT68" s="89"/>
      <c r="AU68" s="102">
        <f>+Details!E68</f>
        <v>105400</v>
      </c>
      <c r="AV68" s="103">
        <f t="shared" si="59"/>
        <v>0</v>
      </c>
      <c r="AW68" s="102"/>
      <c r="AY68" s="88">
        <f>+Details!F68-Base!F68</f>
        <v>0</v>
      </c>
      <c r="AZ68" s="1124">
        <f>+Details!G68-Base!G68</f>
        <v>0</v>
      </c>
      <c r="BA68" s="1124">
        <f>+Details!H68-Base!H68</f>
        <v>0</v>
      </c>
      <c r="BB68" s="1124">
        <f>+Details!I68-Base!I68</f>
        <v>0</v>
      </c>
      <c r="BC68" s="1124">
        <f>+Details!J68-Base!J68</f>
        <v>0</v>
      </c>
      <c r="BD68" s="1124">
        <f>+Details!K68-Base!K68</f>
        <v>0</v>
      </c>
      <c r="BE68" s="1124">
        <f>+Details!L68-Base!L68</f>
        <v>0</v>
      </c>
      <c r="BF68" s="1124">
        <f>+Details!M68-Base!M68</f>
        <v>0</v>
      </c>
      <c r="BG68" s="1124">
        <f>+Details!N68-Base!N68</f>
        <v>0</v>
      </c>
      <c r="BH68" s="1124">
        <f>+Details!O68-Base!O68</f>
        <v>0</v>
      </c>
      <c r="BI68" s="1124">
        <f>+Details!P68-Base!P68</f>
        <v>0</v>
      </c>
      <c r="BJ68" s="1124">
        <f>+Details!Q68-Base!Q68</f>
        <v>0</v>
      </c>
      <c r="BK68" s="1124">
        <f>+Details!R68-Base!R68</f>
        <v>0</v>
      </c>
      <c r="BL68" s="1124">
        <f>+Details!S68-Base!S68</f>
        <v>0</v>
      </c>
      <c r="BM68" s="1124">
        <f>+Details!T68-Base!T68</f>
        <v>0</v>
      </c>
      <c r="BN68" s="1124">
        <f>+Details!U68-Base!U68</f>
        <v>0</v>
      </c>
      <c r="BO68" s="1124">
        <f>+Details!V68-Base!V68</f>
        <v>0</v>
      </c>
      <c r="BP68" s="1124">
        <f>+Details!W68-Base!W68</f>
        <v>0</v>
      </c>
      <c r="BQ68" s="1124">
        <f>+Details!X68-Base!X68</f>
        <v>0</v>
      </c>
      <c r="BR68" s="1124">
        <f>+Details!Y68-Base!Y68</f>
        <v>0</v>
      </c>
      <c r="BS68" s="1124">
        <f>+Details!Z68-Base!Z68</f>
        <v>0</v>
      </c>
      <c r="BT68" s="1124">
        <f>+Details!AA68-Base!AA68</f>
        <v>0</v>
      </c>
      <c r="BU68" s="1124">
        <f>+Details!AB68-Base!AB68</f>
        <v>0</v>
      </c>
      <c r="BV68" s="1124">
        <f>+Details!AC68-Base!AC68</f>
        <v>0</v>
      </c>
      <c r="BW68" s="1124">
        <f>+Details!AD68-Base!AD68</f>
        <v>0</v>
      </c>
      <c r="BX68" s="1124">
        <f>+Details!AE68-Base!AE68</f>
        <v>0</v>
      </c>
      <c r="BY68" s="1124">
        <f>+Details!AF68-Base!AF68</f>
        <v>0</v>
      </c>
      <c r="BZ68" s="1124">
        <f>+Details!AG68-Base!AG68</f>
        <v>0</v>
      </c>
      <c r="CA68" s="1124">
        <f>+Details!AH68-Base!AH68</f>
        <v>0</v>
      </c>
      <c r="CB68" s="1124">
        <f>+Details!AI68-Base!AI68</f>
        <v>0</v>
      </c>
      <c r="CC68" s="1124">
        <f>+Details!AJ68-Base!AJ68</f>
        <v>0</v>
      </c>
      <c r="CD68" s="1124">
        <f>+Details!AK68-Base!AK68</f>
        <v>0</v>
      </c>
      <c r="CE68" s="1124">
        <f>+Details!AL68-Base!AL68</f>
        <v>0</v>
      </c>
      <c r="CF68" s="1124">
        <f>+Details!AM68-Base!AM68</f>
        <v>0</v>
      </c>
      <c r="CG68" s="1124">
        <f>+Details!AN68-Base!AN68</f>
        <v>0</v>
      </c>
      <c r="CH68" s="1124">
        <f>+Details!AO68-Base!AO68</f>
        <v>0</v>
      </c>
      <c r="CI68" s="1124">
        <f>+Details!AP68-Base!AP68</f>
        <v>0</v>
      </c>
      <c r="CJ68" s="1124">
        <f>+Details!AQ68-Base!AQ68</f>
        <v>0</v>
      </c>
      <c r="CK68" s="1124">
        <f>+Details!AR68-Base!AR68</f>
        <v>0</v>
      </c>
      <c r="CL68" s="1124">
        <f>+Details!AS68-Base!AS68</f>
        <v>0</v>
      </c>
      <c r="CM68" s="103"/>
    </row>
    <row r="69" spans="1:91" ht="15.6" hidden="1">
      <c r="A69" s="1427" t="s">
        <v>1578</v>
      </c>
      <c r="B69" s="275" t="s">
        <v>1724</v>
      </c>
      <c r="C69" s="437"/>
      <c r="D69" s="1370">
        <f>Esc_OInc_Temp2</f>
        <v>0</v>
      </c>
      <c r="E69" s="34">
        <f t="shared" si="30"/>
        <v>15000</v>
      </c>
      <c r="F69" s="4">
        <f>ROUND(IF(Start_OInc_Temp2&lt;=F$4,Income_OInc_Temp2,0)/Round_To,0)*Round_To</f>
        <v>0</v>
      </c>
      <c r="G69" s="1147">
        <f t="shared" ref="G69:AS69" si="66">ROUND(IF(OR(AND(End_OInc_Temp2&lt;G$4,End_OInc_Temp2&lt;&gt;""),OR(Income_OInc_Temp2=0,Start_OInc_Temp2&gt;G$4,Your_Age_End&lt;G$4)),0,IF(Start_OInc_Temp2=G$4,Income_OInc_Temp2,IF(F69&gt;0,(+F69*(1+Esc_OInc_Temp2)))))/Round_To,0)*Round_To</f>
        <v>15000</v>
      </c>
      <c r="H69" s="1147">
        <f t="shared" si="66"/>
        <v>0</v>
      </c>
      <c r="I69" s="1147">
        <f t="shared" si="66"/>
        <v>0</v>
      </c>
      <c r="J69" s="1147">
        <f t="shared" si="66"/>
        <v>0</v>
      </c>
      <c r="K69" s="1147">
        <f t="shared" si="66"/>
        <v>0</v>
      </c>
      <c r="L69" s="1147">
        <f t="shared" si="66"/>
        <v>0</v>
      </c>
      <c r="M69" s="1147">
        <f t="shared" si="66"/>
        <v>0</v>
      </c>
      <c r="N69" s="1147">
        <f t="shared" si="66"/>
        <v>0</v>
      </c>
      <c r="O69" s="1147">
        <f t="shared" si="66"/>
        <v>0</v>
      </c>
      <c r="P69" s="1147">
        <f t="shared" si="66"/>
        <v>0</v>
      </c>
      <c r="Q69" s="1147">
        <f t="shared" si="66"/>
        <v>0</v>
      </c>
      <c r="R69" s="1147">
        <f t="shared" si="66"/>
        <v>0</v>
      </c>
      <c r="S69" s="1147">
        <f t="shared" si="66"/>
        <v>0</v>
      </c>
      <c r="T69" s="1147">
        <f t="shared" si="66"/>
        <v>0</v>
      </c>
      <c r="U69" s="1147">
        <f t="shared" si="66"/>
        <v>0</v>
      </c>
      <c r="V69" s="1147">
        <f t="shared" si="66"/>
        <v>0</v>
      </c>
      <c r="W69" s="1147">
        <f t="shared" si="66"/>
        <v>0</v>
      </c>
      <c r="X69" s="1147">
        <f t="shared" si="66"/>
        <v>0</v>
      </c>
      <c r="Y69" s="1147">
        <f t="shared" si="66"/>
        <v>0</v>
      </c>
      <c r="Z69" s="1147">
        <f t="shared" si="66"/>
        <v>0</v>
      </c>
      <c r="AA69" s="1147">
        <f t="shared" si="66"/>
        <v>0</v>
      </c>
      <c r="AB69" s="1147">
        <f t="shared" si="66"/>
        <v>0</v>
      </c>
      <c r="AC69" s="1147">
        <f t="shared" si="66"/>
        <v>0</v>
      </c>
      <c r="AD69" s="1147">
        <f t="shared" si="66"/>
        <v>0</v>
      </c>
      <c r="AE69" s="1147">
        <f t="shared" si="66"/>
        <v>0</v>
      </c>
      <c r="AF69" s="1147">
        <f t="shared" si="66"/>
        <v>0</v>
      </c>
      <c r="AG69" s="1147">
        <f t="shared" si="66"/>
        <v>0</v>
      </c>
      <c r="AH69" s="1147">
        <f t="shared" si="66"/>
        <v>0</v>
      </c>
      <c r="AI69" s="1147">
        <f t="shared" si="66"/>
        <v>0</v>
      </c>
      <c r="AJ69" s="1147">
        <f t="shared" si="66"/>
        <v>0</v>
      </c>
      <c r="AK69" s="1147">
        <f t="shared" si="66"/>
        <v>0</v>
      </c>
      <c r="AL69" s="1147">
        <f t="shared" si="66"/>
        <v>0</v>
      </c>
      <c r="AM69" s="1147">
        <f t="shared" si="66"/>
        <v>0</v>
      </c>
      <c r="AN69" s="1147">
        <f t="shared" si="66"/>
        <v>0</v>
      </c>
      <c r="AO69" s="1147">
        <f t="shared" si="66"/>
        <v>0</v>
      </c>
      <c r="AP69" s="1147">
        <f t="shared" si="66"/>
        <v>0</v>
      </c>
      <c r="AQ69" s="1147">
        <f t="shared" si="66"/>
        <v>0</v>
      </c>
      <c r="AR69" s="1147">
        <f t="shared" si="66"/>
        <v>0</v>
      </c>
      <c r="AS69" s="1147">
        <f t="shared" si="66"/>
        <v>0</v>
      </c>
      <c r="AT69" s="89"/>
      <c r="AU69" s="102">
        <f>+Details!E69</f>
        <v>15000</v>
      </c>
      <c r="AV69" s="103">
        <f>+E69-AU69</f>
        <v>0</v>
      </c>
      <c r="AW69" s="102"/>
      <c r="AY69" s="88">
        <f>+Details!F69-Base!F69</f>
        <v>0</v>
      </c>
      <c r="AZ69" s="1147">
        <f>+Details!G69-Base!G69</f>
        <v>0</v>
      </c>
      <c r="BA69" s="1147">
        <f>+Details!H69-Base!H69</f>
        <v>0</v>
      </c>
      <c r="BB69" s="1147">
        <f>+Details!I69-Base!I69</f>
        <v>0</v>
      </c>
      <c r="BC69" s="1147">
        <f>+Details!J69-Base!J69</f>
        <v>0</v>
      </c>
      <c r="BD69" s="1147">
        <f>+Details!K69-Base!K69</f>
        <v>0</v>
      </c>
      <c r="BE69" s="1147">
        <f>+Details!L69-Base!L69</f>
        <v>0</v>
      </c>
      <c r="BF69" s="1147">
        <f>+Details!M69-Base!M69</f>
        <v>0</v>
      </c>
      <c r="BG69" s="1147">
        <f>+Details!N69-Base!N69</f>
        <v>0</v>
      </c>
      <c r="BH69" s="1147">
        <f>+Details!O69-Base!O69</f>
        <v>0</v>
      </c>
      <c r="BI69" s="1147">
        <f>+Details!P69-Base!P69</f>
        <v>0</v>
      </c>
      <c r="BJ69" s="1147">
        <f>+Details!Q69-Base!Q69</f>
        <v>0</v>
      </c>
      <c r="BK69" s="1147">
        <f>+Details!R69-Base!R69</f>
        <v>0</v>
      </c>
      <c r="BL69" s="1147">
        <f>+Details!S69-Base!S69</f>
        <v>0</v>
      </c>
      <c r="BM69" s="1147">
        <f>+Details!T69-Base!T69</f>
        <v>0</v>
      </c>
      <c r="BN69" s="1147">
        <f>+Details!U69-Base!U69</f>
        <v>0</v>
      </c>
      <c r="BO69" s="1147">
        <f>+Details!V69-Base!V69</f>
        <v>0</v>
      </c>
      <c r="BP69" s="1147">
        <f>+Details!W69-Base!W69</f>
        <v>0</v>
      </c>
      <c r="BQ69" s="1147">
        <f>+Details!X69-Base!X69</f>
        <v>0</v>
      </c>
      <c r="BR69" s="1147">
        <f>+Details!Y69-Base!Y69</f>
        <v>0</v>
      </c>
      <c r="BS69" s="1147">
        <f>+Details!Z69-Base!Z69</f>
        <v>0</v>
      </c>
      <c r="BT69" s="1147">
        <f>+Details!AA69-Base!AA69</f>
        <v>0</v>
      </c>
      <c r="BU69" s="1147">
        <f>+Details!AB69-Base!AB69</f>
        <v>0</v>
      </c>
      <c r="BV69" s="1147">
        <f>+Details!AC69-Base!AC69</f>
        <v>0</v>
      </c>
      <c r="BW69" s="1147">
        <f>+Details!AD69-Base!AD69</f>
        <v>0</v>
      </c>
      <c r="BX69" s="1147">
        <f>+Details!AE69-Base!AE69</f>
        <v>0</v>
      </c>
      <c r="BY69" s="1147">
        <f>+Details!AF69-Base!AF69</f>
        <v>0</v>
      </c>
      <c r="BZ69" s="1147">
        <f>+Details!AG69-Base!AG69</f>
        <v>0</v>
      </c>
      <c r="CA69" s="1147">
        <f>+Details!AH69-Base!AH69</f>
        <v>0</v>
      </c>
      <c r="CB69" s="1147">
        <f>+Details!AI69-Base!AI69</f>
        <v>0</v>
      </c>
      <c r="CC69" s="1147">
        <f>+Details!AJ69-Base!AJ69</f>
        <v>0</v>
      </c>
      <c r="CD69" s="1147">
        <f>+Details!AK69-Base!AK69</f>
        <v>0</v>
      </c>
      <c r="CE69" s="1147">
        <f>+Details!AL69-Base!AL69</f>
        <v>0</v>
      </c>
      <c r="CF69" s="1147">
        <f>+Details!AM69-Base!AM69</f>
        <v>0</v>
      </c>
      <c r="CG69" s="1147">
        <f>+Details!AN69-Base!AN69</f>
        <v>0</v>
      </c>
      <c r="CH69" s="1147">
        <f>+Details!AO69-Base!AO69</f>
        <v>0</v>
      </c>
      <c r="CI69" s="1147">
        <f>+Details!AP69-Base!AP69</f>
        <v>0</v>
      </c>
      <c r="CJ69" s="1147">
        <f>+Details!AQ69-Base!AQ69</f>
        <v>0</v>
      </c>
      <c r="CK69" s="1147">
        <f>+Details!AR69-Base!AR69</f>
        <v>0</v>
      </c>
      <c r="CL69" s="1147">
        <f>+Details!AS69-Base!AS69</f>
        <v>0</v>
      </c>
      <c r="CM69" s="103"/>
    </row>
    <row r="70" spans="1:91" ht="15.75" customHeight="1">
      <c r="B70" s="426" t="s">
        <v>604</v>
      </c>
      <c r="C70" s="1001"/>
      <c r="D70" s="95"/>
      <c r="E70" s="34">
        <f t="shared" si="30"/>
        <v>549600</v>
      </c>
      <c r="F70" s="34">
        <f>+F66+F67+F68+F69</f>
        <v>20000</v>
      </c>
      <c r="G70" s="1125">
        <f t="shared" ref="G70:AS70" si="67">+G66+G67+G68+G69</f>
        <v>35600</v>
      </c>
      <c r="H70" s="1125">
        <f t="shared" si="67"/>
        <v>21200</v>
      </c>
      <c r="I70" s="1125">
        <f t="shared" si="67"/>
        <v>21900</v>
      </c>
      <c r="J70" s="1125">
        <f t="shared" si="67"/>
        <v>22600</v>
      </c>
      <c r="K70" s="1125">
        <f t="shared" si="67"/>
        <v>23400</v>
      </c>
      <c r="L70" s="1125">
        <f t="shared" si="67"/>
        <v>24200</v>
      </c>
      <c r="M70" s="1125">
        <f t="shared" si="67"/>
        <v>25000</v>
      </c>
      <c r="N70" s="1125">
        <f t="shared" si="67"/>
        <v>25800</v>
      </c>
      <c r="O70" s="1125">
        <f t="shared" si="67"/>
        <v>12500</v>
      </c>
      <c r="P70" s="1125">
        <f t="shared" si="67"/>
        <v>12800</v>
      </c>
      <c r="Q70" s="1125">
        <f t="shared" si="67"/>
        <v>13100</v>
      </c>
      <c r="R70" s="1125">
        <f t="shared" si="67"/>
        <v>13400</v>
      </c>
      <c r="S70" s="1125">
        <f t="shared" si="67"/>
        <v>13700</v>
      </c>
      <c r="T70" s="1125">
        <f t="shared" si="67"/>
        <v>14100</v>
      </c>
      <c r="U70" s="1125">
        <f t="shared" si="67"/>
        <v>14500</v>
      </c>
      <c r="V70" s="1125">
        <f t="shared" si="67"/>
        <v>14900</v>
      </c>
      <c r="W70" s="1125">
        <f t="shared" si="67"/>
        <v>15300</v>
      </c>
      <c r="X70" s="1125">
        <f t="shared" si="67"/>
        <v>15700</v>
      </c>
      <c r="Y70" s="1125">
        <f t="shared" si="67"/>
        <v>16100</v>
      </c>
      <c r="Z70" s="1125">
        <f t="shared" si="67"/>
        <v>16500</v>
      </c>
      <c r="AA70" s="1125">
        <f t="shared" si="67"/>
        <v>16900</v>
      </c>
      <c r="AB70" s="1125">
        <f t="shared" si="67"/>
        <v>17300</v>
      </c>
      <c r="AC70" s="1125">
        <f t="shared" si="67"/>
        <v>17800</v>
      </c>
      <c r="AD70" s="1125">
        <f t="shared" si="67"/>
        <v>16300</v>
      </c>
      <c r="AE70" s="1125">
        <f t="shared" si="67"/>
        <v>16800</v>
      </c>
      <c r="AF70" s="1125">
        <f t="shared" si="67"/>
        <v>17300</v>
      </c>
      <c r="AG70" s="1125">
        <f t="shared" si="67"/>
        <v>17800</v>
      </c>
      <c r="AH70" s="1125">
        <f t="shared" si="67"/>
        <v>18300</v>
      </c>
      <c r="AI70" s="1125">
        <f t="shared" si="67"/>
        <v>18800</v>
      </c>
      <c r="AJ70" s="1125">
        <f t="shared" si="67"/>
        <v>0</v>
      </c>
      <c r="AK70" s="1125">
        <f t="shared" si="67"/>
        <v>0</v>
      </c>
      <c r="AL70" s="1125">
        <f t="shared" si="67"/>
        <v>0</v>
      </c>
      <c r="AM70" s="1125">
        <f t="shared" si="67"/>
        <v>0</v>
      </c>
      <c r="AN70" s="1125">
        <f t="shared" si="67"/>
        <v>0</v>
      </c>
      <c r="AO70" s="1125">
        <f t="shared" si="67"/>
        <v>0</v>
      </c>
      <c r="AP70" s="1125">
        <f t="shared" si="67"/>
        <v>0</v>
      </c>
      <c r="AQ70" s="1125">
        <f t="shared" si="67"/>
        <v>0</v>
      </c>
      <c r="AR70" s="1125">
        <f t="shared" si="67"/>
        <v>0</v>
      </c>
      <c r="AS70" s="1125">
        <f t="shared" si="67"/>
        <v>0</v>
      </c>
      <c r="AT70" s="3"/>
      <c r="AU70" s="34">
        <f>+Details!E70</f>
        <v>549600</v>
      </c>
      <c r="AV70" s="83">
        <f>+E70-AU70</f>
        <v>0</v>
      </c>
      <c r="AW70" s="102"/>
      <c r="AY70" s="38">
        <f>+Details!F70-Base!F70</f>
        <v>0</v>
      </c>
      <c r="AZ70" s="1125">
        <f>+Details!G70-Base!G70</f>
        <v>0</v>
      </c>
      <c r="BA70" s="1125">
        <f>+Details!H70-Base!H70</f>
        <v>0</v>
      </c>
      <c r="BB70" s="1125">
        <f>+Details!I70-Base!I70</f>
        <v>0</v>
      </c>
      <c r="BC70" s="1125">
        <f>+Details!J70-Base!J70</f>
        <v>0</v>
      </c>
      <c r="BD70" s="1125">
        <f>+Details!K70-Base!K70</f>
        <v>0</v>
      </c>
      <c r="BE70" s="1125">
        <f>+Details!L70-Base!L70</f>
        <v>0</v>
      </c>
      <c r="BF70" s="1125">
        <f>+Details!M70-Base!M70</f>
        <v>0</v>
      </c>
      <c r="BG70" s="1125">
        <f>+Details!N70-Base!N70</f>
        <v>0</v>
      </c>
      <c r="BH70" s="1125">
        <f>+Details!O70-Base!O70</f>
        <v>0</v>
      </c>
      <c r="BI70" s="1125">
        <f>+Details!P70-Base!P70</f>
        <v>0</v>
      </c>
      <c r="BJ70" s="1125">
        <f>+Details!Q70-Base!Q70</f>
        <v>0</v>
      </c>
      <c r="BK70" s="1125">
        <f>+Details!R70-Base!R70</f>
        <v>0</v>
      </c>
      <c r="BL70" s="1125">
        <f>+Details!S70-Base!S70</f>
        <v>0</v>
      </c>
      <c r="BM70" s="1125">
        <f>+Details!T70-Base!T70</f>
        <v>0</v>
      </c>
      <c r="BN70" s="1125">
        <f>+Details!U70-Base!U70</f>
        <v>0</v>
      </c>
      <c r="BO70" s="1125">
        <f>+Details!V70-Base!V70</f>
        <v>0</v>
      </c>
      <c r="BP70" s="1125">
        <f>+Details!W70-Base!W70</f>
        <v>0</v>
      </c>
      <c r="BQ70" s="1125">
        <f>+Details!X70-Base!X70</f>
        <v>0</v>
      </c>
      <c r="BR70" s="1125">
        <f>+Details!Y70-Base!Y70</f>
        <v>0</v>
      </c>
      <c r="BS70" s="1125">
        <f>+Details!Z70-Base!Z70</f>
        <v>0</v>
      </c>
      <c r="BT70" s="1125">
        <f>+Details!AA70-Base!AA70</f>
        <v>0</v>
      </c>
      <c r="BU70" s="1125">
        <f>+Details!AB70-Base!AB70</f>
        <v>0</v>
      </c>
      <c r="BV70" s="1125">
        <f>+Details!AC70-Base!AC70</f>
        <v>0</v>
      </c>
      <c r="BW70" s="1125">
        <f>+Details!AD70-Base!AD70</f>
        <v>0</v>
      </c>
      <c r="BX70" s="1125">
        <f>+Details!AE70-Base!AE70</f>
        <v>0</v>
      </c>
      <c r="BY70" s="1125">
        <f>+Details!AF70-Base!AF70</f>
        <v>0</v>
      </c>
      <c r="BZ70" s="1125">
        <f>+Details!AG70-Base!AG70</f>
        <v>0</v>
      </c>
      <c r="CA70" s="1125">
        <f>+Details!AH70-Base!AH70</f>
        <v>0</v>
      </c>
      <c r="CB70" s="1125">
        <f>+Details!AI70-Base!AI70</f>
        <v>0</v>
      </c>
      <c r="CC70" s="1125">
        <f>+Details!AJ70-Base!AJ70</f>
        <v>0</v>
      </c>
      <c r="CD70" s="1125">
        <f>+Details!AK70-Base!AK70</f>
        <v>0</v>
      </c>
      <c r="CE70" s="1125">
        <f>+Details!AL70-Base!AL70</f>
        <v>0</v>
      </c>
      <c r="CF70" s="1125">
        <f>+Details!AM70-Base!AM70</f>
        <v>0</v>
      </c>
      <c r="CG70" s="1125">
        <f>+Details!AN70-Base!AN70</f>
        <v>0</v>
      </c>
      <c r="CH70" s="1125">
        <f>+Details!AO70-Base!AO70</f>
        <v>0</v>
      </c>
      <c r="CI70" s="1125">
        <f>+Details!AP70-Base!AP70</f>
        <v>0</v>
      </c>
      <c r="CJ70" s="1125">
        <f>+Details!AQ70-Base!AQ70</f>
        <v>0</v>
      </c>
      <c r="CK70" s="1125">
        <f>+Details!AR70-Base!AR70</f>
        <v>0</v>
      </c>
      <c r="CL70" s="1125">
        <f>+Details!AS70-Base!AS70</f>
        <v>0</v>
      </c>
      <c r="CM70" s="103"/>
    </row>
    <row r="71" spans="1:91" ht="15.6">
      <c r="B71" s="28" t="s">
        <v>1729</v>
      </c>
      <c r="C71" s="437"/>
      <c r="D71" s="37"/>
      <c r="E71" s="29">
        <f t="shared" si="30"/>
        <v>4775000</v>
      </c>
      <c r="F71" s="31">
        <f t="shared" ref="F71:AS71" si="68">+F28+F31+F63+F34+F37+F38+F61+F65+F70</f>
        <v>78900</v>
      </c>
      <c r="G71" s="1124">
        <f t="shared" si="68"/>
        <v>95100</v>
      </c>
      <c r="H71" s="1124">
        <f t="shared" si="68"/>
        <v>81200</v>
      </c>
      <c r="I71" s="1124">
        <f t="shared" si="68"/>
        <v>82200</v>
      </c>
      <c r="J71" s="1124">
        <f t="shared" si="68"/>
        <v>83100</v>
      </c>
      <c r="K71" s="1124">
        <f t="shared" si="68"/>
        <v>106600</v>
      </c>
      <c r="L71" s="1124">
        <f t="shared" si="68"/>
        <v>108900</v>
      </c>
      <c r="M71" s="1124">
        <f t="shared" si="68"/>
        <v>111400</v>
      </c>
      <c r="N71" s="1124">
        <f t="shared" si="68"/>
        <v>161600</v>
      </c>
      <c r="O71" s="1124">
        <f t="shared" si="68"/>
        <v>152900</v>
      </c>
      <c r="P71" s="1124">
        <f t="shared" si="68"/>
        <v>155300</v>
      </c>
      <c r="Q71" s="1124">
        <f t="shared" si="68"/>
        <v>158800</v>
      </c>
      <c r="R71" s="1124">
        <f t="shared" si="68"/>
        <v>167400</v>
      </c>
      <c r="S71" s="1124">
        <f t="shared" si="68"/>
        <v>171700</v>
      </c>
      <c r="T71" s="1124">
        <f t="shared" si="68"/>
        <v>183800</v>
      </c>
      <c r="U71" s="1124">
        <f t="shared" si="68"/>
        <v>189100</v>
      </c>
      <c r="V71" s="1124">
        <f t="shared" si="68"/>
        <v>180300</v>
      </c>
      <c r="W71" s="1124">
        <f t="shared" si="68"/>
        <v>185500</v>
      </c>
      <c r="X71" s="1124">
        <f t="shared" si="68"/>
        <v>176500</v>
      </c>
      <c r="Y71" s="1124">
        <f t="shared" si="68"/>
        <v>179800</v>
      </c>
      <c r="Z71" s="1124">
        <f t="shared" si="68"/>
        <v>183400</v>
      </c>
      <c r="AA71" s="1124">
        <f t="shared" si="68"/>
        <v>186800</v>
      </c>
      <c r="AB71" s="1124">
        <f t="shared" si="68"/>
        <v>198400</v>
      </c>
      <c r="AC71" s="1124">
        <f t="shared" si="68"/>
        <v>210500</v>
      </c>
      <c r="AD71" s="1124">
        <f t="shared" si="68"/>
        <v>189400</v>
      </c>
      <c r="AE71" s="1124">
        <f t="shared" si="68"/>
        <v>194200</v>
      </c>
      <c r="AF71" s="1124">
        <f t="shared" si="68"/>
        <v>196400</v>
      </c>
      <c r="AG71" s="1124">
        <f t="shared" si="68"/>
        <v>199100</v>
      </c>
      <c r="AH71" s="1124">
        <f t="shared" si="68"/>
        <v>202000</v>
      </c>
      <c r="AI71" s="1124">
        <f t="shared" si="68"/>
        <v>204700</v>
      </c>
      <c r="AJ71" s="1124">
        <f t="shared" si="68"/>
        <v>0</v>
      </c>
      <c r="AK71" s="1124">
        <f t="shared" si="68"/>
        <v>0</v>
      </c>
      <c r="AL71" s="1124">
        <f t="shared" si="68"/>
        <v>0</v>
      </c>
      <c r="AM71" s="1124">
        <f t="shared" si="68"/>
        <v>0</v>
      </c>
      <c r="AN71" s="1124">
        <f t="shared" si="68"/>
        <v>0</v>
      </c>
      <c r="AO71" s="1124">
        <f t="shared" si="68"/>
        <v>0</v>
      </c>
      <c r="AP71" s="1124">
        <f t="shared" si="68"/>
        <v>0</v>
      </c>
      <c r="AQ71" s="1124">
        <f t="shared" si="68"/>
        <v>0</v>
      </c>
      <c r="AR71" s="1124">
        <f t="shared" si="68"/>
        <v>0</v>
      </c>
      <c r="AS71" s="1124">
        <f t="shared" si="68"/>
        <v>0</v>
      </c>
      <c r="AT71" s="42"/>
      <c r="AU71" s="29">
        <f>+Details!E71</f>
        <v>4775000</v>
      </c>
      <c r="AV71" s="81">
        <f>+E71-AU71</f>
        <v>0</v>
      </c>
      <c r="AW71" s="88"/>
      <c r="AY71" s="31">
        <f>+Details!F71-Base!F71</f>
        <v>0</v>
      </c>
      <c r="AZ71" s="1124">
        <f>+Details!G71-Base!G71</f>
        <v>0</v>
      </c>
      <c r="BA71" s="1124">
        <f>+Details!H71-Base!H71</f>
        <v>0</v>
      </c>
      <c r="BB71" s="1124">
        <f>+Details!I71-Base!I71</f>
        <v>0</v>
      </c>
      <c r="BC71" s="1124">
        <f>+Details!J71-Base!J71</f>
        <v>0</v>
      </c>
      <c r="BD71" s="1124">
        <f>+Details!K71-Base!K71</f>
        <v>0</v>
      </c>
      <c r="BE71" s="1124">
        <f>+Details!L71-Base!L71</f>
        <v>0</v>
      </c>
      <c r="BF71" s="1124">
        <f>+Details!M71-Base!M71</f>
        <v>0</v>
      </c>
      <c r="BG71" s="1124">
        <f>+Details!N71-Base!N71</f>
        <v>0</v>
      </c>
      <c r="BH71" s="1124">
        <f>+Details!O71-Base!O71</f>
        <v>0</v>
      </c>
      <c r="BI71" s="1124">
        <f>+Details!P71-Base!P71</f>
        <v>0</v>
      </c>
      <c r="BJ71" s="1124">
        <f>+Details!Q71-Base!Q71</f>
        <v>0</v>
      </c>
      <c r="BK71" s="1124">
        <f>+Details!R71-Base!R71</f>
        <v>0</v>
      </c>
      <c r="BL71" s="1124">
        <f>+Details!S71-Base!S71</f>
        <v>0</v>
      </c>
      <c r="BM71" s="1124">
        <f>+Details!T71-Base!T71</f>
        <v>0</v>
      </c>
      <c r="BN71" s="1124">
        <f>+Details!U71-Base!U71</f>
        <v>0</v>
      </c>
      <c r="BO71" s="1124">
        <f>+Details!V71-Base!V71</f>
        <v>0</v>
      </c>
      <c r="BP71" s="1124">
        <f>+Details!W71-Base!W71</f>
        <v>0</v>
      </c>
      <c r="BQ71" s="1124">
        <f>+Details!X71-Base!X71</f>
        <v>0</v>
      </c>
      <c r="BR71" s="1124">
        <f>+Details!Y71-Base!Y71</f>
        <v>0</v>
      </c>
      <c r="BS71" s="1124">
        <f>+Details!Z71-Base!Z71</f>
        <v>0</v>
      </c>
      <c r="BT71" s="1124">
        <f>+Details!AA71-Base!AA71</f>
        <v>0</v>
      </c>
      <c r="BU71" s="1124">
        <f>+Details!AB71-Base!AB71</f>
        <v>0</v>
      </c>
      <c r="BV71" s="1124">
        <f>+Details!AC71-Base!AC71</f>
        <v>0</v>
      </c>
      <c r="BW71" s="1124">
        <f>+Details!AD71-Base!AD71</f>
        <v>0</v>
      </c>
      <c r="BX71" s="1124">
        <f>+Details!AE71-Base!AE71</f>
        <v>0</v>
      </c>
      <c r="BY71" s="1124">
        <f>+Details!AF71-Base!AF71</f>
        <v>0</v>
      </c>
      <c r="BZ71" s="1124">
        <f>+Details!AG71-Base!AG71</f>
        <v>0</v>
      </c>
      <c r="CA71" s="1124">
        <f>+Details!AH71-Base!AH71</f>
        <v>0</v>
      </c>
      <c r="CB71" s="1124">
        <f>+Details!AI71-Base!AI71</f>
        <v>0</v>
      </c>
      <c r="CC71" s="1124">
        <f>+Details!AJ71-Base!AJ71</f>
        <v>0</v>
      </c>
      <c r="CD71" s="1124">
        <f>+Details!AK71-Base!AK71</f>
        <v>0</v>
      </c>
      <c r="CE71" s="1124">
        <f>+Details!AL71-Base!AL71</f>
        <v>0</v>
      </c>
      <c r="CF71" s="1124">
        <f>+Details!AM71-Base!AM71</f>
        <v>0</v>
      </c>
      <c r="CG71" s="1124">
        <f>+Details!AN71-Base!AN71</f>
        <v>0</v>
      </c>
      <c r="CH71" s="1124">
        <f>+Details!AO71-Base!AO71</f>
        <v>0</v>
      </c>
      <c r="CI71" s="1124">
        <f>+Details!AP71-Base!AP71</f>
        <v>0</v>
      </c>
      <c r="CJ71" s="1124">
        <f>+Details!AQ71-Base!AQ71</f>
        <v>0</v>
      </c>
      <c r="CK71" s="1124">
        <f>+Details!AR71-Base!AR71</f>
        <v>0</v>
      </c>
      <c r="CL71" s="1124">
        <f>+Details!AS71-Base!AS71</f>
        <v>0</v>
      </c>
      <c r="CM71" s="81"/>
    </row>
    <row r="72" spans="1:91" ht="6" customHeight="1">
      <c r="B72" s="28"/>
      <c r="C72" s="437"/>
      <c r="D72" s="32"/>
      <c r="E72" s="39"/>
      <c r="F72" s="31"/>
      <c r="G72" s="31"/>
      <c r="H72" s="31"/>
      <c r="I72" s="31"/>
      <c r="J72" s="31"/>
      <c r="K72" s="31"/>
      <c r="L72" s="31"/>
      <c r="M72" s="31"/>
      <c r="N72" s="31"/>
      <c r="O72" s="31"/>
      <c r="P72" s="31"/>
      <c r="Q72" s="31"/>
      <c r="R72" s="31"/>
      <c r="S72" s="31"/>
      <c r="T72" s="31"/>
      <c r="U72" s="31"/>
      <c r="V72" s="31"/>
      <c r="W72" s="31"/>
      <c r="X72" s="31"/>
      <c r="Y72" s="31"/>
      <c r="Z72" s="31"/>
      <c r="AA72" s="31"/>
      <c r="AB72" s="31"/>
      <c r="AC72" s="31"/>
      <c r="AD72" s="31"/>
      <c r="AE72" s="31"/>
      <c r="AF72" s="31"/>
      <c r="AG72" s="31"/>
      <c r="AH72" s="31"/>
      <c r="AI72" s="31"/>
      <c r="AJ72" s="31"/>
      <c r="AK72" s="31"/>
      <c r="AL72" s="31"/>
      <c r="AM72" s="31"/>
      <c r="AN72" s="31"/>
      <c r="AO72" s="31"/>
      <c r="AP72" s="31"/>
      <c r="AQ72" s="31"/>
      <c r="AR72" s="31"/>
      <c r="AS72" s="31"/>
      <c r="AT72" s="3"/>
      <c r="AU72" s="29"/>
      <c r="AV72" s="48"/>
      <c r="AW72" s="121"/>
      <c r="AZ72" s="31"/>
      <c r="BA72" s="31"/>
      <c r="BB72" s="31"/>
      <c r="BC72" s="31"/>
      <c r="BD72" s="31"/>
      <c r="BE72" s="31"/>
      <c r="BF72" s="31"/>
      <c r="BG72" s="31"/>
      <c r="BH72" s="31"/>
      <c r="BI72" s="31"/>
      <c r="BJ72" s="31"/>
      <c r="BK72" s="31"/>
      <c r="BL72" s="31"/>
      <c r="BM72" s="31"/>
      <c r="BN72" s="31"/>
      <c r="BO72" s="31"/>
      <c r="BP72" s="31"/>
      <c r="BQ72" s="31"/>
      <c r="BR72" s="31"/>
      <c r="BS72" s="31"/>
      <c r="BT72" s="31"/>
      <c r="BU72" s="31"/>
      <c r="BV72" s="31"/>
      <c r="BW72" s="31"/>
      <c r="BX72" s="31"/>
      <c r="BY72" s="31"/>
      <c r="BZ72" s="31"/>
      <c r="CA72" s="31"/>
      <c r="CB72" s="31"/>
      <c r="CC72" s="31"/>
      <c r="CD72" s="31"/>
      <c r="CE72" s="31"/>
      <c r="CF72" s="31"/>
      <c r="CG72" s="31"/>
      <c r="CH72" s="31"/>
      <c r="CI72" s="31"/>
      <c r="CJ72" s="31"/>
      <c r="CK72" s="31"/>
      <c r="CL72" s="31"/>
      <c r="CM72" s="48"/>
    </row>
    <row r="73" spans="1:91" ht="17.399999999999999">
      <c r="B73" s="1025" t="s">
        <v>636</v>
      </c>
      <c r="C73" s="437"/>
      <c r="D73" s="36"/>
      <c r="E73" s="39"/>
      <c r="F73" s="31"/>
      <c r="G73" s="31"/>
      <c r="H73" s="31"/>
      <c r="I73" s="31"/>
      <c r="J73" s="31"/>
      <c r="K73" s="31"/>
      <c r="L73" s="31"/>
      <c r="M73" s="31"/>
      <c r="N73" s="31"/>
      <c r="O73" s="31"/>
      <c r="P73" s="31"/>
      <c r="Q73" s="31"/>
      <c r="R73" s="31"/>
      <c r="S73" s="31"/>
      <c r="T73" s="31"/>
      <c r="U73" s="31"/>
      <c r="V73" s="31"/>
      <c r="W73" s="31"/>
      <c r="X73" s="31"/>
      <c r="Y73" s="31"/>
      <c r="Z73" s="31"/>
      <c r="AA73" s="31"/>
      <c r="AB73" s="31"/>
      <c r="AC73" s="31"/>
      <c r="AD73" s="31"/>
      <c r="AE73" s="31"/>
      <c r="AF73" s="31"/>
      <c r="AG73" s="31"/>
      <c r="AH73" s="31"/>
      <c r="AI73" s="31"/>
      <c r="AJ73" s="31"/>
      <c r="AK73" s="31"/>
      <c r="AL73" s="31"/>
      <c r="AM73" s="31"/>
      <c r="AN73" s="31"/>
      <c r="AO73" s="31"/>
      <c r="AP73" s="31"/>
      <c r="AQ73" s="31"/>
      <c r="AR73" s="31"/>
      <c r="AS73" s="31"/>
      <c r="AT73" s="3"/>
      <c r="AU73" s="29"/>
      <c r="AV73" s="48"/>
      <c r="AW73" s="1733"/>
      <c r="AZ73" s="31"/>
      <c r="BA73" s="31"/>
      <c r="BB73" s="31"/>
      <c r="BC73" s="31"/>
      <c r="BD73" s="31"/>
      <c r="BE73" s="31"/>
      <c r="BF73" s="31"/>
      <c r="BG73" s="31"/>
      <c r="BH73" s="31"/>
      <c r="BI73" s="31"/>
      <c r="BJ73" s="31"/>
      <c r="BK73" s="31"/>
      <c r="BL73" s="31"/>
      <c r="BM73" s="31"/>
      <c r="BN73" s="31"/>
      <c r="BO73" s="31"/>
      <c r="BP73" s="31"/>
      <c r="BQ73" s="31"/>
      <c r="BR73" s="31"/>
      <c r="BS73" s="31"/>
      <c r="BT73" s="31"/>
      <c r="BU73" s="31"/>
      <c r="BV73" s="31"/>
      <c r="BW73" s="31"/>
      <c r="BX73" s="31"/>
      <c r="BY73" s="31"/>
      <c r="BZ73" s="31"/>
      <c r="CA73" s="31"/>
      <c r="CB73" s="31"/>
      <c r="CC73" s="31"/>
      <c r="CD73" s="31"/>
      <c r="CE73" s="31"/>
      <c r="CF73" s="31"/>
      <c r="CG73" s="31"/>
      <c r="CH73" s="31"/>
      <c r="CI73" s="31"/>
      <c r="CJ73" s="31"/>
      <c r="CK73" s="31"/>
      <c r="CL73" s="31"/>
      <c r="CM73" s="48"/>
    </row>
    <row r="74" spans="1:91" ht="15" hidden="1" customHeight="1">
      <c r="A74" s="1427" t="s">
        <v>1578</v>
      </c>
      <c r="B74" s="648" t="s">
        <v>1829</v>
      </c>
      <c r="C74" s="437"/>
      <c r="D74" s="36"/>
      <c r="E74" s="29">
        <f>SUM(F74:AS74)</f>
        <v>0</v>
      </c>
      <c r="F74" s="31">
        <f>-F87</f>
        <v>0</v>
      </c>
      <c r="G74" s="1124">
        <f>-G87</f>
        <v>0</v>
      </c>
      <c r="H74" s="1124">
        <f t="shared" ref="H74:AS74" si="69">-H87</f>
        <v>0</v>
      </c>
      <c r="I74" s="1124">
        <f t="shared" si="69"/>
        <v>0</v>
      </c>
      <c r="J74" s="1124">
        <f t="shared" si="69"/>
        <v>0</v>
      </c>
      <c r="K74" s="1124">
        <f t="shared" si="69"/>
        <v>0</v>
      </c>
      <c r="L74" s="1124">
        <f t="shared" si="69"/>
        <v>0</v>
      </c>
      <c r="M74" s="1124">
        <f t="shared" si="69"/>
        <v>0</v>
      </c>
      <c r="N74" s="1124">
        <f t="shared" si="69"/>
        <v>0</v>
      </c>
      <c r="O74" s="1124">
        <f t="shared" si="69"/>
        <v>0</v>
      </c>
      <c r="P74" s="1124">
        <f t="shared" si="69"/>
        <v>0</v>
      </c>
      <c r="Q74" s="1124">
        <f t="shared" si="69"/>
        <v>0</v>
      </c>
      <c r="R74" s="1124">
        <f t="shared" si="69"/>
        <v>0</v>
      </c>
      <c r="S74" s="1124">
        <f t="shared" si="69"/>
        <v>0</v>
      </c>
      <c r="T74" s="1124">
        <f t="shared" si="69"/>
        <v>0</v>
      </c>
      <c r="U74" s="1124">
        <f t="shared" si="69"/>
        <v>0</v>
      </c>
      <c r="V74" s="1124">
        <f t="shared" si="69"/>
        <v>0</v>
      </c>
      <c r="W74" s="1124">
        <f t="shared" si="69"/>
        <v>0</v>
      </c>
      <c r="X74" s="1124">
        <f t="shared" si="69"/>
        <v>0</v>
      </c>
      <c r="Y74" s="1124">
        <f t="shared" si="69"/>
        <v>0</v>
      </c>
      <c r="Z74" s="1124">
        <f t="shared" si="69"/>
        <v>0</v>
      </c>
      <c r="AA74" s="1124">
        <f t="shared" si="69"/>
        <v>0</v>
      </c>
      <c r="AB74" s="1124">
        <f t="shared" si="69"/>
        <v>0</v>
      </c>
      <c r="AC74" s="1124">
        <f t="shared" si="69"/>
        <v>0</v>
      </c>
      <c r="AD74" s="1124">
        <f t="shared" si="69"/>
        <v>0</v>
      </c>
      <c r="AE74" s="1124">
        <f t="shared" si="69"/>
        <v>0</v>
      </c>
      <c r="AF74" s="1124">
        <f t="shared" si="69"/>
        <v>0</v>
      </c>
      <c r="AG74" s="1124">
        <f t="shared" si="69"/>
        <v>0</v>
      </c>
      <c r="AH74" s="1124">
        <f t="shared" si="69"/>
        <v>0</v>
      </c>
      <c r="AI74" s="1124">
        <f t="shared" si="69"/>
        <v>0</v>
      </c>
      <c r="AJ74" s="1124">
        <f t="shared" si="69"/>
        <v>0</v>
      </c>
      <c r="AK74" s="1124">
        <f t="shared" si="69"/>
        <v>0</v>
      </c>
      <c r="AL74" s="1124">
        <f t="shared" si="69"/>
        <v>0</v>
      </c>
      <c r="AM74" s="1124">
        <f t="shared" si="69"/>
        <v>0</v>
      </c>
      <c r="AN74" s="1124">
        <f t="shared" si="69"/>
        <v>0</v>
      </c>
      <c r="AO74" s="1124">
        <f t="shared" si="69"/>
        <v>0</v>
      </c>
      <c r="AP74" s="1124">
        <f t="shared" si="69"/>
        <v>0</v>
      </c>
      <c r="AQ74" s="1124">
        <f t="shared" si="69"/>
        <v>0</v>
      </c>
      <c r="AR74" s="1124">
        <f t="shared" si="69"/>
        <v>0</v>
      </c>
      <c r="AS74" s="1124">
        <f t="shared" si="69"/>
        <v>0</v>
      </c>
      <c r="AT74" s="3"/>
      <c r="AU74" s="29">
        <f>+Details!E74</f>
        <v>0</v>
      </c>
      <c r="AV74" s="81">
        <f>+E74-AU74</f>
        <v>0</v>
      </c>
      <c r="AW74" s="102"/>
      <c r="AY74" s="31">
        <f>+Details!F74-Base!F74</f>
        <v>0</v>
      </c>
      <c r="AZ74" s="1124">
        <f>+Details!G74-Base!G74</f>
        <v>0</v>
      </c>
      <c r="BA74" s="1124">
        <f>+Details!H74-Base!H74</f>
        <v>0</v>
      </c>
      <c r="BB74" s="1124">
        <f>+Details!I74-Base!I74</f>
        <v>0</v>
      </c>
      <c r="BC74" s="1124">
        <f>+Details!J74-Base!J74</f>
        <v>0</v>
      </c>
      <c r="BD74" s="1124">
        <f>+Details!K74-Base!K74</f>
        <v>0</v>
      </c>
      <c r="BE74" s="1124">
        <f>+Details!L74-Base!L74</f>
        <v>0</v>
      </c>
      <c r="BF74" s="1124">
        <f>+Details!M74-Base!M74</f>
        <v>0</v>
      </c>
      <c r="BG74" s="1124">
        <f>+Details!N74-Base!N74</f>
        <v>0</v>
      </c>
      <c r="BH74" s="1124">
        <f>+Details!O74-Base!O74</f>
        <v>0</v>
      </c>
      <c r="BI74" s="1124">
        <f>+Details!P74-Base!P74</f>
        <v>0</v>
      </c>
      <c r="BJ74" s="1124">
        <f>+Details!Q74-Base!Q74</f>
        <v>0</v>
      </c>
      <c r="BK74" s="1124">
        <f>+Details!R74-Base!R74</f>
        <v>0</v>
      </c>
      <c r="BL74" s="1124">
        <f>+Details!S74-Base!S74</f>
        <v>0</v>
      </c>
      <c r="BM74" s="1124">
        <f>+Details!T74-Base!T74</f>
        <v>0</v>
      </c>
      <c r="BN74" s="1124">
        <f>+Details!U74-Base!U74</f>
        <v>0</v>
      </c>
      <c r="BO74" s="1124">
        <f>+Details!V74-Base!V74</f>
        <v>0</v>
      </c>
      <c r="BP74" s="1124">
        <f>+Details!W74-Base!W74</f>
        <v>0</v>
      </c>
      <c r="BQ74" s="1124">
        <f>+Details!X74-Base!X74</f>
        <v>0</v>
      </c>
      <c r="BR74" s="1124">
        <f>+Details!Y74-Base!Y74</f>
        <v>0</v>
      </c>
      <c r="BS74" s="1124">
        <f>+Details!Z74-Base!Z74</f>
        <v>0</v>
      </c>
      <c r="BT74" s="1124">
        <f>+Details!AA74-Base!AA74</f>
        <v>0</v>
      </c>
      <c r="BU74" s="1124">
        <f>+Details!AB74-Base!AB74</f>
        <v>0</v>
      </c>
      <c r="BV74" s="1124">
        <f>+Details!AC74-Base!AC74</f>
        <v>0</v>
      </c>
      <c r="BW74" s="1124">
        <f>+Details!AD74-Base!AD74</f>
        <v>0</v>
      </c>
      <c r="BX74" s="1124">
        <f>+Details!AE74-Base!AE74</f>
        <v>0</v>
      </c>
      <c r="BY74" s="1124">
        <f>+Details!AF74-Base!AF74</f>
        <v>0</v>
      </c>
      <c r="BZ74" s="1124">
        <f>+Details!AG74-Base!AG74</f>
        <v>0</v>
      </c>
      <c r="CA74" s="1124">
        <f>+Details!AH74-Base!AH74</f>
        <v>0</v>
      </c>
      <c r="CB74" s="1124">
        <f>+Details!AI74-Base!AI74</f>
        <v>0</v>
      </c>
      <c r="CC74" s="1124">
        <f>+Details!AJ74-Base!AJ74</f>
        <v>0</v>
      </c>
      <c r="CD74" s="1124">
        <f>+Details!AK74-Base!AK74</f>
        <v>0</v>
      </c>
      <c r="CE74" s="1124">
        <f>+Details!AL74-Base!AL74</f>
        <v>0</v>
      </c>
      <c r="CF74" s="1124">
        <f>+Details!AM74-Base!AM74</f>
        <v>0</v>
      </c>
      <c r="CG74" s="1124">
        <f>+Details!AN74-Base!AN74</f>
        <v>0</v>
      </c>
      <c r="CH74" s="1124">
        <f>+Details!AO74-Base!AO74</f>
        <v>0</v>
      </c>
      <c r="CI74" s="1124">
        <f>+Details!AP74-Base!AP74</f>
        <v>0</v>
      </c>
      <c r="CJ74" s="1124">
        <f>+Details!AQ74-Base!AQ74</f>
        <v>0</v>
      </c>
      <c r="CK74" s="1124">
        <f>+Details!AR74-Base!AR74</f>
        <v>0</v>
      </c>
      <c r="CL74" s="1124">
        <f>+Details!AS74-Base!AS74</f>
        <v>0</v>
      </c>
      <c r="CM74" s="48"/>
    </row>
    <row r="75" spans="1:91" ht="15" hidden="1" customHeight="1">
      <c r="A75" s="1427" t="s">
        <v>1578</v>
      </c>
      <c r="B75" s="648" t="s">
        <v>1830</v>
      </c>
      <c r="C75" s="437"/>
      <c r="D75" s="36"/>
      <c r="E75" s="102">
        <f>SUM(F75:AS75)</f>
        <v>-58500</v>
      </c>
      <c r="F75" s="88">
        <f>-F98</f>
        <v>-6500</v>
      </c>
      <c r="G75" s="1147">
        <f>-G98</f>
        <v>-6500</v>
      </c>
      <c r="H75" s="1147">
        <f t="shared" ref="H75:AS75" si="70">-H98</f>
        <v>-6500</v>
      </c>
      <c r="I75" s="1147">
        <f t="shared" si="70"/>
        <v>-6500</v>
      </c>
      <c r="J75" s="1147">
        <f t="shared" si="70"/>
        <v>-6500</v>
      </c>
      <c r="K75" s="1147">
        <f t="shared" si="70"/>
        <v>-6500</v>
      </c>
      <c r="L75" s="1147">
        <f t="shared" si="70"/>
        <v>-6500</v>
      </c>
      <c r="M75" s="1147">
        <f t="shared" si="70"/>
        <v>-6500</v>
      </c>
      <c r="N75" s="1147">
        <f t="shared" si="70"/>
        <v>-6500</v>
      </c>
      <c r="O75" s="1147">
        <f t="shared" si="70"/>
        <v>0</v>
      </c>
      <c r="P75" s="1147">
        <f t="shared" si="70"/>
        <v>0</v>
      </c>
      <c r="Q75" s="1147">
        <f t="shared" si="70"/>
        <v>0</v>
      </c>
      <c r="R75" s="1147">
        <f t="shared" si="70"/>
        <v>0</v>
      </c>
      <c r="S75" s="1147">
        <f t="shared" si="70"/>
        <v>0</v>
      </c>
      <c r="T75" s="1147">
        <f t="shared" si="70"/>
        <v>0</v>
      </c>
      <c r="U75" s="1147">
        <f t="shared" si="70"/>
        <v>0</v>
      </c>
      <c r="V75" s="1147">
        <f t="shared" si="70"/>
        <v>0</v>
      </c>
      <c r="W75" s="1147">
        <f t="shared" si="70"/>
        <v>0</v>
      </c>
      <c r="X75" s="1147">
        <f t="shared" si="70"/>
        <v>0</v>
      </c>
      <c r="Y75" s="1147">
        <f t="shared" si="70"/>
        <v>0</v>
      </c>
      <c r="Z75" s="1147">
        <f t="shared" si="70"/>
        <v>0</v>
      </c>
      <c r="AA75" s="1147">
        <f t="shared" si="70"/>
        <v>0</v>
      </c>
      <c r="AB75" s="1147">
        <f t="shared" si="70"/>
        <v>0</v>
      </c>
      <c r="AC75" s="1147">
        <f t="shared" si="70"/>
        <v>0</v>
      </c>
      <c r="AD75" s="1147">
        <f t="shared" si="70"/>
        <v>0</v>
      </c>
      <c r="AE75" s="1147">
        <f t="shared" si="70"/>
        <v>0</v>
      </c>
      <c r="AF75" s="1147">
        <f t="shared" si="70"/>
        <v>0</v>
      </c>
      <c r="AG75" s="1147">
        <f t="shared" si="70"/>
        <v>0</v>
      </c>
      <c r="AH75" s="1147">
        <f t="shared" si="70"/>
        <v>0</v>
      </c>
      <c r="AI75" s="1147">
        <f t="shared" si="70"/>
        <v>0</v>
      </c>
      <c r="AJ75" s="1147">
        <f t="shared" si="70"/>
        <v>0</v>
      </c>
      <c r="AK75" s="1147">
        <f t="shared" si="70"/>
        <v>0</v>
      </c>
      <c r="AL75" s="1147">
        <f t="shared" si="70"/>
        <v>0</v>
      </c>
      <c r="AM75" s="1147">
        <f t="shared" si="70"/>
        <v>0</v>
      </c>
      <c r="AN75" s="1147">
        <f t="shared" si="70"/>
        <v>0</v>
      </c>
      <c r="AO75" s="1147">
        <f t="shared" si="70"/>
        <v>0</v>
      </c>
      <c r="AP75" s="1147">
        <f t="shared" si="70"/>
        <v>0</v>
      </c>
      <c r="AQ75" s="1147">
        <f t="shared" si="70"/>
        <v>0</v>
      </c>
      <c r="AR75" s="1147">
        <f t="shared" si="70"/>
        <v>0</v>
      </c>
      <c r="AS75" s="1147">
        <f t="shared" si="70"/>
        <v>0</v>
      </c>
      <c r="AT75" s="3"/>
      <c r="AU75" s="102">
        <f>+Details!E75</f>
        <v>-58500</v>
      </c>
      <c r="AV75" s="103">
        <f>+E75-AU75</f>
        <v>0</v>
      </c>
      <c r="AW75" s="102"/>
      <c r="AX75" s="1"/>
      <c r="AY75" s="88">
        <f>+Details!F75-Base!F75</f>
        <v>0</v>
      </c>
      <c r="AZ75" s="1147">
        <f>+Details!G75-Base!G75</f>
        <v>0</v>
      </c>
      <c r="BA75" s="1147">
        <f>+Details!H75-Base!H75</f>
        <v>0</v>
      </c>
      <c r="BB75" s="1147">
        <f>+Details!I75-Base!I75</f>
        <v>0</v>
      </c>
      <c r="BC75" s="1147">
        <f>+Details!J75-Base!J75</f>
        <v>0</v>
      </c>
      <c r="BD75" s="1147">
        <f>+Details!K75-Base!K75</f>
        <v>0</v>
      </c>
      <c r="BE75" s="1147">
        <f>+Details!L75-Base!L75</f>
        <v>0</v>
      </c>
      <c r="BF75" s="1147">
        <f>+Details!M75-Base!M75</f>
        <v>0</v>
      </c>
      <c r="BG75" s="1147">
        <f>+Details!N75-Base!N75</f>
        <v>0</v>
      </c>
      <c r="BH75" s="1147">
        <f>+Details!O75-Base!O75</f>
        <v>0</v>
      </c>
      <c r="BI75" s="1147">
        <f>+Details!P75-Base!P75</f>
        <v>0</v>
      </c>
      <c r="BJ75" s="1147">
        <f>+Details!Q75-Base!Q75</f>
        <v>0</v>
      </c>
      <c r="BK75" s="1147">
        <f>+Details!R75-Base!R75</f>
        <v>0</v>
      </c>
      <c r="BL75" s="1147">
        <f>+Details!S75-Base!S75</f>
        <v>0</v>
      </c>
      <c r="BM75" s="1147">
        <f>+Details!T75-Base!T75</f>
        <v>0</v>
      </c>
      <c r="BN75" s="1147">
        <f>+Details!U75-Base!U75</f>
        <v>0</v>
      </c>
      <c r="BO75" s="1147">
        <f>+Details!V75-Base!V75</f>
        <v>0</v>
      </c>
      <c r="BP75" s="1147">
        <f>+Details!W75-Base!W75</f>
        <v>0</v>
      </c>
      <c r="BQ75" s="1147">
        <f>+Details!X75-Base!X75</f>
        <v>0</v>
      </c>
      <c r="BR75" s="1147">
        <f>+Details!Y75-Base!Y75</f>
        <v>0</v>
      </c>
      <c r="BS75" s="1147">
        <f>+Details!Z75-Base!Z75</f>
        <v>0</v>
      </c>
      <c r="BT75" s="1147">
        <f>+Details!AA75-Base!AA75</f>
        <v>0</v>
      </c>
      <c r="BU75" s="1147">
        <f>+Details!AB75-Base!AB75</f>
        <v>0</v>
      </c>
      <c r="BV75" s="1147">
        <f>+Details!AC75-Base!AC75</f>
        <v>0</v>
      </c>
      <c r="BW75" s="1147">
        <f>+Details!AD75-Base!AD75</f>
        <v>0</v>
      </c>
      <c r="BX75" s="1147">
        <f>+Details!AE75-Base!AE75</f>
        <v>0</v>
      </c>
      <c r="BY75" s="1147">
        <f>+Details!AF75-Base!AF75</f>
        <v>0</v>
      </c>
      <c r="BZ75" s="1147">
        <f>+Details!AG75-Base!AG75</f>
        <v>0</v>
      </c>
      <c r="CA75" s="1147">
        <f>+Details!AH75-Base!AH75</f>
        <v>0</v>
      </c>
      <c r="CB75" s="1147">
        <f>+Details!AI75-Base!AI75</f>
        <v>0</v>
      </c>
      <c r="CC75" s="1147">
        <f>+Details!AJ75-Base!AJ75</f>
        <v>0</v>
      </c>
      <c r="CD75" s="1147">
        <f>+Details!AK75-Base!AK75</f>
        <v>0</v>
      </c>
      <c r="CE75" s="1147">
        <f>+Details!AL75-Base!AL75</f>
        <v>0</v>
      </c>
      <c r="CF75" s="1147">
        <f>+Details!AM75-Base!AM75</f>
        <v>0</v>
      </c>
      <c r="CG75" s="1147">
        <f>+Details!AN75-Base!AN75</f>
        <v>0</v>
      </c>
      <c r="CH75" s="1147">
        <f>+Details!AO75-Base!AO75</f>
        <v>0</v>
      </c>
      <c r="CI75" s="1147">
        <f>+Details!AP75-Base!AP75</f>
        <v>0</v>
      </c>
      <c r="CJ75" s="1147">
        <f>+Details!AQ75-Base!AQ75</f>
        <v>0</v>
      </c>
      <c r="CK75" s="1147">
        <f>+Details!AR75-Base!AR75</f>
        <v>0</v>
      </c>
      <c r="CL75" s="1147">
        <f>+Details!AS75-Base!AS75</f>
        <v>0</v>
      </c>
      <c r="CM75" s="1802"/>
    </row>
    <row r="76" spans="1:91" ht="15" hidden="1" customHeight="1">
      <c r="A76" s="1427" t="s">
        <v>1578</v>
      </c>
      <c r="B76" s="648" t="s">
        <v>2302</v>
      </c>
      <c r="C76" s="437"/>
      <c r="D76" s="10"/>
      <c r="E76" s="34">
        <f>SUM(F76:AS76)</f>
        <v>-4600</v>
      </c>
      <c r="F76" s="38">
        <f>-F120</f>
        <v>-1000</v>
      </c>
      <c r="G76" s="1125">
        <f t="shared" ref="G76:AS76" si="71">-G120</f>
        <v>-1100</v>
      </c>
      <c r="H76" s="1125">
        <f t="shared" si="71"/>
        <v>-1200</v>
      </c>
      <c r="I76" s="1125">
        <f t="shared" si="71"/>
        <v>-1300</v>
      </c>
      <c r="J76" s="1125">
        <f t="shared" si="71"/>
        <v>0</v>
      </c>
      <c r="K76" s="1125">
        <f t="shared" si="71"/>
        <v>0</v>
      </c>
      <c r="L76" s="1125">
        <f t="shared" si="71"/>
        <v>0</v>
      </c>
      <c r="M76" s="1125">
        <f t="shared" si="71"/>
        <v>0</v>
      </c>
      <c r="N76" s="1125">
        <f t="shared" si="71"/>
        <v>0</v>
      </c>
      <c r="O76" s="1125">
        <f t="shared" si="71"/>
        <v>0</v>
      </c>
      <c r="P76" s="1125">
        <f t="shared" si="71"/>
        <v>0</v>
      </c>
      <c r="Q76" s="1125">
        <f t="shared" si="71"/>
        <v>0</v>
      </c>
      <c r="R76" s="1125">
        <f t="shared" si="71"/>
        <v>0</v>
      </c>
      <c r="S76" s="1125">
        <f t="shared" si="71"/>
        <v>0</v>
      </c>
      <c r="T76" s="1125">
        <f t="shared" si="71"/>
        <v>0</v>
      </c>
      <c r="U76" s="1125">
        <f t="shared" si="71"/>
        <v>0</v>
      </c>
      <c r="V76" s="1125">
        <f t="shared" si="71"/>
        <v>0</v>
      </c>
      <c r="W76" s="1125">
        <f t="shared" si="71"/>
        <v>0</v>
      </c>
      <c r="X76" s="1125">
        <f t="shared" si="71"/>
        <v>0</v>
      </c>
      <c r="Y76" s="1125">
        <f t="shared" si="71"/>
        <v>0</v>
      </c>
      <c r="Z76" s="1125">
        <f t="shared" si="71"/>
        <v>0</v>
      </c>
      <c r="AA76" s="1125">
        <f t="shared" si="71"/>
        <v>0</v>
      </c>
      <c r="AB76" s="1125">
        <f t="shared" si="71"/>
        <v>0</v>
      </c>
      <c r="AC76" s="1125">
        <f t="shared" si="71"/>
        <v>0</v>
      </c>
      <c r="AD76" s="1125">
        <f t="shared" si="71"/>
        <v>0</v>
      </c>
      <c r="AE76" s="1125">
        <f t="shared" si="71"/>
        <v>0</v>
      </c>
      <c r="AF76" s="1125">
        <f t="shared" si="71"/>
        <v>0</v>
      </c>
      <c r="AG76" s="1125">
        <f t="shared" si="71"/>
        <v>0</v>
      </c>
      <c r="AH76" s="1125">
        <f t="shared" si="71"/>
        <v>0</v>
      </c>
      <c r="AI76" s="1125">
        <f t="shared" si="71"/>
        <v>0</v>
      </c>
      <c r="AJ76" s="1125">
        <f t="shared" si="71"/>
        <v>0</v>
      </c>
      <c r="AK76" s="1125">
        <f t="shared" si="71"/>
        <v>0</v>
      </c>
      <c r="AL76" s="1125">
        <f t="shared" si="71"/>
        <v>0</v>
      </c>
      <c r="AM76" s="1125">
        <f t="shared" si="71"/>
        <v>0</v>
      </c>
      <c r="AN76" s="1125">
        <f t="shared" si="71"/>
        <v>0</v>
      </c>
      <c r="AO76" s="1125">
        <f t="shared" si="71"/>
        <v>0</v>
      </c>
      <c r="AP76" s="1125">
        <f t="shared" si="71"/>
        <v>0</v>
      </c>
      <c r="AQ76" s="1125">
        <f t="shared" si="71"/>
        <v>0</v>
      </c>
      <c r="AR76" s="1125">
        <f t="shared" si="71"/>
        <v>0</v>
      </c>
      <c r="AS76" s="1125">
        <f t="shared" si="71"/>
        <v>0</v>
      </c>
      <c r="AT76" s="3"/>
      <c r="AU76" s="34">
        <f>+Details!E76</f>
        <v>-4600</v>
      </c>
      <c r="AV76" s="83">
        <f>+E76-AU76</f>
        <v>0</v>
      </c>
      <c r="AW76" s="102"/>
      <c r="AX76" s="1"/>
      <c r="AY76" s="38">
        <f>+Details!F76-Base!F76</f>
        <v>0</v>
      </c>
      <c r="AZ76" s="1125">
        <f>+Details!G76-Base!G76</f>
        <v>0</v>
      </c>
      <c r="BA76" s="1125">
        <f>+Details!H76-Base!H76</f>
        <v>0</v>
      </c>
      <c r="BB76" s="1125">
        <f>+Details!I76-Base!I76</f>
        <v>0</v>
      </c>
      <c r="BC76" s="1125">
        <f>+Details!J76-Base!J76</f>
        <v>0</v>
      </c>
      <c r="BD76" s="1125">
        <f>+Details!K76-Base!K76</f>
        <v>0</v>
      </c>
      <c r="BE76" s="1125">
        <f>+Details!L76-Base!L76</f>
        <v>0</v>
      </c>
      <c r="BF76" s="1125">
        <f>+Details!M76-Base!M76</f>
        <v>0</v>
      </c>
      <c r="BG76" s="1125">
        <f>+Details!N76-Base!N76</f>
        <v>0</v>
      </c>
      <c r="BH76" s="1125">
        <f>+Details!O76-Base!O76</f>
        <v>0</v>
      </c>
      <c r="BI76" s="1125">
        <f>+Details!P76-Base!P76</f>
        <v>0</v>
      </c>
      <c r="BJ76" s="1125">
        <f>+Details!Q76-Base!Q76</f>
        <v>0</v>
      </c>
      <c r="BK76" s="1125">
        <f>+Details!R76-Base!R76</f>
        <v>0</v>
      </c>
      <c r="BL76" s="1125">
        <f>+Details!S76-Base!S76</f>
        <v>0</v>
      </c>
      <c r="BM76" s="1125">
        <f>+Details!T76-Base!T76</f>
        <v>0</v>
      </c>
      <c r="BN76" s="1125">
        <f>+Details!U76-Base!U76</f>
        <v>0</v>
      </c>
      <c r="BO76" s="1125">
        <f>+Details!V76-Base!V76</f>
        <v>0</v>
      </c>
      <c r="BP76" s="1125">
        <f>+Details!W76-Base!W76</f>
        <v>0</v>
      </c>
      <c r="BQ76" s="1125">
        <f>+Details!X76-Base!X76</f>
        <v>0</v>
      </c>
      <c r="BR76" s="1125">
        <f>+Details!Y76-Base!Y76</f>
        <v>0</v>
      </c>
      <c r="BS76" s="1125">
        <f>+Details!Z76-Base!Z76</f>
        <v>0</v>
      </c>
      <c r="BT76" s="1125">
        <f>+Details!AA76-Base!AA76</f>
        <v>0</v>
      </c>
      <c r="BU76" s="1125">
        <f>+Details!AB76-Base!AB76</f>
        <v>0</v>
      </c>
      <c r="BV76" s="1125">
        <f>+Details!AC76-Base!AC76</f>
        <v>0</v>
      </c>
      <c r="BW76" s="1125">
        <f>+Details!AD76-Base!AD76</f>
        <v>0</v>
      </c>
      <c r="BX76" s="1125">
        <f>+Details!AE76-Base!AE76</f>
        <v>0</v>
      </c>
      <c r="BY76" s="1125">
        <f>+Details!AF76-Base!AF76</f>
        <v>0</v>
      </c>
      <c r="BZ76" s="1125">
        <f>+Details!AG76-Base!AG76</f>
        <v>0</v>
      </c>
      <c r="CA76" s="1125">
        <f>+Details!AH76-Base!AH76</f>
        <v>0</v>
      </c>
      <c r="CB76" s="1125">
        <f>+Details!AI76-Base!AI76</f>
        <v>0</v>
      </c>
      <c r="CC76" s="1125">
        <f>+Details!AJ76-Base!AJ76</f>
        <v>0</v>
      </c>
      <c r="CD76" s="1125">
        <f>+Details!AK76-Base!AK76</f>
        <v>0</v>
      </c>
      <c r="CE76" s="1125">
        <f>+Details!AL76-Base!AL76</f>
        <v>0</v>
      </c>
      <c r="CF76" s="1125">
        <f>+Details!AM76-Base!AM76</f>
        <v>0</v>
      </c>
      <c r="CG76" s="1125">
        <f>+Details!AN76-Base!AN76</f>
        <v>0</v>
      </c>
      <c r="CH76" s="1125">
        <f>+Details!AO76-Base!AO76</f>
        <v>0</v>
      </c>
      <c r="CI76" s="1125">
        <f>+Details!AP76-Base!AP76</f>
        <v>0</v>
      </c>
      <c r="CJ76" s="1125">
        <f>+Details!AQ76-Base!AQ76</f>
        <v>0</v>
      </c>
      <c r="CK76" s="1125">
        <f>+Details!AR76-Base!AR76</f>
        <v>0</v>
      </c>
      <c r="CL76" s="1125">
        <f>+Details!AS76-Base!AS76</f>
        <v>0</v>
      </c>
      <c r="CM76" s="48"/>
    </row>
    <row r="77" spans="1:91" ht="15" customHeight="1">
      <c r="B77" s="648" t="s">
        <v>2325</v>
      </c>
      <c r="C77" s="437"/>
      <c r="D77" s="10"/>
      <c r="E77" s="29">
        <f>SUM(F77:AS77)</f>
        <v>-63100</v>
      </c>
      <c r="F77" s="31">
        <f>+F74+F75+F76</f>
        <v>-7500</v>
      </c>
      <c r="G77" s="1124">
        <f>+G74+G75+G76</f>
        <v>-7600</v>
      </c>
      <c r="H77" s="1124">
        <f t="shared" ref="H77:AS77" si="72">+H74+H75+H76</f>
        <v>-7700</v>
      </c>
      <c r="I77" s="1124">
        <f t="shared" si="72"/>
        <v>-7800</v>
      </c>
      <c r="J77" s="1124">
        <f t="shared" si="72"/>
        <v>-6500</v>
      </c>
      <c r="K77" s="1124">
        <f t="shared" si="72"/>
        <v>-6500</v>
      </c>
      <c r="L77" s="1124">
        <f t="shared" si="72"/>
        <v>-6500</v>
      </c>
      <c r="M77" s="1124">
        <f t="shared" si="72"/>
        <v>-6500</v>
      </c>
      <c r="N77" s="1124">
        <f t="shared" si="72"/>
        <v>-6500</v>
      </c>
      <c r="O77" s="1124">
        <f t="shared" si="72"/>
        <v>0</v>
      </c>
      <c r="P77" s="1124">
        <f t="shared" si="72"/>
        <v>0</v>
      </c>
      <c r="Q77" s="1124">
        <f t="shared" si="72"/>
        <v>0</v>
      </c>
      <c r="R77" s="1124">
        <f t="shared" si="72"/>
        <v>0</v>
      </c>
      <c r="S77" s="1124">
        <f t="shared" si="72"/>
        <v>0</v>
      </c>
      <c r="T77" s="1124">
        <f t="shared" si="72"/>
        <v>0</v>
      </c>
      <c r="U77" s="1124">
        <f t="shared" si="72"/>
        <v>0</v>
      </c>
      <c r="V77" s="1124">
        <f t="shared" si="72"/>
        <v>0</v>
      </c>
      <c r="W77" s="1124">
        <f t="shared" si="72"/>
        <v>0</v>
      </c>
      <c r="X77" s="1124">
        <f t="shared" si="72"/>
        <v>0</v>
      </c>
      <c r="Y77" s="1124">
        <f t="shared" si="72"/>
        <v>0</v>
      </c>
      <c r="Z77" s="1124">
        <f t="shared" si="72"/>
        <v>0</v>
      </c>
      <c r="AA77" s="1124">
        <f t="shared" si="72"/>
        <v>0</v>
      </c>
      <c r="AB77" s="1124">
        <f t="shared" si="72"/>
        <v>0</v>
      </c>
      <c r="AC77" s="1124">
        <f t="shared" si="72"/>
        <v>0</v>
      </c>
      <c r="AD77" s="1124">
        <f t="shared" si="72"/>
        <v>0</v>
      </c>
      <c r="AE77" s="1124">
        <f t="shared" si="72"/>
        <v>0</v>
      </c>
      <c r="AF77" s="1124">
        <f t="shared" si="72"/>
        <v>0</v>
      </c>
      <c r="AG77" s="1124">
        <f t="shared" si="72"/>
        <v>0</v>
      </c>
      <c r="AH77" s="1124">
        <f t="shared" si="72"/>
        <v>0</v>
      </c>
      <c r="AI77" s="1124">
        <f t="shared" si="72"/>
        <v>0</v>
      </c>
      <c r="AJ77" s="1124">
        <f t="shared" si="72"/>
        <v>0</v>
      </c>
      <c r="AK77" s="1124">
        <f t="shared" si="72"/>
        <v>0</v>
      </c>
      <c r="AL77" s="1124">
        <f t="shared" si="72"/>
        <v>0</v>
      </c>
      <c r="AM77" s="1124">
        <f t="shared" si="72"/>
        <v>0</v>
      </c>
      <c r="AN77" s="1124">
        <f t="shared" si="72"/>
        <v>0</v>
      </c>
      <c r="AO77" s="1124">
        <f t="shared" si="72"/>
        <v>0</v>
      </c>
      <c r="AP77" s="1124">
        <f t="shared" si="72"/>
        <v>0</v>
      </c>
      <c r="AQ77" s="1124">
        <f t="shared" si="72"/>
        <v>0</v>
      </c>
      <c r="AR77" s="1124">
        <f t="shared" si="72"/>
        <v>0</v>
      </c>
      <c r="AS77" s="1124">
        <f t="shared" si="72"/>
        <v>0</v>
      </c>
      <c r="AT77" s="3"/>
      <c r="AU77" s="29">
        <f>+Details!E77</f>
        <v>-63100</v>
      </c>
      <c r="AV77" s="81">
        <f>+E77-AU77</f>
        <v>0</v>
      </c>
      <c r="AW77" s="102"/>
      <c r="AY77" s="31">
        <f>+Details!F77-Base!F77</f>
        <v>0</v>
      </c>
      <c r="AZ77" s="1124">
        <f>+Details!G77-Base!G77</f>
        <v>0</v>
      </c>
      <c r="BA77" s="1124">
        <f>+Details!H77-Base!H77</f>
        <v>0</v>
      </c>
      <c r="BB77" s="1124">
        <f>+Details!I77-Base!I77</f>
        <v>0</v>
      </c>
      <c r="BC77" s="1124">
        <f>+Details!J77-Base!J77</f>
        <v>0</v>
      </c>
      <c r="BD77" s="1124">
        <f>+Details!K77-Base!K77</f>
        <v>0</v>
      </c>
      <c r="BE77" s="1124">
        <f>+Details!L77-Base!L77</f>
        <v>0</v>
      </c>
      <c r="BF77" s="1124">
        <f>+Details!M77-Base!M77</f>
        <v>0</v>
      </c>
      <c r="BG77" s="1124">
        <f>+Details!N77-Base!N77</f>
        <v>0</v>
      </c>
      <c r="BH77" s="1124">
        <f>+Details!O77-Base!O77</f>
        <v>0</v>
      </c>
      <c r="BI77" s="1124">
        <f>+Details!P77-Base!P77</f>
        <v>0</v>
      </c>
      <c r="BJ77" s="1124">
        <f>+Details!Q77-Base!Q77</f>
        <v>0</v>
      </c>
      <c r="BK77" s="1124">
        <f>+Details!R77-Base!R77</f>
        <v>0</v>
      </c>
      <c r="BL77" s="1124">
        <f>+Details!S77-Base!S77</f>
        <v>0</v>
      </c>
      <c r="BM77" s="1124">
        <f>+Details!T77-Base!T77</f>
        <v>0</v>
      </c>
      <c r="BN77" s="1124">
        <f>+Details!U77-Base!U77</f>
        <v>0</v>
      </c>
      <c r="BO77" s="1124">
        <f>+Details!V77-Base!V77</f>
        <v>0</v>
      </c>
      <c r="BP77" s="1124">
        <f>+Details!W77-Base!W77</f>
        <v>0</v>
      </c>
      <c r="BQ77" s="1124">
        <f>+Details!X77-Base!X77</f>
        <v>0</v>
      </c>
      <c r="BR77" s="1124">
        <f>+Details!Y77-Base!Y77</f>
        <v>0</v>
      </c>
      <c r="BS77" s="1124">
        <f>+Details!Z77-Base!Z77</f>
        <v>0</v>
      </c>
      <c r="BT77" s="1124">
        <f>+Details!AA77-Base!AA77</f>
        <v>0</v>
      </c>
      <c r="BU77" s="1124">
        <f>+Details!AB77-Base!AB77</f>
        <v>0</v>
      </c>
      <c r="BV77" s="1124">
        <f>+Details!AC77-Base!AC77</f>
        <v>0</v>
      </c>
      <c r="BW77" s="1124">
        <f>+Details!AD77-Base!AD77</f>
        <v>0</v>
      </c>
      <c r="BX77" s="1124">
        <f>+Details!AE77-Base!AE77</f>
        <v>0</v>
      </c>
      <c r="BY77" s="1124">
        <f>+Details!AF77-Base!AF77</f>
        <v>0</v>
      </c>
      <c r="BZ77" s="1124">
        <f>+Details!AG77-Base!AG77</f>
        <v>0</v>
      </c>
      <c r="CA77" s="1124">
        <f>+Details!AH77-Base!AH77</f>
        <v>0</v>
      </c>
      <c r="CB77" s="1124">
        <f>+Details!AI77-Base!AI77</f>
        <v>0</v>
      </c>
      <c r="CC77" s="1124">
        <f>+Details!AJ77-Base!AJ77</f>
        <v>0</v>
      </c>
      <c r="CD77" s="1124">
        <f>+Details!AK77-Base!AK77</f>
        <v>0</v>
      </c>
      <c r="CE77" s="1124">
        <f>+Details!AL77-Base!AL77</f>
        <v>0</v>
      </c>
      <c r="CF77" s="1124">
        <f>+Details!AM77-Base!AM77</f>
        <v>0</v>
      </c>
      <c r="CG77" s="1124">
        <f>+Details!AN77-Base!AN77</f>
        <v>0</v>
      </c>
      <c r="CH77" s="1124">
        <f>+Details!AO77-Base!AO77</f>
        <v>0</v>
      </c>
      <c r="CI77" s="1124">
        <f>+Details!AP77-Base!AP77</f>
        <v>0</v>
      </c>
      <c r="CJ77" s="1124">
        <f>+Details!AQ77-Base!AQ77</f>
        <v>0</v>
      </c>
      <c r="CK77" s="1124">
        <f>+Details!AR77-Base!AR77</f>
        <v>0</v>
      </c>
      <c r="CL77" s="1124">
        <f>+Details!AS77-Base!AS77</f>
        <v>0</v>
      </c>
      <c r="CM77" s="48"/>
    </row>
    <row r="78" spans="1:91" hidden="1">
      <c r="A78" s="1427" t="s">
        <v>1578</v>
      </c>
      <c r="B78" s="648" t="s">
        <v>1197</v>
      </c>
      <c r="C78" s="1002"/>
      <c r="D78" s="366"/>
      <c r="E78" s="29">
        <f t="shared" ref="E78:E118" si="73">SUM(F78:AS78)</f>
        <v>60000</v>
      </c>
      <c r="F78" s="29">
        <f t="shared" ref="F78:AS78" si="74">IF(AND(Inheritance="y",IF(Inheritor="y",Inherit_Age=F$4,Inherit_Age=F$5)),Inherit_Taxable,0)</f>
        <v>0</v>
      </c>
      <c r="G78" s="1124">
        <f t="shared" si="74"/>
        <v>0</v>
      </c>
      <c r="H78" s="1124">
        <f t="shared" si="74"/>
        <v>0</v>
      </c>
      <c r="I78" s="1124">
        <f t="shared" si="74"/>
        <v>0</v>
      </c>
      <c r="J78" s="1124">
        <f t="shared" si="74"/>
        <v>0</v>
      </c>
      <c r="K78" s="1124">
        <f t="shared" si="74"/>
        <v>0</v>
      </c>
      <c r="L78" s="1124">
        <f t="shared" si="74"/>
        <v>0</v>
      </c>
      <c r="M78" s="1124">
        <f t="shared" si="74"/>
        <v>0</v>
      </c>
      <c r="N78" s="1124">
        <f t="shared" si="74"/>
        <v>0</v>
      </c>
      <c r="O78" s="1124">
        <f t="shared" si="74"/>
        <v>0</v>
      </c>
      <c r="P78" s="1124">
        <f t="shared" si="74"/>
        <v>0</v>
      </c>
      <c r="Q78" s="1124">
        <f t="shared" si="74"/>
        <v>0</v>
      </c>
      <c r="R78" s="1124">
        <f t="shared" si="74"/>
        <v>0</v>
      </c>
      <c r="S78" s="1124">
        <f t="shared" si="74"/>
        <v>0</v>
      </c>
      <c r="T78" s="1124">
        <f t="shared" si="74"/>
        <v>0</v>
      </c>
      <c r="U78" s="1124">
        <f t="shared" si="74"/>
        <v>60000</v>
      </c>
      <c r="V78" s="1124">
        <f t="shared" si="74"/>
        <v>0</v>
      </c>
      <c r="W78" s="1124">
        <f t="shared" si="74"/>
        <v>0</v>
      </c>
      <c r="X78" s="1124">
        <f t="shared" si="74"/>
        <v>0</v>
      </c>
      <c r="Y78" s="1124">
        <f t="shared" si="74"/>
        <v>0</v>
      </c>
      <c r="Z78" s="1124">
        <f t="shared" si="74"/>
        <v>0</v>
      </c>
      <c r="AA78" s="1124">
        <f t="shared" si="74"/>
        <v>0</v>
      </c>
      <c r="AB78" s="1124">
        <f t="shared" si="74"/>
        <v>0</v>
      </c>
      <c r="AC78" s="1124">
        <f t="shared" si="74"/>
        <v>0</v>
      </c>
      <c r="AD78" s="1124">
        <f t="shared" si="74"/>
        <v>0</v>
      </c>
      <c r="AE78" s="1124">
        <f t="shared" si="74"/>
        <v>0</v>
      </c>
      <c r="AF78" s="1124">
        <f t="shared" si="74"/>
        <v>0</v>
      </c>
      <c r="AG78" s="1124">
        <f t="shared" si="74"/>
        <v>0</v>
      </c>
      <c r="AH78" s="1124">
        <f t="shared" si="74"/>
        <v>0</v>
      </c>
      <c r="AI78" s="1124">
        <f t="shared" si="74"/>
        <v>0</v>
      </c>
      <c r="AJ78" s="1124">
        <f t="shared" si="74"/>
        <v>0</v>
      </c>
      <c r="AK78" s="1124">
        <f t="shared" si="74"/>
        <v>0</v>
      </c>
      <c r="AL78" s="1124">
        <f t="shared" si="74"/>
        <v>0</v>
      </c>
      <c r="AM78" s="1124">
        <f t="shared" si="74"/>
        <v>0</v>
      </c>
      <c r="AN78" s="1124">
        <f t="shared" si="74"/>
        <v>0</v>
      </c>
      <c r="AO78" s="1124">
        <f t="shared" si="74"/>
        <v>0</v>
      </c>
      <c r="AP78" s="1124">
        <f t="shared" si="74"/>
        <v>0</v>
      </c>
      <c r="AQ78" s="1124">
        <f t="shared" si="74"/>
        <v>0</v>
      </c>
      <c r="AR78" s="1124">
        <f t="shared" si="74"/>
        <v>0</v>
      </c>
      <c r="AS78" s="1124">
        <f t="shared" si="74"/>
        <v>0</v>
      </c>
      <c r="AT78" s="3"/>
      <c r="AU78" s="29">
        <f>+Details!E78</f>
        <v>60000</v>
      </c>
      <c r="AV78" s="81">
        <f t="shared" ref="AV78:AV83" si="75">+E78-AU78</f>
        <v>0</v>
      </c>
      <c r="AW78" s="102"/>
      <c r="AY78" s="31">
        <f>+Details!F78-Base!F78</f>
        <v>0</v>
      </c>
      <c r="AZ78" s="1124">
        <f>+Details!G78-Base!G78</f>
        <v>0</v>
      </c>
      <c r="BA78" s="1124">
        <f>+Details!H78-Base!H78</f>
        <v>0</v>
      </c>
      <c r="BB78" s="1124">
        <f>+Details!I78-Base!I78</f>
        <v>0</v>
      </c>
      <c r="BC78" s="1124">
        <f>+Details!J78-Base!J78</f>
        <v>0</v>
      </c>
      <c r="BD78" s="1124">
        <f>+Details!K78-Base!K78</f>
        <v>0</v>
      </c>
      <c r="BE78" s="1124">
        <f>+Details!L78-Base!L78</f>
        <v>0</v>
      </c>
      <c r="BF78" s="1124">
        <f>+Details!M78-Base!M78</f>
        <v>0</v>
      </c>
      <c r="BG78" s="1124">
        <f>+Details!N78-Base!N78</f>
        <v>0</v>
      </c>
      <c r="BH78" s="1124">
        <f>+Details!O78-Base!O78</f>
        <v>0</v>
      </c>
      <c r="BI78" s="1124">
        <f>+Details!P78-Base!P78</f>
        <v>0</v>
      </c>
      <c r="BJ78" s="1124">
        <f>+Details!Q78-Base!Q78</f>
        <v>0</v>
      </c>
      <c r="BK78" s="1124">
        <f>+Details!R78-Base!R78</f>
        <v>0</v>
      </c>
      <c r="BL78" s="1124">
        <f>+Details!S78-Base!S78</f>
        <v>0</v>
      </c>
      <c r="BM78" s="1124">
        <f>+Details!T78-Base!T78</f>
        <v>0</v>
      </c>
      <c r="BN78" s="1124">
        <f>+Details!U78-Base!U78</f>
        <v>0</v>
      </c>
      <c r="BO78" s="1124">
        <f>+Details!V78-Base!V78</f>
        <v>0</v>
      </c>
      <c r="BP78" s="1124">
        <f>+Details!W78-Base!W78</f>
        <v>0</v>
      </c>
      <c r="BQ78" s="1124">
        <f>+Details!X78-Base!X78</f>
        <v>0</v>
      </c>
      <c r="BR78" s="1124">
        <f>+Details!Y78-Base!Y78</f>
        <v>0</v>
      </c>
      <c r="BS78" s="1124">
        <f>+Details!Z78-Base!Z78</f>
        <v>0</v>
      </c>
      <c r="BT78" s="1124">
        <f>+Details!AA78-Base!AA78</f>
        <v>0</v>
      </c>
      <c r="BU78" s="1124">
        <f>+Details!AB78-Base!AB78</f>
        <v>0</v>
      </c>
      <c r="BV78" s="1124">
        <f>+Details!AC78-Base!AC78</f>
        <v>0</v>
      </c>
      <c r="BW78" s="1124">
        <f>+Details!AD78-Base!AD78</f>
        <v>0</v>
      </c>
      <c r="BX78" s="1124">
        <f>+Details!AE78-Base!AE78</f>
        <v>0</v>
      </c>
      <c r="BY78" s="1124">
        <f>+Details!AF78-Base!AF78</f>
        <v>0</v>
      </c>
      <c r="BZ78" s="1124">
        <f>+Details!AG78-Base!AG78</f>
        <v>0</v>
      </c>
      <c r="CA78" s="1124">
        <f>+Details!AH78-Base!AH78</f>
        <v>0</v>
      </c>
      <c r="CB78" s="1124">
        <f>+Details!AI78-Base!AI78</f>
        <v>0</v>
      </c>
      <c r="CC78" s="1124">
        <f>+Details!AJ78-Base!AJ78</f>
        <v>0</v>
      </c>
      <c r="CD78" s="1124">
        <f>+Details!AK78-Base!AK78</f>
        <v>0</v>
      </c>
      <c r="CE78" s="1124">
        <f>+Details!AL78-Base!AL78</f>
        <v>0</v>
      </c>
      <c r="CF78" s="1124">
        <f>+Details!AM78-Base!AM78</f>
        <v>0</v>
      </c>
      <c r="CG78" s="1124">
        <f>+Details!AN78-Base!AN78</f>
        <v>0</v>
      </c>
      <c r="CH78" s="1124">
        <f>+Details!AO78-Base!AO78</f>
        <v>0</v>
      </c>
      <c r="CI78" s="1124">
        <f>+Details!AP78-Base!AP78</f>
        <v>0</v>
      </c>
      <c r="CJ78" s="1124">
        <f>+Details!AQ78-Base!AQ78</f>
        <v>0</v>
      </c>
      <c r="CK78" s="1124">
        <f>+Details!AR78-Base!AR78</f>
        <v>0</v>
      </c>
      <c r="CL78" s="1124">
        <f>+Details!AS78-Base!AS78</f>
        <v>0</v>
      </c>
      <c r="CM78" s="81"/>
    </row>
    <row r="79" spans="1:91" hidden="1">
      <c r="A79" s="1427" t="s">
        <v>1578</v>
      </c>
      <c r="B79" s="648" t="s">
        <v>116</v>
      </c>
      <c r="C79" s="1002"/>
      <c r="D79" s="366"/>
      <c r="E79" s="29">
        <f t="shared" si="73"/>
        <v>40000</v>
      </c>
      <c r="F79" s="29">
        <f t="shared" ref="F79:AS79" si="76">IF(AND(Inheritance2="y",IF(Inheritor2="y",Inherit_Age2=F$4,Inherit_Age2=F$5)),Inherit_Taxable2,0)</f>
        <v>0</v>
      </c>
      <c r="G79" s="1124">
        <f t="shared" si="76"/>
        <v>0</v>
      </c>
      <c r="H79" s="1124">
        <f t="shared" si="76"/>
        <v>0</v>
      </c>
      <c r="I79" s="1124">
        <f t="shared" si="76"/>
        <v>0</v>
      </c>
      <c r="J79" s="1124">
        <f t="shared" si="76"/>
        <v>0</v>
      </c>
      <c r="K79" s="1124">
        <f t="shared" si="76"/>
        <v>0</v>
      </c>
      <c r="L79" s="1124">
        <f t="shared" si="76"/>
        <v>0</v>
      </c>
      <c r="M79" s="1124">
        <f t="shared" si="76"/>
        <v>0</v>
      </c>
      <c r="N79" s="1124">
        <f t="shared" si="76"/>
        <v>0</v>
      </c>
      <c r="O79" s="1124">
        <f t="shared" si="76"/>
        <v>0</v>
      </c>
      <c r="P79" s="1124">
        <f t="shared" si="76"/>
        <v>0</v>
      </c>
      <c r="Q79" s="1124">
        <f t="shared" si="76"/>
        <v>40000</v>
      </c>
      <c r="R79" s="1124">
        <f t="shared" si="76"/>
        <v>0</v>
      </c>
      <c r="S79" s="1124">
        <f t="shared" si="76"/>
        <v>0</v>
      </c>
      <c r="T79" s="1124">
        <f t="shared" si="76"/>
        <v>0</v>
      </c>
      <c r="U79" s="1124">
        <f t="shared" si="76"/>
        <v>0</v>
      </c>
      <c r="V79" s="1124">
        <f t="shared" si="76"/>
        <v>0</v>
      </c>
      <c r="W79" s="1124">
        <f t="shared" si="76"/>
        <v>0</v>
      </c>
      <c r="X79" s="1124">
        <f t="shared" si="76"/>
        <v>0</v>
      </c>
      <c r="Y79" s="1124">
        <f t="shared" si="76"/>
        <v>0</v>
      </c>
      <c r="Z79" s="1124">
        <f t="shared" si="76"/>
        <v>0</v>
      </c>
      <c r="AA79" s="1124">
        <f t="shared" si="76"/>
        <v>0</v>
      </c>
      <c r="AB79" s="1124">
        <f t="shared" si="76"/>
        <v>0</v>
      </c>
      <c r="AC79" s="1124">
        <f t="shared" si="76"/>
        <v>0</v>
      </c>
      <c r="AD79" s="1124">
        <f t="shared" si="76"/>
        <v>0</v>
      </c>
      <c r="AE79" s="1124">
        <f t="shared" si="76"/>
        <v>0</v>
      </c>
      <c r="AF79" s="1124">
        <f t="shared" si="76"/>
        <v>0</v>
      </c>
      <c r="AG79" s="1124">
        <f t="shared" si="76"/>
        <v>0</v>
      </c>
      <c r="AH79" s="1124">
        <f t="shared" si="76"/>
        <v>0</v>
      </c>
      <c r="AI79" s="1124">
        <f t="shared" si="76"/>
        <v>0</v>
      </c>
      <c r="AJ79" s="1124">
        <f t="shared" si="76"/>
        <v>0</v>
      </c>
      <c r="AK79" s="1124">
        <f t="shared" si="76"/>
        <v>0</v>
      </c>
      <c r="AL79" s="1124">
        <f t="shared" si="76"/>
        <v>0</v>
      </c>
      <c r="AM79" s="1124">
        <f t="shared" si="76"/>
        <v>0</v>
      </c>
      <c r="AN79" s="1124">
        <f t="shared" si="76"/>
        <v>0</v>
      </c>
      <c r="AO79" s="1124">
        <f t="shared" si="76"/>
        <v>0</v>
      </c>
      <c r="AP79" s="1124">
        <f t="shared" si="76"/>
        <v>0</v>
      </c>
      <c r="AQ79" s="1124">
        <f t="shared" si="76"/>
        <v>0</v>
      </c>
      <c r="AR79" s="1124">
        <f t="shared" si="76"/>
        <v>0</v>
      </c>
      <c r="AS79" s="1124">
        <f t="shared" si="76"/>
        <v>0</v>
      </c>
      <c r="AT79" s="3"/>
      <c r="AU79" s="29">
        <f>+Details!E79</f>
        <v>40000</v>
      </c>
      <c r="AV79" s="81">
        <f t="shared" si="75"/>
        <v>0</v>
      </c>
      <c r="AW79" s="102"/>
      <c r="AY79" s="31">
        <f>+Details!F79-Base!F79</f>
        <v>0</v>
      </c>
      <c r="AZ79" s="1124">
        <f>+Details!G79-Base!G79</f>
        <v>0</v>
      </c>
      <c r="BA79" s="1124">
        <f>+Details!H79-Base!H79</f>
        <v>0</v>
      </c>
      <c r="BB79" s="1124">
        <f>+Details!I79-Base!I79</f>
        <v>0</v>
      </c>
      <c r="BC79" s="1124">
        <f>+Details!J79-Base!J79</f>
        <v>0</v>
      </c>
      <c r="BD79" s="1124">
        <f>+Details!K79-Base!K79</f>
        <v>0</v>
      </c>
      <c r="BE79" s="1124">
        <f>+Details!L79-Base!L79</f>
        <v>0</v>
      </c>
      <c r="BF79" s="1124">
        <f>+Details!M79-Base!M79</f>
        <v>0</v>
      </c>
      <c r="BG79" s="1124">
        <f>+Details!N79-Base!N79</f>
        <v>0</v>
      </c>
      <c r="BH79" s="1124">
        <f>+Details!O79-Base!O79</f>
        <v>0</v>
      </c>
      <c r="BI79" s="1124">
        <f>+Details!P79-Base!P79</f>
        <v>0</v>
      </c>
      <c r="BJ79" s="1124">
        <f>+Details!Q79-Base!Q79</f>
        <v>0</v>
      </c>
      <c r="BK79" s="1124">
        <f>+Details!R79-Base!R79</f>
        <v>0</v>
      </c>
      <c r="BL79" s="1124">
        <f>+Details!S79-Base!S79</f>
        <v>0</v>
      </c>
      <c r="BM79" s="1124">
        <f>+Details!T79-Base!T79</f>
        <v>0</v>
      </c>
      <c r="BN79" s="1124">
        <f>+Details!U79-Base!U79</f>
        <v>0</v>
      </c>
      <c r="BO79" s="1124">
        <f>+Details!V79-Base!V79</f>
        <v>0</v>
      </c>
      <c r="BP79" s="1124">
        <f>+Details!W79-Base!W79</f>
        <v>0</v>
      </c>
      <c r="BQ79" s="1124">
        <f>+Details!X79-Base!X79</f>
        <v>0</v>
      </c>
      <c r="BR79" s="1124">
        <f>+Details!Y79-Base!Y79</f>
        <v>0</v>
      </c>
      <c r="BS79" s="1124">
        <f>+Details!Z79-Base!Z79</f>
        <v>0</v>
      </c>
      <c r="BT79" s="1124">
        <f>+Details!AA79-Base!AA79</f>
        <v>0</v>
      </c>
      <c r="BU79" s="1124">
        <f>+Details!AB79-Base!AB79</f>
        <v>0</v>
      </c>
      <c r="BV79" s="1124">
        <f>+Details!AC79-Base!AC79</f>
        <v>0</v>
      </c>
      <c r="BW79" s="1124">
        <f>+Details!AD79-Base!AD79</f>
        <v>0</v>
      </c>
      <c r="BX79" s="1124">
        <f>+Details!AE79-Base!AE79</f>
        <v>0</v>
      </c>
      <c r="BY79" s="1124">
        <f>+Details!AF79-Base!AF79</f>
        <v>0</v>
      </c>
      <c r="BZ79" s="1124">
        <f>+Details!AG79-Base!AG79</f>
        <v>0</v>
      </c>
      <c r="CA79" s="1124">
        <f>+Details!AH79-Base!AH79</f>
        <v>0</v>
      </c>
      <c r="CB79" s="1124">
        <f>+Details!AI79-Base!AI79</f>
        <v>0</v>
      </c>
      <c r="CC79" s="1124">
        <f>+Details!AJ79-Base!AJ79</f>
        <v>0</v>
      </c>
      <c r="CD79" s="1124">
        <f>+Details!AK79-Base!AK79</f>
        <v>0</v>
      </c>
      <c r="CE79" s="1124">
        <f>+Details!AL79-Base!AL79</f>
        <v>0</v>
      </c>
      <c r="CF79" s="1124">
        <f>+Details!AM79-Base!AM79</f>
        <v>0</v>
      </c>
      <c r="CG79" s="1124">
        <f>+Details!AN79-Base!AN79</f>
        <v>0</v>
      </c>
      <c r="CH79" s="1124">
        <f>+Details!AO79-Base!AO79</f>
        <v>0</v>
      </c>
      <c r="CI79" s="1124">
        <f>+Details!AP79-Base!AP79</f>
        <v>0</v>
      </c>
      <c r="CJ79" s="1124">
        <f>+Details!AQ79-Base!AQ79</f>
        <v>0</v>
      </c>
      <c r="CK79" s="1124">
        <f>+Details!AR79-Base!AR79</f>
        <v>0</v>
      </c>
      <c r="CL79" s="1124">
        <f>+Details!AS79-Base!AS79</f>
        <v>0</v>
      </c>
      <c r="CM79" s="81"/>
    </row>
    <row r="80" spans="1:91" hidden="1">
      <c r="A80" s="1427" t="s">
        <v>1578</v>
      </c>
      <c r="B80" s="648" t="s">
        <v>117</v>
      </c>
      <c r="C80" s="1002"/>
      <c r="D80" s="366"/>
      <c r="E80" s="29">
        <f t="shared" si="73"/>
        <v>100000</v>
      </c>
      <c r="F80" s="29">
        <f t="shared" ref="F80:AS80" si="77">IF(AND(Asset_Sale="y",Asset_Sale_Age=F$4),Asset_Sale_Amt,0)</f>
        <v>0</v>
      </c>
      <c r="G80" s="1124">
        <f t="shared" si="77"/>
        <v>0</v>
      </c>
      <c r="H80" s="1124">
        <f t="shared" si="77"/>
        <v>0</v>
      </c>
      <c r="I80" s="1124">
        <f t="shared" si="77"/>
        <v>0</v>
      </c>
      <c r="J80" s="1124">
        <f t="shared" si="77"/>
        <v>0</v>
      </c>
      <c r="K80" s="1124">
        <f t="shared" si="77"/>
        <v>0</v>
      </c>
      <c r="L80" s="1124">
        <f t="shared" si="77"/>
        <v>0</v>
      </c>
      <c r="M80" s="1124">
        <f t="shared" si="77"/>
        <v>0</v>
      </c>
      <c r="N80" s="1124">
        <f t="shared" si="77"/>
        <v>0</v>
      </c>
      <c r="O80" s="1124">
        <f t="shared" si="77"/>
        <v>0</v>
      </c>
      <c r="P80" s="1124">
        <f t="shared" si="77"/>
        <v>0</v>
      </c>
      <c r="Q80" s="1124">
        <f t="shared" si="77"/>
        <v>0</v>
      </c>
      <c r="R80" s="1124">
        <f t="shared" si="77"/>
        <v>0</v>
      </c>
      <c r="S80" s="1124">
        <f t="shared" si="77"/>
        <v>0</v>
      </c>
      <c r="T80" s="1124">
        <f t="shared" si="77"/>
        <v>0</v>
      </c>
      <c r="U80" s="1124">
        <f t="shared" si="77"/>
        <v>0</v>
      </c>
      <c r="V80" s="1124">
        <f t="shared" si="77"/>
        <v>0</v>
      </c>
      <c r="W80" s="1124">
        <f t="shared" si="77"/>
        <v>0</v>
      </c>
      <c r="X80" s="1124">
        <f t="shared" si="77"/>
        <v>0</v>
      </c>
      <c r="Y80" s="1124">
        <f t="shared" si="77"/>
        <v>0</v>
      </c>
      <c r="Z80" s="1124">
        <f t="shared" si="77"/>
        <v>0</v>
      </c>
      <c r="AA80" s="1124">
        <f t="shared" si="77"/>
        <v>0</v>
      </c>
      <c r="AB80" s="1124">
        <f t="shared" si="77"/>
        <v>0</v>
      </c>
      <c r="AC80" s="1124">
        <f t="shared" si="77"/>
        <v>0</v>
      </c>
      <c r="AD80" s="1124">
        <f t="shared" si="77"/>
        <v>100000</v>
      </c>
      <c r="AE80" s="1124">
        <f t="shared" si="77"/>
        <v>0</v>
      </c>
      <c r="AF80" s="1124">
        <f t="shared" si="77"/>
        <v>0</v>
      </c>
      <c r="AG80" s="1124">
        <f t="shared" si="77"/>
        <v>0</v>
      </c>
      <c r="AH80" s="1124">
        <f t="shared" si="77"/>
        <v>0</v>
      </c>
      <c r="AI80" s="1124">
        <f t="shared" si="77"/>
        <v>0</v>
      </c>
      <c r="AJ80" s="1124">
        <f t="shared" si="77"/>
        <v>0</v>
      </c>
      <c r="AK80" s="1124">
        <f t="shared" si="77"/>
        <v>0</v>
      </c>
      <c r="AL80" s="1124">
        <f t="shared" si="77"/>
        <v>0</v>
      </c>
      <c r="AM80" s="1124">
        <f t="shared" si="77"/>
        <v>0</v>
      </c>
      <c r="AN80" s="1124">
        <f t="shared" si="77"/>
        <v>0</v>
      </c>
      <c r="AO80" s="1124">
        <f t="shared" si="77"/>
        <v>0</v>
      </c>
      <c r="AP80" s="1124">
        <f t="shared" si="77"/>
        <v>0</v>
      </c>
      <c r="AQ80" s="1124">
        <f t="shared" si="77"/>
        <v>0</v>
      </c>
      <c r="AR80" s="1124">
        <f t="shared" si="77"/>
        <v>0</v>
      </c>
      <c r="AS80" s="1124">
        <f t="shared" si="77"/>
        <v>0</v>
      </c>
      <c r="AT80" s="3"/>
      <c r="AU80" s="29">
        <f>+Details!E80</f>
        <v>100000</v>
      </c>
      <c r="AV80" s="81">
        <f t="shared" si="75"/>
        <v>0</v>
      </c>
      <c r="AW80" s="102"/>
      <c r="AY80" s="31">
        <f>+Details!F80-Base!F80</f>
        <v>0</v>
      </c>
      <c r="AZ80" s="1124">
        <f>+Details!G80-Base!G80</f>
        <v>0</v>
      </c>
      <c r="BA80" s="1124">
        <f>+Details!H80-Base!H80</f>
        <v>0</v>
      </c>
      <c r="BB80" s="1124">
        <f>+Details!I80-Base!I80</f>
        <v>0</v>
      </c>
      <c r="BC80" s="1124">
        <f>+Details!J80-Base!J80</f>
        <v>0</v>
      </c>
      <c r="BD80" s="1124">
        <f>+Details!K80-Base!K80</f>
        <v>0</v>
      </c>
      <c r="BE80" s="1124">
        <f>+Details!L80-Base!L80</f>
        <v>0</v>
      </c>
      <c r="BF80" s="1124">
        <f>+Details!M80-Base!M80</f>
        <v>0</v>
      </c>
      <c r="BG80" s="1124">
        <f>+Details!N80-Base!N80</f>
        <v>0</v>
      </c>
      <c r="BH80" s="1124">
        <f>+Details!O80-Base!O80</f>
        <v>0</v>
      </c>
      <c r="BI80" s="1124">
        <f>+Details!P80-Base!P80</f>
        <v>0</v>
      </c>
      <c r="BJ80" s="1124">
        <f>+Details!Q80-Base!Q80</f>
        <v>0</v>
      </c>
      <c r="BK80" s="1124">
        <f>+Details!R80-Base!R80</f>
        <v>0</v>
      </c>
      <c r="BL80" s="1124">
        <f>+Details!S80-Base!S80</f>
        <v>0</v>
      </c>
      <c r="BM80" s="1124">
        <f>+Details!T80-Base!T80</f>
        <v>0</v>
      </c>
      <c r="BN80" s="1124">
        <f>+Details!U80-Base!U80</f>
        <v>0</v>
      </c>
      <c r="BO80" s="1124">
        <f>+Details!V80-Base!V80</f>
        <v>0</v>
      </c>
      <c r="BP80" s="1124">
        <f>+Details!W80-Base!W80</f>
        <v>0</v>
      </c>
      <c r="BQ80" s="1124">
        <f>+Details!X80-Base!X80</f>
        <v>0</v>
      </c>
      <c r="BR80" s="1124">
        <f>+Details!Y80-Base!Y80</f>
        <v>0</v>
      </c>
      <c r="BS80" s="1124">
        <f>+Details!Z80-Base!Z80</f>
        <v>0</v>
      </c>
      <c r="BT80" s="1124">
        <f>+Details!AA80-Base!AA80</f>
        <v>0</v>
      </c>
      <c r="BU80" s="1124">
        <f>+Details!AB80-Base!AB80</f>
        <v>0</v>
      </c>
      <c r="BV80" s="1124">
        <f>+Details!AC80-Base!AC80</f>
        <v>0</v>
      </c>
      <c r="BW80" s="1124">
        <f>+Details!AD80-Base!AD80</f>
        <v>0</v>
      </c>
      <c r="BX80" s="1124">
        <f>+Details!AE80-Base!AE80</f>
        <v>0</v>
      </c>
      <c r="BY80" s="1124">
        <f>+Details!AF80-Base!AF80</f>
        <v>0</v>
      </c>
      <c r="BZ80" s="1124">
        <f>+Details!AG80-Base!AG80</f>
        <v>0</v>
      </c>
      <c r="CA80" s="1124">
        <f>+Details!AH80-Base!AH80</f>
        <v>0</v>
      </c>
      <c r="CB80" s="1124">
        <f>+Details!AI80-Base!AI80</f>
        <v>0</v>
      </c>
      <c r="CC80" s="1124">
        <f>+Details!AJ80-Base!AJ80</f>
        <v>0</v>
      </c>
      <c r="CD80" s="1124">
        <f>+Details!AK80-Base!AK80</f>
        <v>0</v>
      </c>
      <c r="CE80" s="1124">
        <f>+Details!AL80-Base!AL80</f>
        <v>0</v>
      </c>
      <c r="CF80" s="1124">
        <f>+Details!AM80-Base!AM80</f>
        <v>0</v>
      </c>
      <c r="CG80" s="1124">
        <f>+Details!AN80-Base!AN80</f>
        <v>0</v>
      </c>
      <c r="CH80" s="1124">
        <f>+Details!AO80-Base!AO80</f>
        <v>0</v>
      </c>
      <c r="CI80" s="1124">
        <f>+Details!AP80-Base!AP80</f>
        <v>0</v>
      </c>
      <c r="CJ80" s="1124">
        <f>+Details!AQ80-Base!AQ80</f>
        <v>0</v>
      </c>
      <c r="CK80" s="1124">
        <f>+Details!AR80-Base!AR80</f>
        <v>0</v>
      </c>
      <c r="CL80" s="1124">
        <f>+Details!AS80-Base!AS80</f>
        <v>0</v>
      </c>
      <c r="CM80" s="81"/>
    </row>
    <row r="81" spans="1:91" hidden="1">
      <c r="A81" s="1427" t="s">
        <v>1578</v>
      </c>
      <c r="B81" s="648" t="s">
        <v>118</v>
      </c>
      <c r="C81" s="1002"/>
      <c r="D81" s="366"/>
      <c r="E81" s="29">
        <f t="shared" si="73"/>
        <v>400000</v>
      </c>
      <c r="F81" s="29">
        <f t="shared" ref="F81:AS81" si="78">IF(AND(Asset_Sale2="y",Asset_Sale_Age2=F$4),Asset_Sale_Amt2,0)</f>
        <v>0</v>
      </c>
      <c r="G81" s="1124">
        <f t="shared" si="78"/>
        <v>0</v>
      </c>
      <c r="H81" s="1124">
        <f t="shared" si="78"/>
        <v>0</v>
      </c>
      <c r="I81" s="1124">
        <f t="shared" si="78"/>
        <v>0</v>
      </c>
      <c r="J81" s="1124">
        <f t="shared" si="78"/>
        <v>0</v>
      </c>
      <c r="K81" s="1124">
        <f t="shared" si="78"/>
        <v>0</v>
      </c>
      <c r="L81" s="1124">
        <f t="shared" si="78"/>
        <v>0</v>
      </c>
      <c r="M81" s="1124">
        <f t="shared" si="78"/>
        <v>0</v>
      </c>
      <c r="N81" s="1124">
        <f t="shared" si="78"/>
        <v>0</v>
      </c>
      <c r="O81" s="1124">
        <f t="shared" si="78"/>
        <v>0</v>
      </c>
      <c r="P81" s="1124">
        <f t="shared" si="78"/>
        <v>0</v>
      </c>
      <c r="Q81" s="1124">
        <f t="shared" si="78"/>
        <v>0</v>
      </c>
      <c r="R81" s="1124">
        <f t="shared" si="78"/>
        <v>0</v>
      </c>
      <c r="S81" s="1124">
        <f t="shared" si="78"/>
        <v>0</v>
      </c>
      <c r="T81" s="1124">
        <f t="shared" si="78"/>
        <v>0</v>
      </c>
      <c r="U81" s="1124">
        <f t="shared" si="78"/>
        <v>0</v>
      </c>
      <c r="V81" s="1124">
        <f t="shared" si="78"/>
        <v>0</v>
      </c>
      <c r="W81" s="1124">
        <f t="shared" si="78"/>
        <v>0</v>
      </c>
      <c r="X81" s="1124">
        <f t="shared" si="78"/>
        <v>0</v>
      </c>
      <c r="Y81" s="1124">
        <f t="shared" si="78"/>
        <v>0</v>
      </c>
      <c r="Z81" s="1124">
        <f t="shared" si="78"/>
        <v>0</v>
      </c>
      <c r="AA81" s="1124">
        <f t="shared" si="78"/>
        <v>0</v>
      </c>
      <c r="AB81" s="1124">
        <f t="shared" si="78"/>
        <v>400000</v>
      </c>
      <c r="AC81" s="1124">
        <f t="shared" si="78"/>
        <v>0</v>
      </c>
      <c r="AD81" s="1124">
        <f t="shared" si="78"/>
        <v>0</v>
      </c>
      <c r="AE81" s="1124">
        <f t="shared" si="78"/>
        <v>0</v>
      </c>
      <c r="AF81" s="1124">
        <f t="shared" si="78"/>
        <v>0</v>
      </c>
      <c r="AG81" s="1124">
        <f t="shared" si="78"/>
        <v>0</v>
      </c>
      <c r="AH81" s="1124">
        <f t="shared" si="78"/>
        <v>0</v>
      </c>
      <c r="AI81" s="1124">
        <f t="shared" si="78"/>
        <v>0</v>
      </c>
      <c r="AJ81" s="1124">
        <f t="shared" si="78"/>
        <v>0</v>
      </c>
      <c r="AK81" s="1124">
        <f t="shared" si="78"/>
        <v>0</v>
      </c>
      <c r="AL81" s="1124">
        <f t="shared" si="78"/>
        <v>0</v>
      </c>
      <c r="AM81" s="1124">
        <f t="shared" si="78"/>
        <v>0</v>
      </c>
      <c r="AN81" s="1124">
        <f t="shared" si="78"/>
        <v>0</v>
      </c>
      <c r="AO81" s="1124">
        <f t="shared" si="78"/>
        <v>0</v>
      </c>
      <c r="AP81" s="1124">
        <f t="shared" si="78"/>
        <v>0</v>
      </c>
      <c r="AQ81" s="1124">
        <f t="shared" si="78"/>
        <v>0</v>
      </c>
      <c r="AR81" s="1124">
        <f t="shared" si="78"/>
        <v>0</v>
      </c>
      <c r="AS81" s="1124">
        <f t="shared" si="78"/>
        <v>0</v>
      </c>
      <c r="AT81" s="3"/>
      <c r="AU81" s="29">
        <f>+Details!E81</f>
        <v>400000</v>
      </c>
      <c r="AV81" s="81">
        <f t="shared" si="75"/>
        <v>0</v>
      </c>
      <c r="AW81" s="102"/>
      <c r="AY81" s="31">
        <f>+Details!F81-Base!F81</f>
        <v>0</v>
      </c>
      <c r="AZ81" s="1124">
        <f>+Details!G81-Base!G81</f>
        <v>0</v>
      </c>
      <c r="BA81" s="1124">
        <f>+Details!H81-Base!H81</f>
        <v>0</v>
      </c>
      <c r="BB81" s="1124">
        <f>+Details!I81-Base!I81</f>
        <v>0</v>
      </c>
      <c r="BC81" s="1124">
        <f>+Details!J81-Base!J81</f>
        <v>0</v>
      </c>
      <c r="BD81" s="1124">
        <f>+Details!K81-Base!K81</f>
        <v>0</v>
      </c>
      <c r="BE81" s="1124">
        <f>+Details!L81-Base!L81</f>
        <v>0</v>
      </c>
      <c r="BF81" s="1124">
        <f>+Details!M81-Base!M81</f>
        <v>0</v>
      </c>
      <c r="BG81" s="1124">
        <f>+Details!N81-Base!N81</f>
        <v>0</v>
      </c>
      <c r="BH81" s="1124">
        <f>+Details!O81-Base!O81</f>
        <v>0</v>
      </c>
      <c r="BI81" s="1124">
        <f>+Details!P81-Base!P81</f>
        <v>0</v>
      </c>
      <c r="BJ81" s="1124">
        <f>+Details!Q81-Base!Q81</f>
        <v>0</v>
      </c>
      <c r="BK81" s="1124">
        <f>+Details!R81-Base!R81</f>
        <v>0</v>
      </c>
      <c r="BL81" s="1124">
        <f>+Details!S81-Base!S81</f>
        <v>0</v>
      </c>
      <c r="BM81" s="1124">
        <f>+Details!T81-Base!T81</f>
        <v>0</v>
      </c>
      <c r="BN81" s="1124">
        <f>+Details!U81-Base!U81</f>
        <v>0</v>
      </c>
      <c r="BO81" s="1124">
        <f>+Details!V81-Base!V81</f>
        <v>0</v>
      </c>
      <c r="BP81" s="1124">
        <f>+Details!W81-Base!W81</f>
        <v>0</v>
      </c>
      <c r="BQ81" s="1124">
        <f>+Details!X81-Base!X81</f>
        <v>0</v>
      </c>
      <c r="BR81" s="1124">
        <f>+Details!Y81-Base!Y81</f>
        <v>0</v>
      </c>
      <c r="BS81" s="1124">
        <f>+Details!Z81-Base!Z81</f>
        <v>0</v>
      </c>
      <c r="BT81" s="1124">
        <f>+Details!AA81-Base!AA81</f>
        <v>0</v>
      </c>
      <c r="BU81" s="1124">
        <f>+Details!AB81-Base!AB81</f>
        <v>0</v>
      </c>
      <c r="BV81" s="1124">
        <f>+Details!AC81-Base!AC81</f>
        <v>0</v>
      </c>
      <c r="BW81" s="1124">
        <f>+Details!AD81-Base!AD81</f>
        <v>0</v>
      </c>
      <c r="BX81" s="1124">
        <f>+Details!AE81-Base!AE81</f>
        <v>0</v>
      </c>
      <c r="BY81" s="1124">
        <f>+Details!AF81-Base!AF81</f>
        <v>0</v>
      </c>
      <c r="BZ81" s="1124">
        <f>+Details!AG81-Base!AG81</f>
        <v>0</v>
      </c>
      <c r="CA81" s="1124">
        <f>+Details!AH81-Base!AH81</f>
        <v>0</v>
      </c>
      <c r="CB81" s="1124">
        <f>+Details!AI81-Base!AI81</f>
        <v>0</v>
      </c>
      <c r="CC81" s="1124">
        <f>+Details!AJ81-Base!AJ81</f>
        <v>0</v>
      </c>
      <c r="CD81" s="1124">
        <f>+Details!AK81-Base!AK81</f>
        <v>0</v>
      </c>
      <c r="CE81" s="1124">
        <f>+Details!AL81-Base!AL81</f>
        <v>0</v>
      </c>
      <c r="CF81" s="1124">
        <f>+Details!AM81-Base!AM81</f>
        <v>0</v>
      </c>
      <c r="CG81" s="1124">
        <f>+Details!AN81-Base!AN81</f>
        <v>0</v>
      </c>
      <c r="CH81" s="1124">
        <f>+Details!AO81-Base!AO81</f>
        <v>0</v>
      </c>
      <c r="CI81" s="1124">
        <f>+Details!AP81-Base!AP81</f>
        <v>0</v>
      </c>
      <c r="CJ81" s="1124">
        <f>+Details!AQ81-Base!AQ81</f>
        <v>0</v>
      </c>
      <c r="CK81" s="1124">
        <f>+Details!AR81-Base!AR81</f>
        <v>0</v>
      </c>
      <c r="CL81" s="1124">
        <f>+Details!AS81-Base!AS81</f>
        <v>0</v>
      </c>
      <c r="CM81" s="81"/>
    </row>
    <row r="82" spans="1:91" hidden="1">
      <c r="A82" s="1427" t="s">
        <v>1578</v>
      </c>
      <c r="B82" s="648" t="s">
        <v>119</v>
      </c>
      <c r="C82" s="1002"/>
      <c r="D82" s="366"/>
      <c r="E82" s="29">
        <f t="shared" si="73"/>
        <v>-80000</v>
      </c>
      <c r="F82" s="102">
        <f t="shared" ref="F82:AS82" si="79">IF(AND(Expenditure="y",Expenditure_Age=F$4),-Expenditure_Amt,0)</f>
        <v>0</v>
      </c>
      <c r="G82" s="1124">
        <f t="shared" si="79"/>
        <v>0</v>
      </c>
      <c r="H82" s="1124">
        <f t="shared" si="79"/>
        <v>0</v>
      </c>
      <c r="I82" s="1124">
        <f t="shared" si="79"/>
        <v>0</v>
      </c>
      <c r="J82" s="1124">
        <f t="shared" si="79"/>
        <v>0</v>
      </c>
      <c r="K82" s="1124">
        <f t="shared" si="79"/>
        <v>0</v>
      </c>
      <c r="L82" s="1124">
        <f t="shared" si="79"/>
        <v>0</v>
      </c>
      <c r="M82" s="1124">
        <f t="shared" si="79"/>
        <v>0</v>
      </c>
      <c r="N82" s="1124">
        <f t="shared" si="79"/>
        <v>0</v>
      </c>
      <c r="O82" s="1124">
        <f t="shared" si="79"/>
        <v>0</v>
      </c>
      <c r="P82" s="1124">
        <f t="shared" si="79"/>
        <v>-80000</v>
      </c>
      <c r="Q82" s="1124">
        <f t="shared" si="79"/>
        <v>0</v>
      </c>
      <c r="R82" s="1124">
        <f t="shared" si="79"/>
        <v>0</v>
      </c>
      <c r="S82" s="1124">
        <f t="shared" si="79"/>
        <v>0</v>
      </c>
      <c r="T82" s="1124">
        <f t="shared" si="79"/>
        <v>0</v>
      </c>
      <c r="U82" s="1124">
        <f t="shared" si="79"/>
        <v>0</v>
      </c>
      <c r="V82" s="1124">
        <f t="shared" si="79"/>
        <v>0</v>
      </c>
      <c r="W82" s="1124">
        <f t="shared" si="79"/>
        <v>0</v>
      </c>
      <c r="X82" s="1124">
        <f t="shared" si="79"/>
        <v>0</v>
      </c>
      <c r="Y82" s="1124">
        <f t="shared" si="79"/>
        <v>0</v>
      </c>
      <c r="Z82" s="1124">
        <f t="shared" si="79"/>
        <v>0</v>
      </c>
      <c r="AA82" s="1124">
        <f t="shared" si="79"/>
        <v>0</v>
      </c>
      <c r="AB82" s="1124">
        <f t="shared" si="79"/>
        <v>0</v>
      </c>
      <c r="AC82" s="1124">
        <f t="shared" si="79"/>
        <v>0</v>
      </c>
      <c r="AD82" s="1124">
        <f t="shared" si="79"/>
        <v>0</v>
      </c>
      <c r="AE82" s="1124">
        <f t="shared" si="79"/>
        <v>0</v>
      </c>
      <c r="AF82" s="1124">
        <f t="shared" si="79"/>
        <v>0</v>
      </c>
      <c r="AG82" s="1124">
        <f t="shared" si="79"/>
        <v>0</v>
      </c>
      <c r="AH82" s="1124">
        <f t="shared" si="79"/>
        <v>0</v>
      </c>
      <c r="AI82" s="1124">
        <f t="shared" si="79"/>
        <v>0</v>
      </c>
      <c r="AJ82" s="1124">
        <f t="shared" si="79"/>
        <v>0</v>
      </c>
      <c r="AK82" s="1124">
        <f t="shared" si="79"/>
        <v>0</v>
      </c>
      <c r="AL82" s="1124">
        <f t="shared" si="79"/>
        <v>0</v>
      </c>
      <c r="AM82" s="1124">
        <f t="shared" si="79"/>
        <v>0</v>
      </c>
      <c r="AN82" s="1124">
        <f t="shared" si="79"/>
        <v>0</v>
      </c>
      <c r="AO82" s="1124">
        <f t="shared" si="79"/>
        <v>0</v>
      </c>
      <c r="AP82" s="1124">
        <f t="shared" si="79"/>
        <v>0</v>
      </c>
      <c r="AQ82" s="1124">
        <f t="shared" si="79"/>
        <v>0</v>
      </c>
      <c r="AR82" s="1124">
        <f t="shared" si="79"/>
        <v>0</v>
      </c>
      <c r="AS82" s="1124">
        <f t="shared" si="79"/>
        <v>0</v>
      </c>
      <c r="AT82" s="89"/>
      <c r="AU82" s="29">
        <f>+Details!E82</f>
        <v>-80000</v>
      </c>
      <c r="AV82" s="81">
        <f t="shared" si="75"/>
        <v>0</v>
      </c>
      <c r="AW82" s="102"/>
      <c r="AY82" s="31">
        <f>+Details!F82-Base!F82</f>
        <v>0</v>
      </c>
      <c r="AZ82" s="1124">
        <f>+Details!G82-Base!G82</f>
        <v>0</v>
      </c>
      <c r="BA82" s="1124">
        <f>+Details!H82-Base!H82</f>
        <v>0</v>
      </c>
      <c r="BB82" s="1124">
        <f>+Details!I82-Base!I82</f>
        <v>0</v>
      </c>
      <c r="BC82" s="1124">
        <f>+Details!J82-Base!J82</f>
        <v>0</v>
      </c>
      <c r="BD82" s="1124">
        <f>+Details!K82-Base!K82</f>
        <v>0</v>
      </c>
      <c r="BE82" s="1124">
        <f>+Details!L82-Base!L82</f>
        <v>0</v>
      </c>
      <c r="BF82" s="1124">
        <f>+Details!M82-Base!M82</f>
        <v>0</v>
      </c>
      <c r="BG82" s="1124">
        <f>+Details!N82-Base!N82</f>
        <v>0</v>
      </c>
      <c r="BH82" s="1124">
        <f>+Details!O82-Base!O82</f>
        <v>0</v>
      </c>
      <c r="BI82" s="1124">
        <f>+Details!P82-Base!P82</f>
        <v>0</v>
      </c>
      <c r="BJ82" s="1124">
        <f>+Details!Q82-Base!Q82</f>
        <v>0</v>
      </c>
      <c r="BK82" s="1124">
        <f>+Details!R82-Base!R82</f>
        <v>0</v>
      </c>
      <c r="BL82" s="1124">
        <f>+Details!S82-Base!S82</f>
        <v>0</v>
      </c>
      <c r="BM82" s="1124">
        <f>+Details!T82-Base!T82</f>
        <v>0</v>
      </c>
      <c r="BN82" s="1124">
        <f>+Details!U82-Base!U82</f>
        <v>0</v>
      </c>
      <c r="BO82" s="1124">
        <f>+Details!V82-Base!V82</f>
        <v>0</v>
      </c>
      <c r="BP82" s="1124">
        <f>+Details!W82-Base!W82</f>
        <v>0</v>
      </c>
      <c r="BQ82" s="1124">
        <f>+Details!X82-Base!X82</f>
        <v>0</v>
      </c>
      <c r="BR82" s="1124">
        <f>+Details!Y82-Base!Y82</f>
        <v>0</v>
      </c>
      <c r="BS82" s="1124">
        <f>+Details!Z82-Base!Z82</f>
        <v>0</v>
      </c>
      <c r="BT82" s="1124">
        <f>+Details!AA82-Base!AA82</f>
        <v>0</v>
      </c>
      <c r="BU82" s="1124">
        <f>+Details!AB82-Base!AB82</f>
        <v>0</v>
      </c>
      <c r="BV82" s="1124">
        <f>+Details!AC82-Base!AC82</f>
        <v>0</v>
      </c>
      <c r="BW82" s="1124">
        <f>+Details!AD82-Base!AD82</f>
        <v>0</v>
      </c>
      <c r="BX82" s="1124">
        <f>+Details!AE82-Base!AE82</f>
        <v>0</v>
      </c>
      <c r="BY82" s="1124">
        <f>+Details!AF82-Base!AF82</f>
        <v>0</v>
      </c>
      <c r="BZ82" s="1124">
        <f>+Details!AG82-Base!AG82</f>
        <v>0</v>
      </c>
      <c r="CA82" s="1124">
        <f>+Details!AH82-Base!AH82</f>
        <v>0</v>
      </c>
      <c r="CB82" s="1124">
        <f>+Details!AI82-Base!AI82</f>
        <v>0</v>
      </c>
      <c r="CC82" s="1124">
        <f>+Details!AJ82-Base!AJ82</f>
        <v>0</v>
      </c>
      <c r="CD82" s="1124">
        <f>+Details!AK82-Base!AK82</f>
        <v>0</v>
      </c>
      <c r="CE82" s="1124">
        <f>+Details!AL82-Base!AL82</f>
        <v>0</v>
      </c>
      <c r="CF82" s="1124">
        <f>+Details!AM82-Base!AM82</f>
        <v>0</v>
      </c>
      <c r="CG82" s="1124">
        <f>+Details!AN82-Base!AN82</f>
        <v>0</v>
      </c>
      <c r="CH82" s="1124">
        <f>+Details!AO82-Base!AO82</f>
        <v>0</v>
      </c>
      <c r="CI82" s="1124">
        <f>+Details!AP82-Base!AP82</f>
        <v>0</v>
      </c>
      <c r="CJ82" s="1124">
        <f>+Details!AQ82-Base!AQ82</f>
        <v>0</v>
      </c>
      <c r="CK82" s="1124">
        <f>+Details!AR82-Base!AR82</f>
        <v>0</v>
      </c>
      <c r="CL82" s="1124">
        <f>+Details!AS82-Base!AS82</f>
        <v>0</v>
      </c>
      <c r="CM82" s="81"/>
    </row>
    <row r="83" spans="1:91" hidden="1">
      <c r="A83" s="1427" t="s">
        <v>1578</v>
      </c>
      <c r="B83" s="648" t="s">
        <v>120</v>
      </c>
      <c r="C83" s="1002"/>
      <c r="D83" s="366"/>
      <c r="E83" s="29">
        <f t="shared" si="73"/>
        <v>-20000</v>
      </c>
      <c r="F83" s="102">
        <f t="shared" ref="F83:AS83" si="80">IF(AND(Expenditure2="y",Expenditure_Age2=F$4),-Expenditure_Amt2,0)</f>
        <v>0</v>
      </c>
      <c r="G83" s="1124">
        <f t="shared" si="80"/>
        <v>0</v>
      </c>
      <c r="H83" s="1124">
        <f t="shared" si="80"/>
        <v>0</v>
      </c>
      <c r="I83" s="1124">
        <f t="shared" si="80"/>
        <v>0</v>
      </c>
      <c r="J83" s="1124">
        <f t="shared" si="80"/>
        <v>0</v>
      </c>
      <c r="K83" s="1124">
        <f t="shared" si="80"/>
        <v>0</v>
      </c>
      <c r="L83" s="1124">
        <f t="shared" si="80"/>
        <v>0</v>
      </c>
      <c r="M83" s="1124">
        <f t="shared" si="80"/>
        <v>0</v>
      </c>
      <c r="N83" s="1124">
        <f t="shared" si="80"/>
        <v>0</v>
      </c>
      <c r="O83" s="1124">
        <f t="shared" si="80"/>
        <v>0</v>
      </c>
      <c r="P83" s="1124">
        <f t="shared" si="80"/>
        <v>0</v>
      </c>
      <c r="Q83" s="1124">
        <f t="shared" si="80"/>
        <v>0</v>
      </c>
      <c r="R83" s="1124">
        <f t="shared" si="80"/>
        <v>-20000</v>
      </c>
      <c r="S83" s="1124">
        <f t="shared" si="80"/>
        <v>0</v>
      </c>
      <c r="T83" s="1124">
        <f t="shared" si="80"/>
        <v>0</v>
      </c>
      <c r="U83" s="1124">
        <f t="shared" si="80"/>
        <v>0</v>
      </c>
      <c r="V83" s="1124">
        <f t="shared" si="80"/>
        <v>0</v>
      </c>
      <c r="W83" s="1124">
        <f t="shared" si="80"/>
        <v>0</v>
      </c>
      <c r="X83" s="1124">
        <f t="shared" si="80"/>
        <v>0</v>
      </c>
      <c r="Y83" s="1124">
        <f t="shared" si="80"/>
        <v>0</v>
      </c>
      <c r="Z83" s="1124">
        <f t="shared" si="80"/>
        <v>0</v>
      </c>
      <c r="AA83" s="1124">
        <f t="shared" si="80"/>
        <v>0</v>
      </c>
      <c r="AB83" s="1124">
        <f t="shared" si="80"/>
        <v>0</v>
      </c>
      <c r="AC83" s="1124">
        <f t="shared" si="80"/>
        <v>0</v>
      </c>
      <c r="AD83" s="1124">
        <f t="shared" si="80"/>
        <v>0</v>
      </c>
      <c r="AE83" s="1124">
        <f t="shared" si="80"/>
        <v>0</v>
      </c>
      <c r="AF83" s="1124">
        <f t="shared" si="80"/>
        <v>0</v>
      </c>
      <c r="AG83" s="1124">
        <f t="shared" si="80"/>
        <v>0</v>
      </c>
      <c r="AH83" s="1124">
        <f t="shared" si="80"/>
        <v>0</v>
      </c>
      <c r="AI83" s="1124">
        <f t="shared" si="80"/>
        <v>0</v>
      </c>
      <c r="AJ83" s="1124">
        <f t="shared" si="80"/>
        <v>0</v>
      </c>
      <c r="AK83" s="1124">
        <f t="shared" si="80"/>
        <v>0</v>
      </c>
      <c r="AL83" s="1124">
        <f t="shared" si="80"/>
        <v>0</v>
      </c>
      <c r="AM83" s="1124">
        <f t="shared" si="80"/>
        <v>0</v>
      </c>
      <c r="AN83" s="1124">
        <f t="shared" si="80"/>
        <v>0</v>
      </c>
      <c r="AO83" s="1124">
        <f t="shared" si="80"/>
        <v>0</v>
      </c>
      <c r="AP83" s="1124">
        <f t="shared" si="80"/>
        <v>0</v>
      </c>
      <c r="AQ83" s="1124">
        <f t="shared" si="80"/>
        <v>0</v>
      </c>
      <c r="AR83" s="1124">
        <f t="shared" si="80"/>
        <v>0</v>
      </c>
      <c r="AS83" s="1124">
        <f t="shared" si="80"/>
        <v>0</v>
      </c>
      <c r="AT83" s="3"/>
      <c r="AU83" s="29">
        <f>+Details!E83</f>
        <v>-20000</v>
      </c>
      <c r="AV83" s="81">
        <f t="shared" si="75"/>
        <v>0</v>
      </c>
      <c r="AW83" s="102"/>
      <c r="AY83" s="31">
        <f>+Details!F83-Base!F83</f>
        <v>0</v>
      </c>
      <c r="AZ83" s="1124">
        <f>+Details!G83-Base!G83</f>
        <v>0</v>
      </c>
      <c r="BA83" s="1124">
        <f>+Details!H83-Base!H83</f>
        <v>0</v>
      </c>
      <c r="BB83" s="1124">
        <f>+Details!I83-Base!I83</f>
        <v>0</v>
      </c>
      <c r="BC83" s="1124">
        <f>+Details!J83-Base!J83</f>
        <v>0</v>
      </c>
      <c r="BD83" s="1124">
        <f>+Details!K83-Base!K83</f>
        <v>0</v>
      </c>
      <c r="BE83" s="1124">
        <f>+Details!L83-Base!L83</f>
        <v>0</v>
      </c>
      <c r="BF83" s="1124">
        <f>+Details!M83-Base!M83</f>
        <v>0</v>
      </c>
      <c r="BG83" s="1124">
        <f>+Details!N83-Base!N83</f>
        <v>0</v>
      </c>
      <c r="BH83" s="1124">
        <f>+Details!O83-Base!O83</f>
        <v>0</v>
      </c>
      <c r="BI83" s="1124">
        <f>+Details!P83-Base!P83</f>
        <v>0</v>
      </c>
      <c r="BJ83" s="1124">
        <f>+Details!Q83-Base!Q83</f>
        <v>0</v>
      </c>
      <c r="BK83" s="1124">
        <f>+Details!R83-Base!R83</f>
        <v>0</v>
      </c>
      <c r="BL83" s="1124">
        <f>+Details!S83-Base!S83</f>
        <v>0</v>
      </c>
      <c r="BM83" s="1124">
        <f>+Details!T83-Base!T83</f>
        <v>0</v>
      </c>
      <c r="BN83" s="1124">
        <f>+Details!U83-Base!U83</f>
        <v>0</v>
      </c>
      <c r="BO83" s="1124">
        <f>+Details!V83-Base!V83</f>
        <v>0</v>
      </c>
      <c r="BP83" s="1124">
        <f>+Details!W83-Base!W83</f>
        <v>0</v>
      </c>
      <c r="BQ83" s="1124">
        <f>+Details!X83-Base!X83</f>
        <v>0</v>
      </c>
      <c r="BR83" s="1124">
        <f>+Details!Y83-Base!Y83</f>
        <v>0</v>
      </c>
      <c r="BS83" s="1124">
        <f>+Details!Z83-Base!Z83</f>
        <v>0</v>
      </c>
      <c r="BT83" s="1124">
        <f>+Details!AA83-Base!AA83</f>
        <v>0</v>
      </c>
      <c r="BU83" s="1124">
        <f>+Details!AB83-Base!AB83</f>
        <v>0</v>
      </c>
      <c r="BV83" s="1124">
        <f>+Details!AC83-Base!AC83</f>
        <v>0</v>
      </c>
      <c r="BW83" s="1124">
        <f>+Details!AD83-Base!AD83</f>
        <v>0</v>
      </c>
      <c r="BX83" s="1124">
        <f>+Details!AE83-Base!AE83</f>
        <v>0</v>
      </c>
      <c r="BY83" s="1124">
        <f>+Details!AF83-Base!AF83</f>
        <v>0</v>
      </c>
      <c r="BZ83" s="1124">
        <f>+Details!AG83-Base!AG83</f>
        <v>0</v>
      </c>
      <c r="CA83" s="1124">
        <f>+Details!AH83-Base!AH83</f>
        <v>0</v>
      </c>
      <c r="CB83" s="1124">
        <f>+Details!AI83-Base!AI83</f>
        <v>0</v>
      </c>
      <c r="CC83" s="1124">
        <f>+Details!AJ83-Base!AJ83</f>
        <v>0</v>
      </c>
      <c r="CD83" s="1124">
        <f>+Details!AK83-Base!AK83</f>
        <v>0</v>
      </c>
      <c r="CE83" s="1124">
        <f>+Details!AL83-Base!AL83</f>
        <v>0</v>
      </c>
      <c r="CF83" s="1124">
        <f>+Details!AM83-Base!AM83</f>
        <v>0</v>
      </c>
      <c r="CG83" s="1124">
        <f>+Details!AN83-Base!AN83</f>
        <v>0</v>
      </c>
      <c r="CH83" s="1124">
        <f>+Details!AO83-Base!AO83</f>
        <v>0</v>
      </c>
      <c r="CI83" s="1124">
        <f>+Details!AP83-Base!AP83</f>
        <v>0</v>
      </c>
      <c r="CJ83" s="1124">
        <f>+Details!AQ83-Base!AQ83</f>
        <v>0</v>
      </c>
      <c r="CK83" s="1124">
        <f>+Details!AR83-Base!AR83</f>
        <v>0</v>
      </c>
      <c r="CL83" s="1124">
        <f>+Details!AS83-Base!AS83</f>
        <v>0</v>
      </c>
      <c r="CM83" s="81"/>
    </row>
    <row r="84" spans="1:91" hidden="1">
      <c r="A84" s="1427" t="s">
        <v>1578</v>
      </c>
      <c r="B84" s="648" t="s">
        <v>1531</v>
      </c>
      <c r="C84" s="1002"/>
      <c r="D84" s="366"/>
      <c r="E84" s="34">
        <f t="shared" si="73"/>
        <v>-100000</v>
      </c>
      <c r="F84" s="34">
        <f t="shared" ref="F84:AS84" si="81">IF(SPIA_From="t",IF(SPIA_Age=F$4,-SPIA_Amt,0),0)*IF(SPIA_Amt&gt;F8,0,1)</f>
        <v>0</v>
      </c>
      <c r="G84" s="1125">
        <f t="shared" si="81"/>
        <v>0</v>
      </c>
      <c r="H84" s="1125">
        <f t="shared" si="81"/>
        <v>0</v>
      </c>
      <c r="I84" s="1125">
        <f t="shared" si="81"/>
        <v>0</v>
      </c>
      <c r="J84" s="1125">
        <f t="shared" si="81"/>
        <v>0</v>
      </c>
      <c r="K84" s="1125">
        <f t="shared" si="81"/>
        <v>0</v>
      </c>
      <c r="L84" s="1125">
        <f t="shared" si="81"/>
        <v>0</v>
      </c>
      <c r="M84" s="1125">
        <f t="shared" si="81"/>
        <v>0</v>
      </c>
      <c r="N84" s="1125">
        <f t="shared" si="81"/>
        <v>0</v>
      </c>
      <c r="O84" s="1125">
        <f t="shared" si="81"/>
        <v>0</v>
      </c>
      <c r="P84" s="1125">
        <f t="shared" si="81"/>
        <v>0</v>
      </c>
      <c r="Q84" s="1125">
        <f t="shared" si="81"/>
        <v>0</v>
      </c>
      <c r="R84" s="1125">
        <f t="shared" si="81"/>
        <v>0</v>
      </c>
      <c r="S84" s="1125">
        <f t="shared" si="81"/>
        <v>0</v>
      </c>
      <c r="T84" s="1125">
        <f t="shared" si="81"/>
        <v>-100000</v>
      </c>
      <c r="U84" s="1125">
        <f t="shared" si="81"/>
        <v>0</v>
      </c>
      <c r="V84" s="1125">
        <f t="shared" si="81"/>
        <v>0</v>
      </c>
      <c r="W84" s="1125">
        <f t="shared" si="81"/>
        <v>0</v>
      </c>
      <c r="X84" s="1125">
        <f t="shared" si="81"/>
        <v>0</v>
      </c>
      <c r="Y84" s="1125">
        <f t="shared" si="81"/>
        <v>0</v>
      </c>
      <c r="Z84" s="1125">
        <f t="shared" si="81"/>
        <v>0</v>
      </c>
      <c r="AA84" s="1125">
        <f t="shared" si="81"/>
        <v>0</v>
      </c>
      <c r="AB84" s="1125">
        <f t="shared" si="81"/>
        <v>0</v>
      </c>
      <c r="AC84" s="1125">
        <f t="shared" si="81"/>
        <v>0</v>
      </c>
      <c r="AD84" s="1125">
        <f t="shared" si="81"/>
        <v>0</v>
      </c>
      <c r="AE84" s="1125">
        <f t="shared" si="81"/>
        <v>0</v>
      </c>
      <c r="AF84" s="1125">
        <f t="shared" si="81"/>
        <v>0</v>
      </c>
      <c r="AG84" s="1125">
        <f t="shared" si="81"/>
        <v>0</v>
      </c>
      <c r="AH84" s="1125">
        <f t="shared" si="81"/>
        <v>0</v>
      </c>
      <c r="AI84" s="1125">
        <f t="shared" si="81"/>
        <v>0</v>
      </c>
      <c r="AJ84" s="1125">
        <f t="shared" si="81"/>
        <v>0</v>
      </c>
      <c r="AK84" s="1125">
        <f t="shared" si="81"/>
        <v>0</v>
      </c>
      <c r="AL84" s="1125">
        <f t="shared" si="81"/>
        <v>0</v>
      </c>
      <c r="AM84" s="1125">
        <f t="shared" si="81"/>
        <v>0</v>
      </c>
      <c r="AN84" s="1125">
        <f t="shared" si="81"/>
        <v>0</v>
      </c>
      <c r="AO84" s="1125">
        <f t="shared" si="81"/>
        <v>0</v>
      </c>
      <c r="AP84" s="1125">
        <f t="shared" si="81"/>
        <v>0</v>
      </c>
      <c r="AQ84" s="1125">
        <f t="shared" si="81"/>
        <v>0</v>
      </c>
      <c r="AR84" s="1125">
        <f t="shared" si="81"/>
        <v>0</v>
      </c>
      <c r="AS84" s="1125">
        <f t="shared" si="81"/>
        <v>0</v>
      </c>
      <c r="AT84" s="3"/>
      <c r="AU84" s="34">
        <f>+Details!E84</f>
        <v>-100000</v>
      </c>
      <c r="AV84" s="83">
        <f>+E84-AU84</f>
        <v>0</v>
      </c>
      <c r="AW84" s="102"/>
      <c r="AY84" s="38">
        <f>+Details!F84-Base!F84</f>
        <v>0</v>
      </c>
      <c r="AZ84" s="1125">
        <f>+Details!G84-Base!G84</f>
        <v>0</v>
      </c>
      <c r="BA84" s="1125">
        <f>+Details!H84-Base!H84</f>
        <v>0</v>
      </c>
      <c r="BB84" s="1125">
        <f>+Details!I84-Base!I84</f>
        <v>0</v>
      </c>
      <c r="BC84" s="1125">
        <f>+Details!J84-Base!J84</f>
        <v>0</v>
      </c>
      <c r="BD84" s="1125">
        <f>+Details!K84-Base!K84</f>
        <v>0</v>
      </c>
      <c r="BE84" s="1125">
        <f>+Details!L84-Base!L84</f>
        <v>0</v>
      </c>
      <c r="BF84" s="1125">
        <f>+Details!M84-Base!M84</f>
        <v>0</v>
      </c>
      <c r="BG84" s="1125">
        <f>+Details!N84-Base!N84</f>
        <v>0</v>
      </c>
      <c r="BH84" s="1125">
        <f>+Details!O84-Base!O84</f>
        <v>0</v>
      </c>
      <c r="BI84" s="1125">
        <f>+Details!P84-Base!P84</f>
        <v>0</v>
      </c>
      <c r="BJ84" s="1125">
        <f>+Details!Q84-Base!Q84</f>
        <v>0</v>
      </c>
      <c r="BK84" s="1125">
        <f>+Details!R84-Base!R84</f>
        <v>0</v>
      </c>
      <c r="BL84" s="1125">
        <f>+Details!S84-Base!S84</f>
        <v>0</v>
      </c>
      <c r="BM84" s="1125">
        <f>+Details!T84-Base!T84</f>
        <v>0</v>
      </c>
      <c r="BN84" s="1125">
        <f>+Details!U84-Base!U84</f>
        <v>0</v>
      </c>
      <c r="BO84" s="1125">
        <f>+Details!V84-Base!V84</f>
        <v>0</v>
      </c>
      <c r="BP84" s="1125">
        <f>+Details!W84-Base!W84</f>
        <v>0</v>
      </c>
      <c r="BQ84" s="1125">
        <f>+Details!X84-Base!X84</f>
        <v>0</v>
      </c>
      <c r="BR84" s="1125">
        <f>+Details!Y84-Base!Y84</f>
        <v>0</v>
      </c>
      <c r="BS84" s="1125">
        <f>+Details!Z84-Base!Z84</f>
        <v>0</v>
      </c>
      <c r="BT84" s="1125">
        <f>+Details!AA84-Base!AA84</f>
        <v>0</v>
      </c>
      <c r="BU84" s="1125">
        <f>+Details!AB84-Base!AB84</f>
        <v>0</v>
      </c>
      <c r="BV84" s="1125">
        <f>+Details!AC84-Base!AC84</f>
        <v>0</v>
      </c>
      <c r="BW84" s="1125">
        <f>+Details!AD84-Base!AD84</f>
        <v>0</v>
      </c>
      <c r="BX84" s="1125">
        <f>+Details!AE84-Base!AE84</f>
        <v>0</v>
      </c>
      <c r="BY84" s="1125">
        <f>+Details!AF84-Base!AF84</f>
        <v>0</v>
      </c>
      <c r="BZ84" s="1125">
        <f>+Details!AG84-Base!AG84</f>
        <v>0</v>
      </c>
      <c r="CA84" s="1125">
        <f>+Details!AH84-Base!AH84</f>
        <v>0</v>
      </c>
      <c r="CB84" s="1125">
        <f>+Details!AI84-Base!AI84</f>
        <v>0</v>
      </c>
      <c r="CC84" s="1125">
        <f>+Details!AJ84-Base!AJ84</f>
        <v>0</v>
      </c>
      <c r="CD84" s="1125">
        <f>+Details!AK84-Base!AK84</f>
        <v>0</v>
      </c>
      <c r="CE84" s="1125">
        <f>+Details!AL84-Base!AL84</f>
        <v>0</v>
      </c>
      <c r="CF84" s="1125">
        <f>+Details!AM84-Base!AM84</f>
        <v>0</v>
      </c>
      <c r="CG84" s="1125">
        <f>+Details!AN84-Base!AN84</f>
        <v>0</v>
      </c>
      <c r="CH84" s="1125">
        <f>+Details!AO84-Base!AO84</f>
        <v>0</v>
      </c>
      <c r="CI84" s="1125">
        <f>+Details!AP84-Base!AP84</f>
        <v>0</v>
      </c>
      <c r="CJ84" s="1125">
        <f>+Details!AQ84-Base!AQ84</f>
        <v>0</v>
      </c>
      <c r="CK84" s="1125">
        <f>+Details!AR84-Base!AR84</f>
        <v>0</v>
      </c>
      <c r="CL84" s="1125">
        <f>+Details!AS84-Base!AS84</f>
        <v>0</v>
      </c>
      <c r="CM84" s="103"/>
    </row>
    <row r="85" spans="1:91">
      <c r="B85" s="457" t="s">
        <v>1286</v>
      </c>
      <c r="C85" s="457"/>
      <c r="D85" s="366"/>
      <c r="E85" s="29">
        <f t="shared" si="73"/>
        <v>400000</v>
      </c>
      <c r="F85" s="29">
        <f>(+F78+F79+F80+F81+F82+F83+F84)</f>
        <v>0</v>
      </c>
      <c r="G85" s="1124">
        <f t="shared" ref="G85:AS85" si="82">(+G78+G79+G80+G81+G82+G83+G84)</f>
        <v>0</v>
      </c>
      <c r="H85" s="1124">
        <f t="shared" si="82"/>
        <v>0</v>
      </c>
      <c r="I85" s="1124">
        <f t="shared" si="82"/>
        <v>0</v>
      </c>
      <c r="J85" s="1124">
        <f t="shared" si="82"/>
        <v>0</v>
      </c>
      <c r="K85" s="1124">
        <f t="shared" si="82"/>
        <v>0</v>
      </c>
      <c r="L85" s="1124">
        <f t="shared" si="82"/>
        <v>0</v>
      </c>
      <c r="M85" s="1124">
        <f t="shared" si="82"/>
        <v>0</v>
      </c>
      <c r="N85" s="1124">
        <f t="shared" si="82"/>
        <v>0</v>
      </c>
      <c r="O85" s="1124">
        <f t="shared" si="82"/>
        <v>0</v>
      </c>
      <c r="P85" s="1124">
        <f t="shared" si="82"/>
        <v>-80000</v>
      </c>
      <c r="Q85" s="1124">
        <f t="shared" si="82"/>
        <v>40000</v>
      </c>
      <c r="R85" s="1124">
        <f t="shared" si="82"/>
        <v>-20000</v>
      </c>
      <c r="S85" s="1124">
        <f t="shared" si="82"/>
        <v>0</v>
      </c>
      <c r="T85" s="1124">
        <f t="shared" si="82"/>
        <v>-100000</v>
      </c>
      <c r="U85" s="1124">
        <f t="shared" si="82"/>
        <v>60000</v>
      </c>
      <c r="V85" s="1124">
        <f t="shared" si="82"/>
        <v>0</v>
      </c>
      <c r="W85" s="1124">
        <f t="shared" si="82"/>
        <v>0</v>
      </c>
      <c r="X85" s="1124">
        <f t="shared" si="82"/>
        <v>0</v>
      </c>
      <c r="Y85" s="1124">
        <f t="shared" si="82"/>
        <v>0</v>
      </c>
      <c r="Z85" s="1124">
        <f t="shared" si="82"/>
        <v>0</v>
      </c>
      <c r="AA85" s="1124">
        <f t="shared" si="82"/>
        <v>0</v>
      </c>
      <c r="AB85" s="1124">
        <f t="shared" si="82"/>
        <v>400000</v>
      </c>
      <c r="AC85" s="1124">
        <f t="shared" si="82"/>
        <v>0</v>
      </c>
      <c r="AD85" s="1124">
        <f t="shared" si="82"/>
        <v>100000</v>
      </c>
      <c r="AE85" s="1124">
        <f t="shared" si="82"/>
        <v>0</v>
      </c>
      <c r="AF85" s="1124">
        <f t="shared" si="82"/>
        <v>0</v>
      </c>
      <c r="AG85" s="1124">
        <f t="shared" si="82"/>
        <v>0</v>
      </c>
      <c r="AH85" s="1124">
        <f t="shared" si="82"/>
        <v>0</v>
      </c>
      <c r="AI85" s="1124">
        <f t="shared" si="82"/>
        <v>0</v>
      </c>
      <c r="AJ85" s="1124">
        <f t="shared" si="82"/>
        <v>0</v>
      </c>
      <c r="AK85" s="1124">
        <f t="shared" si="82"/>
        <v>0</v>
      </c>
      <c r="AL85" s="1124">
        <f t="shared" si="82"/>
        <v>0</v>
      </c>
      <c r="AM85" s="1124">
        <f t="shared" si="82"/>
        <v>0</v>
      </c>
      <c r="AN85" s="1124">
        <f t="shared" si="82"/>
        <v>0</v>
      </c>
      <c r="AO85" s="1124">
        <f t="shared" si="82"/>
        <v>0</v>
      </c>
      <c r="AP85" s="1124">
        <f t="shared" si="82"/>
        <v>0</v>
      </c>
      <c r="AQ85" s="1124">
        <f t="shared" si="82"/>
        <v>0</v>
      </c>
      <c r="AR85" s="1124">
        <f t="shared" si="82"/>
        <v>0</v>
      </c>
      <c r="AS85" s="1124">
        <f t="shared" si="82"/>
        <v>0</v>
      </c>
      <c r="AT85" s="3"/>
      <c r="AU85" s="29">
        <f>+Details!E85</f>
        <v>400000</v>
      </c>
      <c r="AV85" s="81">
        <f>+E85-AU85</f>
        <v>0</v>
      </c>
      <c r="AW85" s="102"/>
      <c r="AY85" s="31">
        <f>+Details!F85-Base!F85</f>
        <v>0</v>
      </c>
      <c r="AZ85" s="1124">
        <f>+Details!G85-Base!G85</f>
        <v>0</v>
      </c>
      <c r="BA85" s="1124">
        <f>+Details!H85-Base!H85</f>
        <v>0</v>
      </c>
      <c r="BB85" s="1124">
        <f>+Details!I85-Base!I85</f>
        <v>0</v>
      </c>
      <c r="BC85" s="1124">
        <f>+Details!J85-Base!J85</f>
        <v>0</v>
      </c>
      <c r="BD85" s="1124">
        <f>+Details!K85-Base!K85</f>
        <v>0</v>
      </c>
      <c r="BE85" s="1124">
        <f>+Details!L85-Base!L85</f>
        <v>0</v>
      </c>
      <c r="BF85" s="1124">
        <f>+Details!M85-Base!M85</f>
        <v>0</v>
      </c>
      <c r="BG85" s="1124">
        <f>+Details!N85-Base!N85</f>
        <v>0</v>
      </c>
      <c r="BH85" s="1124">
        <f>+Details!O85-Base!O85</f>
        <v>0</v>
      </c>
      <c r="BI85" s="1124">
        <f>+Details!P85-Base!P85</f>
        <v>0</v>
      </c>
      <c r="BJ85" s="1124">
        <f>+Details!Q85-Base!Q85</f>
        <v>0</v>
      </c>
      <c r="BK85" s="1124">
        <f>+Details!R85-Base!R85</f>
        <v>0</v>
      </c>
      <c r="BL85" s="1124">
        <f>+Details!S85-Base!S85</f>
        <v>0</v>
      </c>
      <c r="BM85" s="1124">
        <f>+Details!T85-Base!T85</f>
        <v>0</v>
      </c>
      <c r="BN85" s="1124">
        <f>+Details!U85-Base!U85</f>
        <v>0</v>
      </c>
      <c r="BO85" s="1124">
        <f>+Details!V85-Base!V85</f>
        <v>0</v>
      </c>
      <c r="BP85" s="1124">
        <f>+Details!W85-Base!W85</f>
        <v>0</v>
      </c>
      <c r="BQ85" s="1124">
        <f>+Details!X85-Base!X85</f>
        <v>0</v>
      </c>
      <c r="BR85" s="1124">
        <f>+Details!Y85-Base!Y85</f>
        <v>0</v>
      </c>
      <c r="BS85" s="1124">
        <f>+Details!Z85-Base!Z85</f>
        <v>0</v>
      </c>
      <c r="BT85" s="1124">
        <f>+Details!AA85-Base!AA85</f>
        <v>0</v>
      </c>
      <c r="BU85" s="1124">
        <f>+Details!AB85-Base!AB85</f>
        <v>0</v>
      </c>
      <c r="BV85" s="1124">
        <f>+Details!AC85-Base!AC85</f>
        <v>0</v>
      </c>
      <c r="BW85" s="1124">
        <f>+Details!AD85-Base!AD85</f>
        <v>0</v>
      </c>
      <c r="BX85" s="1124">
        <f>+Details!AE85-Base!AE85</f>
        <v>0</v>
      </c>
      <c r="BY85" s="1124">
        <f>+Details!AF85-Base!AF85</f>
        <v>0</v>
      </c>
      <c r="BZ85" s="1124">
        <f>+Details!AG85-Base!AG85</f>
        <v>0</v>
      </c>
      <c r="CA85" s="1124">
        <f>+Details!AH85-Base!AH85</f>
        <v>0</v>
      </c>
      <c r="CB85" s="1124">
        <f>+Details!AI85-Base!AI85</f>
        <v>0</v>
      </c>
      <c r="CC85" s="1124">
        <f>+Details!AJ85-Base!AJ85</f>
        <v>0</v>
      </c>
      <c r="CD85" s="1124">
        <f>+Details!AK85-Base!AK85</f>
        <v>0</v>
      </c>
      <c r="CE85" s="1124">
        <f>+Details!AL85-Base!AL85</f>
        <v>0</v>
      </c>
      <c r="CF85" s="1124">
        <f>+Details!AM85-Base!AM85</f>
        <v>0</v>
      </c>
      <c r="CG85" s="1124">
        <f>+Details!AN85-Base!AN85</f>
        <v>0</v>
      </c>
      <c r="CH85" s="1124">
        <f>+Details!AO85-Base!AO85</f>
        <v>0</v>
      </c>
      <c r="CI85" s="1124">
        <f>+Details!AP85-Base!AP85</f>
        <v>0</v>
      </c>
      <c r="CJ85" s="1124">
        <v>0</v>
      </c>
      <c r="CK85" s="1124">
        <f>+Details!AR85-Base!AR85</f>
        <v>0</v>
      </c>
      <c r="CL85" s="1124">
        <f>+Details!AS85-Base!AS85</f>
        <v>0</v>
      </c>
      <c r="CM85" s="81"/>
    </row>
    <row r="86" spans="1:91" ht="5.4" customHeight="1">
      <c r="C86" s="3"/>
      <c r="G86" s="1124"/>
      <c r="H86" s="1124"/>
      <c r="I86" s="1124"/>
      <c r="J86" s="1124"/>
      <c r="K86" s="1124"/>
      <c r="L86" s="1124"/>
      <c r="M86" s="1124"/>
      <c r="N86" s="1124"/>
      <c r="O86" s="1124"/>
      <c r="P86" s="1124"/>
      <c r="Q86" s="1124"/>
      <c r="R86" s="1124"/>
      <c r="S86" s="1124"/>
      <c r="T86" s="1124"/>
      <c r="U86" s="1124"/>
      <c r="V86" s="1124"/>
      <c r="W86" s="1124"/>
      <c r="X86" s="1124"/>
      <c r="Y86" s="1124"/>
      <c r="Z86" s="1124"/>
      <c r="AA86" s="1124"/>
      <c r="AB86" s="1124"/>
      <c r="AC86" s="1124"/>
      <c r="AD86" s="1124"/>
      <c r="AE86" s="1124"/>
      <c r="AF86" s="1124"/>
      <c r="AG86" s="1124"/>
      <c r="AH86" s="1124"/>
      <c r="AI86" s="1124"/>
      <c r="AJ86" s="1124"/>
      <c r="AK86" s="1124"/>
      <c r="AL86" s="1124"/>
      <c r="AM86" s="1124"/>
      <c r="AN86" s="1124"/>
      <c r="AO86" s="1124"/>
      <c r="AP86" s="1124"/>
      <c r="AQ86" s="1124"/>
      <c r="AR86" s="1124"/>
      <c r="AS86" s="1124"/>
      <c r="AZ86" s="1124"/>
      <c r="BA86" s="1124"/>
      <c r="BB86" s="1124"/>
      <c r="BC86" s="1124"/>
      <c r="BD86" s="1124"/>
      <c r="BE86" s="1124"/>
      <c r="BF86" s="1124"/>
      <c r="BG86" s="1124"/>
      <c r="BH86" s="1124"/>
      <c r="BI86" s="1124"/>
      <c r="BJ86" s="1124"/>
      <c r="BK86" s="1124"/>
      <c r="BL86" s="1124"/>
      <c r="BM86" s="1124"/>
      <c r="BN86" s="1124"/>
      <c r="BO86" s="1124"/>
      <c r="BP86" s="1124"/>
      <c r="BQ86" s="1124"/>
      <c r="BR86" s="1124"/>
      <c r="BS86" s="1124"/>
      <c r="BT86" s="1124"/>
      <c r="BU86" s="1124"/>
      <c r="BV86" s="1124"/>
      <c r="BW86" s="1124"/>
      <c r="BX86" s="1124"/>
      <c r="BY86" s="1124"/>
      <c r="BZ86" s="1124"/>
      <c r="CA86" s="1124"/>
      <c r="CB86" s="1124"/>
      <c r="CC86" s="1124"/>
      <c r="CD86" s="1124"/>
      <c r="CE86" s="1124"/>
      <c r="CF86" s="1124"/>
      <c r="CG86" s="1124"/>
      <c r="CH86" s="1124"/>
      <c r="CI86" s="1124"/>
      <c r="CJ86" s="1124"/>
      <c r="CK86" s="1124"/>
      <c r="CL86" s="1124"/>
    </row>
    <row r="87" spans="1:91" ht="15" customHeight="1">
      <c r="B87" s="1764" t="s">
        <v>1813</v>
      </c>
      <c r="C87" s="1003" t="str">
        <f>tIRA1_Start &amp; "-" &amp; tIRA1_End</f>
        <v>-</v>
      </c>
      <c r="D87" s="1133">
        <f>tIRA1_Esc</f>
        <v>0</v>
      </c>
      <c r="E87" s="65">
        <f t="shared" si="73"/>
        <v>0</v>
      </c>
      <c r="F87" s="31">
        <f>+Details!F87</f>
        <v>0</v>
      </c>
      <c r="G87" s="1124">
        <f>+Details!G87</f>
        <v>0</v>
      </c>
      <c r="H87" s="1124">
        <f>+Details!H87</f>
        <v>0</v>
      </c>
      <c r="I87" s="1124">
        <f>+Details!I87</f>
        <v>0</v>
      </c>
      <c r="J87" s="1124">
        <f>+Details!J87</f>
        <v>0</v>
      </c>
      <c r="K87" s="1124">
        <f>+Details!K87</f>
        <v>0</v>
      </c>
      <c r="L87" s="1124">
        <f>+Details!L87</f>
        <v>0</v>
      </c>
      <c r="M87" s="1124">
        <f>+Details!M87</f>
        <v>0</v>
      </c>
      <c r="N87" s="1124">
        <f>+Details!N87</f>
        <v>0</v>
      </c>
      <c r="O87" s="1124">
        <f>+Details!O87</f>
        <v>0</v>
      </c>
      <c r="P87" s="1124">
        <f>+Details!P87</f>
        <v>0</v>
      </c>
      <c r="Q87" s="1124">
        <f>+Details!Q87</f>
        <v>0</v>
      </c>
      <c r="R87" s="1124">
        <f>+Details!R87</f>
        <v>0</v>
      </c>
      <c r="S87" s="1124">
        <f>+Details!S87</f>
        <v>0</v>
      </c>
      <c r="T87" s="1124">
        <f>+Details!T87</f>
        <v>0</v>
      </c>
      <c r="U87" s="1124">
        <f>+Details!U87</f>
        <v>0</v>
      </c>
      <c r="V87" s="1124">
        <f>+Details!V87</f>
        <v>0</v>
      </c>
      <c r="W87" s="1124">
        <f>+Details!W87</f>
        <v>0</v>
      </c>
      <c r="X87" s="1124">
        <f>+Details!X87</f>
        <v>0</v>
      </c>
      <c r="Y87" s="1124">
        <f>+Details!Y87</f>
        <v>0</v>
      </c>
      <c r="Z87" s="1124">
        <f>+Details!Z87</f>
        <v>0</v>
      </c>
      <c r="AA87" s="1124">
        <f>+Details!AA87</f>
        <v>0</v>
      </c>
      <c r="AB87" s="1124">
        <f>+Details!AB87</f>
        <v>0</v>
      </c>
      <c r="AC87" s="1124">
        <f>+Details!AC87</f>
        <v>0</v>
      </c>
      <c r="AD87" s="1124">
        <f>+Details!AD87</f>
        <v>0</v>
      </c>
      <c r="AE87" s="1124">
        <f>+Details!AE87</f>
        <v>0</v>
      </c>
      <c r="AF87" s="1124">
        <f>+Details!AF87</f>
        <v>0</v>
      </c>
      <c r="AG87" s="1124">
        <f>+Details!AG87</f>
        <v>0</v>
      </c>
      <c r="AH87" s="1124">
        <f>+Details!AH87</f>
        <v>0</v>
      </c>
      <c r="AI87" s="1124">
        <f>+Details!AI87</f>
        <v>0</v>
      </c>
      <c r="AJ87" s="1124">
        <f>+Details!AJ87</f>
        <v>0</v>
      </c>
      <c r="AK87" s="1124">
        <f>+Details!AK87</f>
        <v>0</v>
      </c>
      <c r="AL87" s="1124">
        <f>+Details!AL87</f>
        <v>0</v>
      </c>
      <c r="AM87" s="1124">
        <f>+Details!AM87</f>
        <v>0</v>
      </c>
      <c r="AN87" s="1124">
        <f>+Details!AN87</f>
        <v>0</v>
      </c>
      <c r="AO87" s="1124">
        <f>+Details!AO87</f>
        <v>0</v>
      </c>
      <c r="AP87" s="1124">
        <f>+Details!AP87</f>
        <v>0</v>
      </c>
      <c r="AQ87" s="1124">
        <f>+Details!AQ87</f>
        <v>0</v>
      </c>
      <c r="AR87" s="1124">
        <f>+Details!AR87</f>
        <v>0</v>
      </c>
      <c r="AS87" s="1124">
        <f>+Details!AS87</f>
        <v>0</v>
      </c>
      <c r="AU87" s="65">
        <f>+Details!E87</f>
        <v>0</v>
      </c>
      <c r="AV87" s="434">
        <f>+E87-AU87</f>
        <v>0</v>
      </c>
      <c r="AW87" s="191"/>
      <c r="AY87" s="31">
        <f>+Details!F87-Base!F87</f>
        <v>0</v>
      </c>
      <c r="AZ87" s="1124">
        <f>+Details!G87-Base!G87</f>
        <v>0</v>
      </c>
      <c r="BA87" s="1124">
        <f>+Details!H87-Base!H87</f>
        <v>0</v>
      </c>
      <c r="BB87" s="1124">
        <f>+Details!I87-Base!I87</f>
        <v>0</v>
      </c>
      <c r="BC87" s="1124">
        <f>+Details!J87-Base!J87</f>
        <v>0</v>
      </c>
      <c r="BD87" s="1124">
        <f>+Details!K87-Base!K87</f>
        <v>0</v>
      </c>
      <c r="BE87" s="1124">
        <f>+Details!L87-Base!L87</f>
        <v>0</v>
      </c>
      <c r="BF87" s="1124">
        <f>+Details!M87-Base!M87</f>
        <v>0</v>
      </c>
      <c r="BG87" s="1124">
        <f>+Details!N87-Base!N87</f>
        <v>0</v>
      </c>
      <c r="BH87" s="1124">
        <f>+Details!O87-Base!O87</f>
        <v>0</v>
      </c>
      <c r="BI87" s="1124">
        <f>+Details!P87-Base!P87</f>
        <v>0</v>
      </c>
      <c r="BJ87" s="1124">
        <f>+Details!Q87-Base!Q87</f>
        <v>0</v>
      </c>
      <c r="BK87" s="1124">
        <f>+Details!R87-Base!R87</f>
        <v>0</v>
      </c>
      <c r="BL87" s="1124">
        <f>+Details!S87-Base!S87</f>
        <v>0</v>
      </c>
      <c r="BM87" s="1124">
        <f>+Details!T87-Base!T87</f>
        <v>0</v>
      </c>
      <c r="BN87" s="1124">
        <f>+Details!U87-Base!U87</f>
        <v>0</v>
      </c>
      <c r="BO87" s="1124">
        <f>+Details!V87-Base!V87</f>
        <v>0</v>
      </c>
      <c r="BP87" s="1124">
        <f>+Details!W87-Base!W87</f>
        <v>0</v>
      </c>
      <c r="BQ87" s="1124">
        <f>+Details!X87-Base!X87</f>
        <v>0</v>
      </c>
      <c r="BR87" s="1124">
        <f>+Details!Y87-Base!Y87</f>
        <v>0</v>
      </c>
      <c r="BS87" s="1124">
        <f>+Details!Z87-Base!Z87</f>
        <v>0</v>
      </c>
      <c r="BT87" s="1124">
        <f>+Details!AA87-Base!AA87</f>
        <v>0</v>
      </c>
      <c r="BU87" s="1124">
        <f>+Details!AB87-Base!AB87</f>
        <v>0</v>
      </c>
      <c r="BV87" s="1124">
        <f>+Details!AC87-Base!AC87</f>
        <v>0</v>
      </c>
      <c r="BW87" s="1124">
        <f>+Details!AD87-Base!AD87</f>
        <v>0</v>
      </c>
      <c r="BX87" s="1124">
        <f>+Details!AE87-Base!AE87</f>
        <v>0</v>
      </c>
      <c r="BY87" s="1124">
        <f>+Details!AF87-Base!AF87</f>
        <v>0</v>
      </c>
      <c r="BZ87" s="1124">
        <f>+Details!AG87-Base!AG87</f>
        <v>0</v>
      </c>
      <c r="CA87" s="1124">
        <f>+Details!AH87-Base!AH87</f>
        <v>0</v>
      </c>
      <c r="CB87" s="1124">
        <f>+Details!AI87-Base!AI87</f>
        <v>0</v>
      </c>
      <c r="CC87" s="1124">
        <f>+Details!AJ87-Base!AJ87</f>
        <v>0</v>
      </c>
      <c r="CD87" s="1124">
        <f>+Details!AK87-Base!AK87</f>
        <v>0</v>
      </c>
      <c r="CE87" s="1124">
        <f>+Details!AL87-Base!AL87</f>
        <v>0</v>
      </c>
      <c r="CF87" s="1124">
        <f>+Details!AM87-Base!AM87</f>
        <v>0</v>
      </c>
      <c r="CG87" s="1124">
        <f>+Details!AN87-Base!AN87</f>
        <v>0</v>
      </c>
      <c r="CH87" s="1124">
        <f>+Details!AO87-Base!AO87</f>
        <v>0</v>
      </c>
      <c r="CI87" s="1124">
        <f>+Details!AP87-Base!AP87</f>
        <v>0</v>
      </c>
      <c r="CJ87" s="1124">
        <f>+Details!AQ87-Base!AQ87</f>
        <v>0</v>
      </c>
      <c r="CK87" s="1124">
        <f>+Details!AR87-Base!AR87</f>
        <v>0</v>
      </c>
      <c r="CL87" s="1124">
        <f>+Details!AS87-Base!AS87</f>
        <v>0</v>
      </c>
    </row>
    <row r="88" spans="1:91" s="3" customFormat="1" ht="19.95" hidden="1" customHeight="1">
      <c r="A88" s="1427" t="s">
        <v>1578</v>
      </c>
      <c r="B88" s="1764" t="s">
        <v>258</v>
      </c>
      <c r="C88" s="1003" t="str">
        <f>Start_Compare1 &amp; "-" &amp; End_Compare1</f>
        <v>62-69</v>
      </c>
      <c r="D88" s="1133">
        <f>Esc_Compare1</f>
        <v>0.03</v>
      </c>
      <c r="E88" s="65">
        <f t="shared" si="73"/>
        <v>-355700</v>
      </c>
      <c r="F88" s="1305">
        <f>ROUND(IF(AND(tIRA_Begin&gt;0,Start_Base1&lt;=F$4),-tIRA_Withdr_Compare1-tIRA_Withdr_Base1,0)/Round_To,0)*Round_To</f>
        <v>-40000</v>
      </c>
      <c r="G88" s="1124">
        <f t="shared" ref="G88:AS88" si="83">ROUND(IF(F88&lt;0,IF(-G311&gt;+F88*(1+Esc_Base1),-G311,+F88*(1+Esc_Base1)),IF(Start_Base1&lt;=G$4,IF(-G311&gt;-tIRA_Withdr_Compare1-tIRA_Withdr_Base1,-G311,-tIRA_Withdr_Compare1-tIRA_Withdr_Base1),0))/Round_To,0)*Round_To</f>
        <v>-41200</v>
      </c>
      <c r="H88" s="1124">
        <f t="shared" si="83"/>
        <v>-42400</v>
      </c>
      <c r="I88" s="1124">
        <f t="shared" si="83"/>
        <v>-43700</v>
      </c>
      <c r="J88" s="1124">
        <f t="shared" si="83"/>
        <v>-45000</v>
      </c>
      <c r="K88" s="1124">
        <f t="shared" si="83"/>
        <v>-46400</v>
      </c>
      <c r="L88" s="1124">
        <f t="shared" si="83"/>
        <v>-47800</v>
      </c>
      <c r="M88" s="1124">
        <f t="shared" si="83"/>
        <v>-49200</v>
      </c>
      <c r="N88" s="1124">
        <f t="shared" si="83"/>
        <v>0</v>
      </c>
      <c r="O88" s="1124">
        <f t="shared" si="83"/>
        <v>0</v>
      </c>
      <c r="P88" s="1124">
        <f t="shared" si="83"/>
        <v>0</v>
      </c>
      <c r="Q88" s="1124">
        <f t="shared" si="83"/>
        <v>0</v>
      </c>
      <c r="R88" s="1124">
        <f t="shared" si="83"/>
        <v>0</v>
      </c>
      <c r="S88" s="1124">
        <f t="shared" si="83"/>
        <v>0</v>
      </c>
      <c r="T88" s="1124">
        <f t="shared" si="83"/>
        <v>0</v>
      </c>
      <c r="U88" s="1124">
        <f t="shared" si="83"/>
        <v>0</v>
      </c>
      <c r="V88" s="1124">
        <f t="shared" si="83"/>
        <v>0</v>
      </c>
      <c r="W88" s="1124">
        <f t="shared" si="83"/>
        <v>0</v>
      </c>
      <c r="X88" s="1124">
        <f t="shared" si="83"/>
        <v>0</v>
      </c>
      <c r="Y88" s="1124">
        <f t="shared" si="83"/>
        <v>0</v>
      </c>
      <c r="Z88" s="1124">
        <f t="shared" si="83"/>
        <v>0</v>
      </c>
      <c r="AA88" s="1124">
        <f t="shared" si="83"/>
        <v>0</v>
      </c>
      <c r="AB88" s="1124">
        <f t="shared" si="83"/>
        <v>0</v>
      </c>
      <c r="AC88" s="1124">
        <f t="shared" si="83"/>
        <v>0</v>
      </c>
      <c r="AD88" s="1124">
        <f t="shared" si="83"/>
        <v>0</v>
      </c>
      <c r="AE88" s="1124">
        <f t="shared" si="83"/>
        <v>0</v>
      </c>
      <c r="AF88" s="1124">
        <f t="shared" si="83"/>
        <v>0</v>
      </c>
      <c r="AG88" s="1124">
        <f t="shared" si="83"/>
        <v>0</v>
      </c>
      <c r="AH88" s="1124">
        <f t="shared" si="83"/>
        <v>0</v>
      </c>
      <c r="AI88" s="1124">
        <f t="shared" si="83"/>
        <v>0</v>
      </c>
      <c r="AJ88" s="1124">
        <f t="shared" si="83"/>
        <v>0</v>
      </c>
      <c r="AK88" s="1124">
        <f t="shared" si="83"/>
        <v>0</v>
      </c>
      <c r="AL88" s="1124">
        <f t="shared" si="83"/>
        <v>0</v>
      </c>
      <c r="AM88" s="1124">
        <f t="shared" si="83"/>
        <v>0</v>
      </c>
      <c r="AN88" s="1124">
        <f t="shared" si="83"/>
        <v>0</v>
      </c>
      <c r="AO88" s="1124">
        <f t="shared" si="83"/>
        <v>0</v>
      </c>
      <c r="AP88" s="1124">
        <f t="shared" si="83"/>
        <v>0</v>
      </c>
      <c r="AQ88" s="1124">
        <f t="shared" si="83"/>
        <v>0</v>
      </c>
      <c r="AR88" s="1124">
        <f t="shared" si="83"/>
        <v>0</v>
      </c>
      <c r="AS88" s="1124">
        <f t="shared" si="83"/>
        <v>0</v>
      </c>
      <c r="AU88" s="65">
        <f>+Details!E88</f>
        <v>-355700</v>
      </c>
      <c r="AV88" s="434">
        <f>+E88-AU88</f>
        <v>0</v>
      </c>
      <c r="AW88" s="191"/>
      <c r="AY88" s="190">
        <f>+Details!F88-Base!F88</f>
        <v>0</v>
      </c>
      <c r="AZ88" s="1124">
        <f>+Details!G88-Base!G88</f>
        <v>0</v>
      </c>
      <c r="BA88" s="1124">
        <f>+Details!H88-Base!H88</f>
        <v>0</v>
      </c>
      <c r="BB88" s="1124">
        <f>+Details!I88-Base!I88</f>
        <v>0</v>
      </c>
      <c r="BC88" s="1124">
        <f>+Details!J88-Base!J88</f>
        <v>0</v>
      </c>
      <c r="BD88" s="1124">
        <f>+Details!K88-Base!K88</f>
        <v>0</v>
      </c>
      <c r="BE88" s="1124">
        <f>+Details!L88-Base!L88</f>
        <v>0</v>
      </c>
      <c r="BF88" s="1124">
        <f>+Details!M88-Base!M88</f>
        <v>0</v>
      </c>
      <c r="BG88" s="1124">
        <f>+Details!N88-Base!N88</f>
        <v>0</v>
      </c>
      <c r="BH88" s="1124">
        <f>+Details!O88-Base!O88</f>
        <v>0</v>
      </c>
      <c r="BI88" s="1124">
        <f>+Details!P88-Base!P88</f>
        <v>0</v>
      </c>
      <c r="BJ88" s="1124">
        <f>+Details!Q88-Base!Q88</f>
        <v>0</v>
      </c>
      <c r="BK88" s="1124">
        <f>+Details!R88-Base!R88</f>
        <v>0</v>
      </c>
      <c r="BL88" s="1124">
        <f>+Details!S88-Base!S88</f>
        <v>0</v>
      </c>
      <c r="BM88" s="1124">
        <f>+Details!T88-Base!T88</f>
        <v>0</v>
      </c>
      <c r="BN88" s="1124">
        <f>+Details!U88-Base!U88</f>
        <v>0</v>
      </c>
      <c r="BO88" s="1124">
        <f>+Details!V88-Base!V88</f>
        <v>0</v>
      </c>
      <c r="BP88" s="1124">
        <f>+Details!W88-Base!W88</f>
        <v>0</v>
      </c>
      <c r="BQ88" s="1124">
        <f>+Details!X88-Base!X88</f>
        <v>0</v>
      </c>
      <c r="BR88" s="1124">
        <f>+Details!Y88-Base!Y88</f>
        <v>0</v>
      </c>
      <c r="BS88" s="1124">
        <f>+Details!Z88-Base!Z88</f>
        <v>0</v>
      </c>
      <c r="BT88" s="1124">
        <f>+Details!AA88-Base!AA88</f>
        <v>0</v>
      </c>
      <c r="BU88" s="1124">
        <f>+Details!AB88-Base!AB88</f>
        <v>0</v>
      </c>
      <c r="BV88" s="1124">
        <f>+Details!AC88-Base!AC88</f>
        <v>0</v>
      </c>
      <c r="BW88" s="1124">
        <f>+Details!AD88-Base!AD88</f>
        <v>0</v>
      </c>
      <c r="BX88" s="1124">
        <f>+Details!AE88-Base!AE88</f>
        <v>0</v>
      </c>
      <c r="BY88" s="1124">
        <f>+Details!AF88-Base!AF88</f>
        <v>0</v>
      </c>
      <c r="BZ88" s="1124">
        <f>+Details!AG88-Base!AG88</f>
        <v>0</v>
      </c>
      <c r="CA88" s="1124">
        <f>+Details!AH88-Base!AH88</f>
        <v>0</v>
      </c>
      <c r="CB88" s="1124">
        <f>+Details!AI88-Base!AI88</f>
        <v>0</v>
      </c>
      <c r="CC88" s="1124">
        <f>+Details!AJ88-Base!AJ88</f>
        <v>0</v>
      </c>
      <c r="CD88" s="1124">
        <f>+Details!AK88-Base!AK88</f>
        <v>0</v>
      </c>
      <c r="CE88" s="1124">
        <f>+Details!AL88-Base!AL88</f>
        <v>0</v>
      </c>
      <c r="CF88" s="1124">
        <f>+Details!AM88-Base!AM88</f>
        <v>0</v>
      </c>
      <c r="CG88" s="1124">
        <f>+Details!AN88-Base!AN88</f>
        <v>0</v>
      </c>
      <c r="CH88" s="1124">
        <f>+Details!AO88-Base!AO88</f>
        <v>0</v>
      </c>
      <c r="CI88" s="1124">
        <f>+Details!AP88-Base!AP88</f>
        <v>0</v>
      </c>
      <c r="CJ88" s="1124">
        <f>+Details!AQ88-Base!AQ88</f>
        <v>0</v>
      </c>
      <c r="CK88" s="1124">
        <f>+Details!AR88-Base!AR88</f>
        <v>0</v>
      </c>
      <c r="CL88" s="1124">
        <f>+Details!AS88-Base!AS88</f>
        <v>0</v>
      </c>
      <c r="CM88" s="434"/>
    </row>
    <row r="89" spans="1:91" s="3" customFormat="1" ht="15" hidden="1" customHeight="1">
      <c r="A89" s="1427" t="s">
        <v>1578</v>
      </c>
      <c r="B89" s="1764" t="s">
        <v>1258</v>
      </c>
      <c r="C89" s="1003" t="str">
        <f>Start_Compare2 &amp; "-" &amp; End_Compare2</f>
        <v>70-75</v>
      </c>
      <c r="D89" s="1133">
        <f>Esc_Compare2</f>
        <v>-0.1</v>
      </c>
      <c r="E89" s="65">
        <f t="shared" si="73"/>
        <v>-46900</v>
      </c>
      <c r="F89" s="1305">
        <f>ROUND(IF(AND(tIRA_Begin&gt;0,Start_Base2&lt;=F$4),-tIRA_Withdr_Compare2-tIRA_Withdr_Base2,0)/Round_To,0)*Round_To</f>
        <v>0</v>
      </c>
      <c r="G89" s="1124">
        <f t="shared" ref="G89:AS89" si="84">ROUND(IF(F89&lt;0,IF(-G315&gt;+F89*(1+Esc_Base2),-G315,+F89*(1+Esc_Base2)),IF(Start_Base2&lt;=G$4,IF(-G315&gt;-tIRA_Withdr_Compare2-tIRA_Withdr_Base2,-G315,-tIRA_Withdr_Compare2-tIRA_Withdr_Base2),0))/Round_To,0)*Round_To</f>
        <v>0</v>
      </c>
      <c r="H89" s="1124">
        <f t="shared" si="84"/>
        <v>0</v>
      </c>
      <c r="I89" s="1124">
        <f t="shared" si="84"/>
        <v>0</v>
      </c>
      <c r="J89" s="1124">
        <f t="shared" si="84"/>
        <v>0</v>
      </c>
      <c r="K89" s="1124">
        <f t="shared" si="84"/>
        <v>0</v>
      </c>
      <c r="L89" s="1124">
        <f t="shared" si="84"/>
        <v>0</v>
      </c>
      <c r="M89" s="1124">
        <f t="shared" si="84"/>
        <v>0</v>
      </c>
      <c r="N89" s="1124">
        <f t="shared" si="84"/>
        <v>-10000</v>
      </c>
      <c r="O89" s="1124">
        <f t="shared" si="84"/>
        <v>-9000</v>
      </c>
      <c r="P89" s="1124">
        <f t="shared" si="84"/>
        <v>-8100</v>
      </c>
      <c r="Q89" s="1124">
        <f t="shared" si="84"/>
        <v>-7300</v>
      </c>
      <c r="R89" s="1124">
        <f t="shared" si="84"/>
        <v>-6600</v>
      </c>
      <c r="S89" s="1124">
        <f t="shared" si="84"/>
        <v>-5900</v>
      </c>
      <c r="T89" s="1124">
        <f t="shared" si="84"/>
        <v>0</v>
      </c>
      <c r="U89" s="1124">
        <f t="shared" si="84"/>
        <v>0</v>
      </c>
      <c r="V89" s="1124">
        <f t="shared" si="84"/>
        <v>0</v>
      </c>
      <c r="W89" s="1124">
        <f t="shared" si="84"/>
        <v>0</v>
      </c>
      <c r="X89" s="1124">
        <f t="shared" si="84"/>
        <v>0</v>
      </c>
      <c r="Y89" s="1124">
        <f t="shared" si="84"/>
        <v>0</v>
      </c>
      <c r="Z89" s="1124">
        <f t="shared" si="84"/>
        <v>0</v>
      </c>
      <c r="AA89" s="1124">
        <f t="shared" si="84"/>
        <v>0</v>
      </c>
      <c r="AB89" s="1124">
        <f t="shared" si="84"/>
        <v>0</v>
      </c>
      <c r="AC89" s="1124">
        <f t="shared" si="84"/>
        <v>0</v>
      </c>
      <c r="AD89" s="1124">
        <f t="shared" si="84"/>
        <v>0</v>
      </c>
      <c r="AE89" s="1124">
        <f t="shared" si="84"/>
        <v>0</v>
      </c>
      <c r="AF89" s="1124">
        <f t="shared" si="84"/>
        <v>0</v>
      </c>
      <c r="AG89" s="1124">
        <f t="shared" si="84"/>
        <v>0</v>
      </c>
      <c r="AH89" s="1124">
        <f t="shared" si="84"/>
        <v>0</v>
      </c>
      <c r="AI89" s="1124">
        <f t="shared" si="84"/>
        <v>0</v>
      </c>
      <c r="AJ89" s="1124">
        <f t="shared" si="84"/>
        <v>0</v>
      </c>
      <c r="AK89" s="1124">
        <f t="shared" si="84"/>
        <v>0</v>
      </c>
      <c r="AL89" s="1124">
        <f t="shared" si="84"/>
        <v>0</v>
      </c>
      <c r="AM89" s="1124">
        <f t="shared" si="84"/>
        <v>0</v>
      </c>
      <c r="AN89" s="1124">
        <f t="shared" si="84"/>
        <v>0</v>
      </c>
      <c r="AO89" s="1124">
        <f t="shared" si="84"/>
        <v>0</v>
      </c>
      <c r="AP89" s="1124">
        <f t="shared" si="84"/>
        <v>0</v>
      </c>
      <c r="AQ89" s="1124">
        <f t="shared" si="84"/>
        <v>0</v>
      </c>
      <c r="AR89" s="1124">
        <f t="shared" si="84"/>
        <v>0</v>
      </c>
      <c r="AS89" s="1124">
        <f t="shared" si="84"/>
        <v>0</v>
      </c>
      <c r="AU89" s="65">
        <f>+Details!E89</f>
        <v>-46900</v>
      </c>
      <c r="AV89" s="434">
        <f>+E89-AU89</f>
        <v>0</v>
      </c>
      <c r="AW89" s="191"/>
      <c r="AY89" s="190">
        <f>+Details!F89-Base!F89</f>
        <v>0</v>
      </c>
      <c r="AZ89" s="1124">
        <f>+Details!G89-Base!G89</f>
        <v>0</v>
      </c>
      <c r="BA89" s="1124">
        <f>+Details!H89-Base!H89</f>
        <v>0</v>
      </c>
      <c r="BB89" s="1124">
        <f>+Details!I89-Base!I89</f>
        <v>0</v>
      </c>
      <c r="BC89" s="1124">
        <f>+Details!J89-Base!J89</f>
        <v>0</v>
      </c>
      <c r="BD89" s="1124">
        <f>+Details!K89-Base!K89</f>
        <v>0</v>
      </c>
      <c r="BE89" s="1124">
        <f>+Details!L89-Base!L89</f>
        <v>0</v>
      </c>
      <c r="BF89" s="1124">
        <f>+Details!M89-Base!M89</f>
        <v>0</v>
      </c>
      <c r="BG89" s="1124">
        <f>+Details!N89-Base!N89</f>
        <v>0</v>
      </c>
      <c r="BH89" s="1124">
        <f>+Details!O89-Base!O89</f>
        <v>0</v>
      </c>
      <c r="BI89" s="1124">
        <f>+Details!P89-Base!P89</f>
        <v>0</v>
      </c>
      <c r="BJ89" s="1124">
        <f>+Details!Q89-Base!Q89</f>
        <v>0</v>
      </c>
      <c r="BK89" s="1124">
        <f>+Details!R89-Base!R89</f>
        <v>0</v>
      </c>
      <c r="BL89" s="1124">
        <f>+Details!S89-Base!S89</f>
        <v>0</v>
      </c>
      <c r="BM89" s="1124">
        <f>+Details!T89-Base!T89</f>
        <v>0</v>
      </c>
      <c r="BN89" s="1124">
        <f>+Details!U89-Base!U89</f>
        <v>0</v>
      </c>
      <c r="BO89" s="1124">
        <f>+Details!V89-Base!V89</f>
        <v>0</v>
      </c>
      <c r="BP89" s="1124">
        <f>+Details!W89-Base!W89</f>
        <v>0</v>
      </c>
      <c r="BQ89" s="1124">
        <f>+Details!X89-Base!X89</f>
        <v>0</v>
      </c>
      <c r="BR89" s="1124">
        <f>+Details!Y89-Base!Y89</f>
        <v>0</v>
      </c>
      <c r="BS89" s="1124">
        <f>+Details!Z89-Base!Z89</f>
        <v>0</v>
      </c>
      <c r="BT89" s="1124">
        <f>+Details!AA89-Base!AA89</f>
        <v>0</v>
      </c>
      <c r="BU89" s="1124">
        <f>+Details!AB89-Base!AB89</f>
        <v>0</v>
      </c>
      <c r="BV89" s="1124">
        <f>+Details!AC89-Base!AC89</f>
        <v>0</v>
      </c>
      <c r="BW89" s="1124">
        <f>+Details!AD89-Base!AD89</f>
        <v>0</v>
      </c>
      <c r="BX89" s="1124">
        <f>+Details!AE89-Base!AE89</f>
        <v>0</v>
      </c>
      <c r="BY89" s="1124">
        <f>+Details!AF89-Base!AF89</f>
        <v>0</v>
      </c>
      <c r="BZ89" s="1124">
        <f>+Details!AG89-Base!AG89</f>
        <v>0</v>
      </c>
      <c r="CA89" s="1124">
        <f>+Details!AH89-Base!AH89</f>
        <v>0</v>
      </c>
      <c r="CB89" s="1124">
        <f>+Details!AI89-Base!AI89</f>
        <v>0</v>
      </c>
      <c r="CC89" s="1124">
        <f>+Details!AJ89-Base!AJ89</f>
        <v>0</v>
      </c>
      <c r="CD89" s="1124">
        <f>+Details!AK89-Base!AK89</f>
        <v>0</v>
      </c>
      <c r="CE89" s="1124">
        <f>+Details!AL89-Base!AL89</f>
        <v>0</v>
      </c>
      <c r="CF89" s="1124">
        <f>+Details!AM89-Base!AM89</f>
        <v>0</v>
      </c>
      <c r="CG89" s="1124">
        <f>+Details!AN89-Base!AN89</f>
        <v>0</v>
      </c>
      <c r="CH89" s="1124">
        <f>+Details!AO89-Base!AO89</f>
        <v>0</v>
      </c>
      <c r="CI89" s="1124">
        <f>+Details!AP89-Base!AP89</f>
        <v>0</v>
      </c>
      <c r="CJ89" s="1124">
        <f>+Details!AQ89-Base!AQ89</f>
        <v>0</v>
      </c>
      <c r="CK89" s="1124">
        <f>+Details!AR89-Base!AR89</f>
        <v>0</v>
      </c>
      <c r="CL89" s="1124">
        <f>+Details!AS89-Base!AS89</f>
        <v>0</v>
      </c>
      <c r="CM89" s="434"/>
    </row>
    <row r="90" spans="1:91" ht="4.2" customHeight="1">
      <c r="B90" s="1764"/>
      <c r="C90" s="1004"/>
      <c r="D90" s="37"/>
      <c r="E90" s="102"/>
      <c r="F90" s="110"/>
      <c r="G90" s="1124"/>
      <c r="H90" s="1124"/>
      <c r="I90" s="1124"/>
      <c r="J90" s="1124"/>
      <c r="K90" s="1124"/>
      <c r="L90" s="1124"/>
      <c r="M90" s="1124"/>
      <c r="N90" s="1124"/>
      <c r="O90" s="1124"/>
      <c r="P90" s="1124"/>
      <c r="Q90" s="1124"/>
      <c r="R90" s="1124"/>
      <c r="S90" s="1124"/>
      <c r="T90" s="1124"/>
      <c r="U90" s="1124"/>
      <c r="V90" s="1124"/>
      <c r="W90" s="1124"/>
      <c r="X90" s="1124"/>
      <c r="Y90" s="1124"/>
      <c r="Z90" s="1124"/>
      <c r="AA90" s="1124"/>
      <c r="AB90" s="1124"/>
      <c r="AC90" s="1124"/>
      <c r="AD90" s="1124"/>
      <c r="AE90" s="1124"/>
      <c r="AF90" s="1124"/>
      <c r="AG90" s="1124"/>
      <c r="AH90" s="1124"/>
      <c r="AI90" s="1124"/>
      <c r="AJ90" s="1124"/>
      <c r="AK90" s="1124"/>
      <c r="AL90" s="1124"/>
      <c r="AM90" s="1124"/>
      <c r="AN90" s="1124"/>
      <c r="AO90" s="1124"/>
      <c r="AP90" s="1124"/>
      <c r="AQ90" s="1124"/>
      <c r="AR90" s="1124"/>
      <c r="AS90" s="1124"/>
      <c r="AT90" s="3"/>
      <c r="AU90" s="29"/>
      <c r="AV90" s="81"/>
      <c r="AW90" s="102"/>
      <c r="AY90" s="31"/>
      <c r="AZ90" s="1124"/>
      <c r="BA90" s="1124"/>
      <c r="BB90" s="1124"/>
      <c r="BC90" s="1124"/>
      <c r="BD90" s="1124"/>
      <c r="BE90" s="1124"/>
      <c r="BF90" s="1124"/>
      <c r="BG90" s="1124"/>
      <c r="BH90" s="1124"/>
      <c r="BI90" s="1124"/>
      <c r="BJ90" s="1124"/>
      <c r="BK90" s="1124"/>
      <c r="BL90" s="1124"/>
      <c r="BM90" s="1124"/>
      <c r="BN90" s="1124"/>
      <c r="BO90" s="1124"/>
      <c r="BP90" s="1124"/>
      <c r="BQ90" s="1124"/>
      <c r="BR90" s="1124"/>
      <c r="BS90" s="1124"/>
      <c r="BT90" s="1124"/>
      <c r="BU90" s="1124"/>
      <c r="BV90" s="1124"/>
      <c r="BW90" s="1124"/>
      <c r="BX90" s="1124"/>
      <c r="BY90" s="1124"/>
      <c r="BZ90" s="1124"/>
      <c r="CA90" s="1124"/>
      <c r="CB90" s="1124"/>
      <c r="CC90" s="1124"/>
      <c r="CD90" s="1124"/>
      <c r="CE90" s="1124"/>
      <c r="CF90" s="1124"/>
      <c r="CG90" s="1124"/>
      <c r="CH90" s="1124"/>
      <c r="CI90" s="1124"/>
      <c r="CJ90" s="1124"/>
      <c r="CK90" s="1124"/>
      <c r="CL90" s="1124"/>
      <c r="CM90" s="81"/>
    </row>
    <row r="91" spans="1:91">
      <c r="B91" s="1765" t="s">
        <v>2241</v>
      </c>
      <c r="C91" s="1003" t="str">
        <f>IF(OR(tIRA_Withdr_Base1,tIRA_Withdr_Base2&lt;&gt;0),"Differs from Full","Same as Full")</f>
        <v>Same as Full</v>
      </c>
      <c r="D91" s="358"/>
      <c r="E91" s="29">
        <f t="shared" si="73"/>
        <v>-402600</v>
      </c>
      <c r="F91" s="1124">
        <f>+F88+F89</f>
        <v>-40000</v>
      </c>
      <c r="G91" s="1124">
        <f>+G88+G89</f>
        <v>-41200</v>
      </c>
      <c r="H91" s="1124">
        <f t="shared" ref="H91:AS91" si="85">+H88+H89</f>
        <v>-42400</v>
      </c>
      <c r="I91" s="1124">
        <f t="shared" si="85"/>
        <v>-43700</v>
      </c>
      <c r="J91" s="1124">
        <f t="shared" si="85"/>
        <v>-45000</v>
      </c>
      <c r="K91" s="1124">
        <f t="shared" si="85"/>
        <v>-46400</v>
      </c>
      <c r="L91" s="1124">
        <f t="shared" si="85"/>
        <v>-47800</v>
      </c>
      <c r="M91" s="1124">
        <f t="shared" si="85"/>
        <v>-49200</v>
      </c>
      <c r="N91" s="1124">
        <f t="shared" si="85"/>
        <v>-10000</v>
      </c>
      <c r="O91" s="1124">
        <f t="shared" si="85"/>
        <v>-9000</v>
      </c>
      <c r="P91" s="1124">
        <f t="shared" si="85"/>
        <v>-8100</v>
      </c>
      <c r="Q91" s="1124">
        <f t="shared" si="85"/>
        <v>-7300</v>
      </c>
      <c r="R91" s="1124">
        <f t="shared" si="85"/>
        <v>-6600</v>
      </c>
      <c r="S91" s="1124">
        <f t="shared" si="85"/>
        <v>-5900</v>
      </c>
      <c r="T91" s="1124">
        <f t="shared" si="85"/>
        <v>0</v>
      </c>
      <c r="U91" s="1124">
        <f t="shared" si="85"/>
        <v>0</v>
      </c>
      <c r="V91" s="1124">
        <f t="shared" si="85"/>
        <v>0</v>
      </c>
      <c r="W91" s="1124">
        <f t="shared" si="85"/>
        <v>0</v>
      </c>
      <c r="X91" s="1124">
        <f t="shared" si="85"/>
        <v>0</v>
      </c>
      <c r="Y91" s="1124">
        <f t="shared" si="85"/>
        <v>0</v>
      </c>
      <c r="Z91" s="1124">
        <f t="shared" si="85"/>
        <v>0</v>
      </c>
      <c r="AA91" s="1124">
        <f t="shared" si="85"/>
        <v>0</v>
      </c>
      <c r="AB91" s="1124">
        <f t="shared" si="85"/>
        <v>0</v>
      </c>
      <c r="AC91" s="1124">
        <f t="shared" si="85"/>
        <v>0</v>
      </c>
      <c r="AD91" s="1124">
        <f t="shared" si="85"/>
        <v>0</v>
      </c>
      <c r="AE91" s="1124">
        <f t="shared" si="85"/>
        <v>0</v>
      </c>
      <c r="AF91" s="1124">
        <f t="shared" si="85"/>
        <v>0</v>
      </c>
      <c r="AG91" s="1124">
        <f t="shared" si="85"/>
        <v>0</v>
      </c>
      <c r="AH91" s="1124">
        <f t="shared" si="85"/>
        <v>0</v>
      </c>
      <c r="AI91" s="1124">
        <f t="shared" si="85"/>
        <v>0</v>
      </c>
      <c r="AJ91" s="1124">
        <f t="shared" si="85"/>
        <v>0</v>
      </c>
      <c r="AK91" s="1124">
        <f t="shared" si="85"/>
        <v>0</v>
      </c>
      <c r="AL91" s="1124">
        <f t="shared" si="85"/>
        <v>0</v>
      </c>
      <c r="AM91" s="1124">
        <f t="shared" si="85"/>
        <v>0</v>
      </c>
      <c r="AN91" s="1124">
        <f t="shared" si="85"/>
        <v>0</v>
      </c>
      <c r="AO91" s="1124">
        <f t="shared" si="85"/>
        <v>0</v>
      </c>
      <c r="AP91" s="1124">
        <f t="shared" si="85"/>
        <v>0</v>
      </c>
      <c r="AQ91" s="1124">
        <f t="shared" si="85"/>
        <v>0</v>
      </c>
      <c r="AR91" s="1124">
        <f t="shared" si="85"/>
        <v>0</v>
      </c>
      <c r="AS91" s="1124">
        <f t="shared" si="85"/>
        <v>0</v>
      </c>
      <c r="AT91" s="3"/>
      <c r="AU91" s="29">
        <f>+Details!E91</f>
        <v>-402600</v>
      </c>
      <c r="AV91" s="81">
        <f t="shared" ref="AV91:AV103" si="86">+E91-AU91</f>
        <v>0</v>
      </c>
      <c r="AW91" s="102"/>
      <c r="AY91" s="31">
        <f>+Details!F91-Base!F91</f>
        <v>0</v>
      </c>
      <c r="AZ91" s="1124">
        <f>+Details!G91-Base!G91</f>
        <v>0</v>
      </c>
      <c r="BA91" s="1124">
        <f>+Details!H91-Base!H91</f>
        <v>0</v>
      </c>
      <c r="BB91" s="1124">
        <f>+Details!I91-Base!I91</f>
        <v>0</v>
      </c>
      <c r="BC91" s="1124">
        <f>+Details!J91-Base!J91</f>
        <v>0</v>
      </c>
      <c r="BD91" s="1124">
        <f>+Details!K91-Base!K91</f>
        <v>0</v>
      </c>
      <c r="BE91" s="1124">
        <f>+Details!L91-Base!L91</f>
        <v>0</v>
      </c>
      <c r="BF91" s="1124">
        <f>+Details!M91-Base!M91</f>
        <v>0</v>
      </c>
      <c r="BG91" s="1124">
        <f>+Details!N91-Base!N91</f>
        <v>0</v>
      </c>
      <c r="BH91" s="1124">
        <f>+Details!O91-Base!O91</f>
        <v>0</v>
      </c>
      <c r="BI91" s="1124">
        <f>+Details!P91-Base!P91</f>
        <v>0</v>
      </c>
      <c r="BJ91" s="1124">
        <f>+Details!Q91-Base!Q91</f>
        <v>0</v>
      </c>
      <c r="BK91" s="1124">
        <f>+Details!R91-Base!R91</f>
        <v>0</v>
      </c>
      <c r="BL91" s="1124">
        <f>+Details!S91-Base!S91</f>
        <v>0</v>
      </c>
      <c r="BM91" s="1124">
        <f>+Details!T91-Base!T91</f>
        <v>0</v>
      </c>
      <c r="BN91" s="1124">
        <f>+Details!U91-Base!U91</f>
        <v>0</v>
      </c>
      <c r="BO91" s="1124">
        <f>+Details!V91-Base!V91</f>
        <v>0</v>
      </c>
      <c r="BP91" s="1124">
        <f>+Details!W91-Base!W91</f>
        <v>0</v>
      </c>
      <c r="BQ91" s="1124">
        <f>+Details!X91-Base!X91</f>
        <v>0</v>
      </c>
      <c r="BR91" s="1124">
        <f>+Details!Y91-Base!Y91</f>
        <v>0</v>
      </c>
      <c r="BS91" s="1124">
        <f>+Details!Z91-Base!Z91</f>
        <v>0</v>
      </c>
      <c r="BT91" s="1124">
        <f>+Details!AA91-Base!AA91</f>
        <v>0</v>
      </c>
      <c r="BU91" s="1124">
        <f>+Details!AB91-Base!AB91</f>
        <v>0</v>
      </c>
      <c r="BV91" s="1124">
        <f>+Details!AC91-Base!AC91</f>
        <v>0</v>
      </c>
      <c r="BW91" s="1124">
        <f>+Details!AD91-Base!AD91</f>
        <v>0</v>
      </c>
      <c r="BX91" s="1124">
        <f>+Details!AE91-Base!AE91</f>
        <v>0</v>
      </c>
      <c r="BY91" s="1124">
        <f>+Details!AF91-Base!AF91</f>
        <v>0</v>
      </c>
      <c r="BZ91" s="1124">
        <f>+Details!AG91-Base!AG91</f>
        <v>0</v>
      </c>
      <c r="CA91" s="1124">
        <f>+Details!AH91-Base!AH91</f>
        <v>0</v>
      </c>
      <c r="CB91" s="1124">
        <f>+Details!AI91-Base!AI91</f>
        <v>0</v>
      </c>
      <c r="CC91" s="1124">
        <f>+Details!AJ91-Base!AJ91</f>
        <v>0</v>
      </c>
      <c r="CD91" s="1124">
        <f>+Details!AK91-Base!AK91</f>
        <v>0</v>
      </c>
      <c r="CE91" s="1124">
        <f>+Details!AL91-Base!AL91</f>
        <v>0</v>
      </c>
      <c r="CF91" s="1124">
        <f>+Details!AM91-Base!AM91</f>
        <v>0</v>
      </c>
      <c r="CG91" s="1124">
        <f>+Details!AN91-Base!AN91</f>
        <v>0</v>
      </c>
      <c r="CH91" s="1124">
        <f>+Details!AO91-Base!AO91</f>
        <v>0</v>
      </c>
      <c r="CI91" s="1124">
        <f>+Details!AP91-Base!AP91</f>
        <v>0</v>
      </c>
      <c r="CJ91" s="1124">
        <f>+Details!AQ91-Base!AQ91</f>
        <v>0</v>
      </c>
      <c r="CK91" s="1124">
        <f>+Details!AR91-Base!AR91</f>
        <v>0</v>
      </c>
      <c r="CL91" s="1124">
        <f>+Details!AS91-Base!AS91</f>
        <v>0</v>
      </c>
      <c r="CM91" s="81"/>
    </row>
    <row r="92" spans="1:91" hidden="1">
      <c r="A92" s="1427" t="s">
        <v>1578</v>
      </c>
      <c r="B92" s="1765" t="s">
        <v>1259</v>
      </c>
      <c r="C92" s="1003" t="str">
        <f>IF(IRA1_Owner="y","Yours:","Spouse:") &amp; " starting " &amp; IRA_RMD_Age</f>
        <v>Yours: starting 71</v>
      </c>
      <c r="D92" s="453" t="str">
        <f>"end at " &amp; IF(IRA1_Owner="y",Your_End,Spouse_End)</f>
        <v>end at 85</v>
      </c>
      <c r="E92" s="29">
        <f t="shared" si="73"/>
        <v>-303900</v>
      </c>
      <c r="F92" s="533">
        <f>ROUND(IF(IRA_RMD_Age=0,0,IF(IRA1_Owner="y",IF(IRA_RMD_Age&lt;=F$4,-F9/VLOOKUP(F$4,'Tax Tables'!$G$338:$I$398,2),0),IF(IRA_RMD_Age&lt;=F$5,-F9/VLOOKUP(F$5,'Tax Tables'!$G$338:$I$398,2),0)))/Round_To,0)*Round_To</f>
        <v>0</v>
      </c>
      <c r="G92" s="1128">
        <f>ROUND(IF(IRA_RMD_Age=0,0,IF(F9+F91+F94&lt;=0,0,IF(IRA1_Owner="y",IF(AND(IRA_RMD_Age&lt;=G$4,Your_End&gt;=G$4),-G9/VLOOKUP(G$4,'Tax Tables'!$G$338:$I$398,2),0),IF(AND(IRA_RMD_Age&lt;=G$5,Spouse_End&gt;=G$5),-G9/VLOOKUP(G$5,'Tax Tables'!$G$338:$I$398,2),0))))/Round_To,0)*Round_To</f>
        <v>0</v>
      </c>
      <c r="H92" s="1124">
        <f>ROUND(IF(IRA_RMD_Age=0,0,IF(G9+G91+G94&lt;=0,0,IF(IRA1_Owner="y",IF(AND(IRA_RMD_Age&lt;=H$4,Your_End&gt;=H$4),-H9/VLOOKUP(H$4,'Tax Tables'!$G$338:$I$398,2),0),IF(AND(IRA_RMD_Age&lt;=H$5,Spouse_End&gt;=H$5),-H9/VLOOKUP(H$5,'Tax Tables'!$G$338:$I$398,2),0))))/Round_To,0)*Round_To</f>
        <v>0</v>
      </c>
      <c r="I92" s="1124">
        <f>ROUND(IF(IRA_RMD_Age=0,0,IF(H9+H91+H94&lt;=0,0,IF(IRA1_Owner="y",IF(AND(IRA_RMD_Age&lt;=I$4,Your_End&gt;=I$4),-I9/VLOOKUP(I$4,'Tax Tables'!$G$338:$I$398,2),0),IF(AND(IRA_RMD_Age&lt;=I$5,Spouse_End&gt;=I$5),-I9/VLOOKUP(I$5,'Tax Tables'!$G$338:$I$398,2),0))))/Round_To,0)*Round_To</f>
        <v>0</v>
      </c>
      <c r="J92" s="1124">
        <f>ROUND(IF(IRA_RMD_Age=0,0,IF(I9+I91+I94&lt;=0,0,IF(IRA1_Owner="y",IF(AND(IRA_RMD_Age&lt;=J$4,Your_End&gt;=J$4),-J9/VLOOKUP(J$4,'Tax Tables'!$G$338:$I$398,2),0),IF(AND(IRA_RMD_Age&lt;=J$5,Spouse_End&gt;=J$5),-J9/VLOOKUP(J$5,'Tax Tables'!$G$338:$I$398,2),0))))/Round_To,0)*Round_To</f>
        <v>0</v>
      </c>
      <c r="K92" s="1124">
        <f>ROUND(IF(IRA_RMD_Age=0,0,IF(J9+J91+J94&lt;=0,0,IF(IRA1_Owner="y",IF(AND(IRA_RMD_Age&lt;=K$4,Your_End&gt;=K$4),-K9/VLOOKUP(K$4,'Tax Tables'!$G$338:$I$398,2),0),IF(AND(IRA_RMD_Age&lt;=K$5,Spouse_End&gt;=K$5),-K9/VLOOKUP(K$5,'Tax Tables'!$G$338:$I$398,2),0))))/Round_To,0)*Round_To</f>
        <v>0</v>
      </c>
      <c r="L92" s="1124">
        <f>ROUND(IF(IRA_RMD_Age=0,0,IF(K9+K91+K94&lt;=0,0,IF(IRA1_Owner="y",IF(AND(IRA_RMD_Age&lt;=L$4,Your_End&gt;=L$4),-L9/VLOOKUP(L$4,'Tax Tables'!$G$338:$I$398,2),0),IF(AND(IRA_RMD_Age&lt;=L$5,Spouse_End&gt;=L$5),-L9/VLOOKUP(L$5,'Tax Tables'!$G$338:$I$398,2),0))))/Round_To,0)*Round_To</f>
        <v>0</v>
      </c>
      <c r="M92" s="1124">
        <f>ROUND(IF(IRA_RMD_Age=0,0,IF(L9+L91+L94&lt;=0,0,IF(IRA1_Owner="y",IF(AND(IRA_RMD_Age&lt;=M$4,Your_End&gt;=M$4),-M9/VLOOKUP(M$4,'Tax Tables'!$G$338:$I$398,2),0),IF(AND(IRA_RMD_Age&lt;=M$5,Spouse_End&gt;=M$5),-M9/VLOOKUP(M$5,'Tax Tables'!$G$338:$I$398,2),0))))/Round_To,0)*Round_To</f>
        <v>0</v>
      </c>
      <c r="N92" s="1124">
        <f>ROUND(IF(IRA_RMD_Age=0,0,IF(M9+M91+M94&lt;=0,0,IF(IRA1_Owner="y",IF(AND(IRA_RMD_Age&lt;=N$4,Your_End&gt;=N$4),-N9/VLOOKUP(N$4,'Tax Tables'!$G$338:$I$398,2),0),IF(AND(IRA_RMD_Age&lt;=N$5,Spouse_End&gt;=N$5),-N9/VLOOKUP(N$5,'Tax Tables'!$G$338:$I$398,2),0))))/Round_To,0)*Round_To</f>
        <v>0</v>
      </c>
      <c r="O92" s="1124">
        <f>ROUND(IF(IRA_RMD_Age=0,0,IF(N9+N91+N94&lt;=0,0,IF(IRA1_Owner="y",IF(AND(IRA_RMD_Age&lt;=O$4,Your_End&gt;=O$4),-O9/VLOOKUP(O$4,'Tax Tables'!$G$338:$I$398,2),0),IF(AND(IRA_RMD_Age&lt;=O$5,Spouse_End&gt;=O$5),-O9/VLOOKUP(O$5,'Tax Tables'!$G$338:$I$398,2),0))))/Round_To,0)*Round_To</f>
        <v>-14500</v>
      </c>
      <c r="P92" s="1124">
        <f>ROUND(IF(IRA_RMD_Age=0,0,IF(O9+O91+O94&lt;=0,0,IF(IRA1_Owner="y",IF(AND(IRA_RMD_Age&lt;=P$4,Your_End&gt;=P$4),-P9/VLOOKUP(P$4,'Tax Tables'!$G$338:$I$398,2),0),IF(AND(IRA_RMD_Age&lt;=P$5,Spouse_End&gt;=P$5),-P9/VLOOKUP(P$5,'Tax Tables'!$G$338:$I$398,2),0))))/Round_To,0)*Round_To</f>
        <v>-15000</v>
      </c>
      <c r="Q92" s="1124">
        <f>ROUND(IF(IRA_RMD_Age=0,0,IF(P9+P91+P94&lt;=0,0,IF(IRA1_Owner="y",IF(AND(IRA_RMD_Age&lt;=Q$4,Your_End&gt;=Q$4),-Q9/VLOOKUP(Q$4,'Tax Tables'!$G$338:$I$398,2),0),IF(AND(IRA_RMD_Age&lt;=Q$5,Spouse_End&gt;=Q$5),-Q9/VLOOKUP(Q$5,'Tax Tables'!$G$338:$I$398,2),0))))/Round_To,0)*Round_To</f>
        <v>-15600</v>
      </c>
      <c r="R92" s="1124">
        <f>ROUND(IF(IRA_RMD_Age=0,0,IF(Q9+Q91+Q94&lt;=0,0,IF(IRA1_Owner="y",IF(AND(IRA_RMD_Age&lt;=R$4,Your_End&gt;=R$4),-R9/VLOOKUP(R$4,'Tax Tables'!$G$338:$I$398,2),0),IF(AND(IRA_RMD_Age&lt;=R$5,Spouse_End&gt;=R$5),-R9/VLOOKUP(R$5,'Tax Tables'!$G$338:$I$398,2),0))))/Round_To,0)*Round_To</f>
        <v>-16200</v>
      </c>
      <c r="S92" s="1124">
        <f>ROUND(IF(IRA_RMD_Age=0,0,IF(R9+R91+R94&lt;=0,0,IF(IRA1_Owner="y",IF(AND(IRA_RMD_Age&lt;=S$4,Your_End&gt;=S$4),-S9/VLOOKUP(S$4,'Tax Tables'!$G$338:$I$398,2),0),IF(AND(IRA_RMD_Age&lt;=S$5,Spouse_End&gt;=S$5),-S9/VLOOKUP(S$5,'Tax Tables'!$G$338:$I$398,2),0))))/Round_To,0)*Round_To</f>
        <v>-16900</v>
      </c>
      <c r="T92" s="1124">
        <f>ROUND(IF(IRA_RMD_Age=0,0,IF(S9+S91+S94&lt;=0,0,IF(IRA1_Owner="y",IF(AND(IRA_RMD_Age&lt;=T$4,Your_End&gt;=T$4),-T9/VLOOKUP(T$4,'Tax Tables'!$G$338:$I$398,2),0),IF(AND(IRA_RMD_Age&lt;=T$5,Spouse_End&gt;=T$5),-T9/VLOOKUP(T$5,'Tax Tables'!$G$338:$I$398,2),0))))/Round_To,0)*Round_To</f>
        <v>-17700</v>
      </c>
      <c r="U92" s="1124">
        <f>ROUND(IF(IRA_RMD_Age=0,0,IF(T9+T91+T94&lt;=0,0,IF(IRA1_Owner="y",IF(AND(IRA_RMD_Age&lt;=U$4,Your_End&gt;=U$4),-U9/VLOOKUP(U$4,'Tax Tables'!$G$338:$I$398,2),0),IF(AND(IRA_RMD_Age&lt;=U$5,Spouse_End&gt;=U$5),-U9/VLOOKUP(U$5,'Tax Tables'!$G$338:$I$398,2),0))))/Round_To,0)*Round_To</f>
        <v>-18700</v>
      </c>
      <c r="V92" s="1124">
        <f>ROUND(IF(IRA_RMD_Age=0,0,IF(U9+U91+U94&lt;=0,0,IF(IRA1_Owner="y",IF(AND(IRA_RMD_Age&lt;=V$4,Your_End&gt;=V$4),-V9/VLOOKUP(V$4,'Tax Tables'!$G$338:$I$398,2),0),IF(AND(IRA_RMD_Age&lt;=V$5,Spouse_End&gt;=V$5),-V9/VLOOKUP(V$5,'Tax Tables'!$G$338:$I$398,2),0))))/Round_To,0)*Round_To</f>
        <v>-19900</v>
      </c>
      <c r="W92" s="1124">
        <f>ROUND(IF(IRA_RMD_Age=0,0,IF(V9+V91+V94&lt;=0,0,IF(IRA1_Owner="y",IF(AND(IRA_RMD_Age&lt;=W$4,Your_End&gt;=W$4),-W9/VLOOKUP(W$4,'Tax Tables'!$G$338:$I$398,2),0),IF(AND(IRA_RMD_Age&lt;=W$5,Spouse_End&gt;=W$5),-W9/VLOOKUP(W$5,'Tax Tables'!$G$338:$I$398,2),0))))/Round_To,0)*Round_To</f>
        <v>-21000</v>
      </c>
      <c r="X92" s="1124">
        <f>ROUND(IF(IRA_RMD_Age=0,0,IF(W9+W91+W94&lt;=0,0,IF(IRA1_Owner="y",IF(AND(IRA_RMD_Age&lt;=X$4,Your_End&gt;=X$4),-X9/VLOOKUP(X$4,'Tax Tables'!$G$338:$I$398,2),0),IF(AND(IRA_RMD_Age&lt;=X$5,Spouse_End&gt;=X$5),-X9/VLOOKUP(X$5,'Tax Tables'!$G$338:$I$398,2),0))))/Round_To,0)*Round_To</f>
        <v>-22100</v>
      </c>
      <c r="Y92" s="1124">
        <f>ROUND(IF(IRA_RMD_Age=0,0,IF(X9+X91+X94&lt;=0,0,IF(IRA1_Owner="y",IF(AND(IRA_RMD_Age&lt;=Y$4,Your_End&gt;=Y$4),-Y9/VLOOKUP(Y$4,'Tax Tables'!$G$338:$I$398,2),0),IF(AND(IRA_RMD_Age&lt;=Y$5,Spouse_End&gt;=Y$5),-Y9/VLOOKUP(Y$5,'Tax Tables'!$G$338:$I$398,2),0))))/Round_To,0)*Round_To</f>
        <v>-23100</v>
      </c>
      <c r="Z92" s="1124">
        <f>ROUND(IF(IRA_RMD_Age=0,0,IF(Y9+Y91+Y94&lt;=0,0,IF(IRA1_Owner="y",IF(AND(IRA_RMD_Age&lt;=Z$4,Your_End&gt;=Z$4),-Z9/VLOOKUP(Z$4,'Tax Tables'!$G$338:$I$398,2),0),IF(AND(IRA_RMD_Age&lt;=Z$5,Spouse_End&gt;=Z$5),-Z9/VLOOKUP(Z$5,'Tax Tables'!$G$338:$I$398,2),0))))/Round_To,0)*Round_To</f>
        <v>-24200</v>
      </c>
      <c r="AA92" s="1124">
        <f>ROUND(IF(IRA_RMD_Age=0,0,IF(Z9+Z91+Z94&lt;=0,0,IF(IRA1_Owner="y",IF(AND(IRA_RMD_Age&lt;=AA$4,Your_End&gt;=AA$4),-AA9/VLOOKUP(AA$4,'Tax Tables'!$G$338:$I$398,2),0),IF(AND(IRA_RMD_Age&lt;=AA$5,Spouse_End&gt;=AA$5),-AA9/VLOOKUP(AA$5,'Tax Tables'!$G$338:$I$398,2),0))))/Round_To,0)*Round_To</f>
        <v>-25300</v>
      </c>
      <c r="AB92" s="1124">
        <f>ROUND(IF(IRA_RMD_Age=0,0,IF(AA9+AA91+AA94&lt;=0,0,IF(IRA1_Owner="y",IF(AND(IRA_RMD_Age&lt;=AB$4,Your_End&gt;=AB$4),-AB9/VLOOKUP(AB$4,'Tax Tables'!$G$338:$I$398,2),0),IF(AND(IRA_RMD_Age&lt;=AB$5,Spouse_End&gt;=AB$5),-AB9/VLOOKUP(AB$5,'Tax Tables'!$G$338:$I$398,2),0))))/Round_To,0)*Round_To</f>
        <v>-26400</v>
      </c>
      <c r="AC92" s="1124">
        <f>ROUND(IF(IRA_RMD_Age=0,0,IF(AB9+AB91+AB94&lt;=0,0,IF(IRA1_Owner="y",IF(AND(IRA_RMD_Age&lt;=AC$4,Your_End&gt;=AC$4),-AC9/VLOOKUP(AC$4,'Tax Tables'!$G$338:$I$398,2),0),IF(AND(IRA_RMD_Age&lt;=AC$5,Spouse_End&gt;=AC$5),-AC9/VLOOKUP(AC$5,'Tax Tables'!$G$338:$I$398,2),0))))/Round_To,0)*Round_To</f>
        <v>-27300</v>
      </c>
      <c r="AD92" s="1124">
        <f>ROUND(IF(IRA_RMD_Age=0,0,IF(AC9+AC91+AC94&lt;=0,0,IF(IRA1_Owner="y",IF(AND(IRA_RMD_Age&lt;=AD$4,Your_End&gt;=AD$4),-AD9/VLOOKUP(AD$4,'Tax Tables'!$G$338:$I$398,2),0),IF(AND(IRA_RMD_Age&lt;=AD$5,Spouse_End&gt;=AD$5),-AD9/VLOOKUP(AD$5,'Tax Tables'!$G$338:$I$398,2),0))))/Round_To,0)*Round_To</f>
        <v>0</v>
      </c>
      <c r="AE92" s="1124">
        <f>ROUND(IF(IRA_RMD_Age=0,0,IF(AD9+AD91+AD94&lt;=0,0,IF(IRA1_Owner="y",IF(AND(IRA_RMD_Age&lt;=AE$4,Your_End&gt;=AE$4),-AE9/VLOOKUP(AE$4,'Tax Tables'!$G$338:$I$398,2),0),IF(AND(IRA_RMD_Age&lt;=AE$5,Spouse_End&gt;=AE$5),-AE9/VLOOKUP(AE$5,'Tax Tables'!$G$338:$I$398,2),0))))/Round_To,0)*Round_To</f>
        <v>0</v>
      </c>
      <c r="AF92" s="1124">
        <f>ROUND(IF(IRA_RMD_Age=0,0,IF(AE9+AE91+AE94&lt;=0,0,IF(IRA1_Owner="y",IF(AND(IRA_RMD_Age&lt;=AF$4,Your_End&gt;=AF$4),-AF9/VLOOKUP(AF$4,'Tax Tables'!$G$338:$I$398,2),0),IF(AND(IRA_RMD_Age&lt;=AF$5,Spouse_End&gt;=AF$5),-AF9/VLOOKUP(AF$5,'Tax Tables'!$G$338:$I$398,2),0))))/Round_To,0)*Round_To</f>
        <v>0</v>
      </c>
      <c r="AG92" s="1124">
        <f>ROUND(IF(IRA_RMD_Age=0,0,IF(AF9+AF91+AF94&lt;=0,0,IF(IRA1_Owner="y",IF(AND(IRA_RMD_Age&lt;=AG$4,Your_End&gt;=AG$4),-AG9/VLOOKUP(AG$4,'Tax Tables'!$G$338:$I$398,2),0),IF(AND(IRA_RMD_Age&lt;=AG$5,Spouse_End&gt;=AG$5),-AG9/VLOOKUP(AG$5,'Tax Tables'!$G$338:$I$398,2),0))))/Round_To,0)*Round_To</f>
        <v>0</v>
      </c>
      <c r="AH92" s="1124">
        <f>ROUND(IF(IRA_RMD_Age=0,0,IF(AG9+AG91+AG94&lt;=0,0,IF(IRA1_Owner="y",IF(AND(IRA_RMD_Age&lt;=AH$4,Your_End&gt;=AH$4),-AH9/VLOOKUP(AH$4,'Tax Tables'!$G$338:$I$398,2),0),IF(AND(IRA_RMD_Age&lt;=AH$5,Spouse_End&gt;=AH$5),-AH9/VLOOKUP(AH$5,'Tax Tables'!$G$338:$I$398,2),0))))/Round_To,0)*Round_To</f>
        <v>0</v>
      </c>
      <c r="AI92" s="1124">
        <f>ROUND(IF(IRA_RMD_Age=0,0,IF(AH9+AH91+AH94&lt;=0,0,IF(IRA1_Owner="y",IF(AND(IRA_RMD_Age&lt;=AI$4,Your_End&gt;=AI$4),-AI9/VLOOKUP(AI$4,'Tax Tables'!$G$338:$I$398,2),0),IF(AND(IRA_RMD_Age&lt;=AI$5,Spouse_End&gt;=AI$5),-AI9/VLOOKUP(AI$5,'Tax Tables'!$G$338:$I$398,2),0))))/Round_To,0)*Round_To</f>
        <v>0</v>
      </c>
      <c r="AJ92" s="1124">
        <f>ROUND(IF(IRA_RMD_Age=0,0,IF(AI9+AI91+AI94&lt;=0,0,IF(IRA1_Owner="y",IF(AND(IRA_RMD_Age&lt;=AJ$4,Your_End&gt;=AJ$4),-AJ9/VLOOKUP(AJ$4,'Tax Tables'!$G$338:$I$398,2),0),IF(AND(IRA_RMD_Age&lt;=AJ$5,Spouse_End&gt;=AJ$5),-AJ9/VLOOKUP(AJ$5,'Tax Tables'!$G$338:$I$398,2),0))))/Round_To,0)*Round_To</f>
        <v>0</v>
      </c>
      <c r="AK92" s="1124">
        <f>ROUND(IF(IRA_RMD_Age=0,0,IF(AJ9+AJ91+AJ94&lt;=0,0,IF(IRA1_Owner="y",IF(AND(IRA_RMD_Age&lt;=AK$4,Your_End&gt;=AK$4),-AK9/VLOOKUP(AK$4,'Tax Tables'!$G$338:$I$398,2),0),IF(AND(IRA_RMD_Age&lt;=AK$5,Spouse_End&gt;=AK$5),-AK9/VLOOKUP(AK$5,'Tax Tables'!$G$338:$I$398,2),0))))/Round_To,0)*Round_To</f>
        <v>0</v>
      </c>
      <c r="AL92" s="1124">
        <f>ROUND(IF(IRA_RMD_Age=0,0,IF(AK9+AK91+AK94&lt;=0,0,IF(IRA1_Owner="y",IF(AND(IRA_RMD_Age&lt;=AL$4,Your_End&gt;=AL$4),-AL9/VLOOKUP(AL$4,'Tax Tables'!$G$338:$I$398,2),0),IF(AND(IRA_RMD_Age&lt;=AL$5,Spouse_End&gt;=AL$5),-AL9/VLOOKUP(AL$5,'Tax Tables'!$G$338:$I$398,2),0))))/Round_To,0)*Round_To</f>
        <v>0</v>
      </c>
      <c r="AM92" s="1124">
        <f>ROUND(IF(IRA_RMD_Age=0,0,IF(AL9+AL91+AL94&lt;=0,0,IF(IRA1_Owner="y",IF(AND(IRA_RMD_Age&lt;=AM$4,Your_End&gt;=AM$4),-AM9/VLOOKUP(AM$4,'Tax Tables'!$G$338:$I$398,2),0),IF(AND(IRA_RMD_Age&lt;=AM$5,Spouse_End&gt;=AM$5),-AM9/VLOOKUP(AM$5,'Tax Tables'!$G$338:$I$398,2),0))))/Round_To,0)*Round_To</f>
        <v>0</v>
      </c>
      <c r="AN92" s="1124">
        <f>ROUND(IF(IRA_RMD_Age=0,0,IF(AM9+AM91+AM94&lt;=0,0,IF(IRA1_Owner="y",IF(AND(IRA_RMD_Age&lt;=AN$4,Your_End&gt;=AN$4),-AN9/VLOOKUP(AN$4,'Tax Tables'!$G$338:$I$398,2),0),IF(AND(IRA_RMD_Age&lt;=AN$5,Spouse_End&gt;=AN$5),-AN9/VLOOKUP(AN$5,'Tax Tables'!$G$338:$I$398,2),0))))/Round_To,0)*Round_To</f>
        <v>0</v>
      </c>
      <c r="AO92" s="1124">
        <f>ROUND(IF(IRA_RMD_Age=0,0,IF(AN9+AN91+AN94&lt;=0,0,IF(IRA1_Owner="y",IF(AND(IRA_RMD_Age&lt;=AO$4,Your_End&gt;=AO$4),-AO9/VLOOKUP(AO$4,'Tax Tables'!$G$338:$I$398,2),0),IF(AND(IRA_RMD_Age&lt;=AO$5,Spouse_End&gt;=AO$5),-AO9/VLOOKUP(AO$5,'Tax Tables'!$G$338:$I$398,2),0))))/Round_To,0)*Round_To</f>
        <v>0</v>
      </c>
      <c r="AP92" s="1124">
        <f>ROUND(IF(IRA_RMD_Age=0,0,IF(AO9+AO91+AO94&lt;=0,0,IF(IRA1_Owner="y",IF(AND(IRA_RMD_Age&lt;=AP$4,Your_End&gt;=AP$4),-AP9/VLOOKUP(AP$4,'Tax Tables'!$G$338:$I$398,2),0),IF(AND(IRA_RMD_Age&lt;=AP$5,Spouse_End&gt;=AP$5),-AP9/VLOOKUP(AP$5,'Tax Tables'!$G$338:$I$398,2),0))))/Round_To,0)*Round_To</f>
        <v>0</v>
      </c>
      <c r="AQ92" s="1124">
        <f>ROUND(IF(IRA_RMD_Age=0,0,IF(AP9+AP91+AP94&lt;=0,0,IF(IRA1_Owner="y",IF(AND(IRA_RMD_Age&lt;=AQ$4,Your_End&gt;=AQ$4),-AQ9/VLOOKUP(AQ$4,'Tax Tables'!$G$338:$I$398,2),0),IF(AND(IRA_RMD_Age&lt;=AQ$5,Spouse_End&gt;=AQ$5),-AQ9/VLOOKUP(AQ$5,'Tax Tables'!$G$338:$I$398,2),0))))/Round_To,0)*Round_To</f>
        <v>0</v>
      </c>
      <c r="AR92" s="1124">
        <f>ROUND(IF(IRA_RMD_Age=0,0,IF(AQ9+AQ91+AQ94&lt;=0,0,IF(IRA1_Owner="y",IF(AND(IRA_RMD_Age&lt;=AR$4,Your_End&gt;=AR$4),-AR9/VLOOKUP(AR$4,'Tax Tables'!$G$338:$I$398,2),0),IF(AND(IRA_RMD_Age&lt;=AR$5,Spouse_End&gt;=AR$5),-AR9/VLOOKUP(AR$5,'Tax Tables'!$G$338:$I$398,2),0))))/Round_To,0)*Round_To</f>
        <v>0</v>
      </c>
      <c r="AS92" s="1124">
        <f>ROUND(IF(IRA_RMD_Age=0,0,IF(AR9+AR91+AR94&lt;=0,0,IF(IRA1_Owner="y",IF(AND(IRA_RMD_Age&lt;=AS$4,Your_End&gt;=AS$4),-AS9/VLOOKUP(AS$4,'Tax Tables'!$G$338:$I$398,2),0),IF(AND(IRA_RMD_Age&lt;=AS$5,Spouse_End&gt;=AS$5),-AS9/VLOOKUP(AS$5,'Tax Tables'!$G$338:$I$398,2),0))))/Round_To,0)*Round_To</f>
        <v>0</v>
      </c>
      <c r="AT92" s="3"/>
      <c r="AU92" s="29">
        <f>+Details!E92</f>
        <v>-303900</v>
      </c>
      <c r="AV92" s="81">
        <f t="shared" si="86"/>
        <v>0</v>
      </c>
      <c r="AW92" s="102"/>
      <c r="AY92" s="31">
        <f>+Details!F92-Base!F92</f>
        <v>0</v>
      </c>
      <c r="AZ92" s="1128">
        <f>+Details!G92-Base!G92</f>
        <v>0</v>
      </c>
      <c r="BA92" s="1124">
        <f>+Details!H92-Base!H92</f>
        <v>0</v>
      </c>
      <c r="BB92" s="1124">
        <f>+Details!I92-Base!I92</f>
        <v>0</v>
      </c>
      <c r="BC92" s="1124">
        <f>+Details!J92-Base!J92</f>
        <v>0</v>
      </c>
      <c r="BD92" s="1124">
        <f>+Details!K92-Base!K92</f>
        <v>0</v>
      </c>
      <c r="BE92" s="1124">
        <f>+Details!L92-Base!L92</f>
        <v>0</v>
      </c>
      <c r="BF92" s="1124">
        <f>+Details!M92-Base!M92</f>
        <v>0</v>
      </c>
      <c r="BG92" s="1124">
        <f>+Details!N92-Base!N92</f>
        <v>0</v>
      </c>
      <c r="BH92" s="1124">
        <f>+Details!O92-Base!O92</f>
        <v>0</v>
      </c>
      <c r="BI92" s="1124">
        <f>+Details!P92-Base!P92</f>
        <v>0</v>
      </c>
      <c r="BJ92" s="1124">
        <f>+Details!Q92-Base!Q92</f>
        <v>0</v>
      </c>
      <c r="BK92" s="1124">
        <f>+Details!R92-Base!R92</f>
        <v>0</v>
      </c>
      <c r="BL92" s="1124">
        <f>+Details!S92-Base!S92</f>
        <v>0</v>
      </c>
      <c r="BM92" s="1124">
        <f>+Details!T92-Base!T92</f>
        <v>0</v>
      </c>
      <c r="BN92" s="1124">
        <f>+Details!U92-Base!U92</f>
        <v>0</v>
      </c>
      <c r="BO92" s="1124">
        <f>+Details!V92-Base!V92</f>
        <v>0</v>
      </c>
      <c r="BP92" s="1124">
        <f>+Details!W92-Base!W92</f>
        <v>0</v>
      </c>
      <c r="BQ92" s="1124">
        <f>+Details!X92-Base!X92</f>
        <v>0</v>
      </c>
      <c r="BR92" s="1124">
        <f>+Details!Y92-Base!Y92</f>
        <v>0</v>
      </c>
      <c r="BS92" s="1124">
        <f>+Details!Z92-Base!Z92</f>
        <v>0</v>
      </c>
      <c r="BT92" s="1124">
        <f>+Details!AA92-Base!AA92</f>
        <v>0</v>
      </c>
      <c r="BU92" s="1124">
        <f>+Details!AB92-Base!AB92</f>
        <v>0</v>
      </c>
      <c r="BV92" s="1124">
        <f>+Details!AC92-Base!AC92</f>
        <v>0</v>
      </c>
      <c r="BW92" s="1124">
        <f>+Details!AD92-Base!AD92</f>
        <v>0</v>
      </c>
      <c r="BX92" s="1124">
        <f>+Details!AE92-Base!AE92</f>
        <v>0</v>
      </c>
      <c r="BY92" s="1124">
        <f>+Details!AF92-Base!AF92</f>
        <v>0</v>
      </c>
      <c r="BZ92" s="1124">
        <f>+Details!AG92-Base!AG92</f>
        <v>0</v>
      </c>
      <c r="CA92" s="1124">
        <f>+Details!AH92-Base!AH92</f>
        <v>0</v>
      </c>
      <c r="CB92" s="1124">
        <f>+Details!AI92-Base!AI92</f>
        <v>0</v>
      </c>
      <c r="CC92" s="1124">
        <f>+Details!AJ92-Base!AJ92</f>
        <v>0</v>
      </c>
      <c r="CD92" s="1124">
        <f>+Details!AK92-Base!AK92</f>
        <v>0</v>
      </c>
      <c r="CE92" s="1124">
        <f>+Details!AL92-Base!AL92</f>
        <v>0</v>
      </c>
      <c r="CF92" s="1124">
        <f>+Details!AM92-Base!AM92</f>
        <v>0</v>
      </c>
      <c r="CG92" s="1124">
        <f>+Details!AN92-Base!AN92</f>
        <v>0</v>
      </c>
      <c r="CH92" s="1124">
        <f>+Details!AO92-Base!AO92</f>
        <v>0</v>
      </c>
      <c r="CI92" s="1124">
        <f>+Details!AP92-Base!AP92</f>
        <v>0</v>
      </c>
      <c r="CJ92" s="1124">
        <f>+Details!AQ92-Base!AQ92</f>
        <v>0</v>
      </c>
      <c r="CK92" s="1124">
        <f>+Details!AR92-Base!AR92</f>
        <v>0</v>
      </c>
      <c r="CL92" s="1124">
        <f>+Details!AS92-Base!AS92</f>
        <v>0</v>
      </c>
      <c r="CM92" s="81"/>
    </row>
    <row r="93" spans="1:91" hidden="1">
      <c r="A93" s="1427" t="s">
        <v>1578</v>
      </c>
      <c r="B93" s="1765" t="s">
        <v>1260</v>
      </c>
      <c r="C93" s="1003"/>
      <c r="D93" s="453" t="str">
        <f>IF(IRA1_Owner="s",Spouse_End_Input +1,Your_End_Input+1) &amp; " - " &amp; IF(IRA1_Owner="s",Your_End,Spouse_End)</f>
        <v>86 - 90</v>
      </c>
      <c r="E93" s="34">
        <f t="shared" si="73"/>
        <v>-183500</v>
      </c>
      <c r="F93" s="35"/>
      <c r="G93" s="1125">
        <f>ROUND(IF(F9+F91+F94&lt;=0,0,IF(IRA1_Owner="s",IF(AND(Your_End&gt;=G$4,Spouse_End&lt;G$5),-G9/VLOOKUP(G$5,'Tax Tables'!$G$338:$I$398,2),0),IF(AND(Spouse_End&gt;=G$5,Your_End&lt;G$4),-G9/VLOOKUP(G$4,'Tax Tables'!$G$338:$I$398,2),0)))/Round_To,0)*Round_To</f>
        <v>0</v>
      </c>
      <c r="H93" s="1125">
        <f>ROUND(IF(G9+G91+G94&lt;=0,0,IF(IRA1_Owner="s",IF(AND(Your_End&gt;=H$4,Spouse_End&lt;H$5),-H9/VLOOKUP(H$5,'Tax Tables'!$G$338:$I$398,2),0),IF(AND(Spouse_End&gt;=H$5,Your_End&lt;H$4),-H9/VLOOKUP(H$4,'Tax Tables'!$G$338:$I$398,2),0)))/Round_To,0)*Round_To</f>
        <v>0</v>
      </c>
      <c r="I93" s="1125">
        <f>ROUND(IF(H9+H91+H94&lt;=0,0,IF(IRA1_Owner="s",IF(AND(Your_End&gt;=I$4,Spouse_End&lt;I$5),-I9/VLOOKUP(I$5,'Tax Tables'!$G$338:$I$398,2),0),IF(AND(Spouse_End&gt;=I$5,Your_End&lt;I$4),-I9/VLOOKUP(I$4,'Tax Tables'!$G$338:$I$398,2),0)))/Round_To,0)*Round_To</f>
        <v>0</v>
      </c>
      <c r="J93" s="1125">
        <f>ROUND(IF(I9+I91+I94&lt;=0,0,IF(IRA1_Owner="s",IF(AND(Your_End&gt;=J$4,Spouse_End&lt;J$5),-J9/VLOOKUP(J$5,'Tax Tables'!$G$338:$I$398,2),0),IF(AND(Spouse_End&gt;=J$5,Your_End&lt;J$4),-J9/VLOOKUP(J$4,'Tax Tables'!$G$338:$I$398,2),0)))/Round_To,0)*Round_To</f>
        <v>0</v>
      </c>
      <c r="K93" s="1125">
        <f>ROUND(IF(J9+J91+J94&lt;=0,0,IF(IRA1_Owner="s",IF(AND(Your_End&gt;=K$4,Spouse_End&lt;K$5),-K9/VLOOKUP(K$5,'Tax Tables'!$G$338:$I$398,2),0),IF(AND(Spouse_End&gt;=K$5,Your_End&lt;K$4),-K9/VLOOKUP(K$4,'Tax Tables'!$G$338:$I$398,2),0)))/Round_To,0)*Round_To</f>
        <v>0</v>
      </c>
      <c r="L93" s="1125">
        <f>ROUND(IF(K9+K91+K94&lt;=0,0,IF(IRA1_Owner="s",IF(AND(Your_End&gt;=L$4,Spouse_End&lt;L$5),-L9/VLOOKUP(L$5,'Tax Tables'!$G$338:$I$398,2),0),IF(AND(Spouse_End&gt;=L$5,Your_End&lt;L$4),-L9/VLOOKUP(L$4,'Tax Tables'!$G$338:$I$398,2),0)))/Round_To,0)*Round_To</f>
        <v>0</v>
      </c>
      <c r="M93" s="1125">
        <f>ROUND(IF(L9+L91+L94&lt;=0,0,IF(IRA1_Owner="s",IF(AND(Your_End&gt;=M$4,Spouse_End&lt;M$5),-M9/VLOOKUP(M$5,'Tax Tables'!$G$338:$I$398,2),0),IF(AND(Spouse_End&gt;=M$5,Your_End&lt;M$4),-M9/VLOOKUP(M$4,'Tax Tables'!$G$338:$I$398,2),0)))/Round_To,0)*Round_To</f>
        <v>0</v>
      </c>
      <c r="N93" s="1125">
        <f>ROUND(IF(M9+M91+M94&lt;=0,0,IF(IRA1_Owner="s",IF(AND(Your_End&gt;=N$4,Spouse_End&lt;N$5),-N9/VLOOKUP(N$5,'Tax Tables'!$G$338:$I$398,2),0),IF(AND(Spouse_End&gt;=N$5,Your_End&lt;N$4),-N9/VLOOKUP(N$4,'Tax Tables'!$G$338:$I$398,2),0)))/Round_To,0)*Round_To</f>
        <v>0</v>
      </c>
      <c r="O93" s="1125">
        <f>ROUND(IF(N9+N91+N94&lt;=0,0,IF(IRA1_Owner="s",IF(AND(Your_End&gt;=O$4,Spouse_End&lt;O$5),-O9/VLOOKUP(O$5,'Tax Tables'!$G$338:$I$398,2),0),IF(AND(Spouse_End&gt;=O$5,Your_End&lt;O$4),-O9/VLOOKUP(O$4,'Tax Tables'!$G$338:$I$398,2),0)))/Round_To,0)*Round_To</f>
        <v>0</v>
      </c>
      <c r="P93" s="1125">
        <f>ROUND(IF(O9+O91+O94&lt;=0,0,IF(IRA1_Owner="s",IF(AND(Your_End&gt;=P$4,Spouse_End&lt;P$5),-P9/VLOOKUP(P$5,'Tax Tables'!$G$338:$I$398,2),0),IF(AND(Spouse_End&gt;=P$5,Your_End&lt;P$4),-P9/VLOOKUP(P$4,'Tax Tables'!$G$338:$I$398,2),0)))/Round_To,0)*Round_To</f>
        <v>0</v>
      </c>
      <c r="Q93" s="1125">
        <f>ROUND(IF(P9+P91+P94&lt;=0,0,IF(IRA1_Owner="s",IF(AND(Your_End&gt;=Q$4,Spouse_End&lt;Q$5),-Q9/VLOOKUP(Q$5,'Tax Tables'!$G$338:$I$398,2),0),IF(AND(Spouse_End&gt;=Q$5,Your_End&lt;Q$4),-Q9/VLOOKUP(Q$4,'Tax Tables'!$G$338:$I$398,2),0)))/Round_To,0)*Round_To</f>
        <v>0</v>
      </c>
      <c r="R93" s="1125">
        <f>ROUND(IF(Q9+Q91+Q94&lt;=0,0,IF(IRA1_Owner="s",IF(AND(Your_End&gt;=R$4,Spouse_End&lt;R$5),-R9/VLOOKUP(R$5,'Tax Tables'!$G$338:$I$398,2),0),IF(AND(Spouse_End&gt;=R$5,Your_End&lt;R$4),-R9/VLOOKUP(R$4,'Tax Tables'!$G$338:$I$398,2),0)))/Round_To,0)*Round_To</f>
        <v>0</v>
      </c>
      <c r="S93" s="1125">
        <f>ROUND(IF(R9+R91+R94&lt;=0,0,IF(IRA1_Owner="s",IF(AND(Your_End&gt;=S$4,Spouse_End&lt;S$5),-S9/VLOOKUP(S$5,'Tax Tables'!$G$338:$I$398,2),0),IF(AND(Spouse_End&gt;=S$5,Your_End&lt;S$4),-S9/VLOOKUP(S$4,'Tax Tables'!$G$338:$I$398,2),0)))/Round_To,0)*Round_To</f>
        <v>0</v>
      </c>
      <c r="T93" s="1125">
        <f>ROUND(IF(S9+S91+S94&lt;=0,0,IF(IRA1_Owner="s",IF(AND(Your_End&gt;=T$4,Spouse_End&lt;T$5),-T9/VLOOKUP(T$5,'Tax Tables'!$G$338:$I$398,2),0),IF(AND(Spouse_End&gt;=T$5,Your_End&lt;T$4),-T9/VLOOKUP(T$4,'Tax Tables'!$G$338:$I$398,2),0)))/Round_To,0)*Round_To</f>
        <v>0</v>
      </c>
      <c r="U93" s="1125">
        <f>ROUND(IF(T9+T91+T94&lt;=0,0,IF(IRA1_Owner="s",IF(AND(Your_End&gt;=U$4,Spouse_End&lt;U$5),-U9/VLOOKUP(U$5,'Tax Tables'!$G$338:$I$398,2),0),IF(AND(Spouse_End&gt;=U$5,Your_End&lt;U$4),-U9/VLOOKUP(U$4,'Tax Tables'!$G$338:$I$398,2),0)))/Round_To,0)*Round_To</f>
        <v>0</v>
      </c>
      <c r="V93" s="1125">
        <f>ROUND(IF(U9+U91+U94&lt;=0,0,IF(IRA1_Owner="s",IF(AND(Your_End&gt;=V$4,Spouse_End&lt;V$5),-V9/VLOOKUP(V$5,'Tax Tables'!$G$338:$I$398,2),0),IF(AND(Spouse_End&gt;=V$5,Your_End&lt;V$4),-V9/VLOOKUP(V$4,'Tax Tables'!$G$338:$I$398,2),0)))/Round_To,0)*Round_To</f>
        <v>0</v>
      </c>
      <c r="W93" s="1125">
        <f>ROUND(IF(V9+V91+V94&lt;=0,0,IF(IRA1_Owner="s",IF(AND(Your_End&gt;=W$4,Spouse_End&lt;W$5),-W9/VLOOKUP(W$5,'Tax Tables'!$G$338:$I$398,2),0),IF(AND(Spouse_End&gt;=W$5,Your_End&lt;W$4),-W9/VLOOKUP(W$4,'Tax Tables'!$G$338:$I$398,2),0)))/Round_To,0)*Round_To</f>
        <v>0</v>
      </c>
      <c r="X93" s="1125">
        <f>ROUND(IF(W9+W91+W94&lt;=0,0,IF(IRA1_Owner="s",IF(AND(Your_End&gt;=X$4,Spouse_End&lt;X$5),-X9/VLOOKUP(X$5,'Tax Tables'!$G$338:$I$398,2),0),IF(AND(Spouse_End&gt;=X$5,Your_End&lt;X$4),-X9/VLOOKUP(X$4,'Tax Tables'!$G$338:$I$398,2),0)))/Round_To,0)*Round_To</f>
        <v>0</v>
      </c>
      <c r="Y93" s="1125">
        <f>ROUND(IF(X9+X91+X94&lt;=0,0,IF(IRA1_Owner="s",IF(AND(Your_End&gt;=Y$4,Spouse_End&lt;Y$5),-Y9/VLOOKUP(Y$5,'Tax Tables'!$G$338:$I$398,2),0),IF(AND(Spouse_End&gt;=Y$5,Your_End&lt;Y$4),-Y9/VLOOKUP(Y$4,'Tax Tables'!$G$338:$I$398,2),0)))/Round_To,0)*Round_To</f>
        <v>0</v>
      </c>
      <c r="Z93" s="1125">
        <f>ROUND(IF(Y9+Y91+Y94&lt;=0,0,IF(IRA1_Owner="s",IF(AND(Your_End&gt;=Z$4,Spouse_End&lt;Z$5),-Z9/VLOOKUP(Z$5,'Tax Tables'!$G$338:$I$398,2),0),IF(AND(Spouse_End&gt;=Z$5,Your_End&lt;Z$4),-Z9/VLOOKUP(Z$4,'Tax Tables'!$G$338:$I$398,2),0)))/Round_To,0)*Round_To</f>
        <v>0</v>
      </c>
      <c r="AA93" s="1125">
        <f>ROUND(IF(Z9+Z91+Z94&lt;=0,0,IF(IRA1_Owner="s",IF(AND(Your_End&gt;=AA$4,Spouse_End&lt;AA$5),-AA9/VLOOKUP(AA$5,'Tax Tables'!$G$338:$I$398,2),0),IF(AND(Spouse_End&gt;=AA$5,Your_End&lt;AA$4),-AA9/VLOOKUP(AA$4,'Tax Tables'!$G$338:$I$398,2),0)))/Round_To,0)*Round_To</f>
        <v>0</v>
      </c>
      <c r="AB93" s="1125">
        <f>ROUND(IF(AA9+AA91+AA94&lt;=0,0,IF(IRA1_Owner="s",IF(AND(Your_End&gt;=AB$4,Spouse_End&lt;AB$5),-AB9/VLOOKUP(AB$5,'Tax Tables'!$G$338:$I$398,2),0),IF(AND(Spouse_End&gt;=AB$5,Your_End&lt;AB$4),-AB9/VLOOKUP(AB$4,'Tax Tables'!$G$338:$I$398,2),0)))/Round_To,0)*Round_To</f>
        <v>0</v>
      </c>
      <c r="AC93" s="1125">
        <f>ROUND(IF(AB9+AB91+AB94&lt;=0,0,IF(IRA1_Owner="s",IF(AND(Your_End&gt;=AC$4,Spouse_End&lt;AC$5),-AC9/VLOOKUP(AC$5,'Tax Tables'!$G$338:$I$398,2),0),IF(AND(Spouse_End&gt;=AC$5,Your_End&lt;AC$4),-AC9/VLOOKUP(AC$4,'Tax Tables'!$G$338:$I$398,2),0)))/Round_To,0)*Round_To</f>
        <v>0</v>
      </c>
      <c r="AD93" s="1125">
        <f>ROUND(IF(AC9+AC91+AC94&lt;=0,0,IF(IRA1_Owner="s",IF(AND(Your_End&gt;=AD$4,Spouse_End&lt;AD$5),-AD9/VLOOKUP(AD$5,'Tax Tables'!$G$338:$I$398,2),0),IF(AND(Spouse_End&gt;=AD$5,Your_End&lt;AD$4),-AD9/VLOOKUP(AD$4,'Tax Tables'!$G$338:$I$398,2),0)))/Round_To,0)*Round_To</f>
        <v>-28300</v>
      </c>
      <c r="AE93" s="1125">
        <f>ROUND(IF(AD9+AD91+AD94&lt;=0,0,IF(IRA1_Owner="s",IF(AND(Your_End&gt;=AE$4,Spouse_End&lt;AE$5),-AE9/VLOOKUP(AE$5,'Tax Tables'!$G$338:$I$398,2),0),IF(AND(Spouse_End&gt;=AE$5,Your_End&lt;AE$4),-AE9/VLOOKUP(AE$4,'Tax Tables'!$G$338:$I$398,2),0)))/Round_To,0)*Round_To</f>
        <v>-29300</v>
      </c>
      <c r="AF93" s="1125">
        <f>ROUND(IF(AE9+AE91+AE94&lt;=0,0,IF(IRA1_Owner="s",IF(AND(Your_End&gt;=AF$4,Spouse_End&lt;AF$5),-AF9/VLOOKUP(AF$5,'Tax Tables'!$G$338:$I$398,2),0),IF(AND(Spouse_End&gt;=AF$5,Your_End&lt;AF$4),-AF9/VLOOKUP(AF$4,'Tax Tables'!$G$338:$I$398,2),0)))/Round_To,0)*Round_To</f>
        <v>-30300</v>
      </c>
      <c r="AG93" s="1125">
        <f>ROUND(IF(AF9+AF91+AF94&lt;=0,0,IF(IRA1_Owner="s",IF(AND(Your_End&gt;=AG$4,Spouse_End&lt;AG$5),-AG9/VLOOKUP(AG$5,'Tax Tables'!$G$338:$I$398,2),0),IF(AND(Spouse_End&gt;=AG$5,Your_End&lt;AG$4),-AG9/VLOOKUP(AG$4,'Tax Tables'!$G$338:$I$398,2),0)))/Round_To,0)*Round_To</f>
        <v>-31200</v>
      </c>
      <c r="AH93" s="1125">
        <f>ROUND(IF(AG9+AG91+AG94&lt;=0,0,IF(IRA1_Owner="s",IF(AND(Your_End&gt;=AH$4,Spouse_End&lt;AH$5),-AH9/VLOOKUP(AH$5,'Tax Tables'!$G$338:$I$398,2),0),IF(AND(Spouse_End&gt;=AH$5,Your_End&lt;AH$4),-AH9/VLOOKUP(AH$4,'Tax Tables'!$G$338:$I$398,2),0)))/Round_To,0)*Round_To</f>
        <v>-31900</v>
      </c>
      <c r="AI93" s="1125">
        <f>ROUND(IF(AH9+AH91+AH94&lt;=0,0,IF(IRA1_Owner="s",IF(AND(Your_End&gt;=AI$4,Spouse_End&lt;AI$5),-AI9/VLOOKUP(AI$5,'Tax Tables'!$G$338:$I$398,2),0),IF(AND(Spouse_End&gt;=AI$5,Your_End&lt;AI$4),-AI9/VLOOKUP(AI$4,'Tax Tables'!$G$338:$I$398,2),0)))/Round_To,0)*Round_To</f>
        <v>-32500</v>
      </c>
      <c r="AJ93" s="1125">
        <f>ROUND(IF(AI9+AI91+AI94&lt;=0,0,IF(IRA1_Owner="s",IF(AND(Your_End&gt;=AJ$4,Spouse_End&lt;AJ$5),-AJ9/VLOOKUP(AJ$5,'Tax Tables'!$G$338:$I$398,2),0),IF(AND(Spouse_End&gt;=AJ$5,Your_End&lt;AJ$4),-AJ9/VLOOKUP(AJ$4,'Tax Tables'!$G$338:$I$398,2),0)))/Round_To,0)*Round_To</f>
        <v>0</v>
      </c>
      <c r="AK93" s="1125">
        <f>ROUND(IF(AJ9+AJ91+AJ94&lt;=0,0,IF(IRA1_Owner="s",IF(AND(Your_End&gt;=AK$4,Spouse_End&lt;AK$5),-AK9/VLOOKUP(AK$5,'Tax Tables'!$G$338:$I$398,2),0),IF(AND(Spouse_End&gt;=AK$5,Your_End&lt;AK$4),-AK9/VLOOKUP(AK$4,'Tax Tables'!$G$338:$I$398,2),0)))/Round_To,0)*Round_To</f>
        <v>0</v>
      </c>
      <c r="AL93" s="1125">
        <f>ROUND(IF(AK9+AK91+AK94&lt;=0,0,IF(IRA1_Owner="s",IF(AND(Your_End&gt;=AL$4,Spouse_End&lt;AL$5),-AL9/VLOOKUP(AL$5,'Tax Tables'!$G$338:$I$398,2),0),IF(AND(Spouse_End&gt;=AL$5,Your_End&lt;AL$4),-AL9/VLOOKUP(AL$4,'Tax Tables'!$G$338:$I$398,2),0)))/Round_To,0)*Round_To</f>
        <v>0</v>
      </c>
      <c r="AM93" s="1125">
        <f>ROUND(IF(AL9+AL91+AL94&lt;=0,0,IF(IRA1_Owner="s",IF(AND(Your_End&gt;=AM$4,Spouse_End&lt;AM$5),-AM9/VLOOKUP(AM$5,'Tax Tables'!$G$338:$I$398,2),0),IF(AND(Spouse_End&gt;=AM$5,Your_End&lt;AM$4),-AM9/VLOOKUP(AM$4,'Tax Tables'!$G$338:$I$398,2),0)))/Round_To,0)*Round_To</f>
        <v>0</v>
      </c>
      <c r="AN93" s="1125">
        <f>ROUND(IF(AM9+AM91+AM94&lt;=0,0,IF(IRA1_Owner="s",IF(AND(Your_End&gt;=AN$4,Spouse_End&lt;AN$5),-AN9/VLOOKUP(AN$5,'Tax Tables'!$G$338:$I$398,2),0),IF(AND(Spouse_End&gt;=AN$5,Your_End&lt;AN$4),-AN9/VLOOKUP(AN$4,'Tax Tables'!$G$338:$I$398,2),0)))/Round_To,0)*Round_To</f>
        <v>0</v>
      </c>
      <c r="AO93" s="1125">
        <f>ROUND(IF(AN9+AN91+AN94&lt;=0,0,IF(IRA1_Owner="s",IF(AND(Your_End&gt;=AO$4,Spouse_End&lt;AO$5),-AO9/VLOOKUP(AO$5,'Tax Tables'!$G$338:$I$398,2),0),IF(AND(Spouse_End&gt;=AO$5,Your_End&lt;AO$4),-AO9/VLOOKUP(AO$4,'Tax Tables'!$G$338:$I$398,2),0)))/Round_To,0)*Round_To</f>
        <v>0</v>
      </c>
      <c r="AP93" s="1125">
        <f>ROUND(IF(AO9+AO91+AO94&lt;=0,0,IF(IRA1_Owner="s",IF(AND(Your_End&gt;=AP$4,Spouse_End&lt;AP$5),-AP9/VLOOKUP(AP$5,'Tax Tables'!$G$338:$I$398,2),0),IF(AND(Spouse_End&gt;=AP$5,Your_End&lt;AP$4),-AP9/VLOOKUP(AP$4,'Tax Tables'!$G$338:$I$398,2),0)))/Round_To,0)*Round_To</f>
        <v>0</v>
      </c>
      <c r="AQ93" s="1125">
        <f>ROUND(IF(AP9+AP91+AP94&lt;=0,0,IF(IRA1_Owner="s",IF(AND(Your_End&gt;=AQ$4,Spouse_End&lt;AQ$5),-AQ9/VLOOKUP(AQ$5,'Tax Tables'!$G$338:$I$398,2),0),IF(AND(Spouse_End&gt;=AQ$5,Your_End&lt;AQ$4),-AQ9/VLOOKUP(AQ$4,'Tax Tables'!$G$338:$I$398,2),0)))/Round_To,0)*Round_To</f>
        <v>0</v>
      </c>
      <c r="AR93" s="1125">
        <f>ROUND(IF(AQ9+AQ91+AQ94&lt;=0,0,IF(IRA1_Owner="s",IF(AND(Your_End&gt;=AR$4,Spouse_End&lt;AR$5),-AR9/VLOOKUP(AR$5,'Tax Tables'!$G$338:$I$398,2),0),IF(AND(Spouse_End&gt;=AR$5,Your_End&lt;AR$4),-AR9/VLOOKUP(AR$4,'Tax Tables'!$G$338:$I$398,2),0)))/Round_To,0)*Round_To</f>
        <v>0</v>
      </c>
      <c r="AS93" s="1125">
        <f>ROUND(IF(AR9+AR91+AR94&lt;=0,0,IF(IRA1_Owner="s",IF(AND(Your_End&gt;=AS$4,Spouse_End&lt;AS$5),-AS9/VLOOKUP(AS$5,'Tax Tables'!$G$338:$I$398,2),0),IF(AND(Spouse_End&gt;=AS$5,Your_End&lt;AS$4),-AS9/VLOOKUP(AS$4,'Tax Tables'!$G$338:$I$398,2),0)))/Round_To,0)*Round_To</f>
        <v>0</v>
      </c>
      <c r="AT93" s="3"/>
      <c r="AU93" s="34">
        <f>+Details!E93</f>
        <v>-183500</v>
      </c>
      <c r="AV93" s="83">
        <f t="shared" si="86"/>
        <v>0</v>
      </c>
      <c r="AW93" s="102"/>
      <c r="AY93" s="38">
        <f>+Details!F93-Base!F93</f>
        <v>0</v>
      </c>
      <c r="AZ93" s="1125">
        <f>+Details!G93-Base!G93</f>
        <v>0</v>
      </c>
      <c r="BA93" s="1125">
        <f>+Details!H93-Base!H93</f>
        <v>0</v>
      </c>
      <c r="BB93" s="1125">
        <f>+Details!I93-Base!I93</f>
        <v>0</v>
      </c>
      <c r="BC93" s="1125">
        <f>+Details!J93-Base!J93</f>
        <v>0</v>
      </c>
      <c r="BD93" s="1125">
        <f>+Details!K93-Base!K93</f>
        <v>0</v>
      </c>
      <c r="BE93" s="1125">
        <f>+Details!L93-Base!L93</f>
        <v>0</v>
      </c>
      <c r="BF93" s="1125">
        <f>+Details!M93-Base!M93</f>
        <v>0</v>
      </c>
      <c r="BG93" s="1125">
        <f>+Details!N93-Base!N93</f>
        <v>0</v>
      </c>
      <c r="BH93" s="1125">
        <f>+Details!O93-Base!O93</f>
        <v>0</v>
      </c>
      <c r="BI93" s="1125">
        <f>+Details!P93-Base!P93</f>
        <v>0</v>
      </c>
      <c r="BJ93" s="1125">
        <f>+Details!Q93-Base!Q93</f>
        <v>0</v>
      </c>
      <c r="BK93" s="1125">
        <f>+Details!R93-Base!R93</f>
        <v>0</v>
      </c>
      <c r="BL93" s="1125">
        <f>+Details!S93-Base!S93</f>
        <v>0</v>
      </c>
      <c r="BM93" s="1125">
        <f>+Details!T93-Base!T93</f>
        <v>0</v>
      </c>
      <c r="BN93" s="1125">
        <f>+Details!U93-Base!U93</f>
        <v>0</v>
      </c>
      <c r="BO93" s="1125">
        <f>+Details!V93-Base!V93</f>
        <v>0</v>
      </c>
      <c r="BP93" s="1125">
        <f>+Details!W93-Base!W93</f>
        <v>0</v>
      </c>
      <c r="BQ93" s="1125">
        <f>+Details!X93-Base!X93</f>
        <v>0</v>
      </c>
      <c r="BR93" s="1125">
        <f>+Details!Y93-Base!Y93</f>
        <v>0</v>
      </c>
      <c r="BS93" s="1125">
        <f>+Details!Z93-Base!Z93</f>
        <v>0</v>
      </c>
      <c r="BT93" s="1125">
        <f>+Details!AA93-Base!AA93</f>
        <v>0</v>
      </c>
      <c r="BU93" s="1125">
        <f>+Details!AB93-Base!AB93</f>
        <v>0</v>
      </c>
      <c r="BV93" s="1125">
        <f>+Details!AC93-Base!AC93</f>
        <v>0</v>
      </c>
      <c r="BW93" s="1125">
        <f>+Details!AD93-Base!AD93</f>
        <v>0</v>
      </c>
      <c r="BX93" s="1125">
        <f>+Details!AE93-Base!AE93</f>
        <v>0</v>
      </c>
      <c r="BY93" s="1125">
        <f>+Details!AF93-Base!AF93</f>
        <v>0</v>
      </c>
      <c r="BZ93" s="1125">
        <f>+Details!AG93-Base!AG93</f>
        <v>0</v>
      </c>
      <c r="CA93" s="1125">
        <f>+Details!AH93-Base!AH93</f>
        <v>0</v>
      </c>
      <c r="CB93" s="1125">
        <f>+Details!AI93-Base!AI93</f>
        <v>0</v>
      </c>
      <c r="CC93" s="1125">
        <f>+Details!AJ93-Base!AJ93</f>
        <v>0</v>
      </c>
      <c r="CD93" s="1125">
        <f>+Details!AK93-Base!AK93</f>
        <v>0</v>
      </c>
      <c r="CE93" s="1125">
        <f>+Details!AL93-Base!AL93</f>
        <v>0</v>
      </c>
      <c r="CF93" s="1125">
        <f>+Details!AM93-Base!AM93</f>
        <v>0</v>
      </c>
      <c r="CG93" s="1125">
        <f>+Details!AN93-Base!AN93</f>
        <v>0</v>
      </c>
      <c r="CH93" s="1125">
        <f>+Details!AO93-Base!AO93</f>
        <v>0</v>
      </c>
      <c r="CI93" s="1125">
        <f>+Details!AP93-Base!AP93</f>
        <v>0</v>
      </c>
      <c r="CJ93" s="1125">
        <f>+Details!AQ93-Base!AQ93</f>
        <v>0</v>
      </c>
      <c r="CK93" s="1125">
        <f>+Details!AR93-Base!AR93</f>
        <v>0</v>
      </c>
      <c r="CL93" s="1125">
        <f>+Details!AS93-Base!AS93</f>
        <v>0</v>
      </c>
      <c r="CM93" s="103"/>
    </row>
    <row r="94" spans="1:91">
      <c r="B94" s="1765" t="s">
        <v>1641</v>
      </c>
      <c r="C94" s="1003" t="str">
        <f>IF(IRA1_Owner="y","Yours:","Spouse:") &amp; " starting " &amp; IRA_RMD_Age</f>
        <v>Yours: starting 71</v>
      </c>
      <c r="D94" s="1003" t="str">
        <f>VLOOKUP(IRA_RMD_Age,'Tax Tables'!$G$338:$I$398,2)&amp;" yrs life"</f>
        <v>26.5 yrs life</v>
      </c>
      <c r="E94" s="29">
        <f t="shared" si="73"/>
        <v>-487400</v>
      </c>
      <c r="F94" s="191">
        <f>+F92+F93</f>
        <v>0</v>
      </c>
      <c r="G94" s="1124">
        <f>+G92+G93</f>
        <v>0</v>
      </c>
      <c r="H94" s="1124">
        <f t="shared" ref="H94:AS94" si="87">+H92+H93</f>
        <v>0</v>
      </c>
      <c r="I94" s="1124">
        <f t="shared" si="87"/>
        <v>0</v>
      </c>
      <c r="J94" s="1124">
        <f t="shared" si="87"/>
        <v>0</v>
      </c>
      <c r="K94" s="1124">
        <f t="shared" si="87"/>
        <v>0</v>
      </c>
      <c r="L94" s="1124">
        <f t="shared" si="87"/>
        <v>0</v>
      </c>
      <c r="M94" s="1124">
        <f t="shared" si="87"/>
        <v>0</v>
      </c>
      <c r="N94" s="1124">
        <f t="shared" si="87"/>
        <v>0</v>
      </c>
      <c r="O94" s="1124">
        <f t="shared" si="87"/>
        <v>-14500</v>
      </c>
      <c r="P94" s="1124">
        <f t="shared" si="87"/>
        <v>-15000</v>
      </c>
      <c r="Q94" s="1124">
        <f t="shared" si="87"/>
        <v>-15600</v>
      </c>
      <c r="R94" s="1124">
        <f t="shared" si="87"/>
        <v>-16200</v>
      </c>
      <c r="S94" s="1124">
        <f t="shared" si="87"/>
        <v>-16900</v>
      </c>
      <c r="T94" s="1124">
        <f t="shared" si="87"/>
        <v>-17700</v>
      </c>
      <c r="U94" s="1124">
        <f t="shared" si="87"/>
        <v>-18700</v>
      </c>
      <c r="V94" s="1124">
        <f t="shared" si="87"/>
        <v>-19900</v>
      </c>
      <c r="W94" s="1124">
        <f t="shared" si="87"/>
        <v>-21000</v>
      </c>
      <c r="X94" s="1124">
        <f t="shared" si="87"/>
        <v>-22100</v>
      </c>
      <c r="Y94" s="1124">
        <f t="shared" si="87"/>
        <v>-23100</v>
      </c>
      <c r="Z94" s="1124">
        <f t="shared" si="87"/>
        <v>-24200</v>
      </c>
      <c r="AA94" s="1124">
        <f t="shared" si="87"/>
        <v>-25300</v>
      </c>
      <c r="AB94" s="1124">
        <f t="shared" si="87"/>
        <v>-26400</v>
      </c>
      <c r="AC94" s="1124">
        <f t="shared" si="87"/>
        <v>-27300</v>
      </c>
      <c r="AD94" s="1124">
        <f t="shared" si="87"/>
        <v>-28300</v>
      </c>
      <c r="AE94" s="1124">
        <f t="shared" si="87"/>
        <v>-29300</v>
      </c>
      <c r="AF94" s="1124">
        <f t="shared" si="87"/>
        <v>-30300</v>
      </c>
      <c r="AG94" s="1124">
        <f t="shared" si="87"/>
        <v>-31200</v>
      </c>
      <c r="AH94" s="1124">
        <f t="shared" si="87"/>
        <v>-31900</v>
      </c>
      <c r="AI94" s="1124">
        <f t="shared" si="87"/>
        <v>-32500</v>
      </c>
      <c r="AJ94" s="1124">
        <f t="shared" si="87"/>
        <v>0</v>
      </c>
      <c r="AK94" s="1124">
        <f t="shared" si="87"/>
        <v>0</v>
      </c>
      <c r="AL94" s="1124">
        <f t="shared" si="87"/>
        <v>0</v>
      </c>
      <c r="AM94" s="1124">
        <f t="shared" si="87"/>
        <v>0</v>
      </c>
      <c r="AN94" s="1124">
        <f t="shared" si="87"/>
        <v>0</v>
      </c>
      <c r="AO94" s="1124">
        <f t="shared" si="87"/>
        <v>0</v>
      </c>
      <c r="AP94" s="1124">
        <f t="shared" si="87"/>
        <v>0</v>
      </c>
      <c r="AQ94" s="1124">
        <f t="shared" si="87"/>
        <v>0</v>
      </c>
      <c r="AR94" s="1124">
        <f t="shared" si="87"/>
        <v>0</v>
      </c>
      <c r="AS94" s="1124">
        <f t="shared" si="87"/>
        <v>0</v>
      </c>
      <c r="AT94" s="3"/>
      <c r="AU94" s="29">
        <f>+Details!E94</f>
        <v>-487400</v>
      </c>
      <c r="AV94" s="81">
        <f t="shared" si="86"/>
        <v>0</v>
      </c>
      <c r="AW94" s="102"/>
      <c r="AY94" s="31">
        <f>+Details!F94-Base!F94</f>
        <v>0</v>
      </c>
      <c r="AZ94" s="1124">
        <f>+Details!G94-Base!G94</f>
        <v>0</v>
      </c>
      <c r="BA94" s="1124">
        <f>+Details!H94-Base!H94</f>
        <v>0</v>
      </c>
      <c r="BB94" s="1124">
        <f>+Details!I94-Base!I94</f>
        <v>0</v>
      </c>
      <c r="BC94" s="1124">
        <f>+Details!J94-Base!J94</f>
        <v>0</v>
      </c>
      <c r="BD94" s="1124">
        <f>+Details!K94-Base!K94</f>
        <v>0</v>
      </c>
      <c r="BE94" s="1124">
        <f>+Details!L94-Base!L94</f>
        <v>0</v>
      </c>
      <c r="BF94" s="1124">
        <f>+Details!M94-Base!M94</f>
        <v>0</v>
      </c>
      <c r="BG94" s="1124">
        <f>+Details!N94-Base!N94</f>
        <v>0</v>
      </c>
      <c r="BH94" s="1124">
        <f>+Details!O94-Base!O94</f>
        <v>0</v>
      </c>
      <c r="BI94" s="1124">
        <f>+Details!P94-Base!P94</f>
        <v>0</v>
      </c>
      <c r="BJ94" s="1124">
        <f>+Details!Q94-Base!Q94</f>
        <v>0</v>
      </c>
      <c r="BK94" s="1124">
        <f>+Details!R94-Base!R94</f>
        <v>0</v>
      </c>
      <c r="BL94" s="1124">
        <f>+Details!S94-Base!S94</f>
        <v>0</v>
      </c>
      <c r="BM94" s="1124">
        <f>+Details!T94-Base!T94</f>
        <v>0</v>
      </c>
      <c r="BN94" s="1124">
        <f>+Details!U94-Base!U94</f>
        <v>0</v>
      </c>
      <c r="BO94" s="1124">
        <f>+Details!V94-Base!V94</f>
        <v>0</v>
      </c>
      <c r="BP94" s="1124">
        <f>+Details!W94-Base!W94</f>
        <v>0</v>
      </c>
      <c r="BQ94" s="1124">
        <f>+Details!X94-Base!X94</f>
        <v>0</v>
      </c>
      <c r="BR94" s="1124">
        <f>+Details!Y94-Base!Y94</f>
        <v>0</v>
      </c>
      <c r="BS94" s="1124">
        <f>+Details!Z94-Base!Z94</f>
        <v>0</v>
      </c>
      <c r="BT94" s="1124">
        <f>+Details!AA94-Base!AA94</f>
        <v>0</v>
      </c>
      <c r="BU94" s="1124">
        <f>+Details!AB94-Base!AB94</f>
        <v>0</v>
      </c>
      <c r="BV94" s="1124">
        <f>+Details!AC94-Base!AC94</f>
        <v>0</v>
      </c>
      <c r="BW94" s="1124">
        <f>+Details!AD94-Base!AD94</f>
        <v>0</v>
      </c>
      <c r="BX94" s="1124">
        <f>+Details!AE94-Base!AE94</f>
        <v>0</v>
      </c>
      <c r="BY94" s="1124">
        <f>+Details!AF94-Base!AF94</f>
        <v>0</v>
      </c>
      <c r="BZ94" s="1124">
        <f>+Details!AG94-Base!AG94</f>
        <v>0</v>
      </c>
      <c r="CA94" s="1124">
        <f>+Details!AH94-Base!AH94</f>
        <v>0</v>
      </c>
      <c r="CB94" s="1124">
        <f>+Details!AI94-Base!AI94</f>
        <v>0</v>
      </c>
      <c r="CC94" s="1124">
        <f>+Details!AJ94-Base!AJ94</f>
        <v>0</v>
      </c>
      <c r="CD94" s="1124">
        <f>+Details!AK94-Base!AK94</f>
        <v>0</v>
      </c>
      <c r="CE94" s="1124">
        <f>+Details!AL94-Base!AL94</f>
        <v>0</v>
      </c>
      <c r="CF94" s="1124">
        <f>+Details!AM94-Base!AM94</f>
        <v>0</v>
      </c>
      <c r="CG94" s="1124">
        <f>+Details!AN94-Base!AN94</f>
        <v>0</v>
      </c>
      <c r="CH94" s="1124">
        <f>+Details!AO94-Base!AO94</f>
        <v>0</v>
      </c>
      <c r="CI94" s="1124">
        <f>+Details!AP94-Base!AP94</f>
        <v>0</v>
      </c>
      <c r="CJ94" s="1124">
        <f>+Details!AQ94-Base!AQ94</f>
        <v>0</v>
      </c>
      <c r="CK94" s="1124">
        <f>+Details!AR94-Base!AR94</f>
        <v>0</v>
      </c>
      <c r="CL94" s="1124">
        <f>+Details!AS94-Base!AS94</f>
        <v>0</v>
      </c>
      <c r="CM94" s="81"/>
    </row>
    <row r="95" spans="1:91" ht="15.6">
      <c r="B95" s="1764" t="s">
        <v>1275</v>
      </c>
      <c r="C95" s="437"/>
      <c r="D95" s="256"/>
      <c r="E95" s="65">
        <f t="shared" si="73"/>
        <v>0</v>
      </c>
      <c r="F95" s="449">
        <f t="shared" ref="F95:AS95" si="88">ROUND(IF(F8-Taxable_Min+F303&lt;0,IF(F319&gt;0,IF(F8-Taxable_Min+F303&lt;-F319,-F319,F8+F303-Taxable_Min),0),0)/Round_To,0)*Round_To*IF(Automate="y",1,0)</f>
        <v>0</v>
      </c>
      <c r="G95" s="1124">
        <f t="shared" si="88"/>
        <v>0</v>
      </c>
      <c r="H95" s="1124">
        <f t="shared" si="88"/>
        <v>0</v>
      </c>
      <c r="I95" s="1124">
        <f t="shared" si="88"/>
        <v>0</v>
      </c>
      <c r="J95" s="1124">
        <f t="shared" si="88"/>
        <v>0</v>
      </c>
      <c r="K95" s="1124">
        <f t="shared" si="88"/>
        <v>0</v>
      </c>
      <c r="L95" s="1124">
        <f t="shared" si="88"/>
        <v>0</v>
      </c>
      <c r="M95" s="1124">
        <f t="shared" si="88"/>
        <v>0</v>
      </c>
      <c r="N95" s="1124">
        <f t="shared" si="88"/>
        <v>0</v>
      </c>
      <c r="O95" s="1124">
        <f t="shared" si="88"/>
        <v>0</v>
      </c>
      <c r="P95" s="1124">
        <f t="shared" si="88"/>
        <v>0</v>
      </c>
      <c r="Q95" s="1124">
        <f t="shared" si="88"/>
        <v>0</v>
      </c>
      <c r="R95" s="1124">
        <f t="shared" si="88"/>
        <v>0</v>
      </c>
      <c r="S95" s="1124">
        <f t="shared" si="88"/>
        <v>0</v>
      </c>
      <c r="T95" s="1124">
        <f t="shared" si="88"/>
        <v>0</v>
      </c>
      <c r="U95" s="1124">
        <f t="shared" si="88"/>
        <v>0</v>
      </c>
      <c r="V95" s="1124">
        <f t="shared" si="88"/>
        <v>0</v>
      </c>
      <c r="W95" s="1124">
        <f t="shared" si="88"/>
        <v>0</v>
      </c>
      <c r="X95" s="1124">
        <f t="shared" si="88"/>
        <v>0</v>
      </c>
      <c r="Y95" s="1124">
        <f t="shared" si="88"/>
        <v>0</v>
      </c>
      <c r="Z95" s="1124">
        <f t="shared" si="88"/>
        <v>0</v>
      </c>
      <c r="AA95" s="1124">
        <f t="shared" si="88"/>
        <v>0</v>
      </c>
      <c r="AB95" s="1124">
        <f t="shared" si="88"/>
        <v>0</v>
      </c>
      <c r="AC95" s="1124">
        <f t="shared" si="88"/>
        <v>0</v>
      </c>
      <c r="AD95" s="1124">
        <f t="shared" si="88"/>
        <v>0</v>
      </c>
      <c r="AE95" s="1124">
        <f t="shared" si="88"/>
        <v>0</v>
      </c>
      <c r="AF95" s="1124">
        <f t="shared" si="88"/>
        <v>0</v>
      </c>
      <c r="AG95" s="1124">
        <f t="shared" si="88"/>
        <v>0</v>
      </c>
      <c r="AH95" s="1124">
        <f t="shared" si="88"/>
        <v>0</v>
      </c>
      <c r="AI95" s="1124">
        <f t="shared" si="88"/>
        <v>0</v>
      </c>
      <c r="AJ95" s="1124">
        <f t="shared" si="88"/>
        <v>0</v>
      </c>
      <c r="AK95" s="1124">
        <f t="shared" si="88"/>
        <v>0</v>
      </c>
      <c r="AL95" s="1124">
        <f t="shared" si="88"/>
        <v>0</v>
      </c>
      <c r="AM95" s="1124">
        <f t="shared" si="88"/>
        <v>0</v>
      </c>
      <c r="AN95" s="1124">
        <f t="shared" si="88"/>
        <v>0</v>
      </c>
      <c r="AO95" s="1124">
        <f t="shared" si="88"/>
        <v>0</v>
      </c>
      <c r="AP95" s="1124">
        <f t="shared" si="88"/>
        <v>0</v>
      </c>
      <c r="AQ95" s="1124">
        <f t="shared" si="88"/>
        <v>0</v>
      </c>
      <c r="AR95" s="1124">
        <f t="shared" si="88"/>
        <v>0</v>
      </c>
      <c r="AS95" s="1124">
        <f t="shared" si="88"/>
        <v>0</v>
      </c>
      <c r="AT95" s="3"/>
      <c r="AU95" s="29">
        <f>+Details!E95</f>
        <v>0</v>
      </c>
      <c r="AV95" s="81">
        <f t="shared" si="86"/>
        <v>0</v>
      </c>
      <c r="AW95" s="191"/>
      <c r="AY95" s="31">
        <f>+Details!F95-Base!F95</f>
        <v>0</v>
      </c>
      <c r="AZ95" s="1124">
        <f>+Details!G95-Base!G95</f>
        <v>0</v>
      </c>
      <c r="BA95" s="1124">
        <f>+Details!H95-Base!H95</f>
        <v>0</v>
      </c>
      <c r="BB95" s="1124">
        <f>+Details!I95-Base!I95</f>
        <v>0</v>
      </c>
      <c r="BC95" s="1124">
        <f>+Details!J95-Base!J95</f>
        <v>0</v>
      </c>
      <c r="BD95" s="1124">
        <f>+Details!K95-Base!K95</f>
        <v>0</v>
      </c>
      <c r="BE95" s="1124">
        <f>+Details!L95-Base!L95</f>
        <v>0</v>
      </c>
      <c r="BF95" s="1124">
        <f>+Details!M95-Base!M95</f>
        <v>0</v>
      </c>
      <c r="BG95" s="1124">
        <f>+Details!N95-Base!N95</f>
        <v>0</v>
      </c>
      <c r="BH95" s="1124">
        <f>+Details!O95-Base!O95</f>
        <v>0</v>
      </c>
      <c r="BI95" s="1124">
        <f>+Details!P95-Base!P95</f>
        <v>0</v>
      </c>
      <c r="BJ95" s="1124">
        <f>+Details!Q95-Base!Q95</f>
        <v>0</v>
      </c>
      <c r="BK95" s="1124">
        <f>+Details!R95-Base!R95</f>
        <v>0</v>
      </c>
      <c r="BL95" s="1124">
        <f>+Details!S95-Base!S95</f>
        <v>0</v>
      </c>
      <c r="BM95" s="1124">
        <f>+Details!T95-Base!T95</f>
        <v>0</v>
      </c>
      <c r="BN95" s="1124">
        <f>+Details!U95-Base!U95</f>
        <v>0</v>
      </c>
      <c r="BO95" s="1124">
        <f>+Details!V95-Base!V95</f>
        <v>0</v>
      </c>
      <c r="BP95" s="1124">
        <f>+Details!W95-Base!W95</f>
        <v>0</v>
      </c>
      <c r="BQ95" s="1124">
        <f>+Details!X95-Base!X95</f>
        <v>0</v>
      </c>
      <c r="BR95" s="1124">
        <f>+Details!Y95-Base!Y95</f>
        <v>0</v>
      </c>
      <c r="BS95" s="1124">
        <f>+Details!Z95-Base!Z95</f>
        <v>0</v>
      </c>
      <c r="BT95" s="1124">
        <f>+Details!AA95-Base!AA95</f>
        <v>0</v>
      </c>
      <c r="BU95" s="1124">
        <f>+Details!AB95-Base!AB95</f>
        <v>0</v>
      </c>
      <c r="BV95" s="1124">
        <f>+Details!AC95-Base!AC95</f>
        <v>0</v>
      </c>
      <c r="BW95" s="1124">
        <f>+Details!AD95-Base!AD95</f>
        <v>0</v>
      </c>
      <c r="BX95" s="1124">
        <f>+Details!AE95-Base!AE95</f>
        <v>0</v>
      </c>
      <c r="BY95" s="1124">
        <f>+Details!AF95-Base!AF95</f>
        <v>0</v>
      </c>
      <c r="BZ95" s="1124">
        <f>+Details!AG95-Base!AG95</f>
        <v>0</v>
      </c>
      <c r="CA95" s="1124">
        <f>+Details!AH95-Base!AH95</f>
        <v>0</v>
      </c>
      <c r="CB95" s="1124">
        <f>+Details!AI95-Base!AI95</f>
        <v>0</v>
      </c>
      <c r="CC95" s="1124">
        <f>+Details!AJ95-Base!AJ95</f>
        <v>0</v>
      </c>
      <c r="CD95" s="1124">
        <f>+Details!AK95-Base!AK95</f>
        <v>0</v>
      </c>
      <c r="CE95" s="1124">
        <f>+Details!AL95-Base!AL95</f>
        <v>0</v>
      </c>
      <c r="CF95" s="1124">
        <f>+Details!AM95-Base!AM95</f>
        <v>0</v>
      </c>
      <c r="CG95" s="1124">
        <f>+Details!AN95-Base!AN95</f>
        <v>0</v>
      </c>
      <c r="CH95" s="1124">
        <f>+Details!AO95-Base!AO95</f>
        <v>0</v>
      </c>
      <c r="CI95" s="1124">
        <f>+Details!AP95-Base!AP95</f>
        <v>0</v>
      </c>
      <c r="CJ95" s="1124">
        <f>+Details!AQ95-Base!AQ95</f>
        <v>0</v>
      </c>
      <c r="CK95" s="1124">
        <f>+Details!AR95-Base!AR95</f>
        <v>0</v>
      </c>
      <c r="CL95" s="1124">
        <f>+Details!AS95-Base!AS95</f>
        <v>0</v>
      </c>
      <c r="CM95" s="81"/>
    </row>
    <row r="96" spans="1:91" ht="15.6">
      <c r="B96" s="1764" t="s">
        <v>1276</v>
      </c>
      <c r="C96" s="437"/>
      <c r="E96" s="65">
        <f t="shared" si="73"/>
        <v>0</v>
      </c>
      <c r="F96" s="102">
        <f t="shared" ref="F96:AS96" si="89">IF(SPIA_From="i",IF(SPIA_Age=F$4,-SPIA_Amt,0),0)*IF(SPIA_Amt&gt;F9,0,1)</f>
        <v>0</v>
      </c>
      <c r="G96" s="1124">
        <f t="shared" si="89"/>
        <v>0</v>
      </c>
      <c r="H96" s="1124">
        <f t="shared" si="89"/>
        <v>0</v>
      </c>
      <c r="I96" s="1124">
        <f t="shared" si="89"/>
        <v>0</v>
      </c>
      <c r="J96" s="1124">
        <f t="shared" si="89"/>
        <v>0</v>
      </c>
      <c r="K96" s="1124">
        <f t="shared" si="89"/>
        <v>0</v>
      </c>
      <c r="L96" s="1124">
        <f t="shared" si="89"/>
        <v>0</v>
      </c>
      <c r="M96" s="1124">
        <f t="shared" si="89"/>
        <v>0</v>
      </c>
      <c r="N96" s="1124">
        <f t="shared" si="89"/>
        <v>0</v>
      </c>
      <c r="O96" s="1124">
        <f t="shared" si="89"/>
        <v>0</v>
      </c>
      <c r="P96" s="1124">
        <f t="shared" si="89"/>
        <v>0</v>
      </c>
      <c r="Q96" s="1124">
        <f t="shared" si="89"/>
        <v>0</v>
      </c>
      <c r="R96" s="1124">
        <f t="shared" si="89"/>
        <v>0</v>
      </c>
      <c r="S96" s="1124">
        <f t="shared" si="89"/>
        <v>0</v>
      </c>
      <c r="T96" s="1124">
        <f t="shared" si="89"/>
        <v>0</v>
      </c>
      <c r="U96" s="1124">
        <f t="shared" si="89"/>
        <v>0</v>
      </c>
      <c r="V96" s="1124">
        <f t="shared" si="89"/>
        <v>0</v>
      </c>
      <c r="W96" s="1124">
        <f t="shared" si="89"/>
        <v>0</v>
      </c>
      <c r="X96" s="1124">
        <f t="shared" si="89"/>
        <v>0</v>
      </c>
      <c r="Y96" s="1124">
        <f t="shared" si="89"/>
        <v>0</v>
      </c>
      <c r="Z96" s="1124">
        <f t="shared" si="89"/>
        <v>0</v>
      </c>
      <c r="AA96" s="1124">
        <f t="shared" si="89"/>
        <v>0</v>
      </c>
      <c r="AB96" s="1124">
        <f t="shared" si="89"/>
        <v>0</v>
      </c>
      <c r="AC96" s="1124">
        <f t="shared" si="89"/>
        <v>0</v>
      </c>
      <c r="AD96" s="1124">
        <f t="shared" si="89"/>
        <v>0</v>
      </c>
      <c r="AE96" s="1124">
        <f t="shared" si="89"/>
        <v>0</v>
      </c>
      <c r="AF96" s="1124">
        <f t="shared" si="89"/>
        <v>0</v>
      </c>
      <c r="AG96" s="1124">
        <f t="shared" si="89"/>
        <v>0</v>
      </c>
      <c r="AH96" s="1124">
        <f t="shared" si="89"/>
        <v>0</v>
      </c>
      <c r="AI96" s="1124">
        <f t="shared" si="89"/>
        <v>0</v>
      </c>
      <c r="AJ96" s="1124">
        <f t="shared" si="89"/>
        <v>0</v>
      </c>
      <c r="AK96" s="1124">
        <f t="shared" si="89"/>
        <v>0</v>
      </c>
      <c r="AL96" s="1124">
        <f t="shared" si="89"/>
        <v>0</v>
      </c>
      <c r="AM96" s="1124">
        <f t="shared" si="89"/>
        <v>0</v>
      </c>
      <c r="AN96" s="1124">
        <f t="shared" si="89"/>
        <v>0</v>
      </c>
      <c r="AO96" s="1124">
        <f t="shared" si="89"/>
        <v>0</v>
      </c>
      <c r="AP96" s="1124">
        <f t="shared" si="89"/>
        <v>0</v>
      </c>
      <c r="AQ96" s="1124">
        <f t="shared" si="89"/>
        <v>0</v>
      </c>
      <c r="AR96" s="1124">
        <f t="shared" si="89"/>
        <v>0</v>
      </c>
      <c r="AS96" s="1124">
        <f t="shared" si="89"/>
        <v>0</v>
      </c>
      <c r="AT96" s="3"/>
      <c r="AU96" s="29">
        <f>+Details!E96</f>
        <v>0</v>
      </c>
      <c r="AV96" s="81">
        <f t="shared" si="86"/>
        <v>0</v>
      </c>
      <c r="AW96" s="191"/>
      <c r="AY96" s="31">
        <f>+Details!F96-Base!F96</f>
        <v>0</v>
      </c>
      <c r="AZ96" s="1124">
        <f>+Details!G96-Base!G96</f>
        <v>0</v>
      </c>
      <c r="BA96" s="1124">
        <f>+Details!H96-Base!H96</f>
        <v>0</v>
      </c>
      <c r="BB96" s="1124">
        <f>+Details!I96-Base!I96</f>
        <v>0</v>
      </c>
      <c r="BC96" s="1124">
        <f>+Details!J96-Base!J96</f>
        <v>0</v>
      </c>
      <c r="BD96" s="1124">
        <f>+Details!K96-Base!K96</f>
        <v>0</v>
      </c>
      <c r="BE96" s="1124">
        <f>+Details!L96-Base!L96</f>
        <v>0</v>
      </c>
      <c r="BF96" s="1124">
        <f>+Details!M96-Base!M96</f>
        <v>0</v>
      </c>
      <c r="BG96" s="1124">
        <f>+Details!N96-Base!N96</f>
        <v>0</v>
      </c>
      <c r="BH96" s="1124">
        <f>+Details!O96-Base!O96</f>
        <v>0</v>
      </c>
      <c r="BI96" s="1124">
        <f>+Details!P96-Base!P96</f>
        <v>0</v>
      </c>
      <c r="BJ96" s="1124">
        <f>+Details!Q96-Base!Q96</f>
        <v>0</v>
      </c>
      <c r="BK96" s="1124">
        <f>+Details!R96-Base!R96</f>
        <v>0</v>
      </c>
      <c r="BL96" s="1124">
        <f>+Details!S96-Base!S96</f>
        <v>0</v>
      </c>
      <c r="BM96" s="1124">
        <f>+Details!T96-Base!T96</f>
        <v>0</v>
      </c>
      <c r="BN96" s="1124">
        <f>+Details!U96-Base!U96</f>
        <v>0</v>
      </c>
      <c r="BO96" s="1124">
        <f>+Details!V96-Base!V96</f>
        <v>0</v>
      </c>
      <c r="BP96" s="1124">
        <f>+Details!W96-Base!W96</f>
        <v>0</v>
      </c>
      <c r="BQ96" s="1124">
        <f>+Details!X96-Base!X96</f>
        <v>0</v>
      </c>
      <c r="BR96" s="1124">
        <f>+Details!Y96-Base!Y96</f>
        <v>0</v>
      </c>
      <c r="BS96" s="1124">
        <f>+Details!Z96-Base!Z96</f>
        <v>0</v>
      </c>
      <c r="BT96" s="1124">
        <f>+Details!AA96-Base!AA96</f>
        <v>0</v>
      </c>
      <c r="BU96" s="1124">
        <f>+Details!AB96-Base!AB96</f>
        <v>0</v>
      </c>
      <c r="BV96" s="1124">
        <f>+Details!AC96-Base!AC96</f>
        <v>0</v>
      </c>
      <c r="BW96" s="1124">
        <f>+Details!AD96-Base!AD96</f>
        <v>0</v>
      </c>
      <c r="BX96" s="1124">
        <f>+Details!AE96-Base!AE96</f>
        <v>0</v>
      </c>
      <c r="BY96" s="1124">
        <f>+Details!AF96-Base!AF96</f>
        <v>0</v>
      </c>
      <c r="BZ96" s="1124">
        <f>+Details!AG96-Base!AG96</f>
        <v>0</v>
      </c>
      <c r="CA96" s="1124">
        <f>+Details!AH96-Base!AH96</f>
        <v>0</v>
      </c>
      <c r="CB96" s="1124">
        <f>+Details!AI96-Base!AI96</f>
        <v>0</v>
      </c>
      <c r="CC96" s="1124">
        <f>+Details!AJ96-Base!AJ96</f>
        <v>0</v>
      </c>
      <c r="CD96" s="1124">
        <f>+Details!AK96-Base!AK96</f>
        <v>0</v>
      </c>
      <c r="CE96" s="1124">
        <f>+Details!AL96-Base!AL96</f>
        <v>0</v>
      </c>
      <c r="CF96" s="1124">
        <f>+Details!AM96-Base!AM96</f>
        <v>0</v>
      </c>
      <c r="CG96" s="1124">
        <f>+Details!AN96-Base!AN96</f>
        <v>0</v>
      </c>
      <c r="CH96" s="1124">
        <f>+Details!AO96-Base!AO96</f>
        <v>0</v>
      </c>
      <c r="CI96" s="1124">
        <f>+Details!AP96-Base!AP96</f>
        <v>0</v>
      </c>
      <c r="CJ96" s="1124">
        <f>+Details!AQ96-Base!AQ96</f>
        <v>0</v>
      </c>
      <c r="CK96" s="1124">
        <f>+Details!AR96-Base!AR96</f>
        <v>0</v>
      </c>
      <c r="CL96" s="1124">
        <f>+Details!AS96-Base!AS96</f>
        <v>0</v>
      </c>
      <c r="CM96" s="81"/>
    </row>
    <row r="97" spans="1:91" ht="10.199999999999999" customHeight="1">
      <c r="B97" s="1764"/>
      <c r="C97" s="437"/>
      <c r="E97" s="65"/>
      <c r="F97" s="102"/>
      <c r="G97" s="1124"/>
      <c r="H97" s="1124"/>
      <c r="I97" s="1124"/>
      <c r="J97" s="1124"/>
      <c r="K97" s="1124"/>
      <c r="L97" s="1124"/>
      <c r="M97" s="1124"/>
      <c r="N97" s="1124"/>
      <c r="O97" s="1124"/>
      <c r="P97" s="1124"/>
      <c r="Q97" s="1124"/>
      <c r="R97" s="1124"/>
      <c r="S97" s="1124"/>
      <c r="T97" s="1124"/>
      <c r="U97" s="1124"/>
      <c r="V97" s="1124"/>
      <c r="W97" s="1124"/>
      <c r="X97" s="1124"/>
      <c r="Y97" s="1124"/>
      <c r="Z97" s="1124"/>
      <c r="AA97" s="1124"/>
      <c r="AB97" s="1124"/>
      <c r="AC97" s="1124"/>
      <c r="AD97" s="1124"/>
      <c r="AE97" s="1124"/>
      <c r="AF97" s="1124"/>
      <c r="AG97" s="1124"/>
      <c r="AH97" s="1124"/>
      <c r="AI97" s="1124"/>
      <c r="AJ97" s="1124"/>
      <c r="AK97" s="1124"/>
      <c r="AL97" s="1124"/>
      <c r="AM97" s="1124"/>
      <c r="AN97" s="1124"/>
      <c r="AO97" s="1124"/>
      <c r="AP97" s="1124"/>
      <c r="AQ97" s="1124"/>
      <c r="AR97" s="1124"/>
      <c r="AS97" s="1124"/>
      <c r="AT97" s="3"/>
      <c r="AU97" s="29"/>
      <c r="AV97" s="81"/>
      <c r="AW97" s="191"/>
      <c r="AY97" s="31"/>
      <c r="AZ97" s="1124"/>
      <c r="BA97" s="1124"/>
      <c r="BB97" s="1124"/>
      <c r="BC97" s="1124"/>
      <c r="BD97" s="1124"/>
      <c r="BE97" s="1124"/>
      <c r="BF97" s="1124"/>
      <c r="BG97" s="1124"/>
      <c r="BH97" s="1124"/>
      <c r="BI97" s="1124"/>
      <c r="BJ97" s="1124"/>
      <c r="BK97" s="1124"/>
      <c r="BL97" s="1124"/>
      <c r="BM97" s="1124"/>
      <c r="BN97" s="1124"/>
      <c r="BO97" s="1124"/>
      <c r="BP97" s="1124"/>
      <c r="BQ97" s="1124"/>
      <c r="BR97" s="1124"/>
      <c r="BS97" s="1124"/>
      <c r="BT97" s="1124"/>
      <c r="BU97" s="1124"/>
      <c r="BV97" s="1124"/>
      <c r="BW97" s="1124"/>
      <c r="BX97" s="1124"/>
      <c r="BY97" s="1124"/>
      <c r="BZ97" s="1124"/>
      <c r="CA97" s="1124"/>
      <c r="CB97" s="1124"/>
      <c r="CC97" s="1124"/>
      <c r="CD97" s="1124"/>
      <c r="CE97" s="1124"/>
      <c r="CF97" s="1124"/>
      <c r="CG97" s="1124"/>
      <c r="CH97" s="1124"/>
      <c r="CI97" s="1124"/>
      <c r="CJ97" s="1124"/>
      <c r="CK97" s="1124"/>
      <c r="CL97" s="1124"/>
      <c r="CM97" s="81"/>
    </row>
    <row r="98" spans="1:91" ht="19.95" customHeight="1">
      <c r="A98" s="1430"/>
      <c r="B98" s="1764" t="s">
        <v>1816</v>
      </c>
      <c r="C98" s="1003" t="str">
        <f>tIRA2_Start &amp; "-" &amp; tIRA2_End</f>
        <v>62-70</v>
      </c>
      <c r="D98" s="1133">
        <f>tIRA2_Esc</f>
        <v>0</v>
      </c>
      <c r="E98" s="65">
        <f t="shared" si="73"/>
        <v>58500</v>
      </c>
      <c r="F98" s="102">
        <f>+Details!F98</f>
        <v>6500</v>
      </c>
      <c r="G98" s="1124">
        <f>+Details!G98</f>
        <v>6500</v>
      </c>
      <c r="H98" s="1124">
        <f>+Details!H98</f>
        <v>6500</v>
      </c>
      <c r="I98" s="1124">
        <f>+Details!I98</f>
        <v>6500</v>
      </c>
      <c r="J98" s="1124">
        <f>+Details!J98</f>
        <v>6500</v>
      </c>
      <c r="K98" s="1124">
        <f>+Details!K98</f>
        <v>6500</v>
      </c>
      <c r="L98" s="1124">
        <f>+Details!L98</f>
        <v>6500</v>
      </c>
      <c r="M98" s="1124">
        <f>+Details!M98</f>
        <v>6500</v>
      </c>
      <c r="N98" s="1124">
        <f>+Details!N98</f>
        <v>6500</v>
      </c>
      <c r="O98" s="1124">
        <f>+Details!O98</f>
        <v>0</v>
      </c>
      <c r="P98" s="1124">
        <f>+Details!P98</f>
        <v>0</v>
      </c>
      <c r="Q98" s="1124">
        <f>+Details!Q98</f>
        <v>0</v>
      </c>
      <c r="R98" s="1124">
        <f>+Details!R98</f>
        <v>0</v>
      </c>
      <c r="S98" s="1124">
        <f>+Details!S98</f>
        <v>0</v>
      </c>
      <c r="T98" s="1124">
        <f>+Details!T98</f>
        <v>0</v>
      </c>
      <c r="U98" s="1124">
        <f>+Details!U98</f>
        <v>0</v>
      </c>
      <c r="V98" s="1124">
        <f>+Details!V98</f>
        <v>0</v>
      </c>
      <c r="W98" s="1124">
        <f>+Details!W98</f>
        <v>0</v>
      </c>
      <c r="X98" s="1124">
        <f>+Details!X98</f>
        <v>0</v>
      </c>
      <c r="Y98" s="1124">
        <f>+Details!Y98</f>
        <v>0</v>
      </c>
      <c r="Z98" s="1124">
        <f>+Details!Z98</f>
        <v>0</v>
      </c>
      <c r="AA98" s="1124">
        <f>+Details!AA98</f>
        <v>0</v>
      </c>
      <c r="AB98" s="1124">
        <f>+Details!AB98</f>
        <v>0</v>
      </c>
      <c r="AC98" s="1124">
        <f>+Details!AC98</f>
        <v>0</v>
      </c>
      <c r="AD98" s="1124">
        <f>+Details!AD98</f>
        <v>0</v>
      </c>
      <c r="AE98" s="1124">
        <f>+Details!AE98</f>
        <v>0</v>
      </c>
      <c r="AF98" s="1124">
        <f>+Details!AF98</f>
        <v>0</v>
      </c>
      <c r="AG98" s="1124">
        <f>+Details!AG98</f>
        <v>0</v>
      </c>
      <c r="AH98" s="1124">
        <f>+Details!AH98</f>
        <v>0</v>
      </c>
      <c r="AI98" s="1124">
        <f>+Details!AI98</f>
        <v>0</v>
      </c>
      <c r="AJ98" s="1124">
        <f>+Details!AJ98</f>
        <v>0</v>
      </c>
      <c r="AK98" s="1124">
        <f>+Details!AK98</f>
        <v>0</v>
      </c>
      <c r="AL98" s="1124">
        <f>+Details!AL98</f>
        <v>0</v>
      </c>
      <c r="AM98" s="1124">
        <f>+Details!AM98</f>
        <v>0</v>
      </c>
      <c r="AN98" s="1124">
        <f>+Details!AN98</f>
        <v>0</v>
      </c>
      <c r="AO98" s="1124">
        <f>+Details!AO98</f>
        <v>0</v>
      </c>
      <c r="AP98" s="1124">
        <f>+Details!AP98</f>
        <v>0</v>
      </c>
      <c r="AQ98" s="1124">
        <f>+Details!AQ98</f>
        <v>0</v>
      </c>
      <c r="AR98" s="1124">
        <f>+Details!AR98</f>
        <v>0</v>
      </c>
      <c r="AS98" s="1124">
        <f>+Details!AS98</f>
        <v>0</v>
      </c>
      <c r="AT98" s="3"/>
      <c r="AU98" s="29">
        <f>+Details!E98</f>
        <v>58500</v>
      </c>
      <c r="AV98" s="81">
        <f>+E98-AU98</f>
        <v>0</v>
      </c>
      <c r="AW98" s="191"/>
      <c r="AY98" s="31">
        <f>+Details!F98-Base!F98</f>
        <v>0</v>
      </c>
      <c r="AZ98" s="1124">
        <f>+Details!G98-Base!G98</f>
        <v>0</v>
      </c>
      <c r="BA98" s="1124">
        <f>+Details!H98-Base!H98</f>
        <v>0</v>
      </c>
      <c r="BB98" s="1124">
        <f>+Details!I98-Base!I98</f>
        <v>0</v>
      </c>
      <c r="BC98" s="1124">
        <f>+Details!J98-Base!J98</f>
        <v>0</v>
      </c>
      <c r="BD98" s="1124">
        <f>+Details!K98-Base!K98</f>
        <v>0</v>
      </c>
      <c r="BE98" s="1124">
        <f>+Details!L98-Base!L98</f>
        <v>0</v>
      </c>
      <c r="BF98" s="1124">
        <f>+Details!M98-Base!M98</f>
        <v>0</v>
      </c>
      <c r="BG98" s="1124">
        <f>+Details!N98-Base!N98</f>
        <v>0</v>
      </c>
      <c r="BH98" s="1124">
        <f>+Details!O98-Base!O98</f>
        <v>0</v>
      </c>
      <c r="BI98" s="1124">
        <f>+Details!P98-Base!P98</f>
        <v>0</v>
      </c>
      <c r="BJ98" s="1124">
        <f>+Details!Q98-Base!Q98</f>
        <v>0</v>
      </c>
      <c r="BK98" s="1124">
        <f>+Details!R98-Base!R98</f>
        <v>0</v>
      </c>
      <c r="BL98" s="1124">
        <f>+Details!S98-Base!S98</f>
        <v>0</v>
      </c>
      <c r="BM98" s="1124">
        <f>+Details!T98-Base!T98</f>
        <v>0</v>
      </c>
      <c r="BN98" s="1124">
        <f>+Details!U98-Base!U98</f>
        <v>0</v>
      </c>
      <c r="BO98" s="1124">
        <f>+Details!V98-Base!V98</f>
        <v>0</v>
      </c>
      <c r="BP98" s="1124">
        <f>+Details!W98-Base!W98</f>
        <v>0</v>
      </c>
      <c r="BQ98" s="1124">
        <f>+Details!X98-Base!X98</f>
        <v>0</v>
      </c>
      <c r="BR98" s="1124">
        <f>+Details!Y98-Base!Y98</f>
        <v>0</v>
      </c>
      <c r="BS98" s="1124">
        <f>+Details!Z98-Base!Z98</f>
        <v>0</v>
      </c>
      <c r="BT98" s="1124">
        <f>+Details!AA98-Base!AA98</f>
        <v>0</v>
      </c>
      <c r="BU98" s="1124">
        <f>+Details!AB98-Base!AB98</f>
        <v>0</v>
      </c>
      <c r="BV98" s="1124">
        <f>+Details!AC98-Base!AC98</f>
        <v>0</v>
      </c>
      <c r="BW98" s="1124">
        <f>+Details!AD98-Base!AD98</f>
        <v>0</v>
      </c>
      <c r="BX98" s="1124">
        <f>+Details!AE98-Base!AE98</f>
        <v>0</v>
      </c>
      <c r="BY98" s="1124">
        <f>+Details!AF98-Base!AF98</f>
        <v>0</v>
      </c>
      <c r="BZ98" s="1124">
        <f>+Details!AG98-Base!AG98</f>
        <v>0</v>
      </c>
      <c r="CA98" s="1124">
        <f>+Details!AH98-Base!AH98</f>
        <v>0</v>
      </c>
      <c r="CB98" s="1124">
        <f>+Details!AI98-Base!AI98</f>
        <v>0</v>
      </c>
      <c r="CC98" s="1124">
        <f>+Details!AJ98-Base!AJ98</f>
        <v>0</v>
      </c>
      <c r="CD98" s="1124">
        <f>+Details!AK98-Base!AK98</f>
        <v>0</v>
      </c>
      <c r="CE98" s="1124">
        <f>+Details!AL98-Base!AL98</f>
        <v>0</v>
      </c>
      <c r="CF98" s="1124">
        <f>+Details!AM98-Base!AM98</f>
        <v>0</v>
      </c>
      <c r="CG98" s="1124">
        <f>+Details!AN98-Base!AN98</f>
        <v>0</v>
      </c>
      <c r="CH98" s="1124">
        <f>+Details!AO98-Base!AO98</f>
        <v>0</v>
      </c>
      <c r="CI98" s="1124">
        <f>+Details!AP98-Base!AP98</f>
        <v>0</v>
      </c>
      <c r="CJ98" s="1124">
        <f>+Details!AQ98-Base!AQ98</f>
        <v>0</v>
      </c>
      <c r="CK98" s="1124">
        <f>+Details!AR98-Base!AR98</f>
        <v>0</v>
      </c>
      <c r="CL98" s="1124">
        <f>+Details!AS98-Base!AS98</f>
        <v>0</v>
      </c>
      <c r="CM98" s="81"/>
    </row>
    <row r="99" spans="1:91" s="3" customFormat="1">
      <c r="A99" s="1430"/>
      <c r="B99" s="1765" t="s">
        <v>2242</v>
      </c>
      <c r="C99" s="1003" t="str">
        <f>IF(tIRA_Withdr_Base3&lt;&gt;0,"Differs from Full","Same as Full")</f>
        <v>Same as Full</v>
      </c>
      <c r="D99" s="1003" t="str">
        <f>IF(AV99&lt;&gt;0,"Differs: " &amp; Start_Compare3 &amp; "-" &amp; End_Compare3,"Same: " &amp; Start_Compare3 &amp; "-" &amp; End_Compare3)</f>
        <v>Same: -</v>
      </c>
      <c r="E99" s="65">
        <f t="shared" si="73"/>
        <v>0</v>
      </c>
      <c r="F99" s="1287">
        <f>ROUND(IF(AND(tIRA_Begin2&gt;0,Start_Base3&lt;=F$4),-tIRA_Withdr_Compare3-tIRA_Withdr_Base3,0)/Round_To,0)*Round_To</f>
        <v>0</v>
      </c>
      <c r="G99" s="1124">
        <f t="shared" ref="G99:AS99" si="90">ROUND(IF(F99&lt;0,IF(-G327&gt;+F99*(1+Esc_Base3),-G327,+F99*(1+Esc_Base3)),IF(Start_Base3&lt;=G$4,IF(-G327&gt;-tIRA_Withdr_Compare3-tIRA_Withdr_Base3,-G327,-tIRA_Withdr_Compare3-tIRA_Withdr_Base3),0))/Round_To,0)*Round_To</f>
        <v>0</v>
      </c>
      <c r="H99" s="1124">
        <f t="shared" si="90"/>
        <v>0</v>
      </c>
      <c r="I99" s="1124">
        <f t="shared" si="90"/>
        <v>0</v>
      </c>
      <c r="J99" s="1124">
        <f t="shared" si="90"/>
        <v>0</v>
      </c>
      <c r="K99" s="1124">
        <f t="shared" si="90"/>
        <v>0</v>
      </c>
      <c r="L99" s="1124">
        <f t="shared" si="90"/>
        <v>0</v>
      </c>
      <c r="M99" s="1124">
        <f t="shared" si="90"/>
        <v>0</v>
      </c>
      <c r="N99" s="1124">
        <f t="shared" si="90"/>
        <v>0</v>
      </c>
      <c r="O99" s="1124">
        <f t="shared" si="90"/>
        <v>0</v>
      </c>
      <c r="P99" s="1124">
        <f t="shared" si="90"/>
        <v>0</v>
      </c>
      <c r="Q99" s="1124">
        <f t="shared" si="90"/>
        <v>0</v>
      </c>
      <c r="R99" s="1124">
        <f t="shared" si="90"/>
        <v>0</v>
      </c>
      <c r="S99" s="1124">
        <f t="shared" si="90"/>
        <v>0</v>
      </c>
      <c r="T99" s="1124">
        <f t="shared" si="90"/>
        <v>0</v>
      </c>
      <c r="U99" s="1124">
        <f t="shared" si="90"/>
        <v>0</v>
      </c>
      <c r="V99" s="1124">
        <f t="shared" si="90"/>
        <v>0</v>
      </c>
      <c r="W99" s="1124">
        <f t="shared" si="90"/>
        <v>0</v>
      </c>
      <c r="X99" s="1124">
        <f t="shared" si="90"/>
        <v>0</v>
      </c>
      <c r="Y99" s="1124">
        <f t="shared" si="90"/>
        <v>0</v>
      </c>
      <c r="Z99" s="1124">
        <f t="shared" si="90"/>
        <v>0</v>
      </c>
      <c r="AA99" s="1124">
        <f t="shared" si="90"/>
        <v>0</v>
      </c>
      <c r="AB99" s="1124">
        <f t="shared" si="90"/>
        <v>0</v>
      </c>
      <c r="AC99" s="1124">
        <f t="shared" si="90"/>
        <v>0</v>
      </c>
      <c r="AD99" s="1124">
        <f t="shared" si="90"/>
        <v>0</v>
      </c>
      <c r="AE99" s="1124">
        <f t="shared" si="90"/>
        <v>0</v>
      </c>
      <c r="AF99" s="1124">
        <f t="shared" si="90"/>
        <v>0</v>
      </c>
      <c r="AG99" s="1124">
        <f t="shared" si="90"/>
        <v>0</v>
      </c>
      <c r="AH99" s="1124">
        <f t="shared" si="90"/>
        <v>0</v>
      </c>
      <c r="AI99" s="1124">
        <f t="shared" si="90"/>
        <v>0</v>
      </c>
      <c r="AJ99" s="1124">
        <f t="shared" si="90"/>
        <v>0</v>
      </c>
      <c r="AK99" s="1124">
        <f t="shared" si="90"/>
        <v>0</v>
      </c>
      <c r="AL99" s="1124">
        <f t="shared" si="90"/>
        <v>0</v>
      </c>
      <c r="AM99" s="1124">
        <f t="shared" si="90"/>
        <v>0</v>
      </c>
      <c r="AN99" s="1124">
        <f t="shared" si="90"/>
        <v>0</v>
      </c>
      <c r="AO99" s="1124">
        <f t="shared" si="90"/>
        <v>0</v>
      </c>
      <c r="AP99" s="1124">
        <f t="shared" si="90"/>
        <v>0</v>
      </c>
      <c r="AQ99" s="1124">
        <f t="shared" si="90"/>
        <v>0</v>
      </c>
      <c r="AR99" s="1124">
        <f t="shared" si="90"/>
        <v>0</v>
      </c>
      <c r="AS99" s="1124">
        <f t="shared" si="90"/>
        <v>0</v>
      </c>
      <c r="AU99" s="29">
        <f>+Details!E99</f>
        <v>0</v>
      </c>
      <c r="AV99" s="81">
        <f t="shared" si="86"/>
        <v>0</v>
      </c>
      <c r="AW99" s="191"/>
      <c r="AY99" s="31">
        <f>+Details!F99-Base!F99</f>
        <v>0</v>
      </c>
      <c r="AZ99" s="1124">
        <f>+Details!G99-Base!G99</f>
        <v>0</v>
      </c>
      <c r="BA99" s="1124">
        <f>+Details!H99-Base!H99</f>
        <v>0</v>
      </c>
      <c r="BB99" s="1124">
        <f>+Details!I99-Base!I99</f>
        <v>0</v>
      </c>
      <c r="BC99" s="1124">
        <f>+Details!J99-Base!J99</f>
        <v>0</v>
      </c>
      <c r="BD99" s="1124">
        <f>+Details!K99-Base!K99</f>
        <v>0</v>
      </c>
      <c r="BE99" s="1124">
        <f>+Details!L99-Base!L99</f>
        <v>0</v>
      </c>
      <c r="BF99" s="1124">
        <f>+Details!M99-Base!M99</f>
        <v>0</v>
      </c>
      <c r="BG99" s="1124">
        <f>+Details!N99-Base!N99</f>
        <v>0</v>
      </c>
      <c r="BH99" s="1124">
        <f>+Details!O99-Base!O99</f>
        <v>0</v>
      </c>
      <c r="BI99" s="1124">
        <f>+Details!P99-Base!P99</f>
        <v>0</v>
      </c>
      <c r="BJ99" s="1124">
        <f>+Details!Q99-Base!Q99</f>
        <v>0</v>
      </c>
      <c r="BK99" s="1124">
        <f>+Details!R99-Base!R99</f>
        <v>0</v>
      </c>
      <c r="BL99" s="1124">
        <f>+Details!S99-Base!S99</f>
        <v>0</v>
      </c>
      <c r="BM99" s="1124">
        <f>+Details!T99-Base!T99</f>
        <v>0</v>
      </c>
      <c r="BN99" s="1124">
        <f>+Details!U99-Base!U99</f>
        <v>0</v>
      </c>
      <c r="BO99" s="1124">
        <f>+Details!V99-Base!V99</f>
        <v>0</v>
      </c>
      <c r="BP99" s="1124">
        <f>+Details!W99-Base!W99</f>
        <v>0</v>
      </c>
      <c r="BQ99" s="1124">
        <f>+Details!X99-Base!X99</f>
        <v>0</v>
      </c>
      <c r="BR99" s="1124">
        <f>+Details!Y99-Base!Y99</f>
        <v>0</v>
      </c>
      <c r="BS99" s="1124">
        <f>+Details!Z99-Base!Z99</f>
        <v>0</v>
      </c>
      <c r="BT99" s="1124">
        <f>+Details!AA99-Base!AA99</f>
        <v>0</v>
      </c>
      <c r="BU99" s="1124">
        <f>+Details!AB99-Base!AB99</f>
        <v>0</v>
      </c>
      <c r="BV99" s="1124">
        <f>+Details!AC99-Base!AC99</f>
        <v>0</v>
      </c>
      <c r="BW99" s="1124">
        <f>+Details!AD99-Base!AD99</f>
        <v>0</v>
      </c>
      <c r="BX99" s="1124">
        <f>+Details!AE99-Base!AE99</f>
        <v>0</v>
      </c>
      <c r="BY99" s="1124">
        <f>+Details!AF99-Base!AF99</f>
        <v>0</v>
      </c>
      <c r="BZ99" s="1124">
        <f>+Details!AG99-Base!AG99</f>
        <v>0</v>
      </c>
      <c r="CA99" s="1124">
        <f>+Details!AH99-Base!AH99</f>
        <v>0</v>
      </c>
      <c r="CB99" s="1124">
        <f>+Details!AI99-Base!AI99</f>
        <v>0</v>
      </c>
      <c r="CC99" s="1124">
        <f>+Details!AJ99-Base!AJ99</f>
        <v>0</v>
      </c>
      <c r="CD99" s="1124">
        <f>+Details!AK99-Base!AK99</f>
        <v>0</v>
      </c>
      <c r="CE99" s="1124">
        <f>+Details!AL99-Base!AL99</f>
        <v>0</v>
      </c>
      <c r="CF99" s="1124">
        <f>+Details!AM99-Base!AM99</f>
        <v>0</v>
      </c>
      <c r="CG99" s="1124">
        <f>+Details!AN99-Base!AN99</f>
        <v>0</v>
      </c>
      <c r="CH99" s="1124">
        <f>+Details!AO99-Base!AO99</f>
        <v>0</v>
      </c>
      <c r="CI99" s="1124">
        <f>+Details!AP99-Base!AP99</f>
        <v>0</v>
      </c>
      <c r="CJ99" s="1124">
        <f>+Details!AQ99-Base!AQ99</f>
        <v>0</v>
      </c>
      <c r="CK99" s="1124">
        <f>+Details!AR99-Base!AR99</f>
        <v>0</v>
      </c>
      <c r="CL99" s="1124">
        <f>+Details!AS99-Base!AS99</f>
        <v>0</v>
      </c>
      <c r="CM99" s="81"/>
    </row>
    <row r="100" spans="1:91" s="3" customFormat="1" hidden="1">
      <c r="A100" s="1427" t="s">
        <v>1578</v>
      </c>
      <c r="B100" s="1765" t="s">
        <v>347</v>
      </c>
      <c r="C100" s="1003" t="str">
        <f>IF(IRA2_Owner="y","Yours:","Spouse:") &amp; " starting " &amp; IRA_RMD_Age2</f>
        <v>Spouse: starting 70</v>
      </c>
      <c r="D100" s="453" t="str">
        <f>"end at " &amp; IF(IRA2_Owner="y",Your_End,Spouse_End)</f>
        <v>end at 90</v>
      </c>
      <c r="E100" s="29">
        <f>SUM(F100:AS100)</f>
        <v>-530400</v>
      </c>
      <c r="F100" s="1287">
        <f>ROUND(IF(IRA_RMD_Age2=0,0,IF(IRA2_Owner="y",IF(IRA_RMD_Age2&lt;=F$4,-F10/VLOOKUP(F$4,'Tax Tables'!$G$338:$I$398,2),0),IF(IRA_RMD_Age2&lt;=F$5,-F10/VLOOKUP(F$5,'Tax Tables'!$G$338:$I$398,2),0)))/Round_To,0)*Round_To</f>
        <v>0</v>
      </c>
      <c r="G100" s="1124">
        <f>ROUND(IF(IRA_RMD_Age2=0,0,IF(OR(F10+F99+F102&lt;=0,IRA_RMD_Age2=0),0,IF(IRA2_Owner="y",IF(AND(IRA_RMD_Age2&lt;=G$4,Your_End&gt;=G$4),-G10/VLOOKUP(G$4,'Tax Tables'!$G$338:$I$398,2),0),IF(AND(IRA_RMD_Age2&lt;=G$5,Spouse_End&gt;=G$5),-G10/VLOOKUP(G$5,'Tax Tables'!$G$338:$I$398,2),0))))/Round_To,0)*Round_To</f>
        <v>0</v>
      </c>
      <c r="H100" s="1124">
        <f>ROUND(IF(IRA_RMD_Age2=0,0,IF(OR(G10+G99+G102&lt;=0,IRA_RMD_Age2=0),0,IF(IRA2_Owner="y",IF(AND(IRA_RMD_Age2&lt;=H$4,Your_End&gt;=H$4),-H10/VLOOKUP(H$4,'Tax Tables'!$G$338:$I$398,2),0),IF(AND(IRA_RMD_Age2&lt;=H$5,Spouse_End&gt;=H$5),-H10/VLOOKUP(H$5,'Tax Tables'!$G$338:$I$398,2),0))))/Round_To,0)*Round_To</f>
        <v>0</v>
      </c>
      <c r="I100" s="1124">
        <f>ROUND(IF(IRA_RMD_Age2=0,0,IF(OR(H10+H99+H102&lt;=0,IRA_RMD_Age2=0),0,IF(IRA2_Owner="y",IF(AND(IRA_RMD_Age2&lt;=I$4,Your_End&gt;=I$4),-I10/VLOOKUP(I$4,'Tax Tables'!$G$338:$I$398,2),0),IF(AND(IRA_RMD_Age2&lt;=I$5,Spouse_End&gt;=I$5),-I10/VLOOKUP(I$5,'Tax Tables'!$G$338:$I$398,2),0))))/Round_To,0)*Round_To</f>
        <v>0</v>
      </c>
      <c r="J100" s="1124">
        <f>ROUND(IF(IRA_RMD_Age2=0,0,IF(OR(I10+I99+I102&lt;=0,IRA_RMD_Age2=0),0,IF(IRA2_Owner="y",IF(AND(IRA_RMD_Age2&lt;=J$4,Your_End&gt;=J$4),-J10/VLOOKUP(J$4,'Tax Tables'!$G$338:$I$398,2),0),IF(AND(IRA_RMD_Age2&lt;=J$5,Spouse_End&gt;=J$5),-J10/VLOOKUP(J$5,'Tax Tables'!$G$338:$I$398,2),0))))/Round_To,0)*Round_To</f>
        <v>0</v>
      </c>
      <c r="K100" s="1124">
        <f>ROUND(IF(IRA_RMD_Age2=0,0,IF(OR(J10+J99+J102&lt;=0,IRA_RMD_Age2=0),0,IF(IRA2_Owner="y",IF(AND(IRA_RMD_Age2&lt;=K$4,Your_End&gt;=K$4),-K10/VLOOKUP(K$4,'Tax Tables'!$G$338:$I$398,2),0),IF(AND(IRA_RMD_Age2&lt;=K$5,Spouse_End&gt;=K$5),-K10/VLOOKUP(K$5,'Tax Tables'!$G$338:$I$398,2),0))))/Round_To,0)*Round_To</f>
        <v>0</v>
      </c>
      <c r="L100" s="1124">
        <f>ROUND(IF(IRA_RMD_Age2=0,0,IF(OR(K10+K99+K102&lt;=0,IRA_RMD_Age2=0),0,IF(IRA2_Owner="y",IF(AND(IRA_RMD_Age2&lt;=L$4,Your_End&gt;=L$4),-L10/VLOOKUP(L$4,'Tax Tables'!$G$338:$I$398,2),0),IF(AND(IRA_RMD_Age2&lt;=L$5,Spouse_End&gt;=L$5),-L10/VLOOKUP(L$5,'Tax Tables'!$G$338:$I$398,2),0))))/Round_To,0)*Round_To</f>
        <v>0</v>
      </c>
      <c r="M100" s="1124">
        <f>ROUND(IF(IRA_RMD_Age2=0,0,IF(OR(L10+L99+L102&lt;=0,IRA_RMD_Age2=0),0,IF(IRA2_Owner="y",IF(AND(IRA_RMD_Age2&lt;=M$4,Your_End&gt;=M$4),-M10/VLOOKUP(M$4,'Tax Tables'!$G$338:$I$398,2),0),IF(AND(IRA_RMD_Age2&lt;=M$5,Spouse_End&gt;=M$5),-M10/VLOOKUP(M$5,'Tax Tables'!$G$338:$I$398,2),0))))/Round_To,0)*Round_To</f>
        <v>0</v>
      </c>
      <c r="N100" s="1124">
        <f>ROUND(IF(IRA_RMD_Age2=0,0,IF(OR(M10+M99+M102&lt;=0,IRA_RMD_Age2=0),0,IF(IRA2_Owner="y",IF(AND(IRA_RMD_Age2&lt;=N$4,Your_End&gt;=N$4),-N10/VLOOKUP(N$4,'Tax Tables'!$G$338:$I$398,2),0),IF(AND(IRA_RMD_Age2&lt;=N$5,Spouse_End&gt;=N$5),-N10/VLOOKUP(N$5,'Tax Tables'!$G$338:$I$398,2),0))))/Round_To,0)*Round_To</f>
        <v>0</v>
      </c>
      <c r="O100" s="1124">
        <f>ROUND(IF(IRA_RMD_Age2=0,0,IF(OR(N10+N99+N102&lt;=0,IRA_RMD_Age2=0),0,IF(IRA2_Owner="y",IF(AND(IRA_RMD_Age2&lt;=O$4,Your_End&gt;=O$4),-O10/VLOOKUP(O$4,'Tax Tables'!$G$338:$I$398,2),0),IF(AND(IRA_RMD_Age2&lt;=O$5,Spouse_End&gt;=O$5),-O10/VLOOKUP(O$5,'Tax Tables'!$G$338:$I$398,2),0))))/Round_To,0)*Round_To</f>
        <v>-15000</v>
      </c>
      <c r="P100" s="1124">
        <f>ROUND(IF(IRA_RMD_Age2=0,0,IF(OR(O10+O99+O102&lt;=0,IRA_RMD_Age2=0),0,IF(IRA2_Owner="y",IF(AND(IRA_RMD_Age2&lt;=P$4,Your_End&gt;=P$4),-P10/VLOOKUP(P$4,'Tax Tables'!$G$338:$I$398,2),0),IF(AND(IRA_RMD_Age2&lt;=P$5,Spouse_End&gt;=P$5),-P10/VLOOKUP(P$5,'Tax Tables'!$G$338:$I$398,2),0))))/Round_To,0)*Round_To</f>
        <v>-15900</v>
      </c>
      <c r="Q100" s="1124">
        <f>ROUND(IF(IRA_RMD_Age2=0,0,IF(OR(P10+P99+P102&lt;=0,IRA_RMD_Age2=0),0,IF(IRA2_Owner="y",IF(AND(IRA_RMD_Age2&lt;=Q$4,Your_End&gt;=Q$4),-Q10/VLOOKUP(Q$4,'Tax Tables'!$G$338:$I$398,2),0),IF(AND(IRA_RMD_Age2&lt;=Q$5,Spouse_End&gt;=Q$5),-Q10/VLOOKUP(Q$5,'Tax Tables'!$G$338:$I$398,2),0))))/Round_To,0)*Round_To</f>
        <v>-16800</v>
      </c>
      <c r="R100" s="1124">
        <f>ROUND(IF(IRA_RMD_Age2=0,0,IF(OR(Q10+Q99+Q102&lt;=0,IRA_RMD_Age2=0),0,IF(IRA2_Owner="y",IF(AND(IRA_RMD_Age2&lt;=R$4,Your_End&gt;=R$4),-R10/VLOOKUP(R$4,'Tax Tables'!$G$338:$I$398,2),0),IF(AND(IRA_RMD_Age2&lt;=R$5,Spouse_End&gt;=R$5),-R10/VLOOKUP(R$5,'Tax Tables'!$G$338:$I$398,2),0))))/Round_To,0)*Round_To</f>
        <v>-17700</v>
      </c>
      <c r="S100" s="1124">
        <f>ROUND(IF(IRA_RMD_Age2=0,0,IF(OR(R10+R99+R102&lt;=0,IRA_RMD_Age2=0),0,IF(IRA2_Owner="y",IF(AND(IRA_RMD_Age2&lt;=S$4,Your_End&gt;=S$4),-S10/VLOOKUP(S$4,'Tax Tables'!$G$338:$I$398,2),0),IF(AND(IRA_RMD_Age2&lt;=S$5,Spouse_End&gt;=S$5),-S10/VLOOKUP(S$5,'Tax Tables'!$G$338:$I$398,2),0))))/Round_To,0)*Round_To</f>
        <v>-18700</v>
      </c>
      <c r="T100" s="1124">
        <f>ROUND(IF(IRA_RMD_Age2=0,0,IF(OR(S10+S99+S102&lt;=0,IRA_RMD_Age2=0),0,IF(IRA2_Owner="y",IF(AND(IRA_RMD_Age2&lt;=T$4,Your_End&gt;=T$4),-T10/VLOOKUP(T$4,'Tax Tables'!$G$338:$I$398,2),0),IF(AND(IRA_RMD_Age2&lt;=T$5,Spouse_End&gt;=T$5),-T10/VLOOKUP(T$5,'Tax Tables'!$G$338:$I$398,2),0))))/Round_To,0)*Round_To</f>
        <v>-19700</v>
      </c>
      <c r="U100" s="1124">
        <f>ROUND(IF(IRA_RMD_Age2=0,0,IF(OR(T10+T99+T102&lt;=0,IRA_RMD_Age2=0),0,IF(IRA2_Owner="y",IF(AND(IRA_RMD_Age2&lt;=U$4,Your_End&gt;=U$4),-U10/VLOOKUP(U$4,'Tax Tables'!$G$338:$I$398,2),0),IF(AND(IRA_RMD_Age2&lt;=U$5,Spouse_End&gt;=U$5),-U10/VLOOKUP(U$5,'Tax Tables'!$G$338:$I$398,2),0))))/Round_To,0)*Round_To</f>
        <v>-20800</v>
      </c>
      <c r="V100" s="1124">
        <f>ROUND(IF(IRA_RMD_Age2=0,0,IF(OR(U10+U99+U102&lt;=0,IRA_RMD_Age2=0),0,IF(IRA2_Owner="y",IF(AND(IRA_RMD_Age2&lt;=V$4,Your_End&gt;=V$4),-V10/VLOOKUP(V$4,'Tax Tables'!$G$338:$I$398,2),0),IF(AND(IRA_RMD_Age2&lt;=V$5,Spouse_End&gt;=V$5),-V10/VLOOKUP(V$5,'Tax Tables'!$G$338:$I$398,2),0))))/Round_To,0)*Round_To</f>
        <v>-21900</v>
      </c>
      <c r="W100" s="1124">
        <f>ROUND(IF(IRA_RMD_Age2=0,0,IF(OR(V10+V99+V102&lt;=0,IRA_RMD_Age2=0),0,IF(IRA2_Owner="y",IF(AND(IRA_RMD_Age2&lt;=W$4,Your_End&gt;=W$4),-W10/VLOOKUP(W$4,'Tax Tables'!$G$338:$I$398,2),0),IF(AND(IRA_RMD_Age2&lt;=W$5,Spouse_End&gt;=W$5),-W10/VLOOKUP(W$5,'Tax Tables'!$G$338:$I$398,2),0))))/Round_To,0)*Round_To</f>
        <v>-23100</v>
      </c>
      <c r="X100" s="1124">
        <f>ROUND(IF(IRA_RMD_Age2=0,0,IF(OR(W10+W99+W102&lt;=0,IRA_RMD_Age2=0),0,IF(IRA2_Owner="y",IF(AND(IRA_RMD_Age2&lt;=X$4,Your_End&gt;=X$4),-X10/VLOOKUP(X$4,'Tax Tables'!$G$338:$I$398,2),0),IF(AND(IRA_RMD_Age2&lt;=X$5,Spouse_End&gt;=X$5),-X10/VLOOKUP(X$5,'Tax Tables'!$G$338:$I$398,2),0))))/Round_To,0)*Round_To</f>
        <v>-24200</v>
      </c>
      <c r="Y100" s="1124">
        <f>ROUND(IF(IRA_RMD_Age2=0,0,IF(OR(X10+X99+X102&lt;=0,IRA_RMD_Age2=0),0,IF(IRA2_Owner="y",IF(AND(IRA_RMD_Age2&lt;=Y$4,Your_End&gt;=Y$4),-Y10/VLOOKUP(Y$4,'Tax Tables'!$G$338:$I$398,2),0),IF(AND(IRA_RMD_Age2&lt;=Y$5,Spouse_End&gt;=Y$5),-Y10/VLOOKUP(Y$5,'Tax Tables'!$G$338:$I$398,2),0))))/Round_To,0)*Round_To</f>
        <v>-25300</v>
      </c>
      <c r="Z100" s="1124">
        <f>ROUND(IF(IRA_RMD_Age2=0,0,IF(OR(Y10+Y99+Y102&lt;=0,IRA_RMD_Age2=0),0,IF(IRA2_Owner="y",IF(AND(IRA_RMD_Age2&lt;=Z$4,Your_End&gt;=Z$4),-Z10/VLOOKUP(Z$4,'Tax Tables'!$G$338:$I$398,2),0),IF(AND(IRA_RMD_Age2&lt;=Z$5,Spouse_End&gt;=Z$5),-Z10/VLOOKUP(Z$5,'Tax Tables'!$G$338:$I$398,2),0))))/Round_To,0)*Round_To</f>
        <v>-26300</v>
      </c>
      <c r="AA100" s="1124">
        <f>ROUND(IF(IRA_RMD_Age2=0,0,IF(OR(Z10+Z99+Z102&lt;=0,IRA_RMD_Age2=0),0,IF(IRA2_Owner="y",IF(AND(IRA_RMD_Age2&lt;=AA$4,Your_End&gt;=AA$4),-AA10/VLOOKUP(AA$4,'Tax Tables'!$G$338:$I$398,2),0),IF(AND(IRA_RMD_Age2&lt;=AA$5,Spouse_End&gt;=AA$5),-AA10/VLOOKUP(AA$5,'Tax Tables'!$G$338:$I$398,2),0))))/Round_To,0)*Round_To</f>
        <v>-27500</v>
      </c>
      <c r="AB100" s="1124">
        <f>ROUND(IF(IRA_RMD_Age2=0,0,IF(OR(AA10+AA99+AA102&lt;=0,IRA_RMD_Age2=0),0,IF(IRA2_Owner="y",IF(AND(IRA_RMD_Age2&lt;=AB$4,Your_End&gt;=AB$4),-AB10/VLOOKUP(AB$4,'Tax Tables'!$G$338:$I$398,2),0),IF(AND(IRA_RMD_Age2&lt;=AB$5,Spouse_End&gt;=AB$5),-AB10/VLOOKUP(AB$5,'Tax Tables'!$G$338:$I$398,2),0))))/Round_To,0)*Round_To</f>
        <v>-28600</v>
      </c>
      <c r="AC100" s="1124">
        <f>ROUND(IF(IRA_RMD_Age2=0,0,IF(OR(AB10+AB99+AB102&lt;=0,IRA_RMD_Age2=0),0,IF(IRA2_Owner="y",IF(AND(IRA_RMD_Age2&lt;=AC$4,Your_End&gt;=AC$4),-AC10/VLOOKUP(AC$4,'Tax Tables'!$G$338:$I$398,2),0),IF(AND(IRA_RMD_Age2&lt;=AC$5,Spouse_End&gt;=AC$5),-AC10/VLOOKUP(AC$5,'Tax Tables'!$G$338:$I$398,2),0))))/Round_To,0)*Round_To</f>
        <v>-29800</v>
      </c>
      <c r="AD100" s="1124">
        <f>ROUND(IF(IRA_RMD_Age2=0,0,IF(OR(AC10+AC99+AC102&lt;=0,IRA_RMD_Age2=0),0,IF(IRA2_Owner="y",IF(AND(IRA_RMD_Age2&lt;=AD$4,Your_End&gt;=AD$4),-AD10/VLOOKUP(AD$4,'Tax Tables'!$G$338:$I$398,2),0),IF(AND(IRA_RMD_Age2&lt;=AD$5,Spouse_End&gt;=AD$5),-AD10/VLOOKUP(AD$5,'Tax Tables'!$G$338:$I$398,2),0))))/Round_To,0)*Round_To</f>
        <v>-30800</v>
      </c>
      <c r="AE100" s="1124">
        <f>ROUND(IF(IRA_RMD_Age2=0,0,IF(OR(AD10+AD99+AD102&lt;=0,IRA_RMD_Age2=0),0,IF(IRA2_Owner="y",IF(AND(IRA_RMD_Age2&lt;=AE$4,Your_End&gt;=AE$4),-AE10/VLOOKUP(AE$4,'Tax Tables'!$G$338:$I$398,2),0),IF(AND(IRA_RMD_Age2&lt;=AE$5,Spouse_End&gt;=AE$5),-AE10/VLOOKUP(AE$5,'Tax Tables'!$G$338:$I$398,2),0))))/Round_To,0)*Round_To</f>
        <v>-31800</v>
      </c>
      <c r="AF100" s="1124">
        <f>ROUND(IF(IRA_RMD_Age2=0,0,IF(OR(AE10+AE99+AE102&lt;=0,IRA_RMD_Age2=0),0,IF(IRA2_Owner="y",IF(AND(IRA_RMD_Age2&lt;=AF$4,Your_End&gt;=AF$4),-AF10/VLOOKUP(AF$4,'Tax Tables'!$G$338:$I$398,2),0),IF(AND(IRA_RMD_Age2&lt;=AF$5,Spouse_End&gt;=AF$5),-AF10/VLOOKUP(AF$5,'Tax Tables'!$G$338:$I$398,2),0))))/Round_To,0)*Round_To</f>
        <v>-32700</v>
      </c>
      <c r="AG100" s="1124">
        <f>ROUND(IF(IRA_RMD_Age2=0,0,IF(OR(AF10+AF99+AF102&lt;=0,IRA_RMD_Age2=0),0,IF(IRA2_Owner="y",IF(AND(IRA_RMD_Age2&lt;=AG$4,Your_End&gt;=AG$4),-AG10/VLOOKUP(AG$4,'Tax Tables'!$G$338:$I$398,2),0),IF(AND(IRA_RMD_Age2&lt;=AG$5,Spouse_End&gt;=AG$5),-AG10/VLOOKUP(AG$5,'Tax Tables'!$G$338:$I$398,2),0))))/Round_To,0)*Round_To</f>
        <v>-33700</v>
      </c>
      <c r="AH100" s="1124">
        <f>ROUND(IF(IRA_RMD_Age2=0,0,IF(OR(AG10+AG99+AG102&lt;=0,IRA_RMD_Age2=0),0,IF(IRA2_Owner="y",IF(AND(IRA_RMD_Age2&lt;=AH$4,Your_End&gt;=AH$4),-AH10/VLOOKUP(AH$4,'Tax Tables'!$G$338:$I$398,2),0),IF(AND(IRA_RMD_Age2&lt;=AH$5,Spouse_End&gt;=AH$5),-AH10/VLOOKUP(AH$5,'Tax Tables'!$G$338:$I$398,2),0))))/Round_To,0)*Round_To</f>
        <v>-34700</v>
      </c>
      <c r="AI100" s="1124">
        <f>ROUND(IF(IRA_RMD_Age2=0,0,IF(OR(AH10+AH99+AH102&lt;=0,IRA_RMD_Age2=0),0,IF(IRA2_Owner="y",IF(AND(IRA_RMD_Age2&lt;=AI$4,Your_End&gt;=AI$4),-AI10/VLOOKUP(AI$4,'Tax Tables'!$G$338:$I$398,2),0),IF(AND(IRA_RMD_Age2&lt;=AI$5,Spouse_End&gt;=AI$5),-AI10/VLOOKUP(AI$5,'Tax Tables'!$G$338:$I$398,2),0))))/Round_To,0)*Round_To</f>
        <v>-35400</v>
      </c>
      <c r="AJ100" s="1124">
        <f>ROUND(IF(IRA_RMD_Age2=0,0,IF(OR(AI10+AI99+AI102&lt;=0,IRA_RMD_Age2=0),0,IF(IRA2_Owner="y",IF(AND(IRA_RMD_Age2&lt;=AJ$4,Your_End&gt;=AJ$4),-AJ10/VLOOKUP(AJ$4,'Tax Tables'!$G$338:$I$398,2),0),IF(AND(IRA_RMD_Age2&lt;=AJ$5,Spouse_End&gt;=AJ$5),-AJ10/VLOOKUP(AJ$5,'Tax Tables'!$G$338:$I$398,2),0))))/Round_To,0)*Round_To</f>
        <v>0</v>
      </c>
      <c r="AK100" s="1124">
        <f>ROUND(IF(IRA_RMD_Age2=0,0,IF(OR(AJ10+AJ99+AJ102&lt;=0,IRA_RMD_Age2=0),0,IF(IRA2_Owner="y",IF(AND(IRA_RMD_Age2&lt;=AK$4,Your_End&gt;=AK$4),-AK10/VLOOKUP(AK$4,'Tax Tables'!$G$338:$I$398,2),0),IF(AND(IRA_RMD_Age2&lt;=AK$5,Spouse_End&gt;=AK$5),-AK10/VLOOKUP(AK$5,'Tax Tables'!$G$338:$I$398,2),0))))/Round_To,0)*Round_To</f>
        <v>0</v>
      </c>
      <c r="AL100" s="1124">
        <f>ROUND(IF(IRA_RMD_Age2=0,0,IF(OR(AK10+AK99+AK102&lt;=0,IRA_RMD_Age2=0),0,IF(IRA2_Owner="y",IF(AND(IRA_RMD_Age2&lt;=AL$4,Your_End&gt;=AL$4),-AL10/VLOOKUP(AL$4,'Tax Tables'!$G$338:$I$398,2),0),IF(AND(IRA_RMD_Age2&lt;=AL$5,Spouse_End&gt;=AL$5),-AL10/VLOOKUP(AL$5,'Tax Tables'!$G$338:$I$398,2),0))))/Round_To,0)*Round_To</f>
        <v>0</v>
      </c>
      <c r="AM100" s="1124">
        <f>ROUND(IF(IRA_RMD_Age2=0,0,IF(OR(AL10+AL99+AL102&lt;=0,IRA_RMD_Age2=0),0,IF(IRA2_Owner="y",IF(AND(IRA_RMD_Age2&lt;=AM$4,Your_End&gt;=AM$4),-AM10/VLOOKUP(AM$4,'Tax Tables'!$G$338:$I$398,2),0),IF(AND(IRA_RMD_Age2&lt;=AM$5,Spouse_End&gt;=AM$5),-AM10/VLOOKUP(AM$5,'Tax Tables'!$G$338:$I$398,2),0))))/Round_To,0)*Round_To</f>
        <v>0</v>
      </c>
      <c r="AN100" s="1124">
        <f>ROUND(IF(IRA_RMD_Age2=0,0,IF(OR(AM10+AM99+AM102&lt;=0,IRA_RMD_Age2=0),0,IF(IRA2_Owner="y",IF(AND(IRA_RMD_Age2&lt;=AN$4,Your_End&gt;=AN$4),-AN10/VLOOKUP(AN$4,'Tax Tables'!$G$338:$I$398,2),0),IF(AND(IRA_RMD_Age2&lt;=AN$5,Spouse_End&gt;=AN$5),-AN10/VLOOKUP(AN$5,'Tax Tables'!$G$338:$I$398,2),0))))/Round_To,0)*Round_To</f>
        <v>0</v>
      </c>
      <c r="AO100" s="1124">
        <f>ROUND(IF(IRA_RMD_Age2=0,0,IF(OR(AN10+AN99+AN102&lt;=0,IRA_RMD_Age2=0),0,IF(IRA2_Owner="y",IF(AND(IRA_RMD_Age2&lt;=AO$4,Your_End&gt;=AO$4),-AO10/VLOOKUP(AO$4,'Tax Tables'!$G$338:$I$398,2),0),IF(AND(IRA_RMD_Age2&lt;=AO$5,Spouse_End&gt;=AO$5),-AO10/VLOOKUP(AO$5,'Tax Tables'!$G$338:$I$398,2),0))))/Round_To,0)*Round_To</f>
        <v>0</v>
      </c>
      <c r="AP100" s="1124">
        <f>ROUND(IF(IRA_RMD_Age2=0,0,IF(OR(AO10+AO99+AO102&lt;=0,IRA_RMD_Age2=0),0,IF(IRA2_Owner="y",IF(AND(IRA_RMD_Age2&lt;=AP$4,Your_End&gt;=AP$4),-AP10/VLOOKUP(AP$4,'Tax Tables'!$G$338:$I$398,2),0),IF(AND(IRA_RMD_Age2&lt;=AP$5,Spouse_End&gt;=AP$5),-AP10/VLOOKUP(AP$5,'Tax Tables'!$G$338:$I$398,2),0))))/Round_To,0)*Round_To</f>
        <v>0</v>
      </c>
      <c r="AQ100" s="1124">
        <f>ROUND(IF(IRA_RMD_Age2=0,0,IF(OR(AP10+AP99+AP102&lt;=0,IRA_RMD_Age2=0),0,IF(IRA2_Owner="y",IF(AND(IRA_RMD_Age2&lt;=AQ$4,Your_End&gt;=AQ$4),-AQ10/VLOOKUP(AQ$4,'Tax Tables'!$G$338:$I$398,2),0),IF(AND(IRA_RMD_Age2&lt;=AQ$5,Spouse_End&gt;=AQ$5),-AQ10/VLOOKUP(AQ$5,'Tax Tables'!$G$338:$I$398,2),0))))/Round_To,0)*Round_To</f>
        <v>0</v>
      </c>
      <c r="AR100" s="1124">
        <f>ROUND(IF(IRA_RMD_Age2=0,0,IF(OR(AQ10+AQ99+AQ102&lt;=0,IRA_RMD_Age2=0),0,IF(IRA2_Owner="y",IF(AND(IRA_RMD_Age2&lt;=AR$4,Your_End&gt;=AR$4),-AR10/VLOOKUP(AR$4,'Tax Tables'!$G$338:$I$398,2),0),IF(AND(IRA_RMD_Age2&lt;=AR$5,Spouse_End&gt;=AR$5),-AR10/VLOOKUP(AR$5,'Tax Tables'!$G$338:$I$398,2),0))))/Round_To,0)*Round_To</f>
        <v>0</v>
      </c>
      <c r="AS100" s="1124">
        <f>ROUND(IF(IRA_RMD_Age2=0,0,IF(OR(AR10+AR99+AR102&lt;=0,IRA_RMD_Age2=0),0,IF(IRA2_Owner="y",IF(AND(IRA_RMD_Age2&lt;=AS$4,Your_End&gt;=AS$4),-AS10/VLOOKUP(AS$4,'Tax Tables'!$G$338:$I$398,2),0),IF(AND(IRA_RMD_Age2&lt;=AS$5,Spouse_End&gt;=AS$5),-AS10/VLOOKUP(AS$5,'Tax Tables'!$G$338:$I$398,2),0))))/Round_To,0)*Round_To</f>
        <v>0</v>
      </c>
      <c r="AU100" s="29">
        <f>+Details!E100</f>
        <v>-530400</v>
      </c>
      <c r="AV100" s="81">
        <f t="shared" si="86"/>
        <v>0</v>
      </c>
      <c r="AW100" s="102"/>
      <c r="AY100" s="31">
        <f>+Details!F100-Base!F100</f>
        <v>0</v>
      </c>
      <c r="AZ100" s="1124">
        <f>+Details!G100-Base!G100</f>
        <v>0</v>
      </c>
      <c r="BA100" s="1124">
        <f>+Details!H100-Base!H100</f>
        <v>0</v>
      </c>
      <c r="BB100" s="1124">
        <f>+Details!I100-Base!I100</f>
        <v>0</v>
      </c>
      <c r="BC100" s="1124">
        <f>+Details!J100-Base!J100</f>
        <v>0</v>
      </c>
      <c r="BD100" s="1124">
        <f>+Details!K100-Base!K100</f>
        <v>0</v>
      </c>
      <c r="BE100" s="1124">
        <f>+Details!L100-Base!L100</f>
        <v>0</v>
      </c>
      <c r="BF100" s="1124">
        <f>+Details!M100-Base!M100</f>
        <v>0</v>
      </c>
      <c r="BG100" s="1124">
        <f>+Details!N100-Base!N100</f>
        <v>0</v>
      </c>
      <c r="BH100" s="1124">
        <f>+Details!O100-Base!O100</f>
        <v>0</v>
      </c>
      <c r="BI100" s="1124">
        <f>+Details!P100-Base!P100</f>
        <v>0</v>
      </c>
      <c r="BJ100" s="1124">
        <f>+Details!Q100-Base!Q100</f>
        <v>0</v>
      </c>
      <c r="BK100" s="1124">
        <f>+Details!R100-Base!R100</f>
        <v>0</v>
      </c>
      <c r="BL100" s="1124">
        <f>+Details!S100-Base!S100</f>
        <v>0</v>
      </c>
      <c r="BM100" s="1124">
        <f>+Details!T100-Base!T100</f>
        <v>0</v>
      </c>
      <c r="BN100" s="1124">
        <f>+Details!U100-Base!U100</f>
        <v>0</v>
      </c>
      <c r="BO100" s="1124">
        <f>+Details!V100-Base!V100</f>
        <v>0</v>
      </c>
      <c r="BP100" s="1124">
        <f>+Details!W100-Base!W100</f>
        <v>0</v>
      </c>
      <c r="BQ100" s="1124">
        <f>+Details!X100-Base!X100</f>
        <v>0</v>
      </c>
      <c r="BR100" s="1124">
        <f>+Details!Y100-Base!Y100</f>
        <v>0</v>
      </c>
      <c r="BS100" s="1124">
        <f>+Details!Z100-Base!Z100</f>
        <v>0</v>
      </c>
      <c r="BT100" s="1124">
        <f>+Details!AA100-Base!AA100</f>
        <v>0</v>
      </c>
      <c r="BU100" s="1124">
        <f>+Details!AB100-Base!AB100</f>
        <v>0</v>
      </c>
      <c r="BV100" s="1124">
        <f>+Details!AC100-Base!AC100</f>
        <v>0</v>
      </c>
      <c r="BW100" s="1124">
        <f>+Details!AD100-Base!AD100</f>
        <v>0</v>
      </c>
      <c r="BX100" s="1124">
        <f>+Details!AE100-Base!AE100</f>
        <v>0</v>
      </c>
      <c r="BY100" s="1124">
        <f>+Details!AF100-Base!AF100</f>
        <v>0</v>
      </c>
      <c r="BZ100" s="1124">
        <f>+Details!AG100-Base!AG100</f>
        <v>0</v>
      </c>
      <c r="CA100" s="1124">
        <f>+Details!AH100-Base!AH100</f>
        <v>0</v>
      </c>
      <c r="CB100" s="1124">
        <f>+Details!AI100-Base!AI100</f>
        <v>0</v>
      </c>
      <c r="CC100" s="1124">
        <f>+Details!AJ100-Base!AJ100</f>
        <v>0</v>
      </c>
      <c r="CD100" s="1124">
        <f>+Details!AK100-Base!AK100</f>
        <v>0</v>
      </c>
      <c r="CE100" s="1124">
        <f>+Details!AL100-Base!AL100</f>
        <v>0</v>
      </c>
      <c r="CF100" s="1124">
        <f>+Details!AM100-Base!AM100</f>
        <v>0</v>
      </c>
      <c r="CG100" s="1124">
        <f>+Details!AN100-Base!AN100</f>
        <v>0</v>
      </c>
      <c r="CH100" s="1124">
        <f>+Details!AO100-Base!AO100</f>
        <v>0</v>
      </c>
      <c r="CI100" s="1124">
        <f>+Details!AP100-Base!AP100</f>
        <v>0</v>
      </c>
      <c r="CJ100" s="1124">
        <f>+Details!AQ100-Base!AQ100</f>
        <v>0</v>
      </c>
      <c r="CK100" s="1124">
        <f>+Details!AR100-Base!AR100</f>
        <v>0</v>
      </c>
      <c r="CL100" s="1124">
        <f>+Details!AS100-Base!AS100</f>
        <v>0</v>
      </c>
      <c r="CM100" s="81"/>
    </row>
    <row r="101" spans="1:91" s="3" customFormat="1" hidden="1">
      <c r="A101" s="1427" t="s">
        <v>1578</v>
      </c>
      <c r="B101" s="1765" t="s">
        <v>348</v>
      </c>
      <c r="C101" s="1003"/>
      <c r="D101" s="453" t="str">
        <f>IF(IRA2_Owner="s",Spouse_End_Input +1,Your_End_Input+1) &amp; " - " &amp; IF(IRA2_Owner="s",Your_End,Spouse_End)</f>
        <v>1 - 85</v>
      </c>
      <c r="E101" s="34">
        <f>SUM(F101:AS101)</f>
        <v>0</v>
      </c>
      <c r="F101" s="35"/>
      <c r="G101" s="1125">
        <f>ROUND(IF(F10+F99+F102&lt;=0,0,IF(IRA2_Owner="s",IF(AND(Your_End&gt;=G$4,Spouse_End&lt;G$5),-G10/VLOOKUP(G$5,'Tax Tables'!$G$338:$I$398,2),0),IF(AND(Spouse_End&gt;=G$5,Your_End&lt;G$4),-G10/VLOOKUP(G$4,'Tax Tables'!$G$338:$I$398,2),0)))/Round_To,0)*Round_To</f>
        <v>0</v>
      </c>
      <c r="H101" s="1125">
        <f>ROUND(IF(G10+G99+G102&lt;=0,0,IF(IRA2_Owner="s",IF(AND(Your_End&gt;=H$4,Spouse_End&lt;H$5),-H10/VLOOKUP(H$5,'Tax Tables'!$G$338:$I$398,2),0),IF(AND(Spouse_End&gt;=H$5,Your_End&lt;H$4),-H10/VLOOKUP(H$4,'Tax Tables'!$G$338:$I$398,2),0)))/Round_To,0)*Round_To</f>
        <v>0</v>
      </c>
      <c r="I101" s="1125">
        <f>ROUND(IF(H10+H99+H102&lt;=0,0,IF(IRA2_Owner="s",IF(AND(Your_End&gt;=I$4,Spouse_End&lt;I$5),-I10/VLOOKUP(I$5,'Tax Tables'!$G$338:$I$398,2),0),IF(AND(Spouse_End&gt;=I$5,Your_End&lt;I$4),-I10/VLOOKUP(I$4,'Tax Tables'!$G$338:$I$398,2),0)))/Round_To,0)*Round_To</f>
        <v>0</v>
      </c>
      <c r="J101" s="1125">
        <f>ROUND(IF(I10+I99+I102&lt;=0,0,IF(IRA2_Owner="s",IF(AND(Your_End&gt;=J$4,Spouse_End&lt;J$5),-J10/VLOOKUP(J$5,'Tax Tables'!$G$338:$I$398,2),0),IF(AND(Spouse_End&gt;=J$5,Your_End&lt;J$4),-J10/VLOOKUP(J$4,'Tax Tables'!$G$338:$I$398,2),0)))/Round_To,0)*Round_To</f>
        <v>0</v>
      </c>
      <c r="K101" s="1125">
        <f>ROUND(IF(J10+J99+J102&lt;=0,0,IF(IRA2_Owner="s",IF(AND(Your_End&gt;=K$4,Spouse_End&lt;K$5),-K10/VLOOKUP(K$5,'Tax Tables'!$G$338:$I$398,2),0),IF(AND(Spouse_End&gt;=K$5,Your_End&lt;K$4),-K10/VLOOKUP(K$4,'Tax Tables'!$G$338:$I$398,2),0)))/Round_To,0)*Round_To</f>
        <v>0</v>
      </c>
      <c r="L101" s="1125">
        <f>ROUND(IF(K10+K99+K102&lt;=0,0,IF(IRA2_Owner="s",IF(AND(Your_End&gt;=L$4,Spouse_End&lt;L$5),-L10/VLOOKUP(L$5,'Tax Tables'!$G$338:$I$398,2),0),IF(AND(Spouse_End&gt;=L$5,Your_End&lt;L$4),-L10/VLOOKUP(L$4,'Tax Tables'!$G$338:$I$398,2),0)))/Round_To,0)*Round_To</f>
        <v>0</v>
      </c>
      <c r="M101" s="1125">
        <f>ROUND(IF(L10+L99+L102&lt;=0,0,IF(IRA2_Owner="s",IF(AND(Your_End&gt;=M$4,Spouse_End&lt;M$5),-M10/VLOOKUP(M$5,'Tax Tables'!$G$338:$I$398,2),0),IF(AND(Spouse_End&gt;=M$5,Your_End&lt;M$4),-M10/VLOOKUP(M$4,'Tax Tables'!$G$338:$I$398,2),0)))/Round_To,0)*Round_To</f>
        <v>0</v>
      </c>
      <c r="N101" s="1125">
        <f>ROUND(IF(M10+M99+M102&lt;=0,0,IF(IRA2_Owner="s",IF(AND(Your_End&gt;=N$4,Spouse_End&lt;N$5),-N10/VLOOKUP(N$5,'Tax Tables'!$G$338:$I$398,2),0),IF(AND(Spouse_End&gt;=N$5,Your_End&lt;N$4),-N10/VLOOKUP(N$4,'Tax Tables'!$G$338:$I$398,2),0)))/Round_To,0)*Round_To</f>
        <v>0</v>
      </c>
      <c r="O101" s="1125">
        <f>ROUND(IF(N10+N99+N102&lt;=0,0,IF(IRA2_Owner="s",IF(AND(Your_End&gt;=O$4,Spouse_End&lt;O$5),-O10/VLOOKUP(O$5,'Tax Tables'!$G$338:$I$398,2),0),IF(AND(Spouse_End&gt;=O$5,Your_End&lt;O$4),-O10/VLOOKUP(O$4,'Tax Tables'!$G$338:$I$398,2),0)))/Round_To,0)*Round_To</f>
        <v>0</v>
      </c>
      <c r="P101" s="1125">
        <f>ROUND(IF(O10+O99+O102&lt;=0,0,IF(IRA2_Owner="s",IF(AND(Your_End&gt;=P$4,Spouse_End&lt;P$5),-P10/VLOOKUP(P$5,'Tax Tables'!$G$338:$I$398,2),0),IF(AND(Spouse_End&gt;=P$5,Your_End&lt;P$4),-P10/VLOOKUP(P$4,'Tax Tables'!$G$338:$I$398,2),0)))/Round_To,0)*Round_To</f>
        <v>0</v>
      </c>
      <c r="Q101" s="1125">
        <f>ROUND(IF(P10+P99+P102&lt;=0,0,IF(IRA2_Owner="s",IF(AND(Your_End&gt;=Q$4,Spouse_End&lt;Q$5),-Q10/VLOOKUP(Q$5,'Tax Tables'!$G$338:$I$398,2),0),IF(AND(Spouse_End&gt;=Q$5,Your_End&lt;Q$4),-Q10/VLOOKUP(Q$4,'Tax Tables'!$G$338:$I$398,2),0)))/Round_To,0)*Round_To</f>
        <v>0</v>
      </c>
      <c r="R101" s="1125">
        <f>ROUND(IF(Q10+Q99+Q102&lt;=0,0,IF(IRA2_Owner="s",IF(AND(Your_End&gt;=R$4,Spouse_End&lt;R$5),-R10/VLOOKUP(R$5,'Tax Tables'!$G$338:$I$398,2),0),IF(AND(Spouse_End&gt;=R$5,Your_End&lt;R$4),-R10/VLOOKUP(R$4,'Tax Tables'!$G$338:$I$398,2),0)))/Round_To,0)*Round_To</f>
        <v>0</v>
      </c>
      <c r="S101" s="1125">
        <f>ROUND(IF(R10+R99+R102&lt;=0,0,IF(IRA2_Owner="s",IF(AND(Your_End&gt;=S$4,Spouse_End&lt;S$5),-S10/VLOOKUP(S$5,'Tax Tables'!$G$338:$I$398,2),0),IF(AND(Spouse_End&gt;=S$5,Your_End&lt;S$4),-S10/VLOOKUP(S$4,'Tax Tables'!$G$338:$I$398,2),0)))/Round_To,0)*Round_To</f>
        <v>0</v>
      </c>
      <c r="T101" s="1125">
        <f>ROUND(IF(S10+S99+S102&lt;=0,0,IF(IRA2_Owner="s",IF(AND(Your_End&gt;=T$4,Spouse_End&lt;T$5),-T10/VLOOKUP(T$5,'Tax Tables'!$G$338:$I$398,2),0),IF(AND(Spouse_End&gt;=T$5,Your_End&lt;T$4),-T10/VLOOKUP(T$4,'Tax Tables'!$G$338:$I$398,2),0)))/Round_To,0)*Round_To</f>
        <v>0</v>
      </c>
      <c r="U101" s="1125">
        <f>ROUND(IF(T10+T99+T102&lt;=0,0,IF(IRA2_Owner="s",IF(AND(Your_End&gt;=U$4,Spouse_End&lt;U$5),-U10/VLOOKUP(U$5,'Tax Tables'!$G$338:$I$398,2),0),IF(AND(Spouse_End&gt;=U$5,Your_End&lt;U$4),-U10/VLOOKUP(U$4,'Tax Tables'!$G$338:$I$398,2),0)))/Round_To,0)*Round_To</f>
        <v>0</v>
      </c>
      <c r="V101" s="1125">
        <f>ROUND(IF(U10+U99+U102&lt;=0,0,IF(IRA2_Owner="s",IF(AND(Your_End&gt;=V$4,Spouse_End&lt;V$5),-V10/VLOOKUP(V$5,'Tax Tables'!$G$338:$I$398,2),0),IF(AND(Spouse_End&gt;=V$5,Your_End&lt;V$4),-V10/VLOOKUP(V$4,'Tax Tables'!$G$338:$I$398,2),0)))/Round_To,0)*Round_To</f>
        <v>0</v>
      </c>
      <c r="W101" s="1125">
        <f>ROUND(IF(V10+V99+V102&lt;=0,0,IF(IRA2_Owner="s",IF(AND(Your_End&gt;=W$4,Spouse_End&lt;W$5),-W10/VLOOKUP(W$5,'Tax Tables'!$G$338:$I$398,2),0),IF(AND(Spouse_End&gt;=W$5,Your_End&lt;W$4),-W10/VLOOKUP(W$4,'Tax Tables'!$G$338:$I$398,2),0)))/Round_To,0)*Round_To</f>
        <v>0</v>
      </c>
      <c r="X101" s="1125">
        <f>ROUND(IF(W10+W99+W102&lt;=0,0,IF(IRA2_Owner="s",IF(AND(Your_End&gt;=X$4,Spouse_End&lt;X$5),-X10/VLOOKUP(X$5,'Tax Tables'!$G$338:$I$398,2),0),IF(AND(Spouse_End&gt;=X$5,Your_End&lt;X$4),-X10/VLOOKUP(X$4,'Tax Tables'!$G$338:$I$398,2),0)))/Round_To,0)*Round_To</f>
        <v>0</v>
      </c>
      <c r="Y101" s="1125">
        <f>ROUND(IF(X10+X99+X102&lt;=0,0,IF(IRA2_Owner="s",IF(AND(Your_End&gt;=Y$4,Spouse_End&lt;Y$5),-Y10/VLOOKUP(Y$5,'Tax Tables'!$G$338:$I$398,2),0),IF(AND(Spouse_End&gt;=Y$5,Your_End&lt;Y$4),-Y10/VLOOKUP(Y$4,'Tax Tables'!$G$338:$I$398,2),0)))/Round_To,0)*Round_To</f>
        <v>0</v>
      </c>
      <c r="Z101" s="1125">
        <f>ROUND(IF(Y10+Y99+Y102&lt;=0,0,IF(IRA2_Owner="s",IF(AND(Your_End&gt;=Z$4,Spouse_End&lt;Z$5),-Z10/VLOOKUP(Z$5,'Tax Tables'!$G$338:$I$398,2),0),IF(AND(Spouse_End&gt;=Z$5,Your_End&lt;Z$4),-Z10/VLOOKUP(Z$4,'Tax Tables'!$G$338:$I$398,2),0)))/Round_To,0)*Round_To</f>
        <v>0</v>
      </c>
      <c r="AA101" s="1125">
        <f>ROUND(IF(Z10+Z99+Z102&lt;=0,0,IF(IRA2_Owner="s",IF(AND(Your_End&gt;=AA$4,Spouse_End&lt;AA$5),-AA10/VLOOKUP(AA$5,'Tax Tables'!$G$338:$I$398,2),0),IF(AND(Spouse_End&gt;=AA$5,Your_End&lt;AA$4),-AA10/VLOOKUP(AA$4,'Tax Tables'!$G$338:$I$398,2),0)))/Round_To,0)*Round_To</f>
        <v>0</v>
      </c>
      <c r="AB101" s="1125">
        <f>ROUND(IF(AA10+AA99+AA102&lt;=0,0,IF(IRA2_Owner="s",IF(AND(Your_End&gt;=AB$4,Spouse_End&lt;AB$5),-AB10/VLOOKUP(AB$5,'Tax Tables'!$G$338:$I$398,2),0),IF(AND(Spouse_End&gt;=AB$5,Your_End&lt;AB$4),-AB10/VLOOKUP(AB$4,'Tax Tables'!$G$338:$I$398,2),0)))/Round_To,0)*Round_To</f>
        <v>0</v>
      </c>
      <c r="AC101" s="1125">
        <f>ROUND(IF(AB10+AB99+AB102&lt;=0,0,IF(IRA2_Owner="s",IF(AND(Your_End&gt;=AC$4,Spouse_End&lt;AC$5),-AC10/VLOOKUP(AC$5,'Tax Tables'!$G$338:$I$398,2),0),IF(AND(Spouse_End&gt;=AC$5,Your_End&lt;AC$4),-AC10/VLOOKUP(AC$4,'Tax Tables'!$G$338:$I$398,2),0)))/Round_To,0)*Round_To</f>
        <v>0</v>
      </c>
      <c r="AD101" s="1125">
        <f>ROUND(IF(AC10+AC99+AC102&lt;=0,0,IF(IRA2_Owner="s",IF(AND(Your_End&gt;=AD$4,Spouse_End&lt;AD$5),-AD10/VLOOKUP(AD$5,'Tax Tables'!$G$338:$I$398,2),0),IF(AND(Spouse_End&gt;=AD$5,Your_End&lt;AD$4),-AD10/VLOOKUP(AD$4,'Tax Tables'!$G$338:$I$398,2),0)))/Round_To,0)*Round_To</f>
        <v>0</v>
      </c>
      <c r="AE101" s="1125">
        <f>ROUND(IF(AD10+AD99+AD102&lt;=0,0,IF(IRA2_Owner="s",IF(AND(Your_End&gt;=AE$4,Spouse_End&lt;AE$5),-AE10/VLOOKUP(AE$5,'Tax Tables'!$G$338:$I$398,2),0),IF(AND(Spouse_End&gt;=AE$5,Your_End&lt;AE$4),-AE10/VLOOKUP(AE$4,'Tax Tables'!$G$338:$I$398,2),0)))/Round_To,0)*Round_To</f>
        <v>0</v>
      </c>
      <c r="AF101" s="1125">
        <f>ROUND(IF(AE10+AE99+AE102&lt;=0,0,IF(IRA2_Owner="s",IF(AND(Your_End&gt;=AF$4,Spouse_End&lt;AF$5),-AF10/VLOOKUP(AF$5,'Tax Tables'!$G$338:$I$398,2),0),IF(AND(Spouse_End&gt;=AF$5,Your_End&lt;AF$4),-AF10/VLOOKUP(AF$4,'Tax Tables'!$G$338:$I$398,2),0)))/Round_To,0)*Round_To</f>
        <v>0</v>
      </c>
      <c r="AG101" s="1125">
        <f>ROUND(IF(AF10+AF99+AF102&lt;=0,0,IF(IRA2_Owner="s",IF(AND(Your_End&gt;=AG$4,Spouse_End&lt;AG$5),-AG10/VLOOKUP(AG$5,'Tax Tables'!$G$338:$I$398,2),0),IF(AND(Spouse_End&gt;=AG$5,Your_End&lt;AG$4),-AG10/VLOOKUP(AG$4,'Tax Tables'!$G$338:$I$398,2),0)))/Round_To,0)*Round_To</f>
        <v>0</v>
      </c>
      <c r="AH101" s="1125">
        <f>ROUND(IF(AG10+AG99+AG102&lt;=0,0,IF(IRA2_Owner="s",IF(AND(Your_End&gt;=AH$4,Spouse_End&lt;AH$5),-AH10/VLOOKUP(AH$5,'Tax Tables'!$G$338:$I$398,2),0),IF(AND(Spouse_End&gt;=AH$5,Your_End&lt;AH$4),-AH10/VLOOKUP(AH$4,'Tax Tables'!$G$338:$I$398,2),0)))/Round_To,0)*Round_To</f>
        <v>0</v>
      </c>
      <c r="AI101" s="1125">
        <f>ROUND(IF(AH10+AH99+AH102&lt;=0,0,IF(IRA2_Owner="s",IF(AND(Your_End&gt;=AI$4,Spouse_End&lt;AI$5),-AI10/VLOOKUP(AI$5,'Tax Tables'!$G$338:$I$398,2),0),IF(AND(Spouse_End&gt;=AI$5,Your_End&lt;AI$4),-AI10/VLOOKUP(AI$4,'Tax Tables'!$G$338:$I$398,2),0)))/Round_To,0)*Round_To</f>
        <v>0</v>
      </c>
      <c r="AJ101" s="1125">
        <f>ROUND(IF(AI10+AI99+AI102&lt;=0,0,IF(IRA2_Owner="s",IF(AND(Your_End&gt;=AJ$4,Spouse_End&lt;AJ$5),-AJ10/VLOOKUP(AJ$5,'Tax Tables'!$G$338:$I$398,2),0),IF(AND(Spouse_End&gt;=AJ$5,Your_End&lt;AJ$4),-AJ10/VLOOKUP(AJ$4,'Tax Tables'!$G$338:$I$398,2),0)))/Round_To,0)*Round_To</f>
        <v>0</v>
      </c>
      <c r="AK101" s="1125">
        <f>ROUND(IF(AJ10+AJ99+AJ102&lt;=0,0,IF(IRA2_Owner="s",IF(AND(Your_End&gt;=AK$4,Spouse_End&lt;AK$5),-AK10/VLOOKUP(AK$5,'Tax Tables'!$G$338:$I$398,2),0),IF(AND(Spouse_End&gt;=AK$5,Your_End&lt;AK$4),-AK10/VLOOKUP(AK$4,'Tax Tables'!$G$338:$I$398,2),0)))/Round_To,0)*Round_To</f>
        <v>0</v>
      </c>
      <c r="AL101" s="1125">
        <f>ROUND(IF(AK10+AK99+AK102&lt;=0,0,IF(IRA2_Owner="s",IF(AND(Your_End&gt;=AL$4,Spouse_End&lt;AL$5),-AL10/VLOOKUP(AL$5,'Tax Tables'!$G$338:$I$398,2),0),IF(AND(Spouse_End&gt;=AL$5,Your_End&lt;AL$4),-AL10/VLOOKUP(AL$4,'Tax Tables'!$G$338:$I$398,2),0)))/Round_To,0)*Round_To</f>
        <v>0</v>
      </c>
      <c r="AM101" s="1125">
        <f>ROUND(IF(AL10+AL99+AL102&lt;=0,0,IF(IRA2_Owner="s",IF(AND(Your_End&gt;=AM$4,Spouse_End&lt;AM$5),-AM10/VLOOKUP(AM$5,'Tax Tables'!$G$338:$I$398,2),0),IF(AND(Spouse_End&gt;=AM$5,Your_End&lt;AM$4),-AM10/VLOOKUP(AM$4,'Tax Tables'!$G$338:$I$398,2),0)))/Round_To,0)*Round_To</f>
        <v>0</v>
      </c>
      <c r="AN101" s="1125">
        <f>ROUND(IF(AM10+AM99+AM102&lt;=0,0,IF(IRA2_Owner="s",IF(AND(Your_End&gt;=AN$4,Spouse_End&lt;AN$5),-AN10/VLOOKUP(AN$5,'Tax Tables'!$G$338:$I$398,2),0),IF(AND(Spouse_End&gt;=AN$5,Your_End&lt;AN$4),-AN10/VLOOKUP(AN$4,'Tax Tables'!$G$338:$I$398,2),0)))/Round_To,0)*Round_To</f>
        <v>0</v>
      </c>
      <c r="AO101" s="1125">
        <f>ROUND(IF(AN10+AN99+AN102&lt;=0,0,IF(IRA2_Owner="s",IF(AND(Your_End&gt;=AO$4,Spouse_End&lt;AO$5),-AO10/VLOOKUP(AO$5,'Tax Tables'!$G$338:$I$398,2),0),IF(AND(Spouse_End&gt;=AO$5,Your_End&lt;AO$4),-AO10/VLOOKUP(AO$4,'Tax Tables'!$G$338:$I$398,2),0)))/Round_To,0)*Round_To</f>
        <v>0</v>
      </c>
      <c r="AP101" s="1125">
        <f>ROUND(IF(AO10+AO99+AO102&lt;=0,0,IF(IRA2_Owner="s",IF(AND(Your_End&gt;=AP$4,Spouse_End&lt;AP$5),-AP10/VLOOKUP(AP$5,'Tax Tables'!$G$338:$I$398,2),0),IF(AND(Spouse_End&gt;=AP$5,Your_End&lt;AP$4),-AP10/VLOOKUP(AP$4,'Tax Tables'!$G$338:$I$398,2),0)))/Round_To,0)*Round_To</f>
        <v>0</v>
      </c>
      <c r="AQ101" s="1125">
        <f>ROUND(IF(AP10+AP99+AP102&lt;=0,0,IF(IRA2_Owner="s",IF(AND(Your_End&gt;=AQ$4,Spouse_End&lt;AQ$5),-AQ10/VLOOKUP(AQ$5,'Tax Tables'!$G$338:$I$398,2),0),IF(AND(Spouse_End&gt;=AQ$5,Your_End&lt;AQ$4),-AQ10/VLOOKUP(AQ$4,'Tax Tables'!$G$338:$I$398,2),0)))/Round_To,0)*Round_To</f>
        <v>0</v>
      </c>
      <c r="AR101" s="1125">
        <f>ROUND(IF(AQ10+AQ99+AQ102&lt;=0,0,IF(IRA2_Owner="s",IF(AND(Your_End&gt;=AR$4,Spouse_End&lt;AR$5),-AR10/VLOOKUP(AR$5,'Tax Tables'!$G$338:$I$398,2),0),IF(AND(Spouse_End&gt;=AR$5,Your_End&lt;AR$4),-AR10/VLOOKUP(AR$4,'Tax Tables'!$G$338:$I$398,2),0)))/Round_To,0)*Round_To</f>
        <v>0</v>
      </c>
      <c r="AS101" s="1125">
        <f>ROUND(IF(AR10+AR99+AR102&lt;=0,0,IF(IRA2_Owner="s",IF(AND(Your_End&gt;=AS$4,Spouse_End&lt;AS$5),-AS10/VLOOKUP(AS$5,'Tax Tables'!$G$338:$I$398,2),0),IF(AND(Spouse_End&gt;=AS$5,Your_End&lt;AS$4),-AS10/VLOOKUP(AS$4,'Tax Tables'!$G$338:$I$398,2),0)))/Round_To,0)*Round_To</f>
        <v>0</v>
      </c>
      <c r="AU101" s="34">
        <f>+Details!E101</f>
        <v>0</v>
      </c>
      <c r="AV101" s="83">
        <f t="shared" si="86"/>
        <v>0</v>
      </c>
      <c r="AW101" s="102"/>
      <c r="AY101" s="38">
        <f>+Details!F101-Base!F101</f>
        <v>0</v>
      </c>
      <c r="AZ101" s="1125">
        <f>+Details!G101-Base!G101</f>
        <v>0</v>
      </c>
      <c r="BA101" s="1125">
        <f>+Details!H101-Base!H101</f>
        <v>0</v>
      </c>
      <c r="BB101" s="1125">
        <f>+Details!I101-Base!I101</f>
        <v>0</v>
      </c>
      <c r="BC101" s="1125">
        <f>+Details!J101-Base!J101</f>
        <v>0</v>
      </c>
      <c r="BD101" s="1125">
        <f>+Details!K101-Base!K101</f>
        <v>0</v>
      </c>
      <c r="BE101" s="1125">
        <f>+Details!L101-Base!L101</f>
        <v>0</v>
      </c>
      <c r="BF101" s="1125">
        <f>+Details!M101-Base!M101</f>
        <v>0</v>
      </c>
      <c r="BG101" s="1125">
        <f>+Details!N101-Base!N101</f>
        <v>0</v>
      </c>
      <c r="BH101" s="1125">
        <f>+Details!O101-Base!O101</f>
        <v>0</v>
      </c>
      <c r="BI101" s="1125">
        <f>+Details!P101-Base!P101</f>
        <v>0</v>
      </c>
      <c r="BJ101" s="1125">
        <f>+Details!Q101-Base!Q101</f>
        <v>0</v>
      </c>
      <c r="BK101" s="1125">
        <f>+Details!R101-Base!R101</f>
        <v>0</v>
      </c>
      <c r="BL101" s="1125">
        <f>+Details!S101-Base!S101</f>
        <v>0</v>
      </c>
      <c r="BM101" s="1125">
        <f>+Details!T101-Base!T101</f>
        <v>0</v>
      </c>
      <c r="BN101" s="1125">
        <f>+Details!U101-Base!U101</f>
        <v>0</v>
      </c>
      <c r="BO101" s="1125">
        <f>+Details!V101-Base!V101</f>
        <v>0</v>
      </c>
      <c r="BP101" s="1125">
        <f>+Details!W101-Base!W101</f>
        <v>0</v>
      </c>
      <c r="BQ101" s="1125">
        <f>+Details!X101-Base!X101</f>
        <v>0</v>
      </c>
      <c r="BR101" s="1125">
        <f>+Details!Y101-Base!Y101</f>
        <v>0</v>
      </c>
      <c r="BS101" s="1125">
        <f>+Details!Z101-Base!Z101</f>
        <v>0</v>
      </c>
      <c r="BT101" s="1125">
        <f>+Details!AA101-Base!AA101</f>
        <v>0</v>
      </c>
      <c r="BU101" s="1125">
        <f>+Details!AB101-Base!AB101</f>
        <v>0</v>
      </c>
      <c r="BV101" s="1125">
        <f>+Details!AC101-Base!AC101</f>
        <v>0</v>
      </c>
      <c r="BW101" s="1125">
        <f>+Details!AD101-Base!AD101</f>
        <v>0</v>
      </c>
      <c r="BX101" s="1125">
        <f>+Details!AE101-Base!AE101</f>
        <v>0</v>
      </c>
      <c r="BY101" s="1125">
        <f>+Details!AF101-Base!AF101</f>
        <v>0</v>
      </c>
      <c r="BZ101" s="1125">
        <f>+Details!AG101-Base!AG101</f>
        <v>0</v>
      </c>
      <c r="CA101" s="1125">
        <f>+Details!AH101-Base!AH101</f>
        <v>0</v>
      </c>
      <c r="CB101" s="1125">
        <f>+Details!AI101-Base!AI101</f>
        <v>0</v>
      </c>
      <c r="CC101" s="1125">
        <f>+Details!AJ101-Base!AJ101</f>
        <v>0</v>
      </c>
      <c r="CD101" s="1125">
        <f>+Details!AK101-Base!AK101</f>
        <v>0</v>
      </c>
      <c r="CE101" s="1125">
        <f>+Details!AL101-Base!AL101</f>
        <v>0</v>
      </c>
      <c r="CF101" s="1125">
        <f>+Details!AM101-Base!AM101</f>
        <v>0</v>
      </c>
      <c r="CG101" s="1125">
        <f>+Details!AN101-Base!AN101</f>
        <v>0</v>
      </c>
      <c r="CH101" s="1125">
        <f>+Details!AO101-Base!AO101</f>
        <v>0</v>
      </c>
      <c r="CI101" s="1125">
        <f>+Details!AP101-Base!AP101</f>
        <v>0</v>
      </c>
      <c r="CJ101" s="1125">
        <f>+Details!AQ101-Base!AQ101</f>
        <v>0</v>
      </c>
      <c r="CK101" s="1125">
        <f>+Details!AR101-Base!AR101</f>
        <v>0</v>
      </c>
      <c r="CL101" s="1125">
        <f>+Details!AS101-Base!AS101</f>
        <v>0</v>
      </c>
      <c r="CM101" s="103"/>
    </row>
    <row r="102" spans="1:91">
      <c r="B102" s="1765" t="s">
        <v>349</v>
      </c>
      <c r="C102" s="1003" t="str">
        <f>IF(IRA2_Owner="y","Yours:","Spouse:") &amp; " starting " &amp; IRA_RMD_Age2</f>
        <v>Spouse: starting 70</v>
      </c>
      <c r="D102" s="1003" t="str">
        <f>VLOOKUP(IRA_RMD_Age2,'Tax Tables'!$G$338:$I$398,2)&amp;" yrs life"</f>
        <v>27.4 yrs life</v>
      </c>
      <c r="E102" s="29">
        <f>SUM(F102:AS102)</f>
        <v>-530400</v>
      </c>
      <c r="F102" s="449">
        <f>+F100+F101</f>
        <v>0</v>
      </c>
      <c r="G102" s="1124">
        <f>+G100+G101</f>
        <v>0</v>
      </c>
      <c r="H102" s="1124">
        <f t="shared" ref="H102:AS102" si="91">+H100+H101</f>
        <v>0</v>
      </c>
      <c r="I102" s="1124">
        <f t="shared" si="91"/>
        <v>0</v>
      </c>
      <c r="J102" s="1124">
        <f t="shared" si="91"/>
        <v>0</v>
      </c>
      <c r="K102" s="1124">
        <f t="shared" si="91"/>
        <v>0</v>
      </c>
      <c r="L102" s="1124">
        <f t="shared" si="91"/>
        <v>0</v>
      </c>
      <c r="M102" s="1124">
        <f t="shared" si="91"/>
        <v>0</v>
      </c>
      <c r="N102" s="1124">
        <f t="shared" si="91"/>
        <v>0</v>
      </c>
      <c r="O102" s="1124">
        <f t="shared" si="91"/>
        <v>-15000</v>
      </c>
      <c r="P102" s="1124">
        <f t="shared" si="91"/>
        <v>-15900</v>
      </c>
      <c r="Q102" s="1124">
        <f t="shared" si="91"/>
        <v>-16800</v>
      </c>
      <c r="R102" s="1124">
        <f t="shared" si="91"/>
        <v>-17700</v>
      </c>
      <c r="S102" s="1124">
        <f t="shared" si="91"/>
        <v>-18700</v>
      </c>
      <c r="T102" s="1124">
        <f t="shared" si="91"/>
        <v>-19700</v>
      </c>
      <c r="U102" s="1124">
        <f t="shared" si="91"/>
        <v>-20800</v>
      </c>
      <c r="V102" s="1124">
        <f t="shared" si="91"/>
        <v>-21900</v>
      </c>
      <c r="W102" s="1124">
        <f t="shared" si="91"/>
        <v>-23100</v>
      </c>
      <c r="X102" s="1124">
        <f t="shared" si="91"/>
        <v>-24200</v>
      </c>
      <c r="Y102" s="1124">
        <f t="shared" si="91"/>
        <v>-25300</v>
      </c>
      <c r="Z102" s="1124">
        <f t="shared" si="91"/>
        <v>-26300</v>
      </c>
      <c r="AA102" s="1124">
        <f t="shared" si="91"/>
        <v>-27500</v>
      </c>
      <c r="AB102" s="1124">
        <f t="shared" si="91"/>
        <v>-28600</v>
      </c>
      <c r="AC102" s="1124">
        <f t="shared" si="91"/>
        <v>-29800</v>
      </c>
      <c r="AD102" s="1124">
        <f t="shared" si="91"/>
        <v>-30800</v>
      </c>
      <c r="AE102" s="1124">
        <f t="shared" si="91"/>
        <v>-31800</v>
      </c>
      <c r="AF102" s="1124">
        <f t="shared" si="91"/>
        <v>-32700</v>
      </c>
      <c r="AG102" s="1124">
        <f t="shared" si="91"/>
        <v>-33700</v>
      </c>
      <c r="AH102" s="1124">
        <f t="shared" si="91"/>
        <v>-34700</v>
      </c>
      <c r="AI102" s="1124">
        <f t="shared" si="91"/>
        <v>-35400</v>
      </c>
      <c r="AJ102" s="1124">
        <f t="shared" si="91"/>
        <v>0</v>
      </c>
      <c r="AK102" s="1124">
        <f t="shared" si="91"/>
        <v>0</v>
      </c>
      <c r="AL102" s="1124">
        <f t="shared" si="91"/>
        <v>0</v>
      </c>
      <c r="AM102" s="1124">
        <f t="shared" si="91"/>
        <v>0</v>
      </c>
      <c r="AN102" s="1124">
        <f t="shared" si="91"/>
        <v>0</v>
      </c>
      <c r="AO102" s="1124">
        <f t="shared" si="91"/>
        <v>0</v>
      </c>
      <c r="AP102" s="1124">
        <f t="shared" si="91"/>
        <v>0</v>
      </c>
      <c r="AQ102" s="1124">
        <f t="shared" si="91"/>
        <v>0</v>
      </c>
      <c r="AR102" s="1124">
        <f t="shared" si="91"/>
        <v>0</v>
      </c>
      <c r="AS102" s="1124">
        <f t="shared" si="91"/>
        <v>0</v>
      </c>
      <c r="AT102" s="3"/>
      <c r="AU102" s="29">
        <f>+Details!E102</f>
        <v>-530400</v>
      </c>
      <c r="AV102" s="81">
        <f t="shared" si="86"/>
        <v>0</v>
      </c>
      <c r="AW102" s="102"/>
      <c r="AY102" s="31">
        <f>+Details!F102-Base!F102</f>
        <v>0</v>
      </c>
      <c r="AZ102" s="1124">
        <f>+Details!G102-Base!G102</f>
        <v>0</v>
      </c>
      <c r="BA102" s="1124">
        <f>+Details!H102-Base!H102</f>
        <v>0</v>
      </c>
      <c r="BB102" s="1124">
        <f>+Details!I102-Base!I102</f>
        <v>0</v>
      </c>
      <c r="BC102" s="1124">
        <f>+Details!J102-Base!J102</f>
        <v>0</v>
      </c>
      <c r="BD102" s="1124">
        <f>+Details!K102-Base!K102</f>
        <v>0</v>
      </c>
      <c r="BE102" s="1124">
        <f>+Details!L102-Base!L102</f>
        <v>0</v>
      </c>
      <c r="BF102" s="1124">
        <f>+Details!M102-Base!M102</f>
        <v>0</v>
      </c>
      <c r="BG102" s="1124">
        <f>+Details!N102-Base!N102</f>
        <v>0</v>
      </c>
      <c r="BH102" s="1124">
        <f>+Details!O102-Base!O102</f>
        <v>0</v>
      </c>
      <c r="BI102" s="1124">
        <f>+Details!P102-Base!P102</f>
        <v>0</v>
      </c>
      <c r="BJ102" s="1124">
        <f>+Details!Q102-Base!Q102</f>
        <v>0</v>
      </c>
      <c r="BK102" s="1124">
        <f>+Details!R102-Base!R102</f>
        <v>0</v>
      </c>
      <c r="BL102" s="1124">
        <f>+Details!S102-Base!S102</f>
        <v>0</v>
      </c>
      <c r="BM102" s="1124">
        <f>+Details!T102-Base!T102</f>
        <v>0</v>
      </c>
      <c r="BN102" s="1124">
        <f>+Details!U102-Base!U102</f>
        <v>0</v>
      </c>
      <c r="BO102" s="1124">
        <f>+Details!V102-Base!V102</f>
        <v>0</v>
      </c>
      <c r="BP102" s="1124">
        <f>+Details!W102-Base!W102</f>
        <v>0</v>
      </c>
      <c r="BQ102" s="1124">
        <f>+Details!X102-Base!X102</f>
        <v>0</v>
      </c>
      <c r="BR102" s="1124">
        <f>+Details!Y102-Base!Y102</f>
        <v>0</v>
      </c>
      <c r="BS102" s="1124">
        <f>+Details!Z102-Base!Z102</f>
        <v>0</v>
      </c>
      <c r="BT102" s="1124">
        <f>+Details!AA102-Base!AA102</f>
        <v>0</v>
      </c>
      <c r="BU102" s="1124">
        <f>+Details!AB102-Base!AB102</f>
        <v>0</v>
      </c>
      <c r="BV102" s="1124">
        <f>+Details!AC102-Base!AC102</f>
        <v>0</v>
      </c>
      <c r="BW102" s="1124">
        <f>+Details!AD102-Base!AD102</f>
        <v>0</v>
      </c>
      <c r="BX102" s="1124">
        <f>+Details!AE102-Base!AE102</f>
        <v>0</v>
      </c>
      <c r="BY102" s="1124">
        <f>+Details!AF102-Base!AF102</f>
        <v>0</v>
      </c>
      <c r="BZ102" s="1124">
        <f>+Details!AG102-Base!AG102</f>
        <v>0</v>
      </c>
      <c r="CA102" s="1124">
        <f>+Details!AH102-Base!AH102</f>
        <v>0</v>
      </c>
      <c r="CB102" s="1124">
        <f>+Details!AI102-Base!AI102</f>
        <v>0</v>
      </c>
      <c r="CC102" s="1124">
        <f>+Details!AJ102-Base!AJ102</f>
        <v>0</v>
      </c>
      <c r="CD102" s="1124">
        <f>+Details!AK102-Base!AK102</f>
        <v>0</v>
      </c>
      <c r="CE102" s="1124">
        <f>+Details!AL102-Base!AL102</f>
        <v>0</v>
      </c>
      <c r="CF102" s="1124">
        <f>+Details!AM102-Base!AM102</f>
        <v>0</v>
      </c>
      <c r="CG102" s="1124">
        <f>+Details!AN102-Base!AN102</f>
        <v>0</v>
      </c>
      <c r="CH102" s="1124">
        <f>+Details!AO102-Base!AO102</f>
        <v>0</v>
      </c>
      <c r="CI102" s="1124">
        <f>+Details!AP102-Base!AP102</f>
        <v>0</v>
      </c>
      <c r="CJ102" s="1124">
        <f>+Details!AQ102-Base!AQ102</f>
        <v>0</v>
      </c>
      <c r="CK102" s="1124">
        <f>+Details!AR102-Base!AR102</f>
        <v>0</v>
      </c>
      <c r="CL102" s="1124">
        <f>+Details!AS102-Base!AS102</f>
        <v>0</v>
      </c>
      <c r="CM102" s="81"/>
    </row>
    <row r="103" spans="1:91" ht="15.6">
      <c r="B103" s="1764" t="s">
        <v>1277</v>
      </c>
      <c r="C103" s="437"/>
      <c r="D103" s="256"/>
      <c r="E103" s="65">
        <f t="shared" si="73"/>
        <v>0</v>
      </c>
      <c r="F103" s="449">
        <f t="shared" ref="F103:AS103" si="92">ROUND(IF(F8-Taxable_Min+F303-F95&lt;0,IF(F330&gt;0,IF(F8-Taxable_Min+F303-F95&lt;-F330,-F330,F8+F303-F95-Taxable_Min),0),0)/Round_To,0)*Round_To*IF(Automate="y",1,0)</f>
        <v>0</v>
      </c>
      <c r="G103" s="1124">
        <f t="shared" si="92"/>
        <v>0</v>
      </c>
      <c r="H103" s="1124">
        <f t="shared" si="92"/>
        <v>0</v>
      </c>
      <c r="I103" s="1124">
        <f t="shared" si="92"/>
        <v>0</v>
      </c>
      <c r="J103" s="1124">
        <f t="shared" si="92"/>
        <v>0</v>
      </c>
      <c r="K103" s="1124">
        <f t="shared" si="92"/>
        <v>0</v>
      </c>
      <c r="L103" s="1124">
        <f t="shared" si="92"/>
        <v>0</v>
      </c>
      <c r="M103" s="1124">
        <f t="shared" si="92"/>
        <v>0</v>
      </c>
      <c r="N103" s="1124">
        <f t="shared" si="92"/>
        <v>0</v>
      </c>
      <c r="O103" s="1124">
        <f t="shared" si="92"/>
        <v>0</v>
      </c>
      <c r="P103" s="1124">
        <f t="shared" si="92"/>
        <v>0</v>
      </c>
      <c r="Q103" s="1124">
        <f t="shared" si="92"/>
        <v>0</v>
      </c>
      <c r="R103" s="1124">
        <f t="shared" si="92"/>
        <v>0</v>
      </c>
      <c r="S103" s="1124">
        <f t="shared" si="92"/>
        <v>0</v>
      </c>
      <c r="T103" s="1124">
        <f t="shared" si="92"/>
        <v>0</v>
      </c>
      <c r="U103" s="1124">
        <f t="shared" si="92"/>
        <v>0</v>
      </c>
      <c r="V103" s="1124">
        <f t="shared" si="92"/>
        <v>0</v>
      </c>
      <c r="W103" s="1124">
        <f t="shared" si="92"/>
        <v>0</v>
      </c>
      <c r="X103" s="1124">
        <f t="shared" si="92"/>
        <v>0</v>
      </c>
      <c r="Y103" s="1124">
        <f t="shared" si="92"/>
        <v>0</v>
      </c>
      <c r="Z103" s="1124">
        <f t="shared" si="92"/>
        <v>0</v>
      </c>
      <c r="AA103" s="1124">
        <f t="shared" si="92"/>
        <v>0</v>
      </c>
      <c r="AB103" s="1124">
        <f t="shared" si="92"/>
        <v>0</v>
      </c>
      <c r="AC103" s="1124">
        <f t="shared" si="92"/>
        <v>0</v>
      </c>
      <c r="AD103" s="1124">
        <f t="shared" si="92"/>
        <v>0</v>
      </c>
      <c r="AE103" s="1124">
        <f t="shared" si="92"/>
        <v>0</v>
      </c>
      <c r="AF103" s="1124">
        <f t="shared" si="92"/>
        <v>0</v>
      </c>
      <c r="AG103" s="1124">
        <f t="shared" si="92"/>
        <v>0</v>
      </c>
      <c r="AH103" s="1124">
        <f t="shared" si="92"/>
        <v>0</v>
      </c>
      <c r="AI103" s="1124">
        <f t="shared" si="92"/>
        <v>0</v>
      </c>
      <c r="AJ103" s="1124">
        <f t="shared" si="92"/>
        <v>0</v>
      </c>
      <c r="AK103" s="1124">
        <f t="shared" si="92"/>
        <v>0</v>
      </c>
      <c r="AL103" s="1124">
        <f t="shared" si="92"/>
        <v>0</v>
      </c>
      <c r="AM103" s="1124">
        <f t="shared" si="92"/>
        <v>0</v>
      </c>
      <c r="AN103" s="1124">
        <f t="shared" si="92"/>
        <v>0</v>
      </c>
      <c r="AO103" s="1124">
        <f t="shared" si="92"/>
        <v>0</v>
      </c>
      <c r="AP103" s="1124">
        <f t="shared" si="92"/>
        <v>0</v>
      </c>
      <c r="AQ103" s="1124">
        <f t="shared" si="92"/>
        <v>0</v>
      </c>
      <c r="AR103" s="1124">
        <f t="shared" si="92"/>
        <v>0</v>
      </c>
      <c r="AS103" s="1124">
        <f t="shared" si="92"/>
        <v>0</v>
      </c>
      <c r="AT103" s="3"/>
      <c r="AU103" s="29">
        <f>+Details!E103</f>
        <v>0</v>
      </c>
      <c r="AV103" s="81">
        <f t="shared" si="86"/>
        <v>0</v>
      </c>
      <c r="AW103" s="191"/>
      <c r="AY103" s="31">
        <f>+Details!F103-Base!F103</f>
        <v>0</v>
      </c>
      <c r="AZ103" s="1124">
        <f>+Details!G103-Base!G103</f>
        <v>0</v>
      </c>
      <c r="BA103" s="1124">
        <f>+Details!H103-Base!H103</f>
        <v>0</v>
      </c>
      <c r="BB103" s="1124">
        <f>+Details!I103-Base!I103</f>
        <v>0</v>
      </c>
      <c r="BC103" s="1124">
        <f>+Details!J103-Base!J103</f>
        <v>0</v>
      </c>
      <c r="BD103" s="1124">
        <f>+Details!K103-Base!K103</f>
        <v>0</v>
      </c>
      <c r="BE103" s="1124">
        <f>+Details!L103-Base!L103</f>
        <v>0</v>
      </c>
      <c r="BF103" s="1124">
        <f>+Details!M103-Base!M103</f>
        <v>0</v>
      </c>
      <c r="BG103" s="1124">
        <f>+Details!N103-Base!N103</f>
        <v>0</v>
      </c>
      <c r="BH103" s="1124">
        <f>+Details!O103-Base!O103</f>
        <v>0</v>
      </c>
      <c r="BI103" s="1124">
        <f>+Details!P103-Base!P103</f>
        <v>0</v>
      </c>
      <c r="BJ103" s="1124">
        <f>+Details!Q103-Base!Q103</f>
        <v>0</v>
      </c>
      <c r="BK103" s="1124">
        <f>+Details!R103-Base!R103</f>
        <v>0</v>
      </c>
      <c r="BL103" s="1124">
        <f>+Details!S103-Base!S103</f>
        <v>0</v>
      </c>
      <c r="BM103" s="1124">
        <f>+Details!T103-Base!T103</f>
        <v>0</v>
      </c>
      <c r="BN103" s="1124">
        <f>+Details!U103-Base!U103</f>
        <v>0</v>
      </c>
      <c r="BO103" s="1124">
        <f>+Details!V103-Base!V103</f>
        <v>0</v>
      </c>
      <c r="BP103" s="1124">
        <f>+Details!W103-Base!W103</f>
        <v>0</v>
      </c>
      <c r="BQ103" s="1124">
        <f>+Details!X103-Base!X103</f>
        <v>0</v>
      </c>
      <c r="BR103" s="1124">
        <f>+Details!Y103-Base!Y103</f>
        <v>0</v>
      </c>
      <c r="BS103" s="1124">
        <f>+Details!Z103-Base!Z103</f>
        <v>0</v>
      </c>
      <c r="BT103" s="1124">
        <f>+Details!AA103-Base!AA103</f>
        <v>0</v>
      </c>
      <c r="BU103" s="1124">
        <f>+Details!AB103-Base!AB103</f>
        <v>0</v>
      </c>
      <c r="BV103" s="1124">
        <f>+Details!AC103-Base!AC103</f>
        <v>0</v>
      </c>
      <c r="BW103" s="1124">
        <f>+Details!AD103-Base!AD103</f>
        <v>0</v>
      </c>
      <c r="BX103" s="1124">
        <f>+Details!AE103-Base!AE103</f>
        <v>0</v>
      </c>
      <c r="BY103" s="1124">
        <f>+Details!AF103-Base!AF103</f>
        <v>0</v>
      </c>
      <c r="BZ103" s="1124">
        <f>+Details!AG103-Base!AG103</f>
        <v>0</v>
      </c>
      <c r="CA103" s="1124">
        <f>+Details!AH103-Base!AH103</f>
        <v>0</v>
      </c>
      <c r="CB103" s="1124">
        <f>+Details!AI103-Base!AI103</f>
        <v>0</v>
      </c>
      <c r="CC103" s="1124">
        <f>+Details!AJ103-Base!AJ103</f>
        <v>0</v>
      </c>
      <c r="CD103" s="1124">
        <f>+Details!AK103-Base!AK103</f>
        <v>0</v>
      </c>
      <c r="CE103" s="1124">
        <f>+Details!AL103-Base!AL103</f>
        <v>0</v>
      </c>
      <c r="CF103" s="1124">
        <f>+Details!AM103-Base!AM103</f>
        <v>0</v>
      </c>
      <c r="CG103" s="1124">
        <f>+Details!AN103-Base!AN103</f>
        <v>0</v>
      </c>
      <c r="CH103" s="1124">
        <f>+Details!AO103-Base!AO103</f>
        <v>0</v>
      </c>
      <c r="CI103" s="1124">
        <f>+Details!AP103-Base!AP103</f>
        <v>0</v>
      </c>
      <c r="CJ103" s="1124">
        <f>+Details!AQ103-Base!AQ103</f>
        <v>0</v>
      </c>
      <c r="CK103" s="1124">
        <f>+Details!AR103-Base!AR103</f>
        <v>0</v>
      </c>
      <c r="CL103" s="1124">
        <f>+Details!AS103-Base!AS103</f>
        <v>0</v>
      </c>
      <c r="CM103" s="81"/>
    </row>
    <row r="104" spans="1:91" ht="7.95" customHeight="1">
      <c r="B104" s="368"/>
      <c r="C104" s="437"/>
      <c r="D104" s="256"/>
      <c r="E104" s="65"/>
      <c r="F104" s="191"/>
      <c r="G104" s="191"/>
      <c r="H104" s="191"/>
      <c r="I104" s="191"/>
      <c r="J104" s="191"/>
      <c r="K104" s="191"/>
      <c r="L104" s="191"/>
      <c r="M104" s="191"/>
      <c r="N104" s="191"/>
      <c r="O104" s="191"/>
      <c r="P104" s="191"/>
      <c r="Q104" s="191"/>
      <c r="R104" s="191"/>
      <c r="S104" s="191"/>
      <c r="T104" s="191"/>
      <c r="U104" s="191"/>
      <c r="V104" s="191"/>
      <c r="W104" s="191"/>
      <c r="X104" s="191"/>
      <c r="Y104" s="191"/>
      <c r="Z104" s="191"/>
      <c r="AA104" s="191"/>
      <c r="AB104" s="191"/>
      <c r="AC104" s="191"/>
      <c r="AD104" s="191"/>
      <c r="AE104" s="191"/>
      <c r="AF104" s="191"/>
      <c r="AG104" s="191"/>
      <c r="AH104" s="191"/>
      <c r="AI104" s="191"/>
      <c r="AJ104" s="191"/>
      <c r="AK104" s="191"/>
      <c r="AL104" s="191"/>
      <c r="AM104" s="191"/>
      <c r="AN104" s="191"/>
      <c r="AO104" s="191"/>
      <c r="AP104" s="191"/>
      <c r="AQ104" s="191"/>
      <c r="AR104" s="191"/>
      <c r="AS104" s="191"/>
      <c r="AT104" s="3"/>
      <c r="AU104" s="29"/>
      <c r="AV104" s="81"/>
      <c r="AW104" s="191"/>
      <c r="AY104" s="31"/>
      <c r="AZ104" s="191"/>
      <c r="BA104" s="191"/>
      <c r="BB104" s="191"/>
      <c r="BC104" s="191"/>
      <c r="BD104" s="191"/>
      <c r="BE104" s="191"/>
      <c r="BF104" s="191"/>
      <c r="BG104" s="191"/>
      <c r="BH104" s="191"/>
      <c r="BI104" s="191"/>
      <c r="BJ104" s="191"/>
      <c r="BK104" s="191"/>
      <c r="BL104" s="191"/>
      <c r="BM104" s="191"/>
      <c r="BN104" s="191"/>
      <c r="BO104" s="191"/>
      <c r="BP104" s="191"/>
      <c r="BQ104" s="191"/>
      <c r="BR104" s="191"/>
      <c r="BS104" s="191"/>
      <c r="BT104" s="191"/>
      <c r="BU104" s="191"/>
      <c r="BV104" s="191"/>
      <c r="BW104" s="191"/>
      <c r="BX104" s="191"/>
      <c r="BY104" s="191"/>
      <c r="BZ104" s="191"/>
      <c r="CA104" s="191"/>
      <c r="CB104" s="191"/>
      <c r="CC104" s="191"/>
      <c r="CD104" s="191"/>
      <c r="CE104" s="191"/>
      <c r="CF104" s="191"/>
      <c r="CG104" s="191"/>
      <c r="CH104" s="191"/>
      <c r="CI104" s="191"/>
      <c r="CJ104" s="191"/>
      <c r="CK104" s="191"/>
      <c r="CL104" s="191"/>
      <c r="CM104" s="81"/>
    </row>
    <row r="105" spans="1:91" hidden="1">
      <c r="A105" s="1427" t="s">
        <v>1578</v>
      </c>
      <c r="B105" s="436" t="s">
        <v>1118</v>
      </c>
      <c r="C105" s="3"/>
      <c r="D105" s="1261" t="str">
        <f>IF(Inheritor="y","You","Spouse")</f>
        <v>You</v>
      </c>
      <c r="E105" s="65">
        <f t="shared" si="73"/>
        <v>40000</v>
      </c>
      <c r="F105" s="29">
        <f t="shared" ref="F105:AS105" si="93">IF(AND(Inheritance="y",IF(Inheritor="y",Inherit_Age=F$4,Inherit_Age=F$5)),Inherit_tIRA,0)</f>
        <v>0</v>
      </c>
      <c r="G105" s="1124">
        <f t="shared" si="93"/>
        <v>0</v>
      </c>
      <c r="H105" s="1124">
        <f t="shared" si="93"/>
        <v>0</v>
      </c>
      <c r="I105" s="1124">
        <f t="shared" si="93"/>
        <v>0</v>
      </c>
      <c r="J105" s="1124">
        <f t="shared" si="93"/>
        <v>0</v>
      </c>
      <c r="K105" s="1124">
        <f t="shared" si="93"/>
        <v>0</v>
      </c>
      <c r="L105" s="1124">
        <f t="shared" si="93"/>
        <v>0</v>
      </c>
      <c r="M105" s="1124">
        <f t="shared" si="93"/>
        <v>0</v>
      </c>
      <c r="N105" s="1124">
        <f t="shared" si="93"/>
        <v>0</v>
      </c>
      <c r="O105" s="1124">
        <f t="shared" si="93"/>
        <v>0</v>
      </c>
      <c r="P105" s="1124">
        <f t="shared" si="93"/>
        <v>0</v>
      </c>
      <c r="Q105" s="1124">
        <f t="shared" si="93"/>
        <v>0</v>
      </c>
      <c r="R105" s="1124">
        <f t="shared" si="93"/>
        <v>0</v>
      </c>
      <c r="S105" s="1124">
        <f t="shared" si="93"/>
        <v>0</v>
      </c>
      <c r="T105" s="1124">
        <f t="shared" si="93"/>
        <v>0</v>
      </c>
      <c r="U105" s="1124">
        <f t="shared" si="93"/>
        <v>40000</v>
      </c>
      <c r="V105" s="1124">
        <f t="shared" si="93"/>
        <v>0</v>
      </c>
      <c r="W105" s="1124">
        <f t="shared" si="93"/>
        <v>0</v>
      </c>
      <c r="X105" s="1124">
        <f t="shared" si="93"/>
        <v>0</v>
      </c>
      <c r="Y105" s="1124">
        <f t="shared" si="93"/>
        <v>0</v>
      </c>
      <c r="Z105" s="1124">
        <f t="shared" si="93"/>
        <v>0</v>
      </c>
      <c r="AA105" s="1124">
        <f t="shared" si="93"/>
        <v>0</v>
      </c>
      <c r="AB105" s="1124">
        <f t="shared" si="93"/>
        <v>0</v>
      </c>
      <c r="AC105" s="1124">
        <f t="shared" si="93"/>
        <v>0</v>
      </c>
      <c r="AD105" s="1124">
        <f t="shared" si="93"/>
        <v>0</v>
      </c>
      <c r="AE105" s="1124">
        <f t="shared" si="93"/>
        <v>0</v>
      </c>
      <c r="AF105" s="1124">
        <f t="shared" si="93"/>
        <v>0</v>
      </c>
      <c r="AG105" s="1124">
        <f t="shared" si="93"/>
        <v>0</v>
      </c>
      <c r="AH105" s="1124">
        <f t="shared" si="93"/>
        <v>0</v>
      </c>
      <c r="AI105" s="1124">
        <f t="shared" si="93"/>
        <v>0</v>
      </c>
      <c r="AJ105" s="1124">
        <f t="shared" si="93"/>
        <v>0</v>
      </c>
      <c r="AK105" s="1124">
        <f t="shared" si="93"/>
        <v>0</v>
      </c>
      <c r="AL105" s="1124">
        <f t="shared" si="93"/>
        <v>0</v>
      </c>
      <c r="AM105" s="1124">
        <f t="shared" si="93"/>
        <v>0</v>
      </c>
      <c r="AN105" s="1124">
        <f t="shared" si="93"/>
        <v>0</v>
      </c>
      <c r="AO105" s="1124">
        <f t="shared" si="93"/>
        <v>0</v>
      </c>
      <c r="AP105" s="1124">
        <f t="shared" si="93"/>
        <v>0</v>
      </c>
      <c r="AQ105" s="1124">
        <f t="shared" si="93"/>
        <v>0</v>
      </c>
      <c r="AR105" s="1124">
        <f t="shared" si="93"/>
        <v>0</v>
      </c>
      <c r="AS105" s="1124">
        <f t="shared" si="93"/>
        <v>0</v>
      </c>
      <c r="AT105" s="3"/>
      <c r="AU105" s="29">
        <f>+Details!E105</f>
        <v>40000</v>
      </c>
      <c r="AV105" s="81">
        <f>+E105-AU105</f>
        <v>0</v>
      </c>
      <c r="AW105" s="102"/>
      <c r="AY105" s="31">
        <f>+Details!F105-Base!F105</f>
        <v>0</v>
      </c>
      <c r="AZ105" s="1124">
        <f>+Details!G105-Base!G105</f>
        <v>0</v>
      </c>
      <c r="BA105" s="1124">
        <f>+Details!H105-Base!H105</f>
        <v>0</v>
      </c>
      <c r="BB105" s="1124">
        <f>+Details!I105-Base!I105</f>
        <v>0</v>
      </c>
      <c r="BC105" s="1124">
        <f>+Details!J105-Base!J105</f>
        <v>0</v>
      </c>
      <c r="BD105" s="1124">
        <f>+Details!K105-Base!K105</f>
        <v>0</v>
      </c>
      <c r="BE105" s="1124">
        <f>+Details!L105-Base!L105</f>
        <v>0</v>
      </c>
      <c r="BF105" s="1124">
        <f>+Details!M105-Base!M105</f>
        <v>0</v>
      </c>
      <c r="BG105" s="1124">
        <f>+Details!N105-Base!N105</f>
        <v>0</v>
      </c>
      <c r="BH105" s="1124">
        <f>+Details!O105-Base!O105</f>
        <v>0</v>
      </c>
      <c r="BI105" s="1124">
        <f>+Details!P105-Base!P105</f>
        <v>0</v>
      </c>
      <c r="BJ105" s="1124">
        <f>+Details!Q105-Base!Q105</f>
        <v>0</v>
      </c>
      <c r="BK105" s="1124">
        <f>+Details!R105-Base!R105</f>
        <v>0</v>
      </c>
      <c r="BL105" s="1124">
        <f>+Details!S105-Base!S105</f>
        <v>0</v>
      </c>
      <c r="BM105" s="1124">
        <f>+Details!T105-Base!T105</f>
        <v>0</v>
      </c>
      <c r="BN105" s="1124">
        <f>+Details!U105-Base!U105</f>
        <v>0</v>
      </c>
      <c r="BO105" s="1124">
        <f>+Details!V105-Base!V105</f>
        <v>0</v>
      </c>
      <c r="BP105" s="1124">
        <f>+Details!W105-Base!W105</f>
        <v>0</v>
      </c>
      <c r="BQ105" s="1124">
        <f>+Details!X105-Base!X105</f>
        <v>0</v>
      </c>
      <c r="BR105" s="1124">
        <f>+Details!Y105-Base!Y105</f>
        <v>0</v>
      </c>
      <c r="BS105" s="1124">
        <f>+Details!Z105-Base!Z105</f>
        <v>0</v>
      </c>
      <c r="BT105" s="1124">
        <f>+Details!AA105-Base!AA105</f>
        <v>0</v>
      </c>
      <c r="BU105" s="1124">
        <f>+Details!AB105-Base!AB105</f>
        <v>0</v>
      </c>
      <c r="BV105" s="1124">
        <f>+Details!AC105-Base!AC105</f>
        <v>0</v>
      </c>
      <c r="BW105" s="1124">
        <f>+Details!AD105-Base!AD105</f>
        <v>0</v>
      </c>
      <c r="BX105" s="1124">
        <f>+Details!AE105-Base!AE105</f>
        <v>0</v>
      </c>
      <c r="BY105" s="1124">
        <f>+Details!AF105-Base!AF105</f>
        <v>0</v>
      </c>
      <c r="BZ105" s="1124">
        <f>+Details!AG105-Base!AG105</f>
        <v>0</v>
      </c>
      <c r="CA105" s="1124">
        <f>+Details!AH105-Base!AH105</f>
        <v>0</v>
      </c>
      <c r="CB105" s="1124">
        <f>+Details!AI105-Base!AI105</f>
        <v>0</v>
      </c>
      <c r="CC105" s="1124">
        <f>+Details!AJ105-Base!AJ105</f>
        <v>0</v>
      </c>
      <c r="CD105" s="1124">
        <f>+Details!AK105-Base!AK105</f>
        <v>0</v>
      </c>
      <c r="CE105" s="1124">
        <f>+Details!AL105-Base!AL105</f>
        <v>0</v>
      </c>
      <c r="CF105" s="1124">
        <f>+Details!AM105-Base!AM105</f>
        <v>0</v>
      </c>
      <c r="CG105" s="1124">
        <f>+Details!AN105-Base!AN105</f>
        <v>0</v>
      </c>
      <c r="CH105" s="1124">
        <f>+Details!AO105-Base!AO105</f>
        <v>0</v>
      </c>
      <c r="CI105" s="1124">
        <f>+Details!AP105-Base!AP105</f>
        <v>0</v>
      </c>
      <c r="CJ105" s="1124">
        <f>+Details!AQ105-Base!AQ105</f>
        <v>0</v>
      </c>
      <c r="CK105" s="1124">
        <f>+Details!AR105-Base!AR105</f>
        <v>0</v>
      </c>
      <c r="CL105" s="1124">
        <f>+Details!AS105-Base!AS105</f>
        <v>0</v>
      </c>
      <c r="CM105" s="81"/>
    </row>
    <row r="106" spans="1:91" hidden="1">
      <c r="A106" s="1427" t="s">
        <v>1578</v>
      </c>
      <c r="B106" s="436" t="s">
        <v>1119</v>
      </c>
      <c r="C106" s="3"/>
      <c r="D106" s="1261" t="str">
        <f>IF(Inheritor2="y","Your","Spouse")</f>
        <v>Spouse</v>
      </c>
      <c r="E106" s="65">
        <f t="shared" si="73"/>
        <v>60000</v>
      </c>
      <c r="F106" s="29">
        <f t="shared" ref="F106:AS106" si="94">IF(AND(Inheritance2="y",IF(Inheritor2="y",Inherit_Age2=F$4,Inherit_Age2=F$5)),Inherit_tIRA2,0)</f>
        <v>0</v>
      </c>
      <c r="G106" s="1124">
        <f t="shared" si="94"/>
        <v>0</v>
      </c>
      <c r="H106" s="1124">
        <f t="shared" si="94"/>
        <v>0</v>
      </c>
      <c r="I106" s="1124">
        <f t="shared" si="94"/>
        <v>0</v>
      </c>
      <c r="J106" s="1124">
        <f t="shared" si="94"/>
        <v>0</v>
      </c>
      <c r="K106" s="1124">
        <f t="shared" si="94"/>
        <v>0</v>
      </c>
      <c r="L106" s="1124">
        <f t="shared" si="94"/>
        <v>0</v>
      </c>
      <c r="M106" s="1124">
        <f t="shared" si="94"/>
        <v>0</v>
      </c>
      <c r="N106" s="1124">
        <f t="shared" si="94"/>
        <v>0</v>
      </c>
      <c r="O106" s="1124">
        <f t="shared" si="94"/>
        <v>0</v>
      </c>
      <c r="P106" s="1124">
        <f t="shared" si="94"/>
        <v>0</v>
      </c>
      <c r="Q106" s="1124">
        <f t="shared" si="94"/>
        <v>60000</v>
      </c>
      <c r="R106" s="1124">
        <f t="shared" si="94"/>
        <v>0</v>
      </c>
      <c r="S106" s="1124">
        <f t="shared" si="94"/>
        <v>0</v>
      </c>
      <c r="T106" s="1124">
        <f t="shared" si="94"/>
        <v>0</v>
      </c>
      <c r="U106" s="1124">
        <f t="shared" si="94"/>
        <v>0</v>
      </c>
      <c r="V106" s="1124">
        <f t="shared" si="94"/>
        <v>0</v>
      </c>
      <c r="W106" s="1124">
        <f t="shared" si="94"/>
        <v>0</v>
      </c>
      <c r="X106" s="1124">
        <f t="shared" si="94"/>
        <v>0</v>
      </c>
      <c r="Y106" s="1124">
        <f t="shared" si="94"/>
        <v>0</v>
      </c>
      <c r="Z106" s="1124">
        <f t="shared" si="94"/>
        <v>0</v>
      </c>
      <c r="AA106" s="1124">
        <f t="shared" si="94"/>
        <v>0</v>
      </c>
      <c r="AB106" s="1124">
        <f t="shared" si="94"/>
        <v>0</v>
      </c>
      <c r="AC106" s="1124">
        <f t="shared" si="94"/>
        <v>0</v>
      </c>
      <c r="AD106" s="1124">
        <f t="shared" si="94"/>
        <v>0</v>
      </c>
      <c r="AE106" s="1124">
        <f t="shared" si="94"/>
        <v>0</v>
      </c>
      <c r="AF106" s="1124">
        <f t="shared" si="94"/>
        <v>0</v>
      </c>
      <c r="AG106" s="1124">
        <f t="shared" si="94"/>
        <v>0</v>
      </c>
      <c r="AH106" s="1124">
        <f t="shared" si="94"/>
        <v>0</v>
      </c>
      <c r="AI106" s="1124">
        <f t="shared" si="94"/>
        <v>0</v>
      </c>
      <c r="AJ106" s="1124">
        <f t="shared" si="94"/>
        <v>0</v>
      </c>
      <c r="AK106" s="1124">
        <f t="shared" si="94"/>
        <v>0</v>
      </c>
      <c r="AL106" s="1124">
        <f t="shared" si="94"/>
        <v>0</v>
      </c>
      <c r="AM106" s="1124">
        <f t="shared" si="94"/>
        <v>0</v>
      </c>
      <c r="AN106" s="1124">
        <f t="shared" si="94"/>
        <v>0</v>
      </c>
      <c r="AO106" s="1124">
        <f t="shared" si="94"/>
        <v>0</v>
      </c>
      <c r="AP106" s="1124">
        <f t="shared" si="94"/>
        <v>0</v>
      </c>
      <c r="AQ106" s="1124">
        <f t="shared" si="94"/>
        <v>0</v>
      </c>
      <c r="AR106" s="1124">
        <f t="shared" si="94"/>
        <v>0</v>
      </c>
      <c r="AS106" s="1124">
        <f t="shared" si="94"/>
        <v>0</v>
      </c>
      <c r="AT106" s="3"/>
      <c r="AU106" s="29">
        <f>+Details!E106</f>
        <v>60000</v>
      </c>
      <c r="AV106" s="81">
        <f t="shared" ref="AV106:AV118" si="95">+E106-AU106</f>
        <v>0</v>
      </c>
      <c r="AW106" s="102"/>
      <c r="AY106" s="31">
        <f>+Details!F106-Base!F106</f>
        <v>0</v>
      </c>
      <c r="AZ106" s="1124">
        <f>+Details!G106-Base!G106</f>
        <v>0</v>
      </c>
      <c r="BA106" s="1124">
        <f>+Details!H106-Base!H106</f>
        <v>0</v>
      </c>
      <c r="BB106" s="1124">
        <f>+Details!I106-Base!I106</f>
        <v>0</v>
      </c>
      <c r="BC106" s="1124">
        <f>+Details!J106-Base!J106</f>
        <v>0</v>
      </c>
      <c r="BD106" s="1124">
        <f>+Details!K106-Base!K106</f>
        <v>0</v>
      </c>
      <c r="BE106" s="1124">
        <f>+Details!L106-Base!L106</f>
        <v>0</v>
      </c>
      <c r="BF106" s="1124">
        <f>+Details!M106-Base!M106</f>
        <v>0</v>
      </c>
      <c r="BG106" s="1124">
        <f>+Details!N106-Base!N106</f>
        <v>0</v>
      </c>
      <c r="BH106" s="1124">
        <f>+Details!O106-Base!O106</f>
        <v>0</v>
      </c>
      <c r="BI106" s="1124">
        <f>+Details!P106-Base!P106</f>
        <v>0</v>
      </c>
      <c r="BJ106" s="1124">
        <f>+Details!Q106-Base!Q106</f>
        <v>0</v>
      </c>
      <c r="BK106" s="1124">
        <f>+Details!R106-Base!R106</f>
        <v>0</v>
      </c>
      <c r="BL106" s="1124">
        <f>+Details!S106-Base!S106</f>
        <v>0</v>
      </c>
      <c r="BM106" s="1124">
        <f>+Details!T106-Base!T106</f>
        <v>0</v>
      </c>
      <c r="BN106" s="1124">
        <f>+Details!U106-Base!U106</f>
        <v>0</v>
      </c>
      <c r="BO106" s="1124">
        <f>+Details!V106-Base!V106</f>
        <v>0</v>
      </c>
      <c r="BP106" s="1124">
        <f>+Details!W106-Base!W106</f>
        <v>0</v>
      </c>
      <c r="BQ106" s="1124">
        <f>+Details!X106-Base!X106</f>
        <v>0</v>
      </c>
      <c r="BR106" s="1124">
        <f>+Details!Y106-Base!Y106</f>
        <v>0</v>
      </c>
      <c r="BS106" s="1124">
        <f>+Details!Z106-Base!Z106</f>
        <v>0</v>
      </c>
      <c r="BT106" s="1124">
        <f>+Details!AA106-Base!AA106</f>
        <v>0</v>
      </c>
      <c r="BU106" s="1124">
        <f>+Details!AB106-Base!AB106</f>
        <v>0</v>
      </c>
      <c r="BV106" s="1124">
        <f>+Details!AC106-Base!AC106</f>
        <v>0</v>
      </c>
      <c r="BW106" s="1124">
        <f>+Details!AD106-Base!AD106</f>
        <v>0</v>
      </c>
      <c r="BX106" s="1124">
        <f>+Details!AE106-Base!AE106</f>
        <v>0</v>
      </c>
      <c r="BY106" s="1124">
        <f>+Details!AF106-Base!AF106</f>
        <v>0</v>
      </c>
      <c r="BZ106" s="1124">
        <f>+Details!AG106-Base!AG106</f>
        <v>0</v>
      </c>
      <c r="CA106" s="1124">
        <f>+Details!AH106-Base!AH106</f>
        <v>0</v>
      </c>
      <c r="CB106" s="1124">
        <f>+Details!AI106-Base!AI106</f>
        <v>0</v>
      </c>
      <c r="CC106" s="1124">
        <f>+Details!AJ106-Base!AJ106</f>
        <v>0</v>
      </c>
      <c r="CD106" s="1124">
        <f>+Details!AK106-Base!AK106</f>
        <v>0</v>
      </c>
      <c r="CE106" s="1124">
        <f>+Details!AL106-Base!AL106</f>
        <v>0</v>
      </c>
      <c r="CF106" s="1124">
        <f>+Details!AM106-Base!AM106</f>
        <v>0</v>
      </c>
      <c r="CG106" s="1124">
        <f>+Details!AN106-Base!AN106</f>
        <v>0</v>
      </c>
      <c r="CH106" s="1124">
        <f>+Details!AO106-Base!AO106</f>
        <v>0</v>
      </c>
      <c r="CI106" s="1124">
        <f>+Details!AP106-Base!AP106</f>
        <v>0</v>
      </c>
      <c r="CJ106" s="1124">
        <f>+Details!AQ106-Base!AQ106</f>
        <v>0</v>
      </c>
      <c r="CK106" s="1124">
        <f>+Details!AR106-Base!AR106</f>
        <v>0</v>
      </c>
      <c r="CL106" s="1124">
        <f>+Details!AS106-Base!AS106</f>
        <v>0</v>
      </c>
      <c r="CM106" s="81"/>
    </row>
    <row r="107" spans="1:91">
      <c r="B107" s="436" t="s">
        <v>1278</v>
      </c>
      <c r="C107" s="1004"/>
      <c r="D107" s="94"/>
      <c r="E107" s="65">
        <f t="shared" si="73"/>
        <v>100000</v>
      </c>
      <c r="F107" s="29">
        <f>+F105+F106</f>
        <v>0</v>
      </c>
      <c r="G107" s="1124">
        <f t="shared" ref="G107:AS107" si="96">+G105+G106</f>
        <v>0</v>
      </c>
      <c r="H107" s="1124">
        <f t="shared" si="96"/>
        <v>0</v>
      </c>
      <c r="I107" s="1124">
        <f t="shared" si="96"/>
        <v>0</v>
      </c>
      <c r="J107" s="1124">
        <f t="shared" si="96"/>
        <v>0</v>
      </c>
      <c r="K107" s="1124">
        <f t="shared" si="96"/>
        <v>0</v>
      </c>
      <c r="L107" s="1124">
        <f t="shared" si="96"/>
        <v>0</v>
      </c>
      <c r="M107" s="1124">
        <f t="shared" si="96"/>
        <v>0</v>
      </c>
      <c r="N107" s="1124">
        <f t="shared" si="96"/>
        <v>0</v>
      </c>
      <c r="O107" s="1124">
        <f t="shared" si="96"/>
        <v>0</v>
      </c>
      <c r="P107" s="1124">
        <f t="shared" si="96"/>
        <v>0</v>
      </c>
      <c r="Q107" s="1124">
        <f t="shared" si="96"/>
        <v>60000</v>
      </c>
      <c r="R107" s="1124">
        <f t="shared" si="96"/>
        <v>0</v>
      </c>
      <c r="S107" s="1124">
        <f t="shared" si="96"/>
        <v>0</v>
      </c>
      <c r="T107" s="1124">
        <f t="shared" si="96"/>
        <v>0</v>
      </c>
      <c r="U107" s="1124">
        <f t="shared" si="96"/>
        <v>40000</v>
      </c>
      <c r="V107" s="1124">
        <f t="shared" si="96"/>
        <v>0</v>
      </c>
      <c r="W107" s="1124">
        <f t="shared" si="96"/>
        <v>0</v>
      </c>
      <c r="X107" s="1124">
        <f t="shared" si="96"/>
        <v>0</v>
      </c>
      <c r="Y107" s="1124">
        <f t="shared" si="96"/>
        <v>0</v>
      </c>
      <c r="Z107" s="1124">
        <f t="shared" si="96"/>
        <v>0</v>
      </c>
      <c r="AA107" s="1124">
        <f t="shared" si="96"/>
        <v>0</v>
      </c>
      <c r="AB107" s="1124">
        <f t="shared" si="96"/>
        <v>0</v>
      </c>
      <c r="AC107" s="1124">
        <f t="shared" si="96"/>
        <v>0</v>
      </c>
      <c r="AD107" s="1124">
        <f t="shared" si="96"/>
        <v>0</v>
      </c>
      <c r="AE107" s="1124">
        <f t="shared" si="96"/>
        <v>0</v>
      </c>
      <c r="AF107" s="1124">
        <f t="shared" si="96"/>
        <v>0</v>
      </c>
      <c r="AG107" s="1124">
        <f t="shared" si="96"/>
        <v>0</v>
      </c>
      <c r="AH107" s="1124">
        <f t="shared" si="96"/>
        <v>0</v>
      </c>
      <c r="AI107" s="1124">
        <f t="shared" si="96"/>
        <v>0</v>
      </c>
      <c r="AJ107" s="1124">
        <f t="shared" si="96"/>
        <v>0</v>
      </c>
      <c r="AK107" s="1124">
        <f t="shared" si="96"/>
        <v>0</v>
      </c>
      <c r="AL107" s="1124">
        <f t="shared" si="96"/>
        <v>0</v>
      </c>
      <c r="AM107" s="1124">
        <f t="shared" si="96"/>
        <v>0</v>
      </c>
      <c r="AN107" s="1124">
        <f t="shared" si="96"/>
        <v>0</v>
      </c>
      <c r="AO107" s="1124">
        <f t="shared" si="96"/>
        <v>0</v>
      </c>
      <c r="AP107" s="1124">
        <f t="shared" si="96"/>
        <v>0</v>
      </c>
      <c r="AQ107" s="1124">
        <f t="shared" si="96"/>
        <v>0</v>
      </c>
      <c r="AR107" s="1124">
        <f t="shared" si="96"/>
        <v>0</v>
      </c>
      <c r="AS107" s="1124">
        <f t="shared" si="96"/>
        <v>0</v>
      </c>
      <c r="AT107" s="3"/>
      <c r="AU107" s="29">
        <f>+Details!E107</f>
        <v>100000</v>
      </c>
      <c r="AV107" s="81">
        <f t="shared" si="95"/>
        <v>0</v>
      </c>
      <c r="AW107" s="102"/>
      <c r="AY107" s="31">
        <f>+Details!F107-Base!F107</f>
        <v>0</v>
      </c>
      <c r="AZ107" s="1124">
        <f>+Details!G107-Base!G107</f>
        <v>0</v>
      </c>
      <c r="BA107" s="1124">
        <f>+Details!H107-Base!H107</f>
        <v>0</v>
      </c>
      <c r="BB107" s="1124">
        <f>+Details!I107-Base!I107</f>
        <v>0</v>
      </c>
      <c r="BC107" s="1124">
        <f>+Details!J107-Base!J107</f>
        <v>0</v>
      </c>
      <c r="BD107" s="1124">
        <f>+Details!K107-Base!K107</f>
        <v>0</v>
      </c>
      <c r="BE107" s="1124">
        <f>+Details!L107-Base!L107</f>
        <v>0</v>
      </c>
      <c r="BF107" s="1124">
        <f>+Details!M107-Base!M107</f>
        <v>0</v>
      </c>
      <c r="BG107" s="1124">
        <f>+Details!N107-Base!N107</f>
        <v>0</v>
      </c>
      <c r="BH107" s="1124">
        <f>+Details!O107-Base!O107</f>
        <v>0</v>
      </c>
      <c r="BI107" s="1124">
        <f>+Details!P107-Base!P107</f>
        <v>0</v>
      </c>
      <c r="BJ107" s="1124">
        <f>+Details!Q107-Base!Q107</f>
        <v>0</v>
      </c>
      <c r="BK107" s="1124">
        <f>+Details!R107-Base!R107</f>
        <v>0</v>
      </c>
      <c r="BL107" s="1124">
        <f>+Details!S107-Base!S107</f>
        <v>0</v>
      </c>
      <c r="BM107" s="1124">
        <f>+Details!T107-Base!T107</f>
        <v>0</v>
      </c>
      <c r="BN107" s="1124">
        <f>+Details!U107-Base!U107</f>
        <v>0</v>
      </c>
      <c r="BO107" s="1124">
        <f>+Details!V107-Base!V107</f>
        <v>0</v>
      </c>
      <c r="BP107" s="1124">
        <f>+Details!W107-Base!W107</f>
        <v>0</v>
      </c>
      <c r="BQ107" s="1124">
        <f>+Details!X107-Base!X107</f>
        <v>0</v>
      </c>
      <c r="BR107" s="1124">
        <f>+Details!Y107-Base!Y107</f>
        <v>0</v>
      </c>
      <c r="BS107" s="1124">
        <f>+Details!Z107-Base!Z107</f>
        <v>0</v>
      </c>
      <c r="BT107" s="1124">
        <f>+Details!AA107-Base!AA107</f>
        <v>0</v>
      </c>
      <c r="BU107" s="1124">
        <f>+Details!AB107-Base!AB107</f>
        <v>0</v>
      </c>
      <c r="BV107" s="1124">
        <f>+Details!AC107-Base!AC107</f>
        <v>0</v>
      </c>
      <c r="BW107" s="1124">
        <f>+Details!AD107-Base!AD107</f>
        <v>0</v>
      </c>
      <c r="BX107" s="1124">
        <f>+Details!AE107-Base!AE107</f>
        <v>0</v>
      </c>
      <c r="BY107" s="1124">
        <f>+Details!AF107-Base!AF107</f>
        <v>0</v>
      </c>
      <c r="BZ107" s="1124">
        <f>+Details!AG107-Base!AG107</f>
        <v>0</v>
      </c>
      <c r="CA107" s="1124">
        <f>+Details!AH107-Base!AH107</f>
        <v>0</v>
      </c>
      <c r="CB107" s="1124">
        <f>+Details!AI107-Base!AI107</f>
        <v>0</v>
      </c>
      <c r="CC107" s="1124">
        <f>+Details!AJ107-Base!AJ107</f>
        <v>0</v>
      </c>
      <c r="CD107" s="1124">
        <f>+Details!AK107-Base!AK107</f>
        <v>0</v>
      </c>
      <c r="CE107" s="1124">
        <f>+Details!AL107-Base!AL107</f>
        <v>0</v>
      </c>
      <c r="CF107" s="1124">
        <f>+Details!AM107-Base!AM107</f>
        <v>0</v>
      </c>
      <c r="CG107" s="1124">
        <f>+Details!AN107-Base!AN107</f>
        <v>0</v>
      </c>
      <c r="CH107" s="1124">
        <f>+Details!AO107-Base!AO107</f>
        <v>0</v>
      </c>
      <c r="CI107" s="1124">
        <f>+Details!AP107-Base!AP107</f>
        <v>0</v>
      </c>
      <c r="CJ107" s="1124">
        <f>+Details!AQ107-Base!AQ107</f>
        <v>0</v>
      </c>
      <c r="CK107" s="1124">
        <f>+Details!AR107-Base!AR107</f>
        <v>0</v>
      </c>
      <c r="CL107" s="1124">
        <f>+Details!AS107-Base!AS107</f>
        <v>0</v>
      </c>
      <c r="CM107" s="81"/>
    </row>
    <row r="108" spans="1:91" hidden="1">
      <c r="A108" s="1427" t="s">
        <v>1578</v>
      </c>
      <c r="B108" s="436" t="s">
        <v>137</v>
      </c>
      <c r="C108" s="380"/>
      <c r="D108" s="94"/>
      <c r="E108" s="65"/>
      <c r="F108" s="243">
        <f>IF(Inheritor="",0,IF(iIRA_RMD_Age=IF(Inheritor="y",F$4,F$5),VLOOKUP(IF(Inheritor="y",F$4,F$5),'Tax Tables'!$G$338:$I$398,3),IF(iIRA_RMD_Age&lt;IF(Inheritor="y",F$4,F$5),IF(E108-1&lt;0,0,E108-1),0)))</f>
        <v>0</v>
      </c>
      <c r="G108" s="243">
        <f>IF(Inheritor="",0,IF(iIRA_RMD_Age=IF(Inheritor="y",G$4,G$5),VLOOKUP(IF(Inheritor="y",G$4,G$5),'Tax Tables'!$G$338:$I$398,3),IF(iIRA_RMD_Age&lt;IF(Inheritor="y",G$4,G$5),IF(F108-1&lt;0,0,F108-1),0)))</f>
        <v>0</v>
      </c>
      <c r="H108" s="243">
        <f>IF(Inheritor="",0,IF(iIRA_RMD_Age=IF(Inheritor="y",H$4,H$5),VLOOKUP(IF(Inheritor="y",H$4,H$5),'Tax Tables'!$G$338:$I$398,3),IF(iIRA_RMD_Age&lt;IF(Inheritor="y",H$4,H$5),IF(G108-1&lt;0,0,G108-1),0)))</f>
        <v>0</v>
      </c>
      <c r="I108" s="243">
        <f>IF(Inheritor="",0,IF(iIRA_RMD_Age=IF(Inheritor="y",I$4,I$5),VLOOKUP(IF(Inheritor="y",I$4,I$5),'Tax Tables'!$G$338:$I$398,3),IF(iIRA_RMD_Age&lt;IF(Inheritor="y",I$4,I$5),IF(H108-1&lt;0,0,H108-1),0)))</f>
        <v>0</v>
      </c>
      <c r="J108" s="243">
        <f>IF(Inheritor="",0,IF(iIRA_RMD_Age=IF(Inheritor="y",J$4,J$5),VLOOKUP(IF(Inheritor="y",J$4,J$5),'Tax Tables'!$G$338:$I$398,3),IF(iIRA_RMD_Age&lt;IF(Inheritor="y",J$4,J$5),IF(I108-1&lt;0,0,I108-1),0)))</f>
        <v>0</v>
      </c>
      <c r="K108" s="243">
        <f>IF(Inheritor="",0,IF(iIRA_RMD_Age=IF(Inheritor="y",K$4,K$5),VLOOKUP(IF(Inheritor="y",K$4,K$5),'Tax Tables'!$G$338:$I$398,3),IF(iIRA_RMD_Age&lt;IF(Inheritor="y",K$4,K$5),IF(J108-1&lt;0,0,J108-1),0)))</f>
        <v>0</v>
      </c>
      <c r="L108" s="243">
        <f>IF(Inheritor="",0,IF(iIRA_RMD_Age=IF(Inheritor="y",L$4,L$5),VLOOKUP(IF(Inheritor="y",L$4,L$5),'Tax Tables'!$G$338:$I$398,3),IF(iIRA_RMD_Age&lt;IF(Inheritor="y",L$4,L$5),IF(K108-1&lt;0,0,K108-1),0)))</f>
        <v>0</v>
      </c>
      <c r="M108" s="243">
        <f>IF(Inheritor="",0,IF(iIRA_RMD_Age=IF(Inheritor="y",M$4,M$5),VLOOKUP(IF(Inheritor="y",M$4,M$5),'Tax Tables'!$G$338:$I$398,3),IF(iIRA_RMD_Age&lt;IF(Inheritor="y",M$4,M$5),IF(L108-1&lt;0,0,L108-1),0)))</f>
        <v>0</v>
      </c>
      <c r="N108" s="243">
        <f>IF(Inheritor="",0,IF(iIRA_RMD_Age=IF(Inheritor="y",N$4,N$5),VLOOKUP(IF(Inheritor="y",N$4,N$5),'Tax Tables'!$G$338:$I$398,3),IF(iIRA_RMD_Age&lt;IF(Inheritor="y",N$4,N$5),IF(M108-1&lt;0,0,M108-1),0)))</f>
        <v>0</v>
      </c>
      <c r="O108" s="243">
        <f>IF(Inheritor="",0,IF(iIRA_RMD_Age=IF(Inheritor="y",O$4,O$5),VLOOKUP(IF(Inheritor="y",O$4,O$5),'Tax Tables'!$G$338:$I$398,3),IF(iIRA_RMD_Age&lt;IF(Inheritor="y",O$4,O$5),IF(N108-1&lt;0,0,N108-1),0)))</f>
        <v>0</v>
      </c>
      <c r="P108" s="243">
        <f>IF(Inheritor="",0,IF(iIRA_RMD_Age=IF(Inheritor="y",P$4,P$5),VLOOKUP(IF(Inheritor="y",P$4,P$5),'Tax Tables'!$G$338:$I$398,3),IF(iIRA_RMD_Age&lt;IF(Inheritor="y",P$4,P$5),IF(O108-1&lt;0,0,O108-1),0)))</f>
        <v>0</v>
      </c>
      <c r="Q108" s="243">
        <f>IF(Inheritor="",0,IF(iIRA_RMD_Age=IF(Inheritor="y",Q$4,Q$5),VLOOKUP(IF(Inheritor="y",Q$4,Q$5),'Tax Tables'!$G$338:$I$398,3),IF(iIRA_RMD_Age&lt;IF(Inheritor="y",Q$4,Q$5),IF(P108-1&lt;0,0,P108-1),0)))</f>
        <v>0</v>
      </c>
      <c r="R108" s="243">
        <f>IF(Inheritor="",0,IF(iIRA_RMD_Age=IF(Inheritor="y",R$4,R$5),VLOOKUP(IF(Inheritor="y",R$4,R$5),'Tax Tables'!$G$338:$I$398,3),IF(iIRA_RMD_Age&lt;IF(Inheritor="y",R$4,R$5),IF(Q108-1&lt;0,0,Q108-1),0)))</f>
        <v>0</v>
      </c>
      <c r="S108" s="243">
        <f>IF(Inheritor="",0,IF(iIRA_RMD_Age=IF(Inheritor="y",S$4,S$5),VLOOKUP(IF(Inheritor="y",S$4,S$5),'Tax Tables'!$G$338:$I$398,3),IF(iIRA_RMD_Age&lt;IF(Inheritor="y",S$4,S$5),IF(R108-1&lt;0,0,R108-1),0)))</f>
        <v>0</v>
      </c>
      <c r="T108" s="243">
        <f>IF(Inheritor="",0,IF(iIRA_RMD_Age=IF(Inheritor="y",T$4,T$5),VLOOKUP(IF(Inheritor="y",T$4,T$5),'Tax Tables'!$G$338:$I$398,3),IF(iIRA_RMD_Age&lt;IF(Inheritor="y",T$4,T$5),IF(S108-1&lt;0,0,S108-1),0)))</f>
        <v>0</v>
      </c>
      <c r="U108" s="243">
        <f>IF(Inheritor="",0,IF(iIRA_RMD_Age=IF(Inheritor="y",U$4,U$5),VLOOKUP(IF(Inheritor="y",U$4,U$5),'Tax Tables'!$G$338:$I$398,3),IF(iIRA_RMD_Age&lt;IF(Inheritor="y",U$4,U$5),IF(T108-1&lt;0,0,T108-1),0)))</f>
        <v>0</v>
      </c>
      <c r="V108" s="243">
        <f>IF(Inheritor="",0,IF(iIRA_RMD_Age=IF(Inheritor="y",V$4,V$5),VLOOKUP(IF(Inheritor="y",V$4,V$5),'Tax Tables'!$G$338:$I$398,3),IF(iIRA_RMD_Age&lt;IF(Inheritor="y",V$4,V$5),IF(U108-1&lt;0,0,U108-1),0)))</f>
        <v>11.4</v>
      </c>
      <c r="W108" s="243">
        <f>IF(Inheritor="",0,IF(iIRA_RMD_Age=IF(Inheritor="y",W$4,W$5),VLOOKUP(IF(Inheritor="y",W$4,W$5),'Tax Tables'!$G$338:$I$398,3),IF(iIRA_RMD_Age&lt;IF(Inheritor="y",W$4,W$5),IF(V108-1&lt;0,0,V108-1),0)))</f>
        <v>10.4</v>
      </c>
      <c r="X108" s="243">
        <f>IF(Inheritor="",0,IF(iIRA_RMD_Age=IF(Inheritor="y",X$4,X$5),VLOOKUP(IF(Inheritor="y",X$4,X$5),'Tax Tables'!$G$338:$I$398,3),IF(iIRA_RMD_Age&lt;IF(Inheritor="y",X$4,X$5),IF(W108-1&lt;0,0,W108-1),0)))</f>
        <v>9.4</v>
      </c>
      <c r="Y108" s="243">
        <f>IF(Inheritor="",0,IF(iIRA_RMD_Age=IF(Inheritor="y",Y$4,Y$5),VLOOKUP(IF(Inheritor="y",Y$4,Y$5),'Tax Tables'!$G$338:$I$398,3),IF(iIRA_RMD_Age&lt;IF(Inheritor="y",Y$4,Y$5),IF(X108-1&lt;0,0,X108-1),0)))</f>
        <v>8.4</v>
      </c>
      <c r="Z108" s="243">
        <f>IF(Inheritor="",0,IF(iIRA_RMD_Age=IF(Inheritor="y",Z$4,Z$5),VLOOKUP(IF(Inheritor="y",Z$4,Z$5),'Tax Tables'!$G$338:$I$398,3),IF(iIRA_RMD_Age&lt;IF(Inheritor="y",Z$4,Z$5),IF(Y108-1&lt;0,0,Y108-1),0)))</f>
        <v>7.4</v>
      </c>
      <c r="AA108" s="243">
        <f>IF(Inheritor="",0,IF(iIRA_RMD_Age=IF(Inheritor="y",AA$4,AA$5),VLOOKUP(IF(Inheritor="y",AA$4,AA$5),'Tax Tables'!$G$338:$I$398,3),IF(iIRA_RMD_Age&lt;IF(Inheritor="y",AA$4,AA$5),IF(Z108-1&lt;0,0,Z108-1),0)))</f>
        <v>6.4</v>
      </c>
      <c r="AB108" s="243">
        <f>IF(Inheritor="",0,IF(iIRA_RMD_Age=IF(Inheritor="y",AB$4,AB$5),VLOOKUP(IF(Inheritor="y",AB$4,AB$5),'Tax Tables'!$G$338:$I$398,3),IF(iIRA_RMD_Age&lt;IF(Inheritor="y",AB$4,AB$5),IF(AA108-1&lt;0,0,AA108-1),0)))</f>
        <v>5.4</v>
      </c>
      <c r="AC108" s="243">
        <f>IF(Inheritor="",0,IF(iIRA_RMD_Age=IF(Inheritor="y",AC$4,AC$5),VLOOKUP(IF(Inheritor="y",AC$4,AC$5),'Tax Tables'!$G$338:$I$398,3),IF(iIRA_RMD_Age&lt;IF(Inheritor="y",AC$4,AC$5),IF(AB108-1&lt;0,0,AB108-1),0)))</f>
        <v>4.4000000000000004</v>
      </c>
      <c r="AD108" s="243">
        <f>IF(Inheritor="",0,IF(iIRA_RMD_Age=IF(Inheritor="y",AD$4,AD$5),VLOOKUP(IF(Inheritor="y",AD$4,AD$5),'Tax Tables'!$G$338:$I$398,3),IF(iIRA_RMD_Age&lt;IF(Inheritor="y",AD$4,AD$5),IF(AC108-1&lt;0,0,AC108-1),0)))</f>
        <v>3.4000000000000004</v>
      </c>
      <c r="AE108" s="243">
        <f>IF(Inheritor="",0,IF(iIRA_RMD_Age=IF(Inheritor="y",AE$4,AE$5),VLOOKUP(IF(Inheritor="y",AE$4,AE$5),'Tax Tables'!$G$338:$I$398,3),IF(iIRA_RMD_Age&lt;IF(Inheritor="y",AE$4,AE$5),IF(AD108-1&lt;0,0,AD108-1),0)))</f>
        <v>2.4000000000000004</v>
      </c>
      <c r="AF108" s="243">
        <f>IF(Inheritor="",0,IF(iIRA_RMD_Age=IF(Inheritor="y",AF$4,AF$5),VLOOKUP(IF(Inheritor="y",AF$4,AF$5),'Tax Tables'!$G$338:$I$398,3),IF(iIRA_RMD_Age&lt;IF(Inheritor="y",AF$4,AF$5),IF(AE108-1&lt;0,0,AE108-1),0)))</f>
        <v>1.4000000000000004</v>
      </c>
      <c r="AG108" s="243">
        <f>IF(Inheritor="",0,IF(iIRA_RMD_Age=IF(Inheritor="y",AG$4,AG$5),VLOOKUP(IF(Inheritor="y",AG$4,AG$5),'Tax Tables'!$G$338:$I$398,3),IF(iIRA_RMD_Age&lt;IF(Inheritor="y",AG$4,AG$5),IF(AF108-1&lt;0,0,AF108-1),0)))</f>
        <v>0.40000000000000036</v>
      </c>
      <c r="AH108" s="243">
        <f>IF(Inheritor="",0,IF(iIRA_RMD_Age=IF(Inheritor="y",AH$4,AH$5),VLOOKUP(IF(Inheritor="y",AH$4,AH$5),'Tax Tables'!$G$338:$I$398,3),IF(iIRA_RMD_Age&lt;IF(Inheritor="y",AH$4,AH$5),IF(AG108-1&lt;0,0,AG108-1),0)))</f>
        <v>0</v>
      </c>
      <c r="AI108" s="243">
        <f>IF(Inheritor="",0,IF(iIRA_RMD_Age=IF(Inheritor="y",AI$4,AI$5),VLOOKUP(IF(Inheritor="y",AI$4,AI$5),'Tax Tables'!$G$338:$I$398,3),IF(iIRA_RMD_Age&lt;IF(Inheritor="y",AI$4,AI$5),IF(AH108-1&lt;0,0,AH108-1),0)))</f>
        <v>0</v>
      </c>
      <c r="AJ108" s="243">
        <f>IF(Inheritor="",0,IF(iIRA_RMD_Age=IF(Inheritor="y",AJ$4,AJ$5),VLOOKUP(IF(Inheritor="y",AJ$4,AJ$5),'Tax Tables'!$G$338:$I$398,3),IF(iIRA_RMD_Age&lt;IF(Inheritor="y",AJ$4,AJ$5),IF(AI108-1&lt;0,0,AI108-1),0)))</f>
        <v>0</v>
      </c>
      <c r="AK108" s="243">
        <f>IF(Inheritor="",0,IF(iIRA_RMD_Age=IF(Inheritor="y",AK$4,AK$5),VLOOKUP(IF(Inheritor="y",AK$4,AK$5),'Tax Tables'!$G$338:$I$398,3),IF(iIRA_RMD_Age&lt;IF(Inheritor="y",AK$4,AK$5),IF(AJ108-1&lt;0,0,AJ108-1),0)))</f>
        <v>0</v>
      </c>
      <c r="AL108" s="243">
        <f>IF(Inheritor="",0,IF(iIRA_RMD_Age=IF(Inheritor="y",AL$4,AL$5),VLOOKUP(IF(Inheritor="y",AL$4,AL$5),'Tax Tables'!$G$338:$I$398,3),IF(iIRA_RMD_Age&lt;IF(Inheritor="y",AL$4,AL$5),IF(AK108-1&lt;0,0,AK108-1),0)))</f>
        <v>0</v>
      </c>
      <c r="AM108" s="243">
        <f>IF(Inheritor="",0,IF(iIRA_RMD_Age=IF(Inheritor="y",AM$4,AM$5),VLOOKUP(IF(Inheritor="y",AM$4,AM$5),'Tax Tables'!$G$338:$I$398,3),IF(iIRA_RMD_Age&lt;IF(Inheritor="y",AM$4,AM$5),IF(AL108-1&lt;0,0,AL108-1),0)))</f>
        <v>0</v>
      </c>
      <c r="AN108" s="243">
        <f>IF(Inheritor="",0,IF(iIRA_RMD_Age=IF(Inheritor="y",AN$4,AN$5),VLOOKUP(IF(Inheritor="y",AN$4,AN$5),'Tax Tables'!$G$338:$I$398,3),IF(iIRA_RMD_Age&lt;IF(Inheritor="y",AN$4,AN$5),IF(AM108-1&lt;0,0,AM108-1),0)))</f>
        <v>0</v>
      </c>
      <c r="AO108" s="243">
        <f>IF(Inheritor="",0,IF(iIRA_RMD_Age=IF(Inheritor="y",AO$4,AO$5),VLOOKUP(IF(Inheritor="y",AO$4,AO$5),'Tax Tables'!$G$338:$I$398,3),IF(iIRA_RMD_Age&lt;IF(Inheritor="y",AO$4,AO$5),IF(AN108-1&lt;0,0,AN108-1),0)))</f>
        <v>0</v>
      </c>
      <c r="AP108" s="243">
        <f>IF(Inheritor="",0,IF(iIRA_RMD_Age=IF(Inheritor="y",AP$4,AP$5),VLOOKUP(IF(Inheritor="y",AP$4,AP$5),'Tax Tables'!$G$338:$I$398,3),IF(iIRA_RMD_Age&lt;IF(Inheritor="y",AP$4,AP$5),IF(AO108-1&lt;0,0,AO108-1),0)))</f>
        <v>0</v>
      </c>
      <c r="AQ108" s="243">
        <f>IF(Inheritor="",0,IF(iIRA_RMD_Age=IF(Inheritor="y",AQ$4,AQ$5),VLOOKUP(IF(Inheritor="y",AQ$4,AQ$5),'Tax Tables'!$G$338:$I$398,3),IF(iIRA_RMD_Age&lt;IF(Inheritor="y",AQ$4,AQ$5),IF(AP108-1&lt;0,0,AP108-1),0)))</f>
        <v>0</v>
      </c>
      <c r="AR108" s="243">
        <f>IF(Inheritor="",0,IF(iIRA_RMD_Age=IF(Inheritor="y",AR$4,AR$5),VLOOKUP(IF(Inheritor="y",AR$4,AR$5),'Tax Tables'!$G$338:$I$398,3),IF(iIRA_RMD_Age&lt;IF(Inheritor="y",AR$4,AR$5),IF(AQ108-1&lt;0,0,AQ108-1),0)))</f>
        <v>0</v>
      </c>
      <c r="AS108" s="243">
        <f>IF(Inheritor="",0,IF(iIRA_RMD_Age=IF(Inheritor="y",AS$4,AS$5),VLOOKUP(IF(Inheritor="y",AS$4,AS$5),'Tax Tables'!$G$338:$I$398,3),IF(iIRA_RMD_Age&lt;IF(Inheritor="y",AS$4,AS$5),IF(AR108-1&lt;0,0,AR108-1),0)))</f>
        <v>0</v>
      </c>
      <c r="AT108" s="3"/>
      <c r="AU108" s="29">
        <f>+Details!E108</f>
        <v>0</v>
      </c>
      <c r="AV108" s="81">
        <f t="shared" si="95"/>
        <v>0</v>
      </c>
      <c r="AW108" s="102"/>
      <c r="AY108" s="31">
        <f>+Details!F108-Base!F108</f>
        <v>0</v>
      </c>
      <c r="AZ108" s="243">
        <f>+Details!G108-Base!G108</f>
        <v>0</v>
      </c>
      <c r="BA108" s="243">
        <f>+Details!H108-Base!H108</f>
        <v>0</v>
      </c>
      <c r="BB108" s="243">
        <f>+Details!I108-Base!I108</f>
        <v>0</v>
      </c>
      <c r="BC108" s="243">
        <f>+Details!J108-Base!J108</f>
        <v>0</v>
      </c>
      <c r="BD108" s="243">
        <f>+Details!K108-Base!K108</f>
        <v>0</v>
      </c>
      <c r="BE108" s="243">
        <f>+Details!L108-Base!L108</f>
        <v>0</v>
      </c>
      <c r="BF108" s="243">
        <f>+Details!M108-Base!M108</f>
        <v>0</v>
      </c>
      <c r="BG108" s="243">
        <f>+Details!N108-Base!N108</f>
        <v>0</v>
      </c>
      <c r="BH108" s="243">
        <f>+Details!O108-Base!O108</f>
        <v>0</v>
      </c>
      <c r="BI108" s="243">
        <f>+Details!P108-Base!P108</f>
        <v>0</v>
      </c>
      <c r="BJ108" s="243">
        <f>+Details!Q108-Base!Q108</f>
        <v>0</v>
      </c>
      <c r="BK108" s="243">
        <f>+Details!R108-Base!R108</f>
        <v>0</v>
      </c>
      <c r="BL108" s="243">
        <f>+Details!S108-Base!S108</f>
        <v>0</v>
      </c>
      <c r="BM108" s="243">
        <f>+Details!T108-Base!T108</f>
        <v>0</v>
      </c>
      <c r="BN108" s="243">
        <f>+Details!U108-Base!U108</f>
        <v>0</v>
      </c>
      <c r="BO108" s="243">
        <f>+Details!V108-Base!V108</f>
        <v>0</v>
      </c>
      <c r="BP108" s="243">
        <f>+Details!W108-Base!W108</f>
        <v>0</v>
      </c>
      <c r="BQ108" s="243">
        <f>+Details!X108-Base!X108</f>
        <v>0</v>
      </c>
      <c r="BR108" s="243">
        <f>+Details!Y108-Base!Y108</f>
        <v>0</v>
      </c>
      <c r="BS108" s="243">
        <f>+Details!Z108-Base!Z108</f>
        <v>0</v>
      </c>
      <c r="BT108" s="243">
        <f>+Details!AA108-Base!AA108</f>
        <v>0</v>
      </c>
      <c r="BU108" s="243">
        <f>+Details!AB108-Base!AB108</f>
        <v>0</v>
      </c>
      <c r="BV108" s="243">
        <f>+Details!AC108-Base!AC108</f>
        <v>0</v>
      </c>
      <c r="BW108" s="243">
        <f>+Details!AD108-Base!AD108</f>
        <v>0</v>
      </c>
      <c r="BX108" s="243">
        <f>+Details!AE108-Base!AE108</f>
        <v>0</v>
      </c>
      <c r="BY108" s="243">
        <f>+Details!AF108-Base!AF108</f>
        <v>0</v>
      </c>
      <c r="BZ108" s="243">
        <f>+Details!AG108-Base!AG108</f>
        <v>0</v>
      </c>
      <c r="CA108" s="243">
        <f>+Details!AH108-Base!AH108</f>
        <v>0</v>
      </c>
      <c r="CB108" s="243">
        <f>+Details!AI108-Base!AI108</f>
        <v>0</v>
      </c>
      <c r="CC108" s="243">
        <f>+Details!AJ108-Base!AJ108</f>
        <v>0</v>
      </c>
      <c r="CD108" s="243">
        <f>+Details!AK108-Base!AK108</f>
        <v>0</v>
      </c>
      <c r="CE108" s="243">
        <f>+Details!AL108-Base!AL108</f>
        <v>0</v>
      </c>
      <c r="CF108" s="243">
        <f>+Details!AM108-Base!AM108</f>
        <v>0</v>
      </c>
      <c r="CG108" s="243">
        <f>+Details!AN108-Base!AN108</f>
        <v>0</v>
      </c>
      <c r="CH108" s="243">
        <f>+Details!AO108-Base!AO108</f>
        <v>0</v>
      </c>
      <c r="CI108" s="243">
        <f>+Details!AP108-Base!AP108</f>
        <v>0</v>
      </c>
      <c r="CJ108" s="243">
        <f>+Details!AQ108-Base!AQ108</f>
        <v>0</v>
      </c>
      <c r="CK108" s="243">
        <f>+Details!AR108-Base!AR108</f>
        <v>0</v>
      </c>
      <c r="CL108" s="243">
        <f>+Details!AS108-Base!AS108</f>
        <v>0</v>
      </c>
      <c r="CM108" s="81"/>
    </row>
    <row r="109" spans="1:91" hidden="1">
      <c r="A109" s="1427" t="s">
        <v>1578</v>
      </c>
      <c r="B109" s="436" t="s">
        <v>122</v>
      </c>
      <c r="C109" s="380"/>
      <c r="D109" s="94"/>
      <c r="E109" s="65"/>
      <c r="F109" s="243">
        <f>IF(Inheritor2="",0,IF(iIRA_RMD_Age2=IF(Inheritor2="y",F$4,F$5),VLOOKUP(IF(Inheritor2="y",F$4,F$5),'Tax Tables'!$G$338:$I$398,3),IF(iIRA_RMD_Age2&lt;IF(Inheritor2="y",F$4,F$5),IF(E109-1&lt;0,0,E109-1),0)))</f>
        <v>0</v>
      </c>
      <c r="G109" s="243">
        <f>IF(Inheritor2="",0,IF(iIRA_RMD_Age2=IF(Inheritor2="y",G$4,G$5),VLOOKUP(IF(Inheritor2="y",G$4,G$5),'Tax Tables'!$G$338:$I$398,3),IF(iIRA_RMD_Age2&lt;IF(Inheritor2="y",G$4,G$5),IF(F109-1&lt;0,0,F109-1),0)))</f>
        <v>0</v>
      </c>
      <c r="H109" s="243">
        <f>IF(Inheritor2="",0,IF(iIRA_RMD_Age2=IF(Inheritor2="y",H$4,H$5),VLOOKUP(IF(Inheritor2="y",H$4,H$5),'Tax Tables'!$G$338:$I$398,3),IF(iIRA_RMD_Age2&lt;IF(Inheritor2="y",H$4,H$5),IF(G109-1&lt;0,0,G109-1),0)))</f>
        <v>0</v>
      </c>
      <c r="I109" s="243">
        <f>IF(Inheritor2="",0,IF(iIRA_RMD_Age2=IF(Inheritor2="y",I$4,I$5),VLOOKUP(IF(Inheritor2="y",I$4,I$5),'Tax Tables'!$G$338:$I$398,3),IF(iIRA_RMD_Age2&lt;IF(Inheritor2="y",I$4,I$5),IF(H109-1&lt;0,0,H109-1),0)))</f>
        <v>0</v>
      </c>
      <c r="J109" s="243">
        <f>IF(Inheritor2="",0,IF(iIRA_RMD_Age2=IF(Inheritor2="y",J$4,J$5),VLOOKUP(IF(Inheritor2="y",J$4,J$5),'Tax Tables'!$G$338:$I$398,3),IF(iIRA_RMD_Age2&lt;IF(Inheritor2="y",J$4,J$5),IF(I109-1&lt;0,0,I109-1),0)))</f>
        <v>0</v>
      </c>
      <c r="K109" s="243">
        <f>IF(Inheritor2="",0,IF(iIRA_RMD_Age2=IF(Inheritor2="y",K$4,K$5),VLOOKUP(IF(Inheritor2="y",K$4,K$5),'Tax Tables'!$G$338:$I$398,3),IF(iIRA_RMD_Age2&lt;IF(Inheritor2="y",K$4,K$5),IF(J109-1&lt;0,0,J109-1),0)))</f>
        <v>0</v>
      </c>
      <c r="L109" s="243">
        <f>IF(Inheritor2="",0,IF(iIRA_RMD_Age2=IF(Inheritor2="y",L$4,L$5),VLOOKUP(IF(Inheritor2="y",L$4,L$5),'Tax Tables'!$G$338:$I$398,3),IF(iIRA_RMD_Age2&lt;IF(Inheritor2="y",L$4,L$5),IF(K109-1&lt;0,0,K109-1),0)))</f>
        <v>0</v>
      </c>
      <c r="M109" s="243">
        <f>IF(Inheritor2="",0,IF(iIRA_RMD_Age2=IF(Inheritor2="y",M$4,M$5),VLOOKUP(IF(Inheritor2="y",M$4,M$5),'Tax Tables'!$G$338:$I$398,3),IF(iIRA_RMD_Age2&lt;IF(Inheritor2="y",M$4,M$5),IF(L109-1&lt;0,0,L109-1),0)))</f>
        <v>0</v>
      </c>
      <c r="N109" s="243">
        <f>IF(Inheritor2="",0,IF(iIRA_RMD_Age2=IF(Inheritor2="y",N$4,N$5),VLOOKUP(IF(Inheritor2="y",N$4,N$5),'Tax Tables'!$G$338:$I$398,3),IF(iIRA_RMD_Age2&lt;IF(Inheritor2="y",N$4,N$5),IF(M109-1&lt;0,0,M109-1),0)))</f>
        <v>0</v>
      </c>
      <c r="O109" s="243">
        <f>IF(Inheritor2="",0,IF(iIRA_RMD_Age2=IF(Inheritor2="y",O$4,O$5),VLOOKUP(IF(Inheritor2="y",O$4,O$5),'Tax Tables'!$G$338:$I$398,3),IF(iIRA_RMD_Age2&lt;IF(Inheritor2="y",O$4,O$5),IF(N109-1&lt;0,0,N109-1),0)))</f>
        <v>0</v>
      </c>
      <c r="P109" s="243">
        <f>IF(Inheritor2="",0,IF(iIRA_RMD_Age2=IF(Inheritor2="y",P$4,P$5),VLOOKUP(IF(Inheritor2="y",P$4,P$5),'Tax Tables'!$G$338:$I$398,3),IF(iIRA_RMD_Age2&lt;IF(Inheritor2="y",P$4,P$5),IF(O109-1&lt;0,0,O109-1),0)))</f>
        <v>0</v>
      </c>
      <c r="Q109" s="243">
        <f>IF(Inheritor2="",0,IF(iIRA_RMD_Age2=IF(Inheritor2="y",Q$4,Q$5),VLOOKUP(IF(Inheritor2="y",Q$4,Q$5),'Tax Tables'!$G$338:$I$398,3),IF(iIRA_RMD_Age2&lt;IF(Inheritor2="y",Q$4,Q$5),IF(P109-1&lt;0,0,P109-1),0)))</f>
        <v>0</v>
      </c>
      <c r="R109" s="243">
        <f>IF(Inheritor2="",0,IF(iIRA_RMD_Age2=IF(Inheritor2="y",R$4,R$5),VLOOKUP(IF(Inheritor2="y",R$4,R$5),'Tax Tables'!$G$338:$I$398,3),IF(iIRA_RMD_Age2&lt;IF(Inheritor2="y",R$4,R$5),IF(Q109-1&lt;0,0,Q109-1),0)))</f>
        <v>14.8</v>
      </c>
      <c r="S109" s="243">
        <f>IF(Inheritor2="",0,IF(iIRA_RMD_Age2=IF(Inheritor2="y",S$4,S$5),VLOOKUP(IF(Inheritor2="y",S$4,S$5),'Tax Tables'!$G$338:$I$398,3),IF(iIRA_RMD_Age2&lt;IF(Inheritor2="y",S$4,S$5),IF(R109-1&lt;0,0,R109-1),0)))</f>
        <v>13.8</v>
      </c>
      <c r="T109" s="243">
        <f>IF(Inheritor2="",0,IF(iIRA_RMD_Age2=IF(Inheritor2="y",T$4,T$5),VLOOKUP(IF(Inheritor2="y",T$4,T$5),'Tax Tables'!$G$338:$I$398,3),IF(iIRA_RMD_Age2&lt;IF(Inheritor2="y",T$4,T$5),IF(S109-1&lt;0,0,S109-1),0)))</f>
        <v>12.8</v>
      </c>
      <c r="U109" s="243">
        <f>IF(Inheritor2="",0,IF(iIRA_RMD_Age2=IF(Inheritor2="y",U$4,U$5),VLOOKUP(IF(Inheritor2="y",U$4,U$5),'Tax Tables'!$G$338:$I$398,3),IF(iIRA_RMD_Age2&lt;IF(Inheritor2="y",U$4,U$5),IF(T109-1&lt;0,0,T109-1),0)))</f>
        <v>11.8</v>
      </c>
      <c r="V109" s="243">
        <f>IF(Inheritor2="",0,IF(iIRA_RMD_Age2=IF(Inheritor2="y",V$4,V$5),VLOOKUP(IF(Inheritor2="y",V$4,V$5),'Tax Tables'!$G$338:$I$398,3),IF(iIRA_RMD_Age2&lt;IF(Inheritor2="y",V$4,V$5),IF(U109-1&lt;0,0,U109-1),0)))</f>
        <v>10.8</v>
      </c>
      <c r="W109" s="243">
        <f>IF(Inheritor2="",0,IF(iIRA_RMD_Age2=IF(Inheritor2="y",W$4,W$5),VLOOKUP(IF(Inheritor2="y",W$4,W$5),'Tax Tables'!$G$338:$I$398,3),IF(iIRA_RMD_Age2&lt;IF(Inheritor2="y",W$4,W$5),IF(V109-1&lt;0,0,V109-1),0)))</f>
        <v>9.8000000000000007</v>
      </c>
      <c r="X109" s="243">
        <f>IF(Inheritor2="",0,IF(iIRA_RMD_Age2=IF(Inheritor2="y",X$4,X$5),VLOOKUP(IF(Inheritor2="y",X$4,X$5),'Tax Tables'!$G$338:$I$398,3),IF(iIRA_RMD_Age2&lt;IF(Inheritor2="y",X$4,X$5),IF(W109-1&lt;0,0,W109-1),0)))</f>
        <v>8.8000000000000007</v>
      </c>
      <c r="Y109" s="243">
        <f>IF(Inheritor2="",0,IF(iIRA_RMD_Age2=IF(Inheritor2="y",Y$4,Y$5),VLOOKUP(IF(Inheritor2="y",Y$4,Y$5),'Tax Tables'!$G$338:$I$398,3),IF(iIRA_RMD_Age2&lt;IF(Inheritor2="y",Y$4,Y$5),IF(X109-1&lt;0,0,X109-1),0)))</f>
        <v>7.8000000000000007</v>
      </c>
      <c r="Z109" s="243">
        <f>IF(Inheritor2="",0,IF(iIRA_RMD_Age2=IF(Inheritor2="y",Z$4,Z$5),VLOOKUP(IF(Inheritor2="y",Z$4,Z$5),'Tax Tables'!$G$338:$I$398,3),IF(iIRA_RMD_Age2&lt;IF(Inheritor2="y",Z$4,Z$5),IF(Y109-1&lt;0,0,Y109-1),0)))</f>
        <v>6.8000000000000007</v>
      </c>
      <c r="AA109" s="243">
        <f>IF(Inheritor2="",0,IF(iIRA_RMD_Age2=IF(Inheritor2="y",AA$4,AA$5),VLOOKUP(IF(Inheritor2="y",AA$4,AA$5),'Tax Tables'!$G$338:$I$398,3),IF(iIRA_RMD_Age2&lt;IF(Inheritor2="y",AA$4,AA$5),IF(Z109-1&lt;0,0,Z109-1),0)))</f>
        <v>5.8000000000000007</v>
      </c>
      <c r="AB109" s="243">
        <f>IF(Inheritor2="",0,IF(iIRA_RMD_Age2=IF(Inheritor2="y",AB$4,AB$5),VLOOKUP(IF(Inheritor2="y",AB$4,AB$5),'Tax Tables'!$G$338:$I$398,3),IF(iIRA_RMD_Age2&lt;IF(Inheritor2="y",AB$4,AB$5),IF(AA109-1&lt;0,0,AA109-1),0)))</f>
        <v>4.8000000000000007</v>
      </c>
      <c r="AC109" s="243">
        <f>IF(Inheritor2="",0,IF(iIRA_RMD_Age2=IF(Inheritor2="y",AC$4,AC$5),VLOOKUP(IF(Inheritor2="y",AC$4,AC$5),'Tax Tables'!$G$338:$I$398,3),IF(iIRA_RMD_Age2&lt;IF(Inheritor2="y",AC$4,AC$5),IF(AB109-1&lt;0,0,AB109-1),0)))</f>
        <v>3.8000000000000007</v>
      </c>
      <c r="AD109" s="243">
        <f>IF(Inheritor2="",0,IF(iIRA_RMD_Age2=IF(Inheritor2="y",AD$4,AD$5),VLOOKUP(IF(Inheritor2="y",AD$4,AD$5),'Tax Tables'!$G$338:$I$398,3),IF(iIRA_RMD_Age2&lt;IF(Inheritor2="y",AD$4,AD$5),IF(AC109-1&lt;0,0,AC109-1),0)))</f>
        <v>2.8000000000000007</v>
      </c>
      <c r="AE109" s="243">
        <f>IF(Inheritor2="",0,IF(iIRA_RMD_Age2=IF(Inheritor2="y",AE$4,AE$5),VLOOKUP(IF(Inheritor2="y",AE$4,AE$5),'Tax Tables'!$G$338:$I$398,3),IF(iIRA_RMD_Age2&lt;IF(Inheritor2="y",AE$4,AE$5),IF(AD109-1&lt;0,0,AD109-1),0)))</f>
        <v>1.8000000000000007</v>
      </c>
      <c r="AF109" s="243">
        <f>IF(Inheritor2="",0,IF(iIRA_RMD_Age2=IF(Inheritor2="y",AF$4,AF$5),VLOOKUP(IF(Inheritor2="y",AF$4,AF$5),'Tax Tables'!$G$338:$I$398,3),IF(iIRA_RMD_Age2&lt;IF(Inheritor2="y",AF$4,AF$5),IF(AE109-1&lt;0,0,AE109-1),0)))</f>
        <v>0.80000000000000071</v>
      </c>
      <c r="AG109" s="243">
        <f>IF(Inheritor2="",0,IF(iIRA_RMD_Age2=IF(Inheritor2="y",AG$4,AG$5),VLOOKUP(IF(Inheritor2="y",AG$4,AG$5),'Tax Tables'!$G$338:$I$398,3),IF(iIRA_RMD_Age2&lt;IF(Inheritor2="y",AG$4,AG$5),IF(AF109-1&lt;0,0,AF109-1),0)))</f>
        <v>0</v>
      </c>
      <c r="AH109" s="243">
        <f>IF(Inheritor2="",0,IF(iIRA_RMD_Age2=IF(Inheritor2="y",AH$4,AH$5),VLOOKUP(IF(Inheritor2="y",AH$4,AH$5),'Tax Tables'!$G$338:$I$398,3),IF(iIRA_RMD_Age2&lt;IF(Inheritor2="y",AH$4,AH$5),IF(AG109-1&lt;0,0,AG109-1),0)))</f>
        <v>0</v>
      </c>
      <c r="AI109" s="243">
        <f>IF(Inheritor2="",0,IF(iIRA_RMD_Age2=IF(Inheritor2="y",AI$4,AI$5),VLOOKUP(IF(Inheritor2="y",AI$4,AI$5),'Tax Tables'!$G$338:$I$398,3),IF(iIRA_RMD_Age2&lt;IF(Inheritor2="y",AI$4,AI$5),IF(AH109-1&lt;0,0,AH109-1),0)))</f>
        <v>0</v>
      </c>
      <c r="AJ109" s="243">
        <f>IF(Inheritor2="",0,IF(iIRA_RMD_Age2=IF(Inheritor2="y",AJ$4,AJ$5),VLOOKUP(IF(Inheritor2="y",AJ$4,AJ$5),'Tax Tables'!$G$338:$I$398,3),IF(iIRA_RMD_Age2&lt;IF(Inheritor2="y",AJ$4,AJ$5),IF(AI109-1&lt;0,0,AI109-1),0)))</f>
        <v>0</v>
      </c>
      <c r="AK109" s="243">
        <f>IF(Inheritor2="",0,IF(iIRA_RMD_Age2=IF(Inheritor2="y",AK$4,AK$5),VLOOKUP(IF(Inheritor2="y",AK$4,AK$5),'Tax Tables'!$G$338:$I$398,3),IF(iIRA_RMD_Age2&lt;IF(Inheritor2="y",AK$4,AK$5),IF(AJ109-1&lt;0,0,AJ109-1),0)))</f>
        <v>0</v>
      </c>
      <c r="AL109" s="243">
        <f>IF(Inheritor2="",0,IF(iIRA_RMD_Age2=IF(Inheritor2="y",AL$4,AL$5),VLOOKUP(IF(Inheritor2="y",AL$4,AL$5),'Tax Tables'!$G$338:$I$398,3),IF(iIRA_RMD_Age2&lt;IF(Inheritor2="y",AL$4,AL$5),IF(AK109-1&lt;0,0,AK109-1),0)))</f>
        <v>0</v>
      </c>
      <c r="AM109" s="243">
        <f>IF(Inheritor2="",0,IF(iIRA_RMD_Age2=IF(Inheritor2="y",AM$4,AM$5),VLOOKUP(IF(Inheritor2="y",AM$4,AM$5),'Tax Tables'!$G$338:$I$398,3),IF(iIRA_RMD_Age2&lt;IF(Inheritor2="y",AM$4,AM$5),IF(AL109-1&lt;0,0,AL109-1),0)))</f>
        <v>0</v>
      </c>
      <c r="AN109" s="243">
        <f>IF(Inheritor2="",0,IF(iIRA_RMD_Age2=IF(Inheritor2="y",AN$4,AN$5),VLOOKUP(IF(Inheritor2="y",AN$4,AN$5),'Tax Tables'!$G$338:$I$398,3),IF(iIRA_RMD_Age2&lt;IF(Inheritor2="y",AN$4,AN$5),IF(AM109-1&lt;0,0,AM109-1),0)))</f>
        <v>0</v>
      </c>
      <c r="AO109" s="243">
        <f>IF(Inheritor2="",0,IF(iIRA_RMD_Age2=IF(Inheritor2="y",AO$4,AO$5),VLOOKUP(IF(Inheritor2="y",AO$4,AO$5),'Tax Tables'!$G$338:$I$398,3),IF(iIRA_RMD_Age2&lt;IF(Inheritor2="y",AO$4,AO$5),IF(AN109-1&lt;0,0,AN109-1),0)))</f>
        <v>0</v>
      </c>
      <c r="AP109" s="243">
        <f>IF(Inheritor2="",0,IF(iIRA_RMD_Age2=IF(Inheritor2="y",AP$4,AP$5),VLOOKUP(IF(Inheritor2="y",AP$4,AP$5),'Tax Tables'!$G$338:$I$398,3),IF(iIRA_RMD_Age2&lt;IF(Inheritor2="y",AP$4,AP$5),IF(AO109-1&lt;0,0,AO109-1),0)))</f>
        <v>0</v>
      </c>
      <c r="AQ109" s="243">
        <f>IF(Inheritor2="",0,IF(iIRA_RMD_Age2=IF(Inheritor2="y",AQ$4,AQ$5),VLOOKUP(IF(Inheritor2="y",AQ$4,AQ$5),'Tax Tables'!$G$338:$I$398,3),IF(iIRA_RMD_Age2&lt;IF(Inheritor2="y",AQ$4,AQ$5),IF(AP109-1&lt;0,0,AP109-1),0)))</f>
        <v>0</v>
      </c>
      <c r="AR109" s="243">
        <f>IF(Inheritor2="",0,IF(iIRA_RMD_Age2=IF(Inheritor2="y",AR$4,AR$5),VLOOKUP(IF(Inheritor2="y",AR$4,AR$5),'Tax Tables'!$G$338:$I$398,3),IF(iIRA_RMD_Age2&lt;IF(Inheritor2="y",AR$4,AR$5),IF(AQ109-1&lt;0,0,AQ109-1),0)))</f>
        <v>0</v>
      </c>
      <c r="AS109" s="243">
        <f>IF(Inheritor2="",0,IF(iIRA_RMD_Age2=IF(Inheritor2="y",AS$4,AS$5),VLOOKUP(IF(Inheritor2="y",AS$4,AS$5),'Tax Tables'!$G$338:$I$398,3),IF(iIRA_RMD_Age2&lt;IF(Inheritor2="y",AS$4,AS$5),IF(AR109-1&lt;0,0,AR109-1),0)))</f>
        <v>0</v>
      </c>
      <c r="AT109" s="3"/>
      <c r="AU109" s="29">
        <f>+Details!E109</f>
        <v>0</v>
      </c>
      <c r="AV109" s="81">
        <f t="shared" si="95"/>
        <v>0</v>
      </c>
      <c r="AW109" s="102"/>
      <c r="AY109" s="31">
        <f>+Details!F109-Base!F109</f>
        <v>0</v>
      </c>
      <c r="AZ109" s="243">
        <f>+Details!G109-Base!G109</f>
        <v>0</v>
      </c>
      <c r="BA109" s="243">
        <f>+Details!H109-Base!H109</f>
        <v>0</v>
      </c>
      <c r="BB109" s="243">
        <f>+Details!I109-Base!I109</f>
        <v>0</v>
      </c>
      <c r="BC109" s="243">
        <f>+Details!J109-Base!J109</f>
        <v>0</v>
      </c>
      <c r="BD109" s="243">
        <f>+Details!K109-Base!K109</f>
        <v>0</v>
      </c>
      <c r="BE109" s="243">
        <f>+Details!L109-Base!L109</f>
        <v>0</v>
      </c>
      <c r="BF109" s="243">
        <f>+Details!M109-Base!M109</f>
        <v>0</v>
      </c>
      <c r="BG109" s="243">
        <f>+Details!N109-Base!N109</f>
        <v>0</v>
      </c>
      <c r="BH109" s="243">
        <f>+Details!O109-Base!O109</f>
        <v>0</v>
      </c>
      <c r="BI109" s="243">
        <f>+Details!P109-Base!P109</f>
        <v>0</v>
      </c>
      <c r="BJ109" s="243">
        <f>+Details!Q109-Base!Q109</f>
        <v>0</v>
      </c>
      <c r="BK109" s="243">
        <f>+Details!R109-Base!R109</f>
        <v>0</v>
      </c>
      <c r="BL109" s="243">
        <f>+Details!S109-Base!S109</f>
        <v>0</v>
      </c>
      <c r="BM109" s="243">
        <f>+Details!T109-Base!T109</f>
        <v>0</v>
      </c>
      <c r="BN109" s="243">
        <f>+Details!U109-Base!U109</f>
        <v>0</v>
      </c>
      <c r="BO109" s="243">
        <f>+Details!V109-Base!V109</f>
        <v>0</v>
      </c>
      <c r="BP109" s="243">
        <f>+Details!W109-Base!W109</f>
        <v>0</v>
      </c>
      <c r="BQ109" s="243">
        <f>+Details!X109-Base!X109</f>
        <v>0</v>
      </c>
      <c r="BR109" s="243">
        <f>+Details!Y109-Base!Y109</f>
        <v>0</v>
      </c>
      <c r="BS109" s="243">
        <f>+Details!Z109-Base!Z109</f>
        <v>0</v>
      </c>
      <c r="BT109" s="243">
        <f>+Details!AA109-Base!AA109</f>
        <v>0</v>
      </c>
      <c r="BU109" s="243">
        <f>+Details!AB109-Base!AB109</f>
        <v>0</v>
      </c>
      <c r="BV109" s="243">
        <f>+Details!AC109-Base!AC109</f>
        <v>0</v>
      </c>
      <c r="BW109" s="243">
        <f>+Details!AD109-Base!AD109</f>
        <v>0</v>
      </c>
      <c r="BX109" s="243">
        <f>+Details!AE109-Base!AE109</f>
        <v>0</v>
      </c>
      <c r="BY109" s="243">
        <f>+Details!AF109-Base!AF109</f>
        <v>0</v>
      </c>
      <c r="BZ109" s="243">
        <f>+Details!AG109-Base!AG109</f>
        <v>0</v>
      </c>
      <c r="CA109" s="243">
        <f>+Details!AH109-Base!AH109</f>
        <v>0</v>
      </c>
      <c r="CB109" s="243">
        <f>+Details!AI109-Base!AI109</f>
        <v>0</v>
      </c>
      <c r="CC109" s="243">
        <f>+Details!AJ109-Base!AJ109</f>
        <v>0</v>
      </c>
      <c r="CD109" s="243">
        <f>+Details!AK109-Base!AK109</f>
        <v>0</v>
      </c>
      <c r="CE109" s="243">
        <f>+Details!AL109-Base!AL109</f>
        <v>0</v>
      </c>
      <c r="CF109" s="243">
        <f>+Details!AM109-Base!AM109</f>
        <v>0</v>
      </c>
      <c r="CG109" s="243">
        <f>+Details!AN109-Base!AN109</f>
        <v>0</v>
      </c>
      <c r="CH109" s="243">
        <f>+Details!AO109-Base!AO109</f>
        <v>0</v>
      </c>
      <c r="CI109" s="243">
        <f>+Details!AP109-Base!AP109</f>
        <v>0</v>
      </c>
      <c r="CJ109" s="243">
        <f>+Details!AQ109-Base!AQ109</f>
        <v>0</v>
      </c>
      <c r="CK109" s="243">
        <f>+Details!AR109-Base!AR109</f>
        <v>0</v>
      </c>
      <c r="CL109" s="243">
        <f>+Details!AS109-Base!AS109</f>
        <v>0</v>
      </c>
      <c r="CM109" s="81"/>
    </row>
    <row r="110" spans="1:91" hidden="1">
      <c r="A110" s="1427" t="s">
        <v>1578</v>
      </c>
      <c r="B110" s="436" t="s">
        <v>350</v>
      </c>
      <c r="C110" s="1005" t="str">
        <f>"life expc: " &amp; VLOOKUP(Setup!E32,'Tax Tables'!$G$338:$I$398,3) &amp; " yrs"</f>
        <v>life expc: 11.4 yrs</v>
      </c>
      <c r="D110" s="1261" t="str">
        <f>IF(Inheritor="y","You","Spouse") &amp; " at " &amp; iIRA_RMD_Age</f>
        <v>You at 78</v>
      </c>
      <c r="E110" s="65">
        <f t="shared" si="73"/>
        <v>-40100</v>
      </c>
      <c r="F110" s="73">
        <f t="shared" ref="F110:AS110" si="97">ROUND(IF(F108=0,0,IF(F12-(F12/F108)&lt;0,-F12,-F12/F108))/Round_To,0)*Round_To</f>
        <v>0</v>
      </c>
      <c r="G110" s="1124">
        <f t="shared" si="97"/>
        <v>0</v>
      </c>
      <c r="H110" s="1124">
        <f t="shared" si="97"/>
        <v>0</v>
      </c>
      <c r="I110" s="1124">
        <f t="shared" si="97"/>
        <v>0</v>
      </c>
      <c r="J110" s="1124">
        <f t="shared" si="97"/>
        <v>0</v>
      </c>
      <c r="K110" s="1124">
        <f t="shared" si="97"/>
        <v>0</v>
      </c>
      <c r="L110" s="1124">
        <f t="shared" si="97"/>
        <v>0</v>
      </c>
      <c r="M110" s="1124">
        <f t="shared" si="97"/>
        <v>0</v>
      </c>
      <c r="N110" s="1124">
        <f t="shared" si="97"/>
        <v>0</v>
      </c>
      <c r="O110" s="1124">
        <f t="shared" si="97"/>
        <v>0</v>
      </c>
      <c r="P110" s="1124">
        <f t="shared" si="97"/>
        <v>0</v>
      </c>
      <c r="Q110" s="1124">
        <f t="shared" si="97"/>
        <v>0</v>
      </c>
      <c r="R110" s="1124">
        <f t="shared" si="97"/>
        <v>0</v>
      </c>
      <c r="S110" s="1124">
        <f t="shared" si="97"/>
        <v>0</v>
      </c>
      <c r="T110" s="1124">
        <f t="shared" si="97"/>
        <v>0</v>
      </c>
      <c r="U110" s="1124">
        <f t="shared" si="97"/>
        <v>0</v>
      </c>
      <c r="V110" s="1124">
        <f t="shared" si="97"/>
        <v>-3200</v>
      </c>
      <c r="W110" s="1124">
        <f t="shared" si="97"/>
        <v>-3000</v>
      </c>
      <c r="X110" s="1124">
        <f t="shared" si="97"/>
        <v>-2800</v>
      </c>
      <c r="Y110" s="1124">
        <f t="shared" si="97"/>
        <v>-2900</v>
      </c>
      <c r="Z110" s="1124">
        <f t="shared" si="97"/>
        <v>-3100</v>
      </c>
      <c r="AA110" s="1124">
        <f t="shared" si="97"/>
        <v>-3300</v>
      </c>
      <c r="AB110" s="1124">
        <f t="shared" si="97"/>
        <v>-3500</v>
      </c>
      <c r="AC110" s="1124">
        <f t="shared" si="97"/>
        <v>-3700</v>
      </c>
      <c r="AD110" s="1124">
        <f t="shared" si="97"/>
        <v>-3900</v>
      </c>
      <c r="AE110" s="1124">
        <f t="shared" si="97"/>
        <v>-4200</v>
      </c>
      <c r="AF110" s="1124">
        <f t="shared" si="97"/>
        <v>-4500</v>
      </c>
      <c r="AG110" s="1124">
        <f t="shared" si="97"/>
        <v>-2000</v>
      </c>
      <c r="AH110" s="1124">
        <f t="shared" si="97"/>
        <v>0</v>
      </c>
      <c r="AI110" s="1124">
        <f t="shared" si="97"/>
        <v>0</v>
      </c>
      <c r="AJ110" s="1124">
        <f t="shared" si="97"/>
        <v>0</v>
      </c>
      <c r="AK110" s="1124">
        <f t="shared" si="97"/>
        <v>0</v>
      </c>
      <c r="AL110" s="1124">
        <f t="shared" si="97"/>
        <v>0</v>
      </c>
      <c r="AM110" s="1124">
        <f t="shared" si="97"/>
        <v>0</v>
      </c>
      <c r="AN110" s="1124">
        <f t="shared" si="97"/>
        <v>0</v>
      </c>
      <c r="AO110" s="1124">
        <f t="shared" si="97"/>
        <v>0</v>
      </c>
      <c r="AP110" s="1124">
        <f t="shared" si="97"/>
        <v>0</v>
      </c>
      <c r="AQ110" s="1124">
        <f t="shared" si="97"/>
        <v>0</v>
      </c>
      <c r="AR110" s="1124">
        <f t="shared" si="97"/>
        <v>0</v>
      </c>
      <c r="AS110" s="1124">
        <f t="shared" si="97"/>
        <v>0</v>
      </c>
      <c r="AT110" s="3"/>
      <c r="AU110" s="29">
        <f>+Details!E110</f>
        <v>-40100</v>
      </c>
      <c r="AV110" s="81">
        <f t="shared" si="95"/>
        <v>0</v>
      </c>
      <c r="AW110" s="102"/>
      <c r="AY110" s="31">
        <f>+Details!F110-Base!F110</f>
        <v>0</v>
      </c>
      <c r="AZ110" s="1124">
        <f>+Details!G110-Base!G110</f>
        <v>0</v>
      </c>
      <c r="BA110" s="1124">
        <f>+Details!H110-Base!H110</f>
        <v>0</v>
      </c>
      <c r="BB110" s="1124">
        <f>+Details!I110-Base!I110</f>
        <v>0</v>
      </c>
      <c r="BC110" s="1124">
        <f>+Details!J110-Base!J110</f>
        <v>0</v>
      </c>
      <c r="BD110" s="1124">
        <f>+Details!K110-Base!K110</f>
        <v>0</v>
      </c>
      <c r="BE110" s="1124">
        <f>+Details!L110-Base!L110</f>
        <v>0</v>
      </c>
      <c r="BF110" s="1124">
        <f>+Details!M110-Base!M110</f>
        <v>0</v>
      </c>
      <c r="BG110" s="1124">
        <f>+Details!N110-Base!N110</f>
        <v>0</v>
      </c>
      <c r="BH110" s="1124">
        <f>+Details!O110-Base!O110</f>
        <v>0</v>
      </c>
      <c r="BI110" s="1124">
        <f>+Details!P110-Base!P110</f>
        <v>0</v>
      </c>
      <c r="BJ110" s="1124">
        <f>+Details!Q110-Base!Q110</f>
        <v>0</v>
      </c>
      <c r="BK110" s="1124">
        <f>+Details!R110-Base!R110</f>
        <v>0</v>
      </c>
      <c r="BL110" s="1124">
        <f>+Details!S110-Base!S110</f>
        <v>0</v>
      </c>
      <c r="BM110" s="1124">
        <f>+Details!T110-Base!T110</f>
        <v>0</v>
      </c>
      <c r="BN110" s="1124">
        <f>+Details!U110-Base!U110</f>
        <v>0</v>
      </c>
      <c r="BO110" s="1124">
        <f>+Details!V110-Base!V110</f>
        <v>0</v>
      </c>
      <c r="BP110" s="1124">
        <f>+Details!W110-Base!W110</f>
        <v>0</v>
      </c>
      <c r="BQ110" s="1124">
        <f>+Details!X110-Base!X110</f>
        <v>0</v>
      </c>
      <c r="BR110" s="1124">
        <f>+Details!Y110-Base!Y110</f>
        <v>0</v>
      </c>
      <c r="BS110" s="1124">
        <f>+Details!Z110-Base!Z110</f>
        <v>0</v>
      </c>
      <c r="BT110" s="1124">
        <f>+Details!AA110-Base!AA110</f>
        <v>0</v>
      </c>
      <c r="BU110" s="1124">
        <f>+Details!AB110-Base!AB110</f>
        <v>0</v>
      </c>
      <c r="BV110" s="1124">
        <f>+Details!AC110-Base!AC110</f>
        <v>0</v>
      </c>
      <c r="BW110" s="1124">
        <f>+Details!AD110-Base!AD110</f>
        <v>0</v>
      </c>
      <c r="BX110" s="1124">
        <f>+Details!AE110-Base!AE110</f>
        <v>0</v>
      </c>
      <c r="BY110" s="1124">
        <f>+Details!AF110-Base!AF110</f>
        <v>0</v>
      </c>
      <c r="BZ110" s="1124">
        <f>+Details!AG110-Base!AG110</f>
        <v>0</v>
      </c>
      <c r="CA110" s="1124">
        <f>+Details!AH110-Base!AH110</f>
        <v>0</v>
      </c>
      <c r="CB110" s="1124">
        <f>+Details!AI110-Base!AI110</f>
        <v>0</v>
      </c>
      <c r="CC110" s="1124">
        <f>+Details!AJ110-Base!AJ110</f>
        <v>0</v>
      </c>
      <c r="CD110" s="1124">
        <f>+Details!AK110-Base!AK110</f>
        <v>0</v>
      </c>
      <c r="CE110" s="1124">
        <f>+Details!AL110-Base!AL110</f>
        <v>0</v>
      </c>
      <c r="CF110" s="1124">
        <f>+Details!AM110-Base!AM110</f>
        <v>0</v>
      </c>
      <c r="CG110" s="1124">
        <f>+Details!AN110-Base!AN110</f>
        <v>0</v>
      </c>
      <c r="CH110" s="1124">
        <f>+Details!AO110-Base!AO110</f>
        <v>0</v>
      </c>
      <c r="CI110" s="1124">
        <f>+Details!AP110-Base!AP110</f>
        <v>0</v>
      </c>
      <c r="CJ110" s="1124">
        <f>+Details!AQ110-Base!AQ110</f>
        <v>0</v>
      </c>
      <c r="CK110" s="1124">
        <f>+Details!AR110-Base!AR110</f>
        <v>0</v>
      </c>
      <c r="CL110" s="1124">
        <f>+Details!AS110-Base!AS110</f>
        <v>0</v>
      </c>
      <c r="CM110" s="81"/>
    </row>
    <row r="111" spans="1:91" hidden="1">
      <c r="A111" s="1427" t="s">
        <v>1578</v>
      </c>
      <c r="B111" s="436" t="s">
        <v>351</v>
      </c>
      <c r="C111" s="1005" t="str">
        <f>"life expc: " &amp; VLOOKUP(Setup!E33,'Tax Tables'!$G$338:$I$398,3) &amp; " yrs"</f>
        <v>life expc: 14.8 yrs</v>
      </c>
      <c r="D111" s="1261" t="str">
        <f>IF(Inheritor2="y","You","Spouse") &amp; " at " &amp; iIRA_RMD_Age2</f>
        <v>Spouse at 73</v>
      </c>
      <c r="E111" s="65">
        <f t="shared" si="73"/>
        <v>-88600</v>
      </c>
      <c r="F111" s="73">
        <f t="shared" ref="F111:AS111" si="98">ROUND(IF(F109=0,0,IF(F13-(F13/F109)&lt;0,-F13,-F13/F109))/Round_To,0)*Round_To</f>
        <v>0</v>
      </c>
      <c r="G111" s="1124">
        <f t="shared" si="98"/>
        <v>0</v>
      </c>
      <c r="H111" s="1124">
        <f t="shared" si="98"/>
        <v>0</v>
      </c>
      <c r="I111" s="1124">
        <f t="shared" si="98"/>
        <v>0</v>
      </c>
      <c r="J111" s="1124">
        <f t="shared" si="98"/>
        <v>0</v>
      </c>
      <c r="K111" s="1124">
        <f t="shared" si="98"/>
        <v>0</v>
      </c>
      <c r="L111" s="1124">
        <f t="shared" si="98"/>
        <v>0</v>
      </c>
      <c r="M111" s="1124">
        <f t="shared" si="98"/>
        <v>0</v>
      </c>
      <c r="N111" s="1124">
        <f t="shared" si="98"/>
        <v>0</v>
      </c>
      <c r="O111" s="1124">
        <f t="shared" si="98"/>
        <v>0</v>
      </c>
      <c r="P111" s="1124">
        <f t="shared" si="98"/>
        <v>0</v>
      </c>
      <c r="Q111" s="1124">
        <f t="shared" si="98"/>
        <v>0</v>
      </c>
      <c r="R111" s="1124">
        <f t="shared" si="98"/>
        <v>-4100</v>
      </c>
      <c r="S111" s="1124">
        <f t="shared" si="98"/>
        <v>-4300</v>
      </c>
      <c r="T111" s="1124">
        <f t="shared" si="98"/>
        <v>-4600</v>
      </c>
      <c r="U111" s="1124">
        <f t="shared" si="98"/>
        <v>-4800</v>
      </c>
      <c r="V111" s="1124">
        <f t="shared" si="98"/>
        <v>-5100</v>
      </c>
      <c r="W111" s="1124">
        <f t="shared" si="98"/>
        <v>-5400</v>
      </c>
      <c r="X111" s="1124">
        <f t="shared" si="98"/>
        <v>-5600</v>
      </c>
      <c r="Y111" s="1124">
        <f t="shared" si="98"/>
        <v>-5700</v>
      </c>
      <c r="Z111" s="1124">
        <f t="shared" si="98"/>
        <v>-6000</v>
      </c>
      <c r="AA111" s="1124">
        <f t="shared" si="98"/>
        <v>-6400</v>
      </c>
      <c r="AB111" s="1124">
        <f t="shared" si="98"/>
        <v>-6800</v>
      </c>
      <c r="AC111" s="1124">
        <f t="shared" si="98"/>
        <v>-7100</v>
      </c>
      <c r="AD111" s="1124">
        <f t="shared" si="98"/>
        <v>-7600</v>
      </c>
      <c r="AE111" s="1124">
        <f t="shared" si="98"/>
        <v>-8100</v>
      </c>
      <c r="AF111" s="1124">
        <f t="shared" si="98"/>
        <v>-7000</v>
      </c>
      <c r="AG111" s="1124">
        <f t="shared" si="98"/>
        <v>0</v>
      </c>
      <c r="AH111" s="1124">
        <f t="shared" si="98"/>
        <v>0</v>
      </c>
      <c r="AI111" s="1124">
        <f t="shared" si="98"/>
        <v>0</v>
      </c>
      <c r="AJ111" s="1124">
        <f t="shared" si="98"/>
        <v>0</v>
      </c>
      <c r="AK111" s="1124">
        <f t="shared" si="98"/>
        <v>0</v>
      </c>
      <c r="AL111" s="1124">
        <f t="shared" si="98"/>
        <v>0</v>
      </c>
      <c r="AM111" s="1124">
        <f t="shared" si="98"/>
        <v>0</v>
      </c>
      <c r="AN111" s="1124">
        <f t="shared" si="98"/>
        <v>0</v>
      </c>
      <c r="AO111" s="1124">
        <f t="shared" si="98"/>
        <v>0</v>
      </c>
      <c r="AP111" s="1124">
        <f t="shared" si="98"/>
        <v>0</v>
      </c>
      <c r="AQ111" s="1124">
        <f t="shared" si="98"/>
        <v>0</v>
      </c>
      <c r="AR111" s="1124">
        <f t="shared" si="98"/>
        <v>0</v>
      </c>
      <c r="AS111" s="1124">
        <f t="shared" si="98"/>
        <v>0</v>
      </c>
      <c r="AT111" s="3"/>
      <c r="AU111" s="29">
        <f>+Details!E111</f>
        <v>-88600</v>
      </c>
      <c r="AV111" s="81">
        <f t="shared" si="95"/>
        <v>0</v>
      </c>
      <c r="AW111" s="102"/>
      <c r="AY111" s="31">
        <f>+Details!F111-Base!F111</f>
        <v>0</v>
      </c>
      <c r="AZ111" s="1124">
        <f>+Details!G111-Base!G111</f>
        <v>0</v>
      </c>
      <c r="BA111" s="1124">
        <f>+Details!H111-Base!H111</f>
        <v>0</v>
      </c>
      <c r="BB111" s="1124">
        <f>+Details!I111-Base!I111</f>
        <v>0</v>
      </c>
      <c r="BC111" s="1124">
        <f>+Details!J111-Base!J111</f>
        <v>0</v>
      </c>
      <c r="BD111" s="1124">
        <f>+Details!K111-Base!K111</f>
        <v>0</v>
      </c>
      <c r="BE111" s="1124">
        <f>+Details!L111-Base!L111</f>
        <v>0</v>
      </c>
      <c r="BF111" s="1124">
        <f>+Details!M111-Base!M111</f>
        <v>0</v>
      </c>
      <c r="BG111" s="1124">
        <f>+Details!N111-Base!N111</f>
        <v>0</v>
      </c>
      <c r="BH111" s="1124">
        <f>+Details!O111-Base!O111</f>
        <v>0</v>
      </c>
      <c r="BI111" s="1124">
        <f>+Details!P111-Base!P111</f>
        <v>0</v>
      </c>
      <c r="BJ111" s="1124">
        <f>+Details!Q111-Base!Q111</f>
        <v>0</v>
      </c>
      <c r="BK111" s="1124">
        <f>+Details!R111-Base!R111</f>
        <v>0</v>
      </c>
      <c r="BL111" s="1124">
        <f>+Details!S111-Base!S111</f>
        <v>0</v>
      </c>
      <c r="BM111" s="1124">
        <f>+Details!T111-Base!T111</f>
        <v>0</v>
      </c>
      <c r="BN111" s="1124">
        <f>+Details!U111-Base!U111</f>
        <v>0</v>
      </c>
      <c r="BO111" s="1124">
        <f>+Details!V111-Base!V111</f>
        <v>0</v>
      </c>
      <c r="BP111" s="1124">
        <f>+Details!W111-Base!W111</f>
        <v>0</v>
      </c>
      <c r="BQ111" s="1124">
        <f>+Details!X111-Base!X111</f>
        <v>0</v>
      </c>
      <c r="BR111" s="1124">
        <f>+Details!Y111-Base!Y111</f>
        <v>0</v>
      </c>
      <c r="BS111" s="1124">
        <f>+Details!Z111-Base!Z111</f>
        <v>0</v>
      </c>
      <c r="BT111" s="1124">
        <f>+Details!AA111-Base!AA111</f>
        <v>0</v>
      </c>
      <c r="BU111" s="1124">
        <f>+Details!AB111-Base!AB111</f>
        <v>0</v>
      </c>
      <c r="BV111" s="1124">
        <f>+Details!AC111-Base!AC111</f>
        <v>0</v>
      </c>
      <c r="BW111" s="1124">
        <f>+Details!AD111-Base!AD111</f>
        <v>0</v>
      </c>
      <c r="BX111" s="1124">
        <f>+Details!AE111-Base!AE111</f>
        <v>0</v>
      </c>
      <c r="BY111" s="1124">
        <f>+Details!AF111-Base!AF111</f>
        <v>0</v>
      </c>
      <c r="BZ111" s="1124">
        <f>+Details!AG111-Base!AG111</f>
        <v>0</v>
      </c>
      <c r="CA111" s="1124">
        <f>+Details!AH111-Base!AH111</f>
        <v>0</v>
      </c>
      <c r="CB111" s="1124">
        <f>+Details!AI111-Base!AI111</f>
        <v>0</v>
      </c>
      <c r="CC111" s="1124">
        <f>+Details!AJ111-Base!AJ111</f>
        <v>0</v>
      </c>
      <c r="CD111" s="1124">
        <f>+Details!AK111-Base!AK111</f>
        <v>0</v>
      </c>
      <c r="CE111" s="1124">
        <f>+Details!AL111-Base!AL111</f>
        <v>0</v>
      </c>
      <c r="CF111" s="1124">
        <f>+Details!AM111-Base!AM111</f>
        <v>0</v>
      </c>
      <c r="CG111" s="1124">
        <f>+Details!AN111-Base!AN111</f>
        <v>0</v>
      </c>
      <c r="CH111" s="1124">
        <f>+Details!AO111-Base!AO111</f>
        <v>0</v>
      </c>
      <c r="CI111" s="1124">
        <f>+Details!AP111-Base!AP111</f>
        <v>0</v>
      </c>
      <c r="CJ111" s="1124">
        <f>+Details!AQ111-Base!AQ111</f>
        <v>0</v>
      </c>
      <c r="CK111" s="1124">
        <f>+Details!AR111-Base!AR111</f>
        <v>0</v>
      </c>
      <c r="CL111" s="1124">
        <f>+Details!AS111-Base!AS111</f>
        <v>0</v>
      </c>
      <c r="CM111" s="81"/>
    </row>
    <row r="112" spans="1:91">
      <c r="B112" s="436" t="s">
        <v>1379</v>
      </c>
      <c r="C112" s="1006"/>
      <c r="D112" s="377" t="s">
        <v>1439</v>
      </c>
      <c r="E112" s="65">
        <f t="shared" si="73"/>
        <v>-128700</v>
      </c>
      <c r="F112" s="29">
        <f>+F110+F111</f>
        <v>0</v>
      </c>
      <c r="G112" s="1124">
        <f t="shared" ref="G112:AS112" si="99">+G110+G111</f>
        <v>0</v>
      </c>
      <c r="H112" s="1124">
        <f t="shared" si="99"/>
        <v>0</v>
      </c>
      <c r="I112" s="1124">
        <f t="shared" si="99"/>
        <v>0</v>
      </c>
      <c r="J112" s="1124">
        <f t="shared" si="99"/>
        <v>0</v>
      </c>
      <c r="K112" s="1124">
        <f t="shared" si="99"/>
        <v>0</v>
      </c>
      <c r="L112" s="1124">
        <f t="shared" si="99"/>
        <v>0</v>
      </c>
      <c r="M112" s="1124">
        <f t="shared" si="99"/>
        <v>0</v>
      </c>
      <c r="N112" s="1124">
        <f t="shared" si="99"/>
        <v>0</v>
      </c>
      <c r="O112" s="1124">
        <f t="shared" si="99"/>
        <v>0</v>
      </c>
      <c r="P112" s="1124">
        <f t="shared" si="99"/>
        <v>0</v>
      </c>
      <c r="Q112" s="1124">
        <f t="shared" si="99"/>
        <v>0</v>
      </c>
      <c r="R112" s="1124">
        <f t="shared" si="99"/>
        <v>-4100</v>
      </c>
      <c r="S112" s="1124">
        <f t="shared" si="99"/>
        <v>-4300</v>
      </c>
      <c r="T112" s="1124">
        <f t="shared" si="99"/>
        <v>-4600</v>
      </c>
      <c r="U112" s="1124">
        <f t="shared" si="99"/>
        <v>-4800</v>
      </c>
      <c r="V112" s="1124">
        <f t="shared" si="99"/>
        <v>-8300</v>
      </c>
      <c r="W112" s="1124">
        <f t="shared" si="99"/>
        <v>-8400</v>
      </c>
      <c r="X112" s="1124">
        <f t="shared" si="99"/>
        <v>-8400</v>
      </c>
      <c r="Y112" s="1124">
        <f t="shared" si="99"/>
        <v>-8600</v>
      </c>
      <c r="Z112" s="1124">
        <f t="shared" si="99"/>
        <v>-9100</v>
      </c>
      <c r="AA112" s="1124">
        <f t="shared" si="99"/>
        <v>-9700</v>
      </c>
      <c r="AB112" s="1124">
        <f t="shared" si="99"/>
        <v>-10300</v>
      </c>
      <c r="AC112" s="1124">
        <f t="shared" si="99"/>
        <v>-10800</v>
      </c>
      <c r="AD112" s="1124">
        <f t="shared" si="99"/>
        <v>-11500</v>
      </c>
      <c r="AE112" s="1124">
        <f t="shared" si="99"/>
        <v>-12300</v>
      </c>
      <c r="AF112" s="1124">
        <f t="shared" si="99"/>
        <v>-11500</v>
      </c>
      <c r="AG112" s="1124">
        <f t="shared" si="99"/>
        <v>-2000</v>
      </c>
      <c r="AH112" s="1124">
        <f t="shared" si="99"/>
        <v>0</v>
      </c>
      <c r="AI112" s="1124">
        <f t="shared" si="99"/>
        <v>0</v>
      </c>
      <c r="AJ112" s="1124">
        <f t="shared" si="99"/>
        <v>0</v>
      </c>
      <c r="AK112" s="1124">
        <f t="shared" si="99"/>
        <v>0</v>
      </c>
      <c r="AL112" s="1124">
        <f t="shared" si="99"/>
        <v>0</v>
      </c>
      <c r="AM112" s="1124">
        <f t="shared" si="99"/>
        <v>0</v>
      </c>
      <c r="AN112" s="1124">
        <f t="shared" si="99"/>
        <v>0</v>
      </c>
      <c r="AO112" s="1124">
        <f t="shared" si="99"/>
        <v>0</v>
      </c>
      <c r="AP112" s="1124">
        <f t="shared" si="99"/>
        <v>0</v>
      </c>
      <c r="AQ112" s="1124">
        <f t="shared" si="99"/>
        <v>0</v>
      </c>
      <c r="AR112" s="1124">
        <f t="shared" si="99"/>
        <v>0</v>
      </c>
      <c r="AS112" s="1124">
        <f t="shared" si="99"/>
        <v>0</v>
      </c>
      <c r="AT112" s="3"/>
      <c r="AU112" s="29">
        <f>+Details!E112</f>
        <v>-128700</v>
      </c>
      <c r="AV112" s="81">
        <f t="shared" si="95"/>
        <v>0</v>
      </c>
      <c r="AW112" s="102"/>
      <c r="AY112" s="31">
        <f>+Details!F112-Base!F112</f>
        <v>0</v>
      </c>
      <c r="AZ112" s="1124">
        <f>+Details!G112-Base!G112</f>
        <v>0</v>
      </c>
      <c r="BA112" s="1124">
        <f>+Details!H112-Base!H112</f>
        <v>0</v>
      </c>
      <c r="BB112" s="1124">
        <f>+Details!I112-Base!I112</f>
        <v>0</v>
      </c>
      <c r="BC112" s="1124">
        <f>+Details!J112-Base!J112</f>
        <v>0</v>
      </c>
      <c r="BD112" s="1124">
        <f>+Details!K112-Base!K112</f>
        <v>0</v>
      </c>
      <c r="BE112" s="1124">
        <f>+Details!L112-Base!L112</f>
        <v>0</v>
      </c>
      <c r="BF112" s="1124">
        <f>+Details!M112-Base!M112</f>
        <v>0</v>
      </c>
      <c r="BG112" s="1124">
        <f>+Details!N112-Base!N112</f>
        <v>0</v>
      </c>
      <c r="BH112" s="1124">
        <f>+Details!O112-Base!O112</f>
        <v>0</v>
      </c>
      <c r="BI112" s="1124">
        <f>+Details!P112-Base!P112</f>
        <v>0</v>
      </c>
      <c r="BJ112" s="1124">
        <f>+Details!Q112-Base!Q112</f>
        <v>0</v>
      </c>
      <c r="BK112" s="1124">
        <f>+Details!R112-Base!R112</f>
        <v>0</v>
      </c>
      <c r="BL112" s="1124">
        <f>+Details!S112-Base!S112</f>
        <v>0</v>
      </c>
      <c r="BM112" s="1124">
        <f>+Details!T112-Base!T112</f>
        <v>0</v>
      </c>
      <c r="BN112" s="1124">
        <f>+Details!U112-Base!U112</f>
        <v>0</v>
      </c>
      <c r="BO112" s="1124">
        <f>+Details!V112-Base!V112</f>
        <v>0</v>
      </c>
      <c r="BP112" s="1124">
        <f>+Details!W112-Base!W112</f>
        <v>0</v>
      </c>
      <c r="BQ112" s="1124">
        <f>+Details!X112-Base!X112</f>
        <v>0</v>
      </c>
      <c r="BR112" s="1124">
        <f>+Details!Y112-Base!Y112</f>
        <v>0</v>
      </c>
      <c r="BS112" s="1124">
        <f>+Details!Z112-Base!Z112</f>
        <v>0</v>
      </c>
      <c r="BT112" s="1124">
        <f>+Details!AA112-Base!AA112</f>
        <v>0</v>
      </c>
      <c r="BU112" s="1124">
        <f>+Details!AB112-Base!AB112</f>
        <v>0</v>
      </c>
      <c r="BV112" s="1124">
        <f>+Details!AC112-Base!AC112</f>
        <v>0</v>
      </c>
      <c r="BW112" s="1124">
        <f>+Details!AD112-Base!AD112</f>
        <v>0</v>
      </c>
      <c r="BX112" s="1124">
        <f>+Details!AE112-Base!AE112</f>
        <v>0</v>
      </c>
      <c r="BY112" s="1124">
        <f>+Details!AF112-Base!AF112</f>
        <v>0</v>
      </c>
      <c r="BZ112" s="1124">
        <f>+Details!AG112-Base!AG112</f>
        <v>0</v>
      </c>
      <c r="CA112" s="1124">
        <f>+Details!AH112-Base!AH112</f>
        <v>0</v>
      </c>
      <c r="CB112" s="1124">
        <f>+Details!AI112-Base!AI112</f>
        <v>0</v>
      </c>
      <c r="CC112" s="1124">
        <f>+Details!AJ112-Base!AJ112</f>
        <v>0</v>
      </c>
      <c r="CD112" s="1124">
        <f>+Details!AK112-Base!AK112</f>
        <v>0</v>
      </c>
      <c r="CE112" s="1124">
        <f>+Details!AL112-Base!AL112</f>
        <v>0</v>
      </c>
      <c r="CF112" s="1124">
        <f>+Details!AM112-Base!AM112</f>
        <v>0</v>
      </c>
      <c r="CG112" s="1124">
        <f>+Details!AN112-Base!AN112</f>
        <v>0</v>
      </c>
      <c r="CH112" s="1124">
        <f>+Details!AO112-Base!AO112</f>
        <v>0</v>
      </c>
      <c r="CI112" s="1124">
        <f>+Details!AP112-Base!AP112</f>
        <v>0</v>
      </c>
      <c r="CJ112" s="1124">
        <f>+Details!AQ112-Base!AQ112</f>
        <v>0</v>
      </c>
      <c r="CK112" s="1124">
        <f>+Details!AR112-Base!AR112</f>
        <v>0</v>
      </c>
      <c r="CL112" s="1124">
        <f>+Details!AS112-Base!AS112</f>
        <v>0</v>
      </c>
      <c r="CM112" s="81"/>
    </row>
    <row r="113" spans="1:91" s="3" customFormat="1" ht="15.6" hidden="1">
      <c r="A113" s="1427" t="s">
        <v>1578</v>
      </c>
      <c r="B113" s="436" t="s">
        <v>741</v>
      </c>
      <c r="C113" s="437"/>
      <c r="D113" s="1367">
        <f>Esc_InhIRA</f>
        <v>0</v>
      </c>
      <c r="E113" s="65">
        <f t="shared" si="73"/>
        <v>-12000</v>
      </c>
      <c r="F113" s="1305">
        <f>ROUND(IF(Start_InhIRA&lt;=F$4,-With_InhIRA,0)/Round_To,0)*Round_To</f>
        <v>0</v>
      </c>
      <c r="G113" s="1124">
        <f t="shared" ref="G113:AS113" si="100">ROUND(IF(F113&lt;0,IF(-G339&gt;+F113*(1+Esc_InhIRA),-G339,+F113*(1+Esc_InhIRA)),IF(Start_InhIRA&lt;=G$4,IF(-G339&gt;-With_InhIRA,-G339,-With_InhIRA),0))*IF(AND(End_InhIRA&lt;G4,End_InhIRA&lt;&gt;0),0,1)/Round_To,0)*Round_To</f>
        <v>0</v>
      </c>
      <c r="H113" s="1124">
        <f t="shared" si="100"/>
        <v>0</v>
      </c>
      <c r="I113" s="1124">
        <f t="shared" si="100"/>
        <v>0</v>
      </c>
      <c r="J113" s="1124">
        <f t="shared" si="100"/>
        <v>0</v>
      </c>
      <c r="K113" s="1124">
        <f t="shared" si="100"/>
        <v>0</v>
      </c>
      <c r="L113" s="1124">
        <f t="shared" si="100"/>
        <v>0</v>
      </c>
      <c r="M113" s="1124">
        <f t="shared" si="100"/>
        <v>0</v>
      </c>
      <c r="N113" s="1124">
        <f t="shared" si="100"/>
        <v>0</v>
      </c>
      <c r="O113" s="1124">
        <f t="shared" si="100"/>
        <v>0</v>
      </c>
      <c r="P113" s="1124">
        <f t="shared" si="100"/>
        <v>0</v>
      </c>
      <c r="Q113" s="1124">
        <f t="shared" si="100"/>
        <v>0</v>
      </c>
      <c r="R113" s="1124">
        <f t="shared" si="100"/>
        <v>0</v>
      </c>
      <c r="S113" s="1124">
        <f t="shared" si="100"/>
        <v>0</v>
      </c>
      <c r="T113" s="1124">
        <f t="shared" si="100"/>
        <v>0</v>
      </c>
      <c r="U113" s="1124">
        <f t="shared" si="100"/>
        <v>-4000</v>
      </c>
      <c r="V113" s="1124">
        <f t="shared" si="100"/>
        <v>-4000</v>
      </c>
      <c r="W113" s="1124">
        <f t="shared" si="100"/>
        <v>-4000</v>
      </c>
      <c r="X113" s="1124">
        <f t="shared" si="100"/>
        <v>0</v>
      </c>
      <c r="Y113" s="1124">
        <f t="shared" si="100"/>
        <v>0</v>
      </c>
      <c r="Z113" s="1124">
        <f t="shared" si="100"/>
        <v>0</v>
      </c>
      <c r="AA113" s="1124">
        <f t="shared" si="100"/>
        <v>0</v>
      </c>
      <c r="AB113" s="1124">
        <f t="shared" si="100"/>
        <v>0</v>
      </c>
      <c r="AC113" s="1124">
        <f t="shared" si="100"/>
        <v>0</v>
      </c>
      <c r="AD113" s="1124">
        <f t="shared" si="100"/>
        <v>0</v>
      </c>
      <c r="AE113" s="1124">
        <f t="shared" si="100"/>
        <v>0</v>
      </c>
      <c r="AF113" s="1124">
        <f t="shared" si="100"/>
        <v>0</v>
      </c>
      <c r="AG113" s="1124">
        <f t="shared" si="100"/>
        <v>0</v>
      </c>
      <c r="AH113" s="1124">
        <f t="shared" si="100"/>
        <v>0</v>
      </c>
      <c r="AI113" s="1124">
        <f t="shared" si="100"/>
        <v>0</v>
      </c>
      <c r="AJ113" s="1124">
        <f t="shared" si="100"/>
        <v>0</v>
      </c>
      <c r="AK113" s="1124">
        <f t="shared" si="100"/>
        <v>0</v>
      </c>
      <c r="AL113" s="1124">
        <f t="shared" si="100"/>
        <v>0</v>
      </c>
      <c r="AM113" s="1124">
        <f t="shared" si="100"/>
        <v>0</v>
      </c>
      <c r="AN113" s="1124">
        <f t="shared" si="100"/>
        <v>0</v>
      </c>
      <c r="AO113" s="1124">
        <f t="shared" si="100"/>
        <v>0</v>
      </c>
      <c r="AP113" s="1124">
        <f t="shared" si="100"/>
        <v>0</v>
      </c>
      <c r="AQ113" s="1124">
        <f t="shared" si="100"/>
        <v>0</v>
      </c>
      <c r="AR113" s="1124">
        <f t="shared" si="100"/>
        <v>0</v>
      </c>
      <c r="AS113" s="1124">
        <f t="shared" si="100"/>
        <v>0</v>
      </c>
      <c r="AU113" s="29">
        <f>+Details!E113</f>
        <v>-12000</v>
      </c>
      <c r="AV113" s="81">
        <f t="shared" si="95"/>
        <v>0</v>
      </c>
      <c r="AW113" s="102"/>
      <c r="AY113" s="31">
        <f>+Details!F113-Base!F113</f>
        <v>0</v>
      </c>
      <c r="AZ113" s="1124">
        <f>+Details!G113-Base!G113</f>
        <v>0</v>
      </c>
      <c r="BA113" s="1124">
        <f>+Details!H113-Base!H113</f>
        <v>0</v>
      </c>
      <c r="BB113" s="1124">
        <f>+Details!I113-Base!I113</f>
        <v>0</v>
      </c>
      <c r="BC113" s="1124">
        <f>+Details!J113-Base!J113</f>
        <v>0</v>
      </c>
      <c r="BD113" s="1124">
        <f>+Details!K113-Base!K113</f>
        <v>0</v>
      </c>
      <c r="BE113" s="1124">
        <f>+Details!L113-Base!L113</f>
        <v>0</v>
      </c>
      <c r="BF113" s="1124">
        <f>+Details!M113-Base!M113</f>
        <v>0</v>
      </c>
      <c r="BG113" s="1124">
        <f>+Details!N113-Base!N113</f>
        <v>0</v>
      </c>
      <c r="BH113" s="1124">
        <f>+Details!O113-Base!O113</f>
        <v>0</v>
      </c>
      <c r="BI113" s="1124">
        <f>+Details!P113-Base!P113</f>
        <v>0</v>
      </c>
      <c r="BJ113" s="1124">
        <f>+Details!Q113-Base!Q113</f>
        <v>0</v>
      </c>
      <c r="BK113" s="1124">
        <f>+Details!R113-Base!R113</f>
        <v>0</v>
      </c>
      <c r="BL113" s="1124">
        <f>+Details!S113-Base!S113</f>
        <v>0</v>
      </c>
      <c r="BM113" s="1124">
        <f>+Details!T113-Base!T113</f>
        <v>0</v>
      </c>
      <c r="BN113" s="1124">
        <f>+Details!U113-Base!U113</f>
        <v>0</v>
      </c>
      <c r="BO113" s="1124">
        <f>+Details!V113-Base!V113</f>
        <v>0</v>
      </c>
      <c r="BP113" s="1124">
        <f>+Details!W113-Base!W113</f>
        <v>0</v>
      </c>
      <c r="BQ113" s="1124">
        <f>+Details!X113-Base!X113</f>
        <v>0</v>
      </c>
      <c r="BR113" s="1124">
        <f>+Details!Y113-Base!Y113</f>
        <v>0</v>
      </c>
      <c r="BS113" s="1124">
        <f>+Details!Z113-Base!Z113</f>
        <v>0</v>
      </c>
      <c r="BT113" s="1124">
        <f>+Details!AA113-Base!AA113</f>
        <v>0</v>
      </c>
      <c r="BU113" s="1124">
        <f>+Details!AB113-Base!AB113</f>
        <v>0</v>
      </c>
      <c r="BV113" s="1124">
        <f>+Details!AC113-Base!AC113</f>
        <v>0</v>
      </c>
      <c r="BW113" s="1124">
        <f>+Details!AD113-Base!AD113</f>
        <v>0</v>
      </c>
      <c r="BX113" s="1124">
        <f>+Details!AE113-Base!AE113</f>
        <v>0</v>
      </c>
      <c r="BY113" s="1124">
        <f>+Details!AF113-Base!AF113</f>
        <v>0</v>
      </c>
      <c r="BZ113" s="1124">
        <f>+Details!AG113-Base!AG113</f>
        <v>0</v>
      </c>
      <c r="CA113" s="1124">
        <f>+Details!AH113-Base!AH113</f>
        <v>0</v>
      </c>
      <c r="CB113" s="1124">
        <f>+Details!AI113-Base!AI113</f>
        <v>0</v>
      </c>
      <c r="CC113" s="1124">
        <f>+Details!AJ113-Base!AJ113</f>
        <v>0</v>
      </c>
      <c r="CD113" s="1124">
        <f>+Details!AK113-Base!AK113</f>
        <v>0</v>
      </c>
      <c r="CE113" s="1124">
        <f>+Details!AL113-Base!AL113</f>
        <v>0</v>
      </c>
      <c r="CF113" s="1124">
        <f>+Details!AM113-Base!AM113</f>
        <v>0</v>
      </c>
      <c r="CG113" s="1124">
        <f>+Details!AN113-Base!AN113</f>
        <v>0</v>
      </c>
      <c r="CH113" s="1124">
        <f>+Details!AO113-Base!AO113</f>
        <v>0</v>
      </c>
      <c r="CI113" s="1124">
        <f>+Details!AP113-Base!AP113</f>
        <v>0</v>
      </c>
      <c r="CJ113" s="1124">
        <f>+Details!AQ113-Base!AQ113</f>
        <v>0</v>
      </c>
      <c r="CK113" s="1124">
        <f>+Details!AR113-Base!AR113</f>
        <v>0</v>
      </c>
      <c r="CL113" s="1124">
        <f>+Details!AS113-Base!AS113</f>
        <v>0</v>
      </c>
      <c r="CM113" s="81"/>
    </row>
    <row r="114" spans="1:91" s="3" customFormat="1" ht="15.6" hidden="1">
      <c r="A114" s="1427" t="s">
        <v>1578</v>
      </c>
      <c r="B114" s="436" t="s">
        <v>742</v>
      </c>
      <c r="C114" s="437"/>
      <c r="D114" s="1367">
        <f>Esc_InhIRA2</f>
        <v>0.1</v>
      </c>
      <c r="E114" s="65">
        <f t="shared" si="73"/>
        <v>-3300</v>
      </c>
      <c r="F114" s="1305">
        <f>ROUND(IF(Start_InhIRA2&lt;=F$4,-With_InhIRA2,0)/Round_To,0)*Round_To</f>
        <v>0</v>
      </c>
      <c r="G114" s="1124">
        <f t="shared" ref="G114:AS114" si="101">ROUND(IF(F114&lt;0,IF(-G340&gt;+F114*(1+Esc_InhIRA2),-G340,+F114*(1+Esc_InhIRA2)),IF(Start_InhIRA2&lt;=G$4,IF(-G340&gt;-With_InhIRA2,-G340,-With_InhIRA2),0))*IF(AND(End_InhIRA2&lt;G4,End_InhIRA2&lt;&gt;0),0,1)/Round_To,0)*Round_To</f>
        <v>0</v>
      </c>
      <c r="H114" s="1124">
        <f t="shared" si="101"/>
        <v>0</v>
      </c>
      <c r="I114" s="1124">
        <f t="shared" si="101"/>
        <v>0</v>
      </c>
      <c r="J114" s="1124">
        <f t="shared" si="101"/>
        <v>0</v>
      </c>
      <c r="K114" s="1124">
        <f t="shared" si="101"/>
        <v>0</v>
      </c>
      <c r="L114" s="1124">
        <f t="shared" si="101"/>
        <v>0</v>
      </c>
      <c r="M114" s="1124">
        <f t="shared" si="101"/>
        <v>0</v>
      </c>
      <c r="N114" s="1124">
        <f t="shared" si="101"/>
        <v>0</v>
      </c>
      <c r="O114" s="1124">
        <f t="shared" si="101"/>
        <v>0</v>
      </c>
      <c r="P114" s="1124">
        <f t="shared" si="101"/>
        <v>0</v>
      </c>
      <c r="Q114" s="1124">
        <f t="shared" si="101"/>
        <v>0</v>
      </c>
      <c r="R114" s="1124">
        <f t="shared" si="101"/>
        <v>0</v>
      </c>
      <c r="S114" s="1124">
        <f t="shared" si="101"/>
        <v>0</v>
      </c>
      <c r="T114" s="1124">
        <f t="shared" si="101"/>
        <v>0</v>
      </c>
      <c r="U114" s="1124">
        <f t="shared" si="101"/>
        <v>0</v>
      </c>
      <c r="V114" s="1124">
        <f t="shared" si="101"/>
        <v>-1000</v>
      </c>
      <c r="W114" s="1124">
        <f t="shared" si="101"/>
        <v>-1100</v>
      </c>
      <c r="X114" s="1124">
        <f t="shared" si="101"/>
        <v>-1200</v>
      </c>
      <c r="Y114" s="1124">
        <f t="shared" si="101"/>
        <v>0</v>
      </c>
      <c r="Z114" s="1124">
        <f t="shared" si="101"/>
        <v>0</v>
      </c>
      <c r="AA114" s="1124">
        <f t="shared" si="101"/>
        <v>0</v>
      </c>
      <c r="AB114" s="1124">
        <f t="shared" si="101"/>
        <v>0</v>
      </c>
      <c r="AC114" s="1124">
        <f t="shared" si="101"/>
        <v>0</v>
      </c>
      <c r="AD114" s="1124">
        <f t="shared" si="101"/>
        <v>0</v>
      </c>
      <c r="AE114" s="1124">
        <f t="shared" si="101"/>
        <v>0</v>
      </c>
      <c r="AF114" s="1124">
        <f t="shared" si="101"/>
        <v>0</v>
      </c>
      <c r="AG114" s="1124">
        <f t="shared" si="101"/>
        <v>0</v>
      </c>
      <c r="AH114" s="1124">
        <f t="shared" si="101"/>
        <v>0</v>
      </c>
      <c r="AI114" s="1124">
        <f t="shared" si="101"/>
        <v>0</v>
      </c>
      <c r="AJ114" s="1124">
        <f t="shared" si="101"/>
        <v>0</v>
      </c>
      <c r="AK114" s="1124">
        <f t="shared" si="101"/>
        <v>0</v>
      </c>
      <c r="AL114" s="1124">
        <f t="shared" si="101"/>
        <v>0</v>
      </c>
      <c r="AM114" s="1124">
        <f t="shared" si="101"/>
        <v>0</v>
      </c>
      <c r="AN114" s="1124">
        <f t="shared" si="101"/>
        <v>0</v>
      </c>
      <c r="AO114" s="1124">
        <f t="shared" si="101"/>
        <v>0</v>
      </c>
      <c r="AP114" s="1124">
        <f t="shared" si="101"/>
        <v>0</v>
      </c>
      <c r="AQ114" s="1124">
        <f t="shared" si="101"/>
        <v>0</v>
      </c>
      <c r="AR114" s="1124">
        <f t="shared" si="101"/>
        <v>0</v>
      </c>
      <c r="AS114" s="1124">
        <f t="shared" si="101"/>
        <v>0</v>
      </c>
      <c r="AU114" s="29">
        <f>+Details!E114</f>
        <v>-3300</v>
      </c>
      <c r="AV114" s="81">
        <f t="shared" si="95"/>
        <v>0</v>
      </c>
      <c r="AW114" s="102"/>
      <c r="AY114" s="31">
        <f>+Details!F114-Base!F114</f>
        <v>0</v>
      </c>
      <c r="AZ114" s="1124">
        <f>+Details!G114-Base!G114</f>
        <v>0</v>
      </c>
      <c r="BA114" s="1124">
        <f>+Details!H114-Base!H114</f>
        <v>0</v>
      </c>
      <c r="BB114" s="1124">
        <f>+Details!I114-Base!I114</f>
        <v>0</v>
      </c>
      <c r="BC114" s="1124">
        <f>+Details!J114-Base!J114</f>
        <v>0</v>
      </c>
      <c r="BD114" s="1124">
        <f>+Details!K114-Base!K114</f>
        <v>0</v>
      </c>
      <c r="BE114" s="1124">
        <f>+Details!L114-Base!L114</f>
        <v>0</v>
      </c>
      <c r="BF114" s="1124">
        <f>+Details!M114-Base!M114</f>
        <v>0</v>
      </c>
      <c r="BG114" s="1124">
        <f>+Details!N114-Base!N114</f>
        <v>0</v>
      </c>
      <c r="BH114" s="1124">
        <f>+Details!O114-Base!O114</f>
        <v>0</v>
      </c>
      <c r="BI114" s="1124">
        <f>+Details!P114-Base!P114</f>
        <v>0</v>
      </c>
      <c r="BJ114" s="1124">
        <f>+Details!Q114-Base!Q114</f>
        <v>0</v>
      </c>
      <c r="BK114" s="1124">
        <f>+Details!R114-Base!R114</f>
        <v>0</v>
      </c>
      <c r="BL114" s="1124">
        <f>+Details!S114-Base!S114</f>
        <v>0</v>
      </c>
      <c r="BM114" s="1124">
        <f>+Details!T114-Base!T114</f>
        <v>0</v>
      </c>
      <c r="BN114" s="1124">
        <f>+Details!U114-Base!U114</f>
        <v>0</v>
      </c>
      <c r="BO114" s="1124">
        <f>+Details!V114-Base!V114</f>
        <v>0</v>
      </c>
      <c r="BP114" s="1124">
        <f>+Details!W114-Base!W114</f>
        <v>0</v>
      </c>
      <c r="BQ114" s="1124">
        <f>+Details!X114-Base!X114</f>
        <v>0</v>
      </c>
      <c r="BR114" s="1124">
        <f>+Details!Y114-Base!Y114</f>
        <v>0</v>
      </c>
      <c r="BS114" s="1124">
        <f>+Details!Z114-Base!Z114</f>
        <v>0</v>
      </c>
      <c r="BT114" s="1124">
        <f>+Details!AA114-Base!AA114</f>
        <v>0</v>
      </c>
      <c r="BU114" s="1124">
        <f>+Details!AB114-Base!AB114</f>
        <v>0</v>
      </c>
      <c r="BV114" s="1124">
        <f>+Details!AC114-Base!AC114</f>
        <v>0</v>
      </c>
      <c r="BW114" s="1124">
        <f>+Details!AD114-Base!AD114</f>
        <v>0</v>
      </c>
      <c r="BX114" s="1124">
        <f>+Details!AE114-Base!AE114</f>
        <v>0</v>
      </c>
      <c r="BY114" s="1124">
        <f>+Details!AF114-Base!AF114</f>
        <v>0</v>
      </c>
      <c r="BZ114" s="1124">
        <f>+Details!AG114-Base!AG114</f>
        <v>0</v>
      </c>
      <c r="CA114" s="1124">
        <f>+Details!AH114-Base!AH114</f>
        <v>0</v>
      </c>
      <c r="CB114" s="1124">
        <f>+Details!AI114-Base!AI114</f>
        <v>0</v>
      </c>
      <c r="CC114" s="1124">
        <f>+Details!AJ114-Base!AJ114</f>
        <v>0</v>
      </c>
      <c r="CD114" s="1124">
        <f>+Details!AK114-Base!AK114</f>
        <v>0</v>
      </c>
      <c r="CE114" s="1124">
        <f>+Details!AL114-Base!AL114</f>
        <v>0</v>
      </c>
      <c r="CF114" s="1124">
        <f>+Details!AM114-Base!AM114</f>
        <v>0</v>
      </c>
      <c r="CG114" s="1124">
        <f>+Details!AN114-Base!AN114</f>
        <v>0</v>
      </c>
      <c r="CH114" s="1124">
        <f>+Details!AO114-Base!AO114</f>
        <v>0</v>
      </c>
      <c r="CI114" s="1124">
        <f>+Details!AP114-Base!AP114</f>
        <v>0</v>
      </c>
      <c r="CJ114" s="1124">
        <f>+Details!AQ114-Base!AQ114</f>
        <v>0</v>
      </c>
      <c r="CK114" s="1124">
        <f>+Details!AR114-Base!AR114</f>
        <v>0</v>
      </c>
      <c r="CL114" s="1124">
        <f>+Details!AS114-Base!AS114</f>
        <v>0</v>
      </c>
      <c r="CM114" s="81"/>
    </row>
    <row r="115" spans="1:91" s="3" customFormat="1" ht="15.6">
      <c r="A115" s="1430"/>
      <c r="B115" s="436" t="s">
        <v>1279</v>
      </c>
      <c r="C115" s="437"/>
      <c r="D115" s="432"/>
      <c r="E115" s="65">
        <f t="shared" si="73"/>
        <v>-15300</v>
      </c>
      <c r="F115" s="29">
        <f t="shared" ref="F115:AS115" si="102">+F113+F114</f>
        <v>0</v>
      </c>
      <c r="G115" s="1124">
        <f t="shared" si="102"/>
        <v>0</v>
      </c>
      <c r="H115" s="1124">
        <f t="shared" si="102"/>
        <v>0</v>
      </c>
      <c r="I115" s="1124">
        <f t="shared" si="102"/>
        <v>0</v>
      </c>
      <c r="J115" s="1124">
        <f t="shared" si="102"/>
        <v>0</v>
      </c>
      <c r="K115" s="1124">
        <f t="shared" si="102"/>
        <v>0</v>
      </c>
      <c r="L115" s="1124">
        <f t="shared" si="102"/>
        <v>0</v>
      </c>
      <c r="M115" s="1124">
        <f t="shared" si="102"/>
        <v>0</v>
      </c>
      <c r="N115" s="1124">
        <f t="shared" si="102"/>
        <v>0</v>
      </c>
      <c r="O115" s="1124">
        <f t="shared" si="102"/>
        <v>0</v>
      </c>
      <c r="P115" s="1124">
        <f t="shared" si="102"/>
        <v>0</v>
      </c>
      <c r="Q115" s="1124">
        <f t="shared" si="102"/>
        <v>0</v>
      </c>
      <c r="R115" s="1124">
        <f t="shared" si="102"/>
        <v>0</v>
      </c>
      <c r="S115" s="1124">
        <f t="shared" si="102"/>
        <v>0</v>
      </c>
      <c r="T115" s="1124">
        <f t="shared" si="102"/>
        <v>0</v>
      </c>
      <c r="U115" s="1124">
        <f t="shared" si="102"/>
        <v>-4000</v>
      </c>
      <c r="V115" s="1124">
        <f t="shared" si="102"/>
        <v>-5000</v>
      </c>
      <c r="W115" s="1124">
        <f t="shared" si="102"/>
        <v>-5100</v>
      </c>
      <c r="X115" s="1124">
        <f t="shared" si="102"/>
        <v>-1200</v>
      </c>
      <c r="Y115" s="1124">
        <f t="shared" si="102"/>
        <v>0</v>
      </c>
      <c r="Z115" s="1124">
        <f t="shared" si="102"/>
        <v>0</v>
      </c>
      <c r="AA115" s="1124">
        <f t="shared" si="102"/>
        <v>0</v>
      </c>
      <c r="AB115" s="1124">
        <f t="shared" si="102"/>
        <v>0</v>
      </c>
      <c r="AC115" s="1124">
        <f t="shared" si="102"/>
        <v>0</v>
      </c>
      <c r="AD115" s="1124">
        <f t="shared" si="102"/>
        <v>0</v>
      </c>
      <c r="AE115" s="1124">
        <f t="shared" si="102"/>
        <v>0</v>
      </c>
      <c r="AF115" s="1124">
        <f t="shared" si="102"/>
        <v>0</v>
      </c>
      <c r="AG115" s="1124">
        <f t="shared" si="102"/>
        <v>0</v>
      </c>
      <c r="AH115" s="1124">
        <f t="shared" si="102"/>
        <v>0</v>
      </c>
      <c r="AI115" s="1124">
        <f t="shared" si="102"/>
        <v>0</v>
      </c>
      <c r="AJ115" s="1124">
        <f t="shared" si="102"/>
        <v>0</v>
      </c>
      <c r="AK115" s="1124">
        <f t="shared" si="102"/>
        <v>0</v>
      </c>
      <c r="AL115" s="1124">
        <f t="shared" si="102"/>
        <v>0</v>
      </c>
      <c r="AM115" s="1124">
        <f t="shared" si="102"/>
        <v>0</v>
      </c>
      <c r="AN115" s="1124">
        <f t="shared" si="102"/>
        <v>0</v>
      </c>
      <c r="AO115" s="1124">
        <f t="shared" si="102"/>
        <v>0</v>
      </c>
      <c r="AP115" s="1124">
        <f t="shared" si="102"/>
        <v>0</v>
      </c>
      <c r="AQ115" s="1124">
        <f t="shared" si="102"/>
        <v>0</v>
      </c>
      <c r="AR115" s="1124">
        <f t="shared" si="102"/>
        <v>0</v>
      </c>
      <c r="AS115" s="1124">
        <f t="shared" si="102"/>
        <v>0</v>
      </c>
      <c r="AU115" s="29">
        <f>+Details!E115</f>
        <v>-15300</v>
      </c>
      <c r="AV115" s="81">
        <f t="shared" si="95"/>
        <v>0</v>
      </c>
      <c r="AW115" s="102"/>
      <c r="AY115" s="31">
        <f>+Details!F115-Base!F115</f>
        <v>0</v>
      </c>
      <c r="AZ115" s="1124">
        <f>+Details!G115-Base!G115</f>
        <v>0</v>
      </c>
      <c r="BA115" s="1124">
        <f>+Details!H115-Base!H115</f>
        <v>0</v>
      </c>
      <c r="BB115" s="1124">
        <f>+Details!I115-Base!I115</f>
        <v>0</v>
      </c>
      <c r="BC115" s="1124">
        <f>+Details!J115-Base!J115</f>
        <v>0</v>
      </c>
      <c r="BD115" s="1124">
        <f>+Details!K115-Base!K115</f>
        <v>0</v>
      </c>
      <c r="BE115" s="1124">
        <f>+Details!L115-Base!L115</f>
        <v>0</v>
      </c>
      <c r="BF115" s="1124">
        <f>+Details!M115-Base!M115</f>
        <v>0</v>
      </c>
      <c r="BG115" s="1124">
        <f>+Details!N115-Base!N115</f>
        <v>0</v>
      </c>
      <c r="BH115" s="1124">
        <f>+Details!O115-Base!O115</f>
        <v>0</v>
      </c>
      <c r="BI115" s="1124">
        <f>+Details!P115-Base!P115</f>
        <v>0</v>
      </c>
      <c r="BJ115" s="1124">
        <f>+Details!Q115-Base!Q115</f>
        <v>0</v>
      </c>
      <c r="BK115" s="1124">
        <f>+Details!R115-Base!R115</f>
        <v>0</v>
      </c>
      <c r="BL115" s="1124">
        <f>+Details!S115-Base!S115</f>
        <v>0</v>
      </c>
      <c r="BM115" s="1124">
        <f>+Details!T115-Base!T115</f>
        <v>0</v>
      </c>
      <c r="BN115" s="1124">
        <f>+Details!U115-Base!U115</f>
        <v>0</v>
      </c>
      <c r="BO115" s="1124">
        <f>+Details!V115-Base!V115</f>
        <v>0</v>
      </c>
      <c r="BP115" s="1124">
        <f>+Details!W115-Base!W115</f>
        <v>0</v>
      </c>
      <c r="BQ115" s="1124">
        <f>+Details!X115-Base!X115</f>
        <v>0</v>
      </c>
      <c r="BR115" s="1124">
        <f>+Details!Y115-Base!Y115</f>
        <v>0</v>
      </c>
      <c r="BS115" s="1124">
        <f>+Details!Z115-Base!Z115</f>
        <v>0</v>
      </c>
      <c r="BT115" s="1124">
        <f>+Details!AA115-Base!AA115</f>
        <v>0</v>
      </c>
      <c r="BU115" s="1124">
        <f>+Details!AB115-Base!AB115</f>
        <v>0</v>
      </c>
      <c r="BV115" s="1124">
        <f>+Details!AC115-Base!AC115</f>
        <v>0</v>
      </c>
      <c r="BW115" s="1124">
        <f>+Details!AD115-Base!AD115</f>
        <v>0</v>
      </c>
      <c r="BX115" s="1124">
        <f>+Details!AE115-Base!AE115</f>
        <v>0</v>
      </c>
      <c r="BY115" s="1124">
        <f>+Details!AF115-Base!AF115</f>
        <v>0</v>
      </c>
      <c r="BZ115" s="1124">
        <f>+Details!AG115-Base!AG115</f>
        <v>0</v>
      </c>
      <c r="CA115" s="1124">
        <f>+Details!AH115-Base!AH115</f>
        <v>0</v>
      </c>
      <c r="CB115" s="1124">
        <f>+Details!AI115-Base!AI115</f>
        <v>0</v>
      </c>
      <c r="CC115" s="1124">
        <f>+Details!AJ115-Base!AJ115</f>
        <v>0</v>
      </c>
      <c r="CD115" s="1124">
        <f>+Details!AK115-Base!AK115</f>
        <v>0</v>
      </c>
      <c r="CE115" s="1124">
        <f>+Details!AL115-Base!AL115</f>
        <v>0</v>
      </c>
      <c r="CF115" s="1124">
        <f>+Details!AM115-Base!AM115</f>
        <v>0</v>
      </c>
      <c r="CG115" s="1124">
        <f>+Details!AN115-Base!AN115</f>
        <v>0</v>
      </c>
      <c r="CH115" s="1124">
        <f>+Details!AO115-Base!AO115</f>
        <v>0</v>
      </c>
      <c r="CI115" s="1124">
        <f>+Details!AP115-Base!AP115</f>
        <v>0</v>
      </c>
      <c r="CJ115" s="1124">
        <f>+Details!AQ115-Base!AQ115</f>
        <v>0</v>
      </c>
      <c r="CK115" s="1124">
        <f>+Details!AR115-Base!AR115</f>
        <v>0</v>
      </c>
      <c r="CL115" s="1124">
        <f>+Details!AS115-Base!AS115</f>
        <v>0</v>
      </c>
      <c r="CM115" s="81"/>
    </row>
    <row r="116" spans="1:91" ht="15.6" hidden="1">
      <c r="A116" s="1427" t="s">
        <v>1578</v>
      </c>
      <c r="B116" s="436" t="s">
        <v>743</v>
      </c>
      <c r="C116" s="437"/>
      <c r="D116" s="256"/>
      <c r="E116" s="65">
        <f t="shared" si="73"/>
        <v>0</v>
      </c>
      <c r="F116" s="73">
        <f t="shared" ref="F116:AS116" si="103">ROUND(IF(F8-Taxable_Min+F303-F95-F103&lt;0,IF(F345&gt;0,IF(F8-Taxable_Min+F303-F95-F103&lt;-F345,-F345,F8-Taxable_Min+F303-F95-F103),0),0)/Round_To,0)*Round_To*IF(Automate="y",1,0)</f>
        <v>0</v>
      </c>
      <c r="G116" s="1124">
        <f t="shared" si="103"/>
        <v>0</v>
      </c>
      <c r="H116" s="1124">
        <f t="shared" si="103"/>
        <v>0</v>
      </c>
      <c r="I116" s="1124">
        <f t="shared" si="103"/>
        <v>0</v>
      </c>
      <c r="J116" s="1124">
        <f t="shared" si="103"/>
        <v>0</v>
      </c>
      <c r="K116" s="1124">
        <f t="shared" si="103"/>
        <v>0</v>
      </c>
      <c r="L116" s="1124">
        <f t="shared" si="103"/>
        <v>0</v>
      </c>
      <c r="M116" s="1124">
        <f t="shared" si="103"/>
        <v>0</v>
      </c>
      <c r="N116" s="1124">
        <f t="shared" si="103"/>
        <v>0</v>
      </c>
      <c r="O116" s="1124">
        <f t="shared" si="103"/>
        <v>0</v>
      </c>
      <c r="P116" s="1124">
        <f t="shared" si="103"/>
        <v>0</v>
      </c>
      <c r="Q116" s="1124">
        <f t="shared" si="103"/>
        <v>0</v>
      </c>
      <c r="R116" s="1124">
        <f t="shared" si="103"/>
        <v>0</v>
      </c>
      <c r="S116" s="1124">
        <f t="shared" si="103"/>
        <v>0</v>
      </c>
      <c r="T116" s="1124">
        <f t="shared" si="103"/>
        <v>0</v>
      </c>
      <c r="U116" s="1124">
        <f t="shared" si="103"/>
        <v>0</v>
      </c>
      <c r="V116" s="1124">
        <f t="shared" si="103"/>
        <v>0</v>
      </c>
      <c r="W116" s="1124">
        <f t="shared" si="103"/>
        <v>0</v>
      </c>
      <c r="X116" s="1124">
        <f t="shared" si="103"/>
        <v>0</v>
      </c>
      <c r="Y116" s="1124">
        <f t="shared" si="103"/>
        <v>0</v>
      </c>
      <c r="Z116" s="1124">
        <f t="shared" si="103"/>
        <v>0</v>
      </c>
      <c r="AA116" s="1124">
        <f t="shared" si="103"/>
        <v>0</v>
      </c>
      <c r="AB116" s="1124">
        <f t="shared" si="103"/>
        <v>0</v>
      </c>
      <c r="AC116" s="1124">
        <f t="shared" si="103"/>
        <v>0</v>
      </c>
      <c r="AD116" s="1124">
        <f t="shared" si="103"/>
        <v>0</v>
      </c>
      <c r="AE116" s="1124">
        <f t="shared" si="103"/>
        <v>0</v>
      </c>
      <c r="AF116" s="1124">
        <f t="shared" si="103"/>
        <v>0</v>
      </c>
      <c r="AG116" s="1124">
        <f t="shared" si="103"/>
        <v>0</v>
      </c>
      <c r="AH116" s="1124">
        <f t="shared" si="103"/>
        <v>0</v>
      </c>
      <c r="AI116" s="1124">
        <f t="shared" si="103"/>
        <v>0</v>
      </c>
      <c r="AJ116" s="1124">
        <f t="shared" si="103"/>
        <v>0</v>
      </c>
      <c r="AK116" s="1124">
        <f t="shared" si="103"/>
        <v>0</v>
      </c>
      <c r="AL116" s="1124">
        <f t="shared" si="103"/>
        <v>0</v>
      </c>
      <c r="AM116" s="1124">
        <f t="shared" si="103"/>
        <v>0</v>
      </c>
      <c r="AN116" s="1124">
        <f t="shared" si="103"/>
        <v>0</v>
      </c>
      <c r="AO116" s="1124">
        <f t="shared" si="103"/>
        <v>0</v>
      </c>
      <c r="AP116" s="1124">
        <f t="shared" si="103"/>
        <v>0</v>
      </c>
      <c r="AQ116" s="1124">
        <f t="shared" si="103"/>
        <v>0</v>
      </c>
      <c r="AR116" s="1124">
        <f t="shared" si="103"/>
        <v>0</v>
      </c>
      <c r="AS116" s="1124">
        <f t="shared" si="103"/>
        <v>0</v>
      </c>
      <c r="AT116" s="3"/>
      <c r="AU116" s="29">
        <f>+Details!E116</f>
        <v>0</v>
      </c>
      <c r="AV116" s="81">
        <f t="shared" si="95"/>
        <v>0</v>
      </c>
      <c r="AW116" s="102"/>
      <c r="AY116" s="31">
        <f>+Details!F116-Base!F116</f>
        <v>0</v>
      </c>
      <c r="AZ116" s="1124">
        <f>+Details!G116-Base!G116</f>
        <v>0</v>
      </c>
      <c r="BA116" s="1124">
        <f>+Details!H116-Base!H116</f>
        <v>0</v>
      </c>
      <c r="BB116" s="1124">
        <f>+Details!I116-Base!I116</f>
        <v>0</v>
      </c>
      <c r="BC116" s="1124">
        <f>+Details!J116-Base!J116</f>
        <v>0</v>
      </c>
      <c r="BD116" s="1124">
        <f>+Details!K116-Base!K116</f>
        <v>0</v>
      </c>
      <c r="BE116" s="1124">
        <f>+Details!L116-Base!L116</f>
        <v>0</v>
      </c>
      <c r="BF116" s="1124">
        <f>+Details!M116-Base!M116</f>
        <v>0</v>
      </c>
      <c r="BG116" s="1124">
        <f>+Details!N116-Base!N116</f>
        <v>0</v>
      </c>
      <c r="BH116" s="1124">
        <f>+Details!O116-Base!O116</f>
        <v>0</v>
      </c>
      <c r="BI116" s="1124">
        <f>+Details!P116-Base!P116</f>
        <v>0</v>
      </c>
      <c r="BJ116" s="1124">
        <f>+Details!Q116-Base!Q116</f>
        <v>0</v>
      </c>
      <c r="BK116" s="1124">
        <f>+Details!R116-Base!R116</f>
        <v>0</v>
      </c>
      <c r="BL116" s="1124">
        <f>+Details!S116-Base!S116</f>
        <v>0</v>
      </c>
      <c r="BM116" s="1124">
        <f>+Details!T116-Base!T116</f>
        <v>0</v>
      </c>
      <c r="BN116" s="1124">
        <f>+Details!U116-Base!U116</f>
        <v>0</v>
      </c>
      <c r="BO116" s="1124">
        <f>+Details!V116-Base!V116</f>
        <v>0</v>
      </c>
      <c r="BP116" s="1124">
        <f>+Details!W116-Base!W116</f>
        <v>0</v>
      </c>
      <c r="BQ116" s="1124">
        <f>+Details!X116-Base!X116</f>
        <v>0</v>
      </c>
      <c r="BR116" s="1124">
        <f>+Details!Y116-Base!Y116</f>
        <v>0</v>
      </c>
      <c r="BS116" s="1124">
        <f>+Details!Z116-Base!Z116</f>
        <v>0</v>
      </c>
      <c r="BT116" s="1124">
        <f>+Details!AA116-Base!AA116</f>
        <v>0</v>
      </c>
      <c r="BU116" s="1124">
        <f>+Details!AB116-Base!AB116</f>
        <v>0</v>
      </c>
      <c r="BV116" s="1124">
        <f>+Details!AC116-Base!AC116</f>
        <v>0</v>
      </c>
      <c r="BW116" s="1124">
        <f>+Details!AD116-Base!AD116</f>
        <v>0</v>
      </c>
      <c r="BX116" s="1124">
        <f>+Details!AE116-Base!AE116</f>
        <v>0</v>
      </c>
      <c r="BY116" s="1124">
        <f>+Details!AF116-Base!AF116</f>
        <v>0</v>
      </c>
      <c r="BZ116" s="1124">
        <f>+Details!AG116-Base!AG116</f>
        <v>0</v>
      </c>
      <c r="CA116" s="1124">
        <f>+Details!AH116-Base!AH116</f>
        <v>0</v>
      </c>
      <c r="CB116" s="1124">
        <f>+Details!AI116-Base!AI116</f>
        <v>0</v>
      </c>
      <c r="CC116" s="1124">
        <f>+Details!AJ116-Base!AJ116</f>
        <v>0</v>
      </c>
      <c r="CD116" s="1124">
        <f>+Details!AK116-Base!AK116</f>
        <v>0</v>
      </c>
      <c r="CE116" s="1124">
        <f>+Details!AL116-Base!AL116</f>
        <v>0</v>
      </c>
      <c r="CF116" s="1124">
        <f>+Details!AM116-Base!AM116</f>
        <v>0</v>
      </c>
      <c r="CG116" s="1124">
        <f>+Details!AN116-Base!AN116</f>
        <v>0</v>
      </c>
      <c r="CH116" s="1124">
        <f>+Details!AO116-Base!AO116</f>
        <v>0</v>
      </c>
      <c r="CI116" s="1124">
        <f>+Details!AP116-Base!AP116</f>
        <v>0</v>
      </c>
      <c r="CJ116" s="1124">
        <f>+Details!AQ116-Base!AQ116</f>
        <v>0</v>
      </c>
      <c r="CK116" s="1124">
        <f>+Details!AR116-Base!AR116</f>
        <v>0</v>
      </c>
      <c r="CL116" s="1124">
        <f>+Details!AS116-Base!AS116</f>
        <v>0</v>
      </c>
      <c r="CM116" s="81"/>
    </row>
    <row r="117" spans="1:91" ht="15.6" hidden="1">
      <c r="A117" s="1427" t="s">
        <v>1578</v>
      </c>
      <c r="B117" s="436" t="s">
        <v>744</v>
      </c>
      <c r="C117" s="437"/>
      <c r="D117" s="256"/>
      <c r="E117" s="65">
        <f t="shared" si="73"/>
        <v>0</v>
      </c>
      <c r="F117" s="73">
        <f t="shared" ref="F117:AS117" si="104">ROUND(IF(F8-Taxable_Min+F303-F95-F103-F116&lt;0,IF(F346&gt;0,IF(F8-Taxable_Min+F303-F95-F103-F116&lt;-F346,-F346,F8-Taxable_Min+F303-F95-F103-F116),0),0)/Round_To,0)*Round_To*IF(Automate="y",1,0)</f>
        <v>0</v>
      </c>
      <c r="G117" s="1124">
        <f t="shared" si="104"/>
        <v>0</v>
      </c>
      <c r="H117" s="1124">
        <f t="shared" si="104"/>
        <v>0</v>
      </c>
      <c r="I117" s="1124">
        <f t="shared" si="104"/>
        <v>0</v>
      </c>
      <c r="J117" s="1124">
        <f t="shared" si="104"/>
        <v>0</v>
      </c>
      <c r="K117" s="1124">
        <f t="shared" si="104"/>
        <v>0</v>
      </c>
      <c r="L117" s="1124">
        <f t="shared" si="104"/>
        <v>0</v>
      </c>
      <c r="M117" s="1124">
        <f t="shared" si="104"/>
        <v>0</v>
      </c>
      <c r="N117" s="1124">
        <f t="shared" si="104"/>
        <v>0</v>
      </c>
      <c r="O117" s="1124">
        <f t="shared" si="104"/>
        <v>0</v>
      </c>
      <c r="P117" s="1124">
        <f t="shared" si="104"/>
        <v>0</v>
      </c>
      <c r="Q117" s="1124">
        <f t="shared" si="104"/>
        <v>0</v>
      </c>
      <c r="R117" s="1124">
        <f t="shared" si="104"/>
        <v>0</v>
      </c>
      <c r="S117" s="1124">
        <f t="shared" si="104"/>
        <v>0</v>
      </c>
      <c r="T117" s="1124">
        <f t="shared" si="104"/>
        <v>0</v>
      </c>
      <c r="U117" s="1124">
        <f t="shared" si="104"/>
        <v>0</v>
      </c>
      <c r="V117" s="1124">
        <f t="shared" si="104"/>
        <v>0</v>
      </c>
      <c r="W117" s="1124">
        <f t="shared" si="104"/>
        <v>0</v>
      </c>
      <c r="X117" s="1124">
        <f t="shared" si="104"/>
        <v>0</v>
      </c>
      <c r="Y117" s="1124">
        <f t="shared" si="104"/>
        <v>0</v>
      </c>
      <c r="Z117" s="1124">
        <f t="shared" si="104"/>
        <v>0</v>
      </c>
      <c r="AA117" s="1124">
        <f t="shared" si="104"/>
        <v>0</v>
      </c>
      <c r="AB117" s="1124">
        <f t="shared" si="104"/>
        <v>0</v>
      </c>
      <c r="AC117" s="1124">
        <f t="shared" si="104"/>
        <v>0</v>
      </c>
      <c r="AD117" s="1124">
        <f t="shared" si="104"/>
        <v>0</v>
      </c>
      <c r="AE117" s="1124">
        <f t="shared" si="104"/>
        <v>0</v>
      </c>
      <c r="AF117" s="1124">
        <f t="shared" si="104"/>
        <v>0</v>
      </c>
      <c r="AG117" s="1124">
        <f t="shared" si="104"/>
        <v>0</v>
      </c>
      <c r="AH117" s="1124">
        <f t="shared" si="104"/>
        <v>0</v>
      </c>
      <c r="AI117" s="1124">
        <f t="shared" si="104"/>
        <v>0</v>
      </c>
      <c r="AJ117" s="1124">
        <f t="shared" si="104"/>
        <v>0</v>
      </c>
      <c r="AK117" s="1124">
        <f t="shared" si="104"/>
        <v>0</v>
      </c>
      <c r="AL117" s="1124">
        <f t="shared" si="104"/>
        <v>0</v>
      </c>
      <c r="AM117" s="1124">
        <f t="shared" si="104"/>
        <v>0</v>
      </c>
      <c r="AN117" s="1124">
        <f t="shared" si="104"/>
        <v>0</v>
      </c>
      <c r="AO117" s="1124">
        <f t="shared" si="104"/>
        <v>0</v>
      </c>
      <c r="AP117" s="1124">
        <f t="shared" si="104"/>
        <v>0</v>
      </c>
      <c r="AQ117" s="1124">
        <f t="shared" si="104"/>
        <v>0</v>
      </c>
      <c r="AR117" s="1124">
        <f t="shared" si="104"/>
        <v>0</v>
      </c>
      <c r="AS117" s="1124">
        <f t="shared" si="104"/>
        <v>0</v>
      </c>
      <c r="AT117" s="3"/>
      <c r="AU117" s="29">
        <f>+Details!E118</f>
        <v>0</v>
      </c>
      <c r="AV117" s="81">
        <f t="shared" si="95"/>
        <v>0</v>
      </c>
      <c r="AW117" s="102"/>
      <c r="AY117" s="31">
        <f>+Details!F117-Base!F117</f>
        <v>0</v>
      </c>
      <c r="AZ117" s="1124">
        <f>+Details!G117-Base!G117</f>
        <v>0</v>
      </c>
      <c r="BA117" s="1124">
        <f>+Details!H117-Base!H117</f>
        <v>0</v>
      </c>
      <c r="BB117" s="1124">
        <f>+Details!I117-Base!I117</f>
        <v>0</v>
      </c>
      <c r="BC117" s="1124">
        <f>+Details!J117-Base!J117</f>
        <v>0</v>
      </c>
      <c r="BD117" s="1124">
        <f>+Details!K117-Base!K117</f>
        <v>0</v>
      </c>
      <c r="BE117" s="1124">
        <f>+Details!L117-Base!L117</f>
        <v>0</v>
      </c>
      <c r="BF117" s="1124">
        <f>+Details!M117-Base!M117</f>
        <v>0</v>
      </c>
      <c r="BG117" s="1124">
        <f>+Details!N117-Base!N117</f>
        <v>0</v>
      </c>
      <c r="BH117" s="1124">
        <f>+Details!O117-Base!O117</f>
        <v>0</v>
      </c>
      <c r="BI117" s="1124">
        <f>+Details!P117-Base!P117</f>
        <v>0</v>
      </c>
      <c r="BJ117" s="1124">
        <f>+Details!Q117-Base!Q117</f>
        <v>0</v>
      </c>
      <c r="BK117" s="1124">
        <f>+Details!R117-Base!R117</f>
        <v>0</v>
      </c>
      <c r="BL117" s="1124">
        <f>+Details!S117-Base!S117</f>
        <v>0</v>
      </c>
      <c r="BM117" s="1124">
        <f>+Details!T117-Base!T117</f>
        <v>0</v>
      </c>
      <c r="BN117" s="1124">
        <f>+Details!U117-Base!U117</f>
        <v>0</v>
      </c>
      <c r="BO117" s="1124">
        <f>+Details!V117-Base!V117</f>
        <v>0</v>
      </c>
      <c r="BP117" s="1124">
        <f>+Details!W117-Base!W117</f>
        <v>0</v>
      </c>
      <c r="BQ117" s="1124">
        <f>+Details!X117-Base!X117</f>
        <v>0</v>
      </c>
      <c r="BR117" s="1124">
        <f>+Details!Y117-Base!Y117</f>
        <v>0</v>
      </c>
      <c r="BS117" s="1124">
        <f>+Details!Z117-Base!Z117</f>
        <v>0</v>
      </c>
      <c r="BT117" s="1124">
        <f>+Details!AA117-Base!AA117</f>
        <v>0</v>
      </c>
      <c r="BU117" s="1124">
        <f>+Details!AB117-Base!AB117</f>
        <v>0</v>
      </c>
      <c r="BV117" s="1124">
        <f>+Details!AC117-Base!AC117</f>
        <v>0</v>
      </c>
      <c r="BW117" s="1124">
        <f>+Details!AD117-Base!AD117</f>
        <v>0</v>
      </c>
      <c r="BX117" s="1124">
        <f>+Details!AE117-Base!AE117</f>
        <v>0</v>
      </c>
      <c r="BY117" s="1124">
        <f>+Details!AF117-Base!AF117</f>
        <v>0</v>
      </c>
      <c r="BZ117" s="1124">
        <f>+Details!AG117-Base!AG117</f>
        <v>0</v>
      </c>
      <c r="CA117" s="1124">
        <f>+Details!AH117-Base!AH117</f>
        <v>0</v>
      </c>
      <c r="CB117" s="1124">
        <f>+Details!AI117-Base!AI117</f>
        <v>0</v>
      </c>
      <c r="CC117" s="1124">
        <f>+Details!AJ117-Base!AJ117</f>
        <v>0</v>
      </c>
      <c r="CD117" s="1124">
        <f>+Details!AK117-Base!AK117</f>
        <v>0</v>
      </c>
      <c r="CE117" s="1124">
        <f>+Details!AL117-Base!AL117</f>
        <v>0</v>
      </c>
      <c r="CF117" s="1124">
        <f>+Details!AM117-Base!AM117</f>
        <v>0</v>
      </c>
      <c r="CG117" s="1124">
        <f>+Details!AN117-Base!AN117</f>
        <v>0</v>
      </c>
      <c r="CH117" s="1124">
        <f>+Details!AO117-Base!AO117</f>
        <v>0</v>
      </c>
      <c r="CI117" s="1124">
        <f>+Details!AP117-Base!AP117</f>
        <v>0</v>
      </c>
      <c r="CJ117" s="1124">
        <f>+Details!AQ117-Base!AQ117</f>
        <v>0</v>
      </c>
      <c r="CK117" s="1124">
        <f>+Details!AR117-Base!AR117</f>
        <v>0</v>
      </c>
      <c r="CL117" s="1124">
        <f>+Details!AS117-Base!AS117</f>
        <v>0</v>
      </c>
      <c r="CM117" s="81"/>
    </row>
    <row r="118" spans="1:91" ht="15.6">
      <c r="B118" s="369" t="s">
        <v>1280</v>
      </c>
      <c r="C118" s="36"/>
      <c r="D118" s="256"/>
      <c r="E118" s="65">
        <f t="shared" si="73"/>
        <v>0</v>
      </c>
      <c r="F118" s="29">
        <f t="shared" ref="F118:AS118" si="105">+F116+F117</f>
        <v>0</v>
      </c>
      <c r="G118" s="1124">
        <f t="shared" si="105"/>
        <v>0</v>
      </c>
      <c r="H118" s="1124">
        <f t="shared" si="105"/>
        <v>0</v>
      </c>
      <c r="I118" s="1124">
        <f t="shared" si="105"/>
        <v>0</v>
      </c>
      <c r="J118" s="1124">
        <f t="shared" si="105"/>
        <v>0</v>
      </c>
      <c r="K118" s="1124">
        <f t="shared" si="105"/>
        <v>0</v>
      </c>
      <c r="L118" s="1124">
        <f t="shared" si="105"/>
        <v>0</v>
      </c>
      <c r="M118" s="1124">
        <f t="shared" si="105"/>
        <v>0</v>
      </c>
      <c r="N118" s="1124">
        <f t="shared" si="105"/>
        <v>0</v>
      </c>
      <c r="O118" s="1124">
        <f t="shared" si="105"/>
        <v>0</v>
      </c>
      <c r="P118" s="1124">
        <f t="shared" si="105"/>
        <v>0</v>
      </c>
      <c r="Q118" s="1124">
        <f t="shared" si="105"/>
        <v>0</v>
      </c>
      <c r="R118" s="1124">
        <f t="shared" si="105"/>
        <v>0</v>
      </c>
      <c r="S118" s="1124">
        <f t="shared" si="105"/>
        <v>0</v>
      </c>
      <c r="T118" s="1124">
        <f t="shared" si="105"/>
        <v>0</v>
      </c>
      <c r="U118" s="1124">
        <f t="shared" si="105"/>
        <v>0</v>
      </c>
      <c r="V118" s="1124">
        <f t="shared" si="105"/>
        <v>0</v>
      </c>
      <c r="W118" s="1124">
        <f t="shared" si="105"/>
        <v>0</v>
      </c>
      <c r="X118" s="1124">
        <f t="shared" si="105"/>
        <v>0</v>
      </c>
      <c r="Y118" s="1124">
        <f t="shared" si="105"/>
        <v>0</v>
      </c>
      <c r="Z118" s="1124">
        <f t="shared" si="105"/>
        <v>0</v>
      </c>
      <c r="AA118" s="1124">
        <f t="shared" si="105"/>
        <v>0</v>
      </c>
      <c r="AB118" s="1124">
        <f t="shared" si="105"/>
        <v>0</v>
      </c>
      <c r="AC118" s="1124">
        <f t="shared" si="105"/>
        <v>0</v>
      </c>
      <c r="AD118" s="1124">
        <f t="shared" si="105"/>
        <v>0</v>
      </c>
      <c r="AE118" s="1124">
        <f t="shared" si="105"/>
        <v>0</v>
      </c>
      <c r="AF118" s="1124">
        <f t="shared" si="105"/>
        <v>0</v>
      </c>
      <c r="AG118" s="1124">
        <f t="shared" si="105"/>
        <v>0</v>
      </c>
      <c r="AH118" s="1124">
        <f t="shared" si="105"/>
        <v>0</v>
      </c>
      <c r="AI118" s="1124">
        <f t="shared" si="105"/>
        <v>0</v>
      </c>
      <c r="AJ118" s="1124">
        <f t="shared" si="105"/>
        <v>0</v>
      </c>
      <c r="AK118" s="1124">
        <f t="shared" si="105"/>
        <v>0</v>
      </c>
      <c r="AL118" s="1124">
        <f t="shared" si="105"/>
        <v>0</v>
      </c>
      <c r="AM118" s="1124">
        <f t="shared" si="105"/>
        <v>0</v>
      </c>
      <c r="AN118" s="1124">
        <f t="shared" si="105"/>
        <v>0</v>
      </c>
      <c r="AO118" s="1124">
        <f t="shared" si="105"/>
        <v>0</v>
      </c>
      <c r="AP118" s="1124">
        <f t="shared" si="105"/>
        <v>0</v>
      </c>
      <c r="AQ118" s="1124">
        <f t="shared" si="105"/>
        <v>0</v>
      </c>
      <c r="AR118" s="1124">
        <f t="shared" si="105"/>
        <v>0</v>
      </c>
      <c r="AS118" s="1124">
        <f t="shared" si="105"/>
        <v>0</v>
      </c>
      <c r="AT118" s="3"/>
      <c r="AU118" s="29">
        <f>+Details!E118</f>
        <v>0</v>
      </c>
      <c r="AV118" s="81">
        <f t="shared" si="95"/>
        <v>0</v>
      </c>
      <c r="AW118" s="191"/>
      <c r="AY118" s="31">
        <f>+Details!F118-Base!F118</f>
        <v>0</v>
      </c>
      <c r="AZ118" s="1124">
        <f>+Details!G118-Base!G118</f>
        <v>0</v>
      </c>
      <c r="BA118" s="1124">
        <f>+Details!H118-Base!H118</f>
        <v>0</v>
      </c>
      <c r="BB118" s="1124">
        <f>+Details!I118-Base!I118</f>
        <v>0</v>
      </c>
      <c r="BC118" s="1124">
        <f>+Details!J118-Base!J118</f>
        <v>0</v>
      </c>
      <c r="BD118" s="1124">
        <f>+Details!K118-Base!K118</f>
        <v>0</v>
      </c>
      <c r="BE118" s="1124">
        <f>+Details!L118-Base!L118</f>
        <v>0</v>
      </c>
      <c r="BF118" s="1124">
        <f>+Details!M118-Base!M118</f>
        <v>0</v>
      </c>
      <c r="BG118" s="1124">
        <f>+Details!N118-Base!N118</f>
        <v>0</v>
      </c>
      <c r="BH118" s="1124">
        <f>+Details!O118-Base!O118</f>
        <v>0</v>
      </c>
      <c r="BI118" s="1124">
        <f>+Details!P118-Base!P118</f>
        <v>0</v>
      </c>
      <c r="BJ118" s="1124">
        <f>+Details!Q118-Base!Q118</f>
        <v>0</v>
      </c>
      <c r="BK118" s="1124">
        <f>+Details!R118-Base!R118</f>
        <v>0</v>
      </c>
      <c r="BL118" s="1124">
        <f>+Details!S118-Base!S118</f>
        <v>0</v>
      </c>
      <c r="BM118" s="1124">
        <f>+Details!T118-Base!T118</f>
        <v>0</v>
      </c>
      <c r="BN118" s="1124">
        <f>+Details!U118-Base!U118</f>
        <v>0</v>
      </c>
      <c r="BO118" s="1124">
        <f>+Details!V118-Base!V118</f>
        <v>0</v>
      </c>
      <c r="BP118" s="1124">
        <f>+Details!W118-Base!W118</f>
        <v>0</v>
      </c>
      <c r="BQ118" s="1124">
        <f>+Details!X118-Base!X118</f>
        <v>0</v>
      </c>
      <c r="BR118" s="1124">
        <f>+Details!Y118-Base!Y118</f>
        <v>0</v>
      </c>
      <c r="BS118" s="1124">
        <f>+Details!Z118-Base!Z118</f>
        <v>0</v>
      </c>
      <c r="BT118" s="1124">
        <f>+Details!AA118-Base!AA118</f>
        <v>0</v>
      </c>
      <c r="BU118" s="1124">
        <f>+Details!AB118-Base!AB118</f>
        <v>0</v>
      </c>
      <c r="BV118" s="1124">
        <f>+Details!AC118-Base!AC118</f>
        <v>0</v>
      </c>
      <c r="BW118" s="1124">
        <f>+Details!AD118-Base!AD118</f>
        <v>0</v>
      </c>
      <c r="BX118" s="1124">
        <f>+Details!AE118-Base!AE118</f>
        <v>0</v>
      </c>
      <c r="BY118" s="1124">
        <f>+Details!AF118-Base!AF118</f>
        <v>0</v>
      </c>
      <c r="BZ118" s="1124">
        <f>+Details!AG118-Base!AG118</f>
        <v>0</v>
      </c>
      <c r="CA118" s="1124">
        <f>+Details!AH118-Base!AH118</f>
        <v>0</v>
      </c>
      <c r="CB118" s="1124">
        <f>+Details!AI118-Base!AI118</f>
        <v>0</v>
      </c>
      <c r="CC118" s="1124">
        <f>+Details!AJ118-Base!AJ118</f>
        <v>0</v>
      </c>
      <c r="CD118" s="1124">
        <f>+Details!AK118-Base!AK118</f>
        <v>0</v>
      </c>
      <c r="CE118" s="1124">
        <f>+Details!AL118-Base!AL118</f>
        <v>0</v>
      </c>
      <c r="CF118" s="1124">
        <f>+Details!AM118-Base!AM118</f>
        <v>0</v>
      </c>
      <c r="CG118" s="1124">
        <f>+Details!AN118-Base!AN118</f>
        <v>0</v>
      </c>
      <c r="CH118" s="1124">
        <f>+Details!AO118-Base!AO118</f>
        <v>0</v>
      </c>
      <c r="CI118" s="1124">
        <f>+Details!AP118-Base!AP118</f>
        <v>0</v>
      </c>
      <c r="CJ118" s="1124">
        <f>+Details!AQ118-Base!AQ118</f>
        <v>0</v>
      </c>
      <c r="CK118" s="1124">
        <f>+Details!AR118-Base!AR118</f>
        <v>0</v>
      </c>
      <c r="CL118" s="1124">
        <f>+Details!AS118-Base!AS118</f>
        <v>0</v>
      </c>
      <c r="CM118" s="81"/>
    </row>
    <row r="119" spans="1:91" ht="7.95" customHeight="1">
      <c r="B119" s="369"/>
      <c r="C119" s="36"/>
      <c r="D119" s="256"/>
      <c r="E119" s="65"/>
      <c r="F119" s="73"/>
      <c r="G119" s="73"/>
      <c r="H119" s="73"/>
      <c r="I119" s="73"/>
      <c r="J119" s="73"/>
      <c r="K119" s="73"/>
      <c r="L119" s="73"/>
      <c r="M119" s="73"/>
      <c r="N119" s="73"/>
      <c r="O119" s="73"/>
      <c r="P119" s="73"/>
      <c r="Q119" s="73"/>
      <c r="R119" s="73"/>
      <c r="S119" s="73"/>
      <c r="T119" s="73"/>
      <c r="U119" s="73"/>
      <c r="V119" s="73"/>
      <c r="W119" s="73"/>
      <c r="X119" s="73"/>
      <c r="Y119" s="73"/>
      <c r="Z119" s="73"/>
      <c r="AA119" s="73"/>
      <c r="AB119" s="73"/>
      <c r="AC119" s="73"/>
      <c r="AD119" s="73"/>
      <c r="AE119" s="73"/>
      <c r="AF119" s="73"/>
      <c r="AG119" s="73"/>
      <c r="AH119" s="73"/>
      <c r="AI119" s="73"/>
      <c r="AJ119" s="73"/>
      <c r="AK119" s="73"/>
      <c r="AL119" s="73"/>
      <c r="AM119" s="73"/>
      <c r="AN119" s="73"/>
      <c r="AO119" s="73"/>
      <c r="AP119" s="73"/>
      <c r="AQ119" s="73"/>
      <c r="AR119" s="73"/>
      <c r="AS119" s="73"/>
      <c r="AT119" s="3"/>
      <c r="AU119" s="29"/>
      <c r="AV119" s="81"/>
      <c r="AW119" s="191"/>
      <c r="AY119" s="31"/>
      <c r="AZ119" s="73"/>
      <c r="BA119" s="73"/>
      <c r="BB119" s="73"/>
      <c r="BC119" s="73"/>
      <c r="BD119" s="73"/>
      <c r="BE119" s="73"/>
      <c r="BF119" s="73"/>
      <c r="BG119" s="73"/>
      <c r="BH119" s="73"/>
      <c r="BI119" s="73"/>
      <c r="BJ119" s="73"/>
      <c r="BK119" s="73"/>
      <c r="BL119" s="73"/>
      <c r="BM119" s="73"/>
      <c r="BN119" s="73"/>
      <c r="BO119" s="73"/>
      <c r="BP119" s="73"/>
      <c r="BQ119" s="73"/>
      <c r="BR119" s="73"/>
      <c r="BS119" s="73"/>
      <c r="BT119" s="73"/>
      <c r="BU119" s="73"/>
      <c r="BV119" s="73"/>
      <c r="BW119" s="73"/>
      <c r="BX119" s="73"/>
      <c r="BY119" s="73"/>
      <c r="BZ119" s="73"/>
      <c r="CA119" s="73"/>
      <c r="CB119" s="73"/>
      <c r="CC119" s="73"/>
      <c r="CD119" s="73"/>
      <c r="CE119" s="73"/>
      <c r="CF119" s="73"/>
      <c r="CG119" s="73"/>
      <c r="CH119" s="73"/>
      <c r="CI119" s="73"/>
      <c r="CJ119" s="73"/>
      <c r="CK119" s="73"/>
      <c r="CL119" s="73"/>
      <c r="CM119" s="81"/>
    </row>
    <row r="120" spans="1:91" ht="16.2" customHeight="1">
      <c r="B120" s="1007" t="s">
        <v>2302</v>
      </c>
      <c r="C120" s="1813" t="s">
        <v>2238</v>
      </c>
      <c r="D120" s="1759">
        <f>Roth1_Esc</f>
        <v>0.1</v>
      </c>
      <c r="E120" s="65">
        <f>SUM(F120:AS120)</f>
        <v>4600</v>
      </c>
      <c r="F120" s="1305">
        <f>ROUND(IF(Roth1_Start=F$4,Roth1_Add,0)/Round_To,0)*Round_To</f>
        <v>1000</v>
      </c>
      <c r="G120" s="1124">
        <f t="shared" ref="G120:AS120" si="106">ROUND(IF(AND(F120&gt;0,OR(Roth1_End&gt;=G$4,Roth1_End&gt;="")),F120*(1+Roth1_Esc),IF(Roth1_Start=G$4,Roth1_Add,0))/Round_To,0)*Round_To*G$264</f>
        <v>1100</v>
      </c>
      <c r="H120" s="1124">
        <f t="shared" si="106"/>
        <v>1200</v>
      </c>
      <c r="I120" s="1124">
        <f t="shared" si="106"/>
        <v>1300</v>
      </c>
      <c r="J120" s="1124">
        <f t="shared" si="106"/>
        <v>0</v>
      </c>
      <c r="K120" s="1124">
        <f t="shared" si="106"/>
        <v>0</v>
      </c>
      <c r="L120" s="1124">
        <f t="shared" si="106"/>
        <v>0</v>
      </c>
      <c r="M120" s="1124">
        <f t="shared" si="106"/>
        <v>0</v>
      </c>
      <c r="N120" s="1124">
        <f t="shared" si="106"/>
        <v>0</v>
      </c>
      <c r="O120" s="1124">
        <f t="shared" si="106"/>
        <v>0</v>
      </c>
      <c r="P120" s="1124">
        <f t="shared" si="106"/>
        <v>0</v>
      </c>
      <c r="Q120" s="1124">
        <f t="shared" si="106"/>
        <v>0</v>
      </c>
      <c r="R120" s="1124">
        <f t="shared" si="106"/>
        <v>0</v>
      </c>
      <c r="S120" s="1124">
        <f t="shared" si="106"/>
        <v>0</v>
      </c>
      <c r="T120" s="1124">
        <f t="shared" si="106"/>
        <v>0</v>
      </c>
      <c r="U120" s="1124">
        <f t="shared" si="106"/>
        <v>0</v>
      </c>
      <c r="V120" s="1124">
        <f t="shared" si="106"/>
        <v>0</v>
      </c>
      <c r="W120" s="1124">
        <f t="shared" si="106"/>
        <v>0</v>
      </c>
      <c r="X120" s="1124">
        <f t="shared" si="106"/>
        <v>0</v>
      </c>
      <c r="Y120" s="1124">
        <f t="shared" si="106"/>
        <v>0</v>
      </c>
      <c r="Z120" s="1124">
        <f t="shared" si="106"/>
        <v>0</v>
      </c>
      <c r="AA120" s="1124">
        <f t="shared" si="106"/>
        <v>0</v>
      </c>
      <c r="AB120" s="1124">
        <f t="shared" si="106"/>
        <v>0</v>
      </c>
      <c r="AC120" s="1124">
        <f t="shared" si="106"/>
        <v>0</v>
      </c>
      <c r="AD120" s="1124">
        <f t="shared" si="106"/>
        <v>0</v>
      </c>
      <c r="AE120" s="1124">
        <f t="shared" si="106"/>
        <v>0</v>
      </c>
      <c r="AF120" s="1124">
        <f t="shared" si="106"/>
        <v>0</v>
      </c>
      <c r="AG120" s="1124">
        <f t="shared" si="106"/>
        <v>0</v>
      </c>
      <c r="AH120" s="1124">
        <f t="shared" si="106"/>
        <v>0</v>
      </c>
      <c r="AI120" s="1124">
        <f t="shared" si="106"/>
        <v>0</v>
      </c>
      <c r="AJ120" s="1124">
        <f t="shared" si="106"/>
        <v>0</v>
      </c>
      <c r="AK120" s="1124">
        <f t="shared" si="106"/>
        <v>0</v>
      </c>
      <c r="AL120" s="1124">
        <f t="shared" si="106"/>
        <v>0</v>
      </c>
      <c r="AM120" s="1124">
        <f t="shared" si="106"/>
        <v>0</v>
      </c>
      <c r="AN120" s="1124">
        <f t="shared" si="106"/>
        <v>0</v>
      </c>
      <c r="AO120" s="1124">
        <f t="shared" si="106"/>
        <v>0</v>
      </c>
      <c r="AP120" s="1124">
        <f t="shared" si="106"/>
        <v>0</v>
      </c>
      <c r="AQ120" s="1124">
        <f t="shared" si="106"/>
        <v>0</v>
      </c>
      <c r="AR120" s="1124">
        <f t="shared" si="106"/>
        <v>0</v>
      </c>
      <c r="AS120" s="1124">
        <f t="shared" si="106"/>
        <v>0</v>
      </c>
      <c r="AT120" s="3"/>
      <c r="AU120" s="29">
        <f>+Details!E120</f>
        <v>4600</v>
      </c>
      <c r="AV120" s="81">
        <f>+E120-AU120</f>
        <v>0</v>
      </c>
      <c r="AW120" s="191"/>
      <c r="AY120" s="190">
        <f>+Details!F120-Base!F120</f>
        <v>0</v>
      </c>
      <c r="AZ120" s="1124">
        <f>+Details!G120-Base!G120</f>
        <v>0</v>
      </c>
      <c r="BA120" s="1124">
        <f>+Details!H120-Base!H120</f>
        <v>0</v>
      </c>
      <c r="BB120" s="1124">
        <f>+Details!I120-Base!I120</f>
        <v>0</v>
      </c>
      <c r="BC120" s="1124">
        <f>+Details!J120-Base!J120</f>
        <v>0</v>
      </c>
      <c r="BD120" s="1124">
        <f>+Details!K120-Base!K120</f>
        <v>0</v>
      </c>
      <c r="BE120" s="1124">
        <f>+Details!L120-Base!L120</f>
        <v>0</v>
      </c>
      <c r="BF120" s="1124">
        <f>+Details!M120-Base!M120</f>
        <v>0</v>
      </c>
      <c r="BG120" s="1124">
        <f>+Details!N120-Base!N120</f>
        <v>0</v>
      </c>
      <c r="BH120" s="1124">
        <f>+Details!O120-Base!O120</f>
        <v>0</v>
      </c>
      <c r="BI120" s="1124">
        <f>+Details!P120-Base!P120</f>
        <v>0</v>
      </c>
      <c r="BJ120" s="1124">
        <f>+Details!Q120-Base!Q120</f>
        <v>0</v>
      </c>
      <c r="BK120" s="1124">
        <f>+Details!R120-Base!R120</f>
        <v>0</v>
      </c>
      <c r="BL120" s="1124">
        <f>+Details!S120-Base!S120</f>
        <v>0</v>
      </c>
      <c r="BM120" s="1124">
        <f>+Details!T120-Base!T120</f>
        <v>0</v>
      </c>
      <c r="BN120" s="1124">
        <f>+Details!U120-Base!U120</f>
        <v>0</v>
      </c>
      <c r="BO120" s="1124">
        <f>+Details!V120-Base!V120</f>
        <v>0</v>
      </c>
      <c r="BP120" s="1124">
        <f>+Details!W120-Base!W120</f>
        <v>0</v>
      </c>
      <c r="BQ120" s="1124">
        <f>+Details!X120-Base!X120</f>
        <v>0</v>
      </c>
      <c r="BR120" s="1124">
        <f>+Details!Y120-Base!Y120</f>
        <v>0</v>
      </c>
      <c r="BS120" s="1124">
        <f>+Details!Z120-Base!Z120</f>
        <v>0</v>
      </c>
      <c r="BT120" s="1124">
        <f>+Details!AA120-Base!AA120</f>
        <v>0</v>
      </c>
      <c r="BU120" s="1124">
        <f>+Details!AB120-Base!AB120</f>
        <v>0</v>
      </c>
      <c r="BV120" s="1124">
        <f>+Details!AC120-Base!AC120</f>
        <v>0</v>
      </c>
      <c r="BW120" s="1124">
        <f>+Details!AD120-Base!AD120</f>
        <v>0</v>
      </c>
      <c r="BX120" s="1124">
        <f>+Details!AE120-Base!AE120</f>
        <v>0</v>
      </c>
      <c r="BY120" s="1124">
        <f>+Details!AF120-Base!AF120</f>
        <v>0</v>
      </c>
      <c r="BZ120" s="1124">
        <f>+Details!AG120-Base!AG120</f>
        <v>0</v>
      </c>
      <c r="CA120" s="1124">
        <f>+Details!AH120-Base!AH120</f>
        <v>0</v>
      </c>
      <c r="CB120" s="1124">
        <f>+Details!AI120-Base!AI120</f>
        <v>0</v>
      </c>
      <c r="CC120" s="1124">
        <f>+Details!AJ120-Base!AJ120</f>
        <v>0</v>
      </c>
      <c r="CD120" s="1124">
        <f>+Details!AK120-Base!AK120</f>
        <v>0</v>
      </c>
      <c r="CE120" s="1124">
        <f>+Details!AL120-Base!AL120</f>
        <v>0</v>
      </c>
      <c r="CF120" s="1124">
        <f>+Details!AM120-Base!AM120</f>
        <v>0</v>
      </c>
      <c r="CG120" s="1124">
        <f>+Details!AN120-Base!AN120</f>
        <v>0</v>
      </c>
      <c r="CH120" s="1124">
        <f>+Details!AO120-Base!AO120</f>
        <v>0</v>
      </c>
      <c r="CI120" s="1124">
        <f>+Details!AP120-Base!AP120</f>
        <v>0</v>
      </c>
      <c r="CJ120" s="1124">
        <f>+Details!AQ120-Base!AQ120</f>
        <v>0</v>
      </c>
      <c r="CK120" s="1124">
        <f>+Details!AR120-Base!AR120</f>
        <v>0</v>
      </c>
      <c r="CL120" s="1124">
        <f>+Details!AS120-Base!AS120</f>
        <v>0</v>
      </c>
      <c r="CM120" s="81"/>
    </row>
    <row r="121" spans="1:91" ht="16.2" hidden="1" customHeight="1">
      <c r="A121" s="1427" t="s">
        <v>1578</v>
      </c>
      <c r="B121" s="1007" t="s">
        <v>2094</v>
      </c>
      <c r="C121" s="1368" t="s">
        <v>1440</v>
      </c>
      <c r="D121" s="1367">
        <f>Esc_ExRoth</f>
        <v>0</v>
      </c>
      <c r="E121" s="65">
        <f t="shared" ref="E121:E127" si="107">SUM(F121:AS121)</f>
        <v>-6000</v>
      </c>
      <c r="F121" s="1625">
        <f>ROUND(IF(Start_ExRoth&lt;=F$4,-With_ExRoth,0)/Round_To,0)*Round_To</f>
        <v>0</v>
      </c>
      <c r="G121" s="1728">
        <f t="shared" ref="G121:AS121" si="108">ROUND(IF(F121&lt;0,IF(-G$357&gt;+F121*(1+Esc_ExRoth),-G$357,+F121*(1+Esc_ExRoth)),IF(Start_ExRoth&lt;=G$4,IF(-G$357&gt;-With_ExRoth,-G$357,-With_ExRoth),0))*IF(AND(End_ExRoth&lt;G$4,End_ExRoth&lt;&gt;0),0,1)/Round_To,0)*Round_To</f>
        <v>0</v>
      </c>
      <c r="H121" s="1728">
        <f t="shared" si="108"/>
        <v>0</v>
      </c>
      <c r="I121" s="1728">
        <f t="shared" si="108"/>
        <v>0</v>
      </c>
      <c r="J121" s="1728">
        <f t="shared" si="108"/>
        <v>0</v>
      </c>
      <c r="K121" s="1728">
        <f t="shared" si="108"/>
        <v>0</v>
      </c>
      <c r="L121" s="1728">
        <f t="shared" si="108"/>
        <v>0</v>
      </c>
      <c r="M121" s="1728">
        <f t="shared" si="108"/>
        <v>0</v>
      </c>
      <c r="N121" s="1728">
        <f t="shared" si="108"/>
        <v>0</v>
      </c>
      <c r="O121" s="1728">
        <f t="shared" si="108"/>
        <v>0</v>
      </c>
      <c r="P121" s="1728">
        <f t="shared" si="108"/>
        <v>0</v>
      </c>
      <c r="Q121" s="1728">
        <f t="shared" si="108"/>
        <v>0</v>
      </c>
      <c r="R121" s="1728">
        <f t="shared" si="108"/>
        <v>0</v>
      </c>
      <c r="S121" s="1728">
        <f t="shared" si="108"/>
        <v>0</v>
      </c>
      <c r="T121" s="1728">
        <f t="shared" si="108"/>
        <v>0</v>
      </c>
      <c r="U121" s="1728">
        <f t="shared" si="108"/>
        <v>0</v>
      </c>
      <c r="V121" s="1728">
        <f t="shared" si="108"/>
        <v>0</v>
      </c>
      <c r="W121" s="1728">
        <f t="shared" si="108"/>
        <v>0</v>
      </c>
      <c r="X121" s="1728">
        <f t="shared" si="108"/>
        <v>-500</v>
      </c>
      <c r="Y121" s="1728">
        <f t="shared" si="108"/>
        <v>-500</v>
      </c>
      <c r="Z121" s="1728">
        <f t="shared" si="108"/>
        <v>-500</v>
      </c>
      <c r="AA121" s="1728">
        <f t="shared" si="108"/>
        <v>-500</v>
      </c>
      <c r="AB121" s="1728">
        <f t="shared" si="108"/>
        <v>-500</v>
      </c>
      <c r="AC121" s="1728">
        <f t="shared" si="108"/>
        <v>-500</v>
      </c>
      <c r="AD121" s="1728">
        <f t="shared" si="108"/>
        <v>-500</v>
      </c>
      <c r="AE121" s="1728">
        <f t="shared" si="108"/>
        <v>-500</v>
      </c>
      <c r="AF121" s="1728">
        <f t="shared" si="108"/>
        <v>-500</v>
      </c>
      <c r="AG121" s="1728">
        <f t="shared" si="108"/>
        <v>-500</v>
      </c>
      <c r="AH121" s="1728">
        <f t="shared" si="108"/>
        <v>-500</v>
      </c>
      <c r="AI121" s="1728">
        <f t="shared" si="108"/>
        <v>-500</v>
      </c>
      <c r="AJ121" s="1728">
        <f t="shared" si="108"/>
        <v>0</v>
      </c>
      <c r="AK121" s="1728">
        <f t="shared" si="108"/>
        <v>0</v>
      </c>
      <c r="AL121" s="1728">
        <f t="shared" si="108"/>
        <v>0</v>
      </c>
      <c r="AM121" s="1728">
        <f t="shared" si="108"/>
        <v>0</v>
      </c>
      <c r="AN121" s="1728">
        <f t="shared" si="108"/>
        <v>0</v>
      </c>
      <c r="AO121" s="1728">
        <f t="shared" si="108"/>
        <v>0</v>
      </c>
      <c r="AP121" s="1728">
        <f t="shared" si="108"/>
        <v>0</v>
      </c>
      <c r="AQ121" s="1728">
        <f t="shared" si="108"/>
        <v>0</v>
      </c>
      <c r="AR121" s="1728">
        <f t="shared" si="108"/>
        <v>0</v>
      </c>
      <c r="AS121" s="1728">
        <f t="shared" si="108"/>
        <v>0</v>
      </c>
      <c r="AT121" s="3"/>
      <c r="AU121" s="29">
        <f>+Details!E121</f>
        <v>-6000</v>
      </c>
      <c r="AV121" s="81">
        <f t="shared" ref="AV121:AV127" si="109">+E121-AU121</f>
        <v>0</v>
      </c>
      <c r="AW121" s="191"/>
      <c r="AY121" s="190">
        <f>+Details!F121-Base!F121</f>
        <v>0</v>
      </c>
      <c r="AZ121" s="1124">
        <f>+Details!G121-Base!G121</f>
        <v>0</v>
      </c>
      <c r="BA121" s="1124">
        <f>+Details!H121-Base!H121</f>
        <v>0</v>
      </c>
      <c r="BB121" s="1124">
        <f>+Details!I121-Base!I121</f>
        <v>0</v>
      </c>
      <c r="BC121" s="1124">
        <f>+Details!J121-Base!J121</f>
        <v>0</v>
      </c>
      <c r="BD121" s="1124">
        <f>+Details!K121-Base!K121</f>
        <v>0</v>
      </c>
      <c r="BE121" s="1124">
        <f>+Details!L121-Base!L121</f>
        <v>0</v>
      </c>
      <c r="BF121" s="1124">
        <f>+Details!M121-Base!M121</f>
        <v>0</v>
      </c>
      <c r="BG121" s="1124">
        <f>+Details!N121-Base!N121</f>
        <v>0</v>
      </c>
      <c r="BH121" s="1124">
        <f>+Details!O121-Base!O121</f>
        <v>0</v>
      </c>
      <c r="BI121" s="1124">
        <f>+Details!P121-Base!P121</f>
        <v>0</v>
      </c>
      <c r="BJ121" s="1124">
        <f>+Details!Q121-Base!Q121</f>
        <v>0</v>
      </c>
      <c r="BK121" s="1124">
        <f>+Details!R121-Base!R121</f>
        <v>0</v>
      </c>
      <c r="BL121" s="1124">
        <f>+Details!S121-Base!S121</f>
        <v>0</v>
      </c>
      <c r="BM121" s="1124">
        <f>+Details!T121-Base!T121</f>
        <v>0</v>
      </c>
      <c r="BN121" s="1124">
        <f>+Details!U121-Base!U121</f>
        <v>0</v>
      </c>
      <c r="BO121" s="1124">
        <f>+Details!V121-Base!V121</f>
        <v>0</v>
      </c>
      <c r="BP121" s="1124">
        <f>+Details!W121-Base!W121</f>
        <v>0</v>
      </c>
      <c r="BQ121" s="1124">
        <f>+Details!X121-Base!X121</f>
        <v>0</v>
      </c>
      <c r="BR121" s="1124">
        <f>+Details!Y121-Base!Y121</f>
        <v>0</v>
      </c>
      <c r="BS121" s="1124">
        <f>+Details!Z121-Base!Z121</f>
        <v>0</v>
      </c>
      <c r="BT121" s="1124">
        <f>+Details!AA121-Base!AA121</f>
        <v>0</v>
      </c>
      <c r="BU121" s="1124">
        <f>+Details!AB121-Base!AB121</f>
        <v>0</v>
      </c>
      <c r="BV121" s="1124">
        <f>+Details!AC121-Base!AC121</f>
        <v>0</v>
      </c>
      <c r="BW121" s="1124">
        <f>+Details!AD121-Base!AD121</f>
        <v>0</v>
      </c>
      <c r="BX121" s="1124">
        <f>+Details!AE121-Base!AE121</f>
        <v>0</v>
      </c>
      <c r="BY121" s="1124">
        <f>+Details!AF121-Base!AF121</f>
        <v>0</v>
      </c>
      <c r="BZ121" s="1124">
        <f>+Details!AG121-Base!AG121</f>
        <v>0</v>
      </c>
      <c r="CA121" s="1124">
        <f>+Details!AH121-Base!AH121</f>
        <v>0</v>
      </c>
      <c r="CB121" s="1124">
        <f>+Details!AI121-Base!AI121</f>
        <v>0</v>
      </c>
      <c r="CC121" s="1124">
        <f>+Details!AJ121-Base!AJ121</f>
        <v>0</v>
      </c>
      <c r="CD121" s="1124">
        <f>+Details!AK121-Base!AK121</f>
        <v>0</v>
      </c>
      <c r="CE121" s="1124">
        <f>+Details!AL121-Base!AL121</f>
        <v>0</v>
      </c>
      <c r="CF121" s="1124">
        <f>+Details!AM121-Base!AM121</f>
        <v>0</v>
      </c>
      <c r="CG121" s="1124">
        <f>+Details!AN121-Base!AN121</f>
        <v>0</v>
      </c>
      <c r="CH121" s="1124">
        <f>+Details!AO121-Base!AO121</f>
        <v>0</v>
      </c>
      <c r="CI121" s="1124">
        <f>+Details!AP121-Base!AP121</f>
        <v>0</v>
      </c>
      <c r="CJ121" s="1124">
        <f>+Details!AQ121-Base!AQ121</f>
        <v>0</v>
      </c>
      <c r="CK121" s="1124">
        <f>+Details!AR121-Base!AR121</f>
        <v>0</v>
      </c>
      <c r="CL121" s="1124">
        <f>+Details!AS121-Base!AS121</f>
        <v>0</v>
      </c>
      <c r="CM121" s="81"/>
    </row>
    <row r="122" spans="1:91" ht="16.2" hidden="1" customHeight="1">
      <c r="A122" s="1427" t="s">
        <v>1578</v>
      </c>
      <c r="B122" s="1007" t="s">
        <v>2095</v>
      </c>
      <c r="C122" s="1443" t="s">
        <v>2027</v>
      </c>
      <c r="D122" s="1367">
        <f>Esc_ExRoth1_2</f>
        <v>0</v>
      </c>
      <c r="E122" s="635">
        <f t="shared" si="107"/>
        <v>-6000</v>
      </c>
      <c r="F122" s="1626">
        <f>ROUND(IF(Start_ExRoth1_2&lt;=F$4,-With_ExRoth1_2,0)/Round_To,0)*Round_To</f>
        <v>0</v>
      </c>
      <c r="G122" s="1729">
        <f t="shared" ref="G122:AS122" si="110">ROUND(IF(F122&lt;0,IF(-G$359&gt;+F122*(1+Esc_ExRoth1_2),-G$359,+F122*(1+Esc_ExRoth1_2)),IF(Start_ExRoth1_2&lt;=G$4,IF(-G$359&gt;-With_ExRoth1_2,-G$359,-With_ExRoth1_2),0))*IF(AND(End_ExRoth1_2&lt;G$4,End_ExRoth1_2&lt;&gt;0),0,1)/Round_To,0)*Round_To</f>
        <v>0</v>
      </c>
      <c r="H122" s="1729">
        <f t="shared" si="110"/>
        <v>0</v>
      </c>
      <c r="I122" s="1729">
        <f t="shared" si="110"/>
        <v>0</v>
      </c>
      <c r="J122" s="1729">
        <f t="shared" si="110"/>
        <v>0</v>
      </c>
      <c r="K122" s="1729">
        <f t="shared" si="110"/>
        <v>0</v>
      </c>
      <c r="L122" s="1729">
        <f t="shared" si="110"/>
        <v>0</v>
      </c>
      <c r="M122" s="1729">
        <f t="shared" si="110"/>
        <v>0</v>
      </c>
      <c r="N122" s="1729">
        <f t="shared" si="110"/>
        <v>0</v>
      </c>
      <c r="O122" s="1729">
        <f t="shared" si="110"/>
        <v>0</v>
      </c>
      <c r="P122" s="1729">
        <f t="shared" si="110"/>
        <v>0</v>
      </c>
      <c r="Q122" s="1729">
        <f t="shared" si="110"/>
        <v>0</v>
      </c>
      <c r="R122" s="1729">
        <f t="shared" si="110"/>
        <v>0</v>
      </c>
      <c r="S122" s="1729">
        <f t="shared" si="110"/>
        <v>0</v>
      </c>
      <c r="T122" s="1729">
        <f t="shared" si="110"/>
        <v>0</v>
      </c>
      <c r="U122" s="1729">
        <f t="shared" si="110"/>
        <v>0</v>
      </c>
      <c r="V122" s="1729">
        <f t="shared" si="110"/>
        <v>0</v>
      </c>
      <c r="W122" s="1729">
        <f t="shared" si="110"/>
        <v>0</v>
      </c>
      <c r="X122" s="1729">
        <f t="shared" si="110"/>
        <v>-500</v>
      </c>
      <c r="Y122" s="1729">
        <f t="shared" si="110"/>
        <v>-500</v>
      </c>
      <c r="Z122" s="1729">
        <f t="shared" si="110"/>
        <v>-500</v>
      </c>
      <c r="AA122" s="1729">
        <f t="shared" si="110"/>
        <v>-500</v>
      </c>
      <c r="AB122" s="1729">
        <f t="shared" si="110"/>
        <v>-500</v>
      </c>
      <c r="AC122" s="1729">
        <f t="shared" si="110"/>
        <v>-500</v>
      </c>
      <c r="AD122" s="1729">
        <f t="shared" si="110"/>
        <v>-500</v>
      </c>
      <c r="AE122" s="1729">
        <f t="shared" si="110"/>
        <v>-500</v>
      </c>
      <c r="AF122" s="1729">
        <f t="shared" si="110"/>
        <v>-500</v>
      </c>
      <c r="AG122" s="1729">
        <f t="shared" si="110"/>
        <v>-500</v>
      </c>
      <c r="AH122" s="1729">
        <f t="shared" si="110"/>
        <v>-500</v>
      </c>
      <c r="AI122" s="1729">
        <f t="shared" si="110"/>
        <v>-500</v>
      </c>
      <c r="AJ122" s="1729">
        <f t="shared" si="110"/>
        <v>0</v>
      </c>
      <c r="AK122" s="1729">
        <f t="shared" si="110"/>
        <v>0</v>
      </c>
      <c r="AL122" s="1729">
        <f t="shared" si="110"/>
        <v>0</v>
      </c>
      <c r="AM122" s="1729">
        <f t="shared" si="110"/>
        <v>0</v>
      </c>
      <c r="AN122" s="1729">
        <f t="shared" si="110"/>
        <v>0</v>
      </c>
      <c r="AO122" s="1729">
        <f t="shared" si="110"/>
        <v>0</v>
      </c>
      <c r="AP122" s="1729">
        <f t="shared" si="110"/>
        <v>0</v>
      </c>
      <c r="AQ122" s="1729">
        <f t="shared" si="110"/>
        <v>0</v>
      </c>
      <c r="AR122" s="1729">
        <f t="shared" si="110"/>
        <v>0</v>
      </c>
      <c r="AS122" s="1729">
        <f t="shared" si="110"/>
        <v>0</v>
      </c>
      <c r="AT122" s="3"/>
      <c r="AU122" s="34">
        <f>+Details!E122</f>
        <v>-6000</v>
      </c>
      <c r="AV122" s="83">
        <f t="shared" si="109"/>
        <v>0</v>
      </c>
      <c r="AW122" s="191"/>
      <c r="AY122" s="193">
        <f>+Details!F122-Base!F122</f>
        <v>0</v>
      </c>
      <c r="AZ122" s="1125">
        <f>+Details!G122-Base!G122</f>
        <v>0</v>
      </c>
      <c r="BA122" s="1125">
        <f>+Details!H122-Base!H122</f>
        <v>0</v>
      </c>
      <c r="BB122" s="1125">
        <f>+Details!I122-Base!I122</f>
        <v>0</v>
      </c>
      <c r="BC122" s="1125">
        <f>+Details!J122-Base!J122</f>
        <v>0</v>
      </c>
      <c r="BD122" s="1125">
        <f>+Details!K122-Base!K122</f>
        <v>0</v>
      </c>
      <c r="BE122" s="1125">
        <f>+Details!L122-Base!L122</f>
        <v>0</v>
      </c>
      <c r="BF122" s="1125">
        <f>+Details!M122-Base!M122</f>
        <v>0</v>
      </c>
      <c r="BG122" s="1125">
        <f>+Details!N122-Base!N122</f>
        <v>0</v>
      </c>
      <c r="BH122" s="1125">
        <f>+Details!O122-Base!O122</f>
        <v>0</v>
      </c>
      <c r="BI122" s="1125">
        <f>+Details!P122-Base!P122</f>
        <v>0</v>
      </c>
      <c r="BJ122" s="1125">
        <f>+Details!Q122-Base!Q122</f>
        <v>0</v>
      </c>
      <c r="BK122" s="1125">
        <f>+Details!R122-Base!R122</f>
        <v>0</v>
      </c>
      <c r="BL122" s="1125">
        <f>+Details!S122-Base!S122</f>
        <v>0</v>
      </c>
      <c r="BM122" s="1125">
        <f>+Details!T122-Base!T122</f>
        <v>0</v>
      </c>
      <c r="BN122" s="1125">
        <f>+Details!U122-Base!U122</f>
        <v>0</v>
      </c>
      <c r="BO122" s="1125">
        <f>+Details!V122-Base!V122</f>
        <v>0</v>
      </c>
      <c r="BP122" s="1125">
        <f>+Details!W122-Base!W122</f>
        <v>0</v>
      </c>
      <c r="BQ122" s="1125">
        <f>+Details!X122-Base!X122</f>
        <v>0</v>
      </c>
      <c r="BR122" s="1125">
        <f>+Details!Y122-Base!Y122</f>
        <v>0</v>
      </c>
      <c r="BS122" s="1125">
        <f>+Details!Z122-Base!Z122</f>
        <v>0</v>
      </c>
      <c r="BT122" s="1125">
        <f>+Details!AA122-Base!AA122</f>
        <v>0</v>
      </c>
      <c r="BU122" s="1125">
        <f>+Details!AB122-Base!AB122</f>
        <v>0</v>
      </c>
      <c r="BV122" s="1125">
        <f>+Details!AC122-Base!AC122</f>
        <v>0</v>
      </c>
      <c r="BW122" s="1125">
        <f>+Details!AD122-Base!AD122</f>
        <v>0</v>
      </c>
      <c r="BX122" s="1125">
        <f>+Details!AE122-Base!AE122</f>
        <v>0</v>
      </c>
      <c r="BY122" s="1125">
        <f>+Details!AF122-Base!AF122</f>
        <v>0</v>
      </c>
      <c r="BZ122" s="1125">
        <f>+Details!AG122-Base!AG122</f>
        <v>0</v>
      </c>
      <c r="CA122" s="1125">
        <f>+Details!AH122-Base!AH122</f>
        <v>0</v>
      </c>
      <c r="CB122" s="1125">
        <f>+Details!AI122-Base!AI122</f>
        <v>0</v>
      </c>
      <c r="CC122" s="1125">
        <f>+Details!AJ122-Base!AJ122</f>
        <v>0</v>
      </c>
      <c r="CD122" s="1125">
        <f>+Details!AK122-Base!AK122</f>
        <v>0</v>
      </c>
      <c r="CE122" s="1125">
        <f>+Details!AL122-Base!AL122</f>
        <v>0</v>
      </c>
      <c r="CF122" s="1125">
        <f>+Details!AM122-Base!AM122</f>
        <v>0</v>
      </c>
      <c r="CG122" s="1125">
        <f>+Details!AN122-Base!AN122</f>
        <v>0</v>
      </c>
      <c r="CH122" s="1125">
        <f>+Details!AO122-Base!AO122</f>
        <v>0</v>
      </c>
      <c r="CI122" s="1125">
        <f>+Details!AP122-Base!AP122</f>
        <v>0</v>
      </c>
      <c r="CJ122" s="1125">
        <f>+Details!AQ122-Base!AQ122</f>
        <v>0</v>
      </c>
      <c r="CK122" s="1125">
        <f>+Details!AR122-Base!AR122</f>
        <v>0</v>
      </c>
      <c r="CL122" s="1125">
        <f>+Details!AS122-Base!AS122</f>
        <v>0</v>
      </c>
      <c r="CM122" s="81"/>
    </row>
    <row r="123" spans="1:91" ht="15.75" hidden="1" customHeight="1">
      <c r="A123" s="1076" t="s">
        <v>1578</v>
      </c>
      <c r="B123" s="1007" t="s">
        <v>2096</v>
      </c>
      <c r="E123" s="65">
        <f t="shared" si="107"/>
        <v>-12000</v>
      </c>
      <c r="F123" s="1288">
        <f>+F121+F122</f>
        <v>0</v>
      </c>
      <c r="G123" s="1124">
        <f>+G121+G122</f>
        <v>0</v>
      </c>
      <c r="H123" s="1124">
        <f t="shared" ref="H123:AS123" si="111">+H121+H122</f>
        <v>0</v>
      </c>
      <c r="I123" s="1124">
        <f t="shared" si="111"/>
        <v>0</v>
      </c>
      <c r="J123" s="1124">
        <f t="shared" si="111"/>
        <v>0</v>
      </c>
      <c r="K123" s="1124">
        <f t="shared" si="111"/>
        <v>0</v>
      </c>
      <c r="L123" s="1124">
        <f t="shared" si="111"/>
        <v>0</v>
      </c>
      <c r="M123" s="1124">
        <f t="shared" si="111"/>
        <v>0</v>
      </c>
      <c r="N123" s="1124">
        <f t="shared" si="111"/>
        <v>0</v>
      </c>
      <c r="O123" s="1124">
        <f t="shared" si="111"/>
        <v>0</v>
      </c>
      <c r="P123" s="1124">
        <f t="shared" si="111"/>
        <v>0</v>
      </c>
      <c r="Q123" s="1124">
        <f t="shared" si="111"/>
        <v>0</v>
      </c>
      <c r="R123" s="1124">
        <f t="shared" si="111"/>
        <v>0</v>
      </c>
      <c r="S123" s="1124">
        <f t="shared" si="111"/>
        <v>0</v>
      </c>
      <c r="T123" s="1124">
        <f t="shared" si="111"/>
        <v>0</v>
      </c>
      <c r="U123" s="1124">
        <f t="shared" si="111"/>
        <v>0</v>
      </c>
      <c r="V123" s="1124">
        <f t="shared" si="111"/>
        <v>0</v>
      </c>
      <c r="W123" s="1124">
        <f t="shared" si="111"/>
        <v>0</v>
      </c>
      <c r="X123" s="1124">
        <f t="shared" si="111"/>
        <v>-1000</v>
      </c>
      <c r="Y123" s="1124">
        <f t="shared" si="111"/>
        <v>-1000</v>
      </c>
      <c r="Z123" s="1124">
        <f t="shared" si="111"/>
        <v>-1000</v>
      </c>
      <c r="AA123" s="1124">
        <f t="shared" si="111"/>
        <v>-1000</v>
      </c>
      <c r="AB123" s="1124">
        <f t="shared" si="111"/>
        <v>-1000</v>
      </c>
      <c r="AC123" s="1124">
        <f t="shared" si="111"/>
        <v>-1000</v>
      </c>
      <c r="AD123" s="1124">
        <f t="shared" si="111"/>
        <v>-1000</v>
      </c>
      <c r="AE123" s="1124">
        <f t="shared" si="111"/>
        <v>-1000</v>
      </c>
      <c r="AF123" s="1124">
        <f t="shared" si="111"/>
        <v>-1000</v>
      </c>
      <c r="AG123" s="1124">
        <f t="shared" si="111"/>
        <v>-1000</v>
      </c>
      <c r="AH123" s="1124">
        <f t="shared" si="111"/>
        <v>-1000</v>
      </c>
      <c r="AI123" s="1124">
        <f t="shared" si="111"/>
        <v>-1000</v>
      </c>
      <c r="AJ123" s="1124">
        <f t="shared" si="111"/>
        <v>0</v>
      </c>
      <c r="AK123" s="1124">
        <f t="shared" si="111"/>
        <v>0</v>
      </c>
      <c r="AL123" s="1124">
        <f t="shared" si="111"/>
        <v>0</v>
      </c>
      <c r="AM123" s="1124">
        <f t="shared" si="111"/>
        <v>0</v>
      </c>
      <c r="AN123" s="1124">
        <f t="shared" si="111"/>
        <v>0</v>
      </c>
      <c r="AO123" s="1124">
        <f t="shared" si="111"/>
        <v>0</v>
      </c>
      <c r="AP123" s="1124">
        <f t="shared" si="111"/>
        <v>0</v>
      </c>
      <c r="AQ123" s="1124">
        <f t="shared" si="111"/>
        <v>0</v>
      </c>
      <c r="AR123" s="1124">
        <f t="shared" si="111"/>
        <v>0</v>
      </c>
      <c r="AS123" s="1124">
        <f t="shared" si="111"/>
        <v>0</v>
      </c>
      <c r="AT123" s="3"/>
      <c r="AU123" s="29">
        <f>+Details!E123</f>
        <v>-12000</v>
      </c>
      <c r="AV123" s="81">
        <f t="shared" si="109"/>
        <v>0</v>
      </c>
      <c r="AW123" s="191"/>
      <c r="AY123" s="190">
        <f>+Details!F123-Base!F123</f>
        <v>0</v>
      </c>
      <c r="AZ123" s="1124">
        <f>+Details!G123-Base!G123</f>
        <v>0</v>
      </c>
      <c r="BA123" s="1124">
        <f>+Details!H123-Base!H123</f>
        <v>0</v>
      </c>
      <c r="BB123" s="1124">
        <f>+Details!I123-Base!I123</f>
        <v>0</v>
      </c>
      <c r="BC123" s="1124">
        <f>+Details!J123-Base!J123</f>
        <v>0</v>
      </c>
      <c r="BD123" s="1124">
        <f>+Details!K123-Base!K123</f>
        <v>0</v>
      </c>
      <c r="BE123" s="1124">
        <f>+Details!L123-Base!L123</f>
        <v>0</v>
      </c>
      <c r="BF123" s="1124">
        <f>+Details!M123-Base!M123</f>
        <v>0</v>
      </c>
      <c r="BG123" s="1124">
        <f>+Details!N123-Base!N123</f>
        <v>0</v>
      </c>
      <c r="BH123" s="1124">
        <f>+Details!O123-Base!O123</f>
        <v>0</v>
      </c>
      <c r="BI123" s="1124">
        <f>+Details!P123-Base!P123</f>
        <v>0</v>
      </c>
      <c r="BJ123" s="1124">
        <f>+Details!Q123-Base!Q123</f>
        <v>0</v>
      </c>
      <c r="BK123" s="1124">
        <f>+Details!R123-Base!R123</f>
        <v>0</v>
      </c>
      <c r="BL123" s="1124">
        <f>+Details!S123-Base!S123</f>
        <v>0</v>
      </c>
      <c r="BM123" s="1124">
        <f>+Details!T123-Base!T123</f>
        <v>0</v>
      </c>
      <c r="BN123" s="1124">
        <f>+Details!U123-Base!U123</f>
        <v>0</v>
      </c>
      <c r="BO123" s="1124">
        <f>+Details!V123-Base!V123</f>
        <v>0</v>
      </c>
      <c r="BP123" s="1124">
        <f>+Details!W123-Base!W123</f>
        <v>0</v>
      </c>
      <c r="BQ123" s="1124">
        <f>+Details!X123-Base!X123</f>
        <v>0</v>
      </c>
      <c r="BR123" s="1124">
        <f>+Details!Y123-Base!Y123</f>
        <v>0</v>
      </c>
      <c r="BS123" s="1124">
        <f>+Details!Z123-Base!Z123</f>
        <v>0</v>
      </c>
      <c r="BT123" s="1124">
        <f>+Details!AA123-Base!AA123</f>
        <v>0</v>
      </c>
      <c r="BU123" s="1124">
        <f>+Details!AB123-Base!AB123</f>
        <v>0</v>
      </c>
      <c r="BV123" s="1124">
        <f>+Details!AC123-Base!AC123</f>
        <v>0</v>
      </c>
      <c r="BW123" s="1124">
        <f>+Details!AD123-Base!AD123</f>
        <v>0</v>
      </c>
      <c r="BX123" s="1124">
        <f>+Details!AE123-Base!AE123</f>
        <v>0</v>
      </c>
      <c r="BY123" s="1124">
        <f>+Details!AF123-Base!AF123</f>
        <v>0</v>
      </c>
      <c r="BZ123" s="1124">
        <f>+Details!AG123-Base!AG123</f>
        <v>0</v>
      </c>
      <c r="CA123" s="1124">
        <f>+Details!AH123-Base!AH123</f>
        <v>0</v>
      </c>
      <c r="CB123" s="1124">
        <f>+Details!AI123-Base!AI123</f>
        <v>0</v>
      </c>
      <c r="CC123" s="1124">
        <f>+Details!AJ123-Base!AJ123</f>
        <v>0</v>
      </c>
      <c r="CD123" s="1124">
        <f>+Details!AK123-Base!AK123</f>
        <v>0</v>
      </c>
      <c r="CE123" s="1124">
        <f>+Details!AL123-Base!AL123</f>
        <v>0</v>
      </c>
      <c r="CF123" s="1124">
        <f>+Details!AM123-Base!AM123</f>
        <v>0</v>
      </c>
      <c r="CG123" s="1124">
        <f>+Details!AN123-Base!AN123</f>
        <v>0</v>
      </c>
      <c r="CH123" s="1124">
        <f>+Details!AO123-Base!AO123</f>
        <v>0</v>
      </c>
      <c r="CI123" s="1124">
        <f>+Details!AP123-Base!AP123</f>
        <v>0</v>
      </c>
      <c r="CJ123" s="1124">
        <f>+Details!AQ123-Base!AQ123</f>
        <v>0</v>
      </c>
      <c r="CK123" s="1124">
        <f>+Details!AR123-Base!AR123</f>
        <v>0</v>
      </c>
      <c r="CL123" s="1124">
        <f>+Details!AS123-Base!AS123</f>
        <v>0</v>
      </c>
      <c r="CM123" s="81"/>
    </row>
    <row r="124" spans="1:91" ht="15.75" hidden="1" customHeight="1">
      <c r="A124" s="1427" t="s">
        <v>1578</v>
      </c>
      <c r="B124" s="1007" t="s">
        <v>2135</v>
      </c>
      <c r="C124" s="36"/>
      <c r="D124" s="1367">
        <f>Esc_ExRoth2</f>
        <v>0.1</v>
      </c>
      <c r="E124" s="635">
        <f t="shared" si="107"/>
        <v>-38800</v>
      </c>
      <c r="F124" s="1289">
        <f>ROUND(IF(Start_ExRoth2&lt;=F$4,-With_ExRoth2,0)/Round_To,0)*Round_To</f>
        <v>0</v>
      </c>
      <c r="G124" s="1125">
        <f t="shared" ref="G124:AS124" si="112">ROUND(IF(F124&lt;0,IF(-G$367&gt;+F124*(1+Esc_ExRoth2),-G$367,+F124*(1+Esc_ExRoth2)),IF(Start_ExRoth2&lt;=G$4,IF(-G$367&gt;-With_ExRoth2,-G$367,-With_ExRoth2),0))*IF(AND(End_ExRoth2&lt;G$4,End_ExRoth2&lt;&gt;0),0,1)/Round_To,0)*Round_To</f>
        <v>0</v>
      </c>
      <c r="H124" s="1125">
        <f t="shared" si="112"/>
        <v>0</v>
      </c>
      <c r="I124" s="1125">
        <f t="shared" si="112"/>
        <v>0</v>
      </c>
      <c r="J124" s="1125">
        <f t="shared" si="112"/>
        <v>0</v>
      </c>
      <c r="K124" s="1125">
        <f t="shared" si="112"/>
        <v>0</v>
      </c>
      <c r="L124" s="1125">
        <f t="shared" si="112"/>
        <v>0</v>
      </c>
      <c r="M124" s="1125">
        <f t="shared" si="112"/>
        <v>0</v>
      </c>
      <c r="N124" s="1125">
        <f t="shared" si="112"/>
        <v>-5000</v>
      </c>
      <c r="O124" s="1125">
        <f t="shared" si="112"/>
        <v>-5500</v>
      </c>
      <c r="P124" s="1125">
        <f t="shared" si="112"/>
        <v>-6100</v>
      </c>
      <c r="Q124" s="1125">
        <f t="shared" si="112"/>
        <v>-6700</v>
      </c>
      <c r="R124" s="1125">
        <f t="shared" si="112"/>
        <v>-7400</v>
      </c>
      <c r="S124" s="1125">
        <f t="shared" si="112"/>
        <v>-8100</v>
      </c>
      <c r="T124" s="1125">
        <f t="shared" si="112"/>
        <v>0</v>
      </c>
      <c r="U124" s="1125">
        <f t="shared" si="112"/>
        <v>0</v>
      </c>
      <c r="V124" s="1125">
        <f t="shared" si="112"/>
        <v>0</v>
      </c>
      <c r="W124" s="1125">
        <f t="shared" si="112"/>
        <v>0</v>
      </c>
      <c r="X124" s="1125">
        <f t="shared" si="112"/>
        <v>0</v>
      </c>
      <c r="Y124" s="1125">
        <f t="shared" si="112"/>
        <v>0</v>
      </c>
      <c r="Z124" s="1125">
        <f t="shared" si="112"/>
        <v>0</v>
      </c>
      <c r="AA124" s="1125">
        <f t="shared" si="112"/>
        <v>0</v>
      </c>
      <c r="AB124" s="1125">
        <f t="shared" si="112"/>
        <v>0</v>
      </c>
      <c r="AC124" s="1125">
        <f t="shared" si="112"/>
        <v>0</v>
      </c>
      <c r="AD124" s="1125">
        <f t="shared" si="112"/>
        <v>0</v>
      </c>
      <c r="AE124" s="1125">
        <f t="shared" si="112"/>
        <v>0</v>
      </c>
      <c r="AF124" s="1125">
        <f t="shared" si="112"/>
        <v>0</v>
      </c>
      <c r="AG124" s="1125">
        <f t="shared" si="112"/>
        <v>0</v>
      </c>
      <c r="AH124" s="1125">
        <f t="shared" si="112"/>
        <v>0</v>
      </c>
      <c r="AI124" s="1125">
        <f t="shared" si="112"/>
        <v>0</v>
      </c>
      <c r="AJ124" s="1125">
        <f t="shared" si="112"/>
        <v>0</v>
      </c>
      <c r="AK124" s="1125">
        <f t="shared" si="112"/>
        <v>0</v>
      </c>
      <c r="AL124" s="1125">
        <f t="shared" si="112"/>
        <v>0</v>
      </c>
      <c r="AM124" s="1125">
        <f t="shared" si="112"/>
        <v>0</v>
      </c>
      <c r="AN124" s="1125">
        <f t="shared" si="112"/>
        <v>0</v>
      </c>
      <c r="AO124" s="1125">
        <f t="shared" si="112"/>
        <v>0</v>
      </c>
      <c r="AP124" s="1125">
        <f t="shared" si="112"/>
        <v>0</v>
      </c>
      <c r="AQ124" s="1125">
        <f t="shared" si="112"/>
        <v>0</v>
      </c>
      <c r="AR124" s="1125">
        <f t="shared" si="112"/>
        <v>0</v>
      </c>
      <c r="AS124" s="1125">
        <f t="shared" si="112"/>
        <v>0</v>
      </c>
      <c r="AT124" s="3"/>
      <c r="AU124" s="34">
        <f>+Details!E124</f>
        <v>-38800</v>
      </c>
      <c r="AV124" s="83">
        <f t="shared" si="109"/>
        <v>0</v>
      </c>
      <c r="AW124" s="191"/>
      <c r="AY124" s="193">
        <f>+Details!F124-Base!F124</f>
        <v>0</v>
      </c>
      <c r="AZ124" s="1125">
        <f>+Details!G124-Base!G124</f>
        <v>0</v>
      </c>
      <c r="BA124" s="1125">
        <f>+Details!H124-Base!H124</f>
        <v>0</v>
      </c>
      <c r="BB124" s="1125">
        <f>+Details!I124-Base!I124</f>
        <v>0</v>
      </c>
      <c r="BC124" s="1125">
        <f>+Details!J124-Base!J124</f>
        <v>0</v>
      </c>
      <c r="BD124" s="1125">
        <f>+Details!K124-Base!K124</f>
        <v>0</v>
      </c>
      <c r="BE124" s="1125">
        <f>+Details!L124-Base!L124</f>
        <v>0</v>
      </c>
      <c r="BF124" s="1125">
        <f>+Details!M124-Base!M124</f>
        <v>0</v>
      </c>
      <c r="BG124" s="1125">
        <f>+Details!N124-Base!N124</f>
        <v>0</v>
      </c>
      <c r="BH124" s="1125">
        <f>+Details!O124-Base!O124</f>
        <v>0</v>
      </c>
      <c r="BI124" s="1125">
        <f>+Details!P124-Base!P124</f>
        <v>0</v>
      </c>
      <c r="BJ124" s="1125">
        <f>+Details!Q124-Base!Q124</f>
        <v>0</v>
      </c>
      <c r="BK124" s="1125">
        <f>+Details!R124-Base!R124</f>
        <v>0</v>
      </c>
      <c r="BL124" s="1125">
        <f>+Details!S124-Base!S124</f>
        <v>0</v>
      </c>
      <c r="BM124" s="1125">
        <f>+Details!T124-Base!T124</f>
        <v>0</v>
      </c>
      <c r="BN124" s="1125">
        <f>+Details!U124-Base!U124</f>
        <v>0</v>
      </c>
      <c r="BO124" s="1125">
        <f>+Details!V124-Base!V124</f>
        <v>0</v>
      </c>
      <c r="BP124" s="1125">
        <f>+Details!W124-Base!W124</f>
        <v>0</v>
      </c>
      <c r="BQ124" s="1125">
        <f>+Details!X124-Base!X124</f>
        <v>0</v>
      </c>
      <c r="BR124" s="1125">
        <f>+Details!Y124-Base!Y124</f>
        <v>0</v>
      </c>
      <c r="BS124" s="1125">
        <f>+Details!Z124-Base!Z124</f>
        <v>0</v>
      </c>
      <c r="BT124" s="1125">
        <f>+Details!AA124-Base!AA124</f>
        <v>0</v>
      </c>
      <c r="BU124" s="1125">
        <f>+Details!AB124-Base!AB124</f>
        <v>0</v>
      </c>
      <c r="BV124" s="1125">
        <f>+Details!AC124-Base!AC124</f>
        <v>0</v>
      </c>
      <c r="BW124" s="1125">
        <f>+Details!AD124-Base!AD124</f>
        <v>0</v>
      </c>
      <c r="BX124" s="1125">
        <f>+Details!AE124-Base!AE124</f>
        <v>0</v>
      </c>
      <c r="BY124" s="1125">
        <f>+Details!AF124-Base!AF124</f>
        <v>0</v>
      </c>
      <c r="BZ124" s="1125">
        <f>+Details!AG124-Base!AG124</f>
        <v>0</v>
      </c>
      <c r="CA124" s="1125">
        <f>+Details!AH124-Base!AH124</f>
        <v>0</v>
      </c>
      <c r="CB124" s="1125">
        <f>+Details!AI124-Base!AI124</f>
        <v>0</v>
      </c>
      <c r="CC124" s="1125">
        <f>+Details!AJ124-Base!AJ124</f>
        <v>0</v>
      </c>
      <c r="CD124" s="1125">
        <f>+Details!AK124-Base!AK124</f>
        <v>0</v>
      </c>
      <c r="CE124" s="1125">
        <f>+Details!AL124-Base!AL124</f>
        <v>0</v>
      </c>
      <c r="CF124" s="1125">
        <f>+Details!AM124-Base!AM124</f>
        <v>0</v>
      </c>
      <c r="CG124" s="1125">
        <f>+Details!AN124-Base!AN124</f>
        <v>0</v>
      </c>
      <c r="CH124" s="1125">
        <f>+Details!AO124-Base!AO124</f>
        <v>0</v>
      </c>
      <c r="CI124" s="1125">
        <f>+Details!AP124-Base!AP124</f>
        <v>0</v>
      </c>
      <c r="CJ124" s="1125">
        <f>+Details!AQ124-Base!AQ124</f>
        <v>0</v>
      </c>
      <c r="CK124" s="1125">
        <f>+Details!AR124-Base!AR124</f>
        <v>0</v>
      </c>
      <c r="CL124" s="1125">
        <f>+Details!AS124-Base!AS124</f>
        <v>0</v>
      </c>
      <c r="CM124" s="103"/>
    </row>
    <row r="125" spans="1:91" s="3" customFormat="1">
      <c r="A125" s="1430"/>
      <c r="B125" s="1007" t="s">
        <v>1441</v>
      </c>
      <c r="C125" s="422"/>
      <c r="E125" s="65">
        <f t="shared" si="107"/>
        <v>-50800</v>
      </c>
      <c r="F125" s="65">
        <f>+F123+F124</f>
        <v>0</v>
      </c>
      <c r="G125" s="1124">
        <f t="shared" ref="G125:AS125" si="113">+G123+G124</f>
        <v>0</v>
      </c>
      <c r="H125" s="1124">
        <f t="shared" si="113"/>
        <v>0</v>
      </c>
      <c r="I125" s="1124">
        <f t="shared" si="113"/>
        <v>0</v>
      </c>
      <c r="J125" s="1124">
        <f t="shared" si="113"/>
        <v>0</v>
      </c>
      <c r="K125" s="1124">
        <f t="shared" si="113"/>
        <v>0</v>
      </c>
      <c r="L125" s="1124">
        <f t="shared" si="113"/>
        <v>0</v>
      </c>
      <c r="M125" s="1124">
        <f t="shared" si="113"/>
        <v>0</v>
      </c>
      <c r="N125" s="1124">
        <f t="shared" si="113"/>
        <v>-5000</v>
      </c>
      <c r="O125" s="1124">
        <f t="shared" si="113"/>
        <v>-5500</v>
      </c>
      <c r="P125" s="1124">
        <f t="shared" si="113"/>
        <v>-6100</v>
      </c>
      <c r="Q125" s="1124">
        <f t="shared" si="113"/>
        <v>-6700</v>
      </c>
      <c r="R125" s="1124">
        <f t="shared" si="113"/>
        <v>-7400</v>
      </c>
      <c r="S125" s="1124">
        <f t="shared" si="113"/>
        <v>-8100</v>
      </c>
      <c r="T125" s="1124">
        <f t="shared" si="113"/>
        <v>0</v>
      </c>
      <c r="U125" s="1124">
        <f t="shared" si="113"/>
        <v>0</v>
      </c>
      <c r="V125" s="1124">
        <f t="shared" si="113"/>
        <v>0</v>
      </c>
      <c r="W125" s="1124">
        <f t="shared" si="113"/>
        <v>0</v>
      </c>
      <c r="X125" s="1124">
        <f t="shared" si="113"/>
        <v>-1000</v>
      </c>
      <c r="Y125" s="1124">
        <f t="shared" si="113"/>
        <v>-1000</v>
      </c>
      <c r="Z125" s="1124">
        <f t="shared" si="113"/>
        <v>-1000</v>
      </c>
      <c r="AA125" s="1124">
        <f t="shared" si="113"/>
        <v>-1000</v>
      </c>
      <c r="AB125" s="1124">
        <f t="shared" si="113"/>
        <v>-1000</v>
      </c>
      <c r="AC125" s="1124">
        <f t="shared" si="113"/>
        <v>-1000</v>
      </c>
      <c r="AD125" s="1124">
        <f t="shared" si="113"/>
        <v>-1000</v>
      </c>
      <c r="AE125" s="1124">
        <f t="shared" si="113"/>
        <v>-1000</v>
      </c>
      <c r="AF125" s="1124">
        <f t="shared" si="113"/>
        <v>-1000</v>
      </c>
      <c r="AG125" s="1124">
        <f t="shared" si="113"/>
        <v>-1000</v>
      </c>
      <c r="AH125" s="1124">
        <f t="shared" si="113"/>
        <v>-1000</v>
      </c>
      <c r="AI125" s="1124">
        <f t="shared" si="113"/>
        <v>-1000</v>
      </c>
      <c r="AJ125" s="1124">
        <f t="shared" si="113"/>
        <v>0</v>
      </c>
      <c r="AK125" s="1124">
        <f t="shared" si="113"/>
        <v>0</v>
      </c>
      <c r="AL125" s="1124">
        <f t="shared" si="113"/>
        <v>0</v>
      </c>
      <c r="AM125" s="1124">
        <f t="shared" si="113"/>
        <v>0</v>
      </c>
      <c r="AN125" s="1124">
        <f t="shared" si="113"/>
        <v>0</v>
      </c>
      <c r="AO125" s="1124">
        <f t="shared" si="113"/>
        <v>0</v>
      </c>
      <c r="AP125" s="1124">
        <f t="shared" si="113"/>
        <v>0</v>
      </c>
      <c r="AQ125" s="1124">
        <f t="shared" si="113"/>
        <v>0</v>
      </c>
      <c r="AR125" s="1124">
        <f t="shared" si="113"/>
        <v>0</v>
      </c>
      <c r="AS125" s="1124">
        <f t="shared" si="113"/>
        <v>0</v>
      </c>
      <c r="AU125" s="65">
        <f>+Details!E125</f>
        <v>-50800</v>
      </c>
      <c r="AV125" s="434">
        <f t="shared" si="109"/>
        <v>0</v>
      </c>
      <c r="AW125" s="191"/>
      <c r="AY125" s="190">
        <f>+Details!F125-Base!F125</f>
        <v>0</v>
      </c>
      <c r="AZ125" s="1124">
        <f>+Details!G125-Base!G125</f>
        <v>0</v>
      </c>
      <c r="BA125" s="1124">
        <f>+Details!H125-Base!H125</f>
        <v>0</v>
      </c>
      <c r="BB125" s="1124">
        <f>+Details!I125-Base!I125</f>
        <v>0</v>
      </c>
      <c r="BC125" s="1124">
        <f>+Details!J125-Base!J125</f>
        <v>0</v>
      </c>
      <c r="BD125" s="1124">
        <f>+Details!K125-Base!K125</f>
        <v>0</v>
      </c>
      <c r="BE125" s="1124">
        <f>+Details!L125-Base!L125</f>
        <v>0</v>
      </c>
      <c r="BF125" s="1124">
        <f>+Details!M125-Base!M125</f>
        <v>0</v>
      </c>
      <c r="BG125" s="1124">
        <f>+Details!N125-Base!N125</f>
        <v>0</v>
      </c>
      <c r="BH125" s="1124">
        <f>+Details!O125-Base!O125</f>
        <v>0</v>
      </c>
      <c r="BI125" s="1124">
        <f>+Details!P125-Base!P125</f>
        <v>0</v>
      </c>
      <c r="BJ125" s="1124">
        <f>+Details!Q125-Base!Q125</f>
        <v>0</v>
      </c>
      <c r="BK125" s="1124">
        <f>+Details!R125-Base!R125</f>
        <v>0</v>
      </c>
      <c r="BL125" s="1124">
        <f>+Details!S125-Base!S125</f>
        <v>0</v>
      </c>
      <c r="BM125" s="1124">
        <f>+Details!T125-Base!T125</f>
        <v>0</v>
      </c>
      <c r="BN125" s="1124">
        <f>+Details!U125-Base!U125</f>
        <v>0</v>
      </c>
      <c r="BO125" s="1124">
        <f>+Details!V125-Base!V125</f>
        <v>0</v>
      </c>
      <c r="BP125" s="1124">
        <f>+Details!W125-Base!W125</f>
        <v>0</v>
      </c>
      <c r="BQ125" s="1124">
        <f>+Details!X125-Base!X125</f>
        <v>0</v>
      </c>
      <c r="BR125" s="1124">
        <f>+Details!Y125-Base!Y125</f>
        <v>0</v>
      </c>
      <c r="BS125" s="1124">
        <f>+Details!Z125-Base!Z125</f>
        <v>0</v>
      </c>
      <c r="BT125" s="1124">
        <f>+Details!AA125-Base!AA125</f>
        <v>0</v>
      </c>
      <c r="BU125" s="1124">
        <f>+Details!AB125-Base!AB125</f>
        <v>0</v>
      </c>
      <c r="BV125" s="1124">
        <f>+Details!AC125-Base!AC125</f>
        <v>0</v>
      </c>
      <c r="BW125" s="1124">
        <f>+Details!AD125-Base!AD125</f>
        <v>0</v>
      </c>
      <c r="BX125" s="1124">
        <f>+Details!AE125-Base!AE125</f>
        <v>0</v>
      </c>
      <c r="BY125" s="1124">
        <f>+Details!AF125-Base!AF125</f>
        <v>0</v>
      </c>
      <c r="BZ125" s="1124">
        <f>+Details!AG125-Base!AG125</f>
        <v>0</v>
      </c>
      <c r="CA125" s="1124">
        <f>+Details!AH125-Base!AH125</f>
        <v>0</v>
      </c>
      <c r="CB125" s="1124">
        <f>+Details!AI125-Base!AI125</f>
        <v>0</v>
      </c>
      <c r="CC125" s="1124">
        <f>+Details!AJ125-Base!AJ125</f>
        <v>0</v>
      </c>
      <c r="CD125" s="1124">
        <f>+Details!AK125-Base!AK125</f>
        <v>0</v>
      </c>
      <c r="CE125" s="1124">
        <f>+Details!AL125-Base!AL125</f>
        <v>0</v>
      </c>
      <c r="CF125" s="1124">
        <f>+Details!AM125-Base!AM125</f>
        <v>0</v>
      </c>
      <c r="CG125" s="1124">
        <f>+Details!AN125-Base!AN125</f>
        <v>0</v>
      </c>
      <c r="CH125" s="1124">
        <f>+Details!AO125-Base!AO125</f>
        <v>0</v>
      </c>
      <c r="CI125" s="1124">
        <f>+Details!AP125-Base!AP125</f>
        <v>0</v>
      </c>
      <c r="CJ125" s="1124">
        <f>+Details!AQ125-Base!AQ125</f>
        <v>0</v>
      </c>
      <c r="CK125" s="1124">
        <f>+Details!AR125-Base!AR125</f>
        <v>0</v>
      </c>
      <c r="CL125" s="1124">
        <f>+Details!AS125-Base!AS125</f>
        <v>0</v>
      </c>
      <c r="CM125" s="434"/>
    </row>
    <row r="126" spans="1:91" ht="15.6">
      <c r="B126" s="1028" t="s">
        <v>1442</v>
      </c>
      <c r="C126" s="36"/>
      <c r="D126" s="37"/>
      <c r="E126" s="65">
        <f t="shared" si="107"/>
        <v>0</v>
      </c>
      <c r="F126" s="73">
        <f t="shared" ref="F126:AS126" si="114">ROUND(IF(F8-Taxable_Min+F303-F95-F103-F118&lt;0,IF(F362&gt;0,IF(F8-Taxable_Min+F303-F95-F103-F118&lt;-F362,-F362,F8-Taxable_Min+F303-F95-F103-F118),0),0)/Round_To,0)*Round_To*IF(Automate="y",1,0)</f>
        <v>0</v>
      </c>
      <c r="G126" s="1124">
        <f t="shared" si="114"/>
        <v>0</v>
      </c>
      <c r="H126" s="1124">
        <f t="shared" si="114"/>
        <v>0</v>
      </c>
      <c r="I126" s="1124">
        <f t="shared" si="114"/>
        <v>0</v>
      </c>
      <c r="J126" s="1124">
        <f t="shared" si="114"/>
        <v>0</v>
      </c>
      <c r="K126" s="1124">
        <f t="shared" si="114"/>
        <v>0</v>
      </c>
      <c r="L126" s="1124">
        <f t="shared" si="114"/>
        <v>0</v>
      </c>
      <c r="M126" s="1124">
        <f t="shared" si="114"/>
        <v>0</v>
      </c>
      <c r="N126" s="1124">
        <f t="shared" si="114"/>
        <v>0</v>
      </c>
      <c r="O126" s="1124">
        <f t="shared" si="114"/>
        <v>0</v>
      </c>
      <c r="P126" s="1124">
        <f t="shared" si="114"/>
        <v>0</v>
      </c>
      <c r="Q126" s="1124">
        <f t="shared" si="114"/>
        <v>0</v>
      </c>
      <c r="R126" s="1124">
        <f t="shared" si="114"/>
        <v>0</v>
      </c>
      <c r="S126" s="1124">
        <f t="shared" si="114"/>
        <v>0</v>
      </c>
      <c r="T126" s="1124">
        <f t="shared" si="114"/>
        <v>0</v>
      </c>
      <c r="U126" s="1124">
        <f t="shared" si="114"/>
        <v>0</v>
      </c>
      <c r="V126" s="1124">
        <f t="shared" si="114"/>
        <v>0</v>
      </c>
      <c r="W126" s="1124">
        <f t="shared" si="114"/>
        <v>0</v>
      </c>
      <c r="X126" s="1124">
        <f t="shared" si="114"/>
        <v>0</v>
      </c>
      <c r="Y126" s="1124">
        <f t="shared" si="114"/>
        <v>0</v>
      </c>
      <c r="Z126" s="1124">
        <f t="shared" si="114"/>
        <v>0</v>
      </c>
      <c r="AA126" s="1124">
        <f t="shared" si="114"/>
        <v>0</v>
      </c>
      <c r="AB126" s="1124">
        <f t="shared" si="114"/>
        <v>0</v>
      </c>
      <c r="AC126" s="1124">
        <f t="shared" si="114"/>
        <v>0</v>
      </c>
      <c r="AD126" s="1124">
        <f t="shared" si="114"/>
        <v>0</v>
      </c>
      <c r="AE126" s="1124">
        <f t="shared" si="114"/>
        <v>0</v>
      </c>
      <c r="AF126" s="1124">
        <f t="shared" si="114"/>
        <v>0</v>
      </c>
      <c r="AG126" s="1124">
        <f t="shared" si="114"/>
        <v>0</v>
      </c>
      <c r="AH126" s="1124">
        <f t="shared" si="114"/>
        <v>0</v>
      </c>
      <c r="AI126" s="1124">
        <f t="shared" si="114"/>
        <v>0</v>
      </c>
      <c r="AJ126" s="1124">
        <f t="shared" si="114"/>
        <v>0</v>
      </c>
      <c r="AK126" s="1124">
        <f t="shared" si="114"/>
        <v>0</v>
      </c>
      <c r="AL126" s="1124">
        <f t="shared" si="114"/>
        <v>0</v>
      </c>
      <c r="AM126" s="1124">
        <f t="shared" si="114"/>
        <v>0</v>
      </c>
      <c r="AN126" s="1124">
        <f t="shared" si="114"/>
        <v>0</v>
      </c>
      <c r="AO126" s="1124">
        <f t="shared" si="114"/>
        <v>0</v>
      </c>
      <c r="AP126" s="1124">
        <f t="shared" si="114"/>
        <v>0</v>
      </c>
      <c r="AQ126" s="1124">
        <f t="shared" si="114"/>
        <v>0</v>
      </c>
      <c r="AR126" s="1124">
        <f t="shared" si="114"/>
        <v>0</v>
      </c>
      <c r="AS126" s="1124">
        <f t="shared" si="114"/>
        <v>0</v>
      </c>
      <c r="AT126" s="3"/>
      <c r="AU126" s="29">
        <f>+Details!E126</f>
        <v>0</v>
      </c>
      <c r="AV126" s="81">
        <f t="shared" si="109"/>
        <v>0</v>
      </c>
      <c r="AW126" s="191"/>
      <c r="AY126" s="190">
        <f>+Details!F126-Base!F126</f>
        <v>0</v>
      </c>
      <c r="AZ126" s="1124">
        <f>+Details!G126-Base!G126</f>
        <v>0</v>
      </c>
      <c r="BA126" s="1124">
        <f>+Details!H126-Base!H126</f>
        <v>0</v>
      </c>
      <c r="BB126" s="1124">
        <f>+Details!I126-Base!I126</f>
        <v>0</v>
      </c>
      <c r="BC126" s="1124">
        <f>+Details!J126-Base!J126</f>
        <v>0</v>
      </c>
      <c r="BD126" s="1124">
        <f>+Details!K126-Base!K126</f>
        <v>0</v>
      </c>
      <c r="BE126" s="1124">
        <f>+Details!L126-Base!L126</f>
        <v>0</v>
      </c>
      <c r="BF126" s="1124">
        <f>+Details!M126-Base!M126</f>
        <v>0</v>
      </c>
      <c r="BG126" s="1124">
        <f>+Details!N126-Base!N126</f>
        <v>0</v>
      </c>
      <c r="BH126" s="1124">
        <f>+Details!O126-Base!O126</f>
        <v>0</v>
      </c>
      <c r="BI126" s="1124">
        <f>+Details!P126-Base!P126</f>
        <v>0</v>
      </c>
      <c r="BJ126" s="1124">
        <f>+Details!Q126-Base!Q126</f>
        <v>0</v>
      </c>
      <c r="BK126" s="1124">
        <f>+Details!R126-Base!R126</f>
        <v>0</v>
      </c>
      <c r="BL126" s="1124">
        <f>+Details!S126-Base!S126</f>
        <v>0</v>
      </c>
      <c r="BM126" s="1124">
        <f>+Details!T126-Base!T126</f>
        <v>0</v>
      </c>
      <c r="BN126" s="1124">
        <f>+Details!U126-Base!U126</f>
        <v>0</v>
      </c>
      <c r="BO126" s="1124">
        <f>+Details!V126-Base!V126</f>
        <v>0</v>
      </c>
      <c r="BP126" s="1124">
        <f>+Details!W126-Base!W126</f>
        <v>0</v>
      </c>
      <c r="BQ126" s="1124">
        <f>+Details!X126-Base!X126</f>
        <v>0</v>
      </c>
      <c r="BR126" s="1124">
        <f>+Details!Y126-Base!Y126</f>
        <v>0</v>
      </c>
      <c r="BS126" s="1124">
        <f>+Details!Z126-Base!Z126</f>
        <v>0</v>
      </c>
      <c r="BT126" s="1124">
        <f>+Details!AA126-Base!AA126</f>
        <v>0</v>
      </c>
      <c r="BU126" s="1124">
        <f>+Details!AB126-Base!AB126</f>
        <v>0</v>
      </c>
      <c r="BV126" s="1124">
        <f>+Details!AC126-Base!AC126</f>
        <v>0</v>
      </c>
      <c r="BW126" s="1124">
        <f>+Details!AD126-Base!AD126</f>
        <v>0</v>
      </c>
      <c r="BX126" s="1124">
        <f>+Details!AE126-Base!AE126</f>
        <v>0</v>
      </c>
      <c r="BY126" s="1124">
        <f>+Details!AF126-Base!AF126</f>
        <v>0</v>
      </c>
      <c r="BZ126" s="1124">
        <f>+Details!AG126-Base!AG126</f>
        <v>0</v>
      </c>
      <c r="CA126" s="1124">
        <f>+Details!AH126-Base!AH126</f>
        <v>0</v>
      </c>
      <c r="CB126" s="1124">
        <f>+Details!AI126-Base!AI126</f>
        <v>0</v>
      </c>
      <c r="CC126" s="1124">
        <f>+Details!AJ126-Base!AJ126</f>
        <v>0</v>
      </c>
      <c r="CD126" s="1124">
        <f>+Details!AK126-Base!AK126</f>
        <v>0</v>
      </c>
      <c r="CE126" s="1124">
        <f>+Details!AL126-Base!AL126</f>
        <v>0</v>
      </c>
      <c r="CF126" s="1124">
        <f>+Details!AM126-Base!AM126</f>
        <v>0</v>
      </c>
      <c r="CG126" s="1124">
        <f>+Details!AN126-Base!AN126</f>
        <v>0</v>
      </c>
      <c r="CH126" s="1124">
        <f>+Details!AO126-Base!AO126</f>
        <v>0</v>
      </c>
      <c r="CI126" s="1124">
        <f>+Details!AP126-Base!AP126</f>
        <v>0</v>
      </c>
      <c r="CJ126" s="1124">
        <f>+Details!AQ126-Base!AQ126</f>
        <v>0</v>
      </c>
      <c r="CK126" s="1124">
        <f>+Details!AR126-Base!AR126</f>
        <v>0</v>
      </c>
      <c r="CL126" s="1124">
        <f>+Details!AS126-Base!AS126</f>
        <v>0</v>
      </c>
      <c r="CM126" s="81"/>
    </row>
    <row r="127" spans="1:91" ht="15.6">
      <c r="B127" s="1028" t="s">
        <v>1443</v>
      </c>
      <c r="C127" s="36"/>
      <c r="D127" s="37"/>
      <c r="E127" s="65">
        <f t="shared" si="107"/>
        <v>0</v>
      </c>
      <c r="F127" s="102">
        <f t="shared" ref="F127:AS127" si="115">IF(SPIA_From="r",IF(SPIA_Age=F$4,-SPIA_Amt,0),0)*IF(SPIA_Amt&gt;F15,0,1)</f>
        <v>0</v>
      </c>
      <c r="G127" s="1124">
        <f t="shared" si="115"/>
        <v>0</v>
      </c>
      <c r="H127" s="1124">
        <f t="shared" si="115"/>
        <v>0</v>
      </c>
      <c r="I127" s="1124">
        <f t="shared" si="115"/>
        <v>0</v>
      </c>
      <c r="J127" s="1124">
        <f t="shared" si="115"/>
        <v>0</v>
      </c>
      <c r="K127" s="1124">
        <f t="shared" si="115"/>
        <v>0</v>
      </c>
      <c r="L127" s="1124">
        <f t="shared" si="115"/>
        <v>0</v>
      </c>
      <c r="M127" s="1124">
        <f t="shared" si="115"/>
        <v>0</v>
      </c>
      <c r="N127" s="1124">
        <f t="shared" si="115"/>
        <v>0</v>
      </c>
      <c r="O127" s="1124">
        <f t="shared" si="115"/>
        <v>0</v>
      </c>
      <c r="P127" s="1124">
        <f t="shared" si="115"/>
        <v>0</v>
      </c>
      <c r="Q127" s="1124">
        <f t="shared" si="115"/>
        <v>0</v>
      </c>
      <c r="R127" s="1124">
        <f t="shared" si="115"/>
        <v>0</v>
      </c>
      <c r="S127" s="1124">
        <f t="shared" si="115"/>
        <v>0</v>
      </c>
      <c r="T127" s="1124">
        <f t="shared" si="115"/>
        <v>0</v>
      </c>
      <c r="U127" s="1124">
        <f t="shared" si="115"/>
        <v>0</v>
      </c>
      <c r="V127" s="1124">
        <f t="shared" si="115"/>
        <v>0</v>
      </c>
      <c r="W127" s="1124">
        <f t="shared" si="115"/>
        <v>0</v>
      </c>
      <c r="X127" s="1124">
        <f t="shared" si="115"/>
        <v>0</v>
      </c>
      <c r="Y127" s="1124">
        <f t="shared" si="115"/>
        <v>0</v>
      </c>
      <c r="Z127" s="1124">
        <f t="shared" si="115"/>
        <v>0</v>
      </c>
      <c r="AA127" s="1124">
        <f t="shared" si="115"/>
        <v>0</v>
      </c>
      <c r="AB127" s="1124">
        <f t="shared" si="115"/>
        <v>0</v>
      </c>
      <c r="AC127" s="1124">
        <f t="shared" si="115"/>
        <v>0</v>
      </c>
      <c r="AD127" s="1124">
        <f t="shared" si="115"/>
        <v>0</v>
      </c>
      <c r="AE127" s="1124">
        <f t="shared" si="115"/>
        <v>0</v>
      </c>
      <c r="AF127" s="1124">
        <f t="shared" si="115"/>
        <v>0</v>
      </c>
      <c r="AG127" s="1124">
        <f t="shared" si="115"/>
        <v>0</v>
      </c>
      <c r="AH127" s="1124">
        <f t="shared" si="115"/>
        <v>0</v>
      </c>
      <c r="AI127" s="1124">
        <f t="shared" si="115"/>
        <v>0</v>
      </c>
      <c r="AJ127" s="1124">
        <f t="shared" si="115"/>
        <v>0</v>
      </c>
      <c r="AK127" s="1124">
        <f t="shared" si="115"/>
        <v>0</v>
      </c>
      <c r="AL127" s="1124">
        <f t="shared" si="115"/>
        <v>0</v>
      </c>
      <c r="AM127" s="1124">
        <f t="shared" si="115"/>
        <v>0</v>
      </c>
      <c r="AN127" s="1124">
        <f t="shared" si="115"/>
        <v>0</v>
      </c>
      <c r="AO127" s="1124">
        <f t="shared" si="115"/>
        <v>0</v>
      </c>
      <c r="AP127" s="1124">
        <f t="shared" si="115"/>
        <v>0</v>
      </c>
      <c r="AQ127" s="1124">
        <f t="shared" si="115"/>
        <v>0</v>
      </c>
      <c r="AR127" s="1124">
        <f t="shared" si="115"/>
        <v>0</v>
      </c>
      <c r="AS127" s="1124">
        <f t="shared" si="115"/>
        <v>0</v>
      </c>
      <c r="AT127" s="3"/>
      <c r="AU127" s="29">
        <f>+Details!E127</f>
        <v>0</v>
      </c>
      <c r="AV127" s="81">
        <f t="shared" si="109"/>
        <v>0</v>
      </c>
      <c r="AW127" s="191"/>
      <c r="AY127" s="190">
        <f>+Details!F127-Base!F127</f>
        <v>0</v>
      </c>
      <c r="AZ127" s="1124">
        <f>+Details!G127-Base!G127</f>
        <v>0</v>
      </c>
      <c r="BA127" s="1124">
        <f>+Details!H127-Base!H127</f>
        <v>0</v>
      </c>
      <c r="BB127" s="1124">
        <f>+Details!I127-Base!I127</f>
        <v>0</v>
      </c>
      <c r="BC127" s="1124">
        <f>+Details!J127-Base!J127</f>
        <v>0</v>
      </c>
      <c r="BD127" s="1124">
        <f>+Details!K127-Base!K127</f>
        <v>0</v>
      </c>
      <c r="BE127" s="1124">
        <f>+Details!L127-Base!L127</f>
        <v>0</v>
      </c>
      <c r="BF127" s="1124">
        <f>+Details!M127-Base!M127</f>
        <v>0</v>
      </c>
      <c r="BG127" s="1124">
        <f>+Details!N127-Base!N127</f>
        <v>0</v>
      </c>
      <c r="BH127" s="1124">
        <f>+Details!O127-Base!O127</f>
        <v>0</v>
      </c>
      <c r="BI127" s="1124">
        <f>+Details!P127-Base!P127</f>
        <v>0</v>
      </c>
      <c r="BJ127" s="1124">
        <f>+Details!Q127-Base!Q127</f>
        <v>0</v>
      </c>
      <c r="BK127" s="1124">
        <f>+Details!R127-Base!R127</f>
        <v>0</v>
      </c>
      <c r="BL127" s="1124">
        <f>+Details!S127-Base!S127</f>
        <v>0</v>
      </c>
      <c r="BM127" s="1124">
        <f>+Details!T127-Base!T127</f>
        <v>0</v>
      </c>
      <c r="BN127" s="1124">
        <f>+Details!U127-Base!U127</f>
        <v>0</v>
      </c>
      <c r="BO127" s="1124">
        <f>+Details!V127-Base!V127</f>
        <v>0</v>
      </c>
      <c r="BP127" s="1124">
        <f>+Details!W127-Base!W127</f>
        <v>0</v>
      </c>
      <c r="BQ127" s="1124">
        <f>+Details!X127-Base!X127</f>
        <v>0</v>
      </c>
      <c r="BR127" s="1124">
        <f>+Details!Y127-Base!Y127</f>
        <v>0</v>
      </c>
      <c r="BS127" s="1124">
        <f>+Details!Z127-Base!Z127</f>
        <v>0</v>
      </c>
      <c r="BT127" s="1124">
        <f>+Details!AA127-Base!AA127</f>
        <v>0</v>
      </c>
      <c r="BU127" s="1124">
        <f>+Details!AB127-Base!AB127</f>
        <v>0</v>
      </c>
      <c r="BV127" s="1124">
        <f>+Details!AC127-Base!AC127</f>
        <v>0</v>
      </c>
      <c r="BW127" s="1124">
        <f>+Details!AD127-Base!AD127</f>
        <v>0</v>
      </c>
      <c r="BX127" s="1124">
        <f>+Details!AE127-Base!AE127</f>
        <v>0</v>
      </c>
      <c r="BY127" s="1124">
        <f>+Details!AF127-Base!AF127</f>
        <v>0</v>
      </c>
      <c r="BZ127" s="1124">
        <f>+Details!AG127-Base!AG127</f>
        <v>0</v>
      </c>
      <c r="CA127" s="1124">
        <f>+Details!AH127-Base!AH127</f>
        <v>0</v>
      </c>
      <c r="CB127" s="1124">
        <f>+Details!AI127-Base!AI127</f>
        <v>0</v>
      </c>
      <c r="CC127" s="1124">
        <f>+Details!AJ127-Base!AJ127</f>
        <v>0</v>
      </c>
      <c r="CD127" s="1124">
        <f>+Details!AK127-Base!AK127</f>
        <v>0</v>
      </c>
      <c r="CE127" s="1124">
        <f>+Details!AL127-Base!AL127</f>
        <v>0</v>
      </c>
      <c r="CF127" s="1124">
        <f>+Details!AM127-Base!AM127</f>
        <v>0</v>
      </c>
      <c r="CG127" s="1124">
        <f>+Details!AN127-Base!AN127</f>
        <v>0</v>
      </c>
      <c r="CH127" s="1124">
        <f>+Details!AO127-Base!AO127</f>
        <v>0</v>
      </c>
      <c r="CI127" s="1124">
        <f>+Details!AP127-Base!AP127</f>
        <v>0</v>
      </c>
      <c r="CJ127" s="1124">
        <f>+Details!AQ127-Base!AQ127</f>
        <v>0</v>
      </c>
      <c r="CK127" s="1124">
        <f>+Details!AR127-Base!AR127</f>
        <v>0</v>
      </c>
      <c r="CL127" s="1124">
        <f>+Details!AS127-Base!AS127</f>
        <v>0</v>
      </c>
      <c r="CM127" s="81"/>
    </row>
    <row r="128" spans="1:91" hidden="1">
      <c r="A128" s="1427" t="s">
        <v>1578</v>
      </c>
      <c r="B128" s="452" t="s">
        <v>1380</v>
      </c>
      <c r="C128" s="450"/>
      <c r="D128" s="1175" t="s">
        <v>579</v>
      </c>
      <c r="E128" s="302"/>
      <c r="F128" s="1305"/>
      <c r="G128" s="1124"/>
      <c r="H128" s="1124"/>
      <c r="I128" s="1124"/>
      <c r="J128" s="1124"/>
      <c r="K128" s="1124"/>
      <c r="L128" s="1124"/>
      <c r="M128" s="1124"/>
      <c r="N128" s="1124"/>
      <c r="O128" s="1124"/>
      <c r="P128" s="1124"/>
      <c r="Q128" s="1124"/>
      <c r="R128" s="1124"/>
      <c r="S128" s="1124"/>
      <c r="T128" s="1124"/>
      <c r="U128" s="1124"/>
      <c r="V128" s="1124"/>
      <c r="W128" s="1124"/>
      <c r="X128" s="1124"/>
      <c r="Y128" s="1124"/>
      <c r="Z128" s="1124"/>
      <c r="AA128" s="1124"/>
      <c r="AB128" s="1124"/>
      <c r="AC128" s="1124"/>
      <c r="AD128" s="1124"/>
      <c r="AE128" s="1124"/>
      <c r="AF128" s="1124"/>
      <c r="AG128" s="1124"/>
      <c r="AH128" s="1124"/>
      <c r="AI128" s="1124"/>
      <c r="AJ128" s="1124"/>
      <c r="AK128" s="1124"/>
      <c r="AL128" s="1124"/>
      <c r="AM128" s="1124"/>
      <c r="AN128" s="1124"/>
      <c r="AO128" s="1124"/>
      <c r="AP128" s="1124"/>
      <c r="AQ128" s="1124"/>
      <c r="AR128" s="1124"/>
      <c r="AS128" s="1124"/>
      <c r="AT128" s="3"/>
      <c r="AU128" s="29">
        <f>+Details!E128</f>
        <v>274000</v>
      </c>
      <c r="AV128" s="81">
        <f t="shared" ref="AV128:AV135" si="116">+E128-AU128</f>
        <v>-274000</v>
      </c>
      <c r="AW128" s="102"/>
      <c r="AY128" s="31">
        <f>+Details!F128-Base!F128</f>
        <v>43000</v>
      </c>
      <c r="AZ128" s="1124">
        <f>+Details!G128-Base!G128</f>
        <v>29000</v>
      </c>
      <c r="BA128" s="1124">
        <f>+Details!H128-Base!H128</f>
        <v>45000</v>
      </c>
      <c r="BB128" s="1124">
        <f>+Details!I128-Base!I128</f>
        <v>40000</v>
      </c>
      <c r="BC128" s="1124">
        <f>+Details!J128-Base!J128</f>
        <v>48000</v>
      </c>
      <c r="BD128" s="1124">
        <f>+Details!K128-Base!K128</f>
        <v>30000</v>
      </c>
      <c r="BE128" s="1124">
        <f>+Details!L128-Base!L128</f>
        <v>32000</v>
      </c>
      <c r="BF128" s="1124">
        <f>+Details!M128-Base!M128</f>
        <v>7000</v>
      </c>
      <c r="BG128" s="1124">
        <f>+Details!N128-Base!N128</f>
        <v>0</v>
      </c>
      <c r="BH128" s="1124">
        <f>+Details!O128-Base!O128</f>
        <v>0</v>
      </c>
      <c r="BI128" s="1124">
        <f>+Details!P128-Base!P128</f>
        <v>0</v>
      </c>
      <c r="BJ128" s="1124">
        <f>+Details!Q128-Base!Q128</f>
        <v>0</v>
      </c>
      <c r="BK128" s="1124">
        <f>+Details!R128-Base!R128</f>
        <v>0</v>
      </c>
      <c r="BL128" s="1124">
        <f>+Details!S128-Base!S128</f>
        <v>0</v>
      </c>
      <c r="BM128" s="1124">
        <f>+Details!T128-Base!T128</f>
        <v>0</v>
      </c>
      <c r="BN128" s="1124">
        <f>+Details!U128-Base!U128</f>
        <v>0</v>
      </c>
      <c r="BO128" s="1124">
        <f>+Details!V128-Base!V128</f>
        <v>0</v>
      </c>
      <c r="BP128" s="1124">
        <f>+Details!W128-Base!W128</f>
        <v>0</v>
      </c>
      <c r="BQ128" s="1124">
        <f>+Details!X128-Base!X128</f>
        <v>0</v>
      </c>
      <c r="BR128" s="1124">
        <f>+Details!Y128-Base!Y128</f>
        <v>0</v>
      </c>
      <c r="BS128" s="1124">
        <f>+Details!Z128-Base!Z128</f>
        <v>0</v>
      </c>
      <c r="BT128" s="1124">
        <f>+Details!AA128-Base!AA128</f>
        <v>0</v>
      </c>
      <c r="BU128" s="1124">
        <f>+Details!AB128-Base!AB128</f>
        <v>0</v>
      </c>
      <c r="BV128" s="1124">
        <f>+Details!AC128-Base!AC128</f>
        <v>0</v>
      </c>
      <c r="BW128" s="1124">
        <f>+Details!AD128-Base!AD128</f>
        <v>0</v>
      </c>
      <c r="BX128" s="1124">
        <f>+Details!AE128-Base!AE128</f>
        <v>0</v>
      </c>
      <c r="BY128" s="1124">
        <f>+Details!AF128-Base!AF128</f>
        <v>0</v>
      </c>
      <c r="BZ128" s="1124">
        <f>+Details!AG128-Base!AG128</f>
        <v>0</v>
      </c>
      <c r="CA128" s="1124">
        <f>+Details!AH128-Base!AH128</f>
        <v>0</v>
      </c>
      <c r="CB128" s="1124">
        <f>+Details!AI128-Base!AI128</f>
        <v>0</v>
      </c>
      <c r="CC128" s="1124">
        <f>+Details!AJ128-Base!AJ128</f>
        <v>0</v>
      </c>
      <c r="CD128" s="1124">
        <f>+Details!AK128-Base!AK128</f>
        <v>0</v>
      </c>
      <c r="CE128" s="1124">
        <f>+Details!AL128-Base!AL128</f>
        <v>0</v>
      </c>
      <c r="CF128" s="1124">
        <f>+Details!AM128-Base!AM128</f>
        <v>0</v>
      </c>
      <c r="CG128" s="1124">
        <f>+Details!AN128-Base!AN128</f>
        <v>0</v>
      </c>
      <c r="CH128" s="1124">
        <f>+Details!AO128-Base!AO128</f>
        <v>0</v>
      </c>
      <c r="CI128" s="1124">
        <f>+Details!AP128-Base!AP128</f>
        <v>0</v>
      </c>
      <c r="CJ128" s="1124">
        <f>+Details!AQ128-Base!AQ128</f>
        <v>0</v>
      </c>
      <c r="CK128" s="1124">
        <f>+Details!AR128-Base!AR128</f>
        <v>0</v>
      </c>
      <c r="CL128" s="1124">
        <f>+Details!AS128-Base!AS128</f>
        <v>0</v>
      </c>
      <c r="CM128" s="81"/>
    </row>
    <row r="129" spans="1:98" hidden="1">
      <c r="A129" s="1427" t="s">
        <v>1578</v>
      </c>
      <c r="B129" s="382" t="s">
        <v>1381</v>
      </c>
      <c r="C129" s="450"/>
      <c r="D129" s="1175" t="s">
        <v>579</v>
      </c>
      <c r="E129" s="302"/>
      <c r="F129" s="191"/>
      <c r="G129" s="1124"/>
      <c r="H129" s="1124"/>
      <c r="I129" s="1124"/>
      <c r="J129" s="1124"/>
      <c r="K129" s="1124"/>
      <c r="L129" s="1124"/>
      <c r="M129" s="1124"/>
      <c r="N129" s="1124"/>
      <c r="O129" s="1124"/>
      <c r="P129" s="1124"/>
      <c r="Q129" s="1124"/>
      <c r="R129" s="1124"/>
      <c r="S129" s="1124"/>
      <c r="T129" s="1124"/>
      <c r="U129" s="1124"/>
      <c r="V129" s="1124"/>
      <c r="W129" s="1124"/>
      <c r="X129" s="1124"/>
      <c r="Y129" s="1124"/>
      <c r="Z129" s="1124"/>
      <c r="AA129" s="1124"/>
      <c r="AB129" s="1124"/>
      <c r="AC129" s="1124"/>
      <c r="AD129" s="1124"/>
      <c r="AE129" s="1124"/>
      <c r="AF129" s="1124"/>
      <c r="AG129" s="1124"/>
      <c r="AH129" s="1124"/>
      <c r="AI129" s="1124"/>
      <c r="AJ129" s="1124"/>
      <c r="AK129" s="1124"/>
      <c r="AL129" s="1124"/>
      <c r="AM129" s="1124"/>
      <c r="AN129" s="1124"/>
      <c r="AO129" s="1124"/>
      <c r="AP129" s="1124"/>
      <c r="AQ129" s="1124"/>
      <c r="AR129" s="1124"/>
      <c r="AS129" s="1124"/>
      <c r="AT129" s="3"/>
      <c r="AU129" s="29">
        <f>+Details!E129</f>
        <v>0</v>
      </c>
      <c r="AV129" s="81">
        <f t="shared" si="116"/>
        <v>0</v>
      </c>
      <c r="AW129" s="102"/>
      <c r="AY129" s="31">
        <f>+Details!F129-Base!F129</f>
        <v>0</v>
      </c>
      <c r="AZ129" s="1124">
        <f>+Details!G129-Base!G129</f>
        <v>0</v>
      </c>
      <c r="BA129" s="1124">
        <f>+Details!H129-Base!H129</f>
        <v>0</v>
      </c>
      <c r="BB129" s="1124">
        <f>+Details!I129-Base!I129</f>
        <v>0</v>
      </c>
      <c r="BC129" s="1124">
        <f>+Details!J129-Base!J129</f>
        <v>0</v>
      </c>
      <c r="BD129" s="1124">
        <f>+Details!K129-Base!K129</f>
        <v>0</v>
      </c>
      <c r="BE129" s="1124">
        <f>+Details!L129-Base!L129</f>
        <v>0</v>
      </c>
      <c r="BF129" s="1124">
        <f>+Details!M129-Base!M129</f>
        <v>0</v>
      </c>
      <c r="BG129" s="1124">
        <f>+Details!N129-Base!N129</f>
        <v>0</v>
      </c>
      <c r="BH129" s="1124">
        <f>+Details!O129-Base!O129</f>
        <v>0</v>
      </c>
      <c r="BI129" s="1124">
        <f>+Details!P129-Base!P129</f>
        <v>0</v>
      </c>
      <c r="BJ129" s="1124">
        <f>+Details!Q129-Base!Q129</f>
        <v>0</v>
      </c>
      <c r="BK129" s="1124">
        <f>+Details!R129-Base!R129</f>
        <v>0</v>
      </c>
      <c r="BL129" s="1124">
        <f>+Details!S129-Base!S129</f>
        <v>0</v>
      </c>
      <c r="BM129" s="1124">
        <f>+Details!T129-Base!T129</f>
        <v>0</v>
      </c>
      <c r="BN129" s="1124">
        <f>+Details!U129-Base!U129</f>
        <v>0</v>
      </c>
      <c r="BO129" s="1124">
        <f>+Details!V129-Base!V129</f>
        <v>0</v>
      </c>
      <c r="BP129" s="1124">
        <f>+Details!W129-Base!W129</f>
        <v>0</v>
      </c>
      <c r="BQ129" s="1124">
        <f>+Details!X129-Base!X129</f>
        <v>0</v>
      </c>
      <c r="BR129" s="1124">
        <f>+Details!Y129-Base!Y129</f>
        <v>0</v>
      </c>
      <c r="BS129" s="1124">
        <f>+Details!Z129-Base!Z129</f>
        <v>0</v>
      </c>
      <c r="BT129" s="1124">
        <f>+Details!AA129-Base!AA129</f>
        <v>0</v>
      </c>
      <c r="BU129" s="1124">
        <f>+Details!AB129-Base!AB129</f>
        <v>0</v>
      </c>
      <c r="BV129" s="1124">
        <f>+Details!AC129-Base!AC129</f>
        <v>0</v>
      </c>
      <c r="BW129" s="1124">
        <f>+Details!AD129-Base!AD129</f>
        <v>0</v>
      </c>
      <c r="BX129" s="1124">
        <f>+Details!AE129-Base!AE129</f>
        <v>0</v>
      </c>
      <c r="BY129" s="1124">
        <f>+Details!AF129-Base!AF129</f>
        <v>0</v>
      </c>
      <c r="BZ129" s="1124">
        <f>+Details!AG129-Base!AG129</f>
        <v>0</v>
      </c>
      <c r="CA129" s="1124">
        <f>+Details!AH129-Base!AH129</f>
        <v>0</v>
      </c>
      <c r="CB129" s="1124">
        <f>+Details!AI129-Base!AI129</f>
        <v>0</v>
      </c>
      <c r="CC129" s="1124">
        <f>+Details!AJ129-Base!AJ129</f>
        <v>0</v>
      </c>
      <c r="CD129" s="1124">
        <f>+Details!AK129-Base!AK129</f>
        <v>0</v>
      </c>
      <c r="CE129" s="1124">
        <f>+Details!AL129-Base!AL129</f>
        <v>0</v>
      </c>
      <c r="CF129" s="1124">
        <f>+Details!AM129-Base!AM129</f>
        <v>0</v>
      </c>
      <c r="CG129" s="1124">
        <f>+Details!AN129-Base!AN129</f>
        <v>0</v>
      </c>
      <c r="CH129" s="1124">
        <f>+Details!AO129-Base!AO129</f>
        <v>0</v>
      </c>
      <c r="CI129" s="1124">
        <f>+Details!AP129-Base!AP129</f>
        <v>0</v>
      </c>
      <c r="CJ129" s="1124">
        <f>+Details!AQ129-Base!AQ129</f>
        <v>0</v>
      </c>
      <c r="CK129" s="1124">
        <f>+Details!AR129-Base!AR129</f>
        <v>0</v>
      </c>
      <c r="CL129" s="1124">
        <f>+Details!AS129-Base!AS129</f>
        <v>0</v>
      </c>
      <c r="CM129" s="81"/>
    </row>
    <row r="130" spans="1:98" hidden="1">
      <c r="A130" s="1427" t="s">
        <v>1578</v>
      </c>
      <c r="B130" s="374" t="s">
        <v>1312</v>
      </c>
      <c r="C130" s="450"/>
      <c r="D130" s="1175" t="s">
        <v>579</v>
      </c>
      <c r="E130" s="302"/>
      <c r="F130" s="16"/>
      <c r="G130" s="1124"/>
      <c r="H130" s="1124"/>
      <c r="I130" s="1124"/>
      <c r="J130" s="1124"/>
      <c r="K130" s="1124"/>
      <c r="L130" s="1124"/>
      <c r="M130" s="1124"/>
      <c r="N130" s="1124"/>
      <c r="O130" s="1124"/>
      <c r="P130" s="1124"/>
      <c r="Q130" s="1124"/>
      <c r="R130" s="1124"/>
      <c r="S130" s="1124"/>
      <c r="T130" s="1124"/>
      <c r="U130" s="1124"/>
      <c r="V130" s="1124"/>
      <c r="W130" s="1124"/>
      <c r="X130" s="1124"/>
      <c r="Y130" s="1124"/>
      <c r="Z130" s="1124"/>
      <c r="AA130" s="1124"/>
      <c r="AB130" s="1124"/>
      <c r="AC130" s="1124"/>
      <c r="AD130" s="1124"/>
      <c r="AE130" s="1124"/>
      <c r="AF130" s="1124"/>
      <c r="AG130" s="1124"/>
      <c r="AH130" s="1124"/>
      <c r="AI130" s="1124"/>
      <c r="AJ130" s="1124"/>
      <c r="AK130" s="1124"/>
      <c r="AL130" s="1124"/>
      <c r="AM130" s="1124"/>
      <c r="AN130" s="1124"/>
      <c r="AO130" s="1124"/>
      <c r="AP130" s="1124"/>
      <c r="AQ130" s="1124"/>
      <c r="AR130" s="1124"/>
      <c r="AS130" s="1124"/>
      <c r="AT130" s="3"/>
      <c r="AU130" s="29">
        <f>+Details!E130</f>
        <v>200100</v>
      </c>
      <c r="AV130" s="81">
        <f t="shared" si="116"/>
        <v>-200100</v>
      </c>
      <c r="AW130" s="102"/>
      <c r="AY130" s="31">
        <f>+Details!F130-Base!F130</f>
        <v>15000</v>
      </c>
      <c r="AZ130" s="1124">
        <f>+Details!G130-Base!G130</f>
        <v>16400</v>
      </c>
      <c r="BA130" s="1124">
        <f>+Details!H130-Base!H130</f>
        <v>18000</v>
      </c>
      <c r="BB130" s="1124">
        <f>+Details!I130-Base!I130</f>
        <v>19700</v>
      </c>
      <c r="BC130" s="1124">
        <f>+Details!J130-Base!J130</f>
        <v>21600</v>
      </c>
      <c r="BD130" s="1124">
        <f>+Details!K130-Base!K130</f>
        <v>23700</v>
      </c>
      <c r="BE130" s="1124">
        <f>+Details!L130-Base!L130</f>
        <v>26000</v>
      </c>
      <c r="BF130" s="1124">
        <f>+Details!M130-Base!M130</f>
        <v>28500</v>
      </c>
      <c r="BG130" s="1124">
        <f>+Details!N130-Base!N130</f>
        <v>31200</v>
      </c>
      <c r="BH130" s="1124">
        <f>+Details!O130-Base!O130</f>
        <v>0</v>
      </c>
      <c r="BI130" s="1124">
        <f>+Details!P130-Base!P130</f>
        <v>0</v>
      </c>
      <c r="BJ130" s="1124">
        <f>+Details!Q130-Base!Q130</f>
        <v>0</v>
      </c>
      <c r="BK130" s="1124">
        <f>+Details!R130-Base!R130</f>
        <v>0</v>
      </c>
      <c r="BL130" s="1124">
        <f>+Details!S130-Base!S130</f>
        <v>0</v>
      </c>
      <c r="BM130" s="1124">
        <f>+Details!T130-Base!T130</f>
        <v>0</v>
      </c>
      <c r="BN130" s="1124">
        <f>+Details!U130-Base!U130</f>
        <v>0</v>
      </c>
      <c r="BO130" s="1124">
        <f>+Details!V130-Base!V130</f>
        <v>0</v>
      </c>
      <c r="BP130" s="1124">
        <f>+Details!W130-Base!W130</f>
        <v>0</v>
      </c>
      <c r="BQ130" s="1124">
        <f>+Details!X130-Base!X130</f>
        <v>0</v>
      </c>
      <c r="BR130" s="1124">
        <f>+Details!Y130-Base!Y130</f>
        <v>0</v>
      </c>
      <c r="BS130" s="1124">
        <f>+Details!Z130-Base!Z130</f>
        <v>0</v>
      </c>
      <c r="BT130" s="1124">
        <f>+Details!AA130-Base!AA130</f>
        <v>0</v>
      </c>
      <c r="BU130" s="1124">
        <f>+Details!AB130-Base!AB130</f>
        <v>0</v>
      </c>
      <c r="BV130" s="1124">
        <f>+Details!AC130-Base!AC130</f>
        <v>0</v>
      </c>
      <c r="BW130" s="1124">
        <f>+Details!AD130-Base!AD130</f>
        <v>0</v>
      </c>
      <c r="BX130" s="1124">
        <f>+Details!AE130-Base!AE130</f>
        <v>0</v>
      </c>
      <c r="BY130" s="1124">
        <f>+Details!AF130-Base!AF130</f>
        <v>0</v>
      </c>
      <c r="BZ130" s="1124">
        <f>+Details!AG130-Base!AG130</f>
        <v>0</v>
      </c>
      <c r="CA130" s="1124">
        <f>+Details!AH130-Base!AH130</f>
        <v>0</v>
      </c>
      <c r="CB130" s="1124">
        <f>+Details!AI130-Base!AI130</f>
        <v>0</v>
      </c>
      <c r="CC130" s="1124">
        <f>+Details!AJ130-Base!AJ130</f>
        <v>0</v>
      </c>
      <c r="CD130" s="1124">
        <f>+Details!AK130-Base!AK130</f>
        <v>0</v>
      </c>
      <c r="CE130" s="1124">
        <f>+Details!AL130-Base!AL130</f>
        <v>0</v>
      </c>
      <c r="CF130" s="1124">
        <f>+Details!AM130-Base!AM130</f>
        <v>0</v>
      </c>
      <c r="CG130" s="1124">
        <f>+Details!AN130-Base!AN130</f>
        <v>0</v>
      </c>
      <c r="CH130" s="1124">
        <f>+Details!AO130-Base!AO130</f>
        <v>0</v>
      </c>
      <c r="CI130" s="1124">
        <f>+Details!AP130-Base!AP130</f>
        <v>0</v>
      </c>
      <c r="CJ130" s="1124">
        <f>+Details!AQ130-Base!AQ130</f>
        <v>0</v>
      </c>
      <c r="CK130" s="1124">
        <f>+Details!AR130-Base!AR130</f>
        <v>0</v>
      </c>
      <c r="CL130" s="1124">
        <f>+Details!AS130-Base!AS130</f>
        <v>0</v>
      </c>
      <c r="CM130" s="81"/>
    </row>
    <row r="131" spans="1:98" hidden="1">
      <c r="A131" s="1427" t="s">
        <v>1578</v>
      </c>
      <c r="B131" s="375" t="s">
        <v>1313</v>
      </c>
      <c r="C131" s="450"/>
      <c r="D131" s="1175" t="s">
        <v>579</v>
      </c>
      <c r="E131" s="302"/>
      <c r="F131" s="16"/>
      <c r="G131" s="1124"/>
      <c r="H131" s="1124"/>
      <c r="I131" s="1124"/>
      <c r="J131" s="1124"/>
      <c r="K131" s="1124"/>
      <c r="L131" s="1124"/>
      <c r="M131" s="1124"/>
      <c r="N131" s="1124"/>
      <c r="O131" s="1124"/>
      <c r="P131" s="1124"/>
      <c r="Q131" s="1124"/>
      <c r="R131" s="1124"/>
      <c r="S131" s="1124"/>
      <c r="T131" s="1124"/>
      <c r="U131" s="1124"/>
      <c r="V131" s="1124"/>
      <c r="W131" s="1124"/>
      <c r="X131" s="1124"/>
      <c r="Y131" s="1124"/>
      <c r="Z131" s="1124"/>
      <c r="AA131" s="1124"/>
      <c r="AB131" s="1124"/>
      <c r="AC131" s="1124"/>
      <c r="AD131" s="1124"/>
      <c r="AE131" s="1124"/>
      <c r="AF131" s="1124"/>
      <c r="AG131" s="1124"/>
      <c r="AH131" s="1124"/>
      <c r="AI131" s="1124"/>
      <c r="AJ131" s="1124"/>
      <c r="AK131" s="1124"/>
      <c r="AL131" s="1124"/>
      <c r="AM131" s="1124"/>
      <c r="AN131" s="1124"/>
      <c r="AO131" s="1124"/>
      <c r="AP131" s="1124"/>
      <c r="AQ131" s="1124"/>
      <c r="AR131" s="1124"/>
      <c r="AS131" s="1124"/>
      <c r="AT131" s="3"/>
      <c r="AU131" s="29">
        <f>+Details!E131</f>
        <v>0</v>
      </c>
      <c r="AV131" s="81">
        <f t="shared" si="116"/>
        <v>0</v>
      </c>
      <c r="AW131" s="102"/>
      <c r="AY131" s="88">
        <f>+Details!F131-Base!F131</f>
        <v>0</v>
      </c>
      <c r="AZ131" s="1124">
        <f>+Details!G131-Base!G131</f>
        <v>0</v>
      </c>
      <c r="BA131" s="1124">
        <f>+Details!H131-Base!H131</f>
        <v>0</v>
      </c>
      <c r="BB131" s="1124">
        <f>+Details!I131-Base!I131</f>
        <v>0</v>
      </c>
      <c r="BC131" s="1124">
        <f>+Details!J131-Base!J131</f>
        <v>0</v>
      </c>
      <c r="BD131" s="1124">
        <f>+Details!K131-Base!K131</f>
        <v>0</v>
      </c>
      <c r="BE131" s="1124">
        <f>+Details!L131-Base!L131</f>
        <v>0</v>
      </c>
      <c r="BF131" s="1124">
        <f>+Details!M131-Base!M131</f>
        <v>0</v>
      </c>
      <c r="BG131" s="1124">
        <f>+Details!N131-Base!N131</f>
        <v>0</v>
      </c>
      <c r="BH131" s="1124">
        <f>+Details!O131-Base!O131</f>
        <v>0</v>
      </c>
      <c r="BI131" s="1124">
        <f>+Details!P131-Base!P131</f>
        <v>0</v>
      </c>
      <c r="BJ131" s="1124">
        <f>+Details!Q131-Base!Q131</f>
        <v>0</v>
      </c>
      <c r="BK131" s="1124">
        <f>+Details!R131-Base!R131</f>
        <v>0</v>
      </c>
      <c r="BL131" s="1124">
        <f>+Details!S131-Base!S131</f>
        <v>0</v>
      </c>
      <c r="BM131" s="1124">
        <f>+Details!T131-Base!T131</f>
        <v>0</v>
      </c>
      <c r="BN131" s="1124">
        <f>+Details!U131-Base!U131</f>
        <v>0</v>
      </c>
      <c r="BO131" s="1124">
        <f>+Details!V131-Base!V131</f>
        <v>0</v>
      </c>
      <c r="BP131" s="1124">
        <f>+Details!W131-Base!W131</f>
        <v>0</v>
      </c>
      <c r="BQ131" s="1124">
        <f>+Details!X131-Base!X131</f>
        <v>0</v>
      </c>
      <c r="BR131" s="1124">
        <f>+Details!Y131-Base!Y131</f>
        <v>0</v>
      </c>
      <c r="BS131" s="1124">
        <f>+Details!Z131-Base!Z131</f>
        <v>0</v>
      </c>
      <c r="BT131" s="1124">
        <f>+Details!AA131-Base!AA131</f>
        <v>0</v>
      </c>
      <c r="BU131" s="1124">
        <f>+Details!AB131-Base!AB131</f>
        <v>0</v>
      </c>
      <c r="BV131" s="1124">
        <f>+Details!AC131-Base!AC131</f>
        <v>0</v>
      </c>
      <c r="BW131" s="1124">
        <f>+Details!AD131-Base!AD131</f>
        <v>0</v>
      </c>
      <c r="BX131" s="1124">
        <f>+Details!AE131-Base!AE131</f>
        <v>0</v>
      </c>
      <c r="BY131" s="1124">
        <f>+Details!AF131-Base!AF131</f>
        <v>0</v>
      </c>
      <c r="BZ131" s="1124">
        <f>+Details!AG131-Base!AG131</f>
        <v>0</v>
      </c>
      <c r="CA131" s="1124">
        <f>+Details!AH131-Base!AH131</f>
        <v>0</v>
      </c>
      <c r="CB131" s="1124">
        <f>+Details!AI131-Base!AI131</f>
        <v>0</v>
      </c>
      <c r="CC131" s="1124">
        <f>+Details!AJ131-Base!AJ131</f>
        <v>0</v>
      </c>
      <c r="CD131" s="1124">
        <f>+Details!AK131-Base!AK131</f>
        <v>0</v>
      </c>
      <c r="CE131" s="1124">
        <f>+Details!AL131-Base!AL131</f>
        <v>0</v>
      </c>
      <c r="CF131" s="1124">
        <f>+Details!AM131-Base!AM131</f>
        <v>0</v>
      </c>
      <c r="CG131" s="1124">
        <f>+Details!AN131-Base!AN131</f>
        <v>0</v>
      </c>
      <c r="CH131" s="1124">
        <f>+Details!AO131-Base!AO131</f>
        <v>0</v>
      </c>
      <c r="CI131" s="1124">
        <f>+Details!AP131-Base!AP131</f>
        <v>0</v>
      </c>
      <c r="CJ131" s="1124">
        <f>+Details!AQ131-Base!AQ131</f>
        <v>0</v>
      </c>
      <c r="CK131" s="1124">
        <f>+Details!AR131-Base!AR131</f>
        <v>0</v>
      </c>
      <c r="CL131" s="1124">
        <f>+Details!AS131-Base!AS131</f>
        <v>0</v>
      </c>
      <c r="CM131" s="81"/>
    </row>
    <row r="132" spans="1:98" ht="7.95" customHeight="1">
      <c r="B132" s="375"/>
      <c r="C132" s="355"/>
      <c r="D132" s="352"/>
      <c r="E132" s="302"/>
      <c r="F132" s="33"/>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3"/>
      <c r="AU132" s="29"/>
      <c r="AV132" s="81"/>
      <c r="AW132" s="102"/>
      <c r="AY132" s="88"/>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81"/>
    </row>
    <row r="133" spans="1:98">
      <c r="B133" s="1029" t="s">
        <v>1285</v>
      </c>
      <c r="C133" s="379"/>
      <c r="D133" s="1175" t="s">
        <v>579</v>
      </c>
      <c r="E133" s="29"/>
      <c r="F133" s="29"/>
      <c r="G133" s="1124"/>
      <c r="H133" s="1124"/>
      <c r="I133" s="1124"/>
      <c r="J133" s="1124"/>
      <c r="K133" s="1124"/>
      <c r="L133" s="1124"/>
      <c r="M133" s="1124"/>
      <c r="N133" s="1124"/>
      <c r="O133" s="1124"/>
      <c r="P133" s="1124"/>
      <c r="Q133" s="1124"/>
      <c r="R133" s="1124"/>
      <c r="S133" s="1124"/>
      <c r="T133" s="1124"/>
      <c r="U133" s="1124"/>
      <c r="V133" s="1124"/>
      <c r="W133" s="1124"/>
      <c r="X133" s="1124"/>
      <c r="Y133" s="1124"/>
      <c r="Z133" s="1124"/>
      <c r="AA133" s="1124"/>
      <c r="AB133" s="1124"/>
      <c r="AC133" s="1124"/>
      <c r="AD133" s="1124"/>
      <c r="AE133" s="1124"/>
      <c r="AF133" s="1124"/>
      <c r="AG133" s="1124"/>
      <c r="AH133" s="1124"/>
      <c r="AI133" s="1124"/>
      <c r="AJ133" s="1124"/>
      <c r="AK133" s="1124"/>
      <c r="AL133" s="1124"/>
      <c r="AM133" s="1124"/>
      <c r="AN133" s="1124"/>
      <c r="AO133" s="1124"/>
      <c r="AP133" s="1124"/>
      <c r="AQ133" s="1124"/>
      <c r="AR133" s="1124"/>
      <c r="AS133" s="1124"/>
      <c r="AT133" s="3"/>
      <c r="AU133" s="29">
        <f>+Details!E133</f>
        <v>0</v>
      </c>
      <c r="AV133" s="81">
        <f t="shared" si="116"/>
        <v>0</v>
      </c>
      <c r="AW133" s="102"/>
      <c r="AY133" s="31">
        <f>+Details!F133-Base!F133</f>
        <v>0</v>
      </c>
      <c r="AZ133" s="1124">
        <f>+Details!G133-Base!G133</f>
        <v>0</v>
      </c>
      <c r="BA133" s="1124">
        <f>+Details!H133-Base!H133</f>
        <v>0</v>
      </c>
      <c r="BB133" s="1124">
        <f>+Details!I133-Base!I133</f>
        <v>0</v>
      </c>
      <c r="BC133" s="1124">
        <f>+Details!J133-Base!J133</f>
        <v>0</v>
      </c>
      <c r="BD133" s="1124">
        <f>+Details!K133-Base!K133</f>
        <v>0</v>
      </c>
      <c r="BE133" s="1124">
        <f>+Details!L133-Base!L133</f>
        <v>0</v>
      </c>
      <c r="BF133" s="1124">
        <f>+Details!M133-Base!M133</f>
        <v>0</v>
      </c>
      <c r="BG133" s="1124">
        <f>+Details!N133-Base!N133</f>
        <v>0</v>
      </c>
      <c r="BH133" s="1124">
        <f>+Details!O133-Base!O133</f>
        <v>0</v>
      </c>
      <c r="BI133" s="1124">
        <f>+Details!P133-Base!P133</f>
        <v>0</v>
      </c>
      <c r="BJ133" s="1124">
        <f>+Details!Q133-Base!Q133</f>
        <v>0</v>
      </c>
      <c r="BK133" s="1124">
        <f>+Details!R133-Base!R133</f>
        <v>0</v>
      </c>
      <c r="BL133" s="1124">
        <f>+Details!S133-Base!S133</f>
        <v>0</v>
      </c>
      <c r="BM133" s="1124">
        <f>+Details!T133-Base!T133</f>
        <v>0</v>
      </c>
      <c r="BN133" s="1124">
        <f>+Details!U133-Base!U133</f>
        <v>0</v>
      </c>
      <c r="BO133" s="1124">
        <f>+Details!V133-Base!V133</f>
        <v>0</v>
      </c>
      <c r="BP133" s="1124">
        <f>+Details!W133-Base!W133</f>
        <v>0</v>
      </c>
      <c r="BQ133" s="1124">
        <f>+Details!X133-Base!X133</f>
        <v>0</v>
      </c>
      <c r="BR133" s="1124">
        <f>+Details!Y133-Base!Y133</f>
        <v>0</v>
      </c>
      <c r="BS133" s="1124">
        <f>+Details!Z133-Base!Z133</f>
        <v>0</v>
      </c>
      <c r="BT133" s="1124">
        <f>+Details!AA133-Base!AA133</f>
        <v>0</v>
      </c>
      <c r="BU133" s="1124">
        <f>+Details!AB133-Base!AB133</f>
        <v>0</v>
      </c>
      <c r="BV133" s="1124">
        <f>+Details!AC133-Base!AC133</f>
        <v>0</v>
      </c>
      <c r="BW133" s="1124">
        <f>+Details!AD133-Base!AD133</f>
        <v>0</v>
      </c>
      <c r="BX133" s="1124">
        <f>+Details!AE133-Base!AE133</f>
        <v>0</v>
      </c>
      <c r="BY133" s="1124">
        <f>+Details!AF133-Base!AF133</f>
        <v>0</v>
      </c>
      <c r="BZ133" s="1124">
        <f>+Details!AG133-Base!AG133</f>
        <v>0</v>
      </c>
      <c r="CA133" s="1124">
        <f>+Details!AH133-Base!AH133</f>
        <v>0</v>
      </c>
      <c r="CB133" s="1124">
        <f>+Details!AI133-Base!AI133</f>
        <v>0</v>
      </c>
      <c r="CC133" s="1124">
        <f>+Details!AJ133-Base!AJ133</f>
        <v>0</v>
      </c>
      <c r="CD133" s="1124">
        <f>+Details!AK133-Base!AK133</f>
        <v>0</v>
      </c>
      <c r="CE133" s="1124">
        <f>+Details!AL133-Base!AL133</f>
        <v>0</v>
      </c>
      <c r="CF133" s="1124">
        <f>+Details!AM133-Base!AM133</f>
        <v>0</v>
      </c>
      <c r="CG133" s="1124">
        <f>+Details!AN133-Base!AN133</f>
        <v>0</v>
      </c>
      <c r="CH133" s="1124">
        <f>+Details!AO133-Base!AO133</f>
        <v>0</v>
      </c>
      <c r="CI133" s="1124">
        <f>+Details!AP133-Base!AP133</f>
        <v>0</v>
      </c>
      <c r="CJ133" s="1124">
        <f>+Details!AQ133-Base!AQ133</f>
        <v>0</v>
      </c>
      <c r="CK133" s="1124">
        <f>+Details!AR133-Base!AR133</f>
        <v>0</v>
      </c>
      <c r="CL133" s="1124">
        <f>+Details!AS133-Base!AS133</f>
        <v>0</v>
      </c>
      <c r="CM133" s="81"/>
    </row>
    <row r="134" spans="1:98">
      <c r="B134" s="375" t="s">
        <v>1283</v>
      </c>
      <c r="C134" s="355"/>
      <c r="D134" s="1175" t="s">
        <v>579</v>
      </c>
      <c r="E134" s="102"/>
      <c r="F134" s="29"/>
      <c r="G134" s="1124"/>
      <c r="H134" s="1124"/>
      <c r="I134" s="1124"/>
      <c r="J134" s="1124"/>
      <c r="K134" s="1124"/>
      <c r="L134" s="1124"/>
      <c r="M134" s="1124"/>
      <c r="N134" s="1124"/>
      <c r="O134" s="1124"/>
      <c r="P134" s="1124"/>
      <c r="Q134" s="1124"/>
      <c r="R134" s="1124"/>
      <c r="S134" s="1124"/>
      <c r="T134" s="1124"/>
      <c r="U134" s="1124"/>
      <c r="V134" s="1124"/>
      <c r="W134" s="1124"/>
      <c r="X134" s="1124"/>
      <c r="Y134" s="1124"/>
      <c r="Z134" s="1124"/>
      <c r="AA134" s="1124"/>
      <c r="AB134" s="1124"/>
      <c r="AC134" s="1124"/>
      <c r="AD134" s="1124"/>
      <c r="AE134" s="1124"/>
      <c r="AF134" s="1124"/>
      <c r="AG134" s="1124"/>
      <c r="AH134" s="1124"/>
      <c r="AI134" s="1124"/>
      <c r="AJ134" s="1124"/>
      <c r="AK134" s="1124"/>
      <c r="AL134" s="1124"/>
      <c r="AM134" s="1124"/>
      <c r="AN134" s="1124"/>
      <c r="AO134" s="1124"/>
      <c r="AP134" s="1124"/>
      <c r="AQ134" s="1124"/>
      <c r="AR134" s="1124"/>
      <c r="AS134" s="1124"/>
      <c r="AT134" s="89"/>
      <c r="AU134" s="29">
        <f>+Details!E134</f>
        <v>0</v>
      </c>
      <c r="AV134" s="81">
        <f t="shared" si="116"/>
        <v>0</v>
      </c>
      <c r="AW134" s="102"/>
      <c r="AY134" s="31">
        <f>+Details!F134-Base!F134</f>
        <v>0</v>
      </c>
      <c r="AZ134" s="1124">
        <f>+Details!G134-Base!G134</f>
        <v>0</v>
      </c>
      <c r="BA134" s="1124">
        <f>+Details!H134-Base!H134</f>
        <v>0</v>
      </c>
      <c r="BB134" s="1124">
        <f>+Details!I134-Base!I134</f>
        <v>0</v>
      </c>
      <c r="BC134" s="1124">
        <f>+Details!J134-Base!J134</f>
        <v>0</v>
      </c>
      <c r="BD134" s="1124">
        <f>+Details!K134-Base!K134</f>
        <v>0</v>
      </c>
      <c r="BE134" s="1124">
        <f>+Details!L134-Base!L134</f>
        <v>0</v>
      </c>
      <c r="BF134" s="1124">
        <f>+Details!M134-Base!M134</f>
        <v>0</v>
      </c>
      <c r="BG134" s="1124">
        <f>+Details!N134-Base!N134</f>
        <v>0</v>
      </c>
      <c r="BH134" s="1124">
        <f>+Details!O134-Base!O134</f>
        <v>0</v>
      </c>
      <c r="BI134" s="1124">
        <f>+Details!P134-Base!P134</f>
        <v>0</v>
      </c>
      <c r="BJ134" s="1124">
        <f>+Details!Q134-Base!Q134</f>
        <v>0</v>
      </c>
      <c r="BK134" s="1124">
        <f>+Details!R134-Base!R134</f>
        <v>0</v>
      </c>
      <c r="BL134" s="1124">
        <f>+Details!S134-Base!S134</f>
        <v>0</v>
      </c>
      <c r="BM134" s="1124">
        <f>+Details!T134-Base!T134</f>
        <v>0</v>
      </c>
      <c r="BN134" s="1124">
        <f>+Details!U134-Base!U134</f>
        <v>0</v>
      </c>
      <c r="BO134" s="1124">
        <f>+Details!V134-Base!V134</f>
        <v>0</v>
      </c>
      <c r="BP134" s="1124">
        <f>+Details!W134-Base!W134</f>
        <v>0</v>
      </c>
      <c r="BQ134" s="1124">
        <f>+Details!X134-Base!X134</f>
        <v>0</v>
      </c>
      <c r="BR134" s="1124">
        <f>+Details!Y134-Base!Y134</f>
        <v>0</v>
      </c>
      <c r="BS134" s="1124">
        <f>+Details!Z134-Base!Z134</f>
        <v>0</v>
      </c>
      <c r="BT134" s="1124">
        <f>+Details!AA134-Base!AA134</f>
        <v>0</v>
      </c>
      <c r="BU134" s="1124">
        <f>+Details!AB134-Base!AB134</f>
        <v>0</v>
      </c>
      <c r="BV134" s="1124">
        <f>+Details!AC134-Base!AC134</f>
        <v>0</v>
      </c>
      <c r="BW134" s="1124">
        <f>+Details!AD134-Base!AD134</f>
        <v>0</v>
      </c>
      <c r="BX134" s="1124">
        <f>+Details!AE134-Base!AE134</f>
        <v>0</v>
      </c>
      <c r="BY134" s="1124">
        <f>+Details!AF134-Base!AF134</f>
        <v>0</v>
      </c>
      <c r="BZ134" s="1124">
        <f>+Details!AG134-Base!AG134</f>
        <v>0</v>
      </c>
      <c r="CA134" s="1124">
        <f>+Details!AH134-Base!AH134</f>
        <v>0</v>
      </c>
      <c r="CB134" s="1124">
        <f>+Details!AI134-Base!AI134</f>
        <v>0</v>
      </c>
      <c r="CC134" s="1124">
        <f>+Details!AJ134-Base!AJ134</f>
        <v>0</v>
      </c>
      <c r="CD134" s="1124">
        <f>+Details!AK134-Base!AK134</f>
        <v>0</v>
      </c>
      <c r="CE134" s="1124">
        <f>+Details!AL134-Base!AL134</f>
        <v>0</v>
      </c>
      <c r="CF134" s="1124">
        <f>+Details!AM134-Base!AM134</f>
        <v>0</v>
      </c>
      <c r="CG134" s="1124">
        <f>+Details!AN134-Base!AN134</f>
        <v>0</v>
      </c>
      <c r="CH134" s="1124">
        <f>+Details!AO134-Base!AO134</f>
        <v>0</v>
      </c>
      <c r="CI134" s="1124">
        <f>+Details!AP134-Base!AP134</f>
        <v>0</v>
      </c>
      <c r="CJ134" s="1124">
        <f>+Details!AQ134-Base!AQ134</f>
        <v>0</v>
      </c>
      <c r="CK134" s="1124">
        <f>+Details!AR134-Base!AR134</f>
        <v>0</v>
      </c>
      <c r="CL134" s="1124">
        <f>+Details!AS134-Base!AS134</f>
        <v>0</v>
      </c>
      <c r="CM134" s="81"/>
      <c r="CN134" s="1"/>
      <c r="CO134" s="1"/>
      <c r="CP134" s="1"/>
      <c r="CQ134" s="1"/>
      <c r="CR134" s="1"/>
      <c r="CS134" s="1"/>
      <c r="CT134" s="1"/>
    </row>
    <row r="135" spans="1:98">
      <c r="B135" s="372" t="s">
        <v>1284</v>
      </c>
      <c r="C135" s="355"/>
      <c r="D135" s="1175" t="s">
        <v>579</v>
      </c>
      <c r="E135" s="102"/>
      <c r="F135" s="29"/>
      <c r="G135" s="1124"/>
      <c r="H135" s="1124"/>
      <c r="I135" s="1124"/>
      <c r="J135" s="1124"/>
      <c r="K135" s="1124"/>
      <c r="L135" s="1124"/>
      <c r="M135" s="1124"/>
      <c r="N135" s="1124"/>
      <c r="O135" s="1124"/>
      <c r="P135" s="1124"/>
      <c r="Q135" s="1124"/>
      <c r="R135" s="1124"/>
      <c r="S135" s="1124"/>
      <c r="T135" s="1124"/>
      <c r="U135" s="1124"/>
      <c r="V135" s="1124"/>
      <c r="W135" s="1124"/>
      <c r="X135" s="1124"/>
      <c r="Y135" s="1124"/>
      <c r="Z135" s="1124"/>
      <c r="AA135" s="1124"/>
      <c r="AB135" s="1124"/>
      <c r="AC135" s="1124"/>
      <c r="AD135" s="1124"/>
      <c r="AE135" s="1124"/>
      <c r="AF135" s="1124"/>
      <c r="AG135" s="1124"/>
      <c r="AH135" s="1124"/>
      <c r="AI135" s="1124"/>
      <c r="AJ135" s="1124"/>
      <c r="AK135" s="1124"/>
      <c r="AL135" s="1124"/>
      <c r="AM135" s="1124"/>
      <c r="AN135" s="1124"/>
      <c r="AO135" s="1124"/>
      <c r="AP135" s="1124"/>
      <c r="AQ135" s="1124"/>
      <c r="AR135" s="1124"/>
      <c r="AS135" s="1124"/>
      <c r="AT135" s="89"/>
      <c r="AU135" s="29">
        <f>+Details!E135</f>
        <v>0</v>
      </c>
      <c r="AV135" s="81">
        <f t="shared" si="116"/>
        <v>0</v>
      </c>
      <c r="AW135" s="102"/>
      <c r="AY135" s="31">
        <f>+Details!F135-Base!F135</f>
        <v>0</v>
      </c>
      <c r="AZ135" s="1124">
        <f>+Details!G135-Base!G135</f>
        <v>0</v>
      </c>
      <c r="BA135" s="1124">
        <f>+Details!H135-Base!H135</f>
        <v>0</v>
      </c>
      <c r="BB135" s="1124">
        <f>+Details!I135-Base!I135</f>
        <v>0</v>
      </c>
      <c r="BC135" s="1124">
        <f>+Details!J135-Base!J135</f>
        <v>0</v>
      </c>
      <c r="BD135" s="1124">
        <f>+Details!K135-Base!K135</f>
        <v>0</v>
      </c>
      <c r="BE135" s="1124">
        <f>+Details!L135-Base!L135</f>
        <v>0</v>
      </c>
      <c r="BF135" s="1124">
        <f>+Details!M135-Base!M135</f>
        <v>0</v>
      </c>
      <c r="BG135" s="1124">
        <f>+Details!N135-Base!N135</f>
        <v>0</v>
      </c>
      <c r="BH135" s="1124">
        <f>+Details!O135-Base!O135</f>
        <v>0</v>
      </c>
      <c r="BI135" s="1124">
        <f>+Details!P135-Base!P135</f>
        <v>0</v>
      </c>
      <c r="BJ135" s="1124">
        <f>+Details!Q135-Base!Q135</f>
        <v>0</v>
      </c>
      <c r="BK135" s="1124">
        <f>+Details!R135-Base!R135</f>
        <v>0</v>
      </c>
      <c r="BL135" s="1124">
        <f>+Details!S135-Base!S135</f>
        <v>0</v>
      </c>
      <c r="BM135" s="1124">
        <f>+Details!T135-Base!T135</f>
        <v>0</v>
      </c>
      <c r="BN135" s="1124">
        <f>+Details!U135-Base!U135</f>
        <v>0</v>
      </c>
      <c r="BO135" s="1124">
        <f>+Details!V135-Base!V135</f>
        <v>0</v>
      </c>
      <c r="BP135" s="1124">
        <f>+Details!W135-Base!W135</f>
        <v>0</v>
      </c>
      <c r="BQ135" s="1124">
        <f>+Details!X135-Base!X135</f>
        <v>0</v>
      </c>
      <c r="BR135" s="1124">
        <f>+Details!Y135-Base!Y135</f>
        <v>0</v>
      </c>
      <c r="BS135" s="1124">
        <f>+Details!Z135-Base!Z135</f>
        <v>0</v>
      </c>
      <c r="BT135" s="1124">
        <f>+Details!AA135-Base!AA135</f>
        <v>0</v>
      </c>
      <c r="BU135" s="1124">
        <f>+Details!AB135-Base!AB135</f>
        <v>0</v>
      </c>
      <c r="BV135" s="1124">
        <f>+Details!AC135-Base!AC135</f>
        <v>0</v>
      </c>
      <c r="BW135" s="1124">
        <f>+Details!AD135-Base!AD135</f>
        <v>0</v>
      </c>
      <c r="BX135" s="1124">
        <f>+Details!AE135-Base!AE135</f>
        <v>0</v>
      </c>
      <c r="BY135" s="1124">
        <f>+Details!AF135-Base!AF135</f>
        <v>0</v>
      </c>
      <c r="BZ135" s="1124">
        <f>+Details!AG135-Base!AG135</f>
        <v>0</v>
      </c>
      <c r="CA135" s="1124">
        <f>+Details!AH135-Base!AH135</f>
        <v>0</v>
      </c>
      <c r="CB135" s="1124">
        <f>+Details!AI135-Base!AI135</f>
        <v>0</v>
      </c>
      <c r="CC135" s="1124">
        <f>+Details!AJ135-Base!AJ135</f>
        <v>0</v>
      </c>
      <c r="CD135" s="1124">
        <f>+Details!AK135-Base!AK135</f>
        <v>0</v>
      </c>
      <c r="CE135" s="1124">
        <f>+Details!AL135-Base!AL135</f>
        <v>0</v>
      </c>
      <c r="CF135" s="1124">
        <f>+Details!AM135-Base!AM135</f>
        <v>0</v>
      </c>
      <c r="CG135" s="1124">
        <f>+Details!AN135-Base!AN135</f>
        <v>0</v>
      </c>
      <c r="CH135" s="1124">
        <f>+Details!AO135-Base!AO135</f>
        <v>0</v>
      </c>
      <c r="CI135" s="1124">
        <f>+Details!AP135-Base!AP135</f>
        <v>0</v>
      </c>
      <c r="CJ135" s="1124">
        <f>+Details!AQ135-Base!AQ135</f>
        <v>0</v>
      </c>
      <c r="CK135" s="1124">
        <f>+Details!AR135-Base!AR135</f>
        <v>0</v>
      </c>
      <c r="CL135" s="1124">
        <f>+Details!AS135-Base!AS135</f>
        <v>0</v>
      </c>
      <c r="CM135" s="81"/>
      <c r="CN135" s="1"/>
      <c r="CO135" s="1"/>
      <c r="CP135" s="1"/>
      <c r="CQ135" s="1"/>
      <c r="CR135" s="1"/>
      <c r="CS135" s="1"/>
      <c r="CT135" s="1"/>
    </row>
    <row r="136" spans="1:98" ht="7.95" customHeight="1">
      <c r="B136" s="372"/>
      <c r="C136" s="355"/>
      <c r="D136" s="355"/>
      <c r="E136" s="102"/>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89"/>
      <c r="AU136" s="29"/>
      <c r="AV136" s="81"/>
      <c r="AW136" s="102"/>
      <c r="AY136" s="31"/>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81"/>
      <c r="CN136" s="1"/>
      <c r="CO136" s="1"/>
      <c r="CP136" s="1"/>
      <c r="CQ136" s="1"/>
      <c r="CR136" s="1"/>
      <c r="CS136" s="1"/>
      <c r="CT136" s="1"/>
    </row>
    <row r="137" spans="1:98">
      <c r="B137" s="234" t="s">
        <v>1741</v>
      </c>
      <c r="C137" s="1262" t="str">
        <f>"QCD1: " &amp; +QCD1_Name &amp; " - QCD2: " &amp; QCD2_Name</f>
        <v>QCD1: IRA 2 - QCD2: Inhr IRA 2</v>
      </c>
      <c r="D137" s="1261"/>
      <c r="E137" s="102">
        <f>SUM(F137:AS137)</f>
        <v>-100000</v>
      </c>
      <c r="F137" s="29">
        <f t="shared" ref="F137:AS137" si="117">-ROUND((IF(OR(QCD_Age1=F$4,AND(QCD_Age1&lt;F$4,(QCD_Age1+QCD1_Cnt)&gt;F$4)),QCD_Amt1,0)+IF(OR(QCD_Age2=F$4,AND(QCD_Age2&lt;F$4,(QCD_Age2+QCD2_Cnt)&gt;F$4)),QCD_Amt2,0))*IF(Qual1="y",1,0)/Round_To,0)*Round_To</f>
        <v>0</v>
      </c>
      <c r="G137" s="1124">
        <f t="shared" si="117"/>
        <v>0</v>
      </c>
      <c r="H137" s="1124">
        <f t="shared" si="117"/>
        <v>0</v>
      </c>
      <c r="I137" s="1124">
        <f t="shared" si="117"/>
        <v>0</v>
      </c>
      <c r="J137" s="1124">
        <f t="shared" si="117"/>
        <v>0</v>
      </c>
      <c r="K137" s="1124">
        <f t="shared" si="117"/>
        <v>0</v>
      </c>
      <c r="L137" s="1124">
        <f t="shared" si="117"/>
        <v>0</v>
      </c>
      <c r="M137" s="1124">
        <f t="shared" si="117"/>
        <v>0</v>
      </c>
      <c r="N137" s="1124">
        <f t="shared" si="117"/>
        <v>0</v>
      </c>
      <c r="O137" s="1124">
        <f t="shared" si="117"/>
        <v>-15000</v>
      </c>
      <c r="P137" s="1124">
        <f t="shared" si="117"/>
        <v>-15000</v>
      </c>
      <c r="Q137" s="1124">
        <f t="shared" si="117"/>
        <v>-15000</v>
      </c>
      <c r="R137" s="1124">
        <f t="shared" si="117"/>
        <v>-15000</v>
      </c>
      <c r="S137" s="1124">
        <f t="shared" si="117"/>
        <v>-15000</v>
      </c>
      <c r="T137" s="1124">
        <f t="shared" si="117"/>
        <v>0</v>
      </c>
      <c r="U137" s="1124">
        <f t="shared" si="117"/>
        <v>0</v>
      </c>
      <c r="V137" s="1124">
        <f t="shared" si="117"/>
        <v>0</v>
      </c>
      <c r="W137" s="1124">
        <f t="shared" si="117"/>
        <v>0</v>
      </c>
      <c r="X137" s="1124">
        <f t="shared" si="117"/>
        <v>-5000</v>
      </c>
      <c r="Y137" s="1124">
        <f t="shared" si="117"/>
        <v>-5000</v>
      </c>
      <c r="Z137" s="1124">
        <f t="shared" si="117"/>
        <v>-5000</v>
      </c>
      <c r="AA137" s="1124">
        <f t="shared" si="117"/>
        <v>-5000</v>
      </c>
      <c r="AB137" s="1124">
        <f t="shared" si="117"/>
        <v>-5000</v>
      </c>
      <c r="AC137" s="1124">
        <f t="shared" si="117"/>
        <v>0</v>
      </c>
      <c r="AD137" s="1124">
        <f t="shared" si="117"/>
        <v>0</v>
      </c>
      <c r="AE137" s="1124">
        <f t="shared" si="117"/>
        <v>0</v>
      </c>
      <c r="AF137" s="1124">
        <f t="shared" si="117"/>
        <v>0</v>
      </c>
      <c r="AG137" s="1124">
        <f t="shared" si="117"/>
        <v>0</v>
      </c>
      <c r="AH137" s="1124">
        <f t="shared" si="117"/>
        <v>0</v>
      </c>
      <c r="AI137" s="1124">
        <f t="shared" si="117"/>
        <v>0</v>
      </c>
      <c r="AJ137" s="1124">
        <f t="shared" si="117"/>
        <v>0</v>
      </c>
      <c r="AK137" s="1124">
        <f t="shared" si="117"/>
        <v>0</v>
      </c>
      <c r="AL137" s="1124">
        <f t="shared" si="117"/>
        <v>0</v>
      </c>
      <c r="AM137" s="1124">
        <f t="shared" si="117"/>
        <v>0</v>
      </c>
      <c r="AN137" s="1124">
        <f t="shared" si="117"/>
        <v>0</v>
      </c>
      <c r="AO137" s="1124">
        <f t="shared" si="117"/>
        <v>0</v>
      </c>
      <c r="AP137" s="1124">
        <f t="shared" si="117"/>
        <v>0</v>
      </c>
      <c r="AQ137" s="1124">
        <f t="shared" si="117"/>
        <v>0</v>
      </c>
      <c r="AR137" s="1124">
        <f t="shared" si="117"/>
        <v>0</v>
      </c>
      <c r="AS137" s="1124">
        <f t="shared" si="117"/>
        <v>0</v>
      </c>
      <c r="AT137" s="89"/>
      <c r="AU137" s="29">
        <f>+Details!E137</f>
        <v>-100000</v>
      </c>
      <c r="AV137" s="81">
        <f>+E137-AU137</f>
        <v>0</v>
      </c>
      <c r="AW137" s="102"/>
      <c r="AY137" s="31">
        <f>+Details!F137-Base!F137</f>
        <v>0</v>
      </c>
      <c r="AZ137" s="1124">
        <f>+Details!G137-Base!G137</f>
        <v>0</v>
      </c>
      <c r="BA137" s="1124">
        <f>+Details!H137-Base!H137</f>
        <v>0</v>
      </c>
      <c r="BB137" s="1124">
        <f>+Details!I137-Base!I137</f>
        <v>0</v>
      </c>
      <c r="BC137" s="1124">
        <f>+Details!J137-Base!J137</f>
        <v>0</v>
      </c>
      <c r="BD137" s="1124">
        <f>+Details!K137-Base!K137</f>
        <v>0</v>
      </c>
      <c r="BE137" s="1124">
        <f>+Details!L137-Base!L137</f>
        <v>0</v>
      </c>
      <c r="BF137" s="1124">
        <f>+Details!M137-Base!M137</f>
        <v>0</v>
      </c>
      <c r="BG137" s="1124">
        <f>+Details!N137-Base!N137</f>
        <v>0</v>
      </c>
      <c r="BH137" s="1124">
        <f>+Details!O137-Base!O137</f>
        <v>0</v>
      </c>
      <c r="BI137" s="1124">
        <f>+Details!P137-Base!P137</f>
        <v>0</v>
      </c>
      <c r="BJ137" s="1124">
        <f>+Details!Q137-Base!Q137</f>
        <v>0</v>
      </c>
      <c r="BK137" s="1124">
        <f>+Details!R137-Base!R137</f>
        <v>0</v>
      </c>
      <c r="BL137" s="1124">
        <f>+Details!S137-Base!S137</f>
        <v>0</v>
      </c>
      <c r="BM137" s="1124">
        <f>+Details!T137-Base!T137</f>
        <v>0</v>
      </c>
      <c r="BN137" s="1124">
        <f>+Details!U137-Base!U137</f>
        <v>0</v>
      </c>
      <c r="BO137" s="1124">
        <f>+Details!V137-Base!V137</f>
        <v>0</v>
      </c>
      <c r="BP137" s="1124">
        <f>+Details!W137-Base!W137</f>
        <v>0</v>
      </c>
      <c r="BQ137" s="1124">
        <f>+Details!X137-Base!X137</f>
        <v>0</v>
      </c>
      <c r="BR137" s="1124">
        <f>+Details!Y137-Base!Y137</f>
        <v>0</v>
      </c>
      <c r="BS137" s="1124">
        <f>+Details!Z137-Base!Z137</f>
        <v>0</v>
      </c>
      <c r="BT137" s="1124">
        <f>+Details!AA137-Base!AA137</f>
        <v>0</v>
      </c>
      <c r="BU137" s="1124">
        <f>+Details!AB137-Base!AB137</f>
        <v>0</v>
      </c>
      <c r="BV137" s="1124">
        <f>+Details!AC137-Base!AC137</f>
        <v>0</v>
      </c>
      <c r="BW137" s="1124">
        <f>+Details!AD137-Base!AD137</f>
        <v>0</v>
      </c>
      <c r="BX137" s="1124">
        <f>+Details!AE137-Base!AE137</f>
        <v>0</v>
      </c>
      <c r="BY137" s="1124">
        <f>+Details!AF137-Base!AF137</f>
        <v>0</v>
      </c>
      <c r="BZ137" s="1124">
        <f>+Details!AG137-Base!AG137</f>
        <v>0</v>
      </c>
      <c r="CA137" s="1124">
        <f>+Details!AH137-Base!AH137</f>
        <v>0</v>
      </c>
      <c r="CB137" s="1124">
        <f>+Details!AI137-Base!AI137</f>
        <v>0</v>
      </c>
      <c r="CC137" s="1124">
        <f>+Details!AJ137-Base!AJ137</f>
        <v>0</v>
      </c>
      <c r="CD137" s="1124">
        <f>+Details!AK137-Base!AK137</f>
        <v>0</v>
      </c>
      <c r="CE137" s="1124">
        <f>+Details!AL137-Base!AL137</f>
        <v>0</v>
      </c>
      <c r="CF137" s="1124">
        <f>+Details!AM137-Base!AM137</f>
        <v>0</v>
      </c>
      <c r="CG137" s="1124">
        <f>+Details!AN137-Base!AN137</f>
        <v>0</v>
      </c>
      <c r="CH137" s="1124">
        <f>+Details!AO137-Base!AO137</f>
        <v>0</v>
      </c>
      <c r="CI137" s="1124">
        <f>+Details!AP137-Base!AP137</f>
        <v>0</v>
      </c>
      <c r="CJ137" s="1124">
        <f>+Details!AQ137-Base!AQ137</f>
        <v>0</v>
      </c>
      <c r="CK137" s="1124">
        <f>+Details!AR137-Base!AR137</f>
        <v>0</v>
      </c>
      <c r="CL137" s="1124">
        <f>+Details!AS137-Base!AS137</f>
        <v>0</v>
      </c>
      <c r="CM137" s="81"/>
      <c r="CN137" s="1"/>
      <c r="CO137" s="1"/>
      <c r="CP137" s="1"/>
      <c r="CQ137" s="1"/>
      <c r="CR137" s="1"/>
      <c r="CS137" s="1"/>
      <c r="CT137" s="1"/>
    </row>
    <row r="138" spans="1:98" ht="7.95" customHeight="1">
      <c r="B138" s="72"/>
      <c r="D138" s="32"/>
      <c r="E138" s="29"/>
      <c r="F138" s="152"/>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3"/>
      <c r="AU138" s="29"/>
      <c r="AV138" s="81"/>
      <c r="AW138" s="102"/>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81"/>
    </row>
    <row r="139" spans="1:98" ht="15.6">
      <c r="B139" s="426" t="s">
        <v>1826</v>
      </c>
      <c r="C139" s="426"/>
      <c r="D139" s="426"/>
      <c r="E139" s="65">
        <f>SUM(F139:AS139)</f>
        <v>4811500</v>
      </c>
      <c r="F139" s="31">
        <f>+F28+F61+F65+F70+F77+F85-F91-F94-F95-F99-F102-F103-F112-F115-F118-F125-F126-F134-F135+F137</f>
        <v>62100</v>
      </c>
      <c r="G139" s="31">
        <f>+G28+G61+G65+G70+G77+G85-G91-G94-G95-G99-G102-G103-G112-G115-G118-G125-G126-G134-G135+G137</f>
        <v>78500</v>
      </c>
      <c r="H139" s="31">
        <f t="shared" ref="H139:AS139" si="118">+H28+H61+H65+H70+H77+H85-H91-H94-H95-H99-H102-H103-H112-H115-H118-H125-H126-H134-H135+H137</f>
        <v>64800</v>
      </c>
      <c r="I139" s="31">
        <f t="shared" si="118"/>
        <v>66100</v>
      </c>
      <c r="J139" s="31">
        <f t="shared" si="118"/>
        <v>68800</v>
      </c>
      <c r="K139" s="31">
        <f t="shared" si="118"/>
        <v>93000</v>
      </c>
      <c r="L139" s="31">
        <f t="shared" si="118"/>
        <v>96100</v>
      </c>
      <c r="M139" s="31">
        <f t="shared" si="118"/>
        <v>99300</v>
      </c>
      <c r="N139" s="31">
        <f t="shared" si="118"/>
        <v>113600</v>
      </c>
      <c r="O139" s="31">
        <f t="shared" si="118"/>
        <v>123700</v>
      </c>
      <c r="P139" s="31">
        <f t="shared" si="118"/>
        <v>46300</v>
      </c>
      <c r="Q139" s="31">
        <f t="shared" si="118"/>
        <v>170200</v>
      </c>
      <c r="R139" s="31">
        <f t="shared" si="118"/>
        <v>120100</v>
      </c>
      <c r="S139" s="31">
        <f t="shared" si="118"/>
        <v>145600</v>
      </c>
      <c r="T139" s="31">
        <f t="shared" si="118"/>
        <v>59800</v>
      </c>
      <c r="U139" s="31">
        <f t="shared" si="118"/>
        <v>230000</v>
      </c>
      <c r="V139" s="31">
        <f t="shared" si="118"/>
        <v>164400</v>
      </c>
      <c r="W139" s="31">
        <f t="shared" si="118"/>
        <v>171300</v>
      </c>
      <c r="X139" s="31">
        <f t="shared" si="118"/>
        <v>164800</v>
      </c>
      <c r="Y139" s="31">
        <f t="shared" si="118"/>
        <v>168900</v>
      </c>
      <c r="Z139" s="31">
        <f t="shared" si="118"/>
        <v>174700</v>
      </c>
      <c r="AA139" s="31">
        <f t="shared" si="118"/>
        <v>181000</v>
      </c>
      <c r="AB139" s="31">
        <f t="shared" si="118"/>
        <v>595500</v>
      </c>
      <c r="AC139" s="31">
        <f t="shared" si="118"/>
        <v>215300</v>
      </c>
      <c r="AD139" s="31">
        <f t="shared" si="118"/>
        <v>297400</v>
      </c>
      <c r="AE139" s="31">
        <f t="shared" si="118"/>
        <v>205300</v>
      </c>
      <c r="AF139" s="31">
        <f t="shared" si="118"/>
        <v>209600</v>
      </c>
      <c r="AG139" s="31">
        <f t="shared" si="118"/>
        <v>205100</v>
      </c>
      <c r="AH139" s="31">
        <f t="shared" si="118"/>
        <v>207900</v>
      </c>
      <c r="AI139" s="31">
        <f t="shared" si="118"/>
        <v>212300</v>
      </c>
      <c r="AJ139" s="31">
        <f t="shared" si="118"/>
        <v>0</v>
      </c>
      <c r="AK139" s="31">
        <f t="shared" si="118"/>
        <v>0</v>
      </c>
      <c r="AL139" s="31">
        <f t="shared" si="118"/>
        <v>0</v>
      </c>
      <c r="AM139" s="31">
        <f t="shared" si="118"/>
        <v>0</v>
      </c>
      <c r="AN139" s="31">
        <f t="shared" si="118"/>
        <v>0</v>
      </c>
      <c r="AO139" s="31">
        <f t="shared" si="118"/>
        <v>0</v>
      </c>
      <c r="AP139" s="31">
        <f t="shared" si="118"/>
        <v>0</v>
      </c>
      <c r="AQ139" s="31">
        <f t="shared" si="118"/>
        <v>0</v>
      </c>
      <c r="AR139" s="31">
        <f t="shared" si="118"/>
        <v>0</v>
      </c>
      <c r="AS139" s="31">
        <f t="shared" si="118"/>
        <v>0</v>
      </c>
      <c r="AT139" s="42"/>
      <c r="AU139" s="29">
        <f>+Details!E139</f>
        <v>4811500</v>
      </c>
      <c r="AV139" s="81">
        <f>+E139-AU139</f>
        <v>0</v>
      </c>
      <c r="AW139" s="102"/>
      <c r="AY139" s="31">
        <f>+Details!F139-Base!F139</f>
        <v>0</v>
      </c>
      <c r="AZ139" s="1124">
        <f>+Details!G139-Base!G139</f>
        <v>0</v>
      </c>
      <c r="BA139" s="1124">
        <f>+Details!H139-Base!H139</f>
        <v>0</v>
      </c>
      <c r="BB139" s="1124">
        <f>+Details!I139-Base!I139</f>
        <v>0</v>
      </c>
      <c r="BC139" s="1124">
        <f>+Details!J139-Base!J139</f>
        <v>0</v>
      </c>
      <c r="BD139" s="1124">
        <f>+Details!K139-Base!K139</f>
        <v>0</v>
      </c>
      <c r="BE139" s="1124">
        <f>+Details!L139-Base!L139</f>
        <v>0</v>
      </c>
      <c r="BF139" s="1124">
        <f>+Details!M139-Base!M139</f>
        <v>0</v>
      </c>
      <c r="BG139" s="1124">
        <f>+Details!N139-Base!N139</f>
        <v>0</v>
      </c>
      <c r="BH139" s="1124">
        <f>+Details!O139-Base!O139</f>
        <v>0</v>
      </c>
      <c r="BI139" s="1124">
        <f>+Details!P139-Base!P139</f>
        <v>0</v>
      </c>
      <c r="BJ139" s="1124">
        <f>+Details!Q139-Base!Q139</f>
        <v>0</v>
      </c>
      <c r="BK139" s="1124">
        <f>+Details!R139-Base!R139</f>
        <v>0</v>
      </c>
      <c r="BL139" s="1124">
        <f>+Details!S139-Base!S139</f>
        <v>0</v>
      </c>
      <c r="BM139" s="1124">
        <f>+Details!T139-Base!T139</f>
        <v>0</v>
      </c>
      <c r="BN139" s="1124">
        <f>+Details!U139-Base!U139</f>
        <v>0</v>
      </c>
      <c r="BO139" s="1124">
        <f>+Details!V139-Base!V139</f>
        <v>0</v>
      </c>
      <c r="BP139" s="1124">
        <f>+Details!W139-Base!W139</f>
        <v>0</v>
      </c>
      <c r="BQ139" s="1124">
        <f>+Details!X139-Base!X139</f>
        <v>0</v>
      </c>
      <c r="BR139" s="1124">
        <f>+Details!Y139-Base!Y139</f>
        <v>0</v>
      </c>
      <c r="BS139" s="1124">
        <f>+Details!Z139-Base!Z139</f>
        <v>0</v>
      </c>
      <c r="BT139" s="1124">
        <f>+Details!AA139-Base!AA139</f>
        <v>0</v>
      </c>
      <c r="BU139" s="1124">
        <f>+Details!AB139-Base!AB139</f>
        <v>0</v>
      </c>
      <c r="BV139" s="1124">
        <f>+Details!AC139-Base!AC139</f>
        <v>0</v>
      </c>
      <c r="BW139" s="1124">
        <f>+Details!AD139-Base!AD139</f>
        <v>0</v>
      </c>
      <c r="BX139" s="1124">
        <f>+Details!AE139-Base!AE139</f>
        <v>0</v>
      </c>
      <c r="BY139" s="1124">
        <f>+Details!AF139-Base!AF139</f>
        <v>0</v>
      </c>
      <c r="BZ139" s="1124">
        <f>+Details!AG139-Base!AG139</f>
        <v>0</v>
      </c>
      <c r="CA139" s="1124">
        <f>+Details!AH139-Base!AH139</f>
        <v>0</v>
      </c>
      <c r="CB139" s="1124">
        <f>+Details!AI139-Base!AI139</f>
        <v>0</v>
      </c>
      <c r="CC139" s="1124">
        <f>+Details!AJ139-Base!AJ139</f>
        <v>0</v>
      </c>
      <c r="CD139" s="1124">
        <f>+Details!AK139-Base!AK139</f>
        <v>0</v>
      </c>
      <c r="CE139" s="1124">
        <f>+Details!AL139-Base!AL139</f>
        <v>0</v>
      </c>
      <c r="CF139" s="1124">
        <f>+Details!AM139-Base!AM139</f>
        <v>0</v>
      </c>
      <c r="CG139" s="1124">
        <f>+Details!AN139-Base!AN139</f>
        <v>0</v>
      </c>
      <c r="CH139" s="1124">
        <f>+Details!AO139-Base!AO139</f>
        <v>0</v>
      </c>
      <c r="CI139" s="1124">
        <f>+Details!AP139-Base!AP139</f>
        <v>0</v>
      </c>
      <c r="CJ139" s="1124">
        <f>+Details!AQ139-Base!AQ139</f>
        <v>0</v>
      </c>
      <c r="CK139" s="1124">
        <f>+Details!AR139-Base!AR139</f>
        <v>0</v>
      </c>
      <c r="CL139" s="1124">
        <f>+Details!AS139-Base!AS139</f>
        <v>0</v>
      </c>
      <c r="CM139" s="81"/>
    </row>
    <row r="140" spans="1:98" ht="15.6">
      <c r="B140" s="28"/>
      <c r="C140" s="36"/>
      <c r="D140" s="10"/>
      <c r="E140" s="29"/>
      <c r="F140" s="31"/>
      <c r="G140" s="31"/>
      <c r="H140" s="31"/>
      <c r="I140" s="31"/>
      <c r="J140" s="31"/>
      <c r="K140" s="31"/>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c r="AI140" s="31"/>
      <c r="AJ140" s="31"/>
      <c r="AK140" s="31"/>
      <c r="AL140" s="31"/>
      <c r="AM140" s="31"/>
      <c r="AN140" s="31"/>
      <c r="AO140" s="31"/>
      <c r="AP140" s="31"/>
      <c r="AQ140" s="31"/>
      <c r="AR140" s="31"/>
      <c r="AS140" s="31"/>
      <c r="AT140" s="3"/>
      <c r="AU140" s="29"/>
      <c r="AV140" s="48"/>
      <c r="AW140" s="102"/>
      <c r="AZ140" s="31"/>
      <c r="BA140" s="31"/>
      <c r="BB140" s="31"/>
      <c r="BC140" s="31"/>
      <c r="BD140" s="31"/>
      <c r="BE140" s="31"/>
      <c r="BF140" s="31"/>
      <c r="BG140" s="31"/>
      <c r="BH140" s="31"/>
      <c r="BI140" s="31"/>
      <c r="BJ140" s="31"/>
      <c r="BK140" s="31"/>
      <c r="BL140" s="31"/>
      <c r="BM140" s="31"/>
      <c r="BN140" s="31"/>
      <c r="BO140" s="31"/>
      <c r="BP140" s="31"/>
      <c r="BQ140" s="31"/>
      <c r="BR140" s="31"/>
      <c r="BS140" s="31"/>
      <c r="BT140" s="31"/>
      <c r="BU140" s="31"/>
      <c r="BV140" s="31"/>
      <c r="BW140" s="31"/>
      <c r="BX140" s="31"/>
      <c r="BY140" s="31"/>
      <c r="BZ140" s="31"/>
      <c r="CA140" s="31"/>
      <c r="CB140" s="31"/>
      <c r="CC140" s="31"/>
      <c r="CD140" s="31"/>
      <c r="CE140" s="31"/>
      <c r="CF140" s="31"/>
      <c r="CG140" s="31"/>
      <c r="CH140" s="31"/>
      <c r="CI140" s="31"/>
      <c r="CJ140" s="31"/>
      <c r="CK140" s="31"/>
      <c r="CL140" s="31"/>
      <c r="CM140" s="48"/>
    </row>
    <row r="141" spans="1:98" ht="17.399999999999999">
      <c r="B141" s="1025" t="s">
        <v>588</v>
      </c>
      <c r="C141" s="36"/>
      <c r="D141" s="10"/>
      <c r="E141" s="29"/>
      <c r="F141" s="31"/>
      <c r="G141" s="31"/>
      <c r="H141" s="31"/>
      <c r="I141" s="31"/>
      <c r="J141" s="31"/>
      <c r="K141" s="31"/>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c r="AI141" s="31"/>
      <c r="AJ141" s="31"/>
      <c r="AK141" s="31"/>
      <c r="AL141" s="31"/>
      <c r="AM141" s="31"/>
      <c r="AN141" s="31"/>
      <c r="AO141" s="31"/>
      <c r="AP141" s="31"/>
      <c r="AQ141" s="31"/>
      <c r="AR141" s="31"/>
      <c r="AS141" s="31"/>
      <c r="AT141" s="3"/>
      <c r="AU141" s="29"/>
      <c r="AV141" s="48"/>
      <c r="AW141" s="1733"/>
      <c r="AZ141" s="31"/>
      <c r="BA141" s="31"/>
      <c r="BB141" s="31"/>
      <c r="BC141" s="31"/>
      <c r="BD141" s="31"/>
      <c r="BE141" s="31"/>
      <c r="BF141" s="31"/>
      <c r="BG141" s="31"/>
      <c r="BH141" s="31"/>
      <c r="BI141" s="31"/>
      <c r="BJ141" s="31"/>
      <c r="BK141" s="31"/>
      <c r="BL141" s="31"/>
      <c r="BM141" s="31"/>
      <c r="BN141" s="31"/>
      <c r="BO141" s="31"/>
      <c r="BP141" s="31"/>
      <c r="BQ141" s="31"/>
      <c r="BR141" s="31"/>
      <c r="BS141" s="31"/>
      <c r="BT141" s="31"/>
      <c r="BU141" s="31"/>
      <c r="BV141" s="31"/>
      <c r="BW141" s="31"/>
      <c r="BX141" s="31"/>
      <c r="BY141" s="31"/>
      <c r="BZ141" s="31"/>
      <c r="CA141" s="31"/>
      <c r="CB141" s="31"/>
      <c r="CC141" s="31"/>
      <c r="CD141" s="31"/>
      <c r="CE141" s="31"/>
      <c r="CF141" s="31"/>
      <c r="CG141" s="31"/>
      <c r="CH141" s="31"/>
      <c r="CI141" s="31"/>
      <c r="CJ141" s="31"/>
      <c r="CK141" s="31"/>
      <c r="CL141" s="31"/>
      <c r="CM141" s="48"/>
    </row>
    <row r="142" spans="1:98">
      <c r="B142" s="72" t="s">
        <v>1319</v>
      </c>
      <c r="C142" s="1261" t="str">
        <f>+Setup!G132</f>
        <v>increased in 2037</v>
      </c>
      <c r="D142" s="1370">
        <f>Inflation</f>
        <v>0.02</v>
      </c>
      <c r="E142" s="29">
        <f>SUM(F142:AS142)</f>
        <v>3104300</v>
      </c>
      <c r="F142" s="31">
        <f>+Details!F142</f>
        <v>70000</v>
      </c>
      <c r="G142" s="1124">
        <f>+Details!G142</f>
        <v>71400</v>
      </c>
      <c r="H142" s="1124">
        <f>+Details!H142</f>
        <v>72800</v>
      </c>
      <c r="I142" s="1124">
        <f>+Details!I142</f>
        <v>74300</v>
      </c>
      <c r="J142" s="1124">
        <f>+Details!J142</f>
        <v>75800</v>
      </c>
      <c r="K142" s="1124">
        <f>+Details!K142</f>
        <v>77300</v>
      </c>
      <c r="L142" s="1124">
        <f>+Details!L142</f>
        <v>78800</v>
      </c>
      <c r="M142" s="1124">
        <f>+Details!M142</f>
        <v>80400</v>
      </c>
      <c r="N142" s="1124">
        <f>+Details!N142</f>
        <v>82000</v>
      </c>
      <c r="O142" s="1124">
        <f>+Details!O142</f>
        <v>83600</v>
      </c>
      <c r="P142" s="1124">
        <f>+Details!P142</f>
        <v>85300</v>
      </c>
      <c r="Q142" s="1124">
        <f>+Details!Q142</f>
        <v>87000</v>
      </c>
      <c r="R142" s="1124">
        <f>+Details!R142</f>
        <v>88700</v>
      </c>
      <c r="S142" s="1124">
        <f>+Details!S142</f>
        <v>90500</v>
      </c>
      <c r="T142" s="1124">
        <f>+Details!T142</f>
        <v>92300</v>
      </c>
      <c r="U142" s="1124">
        <f>+Details!U142</f>
        <v>94100</v>
      </c>
      <c r="V142" s="1124">
        <f>+Details!V142</f>
        <v>96000</v>
      </c>
      <c r="W142" s="1124">
        <f>+Details!W142</f>
        <v>97900</v>
      </c>
      <c r="X142" s="1124">
        <f>+Details!X142</f>
        <v>119800</v>
      </c>
      <c r="Y142" s="1124">
        <f>+Details!Y142</f>
        <v>122200</v>
      </c>
      <c r="Z142" s="1124">
        <f>+Details!Z142</f>
        <v>124600</v>
      </c>
      <c r="AA142" s="1124">
        <f>+Details!AA142</f>
        <v>127100</v>
      </c>
      <c r="AB142" s="1124">
        <f>+Details!AB142</f>
        <v>129600</v>
      </c>
      <c r="AC142" s="1124">
        <f>+Details!AC142</f>
        <v>132200</v>
      </c>
      <c r="AD142" s="1124">
        <f>+Details!AD142</f>
        <v>134800</v>
      </c>
      <c r="AE142" s="1124">
        <f>+Details!AE142</f>
        <v>137500</v>
      </c>
      <c r="AF142" s="1124">
        <f>+Details!AF142</f>
        <v>140300</v>
      </c>
      <c r="AG142" s="1124">
        <f>+Details!AG142</f>
        <v>143100</v>
      </c>
      <c r="AH142" s="1124">
        <f>+Details!AH142</f>
        <v>146000</v>
      </c>
      <c r="AI142" s="1124">
        <f>+Details!AI142</f>
        <v>148900</v>
      </c>
      <c r="AJ142" s="1124">
        <f>+Details!AJ142</f>
        <v>0</v>
      </c>
      <c r="AK142" s="1124">
        <f>+Details!AK142</f>
        <v>0</v>
      </c>
      <c r="AL142" s="1124">
        <f>+Details!AL142</f>
        <v>0</v>
      </c>
      <c r="AM142" s="1124">
        <f>+Details!AM142</f>
        <v>0</v>
      </c>
      <c r="AN142" s="1124">
        <f>+Details!AN142</f>
        <v>0</v>
      </c>
      <c r="AO142" s="1124">
        <f>+Details!AO142</f>
        <v>0</v>
      </c>
      <c r="AP142" s="1124">
        <f>+Details!AP142</f>
        <v>0</v>
      </c>
      <c r="AQ142" s="1124">
        <f>+Details!AQ142</f>
        <v>0</v>
      </c>
      <c r="AR142" s="1124">
        <f>+Details!AR142</f>
        <v>0</v>
      </c>
      <c r="AS142" s="1124">
        <f>+Details!AS142</f>
        <v>0</v>
      </c>
      <c r="AT142" s="3"/>
      <c r="AU142" s="29">
        <f>+Details!E142</f>
        <v>3104300</v>
      </c>
      <c r="AV142" s="81">
        <f>+E142-AU142</f>
        <v>0</v>
      </c>
      <c r="AW142" s="102"/>
      <c r="AY142" s="31">
        <f>+Details!F142-Base!F142</f>
        <v>0</v>
      </c>
      <c r="AZ142" s="1124">
        <f>+Details!G142-Base!G142</f>
        <v>0</v>
      </c>
      <c r="BA142" s="1124">
        <f>+Details!H142-Base!H142</f>
        <v>0</v>
      </c>
      <c r="BB142" s="1124">
        <f>+Details!I142-Base!I142</f>
        <v>0</v>
      </c>
      <c r="BC142" s="1124">
        <f>+Details!J142-Base!J142</f>
        <v>0</v>
      </c>
      <c r="BD142" s="1124">
        <f>+Details!K142-Base!K142</f>
        <v>0</v>
      </c>
      <c r="BE142" s="1124">
        <f>+Details!L142-Base!L142</f>
        <v>0</v>
      </c>
      <c r="BF142" s="1124">
        <f>+Details!M142-Base!M142</f>
        <v>0</v>
      </c>
      <c r="BG142" s="1124">
        <f>+Details!N142-Base!N142</f>
        <v>0</v>
      </c>
      <c r="BH142" s="1124">
        <f>+Details!O142-Base!O142</f>
        <v>0</v>
      </c>
      <c r="BI142" s="1124">
        <f>+Details!P142-Base!P142</f>
        <v>0</v>
      </c>
      <c r="BJ142" s="1124">
        <f>+Details!Q142-Base!Q142</f>
        <v>0</v>
      </c>
      <c r="BK142" s="1124">
        <f>+Details!R142-Base!R142</f>
        <v>0</v>
      </c>
      <c r="BL142" s="1124">
        <f>+Details!S142-Base!S142</f>
        <v>0</v>
      </c>
      <c r="BM142" s="1124">
        <f>+Details!T142-Base!T142</f>
        <v>0</v>
      </c>
      <c r="BN142" s="1124">
        <f>+Details!U142-Base!U142</f>
        <v>0</v>
      </c>
      <c r="BO142" s="1124">
        <f>+Details!V142-Base!V142</f>
        <v>0</v>
      </c>
      <c r="BP142" s="1124">
        <f>+Details!W142-Base!W142</f>
        <v>0</v>
      </c>
      <c r="BQ142" s="1124">
        <f>+Details!X142-Base!X142</f>
        <v>0</v>
      </c>
      <c r="BR142" s="1124">
        <f>+Details!Y142-Base!Y142</f>
        <v>0</v>
      </c>
      <c r="BS142" s="1124">
        <f>+Details!Z142-Base!Z142</f>
        <v>0</v>
      </c>
      <c r="BT142" s="1124">
        <f>+Details!AA142-Base!AA142</f>
        <v>0</v>
      </c>
      <c r="BU142" s="1124">
        <f>+Details!AB142-Base!AB142</f>
        <v>0</v>
      </c>
      <c r="BV142" s="1124">
        <f>+Details!AC142-Base!AC142</f>
        <v>0</v>
      </c>
      <c r="BW142" s="1124">
        <f>+Details!AD142-Base!AD142</f>
        <v>0</v>
      </c>
      <c r="BX142" s="1124">
        <f>+Details!AE142-Base!AE142</f>
        <v>0</v>
      </c>
      <c r="BY142" s="1124">
        <f>+Details!AF142-Base!AF142</f>
        <v>0</v>
      </c>
      <c r="BZ142" s="1124">
        <f>+Details!AG142-Base!AG142</f>
        <v>0</v>
      </c>
      <c r="CA142" s="1124">
        <f>+Details!AH142-Base!AH142</f>
        <v>0</v>
      </c>
      <c r="CB142" s="1124">
        <f>+Details!AI142-Base!AI142</f>
        <v>0</v>
      </c>
      <c r="CC142" s="1124">
        <f>+Details!AJ142-Base!AJ142</f>
        <v>0</v>
      </c>
      <c r="CD142" s="1124">
        <f>+Details!AK142-Base!AK142</f>
        <v>0</v>
      </c>
      <c r="CE142" s="1124">
        <f>+Details!AL142-Base!AL142</f>
        <v>0</v>
      </c>
      <c r="CF142" s="1124">
        <f>+Details!AM142-Base!AM142</f>
        <v>0</v>
      </c>
      <c r="CG142" s="1124">
        <f>+Details!AN142-Base!AN142</f>
        <v>0</v>
      </c>
      <c r="CH142" s="1124">
        <f>+Details!AO142-Base!AO142</f>
        <v>0</v>
      </c>
      <c r="CI142" s="1124">
        <f>+Details!AP142-Base!AP142</f>
        <v>0</v>
      </c>
      <c r="CJ142" s="1124">
        <f>+Details!AQ142-Base!AQ142</f>
        <v>0</v>
      </c>
      <c r="CK142" s="1124">
        <f>+Details!AR142-Base!AR142</f>
        <v>0</v>
      </c>
      <c r="CL142" s="1124">
        <f>+Details!AS142-Base!AS142</f>
        <v>0</v>
      </c>
      <c r="CM142" s="48"/>
    </row>
    <row r="143" spans="1:98" ht="15.6">
      <c r="B143" s="1449" t="s">
        <v>1878</v>
      </c>
      <c r="D143" s="1038"/>
      <c r="E143" s="1377">
        <f>SUM(F143:AS143)</f>
        <v>0</v>
      </c>
      <c r="F143" s="642">
        <f>+Details!F143</f>
        <v>0</v>
      </c>
      <c r="G143" s="1125">
        <f>+Details!G143</f>
        <v>0</v>
      </c>
      <c r="H143" s="1125">
        <f>+Details!H143</f>
        <v>0</v>
      </c>
      <c r="I143" s="1125">
        <f>+Details!I143</f>
        <v>0</v>
      </c>
      <c r="J143" s="1125">
        <f>+Details!J143</f>
        <v>0</v>
      </c>
      <c r="K143" s="1125">
        <f>+Details!K143</f>
        <v>0</v>
      </c>
      <c r="L143" s="1125">
        <f>+Details!L143</f>
        <v>0</v>
      </c>
      <c r="M143" s="1125">
        <f>+Details!M143</f>
        <v>0</v>
      </c>
      <c r="N143" s="1125">
        <f>+Details!N143</f>
        <v>0</v>
      </c>
      <c r="O143" s="1125">
        <f>+Details!O143</f>
        <v>0</v>
      </c>
      <c r="P143" s="1125">
        <f>+Details!P143</f>
        <v>0</v>
      </c>
      <c r="Q143" s="1125">
        <f>+Details!Q143</f>
        <v>0</v>
      </c>
      <c r="R143" s="1125">
        <f>+Details!R143</f>
        <v>0</v>
      </c>
      <c r="S143" s="1125">
        <f>+Details!S143</f>
        <v>0</v>
      </c>
      <c r="T143" s="1125">
        <f>+Details!T143</f>
        <v>0</v>
      </c>
      <c r="U143" s="1125">
        <f>+Details!U143</f>
        <v>0</v>
      </c>
      <c r="V143" s="1125">
        <f>+Details!V143</f>
        <v>0</v>
      </c>
      <c r="W143" s="1125">
        <f>+Details!W143</f>
        <v>0</v>
      </c>
      <c r="X143" s="1125">
        <f>+Details!X143</f>
        <v>0</v>
      </c>
      <c r="Y143" s="1125">
        <f>+Details!Y143</f>
        <v>0</v>
      </c>
      <c r="Z143" s="1125">
        <f>+Details!Z143</f>
        <v>0</v>
      </c>
      <c r="AA143" s="1125">
        <f>+Details!AA143</f>
        <v>0</v>
      </c>
      <c r="AB143" s="1125">
        <f>+Details!AB143</f>
        <v>0</v>
      </c>
      <c r="AC143" s="1125">
        <f>+Details!AC143</f>
        <v>0</v>
      </c>
      <c r="AD143" s="1125">
        <f>+Details!AD143</f>
        <v>0</v>
      </c>
      <c r="AE143" s="1125">
        <f>+Details!AE143</f>
        <v>0</v>
      </c>
      <c r="AF143" s="1125">
        <f>+Details!AF143</f>
        <v>0</v>
      </c>
      <c r="AG143" s="1125">
        <f>+Details!AG143</f>
        <v>0</v>
      </c>
      <c r="AH143" s="1125">
        <f>+Details!AH143</f>
        <v>0</v>
      </c>
      <c r="AI143" s="1125">
        <f>+Details!AI143</f>
        <v>0</v>
      </c>
      <c r="AJ143" s="1125">
        <f>+Details!AJ143</f>
        <v>0</v>
      </c>
      <c r="AK143" s="1125">
        <f>+Details!AK143</f>
        <v>0</v>
      </c>
      <c r="AL143" s="1125">
        <f>+Details!AL143</f>
        <v>0</v>
      </c>
      <c r="AM143" s="1125">
        <f>+Details!AM143</f>
        <v>0</v>
      </c>
      <c r="AN143" s="1125">
        <f>+Details!AN143</f>
        <v>0</v>
      </c>
      <c r="AO143" s="1125">
        <f>+Details!AO143</f>
        <v>0</v>
      </c>
      <c r="AP143" s="1125">
        <f>+Details!AP143</f>
        <v>0</v>
      </c>
      <c r="AQ143" s="1125">
        <f>+Details!AQ143</f>
        <v>0</v>
      </c>
      <c r="AR143" s="1125">
        <f>+Details!AR143</f>
        <v>0</v>
      </c>
      <c r="AS143" s="1125">
        <f>+Details!AS143</f>
        <v>0</v>
      </c>
      <c r="AT143" s="3"/>
      <c r="AU143" s="34">
        <f>+Details!E143</f>
        <v>0</v>
      </c>
      <c r="AV143" s="83">
        <f>+E143-AU143</f>
        <v>0</v>
      </c>
      <c r="AW143" s="102"/>
      <c r="AY143" s="31">
        <f>+Details!F143-Base!F143</f>
        <v>0</v>
      </c>
      <c r="AZ143" s="1124">
        <f>+Details!G143-Base!G143</f>
        <v>0</v>
      </c>
      <c r="BA143" s="1124">
        <f>+Details!H143-Base!H143</f>
        <v>0</v>
      </c>
      <c r="BB143" s="1124">
        <f>+Details!I143-Base!I143</f>
        <v>0</v>
      </c>
      <c r="BC143" s="1124">
        <f>+Details!J143-Base!J143</f>
        <v>0</v>
      </c>
      <c r="BD143" s="1124">
        <f>+Details!K143-Base!K143</f>
        <v>0</v>
      </c>
      <c r="BE143" s="1124">
        <f>+Details!L143-Base!L143</f>
        <v>0</v>
      </c>
      <c r="BF143" s="1124">
        <f>+Details!M143-Base!M143</f>
        <v>0</v>
      </c>
      <c r="BG143" s="1124">
        <f>+Details!N143-Base!N143</f>
        <v>0</v>
      </c>
      <c r="BH143" s="1124">
        <f>+Details!O143-Base!O143</f>
        <v>0</v>
      </c>
      <c r="BI143" s="1124">
        <f>+Details!P143-Base!P143</f>
        <v>0</v>
      </c>
      <c r="BJ143" s="1124">
        <f>+Details!Q143-Base!Q143</f>
        <v>0</v>
      </c>
      <c r="BK143" s="1124">
        <f>+Details!R143-Base!R143</f>
        <v>0</v>
      </c>
      <c r="BL143" s="1124">
        <f>+Details!S143-Base!S143</f>
        <v>0</v>
      </c>
      <c r="BM143" s="1124">
        <f>+Details!T143-Base!T143</f>
        <v>0</v>
      </c>
      <c r="BN143" s="1124">
        <f>+Details!U143-Base!U143</f>
        <v>0</v>
      </c>
      <c r="BO143" s="1124">
        <f>+Details!V143-Base!V143</f>
        <v>0</v>
      </c>
      <c r="BP143" s="1124">
        <f>+Details!W143-Base!W143</f>
        <v>0</v>
      </c>
      <c r="BQ143" s="1124">
        <f>+Details!X143-Base!X143</f>
        <v>0</v>
      </c>
      <c r="BR143" s="1124">
        <f>+Details!Y143-Base!Y143</f>
        <v>0</v>
      </c>
      <c r="BS143" s="1124">
        <f>+Details!Z143-Base!Z143</f>
        <v>0</v>
      </c>
      <c r="BT143" s="1124">
        <f>+Details!AA143-Base!AA143</f>
        <v>0</v>
      </c>
      <c r="BU143" s="1124">
        <f>+Details!AB143-Base!AB143</f>
        <v>0</v>
      </c>
      <c r="BV143" s="1124">
        <f>+Details!AC143-Base!AC143</f>
        <v>0</v>
      </c>
      <c r="BW143" s="1124">
        <f>+Details!AD143-Base!AD143</f>
        <v>0</v>
      </c>
      <c r="BX143" s="1124">
        <f>+Details!AE143-Base!AE143</f>
        <v>0</v>
      </c>
      <c r="BY143" s="1124">
        <f>+Details!AF143-Base!AF143</f>
        <v>0</v>
      </c>
      <c r="BZ143" s="1124">
        <f>+Details!AG143-Base!AG143</f>
        <v>0</v>
      </c>
      <c r="CA143" s="1124">
        <f>+Details!AH143-Base!AH143</f>
        <v>0</v>
      </c>
      <c r="CB143" s="1124">
        <f>+Details!AI143-Base!AI143</f>
        <v>0</v>
      </c>
      <c r="CC143" s="1124">
        <f>+Details!AJ143-Base!AJ143</f>
        <v>0</v>
      </c>
      <c r="CD143" s="1124">
        <f>+Details!AK143-Base!AK143</f>
        <v>0</v>
      </c>
      <c r="CE143" s="1124">
        <f>+Details!AL143-Base!AL143</f>
        <v>0</v>
      </c>
      <c r="CF143" s="1124">
        <f>+Details!AM143-Base!AM143</f>
        <v>0</v>
      </c>
      <c r="CG143" s="1124">
        <f>+Details!AN143-Base!AN143</f>
        <v>0</v>
      </c>
      <c r="CH143" s="1124">
        <f>+Details!AO143-Base!AO143</f>
        <v>0</v>
      </c>
      <c r="CI143" s="1124">
        <f>+Details!AP143-Base!AP143</f>
        <v>0</v>
      </c>
      <c r="CJ143" s="1124">
        <f>+Details!AQ143-Base!AQ143</f>
        <v>0</v>
      </c>
      <c r="CK143" s="1124">
        <f>+Details!AR143-Base!AR143</f>
        <v>0</v>
      </c>
      <c r="CL143" s="1124">
        <f>+Details!AS143-Base!AS143</f>
        <v>0</v>
      </c>
      <c r="CM143" s="48"/>
    </row>
    <row r="144" spans="1:98">
      <c r="B144" s="633" t="s">
        <v>1879</v>
      </c>
      <c r="E144" s="29">
        <f>SUM(F144:AS144)</f>
        <v>3104300</v>
      </c>
      <c r="F144" s="354">
        <f>+F142+F143</f>
        <v>70000</v>
      </c>
      <c r="G144" s="1124">
        <f>+G142+G143</f>
        <v>71400</v>
      </c>
      <c r="H144" s="1124">
        <f t="shared" ref="H144:AS144" si="119">+H142+H143</f>
        <v>72800</v>
      </c>
      <c r="I144" s="1124">
        <f t="shared" si="119"/>
        <v>74300</v>
      </c>
      <c r="J144" s="1124">
        <f t="shared" si="119"/>
        <v>75800</v>
      </c>
      <c r="K144" s="1124">
        <f t="shared" si="119"/>
        <v>77300</v>
      </c>
      <c r="L144" s="1124">
        <f t="shared" si="119"/>
        <v>78800</v>
      </c>
      <c r="M144" s="1124">
        <f t="shared" si="119"/>
        <v>80400</v>
      </c>
      <c r="N144" s="1124">
        <f t="shared" si="119"/>
        <v>82000</v>
      </c>
      <c r="O144" s="1124">
        <f t="shared" si="119"/>
        <v>83600</v>
      </c>
      <c r="P144" s="1124">
        <f t="shared" si="119"/>
        <v>85300</v>
      </c>
      <c r="Q144" s="1124">
        <f t="shared" si="119"/>
        <v>87000</v>
      </c>
      <c r="R144" s="1124">
        <f t="shared" si="119"/>
        <v>88700</v>
      </c>
      <c r="S144" s="1124">
        <f t="shared" si="119"/>
        <v>90500</v>
      </c>
      <c r="T144" s="1124">
        <f t="shared" si="119"/>
        <v>92300</v>
      </c>
      <c r="U144" s="1124">
        <f t="shared" si="119"/>
        <v>94100</v>
      </c>
      <c r="V144" s="1124">
        <f t="shared" si="119"/>
        <v>96000</v>
      </c>
      <c r="W144" s="1124">
        <f t="shared" si="119"/>
        <v>97900</v>
      </c>
      <c r="X144" s="1124">
        <f t="shared" si="119"/>
        <v>119800</v>
      </c>
      <c r="Y144" s="1124">
        <f t="shared" si="119"/>
        <v>122200</v>
      </c>
      <c r="Z144" s="1124">
        <f t="shared" si="119"/>
        <v>124600</v>
      </c>
      <c r="AA144" s="1124">
        <f t="shared" si="119"/>
        <v>127100</v>
      </c>
      <c r="AB144" s="1124">
        <f t="shared" si="119"/>
        <v>129600</v>
      </c>
      <c r="AC144" s="1124">
        <f t="shared" si="119"/>
        <v>132200</v>
      </c>
      <c r="AD144" s="1124">
        <f t="shared" si="119"/>
        <v>134800</v>
      </c>
      <c r="AE144" s="1124">
        <f t="shared" si="119"/>
        <v>137500</v>
      </c>
      <c r="AF144" s="1124">
        <f t="shared" si="119"/>
        <v>140300</v>
      </c>
      <c r="AG144" s="1124">
        <f t="shared" si="119"/>
        <v>143100</v>
      </c>
      <c r="AH144" s="1124">
        <f t="shared" si="119"/>
        <v>146000</v>
      </c>
      <c r="AI144" s="1124">
        <f t="shared" si="119"/>
        <v>148900</v>
      </c>
      <c r="AJ144" s="1124">
        <f t="shared" si="119"/>
        <v>0</v>
      </c>
      <c r="AK144" s="1124">
        <f t="shared" si="119"/>
        <v>0</v>
      </c>
      <c r="AL144" s="1124">
        <f t="shared" si="119"/>
        <v>0</v>
      </c>
      <c r="AM144" s="1124">
        <f t="shared" si="119"/>
        <v>0</v>
      </c>
      <c r="AN144" s="1124">
        <f t="shared" si="119"/>
        <v>0</v>
      </c>
      <c r="AO144" s="1124">
        <f t="shared" si="119"/>
        <v>0</v>
      </c>
      <c r="AP144" s="1124">
        <f t="shared" si="119"/>
        <v>0</v>
      </c>
      <c r="AQ144" s="1124">
        <f t="shared" si="119"/>
        <v>0</v>
      </c>
      <c r="AR144" s="1124">
        <f t="shared" si="119"/>
        <v>0</v>
      </c>
      <c r="AS144" s="1124">
        <f t="shared" si="119"/>
        <v>0</v>
      </c>
      <c r="AT144" s="3"/>
      <c r="AU144" s="29">
        <f>+Details!E144</f>
        <v>3104300</v>
      </c>
      <c r="AV144" s="81">
        <f>+E144-AU144</f>
        <v>0</v>
      </c>
      <c r="AW144" s="102"/>
      <c r="AY144" s="31">
        <f>+Details!F144-Base!F144</f>
        <v>0</v>
      </c>
      <c r="AZ144" s="1124">
        <f>+Details!G144-Base!G144</f>
        <v>0</v>
      </c>
      <c r="BA144" s="1124">
        <f>+Details!H144-Base!H144</f>
        <v>0</v>
      </c>
      <c r="BB144" s="1124">
        <f>+Details!I144-Base!I144</f>
        <v>0</v>
      </c>
      <c r="BC144" s="1124">
        <f>+Details!J144-Base!J144</f>
        <v>0</v>
      </c>
      <c r="BD144" s="1124">
        <f>+Details!K144-Base!K144</f>
        <v>0</v>
      </c>
      <c r="BE144" s="1124">
        <f>+Details!L144-Base!L144</f>
        <v>0</v>
      </c>
      <c r="BF144" s="1124">
        <f>+Details!M144-Base!M144</f>
        <v>0</v>
      </c>
      <c r="BG144" s="1124">
        <f>+Details!N144-Base!N144</f>
        <v>0</v>
      </c>
      <c r="BH144" s="1124">
        <f>+Details!O144-Base!O144</f>
        <v>0</v>
      </c>
      <c r="BI144" s="1124">
        <f>+Details!P144-Base!P144</f>
        <v>0</v>
      </c>
      <c r="BJ144" s="1124">
        <f>+Details!Q144-Base!Q144</f>
        <v>0</v>
      </c>
      <c r="BK144" s="1124">
        <f>+Details!R144-Base!R144</f>
        <v>0</v>
      </c>
      <c r="BL144" s="1124">
        <f>+Details!S144-Base!S144</f>
        <v>0</v>
      </c>
      <c r="BM144" s="1124">
        <f>+Details!T144-Base!T144</f>
        <v>0</v>
      </c>
      <c r="BN144" s="1124">
        <f>+Details!U144-Base!U144</f>
        <v>0</v>
      </c>
      <c r="BO144" s="1124">
        <f>+Details!V144-Base!V144</f>
        <v>0</v>
      </c>
      <c r="BP144" s="1124">
        <f>+Details!W144-Base!W144</f>
        <v>0</v>
      </c>
      <c r="BQ144" s="1124">
        <f>+Details!X144-Base!X144</f>
        <v>0</v>
      </c>
      <c r="BR144" s="1124">
        <f>+Details!Y144-Base!Y144</f>
        <v>0</v>
      </c>
      <c r="BS144" s="1124">
        <f>+Details!Z144-Base!Z144</f>
        <v>0</v>
      </c>
      <c r="BT144" s="1124">
        <f>+Details!AA144-Base!AA144</f>
        <v>0</v>
      </c>
      <c r="BU144" s="1124">
        <f>+Details!AB144-Base!AB144</f>
        <v>0</v>
      </c>
      <c r="BV144" s="1124">
        <f>+Details!AC144-Base!AC144</f>
        <v>0</v>
      </c>
      <c r="BW144" s="1124">
        <f>+Details!AD144-Base!AD144</f>
        <v>0</v>
      </c>
      <c r="BX144" s="1124">
        <f>+Details!AE144-Base!AE144</f>
        <v>0</v>
      </c>
      <c r="BY144" s="1124">
        <f>+Details!AF144-Base!AF144</f>
        <v>0</v>
      </c>
      <c r="BZ144" s="1124">
        <f>+Details!AG144-Base!AG144</f>
        <v>0</v>
      </c>
      <c r="CA144" s="1124">
        <f>+Details!AH144-Base!AH144</f>
        <v>0</v>
      </c>
      <c r="CB144" s="1124">
        <f>+Details!AI144-Base!AI144</f>
        <v>0</v>
      </c>
      <c r="CC144" s="1124">
        <f>+Details!AJ144-Base!AJ144</f>
        <v>0</v>
      </c>
      <c r="CD144" s="1124">
        <f>+Details!AK144-Base!AK144</f>
        <v>0</v>
      </c>
      <c r="CE144" s="1124">
        <f>+Details!AL144-Base!AL144</f>
        <v>0</v>
      </c>
      <c r="CF144" s="1124">
        <f>+Details!AM144-Base!AM144</f>
        <v>0</v>
      </c>
      <c r="CG144" s="1124">
        <f>+Details!AN144-Base!AN144</f>
        <v>0</v>
      </c>
      <c r="CH144" s="1124">
        <f>+Details!AO144-Base!AO144</f>
        <v>0</v>
      </c>
      <c r="CI144" s="1124">
        <f>+Details!AP144-Base!AP144</f>
        <v>0</v>
      </c>
      <c r="CJ144" s="1124">
        <f>+Details!AQ144-Base!AQ144</f>
        <v>0</v>
      </c>
      <c r="CK144" s="1124">
        <f>+Details!AR144-Base!AR144</f>
        <v>0</v>
      </c>
      <c r="CL144" s="1124">
        <f>+Details!AS144-Base!AS144</f>
        <v>0</v>
      </c>
      <c r="CM144" s="81"/>
    </row>
    <row r="145" spans="1:91" ht="15.6">
      <c r="B145" s="72" t="s">
        <v>1688</v>
      </c>
      <c r="C145" s="36"/>
      <c r="D145" s="1371"/>
      <c r="E145" s="34">
        <f>SUM(F145:AS145)</f>
        <v>368300</v>
      </c>
      <c r="F145" s="34">
        <f>(F202+F227)</f>
        <v>5000</v>
      </c>
      <c r="G145" s="1125">
        <f>(G202+G227)</f>
        <v>7400</v>
      </c>
      <c r="H145" s="1125">
        <f t="shared" ref="H145:AS145" si="120">(H202+H227)</f>
        <v>5000</v>
      </c>
      <c r="I145" s="1125">
        <f t="shared" si="120"/>
        <v>5100</v>
      </c>
      <c r="J145" s="1125">
        <f t="shared" si="120"/>
        <v>5200</v>
      </c>
      <c r="K145" s="1125">
        <f t="shared" si="120"/>
        <v>7600</v>
      </c>
      <c r="L145" s="1125">
        <f t="shared" si="120"/>
        <v>7600</v>
      </c>
      <c r="M145" s="1125">
        <f t="shared" si="120"/>
        <v>9100</v>
      </c>
      <c r="N145" s="1125">
        <f t="shared" si="120"/>
        <v>4700</v>
      </c>
      <c r="O145" s="1125">
        <f t="shared" si="120"/>
        <v>4800</v>
      </c>
      <c r="P145" s="1125">
        <f t="shared" si="120"/>
        <v>4900</v>
      </c>
      <c r="Q145" s="1125">
        <f t="shared" si="120"/>
        <v>5300</v>
      </c>
      <c r="R145" s="1125">
        <f t="shared" si="120"/>
        <v>6800</v>
      </c>
      <c r="S145" s="1125">
        <f t="shared" si="120"/>
        <v>7300</v>
      </c>
      <c r="T145" s="1125">
        <f t="shared" si="120"/>
        <v>10700</v>
      </c>
      <c r="U145" s="1125">
        <f t="shared" si="120"/>
        <v>12600</v>
      </c>
      <c r="V145" s="1125">
        <f t="shared" si="120"/>
        <v>12300</v>
      </c>
      <c r="W145" s="1125">
        <f t="shared" si="120"/>
        <v>12700</v>
      </c>
      <c r="X145" s="1125">
        <f t="shared" si="120"/>
        <v>11700</v>
      </c>
      <c r="Y145" s="1125">
        <f t="shared" si="120"/>
        <v>11900</v>
      </c>
      <c r="Z145" s="1125">
        <f t="shared" si="120"/>
        <v>12400</v>
      </c>
      <c r="AA145" s="1125">
        <f t="shared" si="120"/>
        <v>13100</v>
      </c>
      <c r="AB145" s="1125">
        <f t="shared" si="120"/>
        <v>17900</v>
      </c>
      <c r="AC145" s="1125">
        <f t="shared" si="120"/>
        <v>19600</v>
      </c>
      <c r="AD145" s="1125">
        <f t="shared" si="120"/>
        <v>24500</v>
      </c>
      <c r="AE145" s="1125">
        <f t="shared" si="120"/>
        <v>25500</v>
      </c>
      <c r="AF145" s="1125">
        <f t="shared" si="120"/>
        <v>25900</v>
      </c>
      <c r="AG145" s="1125">
        <f t="shared" si="120"/>
        <v>23800</v>
      </c>
      <c r="AH145" s="1125">
        <f t="shared" si="120"/>
        <v>23700</v>
      </c>
      <c r="AI145" s="1125">
        <f t="shared" si="120"/>
        <v>24200</v>
      </c>
      <c r="AJ145" s="1125">
        <f t="shared" si="120"/>
        <v>0</v>
      </c>
      <c r="AK145" s="1125">
        <f t="shared" si="120"/>
        <v>0</v>
      </c>
      <c r="AL145" s="1125">
        <f t="shared" si="120"/>
        <v>0</v>
      </c>
      <c r="AM145" s="1125">
        <f t="shared" si="120"/>
        <v>0</v>
      </c>
      <c r="AN145" s="1125">
        <f t="shared" si="120"/>
        <v>0</v>
      </c>
      <c r="AO145" s="1125">
        <f t="shared" si="120"/>
        <v>0</v>
      </c>
      <c r="AP145" s="1125">
        <f t="shared" si="120"/>
        <v>0</v>
      </c>
      <c r="AQ145" s="1125">
        <f t="shared" si="120"/>
        <v>0</v>
      </c>
      <c r="AR145" s="1125">
        <f t="shared" si="120"/>
        <v>0</v>
      </c>
      <c r="AS145" s="1125">
        <f t="shared" si="120"/>
        <v>0</v>
      </c>
      <c r="AT145" s="89"/>
      <c r="AU145" s="34">
        <f>+Details!E145</f>
        <v>368300</v>
      </c>
      <c r="AV145" s="83">
        <f>+E145-AU145</f>
        <v>0</v>
      </c>
      <c r="AW145" s="102"/>
      <c r="AY145" s="38">
        <f>+Details!F145-Base!F145</f>
        <v>0</v>
      </c>
      <c r="AZ145" s="1125">
        <f>+Details!G145-Base!G145</f>
        <v>0</v>
      </c>
      <c r="BA145" s="1125">
        <f>+Details!H145-Base!H145</f>
        <v>0</v>
      </c>
      <c r="BB145" s="1125">
        <f>+Details!I145-Base!I145</f>
        <v>0</v>
      </c>
      <c r="BC145" s="1125">
        <f>+Details!J145-Base!J145</f>
        <v>0</v>
      </c>
      <c r="BD145" s="1125">
        <f>+Details!K145-Base!K145</f>
        <v>0</v>
      </c>
      <c r="BE145" s="1125">
        <f>+Details!L145-Base!L145</f>
        <v>0</v>
      </c>
      <c r="BF145" s="1125">
        <f>+Details!M145-Base!M145</f>
        <v>0</v>
      </c>
      <c r="BG145" s="1125">
        <f>+Details!N145-Base!N145</f>
        <v>0</v>
      </c>
      <c r="BH145" s="1125">
        <f>+Details!O145-Base!O145</f>
        <v>0</v>
      </c>
      <c r="BI145" s="1125">
        <f>+Details!P145-Base!P145</f>
        <v>0</v>
      </c>
      <c r="BJ145" s="1125">
        <f>+Details!Q145-Base!Q145</f>
        <v>0</v>
      </c>
      <c r="BK145" s="1125">
        <f>+Details!R145-Base!R145</f>
        <v>0</v>
      </c>
      <c r="BL145" s="1125">
        <f>+Details!S145-Base!S145</f>
        <v>0</v>
      </c>
      <c r="BM145" s="1125">
        <f>+Details!T145-Base!T145</f>
        <v>0</v>
      </c>
      <c r="BN145" s="1125">
        <f>+Details!U145-Base!U145</f>
        <v>0</v>
      </c>
      <c r="BO145" s="1125">
        <f>+Details!V145-Base!V145</f>
        <v>0</v>
      </c>
      <c r="BP145" s="1125">
        <f>+Details!W145-Base!W145</f>
        <v>0</v>
      </c>
      <c r="BQ145" s="1125">
        <f>+Details!X145-Base!X145</f>
        <v>0</v>
      </c>
      <c r="BR145" s="1125">
        <f>+Details!Y145-Base!Y145</f>
        <v>0</v>
      </c>
      <c r="BS145" s="1125">
        <f>+Details!Z145-Base!Z145</f>
        <v>0</v>
      </c>
      <c r="BT145" s="1125">
        <f>+Details!AA145-Base!AA145</f>
        <v>0</v>
      </c>
      <c r="BU145" s="1125">
        <f>+Details!AB145-Base!AB145</f>
        <v>0</v>
      </c>
      <c r="BV145" s="1125">
        <f>+Details!AC145-Base!AC145</f>
        <v>0</v>
      </c>
      <c r="BW145" s="1125">
        <f>+Details!AD145-Base!AD145</f>
        <v>0</v>
      </c>
      <c r="BX145" s="1125">
        <f>+Details!AE145-Base!AE145</f>
        <v>0</v>
      </c>
      <c r="BY145" s="1125">
        <f>+Details!AF145-Base!AF145</f>
        <v>0</v>
      </c>
      <c r="BZ145" s="1125">
        <f>+Details!AG145-Base!AG145</f>
        <v>0</v>
      </c>
      <c r="CA145" s="1125">
        <f>+Details!AH145-Base!AH145</f>
        <v>0</v>
      </c>
      <c r="CB145" s="1125">
        <f>+Details!AI145-Base!AI145</f>
        <v>0</v>
      </c>
      <c r="CC145" s="1125">
        <f>+Details!AJ145-Base!AJ145</f>
        <v>0</v>
      </c>
      <c r="CD145" s="1125">
        <f>+Details!AK145-Base!AK145</f>
        <v>0</v>
      </c>
      <c r="CE145" s="1125">
        <f>+Details!AL145-Base!AL145</f>
        <v>0</v>
      </c>
      <c r="CF145" s="1125">
        <f>+Details!AM145-Base!AM145</f>
        <v>0</v>
      </c>
      <c r="CG145" s="1125">
        <f>+Details!AN145-Base!AN145</f>
        <v>0</v>
      </c>
      <c r="CH145" s="1125">
        <f>+Details!AO145-Base!AO145</f>
        <v>0</v>
      </c>
      <c r="CI145" s="1125">
        <f>+Details!AP145-Base!AP145</f>
        <v>0</v>
      </c>
      <c r="CJ145" s="1125">
        <f>+Details!AQ145-Base!AQ145</f>
        <v>0</v>
      </c>
      <c r="CK145" s="1125">
        <f>+Details!AR145-Base!AR145</f>
        <v>0</v>
      </c>
      <c r="CL145" s="1125">
        <f>+Details!AS145-Base!AS145</f>
        <v>0</v>
      </c>
      <c r="CM145" s="103"/>
    </row>
    <row r="146" spans="1:91" ht="15.6">
      <c r="B146" s="28" t="s">
        <v>481</v>
      </c>
      <c r="C146" s="36"/>
      <c r="D146" s="1372">
        <f ca="1">INDIRECT(ADDRESS(ROW(),Total_Years+5))</f>
        <v>173100</v>
      </c>
      <c r="E146" s="102">
        <f>+E144+E145</f>
        <v>3472600</v>
      </c>
      <c r="F146" s="102">
        <f t="shared" ref="F146:AS146" si="121">+F144+F145</f>
        <v>75000</v>
      </c>
      <c r="G146" s="1124">
        <f t="shared" si="121"/>
        <v>78800</v>
      </c>
      <c r="H146" s="1124">
        <f t="shared" si="121"/>
        <v>77800</v>
      </c>
      <c r="I146" s="1124">
        <f t="shared" si="121"/>
        <v>79400</v>
      </c>
      <c r="J146" s="1124">
        <f t="shared" si="121"/>
        <v>81000</v>
      </c>
      <c r="K146" s="1124">
        <f t="shared" si="121"/>
        <v>84900</v>
      </c>
      <c r="L146" s="1124">
        <f t="shared" si="121"/>
        <v>86400</v>
      </c>
      <c r="M146" s="1124">
        <f t="shared" si="121"/>
        <v>89500</v>
      </c>
      <c r="N146" s="1124">
        <f t="shared" si="121"/>
        <v>86700</v>
      </c>
      <c r="O146" s="1124">
        <f t="shared" si="121"/>
        <v>88400</v>
      </c>
      <c r="P146" s="1124">
        <f t="shared" si="121"/>
        <v>90200</v>
      </c>
      <c r="Q146" s="1124">
        <f t="shared" si="121"/>
        <v>92300</v>
      </c>
      <c r="R146" s="1124">
        <f t="shared" si="121"/>
        <v>95500</v>
      </c>
      <c r="S146" s="1124">
        <f t="shared" si="121"/>
        <v>97800</v>
      </c>
      <c r="T146" s="1124">
        <f t="shared" si="121"/>
        <v>103000</v>
      </c>
      <c r="U146" s="1124">
        <f t="shared" si="121"/>
        <v>106700</v>
      </c>
      <c r="V146" s="1124">
        <f t="shared" si="121"/>
        <v>108300</v>
      </c>
      <c r="W146" s="1124">
        <f t="shared" si="121"/>
        <v>110600</v>
      </c>
      <c r="X146" s="1124">
        <f t="shared" si="121"/>
        <v>131500</v>
      </c>
      <c r="Y146" s="1124">
        <f t="shared" si="121"/>
        <v>134100</v>
      </c>
      <c r="Z146" s="1124">
        <f t="shared" si="121"/>
        <v>137000</v>
      </c>
      <c r="AA146" s="1124">
        <f t="shared" si="121"/>
        <v>140200</v>
      </c>
      <c r="AB146" s="1124">
        <f t="shared" si="121"/>
        <v>147500</v>
      </c>
      <c r="AC146" s="1124">
        <f t="shared" si="121"/>
        <v>151800</v>
      </c>
      <c r="AD146" s="1124">
        <f t="shared" si="121"/>
        <v>159300</v>
      </c>
      <c r="AE146" s="1124">
        <f t="shared" si="121"/>
        <v>163000</v>
      </c>
      <c r="AF146" s="1124">
        <f t="shared" si="121"/>
        <v>166200</v>
      </c>
      <c r="AG146" s="1124">
        <f t="shared" si="121"/>
        <v>166900</v>
      </c>
      <c r="AH146" s="1124">
        <f t="shared" si="121"/>
        <v>169700</v>
      </c>
      <c r="AI146" s="1124">
        <f t="shared" si="121"/>
        <v>173100</v>
      </c>
      <c r="AJ146" s="1124">
        <f t="shared" ref="AJ146:AR146" si="122">+AJ144+AJ145</f>
        <v>0</v>
      </c>
      <c r="AK146" s="1124">
        <f t="shared" si="122"/>
        <v>0</v>
      </c>
      <c r="AL146" s="1124">
        <f t="shared" si="122"/>
        <v>0</v>
      </c>
      <c r="AM146" s="1124">
        <f t="shared" si="122"/>
        <v>0</v>
      </c>
      <c r="AN146" s="1124">
        <f t="shared" si="122"/>
        <v>0</v>
      </c>
      <c r="AO146" s="1124">
        <f t="shared" si="122"/>
        <v>0</v>
      </c>
      <c r="AP146" s="1124">
        <f t="shared" si="122"/>
        <v>0</v>
      </c>
      <c r="AQ146" s="1124">
        <f t="shared" si="122"/>
        <v>0</v>
      </c>
      <c r="AR146" s="1124">
        <f t="shared" si="122"/>
        <v>0</v>
      </c>
      <c r="AS146" s="1124">
        <f t="shared" si="121"/>
        <v>0</v>
      </c>
      <c r="AT146" s="89"/>
      <c r="AU146" s="29">
        <f>+Details!E146</f>
        <v>3472600</v>
      </c>
      <c r="AV146" s="81">
        <f>+E146-AU146</f>
        <v>0</v>
      </c>
      <c r="AW146" s="102"/>
      <c r="AY146" s="31">
        <f>+Details!F146-Base!F146</f>
        <v>0</v>
      </c>
      <c r="AZ146" s="1124">
        <f>+Details!G146-Base!G146</f>
        <v>0</v>
      </c>
      <c r="BA146" s="1124">
        <f>+Details!H146-Base!H146</f>
        <v>0</v>
      </c>
      <c r="BB146" s="1124">
        <f>+Details!I146-Base!I146</f>
        <v>0</v>
      </c>
      <c r="BC146" s="1124">
        <f>+Details!J146-Base!J146</f>
        <v>0</v>
      </c>
      <c r="BD146" s="1124">
        <f>+Details!K146-Base!K146</f>
        <v>0</v>
      </c>
      <c r="BE146" s="1124">
        <f>+Details!L146-Base!L146</f>
        <v>0</v>
      </c>
      <c r="BF146" s="1124">
        <f>+Details!M146-Base!M146</f>
        <v>0</v>
      </c>
      <c r="BG146" s="1124">
        <f>+Details!N146-Base!N146</f>
        <v>0</v>
      </c>
      <c r="BH146" s="1124">
        <f>+Details!O146-Base!O146</f>
        <v>0</v>
      </c>
      <c r="BI146" s="1124">
        <f>+Details!P146-Base!P146</f>
        <v>0</v>
      </c>
      <c r="BJ146" s="1124">
        <f>+Details!Q146-Base!Q146</f>
        <v>0</v>
      </c>
      <c r="BK146" s="1124">
        <f>+Details!R146-Base!R146</f>
        <v>0</v>
      </c>
      <c r="BL146" s="1124">
        <f>+Details!S146-Base!S146</f>
        <v>0</v>
      </c>
      <c r="BM146" s="1124">
        <f>+Details!T146-Base!T146</f>
        <v>0</v>
      </c>
      <c r="BN146" s="1124">
        <f>+Details!U146-Base!U146</f>
        <v>0</v>
      </c>
      <c r="BO146" s="1124">
        <f>+Details!V146-Base!V146</f>
        <v>0</v>
      </c>
      <c r="BP146" s="1124">
        <f>+Details!W146-Base!W146</f>
        <v>0</v>
      </c>
      <c r="BQ146" s="1124">
        <f>+Details!X146-Base!X146</f>
        <v>0</v>
      </c>
      <c r="BR146" s="1124">
        <f>+Details!Y146-Base!Y146</f>
        <v>0</v>
      </c>
      <c r="BS146" s="1124">
        <f>+Details!Z146-Base!Z146</f>
        <v>0</v>
      </c>
      <c r="BT146" s="1124">
        <f>+Details!AA146-Base!AA146</f>
        <v>0</v>
      </c>
      <c r="BU146" s="1124">
        <f>+Details!AB146-Base!AB146</f>
        <v>0</v>
      </c>
      <c r="BV146" s="1124">
        <f>+Details!AC146-Base!AC146</f>
        <v>0</v>
      </c>
      <c r="BW146" s="1124">
        <f>+Details!AD146-Base!AD146</f>
        <v>0</v>
      </c>
      <c r="BX146" s="1124">
        <f>+Details!AE146-Base!AE146</f>
        <v>0</v>
      </c>
      <c r="BY146" s="1124">
        <f>+Details!AF146-Base!AF146</f>
        <v>0</v>
      </c>
      <c r="BZ146" s="1124">
        <f>+Details!AG146-Base!AG146</f>
        <v>0</v>
      </c>
      <c r="CA146" s="1124">
        <f>+Details!AH146-Base!AH146</f>
        <v>0</v>
      </c>
      <c r="CB146" s="1124">
        <f>+Details!AI146-Base!AI146</f>
        <v>0</v>
      </c>
      <c r="CC146" s="1124">
        <f>+Details!AJ146-Base!AJ146</f>
        <v>0</v>
      </c>
      <c r="CD146" s="1124">
        <f>+Details!AK146-Base!AK146</f>
        <v>0</v>
      </c>
      <c r="CE146" s="1124">
        <f>+Details!AL146-Base!AL146</f>
        <v>0</v>
      </c>
      <c r="CF146" s="1124">
        <f>+Details!AM146-Base!AM146</f>
        <v>0</v>
      </c>
      <c r="CG146" s="1124">
        <f>+Details!AN146-Base!AN146</f>
        <v>0</v>
      </c>
      <c r="CH146" s="1124">
        <f>+Details!AO146-Base!AO146</f>
        <v>0</v>
      </c>
      <c r="CI146" s="1124">
        <f>+Details!AP146-Base!AP146</f>
        <v>0</v>
      </c>
      <c r="CJ146" s="1124">
        <f>+Details!AQ146-Base!AQ146</f>
        <v>0</v>
      </c>
      <c r="CK146" s="1124">
        <f>+Details!AR146-Base!AR146</f>
        <v>0</v>
      </c>
      <c r="CL146" s="1124">
        <f>+Details!AS146-Base!AS146</f>
        <v>0</v>
      </c>
      <c r="CM146" s="81"/>
    </row>
    <row r="147" spans="1:91" ht="15.6">
      <c r="B147" s="72"/>
      <c r="C147" s="458"/>
      <c r="D147" s="10"/>
      <c r="E147" s="102"/>
      <c r="F147" s="845"/>
      <c r="G147" s="845"/>
      <c r="H147" s="845"/>
      <c r="I147" s="845"/>
      <c r="J147" s="845"/>
      <c r="K147" s="845"/>
      <c r="L147" s="845"/>
      <c r="M147" s="845"/>
      <c r="N147" s="845"/>
      <c r="O147" s="845"/>
      <c r="P147" s="845"/>
      <c r="Q147" s="845"/>
      <c r="R147" s="845"/>
      <c r="S147" s="845"/>
      <c r="T147" s="845"/>
      <c r="U147" s="845"/>
      <c r="V147" s="845"/>
      <c r="W147" s="845"/>
      <c r="X147" s="845"/>
      <c r="Y147" s="845"/>
      <c r="Z147" s="845"/>
      <c r="AA147" s="845"/>
      <c r="AB147" s="845"/>
      <c r="AC147" s="845"/>
      <c r="AD147" s="845"/>
      <c r="AE147" s="845"/>
      <c r="AF147" s="845"/>
      <c r="AG147" s="845"/>
      <c r="AH147" s="845"/>
      <c r="AI147" s="845"/>
      <c r="AJ147" s="845"/>
      <c r="AK147" s="845"/>
      <c r="AL147" s="845"/>
      <c r="AM147" s="845"/>
      <c r="AN147" s="845"/>
      <c r="AO147" s="845"/>
      <c r="AP147" s="102"/>
      <c r="AQ147" s="102"/>
      <c r="AR147" s="102"/>
      <c r="AS147" s="102"/>
      <c r="AT147" s="3"/>
      <c r="AU147" s="102"/>
      <c r="AV147" s="103"/>
      <c r="AW147" s="102"/>
      <c r="AZ147" s="845"/>
      <c r="BA147" s="845"/>
      <c r="BB147" s="845"/>
      <c r="BC147" s="845"/>
      <c r="BD147" s="845"/>
      <c r="BE147" s="845"/>
      <c r="BF147" s="845"/>
      <c r="BG147" s="845"/>
      <c r="BH147" s="845"/>
      <c r="BI147" s="845"/>
      <c r="BJ147" s="845"/>
      <c r="BK147" s="845"/>
      <c r="BL147" s="845"/>
      <c r="BM147" s="845"/>
      <c r="BN147" s="845"/>
      <c r="BO147" s="845"/>
      <c r="BP147" s="845"/>
      <c r="BQ147" s="845"/>
      <c r="BR147" s="845"/>
      <c r="BS147" s="845"/>
      <c r="BT147" s="845"/>
      <c r="BU147" s="845"/>
      <c r="BV147" s="845"/>
      <c r="BW147" s="845"/>
      <c r="BX147" s="845"/>
      <c r="BY147" s="845"/>
      <c r="BZ147" s="845"/>
      <c r="CA147" s="845"/>
      <c r="CB147" s="845"/>
      <c r="CC147" s="845"/>
      <c r="CD147" s="845"/>
      <c r="CE147" s="845"/>
      <c r="CF147" s="845"/>
      <c r="CG147" s="845"/>
      <c r="CH147" s="845"/>
      <c r="CI147" s="102"/>
      <c r="CJ147" s="102"/>
      <c r="CK147" s="102"/>
      <c r="CL147" s="102"/>
      <c r="CM147" s="103"/>
    </row>
    <row r="148" spans="1:91" ht="15.6">
      <c r="B148" s="426" t="s">
        <v>144</v>
      </c>
      <c r="C148" s="426"/>
      <c r="D148" s="426"/>
      <c r="E148" s="29">
        <f>SUM(F148:AS148)</f>
        <v>1338900</v>
      </c>
      <c r="F148" s="31">
        <f>+F139-F144-F145</f>
        <v>-12900</v>
      </c>
      <c r="G148" s="1124">
        <f>+G139-G144-G145</f>
        <v>-300</v>
      </c>
      <c r="H148" s="1124">
        <f t="shared" ref="H148:AS148" si="123">+H139-H144-H145</f>
        <v>-13000</v>
      </c>
      <c r="I148" s="1124">
        <f t="shared" si="123"/>
        <v>-13300</v>
      </c>
      <c r="J148" s="1124">
        <f t="shared" si="123"/>
        <v>-12200</v>
      </c>
      <c r="K148" s="1124">
        <f t="shared" si="123"/>
        <v>8100</v>
      </c>
      <c r="L148" s="1124">
        <f t="shared" si="123"/>
        <v>9700</v>
      </c>
      <c r="M148" s="1124">
        <f t="shared" si="123"/>
        <v>9800</v>
      </c>
      <c r="N148" s="1124">
        <f t="shared" si="123"/>
        <v>26900</v>
      </c>
      <c r="O148" s="1124">
        <f t="shared" si="123"/>
        <v>35300</v>
      </c>
      <c r="P148" s="1124">
        <f t="shared" si="123"/>
        <v>-43900</v>
      </c>
      <c r="Q148" s="1124">
        <f t="shared" si="123"/>
        <v>77900</v>
      </c>
      <c r="R148" s="1124">
        <f t="shared" si="123"/>
        <v>24600</v>
      </c>
      <c r="S148" s="1124">
        <f t="shared" si="123"/>
        <v>47800</v>
      </c>
      <c r="T148" s="1124">
        <f t="shared" si="123"/>
        <v>-43200</v>
      </c>
      <c r="U148" s="1124">
        <f t="shared" si="123"/>
        <v>123300</v>
      </c>
      <c r="V148" s="1124">
        <f t="shared" si="123"/>
        <v>56100</v>
      </c>
      <c r="W148" s="1124">
        <f t="shared" si="123"/>
        <v>60700</v>
      </c>
      <c r="X148" s="1124">
        <f t="shared" si="123"/>
        <v>33300</v>
      </c>
      <c r="Y148" s="1124">
        <f t="shared" si="123"/>
        <v>34800</v>
      </c>
      <c r="Z148" s="1124">
        <f t="shared" si="123"/>
        <v>37700</v>
      </c>
      <c r="AA148" s="1124">
        <f t="shared" si="123"/>
        <v>40800</v>
      </c>
      <c r="AB148" s="1124">
        <f t="shared" si="123"/>
        <v>448000</v>
      </c>
      <c r="AC148" s="1124">
        <f t="shared" si="123"/>
        <v>63500</v>
      </c>
      <c r="AD148" s="1124">
        <f t="shared" si="123"/>
        <v>138100</v>
      </c>
      <c r="AE148" s="1124">
        <f t="shared" si="123"/>
        <v>42300</v>
      </c>
      <c r="AF148" s="1124">
        <f t="shared" si="123"/>
        <v>43400</v>
      </c>
      <c r="AG148" s="1124">
        <f t="shared" si="123"/>
        <v>38200</v>
      </c>
      <c r="AH148" s="1124">
        <f t="shared" si="123"/>
        <v>38200</v>
      </c>
      <c r="AI148" s="1124">
        <f t="shared" si="123"/>
        <v>39200</v>
      </c>
      <c r="AJ148" s="1124">
        <f t="shared" si="123"/>
        <v>0</v>
      </c>
      <c r="AK148" s="1124">
        <f t="shared" si="123"/>
        <v>0</v>
      </c>
      <c r="AL148" s="1124">
        <f t="shared" si="123"/>
        <v>0</v>
      </c>
      <c r="AM148" s="1124">
        <f t="shared" si="123"/>
        <v>0</v>
      </c>
      <c r="AN148" s="1124">
        <f t="shared" si="123"/>
        <v>0</v>
      </c>
      <c r="AO148" s="1124">
        <f t="shared" si="123"/>
        <v>0</v>
      </c>
      <c r="AP148" s="1124">
        <f t="shared" si="123"/>
        <v>0</v>
      </c>
      <c r="AQ148" s="1124">
        <f t="shared" si="123"/>
        <v>0</v>
      </c>
      <c r="AR148" s="1124">
        <f t="shared" si="123"/>
        <v>0</v>
      </c>
      <c r="AS148" s="1124">
        <f t="shared" si="123"/>
        <v>0</v>
      </c>
      <c r="AT148" s="3"/>
      <c r="AU148" s="29">
        <f>+Details!E148</f>
        <v>1338900</v>
      </c>
      <c r="AV148" s="81">
        <f>+E148-AU148</f>
        <v>0</v>
      </c>
      <c r="AW148" s="102"/>
      <c r="AY148" s="31">
        <f>+Details!F148-Base!F148</f>
        <v>0</v>
      </c>
      <c r="AZ148" s="1124">
        <f>+Details!G148-Base!G148</f>
        <v>0</v>
      </c>
      <c r="BA148" s="1124">
        <f>+Details!H148-Base!H148</f>
        <v>0</v>
      </c>
      <c r="BB148" s="1124">
        <f>+Details!I148-Base!I148</f>
        <v>0</v>
      </c>
      <c r="BC148" s="1124">
        <f>+Details!J148-Base!J148</f>
        <v>0</v>
      </c>
      <c r="BD148" s="1124">
        <f>+Details!K148-Base!K148</f>
        <v>0</v>
      </c>
      <c r="BE148" s="1124">
        <f>+Details!L148-Base!L148</f>
        <v>0</v>
      </c>
      <c r="BF148" s="1124">
        <f>+Details!M148-Base!M148</f>
        <v>0</v>
      </c>
      <c r="BG148" s="1124">
        <f>+Details!N148-Base!N148</f>
        <v>0</v>
      </c>
      <c r="BH148" s="1124">
        <f>+Details!O148-Base!O148</f>
        <v>0</v>
      </c>
      <c r="BI148" s="1124">
        <f>+Details!P148-Base!P148</f>
        <v>0</v>
      </c>
      <c r="BJ148" s="1124">
        <f>+Details!Q148-Base!Q148</f>
        <v>0</v>
      </c>
      <c r="BK148" s="1124">
        <f>+Details!R148-Base!R148</f>
        <v>0</v>
      </c>
      <c r="BL148" s="1124">
        <f>+Details!S148-Base!S148</f>
        <v>0</v>
      </c>
      <c r="BM148" s="1124">
        <f>+Details!T148-Base!T148</f>
        <v>0</v>
      </c>
      <c r="BN148" s="1124">
        <f>+Details!U148-Base!U148</f>
        <v>0</v>
      </c>
      <c r="BO148" s="1124">
        <f>+Details!V148-Base!V148</f>
        <v>0</v>
      </c>
      <c r="BP148" s="1124">
        <f>+Details!W148-Base!W148</f>
        <v>0</v>
      </c>
      <c r="BQ148" s="1124">
        <f>+Details!X148-Base!X148</f>
        <v>0</v>
      </c>
      <c r="BR148" s="1124">
        <f>+Details!Y148-Base!Y148</f>
        <v>0</v>
      </c>
      <c r="BS148" s="1124">
        <f>+Details!Z148-Base!Z148</f>
        <v>0</v>
      </c>
      <c r="BT148" s="1124">
        <f>+Details!AA148-Base!AA148</f>
        <v>0</v>
      </c>
      <c r="BU148" s="1124">
        <f>+Details!AB148-Base!AB148</f>
        <v>0</v>
      </c>
      <c r="BV148" s="1124">
        <f>+Details!AC148-Base!AC148</f>
        <v>0</v>
      </c>
      <c r="BW148" s="1124">
        <f>+Details!AD148-Base!AD148</f>
        <v>0</v>
      </c>
      <c r="BX148" s="1124">
        <f>+Details!AE148-Base!AE148</f>
        <v>0</v>
      </c>
      <c r="BY148" s="1124">
        <f>+Details!AF148-Base!AF148</f>
        <v>0</v>
      </c>
      <c r="BZ148" s="1124">
        <f>+Details!AG148-Base!AG148</f>
        <v>0</v>
      </c>
      <c r="CA148" s="1124">
        <f>+Details!AH148-Base!AH148</f>
        <v>0</v>
      </c>
      <c r="CB148" s="1124">
        <f>+Details!AI148-Base!AI148</f>
        <v>0</v>
      </c>
      <c r="CC148" s="1124">
        <f>+Details!AJ148-Base!AJ148</f>
        <v>0</v>
      </c>
      <c r="CD148" s="1124">
        <f>+Details!AK148-Base!AK148</f>
        <v>0</v>
      </c>
      <c r="CE148" s="1124">
        <f>+Details!AL148-Base!AL148</f>
        <v>0</v>
      </c>
      <c r="CF148" s="1124">
        <f>+Details!AM148-Base!AM148</f>
        <v>0</v>
      </c>
      <c r="CG148" s="1124">
        <f>+Details!AN148-Base!AN148</f>
        <v>0</v>
      </c>
      <c r="CH148" s="1124">
        <f>+Details!AO148-Base!AO148</f>
        <v>0</v>
      </c>
      <c r="CI148" s="1124">
        <f>+Details!AP148-Base!AP148</f>
        <v>0</v>
      </c>
      <c r="CJ148" s="1124">
        <f>+Details!AQ148-Base!AQ148</f>
        <v>0</v>
      </c>
      <c r="CK148" s="1124">
        <f>+Details!AR148-Base!AR148</f>
        <v>0</v>
      </c>
      <c r="CL148" s="1124">
        <f>+Details!AS148-Base!AS148</f>
        <v>0</v>
      </c>
      <c r="CM148" s="81"/>
    </row>
    <row r="149" spans="1:91" ht="15.6">
      <c r="B149" s="28"/>
      <c r="C149" s="36"/>
      <c r="D149" s="32"/>
      <c r="E149" s="39"/>
      <c r="F149" s="31"/>
      <c r="G149" s="31"/>
      <c r="H149" s="31"/>
      <c r="I149" s="31"/>
      <c r="J149" s="31"/>
      <c r="K149" s="31"/>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c r="AI149" s="31"/>
      <c r="AJ149" s="31"/>
      <c r="AK149" s="31"/>
      <c r="AL149" s="31"/>
      <c r="AM149" s="31"/>
      <c r="AN149" s="31"/>
      <c r="AO149" s="31"/>
      <c r="AP149" s="31"/>
      <c r="AQ149" s="31"/>
      <c r="AR149" s="31"/>
      <c r="AS149" s="31"/>
      <c r="AT149" s="3"/>
      <c r="AU149" s="29"/>
      <c r="AV149" s="48"/>
      <c r="AW149" s="121"/>
      <c r="AZ149" s="31"/>
      <c r="BA149" s="31"/>
      <c r="BB149" s="31"/>
      <c r="BC149" s="31"/>
      <c r="BD149" s="31"/>
      <c r="BE149" s="31"/>
      <c r="BF149" s="31"/>
      <c r="BG149" s="31"/>
      <c r="BH149" s="31"/>
      <c r="BI149" s="31"/>
      <c r="BJ149" s="31"/>
      <c r="BK149" s="31"/>
      <c r="BL149" s="31"/>
      <c r="BM149" s="31"/>
      <c r="BN149" s="31"/>
      <c r="BO149" s="31"/>
      <c r="BP149" s="31"/>
      <c r="BQ149" s="31"/>
      <c r="BR149" s="31"/>
      <c r="BS149" s="31"/>
      <c r="BT149" s="31"/>
      <c r="BU149" s="31"/>
      <c r="BV149" s="31"/>
      <c r="BW149" s="31"/>
      <c r="BX149" s="31"/>
      <c r="BY149" s="31"/>
      <c r="BZ149" s="31"/>
      <c r="CA149" s="31"/>
      <c r="CB149" s="31"/>
      <c r="CC149" s="31"/>
      <c r="CD149" s="31"/>
      <c r="CE149" s="31"/>
      <c r="CF149" s="31"/>
      <c r="CG149" s="31"/>
      <c r="CH149" s="31"/>
      <c r="CI149" s="31"/>
      <c r="CJ149" s="31"/>
      <c r="CK149" s="31"/>
      <c r="CL149" s="31"/>
      <c r="CM149" s="48"/>
    </row>
    <row r="150" spans="1:91" ht="15.6">
      <c r="B150" s="25" t="s">
        <v>1287</v>
      </c>
      <c r="C150" s="32"/>
      <c r="D150" s="32"/>
      <c r="E150" s="39"/>
      <c r="F150" s="31"/>
      <c r="G150" s="31"/>
      <c r="H150" s="31"/>
      <c r="I150" s="31"/>
      <c r="J150" s="31"/>
      <c r="K150" s="31"/>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c r="AI150" s="31"/>
      <c r="AJ150" s="31"/>
      <c r="AK150" s="31"/>
      <c r="AL150" s="31"/>
      <c r="AM150" s="31"/>
      <c r="AN150" s="31"/>
      <c r="AO150" s="31"/>
      <c r="AP150" s="31"/>
      <c r="AQ150" s="31"/>
      <c r="AR150" s="31"/>
      <c r="AS150" s="31"/>
      <c r="AT150" s="3"/>
      <c r="AU150" s="29"/>
      <c r="AV150" s="48"/>
      <c r="AW150" s="121"/>
      <c r="AZ150" s="31"/>
      <c r="BA150" s="31"/>
      <c r="BB150" s="31"/>
      <c r="BC150" s="31"/>
      <c r="BD150" s="31"/>
      <c r="BE150" s="31"/>
      <c r="BF150" s="31"/>
      <c r="BG150" s="31"/>
      <c r="BH150" s="31"/>
      <c r="BI150" s="31"/>
      <c r="BJ150" s="31"/>
      <c r="BK150" s="31"/>
      <c r="BL150" s="31"/>
      <c r="BM150" s="31"/>
      <c r="BN150" s="31"/>
      <c r="BO150" s="31"/>
      <c r="BP150" s="31"/>
      <c r="BQ150" s="31"/>
      <c r="BR150" s="31"/>
      <c r="BS150" s="31"/>
      <c r="BT150" s="31"/>
      <c r="BU150" s="31"/>
      <c r="BV150" s="31"/>
      <c r="BW150" s="31"/>
      <c r="BX150" s="31"/>
      <c r="BY150" s="31"/>
      <c r="BZ150" s="31"/>
      <c r="CA150" s="31"/>
      <c r="CB150" s="31"/>
      <c r="CC150" s="31"/>
      <c r="CD150" s="31"/>
      <c r="CE150" s="31"/>
      <c r="CF150" s="31"/>
      <c r="CG150" s="31"/>
      <c r="CH150" s="31"/>
      <c r="CI150" s="31"/>
      <c r="CJ150" s="31"/>
      <c r="CK150" s="31"/>
      <c r="CL150" s="31"/>
      <c r="CM150" s="48"/>
    </row>
    <row r="151" spans="1:91" hidden="1">
      <c r="A151" s="1427" t="s">
        <v>1578</v>
      </c>
      <c r="B151" s="418" t="s">
        <v>1810</v>
      </c>
      <c r="C151" s="420"/>
      <c r="D151" s="207"/>
      <c r="E151" s="29">
        <f>SUM(F151:AS151)</f>
        <v>1516900</v>
      </c>
      <c r="F151" s="31">
        <f t="shared" ref="F151:AS151" si="124">+F61</f>
        <v>0</v>
      </c>
      <c r="G151" s="1124">
        <f t="shared" si="124"/>
        <v>0</v>
      </c>
      <c r="H151" s="1124">
        <f t="shared" si="124"/>
        <v>0</v>
      </c>
      <c r="I151" s="1124">
        <f t="shared" si="124"/>
        <v>0</v>
      </c>
      <c r="J151" s="1124">
        <f t="shared" si="124"/>
        <v>0</v>
      </c>
      <c r="K151" s="1124">
        <f t="shared" si="124"/>
        <v>22100</v>
      </c>
      <c r="L151" s="1124">
        <f t="shared" si="124"/>
        <v>22500</v>
      </c>
      <c r="M151" s="1124">
        <f t="shared" si="124"/>
        <v>23000</v>
      </c>
      <c r="N151" s="1124">
        <f t="shared" si="124"/>
        <v>69900</v>
      </c>
      <c r="O151" s="1124">
        <f t="shared" si="124"/>
        <v>71300</v>
      </c>
      <c r="P151" s="1124">
        <f t="shared" si="124"/>
        <v>72700</v>
      </c>
      <c r="Q151" s="1124">
        <f t="shared" si="124"/>
        <v>74200</v>
      </c>
      <c r="R151" s="1124">
        <f t="shared" si="124"/>
        <v>75700</v>
      </c>
      <c r="S151" s="1124">
        <f t="shared" si="124"/>
        <v>77200</v>
      </c>
      <c r="T151" s="1124">
        <f t="shared" si="124"/>
        <v>78700</v>
      </c>
      <c r="U151" s="1124">
        <f t="shared" si="124"/>
        <v>80200</v>
      </c>
      <c r="V151" s="1124">
        <f t="shared" si="124"/>
        <v>63000</v>
      </c>
      <c r="W151" s="1124">
        <f t="shared" si="124"/>
        <v>64200</v>
      </c>
      <c r="X151" s="1124">
        <f t="shared" si="124"/>
        <v>65500</v>
      </c>
      <c r="Y151" s="1124">
        <f t="shared" si="124"/>
        <v>66800</v>
      </c>
      <c r="Z151" s="1124">
        <f t="shared" si="124"/>
        <v>68100</v>
      </c>
      <c r="AA151" s="1124">
        <f t="shared" si="124"/>
        <v>69500</v>
      </c>
      <c r="AB151" s="1124">
        <f t="shared" si="124"/>
        <v>70900</v>
      </c>
      <c r="AC151" s="1124">
        <f t="shared" si="124"/>
        <v>72300</v>
      </c>
      <c r="AD151" s="1124">
        <f t="shared" si="124"/>
        <v>49000</v>
      </c>
      <c r="AE151" s="1124">
        <f t="shared" si="124"/>
        <v>50000</v>
      </c>
      <c r="AF151" s="1124">
        <f t="shared" si="124"/>
        <v>51000</v>
      </c>
      <c r="AG151" s="1124">
        <f t="shared" si="124"/>
        <v>52000</v>
      </c>
      <c r="AH151" s="1124">
        <f t="shared" si="124"/>
        <v>53000</v>
      </c>
      <c r="AI151" s="1124">
        <f t="shared" si="124"/>
        <v>54100</v>
      </c>
      <c r="AJ151" s="1124">
        <f t="shared" si="124"/>
        <v>0</v>
      </c>
      <c r="AK151" s="1124">
        <f t="shared" si="124"/>
        <v>0</v>
      </c>
      <c r="AL151" s="1124">
        <f t="shared" si="124"/>
        <v>0</v>
      </c>
      <c r="AM151" s="1124">
        <f t="shared" si="124"/>
        <v>0</v>
      </c>
      <c r="AN151" s="1124">
        <f t="shared" si="124"/>
        <v>0</v>
      </c>
      <c r="AO151" s="1124">
        <f t="shared" si="124"/>
        <v>0</v>
      </c>
      <c r="AP151" s="1124">
        <f t="shared" si="124"/>
        <v>0</v>
      </c>
      <c r="AQ151" s="1124">
        <f t="shared" si="124"/>
        <v>0</v>
      </c>
      <c r="AR151" s="1124">
        <f t="shared" si="124"/>
        <v>0</v>
      </c>
      <c r="AS151" s="1124">
        <f t="shared" si="124"/>
        <v>0</v>
      </c>
      <c r="AT151" s="3"/>
      <c r="AU151" s="29">
        <f>+Details!E151</f>
        <v>1516900</v>
      </c>
      <c r="AV151" s="81">
        <f t="shared" ref="AV151:AV158" si="125">+E151-AU151</f>
        <v>0</v>
      </c>
      <c r="AW151" s="102"/>
      <c r="AY151" s="31">
        <f>+Details!F151-Base!F151</f>
        <v>0</v>
      </c>
      <c r="AZ151" s="1124">
        <f>+Details!G151-Base!G151</f>
        <v>0</v>
      </c>
      <c r="BA151" s="1124">
        <f>+Details!H151-Base!H151</f>
        <v>0</v>
      </c>
      <c r="BB151" s="1124">
        <f>+Details!I151-Base!I151</f>
        <v>0</v>
      </c>
      <c r="BC151" s="1124">
        <f>+Details!J151-Base!J151</f>
        <v>0</v>
      </c>
      <c r="BD151" s="1124">
        <f>+Details!K151-Base!K151</f>
        <v>0</v>
      </c>
      <c r="BE151" s="1124">
        <f>+Details!L151-Base!L151</f>
        <v>0</v>
      </c>
      <c r="BF151" s="1124">
        <f>+Details!M151-Base!M151</f>
        <v>0</v>
      </c>
      <c r="BG151" s="1124">
        <f>+Details!N151-Base!N151</f>
        <v>0</v>
      </c>
      <c r="BH151" s="1124">
        <f>+Details!O151-Base!O151</f>
        <v>0</v>
      </c>
      <c r="BI151" s="1124">
        <f>+Details!P151-Base!P151</f>
        <v>0</v>
      </c>
      <c r="BJ151" s="1124">
        <f>+Details!Q151-Base!Q151</f>
        <v>0</v>
      </c>
      <c r="BK151" s="1124">
        <f>+Details!R151-Base!R151</f>
        <v>0</v>
      </c>
      <c r="BL151" s="1124">
        <f>+Details!S151-Base!S151</f>
        <v>0</v>
      </c>
      <c r="BM151" s="1124">
        <f>+Details!T151-Base!T151</f>
        <v>0</v>
      </c>
      <c r="BN151" s="1124">
        <f>+Details!U151-Base!U151</f>
        <v>0</v>
      </c>
      <c r="BO151" s="1124">
        <f>+Details!V151-Base!V151</f>
        <v>0</v>
      </c>
      <c r="BP151" s="1124">
        <f>+Details!W151-Base!W151</f>
        <v>0</v>
      </c>
      <c r="BQ151" s="1124">
        <f>+Details!X151-Base!X151</f>
        <v>0</v>
      </c>
      <c r="BR151" s="1124">
        <f>+Details!Y151-Base!Y151</f>
        <v>0</v>
      </c>
      <c r="BS151" s="1124">
        <f>+Details!Z151-Base!Z151</f>
        <v>0</v>
      </c>
      <c r="BT151" s="1124">
        <f>+Details!AA151-Base!AA151</f>
        <v>0</v>
      </c>
      <c r="BU151" s="1124">
        <f>+Details!AB151-Base!AB151</f>
        <v>0</v>
      </c>
      <c r="BV151" s="1124">
        <f>+Details!AC151-Base!AC151</f>
        <v>0</v>
      </c>
      <c r="BW151" s="1124">
        <f>+Details!AD151-Base!AD151</f>
        <v>0</v>
      </c>
      <c r="BX151" s="1124">
        <f>+Details!AE151-Base!AE151</f>
        <v>0</v>
      </c>
      <c r="BY151" s="1124">
        <f>+Details!AF151-Base!AF151</f>
        <v>0</v>
      </c>
      <c r="BZ151" s="1124">
        <f>+Details!AG151-Base!AG151</f>
        <v>0</v>
      </c>
      <c r="CA151" s="1124">
        <f>+Details!AH151-Base!AH151</f>
        <v>0</v>
      </c>
      <c r="CB151" s="1124">
        <f>+Details!AI151-Base!AI151</f>
        <v>0</v>
      </c>
      <c r="CC151" s="1124">
        <f>+Details!AJ151-Base!AJ151</f>
        <v>0</v>
      </c>
      <c r="CD151" s="1124">
        <f>+Details!AK151-Base!AK151</f>
        <v>0</v>
      </c>
      <c r="CE151" s="1124">
        <f>+Details!AL151-Base!AL151</f>
        <v>0</v>
      </c>
      <c r="CF151" s="1124">
        <f>+Details!AM151-Base!AM151</f>
        <v>0</v>
      </c>
      <c r="CG151" s="1124">
        <f>+Details!AN151-Base!AN151</f>
        <v>0</v>
      </c>
      <c r="CH151" s="1124">
        <f>+Details!AO151-Base!AO151</f>
        <v>0</v>
      </c>
      <c r="CI151" s="1124">
        <f>+Details!AP151-Base!AP151</f>
        <v>0</v>
      </c>
      <c r="CJ151" s="1124">
        <f>+Details!AQ151-Base!AQ151</f>
        <v>0</v>
      </c>
      <c r="CK151" s="1124">
        <f>+Details!AR151-Base!AR151</f>
        <v>0</v>
      </c>
      <c r="CL151" s="1124">
        <f>+Details!AS151-Base!AS151</f>
        <v>0</v>
      </c>
      <c r="CM151" s="81"/>
    </row>
    <row r="152" spans="1:91" hidden="1">
      <c r="A152" s="1427" t="s">
        <v>1578</v>
      </c>
      <c r="B152" s="419" t="s">
        <v>1112</v>
      </c>
      <c r="C152" s="420"/>
      <c r="E152" s="29">
        <f>SUM(F152:AS152)</f>
        <v>759100</v>
      </c>
      <c r="F152" s="31">
        <f t="shared" ref="F152:AS152" si="126">ROUND(+F151*0.5/Round_To,0)*Round_To</f>
        <v>0</v>
      </c>
      <c r="G152" s="1124">
        <f t="shared" si="126"/>
        <v>0</v>
      </c>
      <c r="H152" s="1124">
        <f t="shared" si="126"/>
        <v>0</v>
      </c>
      <c r="I152" s="1124">
        <f t="shared" si="126"/>
        <v>0</v>
      </c>
      <c r="J152" s="1124">
        <f t="shared" si="126"/>
        <v>0</v>
      </c>
      <c r="K152" s="1124">
        <f t="shared" si="126"/>
        <v>11100</v>
      </c>
      <c r="L152" s="1124">
        <f t="shared" si="126"/>
        <v>11300</v>
      </c>
      <c r="M152" s="1124">
        <f t="shared" si="126"/>
        <v>11500</v>
      </c>
      <c r="N152" s="1124">
        <f t="shared" si="126"/>
        <v>35000</v>
      </c>
      <c r="O152" s="1124">
        <f t="shared" si="126"/>
        <v>35700</v>
      </c>
      <c r="P152" s="1124">
        <f t="shared" si="126"/>
        <v>36400</v>
      </c>
      <c r="Q152" s="1124">
        <f t="shared" si="126"/>
        <v>37100</v>
      </c>
      <c r="R152" s="1124">
        <f t="shared" si="126"/>
        <v>37900</v>
      </c>
      <c r="S152" s="1124">
        <f t="shared" si="126"/>
        <v>38600</v>
      </c>
      <c r="T152" s="1124">
        <f t="shared" si="126"/>
        <v>39400</v>
      </c>
      <c r="U152" s="1124">
        <f t="shared" si="126"/>
        <v>40100</v>
      </c>
      <c r="V152" s="1124">
        <f t="shared" si="126"/>
        <v>31500</v>
      </c>
      <c r="W152" s="1124">
        <f t="shared" si="126"/>
        <v>32100</v>
      </c>
      <c r="X152" s="1124">
        <f t="shared" si="126"/>
        <v>32800</v>
      </c>
      <c r="Y152" s="1124">
        <f t="shared" si="126"/>
        <v>33400</v>
      </c>
      <c r="Z152" s="1124">
        <f t="shared" si="126"/>
        <v>34100</v>
      </c>
      <c r="AA152" s="1124">
        <f t="shared" si="126"/>
        <v>34800</v>
      </c>
      <c r="AB152" s="1124">
        <f t="shared" si="126"/>
        <v>35500</v>
      </c>
      <c r="AC152" s="1124">
        <f t="shared" si="126"/>
        <v>36200</v>
      </c>
      <c r="AD152" s="1124">
        <f t="shared" si="126"/>
        <v>24500</v>
      </c>
      <c r="AE152" s="1124">
        <f t="shared" si="126"/>
        <v>25000</v>
      </c>
      <c r="AF152" s="1124">
        <f t="shared" si="126"/>
        <v>25500</v>
      </c>
      <c r="AG152" s="1124">
        <f t="shared" si="126"/>
        <v>26000</v>
      </c>
      <c r="AH152" s="1124">
        <f t="shared" si="126"/>
        <v>26500</v>
      </c>
      <c r="AI152" s="1124">
        <f t="shared" si="126"/>
        <v>27100</v>
      </c>
      <c r="AJ152" s="1124">
        <f t="shared" si="126"/>
        <v>0</v>
      </c>
      <c r="AK152" s="1124">
        <f t="shared" si="126"/>
        <v>0</v>
      </c>
      <c r="AL152" s="1124">
        <f t="shared" si="126"/>
        <v>0</v>
      </c>
      <c r="AM152" s="1124">
        <f t="shared" si="126"/>
        <v>0</v>
      </c>
      <c r="AN152" s="1124">
        <f t="shared" si="126"/>
        <v>0</v>
      </c>
      <c r="AO152" s="1124">
        <f t="shared" si="126"/>
        <v>0</v>
      </c>
      <c r="AP152" s="1124">
        <f t="shared" si="126"/>
        <v>0</v>
      </c>
      <c r="AQ152" s="1124">
        <f t="shared" si="126"/>
        <v>0</v>
      </c>
      <c r="AR152" s="1124">
        <f t="shared" si="126"/>
        <v>0</v>
      </c>
      <c r="AS152" s="1124">
        <f t="shared" si="126"/>
        <v>0</v>
      </c>
      <c r="AT152" s="3"/>
      <c r="AU152" s="29">
        <f>+Details!E152</f>
        <v>759100</v>
      </c>
      <c r="AV152" s="81">
        <f t="shared" si="125"/>
        <v>0</v>
      </c>
      <c r="AW152" s="102"/>
      <c r="AY152" s="31">
        <f>+Details!F152-Base!F152</f>
        <v>0</v>
      </c>
      <c r="AZ152" s="1124">
        <f>+Details!G152-Base!G152</f>
        <v>0</v>
      </c>
      <c r="BA152" s="1124">
        <f>+Details!H152-Base!H152</f>
        <v>0</v>
      </c>
      <c r="BB152" s="1124">
        <f>+Details!I152-Base!I152</f>
        <v>0</v>
      </c>
      <c r="BC152" s="1124">
        <f>+Details!J152-Base!J152</f>
        <v>0</v>
      </c>
      <c r="BD152" s="1124">
        <f>+Details!K152-Base!K152</f>
        <v>0</v>
      </c>
      <c r="BE152" s="1124">
        <f>+Details!L152-Base!L152</f>
        <v>0</v>
      </c>
      <c r="BF152" s="1124">
        <f>+Details!M152-Base!M152</f>
        <v>0</v>
      </c>
      <c r="BG152" s="1124">
        <f>+Details!N152-Base!N152</f>
        <v>0</v>
      </c>
      <c r="BH152" s="1124">
        <f>+Details!O152-Base!O152</f>
        <v>0</v>
      </c>
      <c r="BI152" s="1124">
        <f>+Details!P152-Base!P152</f>
        <v>0</v>
      </c>
      <c r="BJ152" s="1124">
        <f>+Details!Q152-Base!Q152</f>
        <v>0</v>
      </c>
      <c r="BK152" s="1124">
        <f>+Details!R152-Base!R152</f>
        <v>0</v>
      </c>
      <c r="BL152" s="1124">
        <f>+Details!S152-Base!S152</f>
        <v>0</v>
      </c>
      <c r="BM152" s="1124">
        <f>+Details!T152-Base!T152</f>
        <v>0</v>
      </c>
      <c r="BN152" s="1124">
        <f>+Details!U152-Base!U152</f>
        <v>0</v>
      </c>
      <c r="BO152" s="1124">
        <f>+Details!V152-Base!V152</f>
        <v>0</v>
      </c>
      <c r="BP152" s="1124">
        <f>+Details!W152-Base!W152</f>
        <v>0</v>
      </c>
      <c r="BQ152" s="1124">
        <f>+Details!X152-Base!X152</f>
        <v>0</v>
      </c>
      <c r="BR152" s="1124">
        <f>+Details!Y152-Base!Y152</f>
        <v>0</v>
      </c>
      <c r="BS152" s="1124">
        <f>+Details!Z152-Base!Z152</f>
        <v>0</v>
      </c>
      <c r="BT152" s="1124">
        <f>+Details!AA152-Base!AA152</f>
        <v>0</v>
      </c>
      <c r="BU152" s="1124">
        <f>+Details!AB152-Base!AB152</f>
        <v>0</v>
      </c>
      <c r="BV152" s="1124">
        <f>+Details!AC152-Base!AC152</f>
        <v>0</v>
      </c>
      <c r="BW152" s="1124">
        <f>+Details!AD152-Base!AD152</f>
        <v>0</v>
      </c>
      <c r="BX152" s="1124">
        <f>+Details!AE152-Base!AE152</f>
        <v>0</v>
      </c>
      <c r="BY152" s="1124">
        <f>+Details!AF152-Base!AF152</f>
        <v>0</v>
      </c>
      <c r="BZ152" s="1124">
        <f>+Details!AG152-Base!AG152</f>
        <v>0</v>
      </c>
      <c r="CA152" s="1124">
        <f>+Details!AH152-Base!AH152</f>
        <v>0</v>
      </c>
      <c r="CB152" s="1124">
        <f>+Details!AI152-Base!AI152</f>
        <v>0</v>
      </c>
      <c r="CC152" s="1124">
        <f>+Details!AJ152-Base!AJ152</f>
        <v>0</v>
      </c>
      <c r="CD152" s="1124">
        <f>+Details!AK152-Base!AK152</f>
        <v>0</v>
      </c>
      <c r="CE152" s="1124">
        <f>+Details!AL152-Base!AL152</f>
        <v>0</v>
      </c>
      <c r="CF152" s="1124">
        <f>+Details!AM152-Base!AM152</f>
        <v>0</v>
      </c>
      <c r="CG152" s="1124">
        <f>+Details!AN152-Base!AN152</f>
        <v>0</v>
      </c>
      <c r="CH152" s="1124">
        <f>+Details!AO152-Base!AO152</f>
        <v>0</v>
      </c>
      <c r="CI152" s="1124">
        <f>+Details!AP152-Base!AP152</f>
        <v>0</v>
      </c>
      <c r="CJ152" s="1124">
        <f>+Details!AQ152-Base!AQ152</f>
        <v>0</v>
      </c>
      <c r="CK152" s="1124">
        <f>+Details!AR152-Base!AR152</f>
        <v>0</v>
      </c>
      <c r="CL152" s="1124">
        <f>+Details!AS152-Base!AS152</f>
        <v>0</v>
      </c>
      <c r="CM152" s="81"/>
    </row>
    <row r="153" spans="1:91" hidden="1">
      <c r="A153" s="1427" t="s">
        <v>1578</v>
      </c>
      <c r="B153" s="1764" t="s">
        <v>1882</v>
      </c>
      <c r="C153" s="1008"/>
      <c r="D153" s="420"/>
      <c r="E153" s="29">
        <f>SUM(F153:AS153)</f>
        <v>2549300</v>
      </c>
      <c r="F153" s="31">
        <f>+F182-F170</f>
        <v>65600</v>
      </c>
      <c r="G153" s="1124">
        <f>+G182-G170</f>
        <v>82200</v>
      </c>
      <c r="H153" s="1124">
        <f t="shared" ref="H153:AS153" si="127">+H182-H170</f>
        <v>68800</v>
      </c>
      <c r="I153" s="1124">
        <f t="shared" si="127"/>
        <v>70400</v>
      </c>
      <c r="J153" s="1124">
        <f t="shared" si="127"/>
        <v>72100</v>
      </c>
      <c r="K153" s="1124">
        <f t="shared" si="127"/>
        <v>74200</v>
      </c>
      <c r="L153" s="1124">
        <f t="shared" si="127"/>
        <v>76700</v>
      </c>
      <c r="M153" s="1124">
        <f t="shared" si="127"/>
        <v>79200</v>
      </c>
      <c r="N153" s="1124">
        <f t="shared" si="127"/>
        <v>41200</v>
      </c>
      <c r="O153" s="1124">
        <f t="shared" si="127"/>
        <v>42300</v>
      </c>
      <c r="P153" s="1124">
        <f t="shared" si="127"/>
        <v>43000</v>
      </c>
      <c r="Q153" s="1124">
        <f t="shared" si="127"/>
        <v>44500</v>
      </c>
      <c r="R153" s="1124">
        <f t="shared" si="127"/>
        <v>51100</v>
      </c>
      <c r="S153" s="1124">
        <f t="shared" si="127"/>
        <v>53600</v>
      </c>
      <c r="T153" s="1124">
        <f t="shared" si="127"/>
        <v>67600</v>
      </c>
      <c r="U153" s="1124">
        <f t="shared" si="127"/>
        <v>75400</v>
      </c>
      <c r="V153" s="1124">
        <f t="shared" si="127"/>
        <v>85200</v>
      </c>
      <c r="W153" s="1124">
        <f t="shared" si="127"/>
        <v>89700</v>
      </c>
      <c r="X153" s="1124">
        <f t="shared" si="127"/>
        <v>84800</v>
      </c>
      <c r="Y153" s="1124">
        <f t="shared" si="127"/>
        <v>87200</v>
      </c>
      <c r="Z153" s="1124">
        <f t="shared" si="127"/>
        <v>91300</v>
      </c>
      <c r="AA153" s="1124">
        <f t="shared" si="127"/>
        <v>95700</v>
      </c>
      <c r="AB153" s="1124">
        <f t="shared" si="127"/>
        <v>105200</v>
      </c>
      <c r="AC153" s="1124">
        <f t="shared" si="127"/>
        <v>121300</v>
      </c>
      <c r="AD153" s="1124">
        <f t="shared" si="127"/>
        <v>125300</v>
      </c>
      <c r="AE153" s="1124">
        <f t="shared" si="127"/>
        <v>131400</v>
      </c>
      <c r="AF153" s="1124">
        <f t="shared" si="127"/>
        <v>134200</v>
      </c>
      <c r="AG153" s="1124">
        <f t="shared" si="127"/>
        <v>128200</v>
      </c>
      <c r="AH153" s="1124">
        <f t="shared" si="127"/>
        <v>129500</v>
      </c>
      <c r="AI153" s="1124">
        <f t="shared" si="127"/>
        <v>132400</v>
      </c>
      <c r="AJ153" s="1124">
        <f t="shared" si="127"/>
        <v>0</v>
      </c>
      <c r="AK153" s="1124">
        <f t="shared" si="127"/>
        <v>0</v>
      </c>
      <c r="AL153" s="1124">
        <f t="shared" si="127"/>
        <v>0</v>
      </c>
      <c r="AM153" s="1124">
        <f t="shared" si="127"/>
        <v>0</v>
      </c>
      <c r="AN153" s="1124">
        <f t="shared" si="127"/>
        <v>0</v>
      </c>
      <c r="AO153" s="1124">
        <f t="shared" si="127"/>
        <v>0</v>
      </c>
      <c r="AP153" s="1124">
        <f t="shared" si="127"/>
        <v>0</v>
      </c>
      <c r="AQ153" s="1124">
        <f t="shared" si="127"/>
        <v>0</v>
      </c>
      <c r="AR153" s="1124">
        <f t="shared" si="127"/>
        <v>0</v>
      </c>
      <c r="AS153" s="1124">
        <f t="shared" si="127"/>
        <v>0</v>
      </c>
      <c r="AT153" s="3"/>
      <c r="AU153" s="29">
        <f>+Details!E153</f>
        <v>2549300</v>
      </c>
      <c r="AV153" s="81">
        <f t="shared" si="125"/>
        <v>0</v>
      </c>
      <c r="AW153" s="102"/>
      <c r="AY153" s="31">
        <f>+Details!F153-Base!F153</f>
        <v>0</v>
      </c>
      <c r="AZ153" s="1124">
        <f>+Details!G153-Base!G153</f>
        <v>0</v>
      </c>
      <c r="BA153" s="1124">
        <f>+Details!H153-Base!H153</f>
        <v>0</v>
      </c>
      <c r="BB153" s="1124">
        <f>+Details!I153-Base!I153</f>
        <v>0</v>
      </c>
      <c r="BC153" s="1124">
        <f>+Details!J153-Base!J153</f>
        <v>0</v>
      </c>
      <c r="BD153" s="1124">
        <f>+Details!K153-Base!K153</f>
        <v>0</v>
      </c>
      <c r="BE153" s="1124">
        <f>+Details!L153-Base!L153</f>
        <v>0</v>
      </c>
      <c r="BF153" s="1124">
        <f>+Details!M153-Base!M153</f>
        <v>0</v>
      </c>
      <c r="BG153" s="1124">
        <f>+Details!N153-Base!N153</f>
        <v>0</v>
      </c>
      <c r="BH153" s="1124">
        <f>+Details!O153-Base!O153</f>
        <v>0</v>
      </c>
      <c r="BI153" s="1124">
        <f>+Details!P153-Base!P153</f>
        <v>0</v>
      </c>
      <c r="BJ153" s="1124">
        <f>+Details!Q153-Base!Q153</f>
        <v>0</v>
      </c>
      <c r="BK153" s="1124">
        <f>+Details!R153-Base!R153</f>
        <v>0</v>
      </c>
      <c r="BL153" s="1124">
        <f>+Details!S153-Base!S153</f>
        <v>0</v>
      </c>
      <c r="BM153" s="1124">
        <f>+Details!T153-Base!T153</f>
        <v>0</v>
      </c>
      <c r="BN153" s="1124">
        <f>+Details!U153-Base!U153</f>
        <v>0</v>
      </c>
      <c r="BO153" s="1124">
        <f>+Details!V153-Base!V153</f>
        <v>0</v>
      </c>
      <c r="BP153" s="1124">
        <f>+Details!W153-Base!W153</f>
        <v>0</v>
      </c>
      <c r="BQ153" s="1124">
        <f>+Details!X153-Base!X153</f>
        <v>0</v>
      </c>
      <c r="BR153" s="1124">
        <f>+Details!Y153-Base!Y153</f>
        <v>0</v>
      </c>
      <c r="BS153" s="1124">
        <f>+Details!Z153-Base!Z153</f>
        <v>0</v>
      </c>
      <c r="BT153" s="1124">
        <f>+Details!AA153-Base!AA153</f>
        <v>0</v>
      </c>
      <c r="BU153" s="1124">
        <f>+Details!AB153-Base!AB153</f>
        <v>0</v>
      </c>
      <c r="BV153" s="1124">
        <f>+Details!AC153-Base!AC153</f>
        <v>0</v>
      </c>
      <c r="BW153" s="1124">
        <f>+Details!AD153-Base!AD153</f>
        <v>0</v>
      </c>
      <c r="BX153" s="1124">
        <f>+Details!AE153-Base!AE153</f>
        <v>0</v>
      </c>
      <c r="BY153" s="1124">
        <f>+Details!AF153-Base!AF153</f>
        <v>0</v>
      </c>
      <c r="BZ153" s="1124">
        <f>+Details!AG153-Base!AG153</f>
        <v>0</v>
      </c>
      <c r="CA153" s="1124">
        <f>+Details!AH153-Base!AH153</f>
        <v>0</v>
      </c>
      <c r="CB153" s="1124">
        <f>+Details!AI153-Base!AI153</f>
        <v>0</v>
      </c>
      <c r="CC153" s="1124">
        <f>+Details!AJ153-Base!AJ153</f>
        <v>0</v>
      </c>
      <c r="CD153" s="1124">
        <f>+Details!AK153-Base!AK153</f>
        <v>0</v>
      </c>
      <c r="CE153" s="1124">
        <f>+Details!AL153-Base!AL153</f>
        <v>0</v>
      </c>
      <c r="CF153" s="1124">
        <f>+Details!AM153-Base!AM153</f>
        <v>0</v>
      </c>
      <c r="CG153" s="1124">
        <f>+Details!AN153-Base!AN153</f>
        <v>0</v>
      </c>
      <c r="CH153" s="1124">
        <f>+Details!AO153-Base!AO153</f>
        <v>0</v>
      </c>
      <c r="CI153" s="1124">
        <f>+Details!AP153-Base!AP153</f>
        <v>0</v>
      </c>
      <c r="CJ153" s="1124">
        <f>+Details!AQ153-Base!AQ153</f>
        <v>0</v>
      </c>
      <c r="CK153" s="1124">
        <f>+Details!AR153-Base!AR153</f>
        <v>0</v>
      </c>
      <c r="CL153" s="1124">
        <f>+Details!AS153-Base!AS153</f>
        <v>0</v>
      </c>
      <c r="CM153" s="81"/>
    </row>
    <row r="154" spans="1:91" hidden="1">
      <c r="A154" s="1427" t="s">
        <v>1578</v>
      </c>
      <c r="B154" s="419" t="s">
        <v>666</v>
      </c>
      <c r="C154" s="420" t="s">
        <v>1668</v>
      </c>
      <c r="D154" s="196"/>
      <c r="E154" s="29">
        <f>SUM(F154:AS154)</f>
        <v>3308400</v>
      </c>
      <c r="F154" s="31">
        <f>+F152+F153</f>
        <v>65600</v>
      </c>
      <c r="G154" s="1124">
        <f t="shared" ref="G154:AS154" si="128">+G152+G153</f>
        <v>82200</v>
      </c>
      <c r="H154" s="1124">
        <f t="shared" si="128"/>
        <v>68800</v>
      </c>
      <c r="I154" s="1124">
        <f t="shared" si="128"/>
        <v>70400</v>
      </c>
      <c r="J154" s="1124">
        <f t="shared" si="128"/>
        <v>72100</v>
      </c>
      <c r="K154" s="1124">
        <f t="shared" si="128"/>
        <v>85300</v>
      </c>
      <c r="L154" s="1124">
        <f t="shared" si="128"/>
        <v>88000</v>
      </c>
      <c r="M154" s="1124">
        <f t="shared" si="128"/>
        <v>90700</v>
      </c>
      <c r="N154" s="1124">
        <f t="shared" si="128"/>
        <v>76200</v>
      </c>
      <c r="O154" s="1124">
        <f t="shared" si="128"/>
        <v>78000</v>
      </c>
      <c r="P154" s="1124">
        <f t="shared" si="128"/>
        <v>79400</v>
      </c>
      <c r="Q154" s="1124">
        <f t="shared" si="128"/>
        <v>81600</v>
      </c>
      <c r="R154" s="1124">
        <f t="shared" si="128"/>
        <v>89000</v>
      </c>
      <c r="S154" s="1124">
        <f t="shared" si="128"/>
        <v>92200</v>
      </c>
      <c r="T154" s="1124">
        <f t="shared" si="128"/>
        <v>107000</v>
      </c>
      <c r="U154" s="1124">
        <f t="shared" si="128"/>
        <v>115500</v>
      </c>
      <c r="V154" s="1124">
        <f t="shared" si="128"/>
        <v>116700</v>
      </c>
      <c r="W154" s="1124">
        <f t="shared" si="128"/>
        <v>121800</v>
      </c>
      <c r="X154" s="1124">
        <f t="shared" si="128"/>
        <v>117600</v>
      </c>
      <c r="Y154" s="1124">
        <f t="shared" si="128"/>
        <v>120600</v>
      </c>
      <c r="Z154" s="1124">
        <f t="shared" si="128"/>
        <v>125400</v>
      </c>
      <c r="AA154" s="1124">
        <f t="shared" si="128"/>
        <v>130500</v>
      </c>
      <c r="AB154" s="1124">
        <f t="shared" si="128"/>
        <v>140700</v>
      </c>
      <c r="AC154" s="1124">
        <f t="shared" si="128"/>
        <v>157500</v>
      </c>
      <c r="AD154" s="1124">
        <f t="shared" si="128"/>
        <v>149800</v>
      </c>
      <c r="AE154" s="1124">
        <f t="shared" si="128"/>
        <v>156400</v>
      </c>
      <c r="AF154" s="1124">
        <f t="shared" si="128"/>
        <v>159700</v>
      </c>
      <c r="AG154" s="1124">
        <f t="shared" si="128"/>
        <v>154200</v>
      </c>
      <c r="AH154" s="1124">
        <f t="shared" si="128"/>
        <v>156000</v>
      </c>
      <c r="AI154" s="1124">
        <f t="shared" si="128"/>
        <v>159500</v>
      </c>
      <c r="AJ154" s="1124">
        <f t="shared" si="128"/>
        <v>0</v>
      </c>
      <c r="AK154" s="1124">
        <f t="shared" si="128"/>
        <v>0</v>
      </c>
      <c r="AL154" s="1124">
        <f t="shared" si="128"/>
        <v>0</v>
      </c>
      <c r="AM154" s="1124">
        <f t="shared" si="128"/>
        <v>0</v>
      </c>
      <c r="AN154" s="1124">
        <f t="shared" si="128"/>
        <v>0</v>
      </c>
      <c r="AO154" s="1124">
        <f t="shared" si="128"/>
        <v>0</v>
      </c>
      <c r="AP154" s="1124">
        <f t="shared" si="128"/>
        <v>0</v>
      </c>
      <c r="AQ154" s="1124">
        <f t="shared" si="128"/>
        <v>0</v>
      </c>
      <c r="AR154" s="1124">
        <f t="shared" si="128"/>
        <v>0</v>
      </c>
      <c r="AS154" s="1124">
        <f t="shared" si="128"/>
        <v>0</v>
      </c>
      <c r="AT154" s="3"/>
      <c r="AU154" s="29">
        <f>+Details!E154</f>
        <v>3308400</v>
      </c>
      <c r="AV154" s="81">
        <f t="shared" si="125"/>
        <v>0</v>
      </c>
      <c r="AW154" s="102"/>
      <c r="AY154" s="31">
        <f>+Details!F154-Base!F154</f>
        <v>0</v>
      </c>
      <c r="AZ154" s="1124">
        <f>+Details!G154-Base!G154</f>
        <v>0</v>
      </c>
      <c r="BA154" s="1124">
        <f>+Details!H154-Base!H154</f>
        <v>0</v>
      </c>
      <c r="BB154" s="1124">
        <f>+Details!I154-Base!I154</f>
        <v>0</v>
      </c>
      <c r="BC154" s="1124">
        <f>+Details!J154-Base!J154</f>
        <v>0</v>
      </c>
      <c r="BD154" s="1124">
        <f>+Details!K154-Base!K154</f>
        <v>0</v>
      </c>
      <c r="BE154" s="1124">
        <f>+Details!L154-Base!L154</f>
        <v>0</v>
      </c>
      <c r="BF154" s="1124">
        <f>+Details!M154-Base!M154</f>
        <v>0</v>
      </c>
      <c r="BG154" s="1124">
        <f>+Details!N154-Base!N154</f>
        <v>0</v>
      </c>
      <c r="BH154" s="1124">
        <f>+Details!O154-Base!O154</f>
        <v>0</v>
      </c>
      <c r="BI154" s="1124">
        <f>+Details!P154-Base!P154</f>
        <v>0</v>
      </c>
      <c r="BJ154" s="1124">
        <f>+Details!Q154-Base!Q154</f>
        <v>0</v>
      </c>
      <c r="BK154" s="1124">
        <f>+Details!R154-Base!R154</f>
        <v>0</v>
      </c>
      <c r="BL154" s="1124">
        <f>+Details!S154-Base!S154</f>
        <v>0</v>
      </c>
      <c r="BM154" s="1124">
        <f>+Details!T154-Base!T154</f>
        <v>0</v>
      </c>
      <c r="BN154" s="1124">
        <f>+Details!U154-Base!U154</f>
        <v>0</v>
      </c>
      <c r="BO154" s="1124">
        <f>+Details!V154-Base!V154</f>
        <v>0</v>
      </c>
      <c r="BP154" s="1124">
        <f>+Details!W154-Base!W154</f>
        <v>0</v>
      </c>
      <c r="BQ154" s="1124">
        <f>+Details!X154-Base!X154</f>
        <v>0</v>
      </c>
      <c r="BR154" s="1124">
        <f>+Details!Y154-Base!Y154</f>
        <v>0</v>
      </c>
      <c r="BS154" s="1124">
        <f>+Details!Z154-Base!Z154</f>
        <v>0</v>
      </c>
      <c r="BT154" s="1124">
        <f>+Details!AA154-Base!AA154</f>
        <v>0</v>
      </c>
      <c r="BU154" s="1124">
        <f>+Details!AB154-Base!AB154</f>
        <v>0</v>
      </c>
      <c r="BV154" s="1124">
        <f>+Details!AC154-Base!AC154</f>
        <v>0</v>
      </c>
      <c r="BW154" s="1124">
        <f>+Details!AD154-Base!AD154</f>
        <v>0</v>
      </c>
      <c r="BX154" s="1124">
        <f>+Details!AE154-Base!AE154</f>
        <v>0</v>
      </c>
      <c r="BY154" s="1124">
        <f>+Details!AF154-Base!AF154</f>
        <v>0</v>
      </c>
      <c r="BZ154" s="1124">
        <f>+Details!AG154-Base!AG154</f>
        <v>0</v>
      </c>
      <c r="CA154" s="1124">
        <f>+Details!AH154-Base!AH154</f>
        <v>0</v>
      </c>
      <c r="CB154" s="1124">
        <f>+Details!AI154-Base!AI154</f>
        <v>0</v>
      </c>
      <c r="CC154" s="1124">
        <f>+Details!AJ154-Base!AJ154</f>
        <v>0</v>
      </c>
      <c r="CD154" s="1124">
        <f>+Details!AK154-Base!AK154</f>
        <v>0</v>
      </c>
      <c r="CE154" s="1124">
        <f>+Details!AL154-Base!AL154</f>
        <v>0</v>
      </c>
      <c r="CF154" s="1124">
        <f>+Details!AM154-Base!AM154</f>
        <v>0</v>
      </c>
      <c r="CG154" s="1124">
        <f>+Details!AN154-Base!AN154</f>
        <v>0</v>
      </c>
      <c r="CH154" s="1124">
        <f>+Details!AO154-Base!AO154</f>
        <v>0</v>
      </c>
      <c r="CI154" s="1124">
        <f>+Details!AP154-Base!AP154</f>
        <v>0</v>
      </c>
      <c r="CJ154" s="1124">
        <f>+Details!AQ154-Base!AQ154</f>
        <v>0</v>
      </c>
      <c r="CK154" s="1124">
        <f>+Details!AR154-Base!AR154</f>
        <v>0</v>
      </c>
      <c r="CL154" s="1124">
        <f>+Details!AS154-Base!AS154</f>
        <v>0</v>
      </c>
      <c r="CM154" s="81"/>
    </row>
    <row r="155" spans="1:91" hidden="1">
      <c r="A155" s="1427" t="s">
        <v>1578</v>
      </c>
      <c r="B155" s="419" t="s">
        <v>664</v>
      </c>
      <c r="C155" s="420" t="s">
        <v>1714</v>
      </c>
      <c r="D155" s="196"/>
      <c r="E155" s="29"/>
      <c r="F155" s="31">
        <f>IF(F$264=0,0,IF(AND(Setup!$E$192="m",OR(Setup!$E$193&gt;F$7,Setup!$E$193=0)),'Tax Tables'!$C$20,IF(F$7&gt;=Setup!$E$193,'Tax Tables'!$D$20,'Tax Tables'!$D$20)))</f>
        <v>32000</v>
      </c>
      <c r="G155" s="1124">
        <f>IF(G$264=0,0,IF(AND(Setup!$E$192="m",OR(Setup!$E$193&gt;G$7,Setup!$E$193=0)),'Tax Tables'!$C$20,IF(G$7&gt;=Setup!$E$193,'Tax Tables'!$D$20,'Tax Tables'!$D$20)))</f>
        <v>32000</v>
      </c>
      <c r="H155" s="1124">
        <f>IF(H$264=0,0,IF(AND(Setup!$E$192="m",OR(Setup!$E$193&gt;H$7,Setup!$E$193=0)),'Tax Tables'!$C$20,IF(H$7&gt;=Setup!$E$193,'Tax Tables'!$D$20,'Tax Tables'!$D$20)))</f>
        <v>32000</v>
      </c>
      <c r="I155" s="1124">
        <f>IF(I$264=0,0,IF(AND(Setup!$E$192="m",OR(Setup!$E$193&gt;I$7,Setup!$E$193=0)),'Tax Tables'!$C$20,IF(I$7&gt;=Setup!$E$193,'Tax Tables'!$D$20,'Tax Tables'!$D$20)))</f>
        <v>32000</v>
      </c>
      <c r="J155" s="1124">
        <f>IF(J$264=0,0,IF(AND(Setup!$E$192="m",OR(Setup!$E$193&gt;J$7,Setup!$E$193=0)),'Tax Tables'!$C$20,IF(J$7&gt;=Setup!$E$193,'Tax Tables'!$D$20,'Tax Tables'!$D$20)))</f>
        <v>32000</v>
      </c>
      <c r="K155" s="1124">
        <f>IF(K$264=0,0,IF(AND(Setup!$E$192="m",OR(Setup!$E$193&gt;K$7,Setup!$E$193=0)),'Tax Tables'!$C$20,IF(K$7&gt;=Setup!$E$193,'Tax Tables'!$D$20,'Tax Tables'!$D$20)))</f>
        <v>32000</v>
      </c>
      <c r="L155" s="1124">
        <f>IF(L$264=0,0,IF(AND(Setup!$E$192="m",OR(Setup!$E$193&gt;L$7,Setup!$E$193=0)),'Tax Tables'!$C$20,IF(L$7&gt;=Setup!$E$193,'Tax Tables'!$D$20,'Tax Tables'!$D$20)))</f>
        <v>32000</v>
      </c>
      <c r="M155" s="1124">
        <f>IF(M$264=0,0,IF(AND(Setup!$E$192="m",OR(Setup!$E$193&gt;M$7,Setup!$E$193=0)),'Tax Tables'!$C$20,IF(M$7&gt;=Setup!$E$193,'Tax Tables'!$D$20,'Tax Tables'!$D$20)))</f>
        <v>32000</v>
      </c>
      <c r="N155" s="1124">
        <f>IF(N$264=0,0,IF(AND(Setup!$E$192="m",OR(Setup!$E$193&gt;N$7,Setup!$E$193=0)),'Tax Tables'!$C$20,IF(N$7&gt;=Setup!$E$193,'Tax Tables'!$D$20,'Tax Tables'!$D$20)))</f>
        <v>32000</v>
      </c>
      <c r="O155" s="1124">
        <f>IF(O$264=0,0,IF(AND(Setup!$E$192="m",OR(Setup!$E$193&gt;O$7,Setup!$E$193=0)),'Tax Tables'!$C$20,IF(O$7&gt;=Setup!$E$193,'Tax Tables'!$D$20,'Tax Tables'!$D$20)))</f>
        <v>32000</v>
      </c>
      <c r="P155" s="1124">
        <f>IF(P$264=0,0,IF(AND(Setup!$E$192="m",OR(Setup!$E$193&gt;P$7,Setup!$E$193=0)),'Tax Tables'!$C$20,IF(P$7&gt;=Setup!$E$193,'Tax Tables'!$D$20,'Tax Tables'!$D$20)))</f>
        <v>32000</v>
      </c>
      <c r="Q155" s="1124">
        <f>IF(Q$264=0,0,IF(AND(Setup!$E$192="m",OR(Setup!$E$193&gt;Q$7,Setup!$E$193=0)),'Tax Tables'!$C$20,IF(Q$7&gt;=Setup!$E$193,'Tax Tables'!$D$20,'Tax Tables'!$D$20)))</f>
        <v>32000</v>
      </c>
      <c r="R155" s="1124">
        <f>IF(R$264=0,0,IF(AND(Setup!$E$192="m",OR(Setup!$E$193&gt;R$7,Setup!$E$193=0)),'Tax Tables'!$C$20,IF(R$7&gt;=Setup!$E$193,'Tax Tables'!$D$20,'Tax Tables'!$D$20)))</f>
        <v>32000</v>
      </c>
      <c r="S155" s="1124">
        <f>IF(S$264=0,0,IF(AND(Setup!$E$192="m",OR(Setup!$E$193&gt;S$7,Setup!$E$193=0)),'Tax Tables'!$C$20,IF(S$7&gt;=Setup!$E$193,'Tax Tables'!$D$20,'Tax Tables'!$D$20)))</f>
        <v>32000</v>
      </c>
      <c r="T155" s="1124">
        <f>IF(T$264=0,0,IF(AND(Setup!$E$192="m",OR(Setup!$E$193&gt;T$7,Setup!$E$193=0)),'Tax Tables'!$C$20,IF(T$7&gt;=Setup!$E$193,'Tax Tables'!$D$20,'Tax Tables'!$D$20)))</f>
        <v>32000</v>
      </c>
      <c r="U155" s="1124">
        <f>IF(U$264=0,0,IF(AND(Setup!$E$192="m",OR(Setup!$E$193&gt;U$7,Setup!$E$193=0)),'Tax Tables'!$C$20,IF(U$7&gt;=Setup!$E$193,'Tax Tables'!$D$20,'Tax Tables'!$D$20)))</f>
        <v>32000</v>
      </c>
      <c r="V155" s="1124">
        <f>IF(V$264=0,0,IF(AND(Setup!$E$192="m",OR(Setup!$E$193&gt;V$7,Setup!$E$193=0)),'Tax Tables'!$C$20,IF(V$7&gt;=Setup!$E$193,'Tax Tables'!$D$20,'Tax Tables'!$D$20)))</f>
        <v>32000</v>
      </c>
      <c r="W155" s="1124">
        <f>IF(W$264=0,0,IF(AND(Setup!$E$192="m",OR(Setup!$E$193&gt;W$7,Setup!$E$193=0)),'Tax Tables'!$C$20,IF(W$7&gt;=Setup!$E$193,'Tax Tables'!$D$20,'Tax Tables'!$D$20)))</f>
        <v>32000</v>
      </c>
      <c r="X155" s="1124">
        <f>IF(X$264=0,0,IF(AND(Setup!$E$192="m",OR(Setup!$E$193&gt;X$7,Setup!$E$193=0)),'Tax Tables'!$C$20,IF(X$7&gt;=Setup!$E$193,'Tax Tables'!$D$20,'Tax Tables'!$D$20)))</f>
        <v>32000</v>
      </c>
      <c r="Y155" s="1124">
        <f>IF(Y$264=0,0,IF(AND(Setup!$E$192="m",OR(Setup!$E$193&gt;Y$7,Setup!$E$193=0)),'Tax Tables'!$C$20,IF(Y$7&gt;=Setup!$E$193,'Tax Tables'!$D$20,'Tax Tables'!$D$20)))</f>
        <v>32000</v>
      </c>
      <c r="Z155" s="1124">
        <f>IF(Z$264=0,0,IF(AND(Setup!$E$192="m",OR(Setup!$E$193&gt;Z$7,Setup!$E$193=0)),'Tax Tables'!$C$20,IF(Z$7&gt;=Setup!$E$193,'Tax Tables'!$D$20,'Tax Tables'!$D$20)))</f>
        <v>32000</v>
      </c>
      <c r="AA155" s="1124">
        <f>IF(AA$264=0,0,IF(AND(Setup!$E$192="m",OR(Setup!$E$193&gt;AA$7,Setup!$E$193=0)),'Tax Tables'!$C$20,IF(AA$7&gt;=Setup!$E$193,'Tax Tables'!$D$20,'Tax Tables'!$D$20)))</f>
        <v>32000</v>
      </c>
      <c r="AB155" s="1124">
        <f>IF(AB$264=0,0,IF(AND(Setup!$E$192="m",OR(Setup!$E$193&gt;AB$7,Setup!$E$193=0)),'Tax Tables'!$C$20,IF(AB$7&gt;=Setup!$E$193,'Tax Tables'!$D$20,'Tax Tables'!$D$20)))</f>
        <v>32000</v>
      </c>
      <c r="AC155" s="1124">
        <f>IF(AC$264=0,0,IF(AND(Setup!$E$192="m",OR(Setup!$E$193&gt;AC$7,Setup!$E$193=0)),'Tax Tables'!$C$20,IF(AC$7&gt;=Setup!$E$193,'Tax Tables'!$D$20,'Tax Tables'!$D$20)))</f>
        <v>32000</v>
      </c>
      <c r="AD155" s="1124">
        <f>IF(AD$264=0,0,IF(AND(Setup!$E$192="m",OR(Setup!$E$193&gt;AD$7,Setup!$E$193=0)),'Tax Tables'!$C$20,IF(AD$7&gt;=Setup!$E$193,'Tax Tables'!$D$20,'Tax Tables'!$D$20)))</f>
        <v>25000</v>
      </c>
      <c r="AE155" s="1124">
        <f>IF(AE$264=0,0,IF(AND(Setup!$E$192="m",OR(Setup!$E$193&gt;AE$7,Setup!$E$193=0)),'Tax Tables'!$C$20,IF(AE$7&gt;=Setup!$E$193,'Tax Tables'!$D$20,'Tax Tables'!$D$20)))</f>
        <v>25000</v>
      </c>
      <c r="AF155" s="1124">
        <f>IF(AF$264=0,0,IF(AND(Setup!$E$192="m",OR(Setup!$E$193&gt;AF$7,Setup!$E$193=0)),'Tax Tables'!$C$20,IF(AF$7&gt;=Setup!$E$193,'Tax Tables'!$D$20,'Tax Tables'!$D$20)))</f>
        <v>25000</v>
      </c>
      <c r="AG155" s="1124">
        <f>IF(AG$264=0,0,IF(AND(Setup!$E$192="m",OR(Setup!$E$193&gt;AG$7,Setup!$E$193=0)),'Tax Tables'!$C$20,IF(AG$7&gt;=Setup!$E$193,'Tax Tables'!$D$20,'Tax Tables'!$D$20)))</f>
        <v>25000</v>
      </c>
      <c r="AH155" s="1124">
        <f>IF(AH$264=0,0,IF(AND(Setup!$E$192="m",OR(Setup!$E$193&gt;AH$7,Setup!$E$193=0)),'Tax Tables'!$C$20,IF(AH$7&gt;=Setup!$E$193,'Tax Tables'!$D$20,'Tax Tables'!$D$20)))</f>
        <v>25000</v>
      </c>
      <c r="AI155" s="1124">
        <f>IF(AI$264=0,0,IF(AND(Setup!$E$192="m",OR(Setup!$E$193&gt;AI$7,Setup!$E$193=0)),'Tax Tables'!$C$20,IF(AI$7&gt;=Setup!$E$193,'Tax Tables'!$D$20,'Tax Tables'!$D$20)))</f>
        <v>25000</v>
      </c>
      <c r="AJ155" s="1124">
        <f>IF(AJ$264=0,0,IF(AND(Setup!$E$192="m",OR(Setup!$E$193&gt;AJ$7,Setup!$E$193=0)),'Tax Tables'!$C$20,IF(AJ$7&gt;=Setup!$E$193,'Tax Tables'!$D$20,'Tax Tables'!$D$20)))</f>
        <v>0</v>
      </c>
      <c r="AK155" s="1124">
        <f>IF(AK$264=0,0,IF(AND(Setup!$E$192="m",OR(Setup!$E$193&gt;AK$7,Setup!$E$193=0)),'Tax Tables'!$C$20,IF(AK$7&gt;=Setup!$E$193,'Tax Tables'!$D$20,'Tax Tables'!$D$20)))</f>
        <v>0</v>
      </c>
      <c r="AL155" s="1124">
        <f>IF(AL$264=0,0,IF(AND(Setup!$E$192="m",OR(Setup!$E$193&gt;AL$7,Setup!$E$193=0)),'Tax Tables'!$C$20,IF(AL$7&gt;=Setup!$E$193,'Tax Tables'!$D$20,'Tax Tables'!$D$20)))</f>
        <v>0</v>
      </c>
      <c r="AM155" s="1124">
        <f>IF(AM$264=0,0,IF(AND(Setup!$E$192="m",OR(Setup!$E$193&gt;AM$7,Setup!$E$193=0)),'Tax Tables'!$C$20,IF(AM$7&gt;=Setup!$E$193,'Tax Tables'!$D$20,'Tax Tables'!$D$20)))</f>
        <v>0</v>
      </c>
      <c r="AN155" s="1124">
        <f>IF(AN$264=0,0,IF(AND(Setup!$E$192="m",OR(Setup!$E$193&gt;AN$7,Setup!$E$193=0)),'Tax Tables'!$C$20,IF(AN$7&gt;=Setup!$E$193,'Tax Tables'!$D$20,'Tax Tables'!$D$20)))</f>
        <v>0</v>
      </c>
      <c r="AO155" s="1124">
        <f>IF(AO$264=0,0,IF(AND(Setup!$E$192="m",OR(Setup!$E$193&gt;AO$7,Setup!$E$193=0)),'Tax Tables'!$C$20,IF(AO$7&gt;=Setup!$E$193,'Tax Tables'!$D$20,'Tax Tables'!$D$20)))</f>
        <v>0</v>
      </c>
      <c r="AP155" s="1124">
        <f>IF(AP$264=0,0,IF(AND(Setup!$E$192="m",OR(Setup!$E$193&gt;AP$7,Setup!$E$193=0)),'Tax Tables'!$C$20,IF(AP$7&gt;=Setup!$E$193,'Tax Tables'!$D$20,'Tax Tables'!$D$20)))</f>
        <v>0</v>
      </c>
      <c r="AQ155" s="1124">
        <f>IF(AQ$264=0,0,IF(AND(Setup!$E$192="m",OR(Setup!$E$193&gt;AQ$7,Setup!$E$193=0)),'Tax Tables'!$C$20,IF(AQ$7&gt;=Setup!$E$193,'Tax Tables'!$D$20,'Tax Tables'!$D$20)))</f>
        <v>0</v>
      </c>
      <c r="AR155" s="1124">
        <f>IF(AR$264=0,0,IF(AND(Setup!$E$192="m",OR(Setup!$E$193&gt;AR$7,Setup!$E$193=0)),'Tax Tables'!$C$20,IF(AR$7&gt;=Setup!$E$193,'Tax Tables'!$D$20,'Tax Tables'!$D$20)))</f>
        <v>0</v>
      </c>
      <c r="AS155" s="1124">
        <f>IF(AS$264=0,0,IF(AND(Setup!$E$192="m",OR(Setup!$E$193&gt;AS$7,Setup!$E$193=0)),'Tax Tables'!$C$20,IF(AS$7&gt;=Setup!$E$193,'Tax Tables'!$D$20,'Tax Tables'!$D$20)))</f>
        <v>0</v>
      </c>
      <c r="AT155" s="3"/>
      <c r="AU155" s="29">
        <f>+Details!E155</f>
        <v>0</v>
      </c>
      <c r="AV155" s="81">
        <f t="shared" si="125"/>
        <v>0</v>
      </c>
      <c r="AW155" s="102"/>
      <c r="AY155" s="31"/>
      <c r="AZ155" s="1124"/>
      <c r="BA155" s="1124"/>
      <c r="BB155" s="1124"/>
      <c r="BC155" s="1124"/>
      <c r="BD155" s="1124"/>
      <c r="BE155" s="1124"/>
      <c r="BF155" s="1124"/>
      <c r="BG155" s="1124"/>
      <c r="BH155" s="1124"/>
      <c r="BI155" s="1124"/>
      <c r="BJ155" s="1124"/>
      <c r="BK155" s="1124"/>
      <c r="BL155" s="1124"/>
      <c r="BM155" s="1124"/>
      <c r="BN155" s="1124"/>
      <c r="BO155" s="1124"/>
      <c r="BP155" s="1124"/>
      <c r="BQ155" s="1124"/>
      <c r="BR155" s="1124"/>
      <c r="BS155" s="1124"/>
      <c r="BT155" s="1124"/>
      <c r="BU155" s="1124"/>
      <c r="BV155" s="1124"/>
      <c r="BW155" s="1124"/>
      <c r="BX155" s="1124"/>
      <c r="BY155" s="1124"/>
      <c r="BZ155" s="1124"/>
      <c r="CA155" s="1124"/>
      <c r="CB155" s="1124"/>
      <c r="CC155" s="1124"/>
      <c r="CD155" s="1124"/>
      <c r="CE155" s="1124"/>
      <c r="CF155" s="1124"/>
      <c r="CG155" s="1124"/>
      <c r="CH155" s="1124"/>
      <c r="CI155" s="1124"/>
      <c r="CJ155" s="1124"/>
      <c r="CK155" s="1124"/>
      <c r="CL155" s="1124"/>
      <c r="CM155" s="81"/>
    </row>
    <row r="156" spans="1:91" hidden="1">
      <c r="A156" s="1427" t="s">
        <v>1578</v>
      </c>
      <c r="B156" s="234" t="s">
        <v>665</v>
      </c>
      <c r="C156" s="420" t="s">
        <v>1713</v>
      </c>
      <c r="D156" s="196"/>
      <c r="E156" s="29">
        <f t="shared" ref="E156:E164" si="129">SUM(F156:AS156)</f>
        <v>2390400</v>
      </c>
      <c r="F156" s="31">
        <f>IF(+F154-F155&lt;0,0,F154-F155)</f>
        <v>33600</v>
      </c>
      <c r="G156" s="1124">
        <f t="shared" ref="G156:AS156" si="130">IF(+G154-G155&lt;0,0,G154-G155)</f>
        <v>50200</v>
      </c>
      <c r="H156" s="1124">
        <f t="shared" si="130"/>
        <v>36800</v>
      </c>
      <c r="I156" s="1124">
        <f t="shared" si="130"/>
        <v>38400</v>
      </c>
      <c r="J156" s="1124">
        <f t="shared" si="130"/>
        <v>40100</v>
      </c>
      <c r="K156" s="1124">
        <f t="shared" si="130"/>
        <v>53300</v>
      </c>
      <c r="L156" s="1124">
        <f t="shared" si="130"/>
        <v>56000</v>
      </c>
      <c r="M156" s="1124">
        <f t="shared" si="130"/>
        <v>58700</v>
      </c>
      <c r="N156" s="1124">
        <f t="shared" si="130"/>
        <v>44200</v>
      </c>
      <c r="O156" s="1124">
        <f t="shared" si="130"/>
        <v>46000</v>
      </c>
      <c r="P156" s="1124">
        <f t="shared" si="130"/>
        <v>47400</v>
      </c>
      <c r="Q156" s="1124">
        <f t="shared" si="130"/>
        <v>49600</v>
      </c>
      <c r="R156" s="1124">
        <f t="shared" si="130"/>
        <v>57000</v>
      </c>
      <c r="S156" s="1124">
        <f t="shared" si="130"/>
        <v>60200</v>
      </c>
      <c r="T156" s="1124">
        <f t="shared" si="130"/>
        <v>75000</v>
      </c>
      <c r="U156" s="1124">
        <f t="shared" si="130"/>
        <v>83500</v>
      </c>
      <c r="V156" s="1124">
        <f t="shared" si="130"/>
        <v>84700</v>
      </c>
      <c r="W156" s="1124">
        <f t="shared" si="130"/>
        <v>89800</v>
      </c>
      <c r="X156" s="1124">
        <f t="shared" si="130"/>
        <v>85600</v>
      </c>
      <c r="Y156" s="1124">
        <f t="shared" si="130"/>
        <v>88600</v>
      </c>
      <c r="Z156" s="1124">
        <f t="shared" si="130"/>
        <v>93400</v>
      </c>
      <c r="AA156" s="1124">
        <f t="shared" si="130"/>
        <v>98500</v>
      </c>
      <c r="AB156" s="1124">
        <f t="shared" si="130"/>
        <v>108700</v>
      </c>
      <c r="AC156" s="1124">
        <f t="shared" si="130"/>
        <v>125500</v>
      </c>
      <c r="AD156" s="1124">
        <f t="shared" si="130"/>
        <v>124800</v>
      </c>
      <c r="AE156" s="1124">
        <f t="shared" si="130"/>
        <v>131400</v>
      </c>
      <c r="AF156" s="1124">
        <f t="shared" si="130"/>
        <v>134700</v>
      </c>
      <c r="AG156" s="1124">
        <f t="shared" si="130"/>
        <v>129200</v>
      </c>
      <c r="AH156" s="1124">
        <f t="shared" si="130"/>
        <v>131000</v>
      </c>
      <c r="AI156" s="1124">
        <f t="shared" si="130"/>
        <v>134500</v>
      </c>
      <c r="AJ156" s="1124">
        <f t="shared" si="130"/>
        <v>0</v>
      </c>
      <c r="AK156" s="1124">
        <f t="shared" si="130"/>
        <v>0</v>
      </c>
      <c r="AL156" s="1124">
        <f t="shared" si="130"/>
        <v>0</v>
      </c>
      <c r="AM156" s="1124">
        <f t="shared" si="130"/>
        <v>0</v>
      </c>
      <c r="AN156" s="1124">
        <f t="shared" si="130"/>
        <v>0</v>
      </c>
      <c r="AO156" s="1124">
        <f t="shared" si="130"/>
        <v>0</v>
      </c>
      <c r="AP156" s="1124">
        <f t="shared" si="130"/>
        <v>0</v>
      </c>
      <c r="AQ156" s="1124">
        <f t="shared" si="130"/>
        <v>0</v>
      </c>
      <c r="AR156" s="1124">
        <f t="shared" si="130"/>
        <v>0</v>
      </c>
      <c r="AS156" s="1124">
        <f t="shared" si="130"/>
        <v>0</v>
      </c>
      <c r="AT156" s="3"/>
      <c r="AU156" s="29">
        <f>+Details!E156</f>
        <v>2390400</v>
      </c>
      <c r="AV156" s="81">
        <f t="shared" si="125"/>
        <v>0</v>
      </c>
      <c r="AW156" s="102"/>
      <c r="AY156" s="31">
        <f>+Details!F156-Base!F156</f>
        <v>0</v>
      </c>
      <c r="AZ156" s="1124">
        <f>+Details!G156-Base!G156</f>
        <v>0</v>
      </c>
      <c r="BA156" s="1124">
        <f>+Details!H156-Base!H156</f>
        <v>0</v>
      </c>
      <c r="BB156" s="1124">
        <f>+Details!I156-Base!I156</f>
        <v>0</v>
      </c>
      <c r="BC156" s="1124">
        <f>+Details!J156-Base!J156</f>
        <v>0</v>
      </c>
      <c r="BD156" s="1124">
        <f>+Details!K156-Base!K156</f>
        <v>0</v>
      </c>
      <c r="BE156" s="1124">
        <f>+Details!L156-Base!L156</f>
        <v>0</v>
      </c>
      <c r="BF156" s="1124">
        <f>+Details!M156-Base!M156</f>
        <v>0</v>
      </c>
      <c r="BG156" s="1124">
        <f>+Details!N156-Base!N156</f>
        <v>0</v>
      </c>
      <c r="BH156" s="1124">
        <f>+Details!O156-Base!O156</f>
        <v>0</v>
      </c>
      <c r="BI156" s="1124">
        <f>+Details!P156-Base!P156</f>
        <v>0</v>
      </c>
      <c r="BJ156" s="1124">
        <f>+Details!Q156-Base!Q156</f>
        <v>0</v>
      </c>
      <c r="BK156" s="1124">
        <f>+Details!R156-Base!R156</f>
        <v>0</v>
      </c>
      <c r="BL156" s="1124">
        <f>+Details!S156-Base!S156</f>
        <v>0</v>
      </c>
      <c r="BM156" s="1124">
        <f>+Details!T156-Base!T156</f>
        <v>0</v>
      </c>
      <c r="BN156" s="1124">
        <f>+Details!U156-Base!U156</f>
        <v>0</v>
      </c>
      <c r="BO156" s="1124">
        <f>+Details!V156-Base!V156</f>
        <v>0</v>
      </c>
      <c r="BP156" s="1124">
        <f>+Details!W156-Base!W156</f>
        <v>0</v>
      </c>
      <c r="BQ156" s="1124">
        <f>+Details!X156-Base!X156</f>
        <v>0</v>
      </c>
      <c r="BR156" s="1124">
        <f>+Details!Y156-Base!Y156</f>
        <v>0</v>
      </c>
      <c r="BS156" s="1124">
        <f>+Details!Z156-Base!Z156</f>
        <v>0</v>
      </c>
      <c r="BT156" s="1124">
        <f>+Details!AA156-Base!AA156</f>
        <v>0</v>
      </c>
      <c r="BU156" s="1124">
        <f>+Details!AB156-Base!AB156</f>
        <v>0</v>
      </c>
      <c r="BV156" s="1124">
        <f>+Details!AC156-Base!AC156</f>
        <v>0</v>
      </c>
      <c r="BW156" s="1124">
        <f>+Details!AD156-Base!AD156</f>
        <v>0</v>
      </c>
      <c r="BX156" s="1124">
        <f>+Details!AE156-Base!AE156</f>
        <v>0</v>
      </c>
      <c r="BY156" s="1124">
        <f>+Details!AF156-Base!AF156</f>
        <v>0</v>
      </c>
      <c r="BZ156" s="1124">
        <f>+Details!AG156-Base!AG156</f>
        <v>0</v>
      </c>
      <c r="CA156" s="1124">
        <f>+Details!AH156-Base!AH156</f>
        <v>0</v>
      </c>
      <c r="CB156" s="1124">
        <f>+Details!AI156-Base!AI156</f>
        <v>0</v>
      </c>
      <c r="CC156" s="1124">
        <f>+Details!AJ156-Base!AJ156</f>
        <v>0</v>
      </c>
      <c r="CD156" s="1124">
        <f>+Details!AK156-Base!AK156</f>
        <v>0</v>
      </c>
      <c r="CE156" s="1124">
        <f>+Details!AL156-Base!AL156</f>
        <v>0</v>
      </c>
      <c r="CF156" s="1124">
        <f>+Details!AM156-Base!AM156</f>
        <v>0</v>
      </c>
      <c r="CG156" s="1124">
        <f>+Details!AN156-Base!AN156</f>
        <v>0</v>
      </c>
      <c r="CH156" s="1124">
        <f>+Details!AO156-Base!AO156</f>
        <v>0</v>
      </c>
      <c r="CI156" s="1124">
        <f>+Details!AP156-Base!AP156</f>
        <v>0</v>
      </c>
      <c r="CJ156" s="1124">
        <f>+Details!AQ156-Base!AQ156</f>
        <v>0</v>
      </c>
      <c r="CK156" s="1124">
        <f>+Details!AR156-Base!AR156</f>
        <v>0</v>
      </c>
      <c r="CL156" s="1124">
        <f>+Details!AS156-Base!AS156</f>
        <v>0</v>
      </c>
      <c r="CM156" s="81"/>
    </row>
    <row r="157" spans="1:91" hidden="1">
      <c r="A157" s="1427" t="s">
        <v>1578</v>
      </c>
      <c r="B157" s="419" t="s">
        <v>663</v>
      </c>
      <c r="C157" s="421" t="s">
        <v>1096</v>
      </c>
      <c r="D157" s="196"/>
      <c r="E157" s="29"/>
      <c r="F157" s="31">
        <f>IF(F$264=0,0,IF(AND(Setup!$E$192="m",Setup!$E$193&gt;F$7),'Tax Tables'!$C$21,IF(F$7&gt;=Setup!$E$193,'Tax Tables'!$D$21,'Tax Tables'!$D$21)))</f>
        <v>12000</v>
      </c>
      <c r="G157" s="1124">
        <f>IF(G$264=0,0,IF(AND(Setup!$E$192="m",Setup!$E$193&gt;G$7),'Tax Tables'!$C$21,IF(G$7&gt;=Setup!$E$193,'Tax Tables'!$D$21,'Tax Tables'!$D$21)))</f>
        <v>12000</v>
      </c>
      <c r="H157" s="1124">
        <f>IF(H$264=0,0,IF(AND(Setup!$E$192="m",Setup!$E$193&gt;H$7),'Tax Tables'!$C$21,IF(H$7&gt;=Setup!$E$193,'Tax Tables'!$D$21,'Tax Tables'!$D$21)))</f>
        <v>12000</v>
      </c>
      <c r="I157" s="1124">
        <f>IF(I$264=0,0,IF(AND(Setup!$E$192="m",Setup!$E$193&gt;I$7),'Tax Tables'!$C$21,IF(I$7&gt;=Setup!$E$193,'Tax Tables'!$D$21,'Tax Tables'!$D$21)))</f>
        <v>12000</v>
      </c>
      <c r="J157" s="1124">
        <f>IF(J$264=0,0,IF(AND(Setup!$E$192="m",Setup!$E$193&gt;J$7),'Tax Tables'!$C$21,IF(J$7&gt;=Setup!$E$193,'Tax Tables'!$D$21,'Tax Tables'!$D$21)))</f>
        <v>12000</v>
      </c>
      <c r="K157" s="1124">
        <f>IF(K$264=0,0,IF(AND(Setup!$E$192="m",Setup!$E$193&gt;K$7),'Tax Tables'!$C$21,IF(K$7&gt;=Setup!$E$193,'Tax Tables'!$D$21,'Tax Tables'!$D$21)))</f>
        <v>12000</v>
      </c>
      <c r="L157" s="1124">
        <f>IF(L$264=0,0,IF(AND(Setup!$E$192="m",Setup!$E$193&gt;L$7),'Tax Tables'!$C$21,IF(L$7&gt;=Setup!$E$193,'Tax Tables'!$D$21,'Tax Tables'!$D$21)))</f>
        <v>12000</v>
      </c>
      <c r="M157" s="1124">
        <f>IF(M$264=0,0,IF(AND(Setup!$E$192="m",Setup!$E$193&gt;M$7),'Tax Tables'!$C$21,IF(M$7&gt;=Setup!$E$193,'Tax Tables'!$D$21,'Tax Tables'!$D$21)))</f>
        <v>12000</v>
      </c>
      <c r="N157" s="1124">
        <f>IF(N$264=0,0,IF(AND(Setup!$E$192="m",Setup!$E$193&gt;N$7),'Tax Tables'!$C$21,IF(N$7&gt;=Setup!$E$193,'Tax Tables'!$D$21,'Tax Tables'!$D$21)))</f>
        <v>12000</v>
      </c>
      <c r="O157" s="1124">
        <f>IF(O$264=0,0,IF(AND(Setup!$E$192="m",Setup!$E$193&gt;O$7),'Tax Tables'!$C$21,IF(O$7&gt;=Setup!$E$193,'Tax Tables'!$D$21,'Tax Tables'!$D$21)))</f>
        <v>12000</v>
      </c>
      <c r="P157" s="1124">
        <f>IF(P$264=0,0,IF(AND(Setup!$E$192="m",Setup!$E$193&gt;P$7),'Tax Tables'!$C$21,IF(P$7&gt;=Setup!$E$193,'Tax Tables'!$D$21,'Tax Tables'!$D$21)))</f>
        <v>12000</v>
      </c>
      <c r="Q157" s="1124">
        <f>IF(Q$264=0,0,IF(AND(Setup!$E$192="m",Setup!$E$193&gt;Q$7),'Tax Tables'!$C$21,IF(Q$7&gt;=Setup!$E$193,'Tax Tables'!$D$21,'Tax Tables'!$D$21)))</f>
        <v>12000</v>
      </c>
      <c r="R157" s="1124">
        <f>IF(R$264=0,0,IF(AND(Setup!$E$192="m",Setup!$E$193&gt;R$7),'Tax Tables'!$C$21,IF(R$7&gt;=Setup!$E$193,'Tax Tables'!$D$21,'Tax Tables'!$D$21)))</f>
        <v>12000</v>
      </c>
      <c r="S157" s="1124">
        <f>IF(S$264=0,0,IF(AND(Setup!$E$192="m",Setup!$E$193&gt;S$7),'Tax Tables'!$C$21,IF(S$7&gt;=Setup!$E$193,'Tax Tables'!$D$21,'Tax Tables'!$D$21)))</f>
        <v>12000</v>
      </c>
      <c r="T157" s="1124">
        <f>IF(T$264=0,0,IF(AND(Setup!$E$192="m",Setup!$E$193&gt;T$7),'Tax Tables'!$C$21,IF(T$7&gt;=Setup!$E$193,'Tax Tables'!$D$21,'Tax Tables'!$D$21)))</f>
        <v>12000</v>
      </c>
      <c r="U157" s="1124">
        <f>IF(U$264=0,0,IF(AND(Setup!$E$192="m",Setup!$E$193&gt;U$7),'Tax Tables'!$C$21,IF(U$7&gt;=Setup!$E$193,'Tax Tables'!$D$21,'Tax Tables'!$D$21)))</f>
        <v>12000</v>
      </c>
      <c r="V157" s="1124">
        <f>IF(V$264=0,0,IF(AND(Setup!$E$192="m",Setup!$E$193&gt;V$7),'Tax Tables'!$C$21,IF(V$7&gt;=Setup!$E$193,'Tax Tables'!$D$21,'Tax Tables'!$D$21)))</f>
        <v>12000</v>
      </c>
      <c r="W157" s="1124">
        <f>IF(W$264=0,0,IF(AND(Setup!$E$192="m",Setup!$E$193&gt;W$7),'Tax Tables'!$C$21,IF(W$7&gt;=Setup!$E$193,'Tax Tables'!$D$21,'Tax Tables'!$D$21)))</f>
        <v>12000</v>
      </c>
      <c r="X157" s="1124">
        <f>IF(X$264=0,0,IF(AND(Setup!$E$192="m",Setup!$E$193&gt;X$7),'Tax Tables'!$C$21,IF(X$7&gt;=Setup!$E$193,'Tax Tables'!$D$21,'Tax Tables'!$D$21)))</f>
        <v>12000</v>
      </c>
      <c r="Y157" s="1124">
        <f>IF(Y$264=0,0,IF(AND(Setup!$E$192="m",Setup!$E$193&gt;Y$7),'Tax Tables'!$C$21,IF(Y$7&gt;=Setup!$E$193,'Tax Tables'!$D$21,'Tax Tables'!$D$21)))</f>
        <v>12000</v>
      </c>
      <c r="Z157" s="1124">
        <f>IF(Z$264=0,0,IF(AND(Setup!$E$192="m",Setup!$E$193&gt;Z$7),'Tax Tables'!$C$21,IF(Z$7&gt;=Setup!$E$193,'Tax Tables'!$D$21,'Tax Tables'!$D$21)))</f>
        <v>12000</v>
      </c>
      <c r="AA157" s="1124">
        <f>IF(AA$264=0,0,IF(AND(Setup!$E$192="m",Setup!$E$193&gt;AA$7),'Tax Tables'!$C$21,IF(AA$7&gt;=Setup!$E$193,'Tax Tables'!$D$21,'Tax Tables'!$D$21)))</f>
        <v>12000</v>
      </c>
      <c r="AB157" s="1124">
        <f>IF(AB$264=0,0,IF(AND(Setup!$E$192="m",Setup!$E$193&gt;AB$7),'Tax Tables'!$C$21,IF(AB$7&gt;=Setup!$E$193,'Tax Tables'!$D$21,'Tax Tables'!$D$21)))</f>
        <v>12000</v>
      </c>
      <c r="AC157" s="1124">
        <f>IF(AC$264=0,0,IF(AND(Setup!$E$192="m",Setup!$E$193&gt;AC$7),'Tax Tables'!$C$21,IF(AC$7&gt;=Setup!$E$193,'Tax Tables'!$D$21,'Tax Tables'!$D$21)))</f>
        <v>12000</v>
      </c>
      <c r="AD157" s="1124">
        <f>IF(AD$264=0,0,IF(AND(Setup!$E$192="m",Setup!$E$193&gt;AD$7),'Tax Tables'!$C$21,IF(AD$7&gt;=Setup!$E$193,'Tax Tables'!$D$21,'Tax Tables'!$D$21)))</f>
        <v>9000</v>
      </c>
      <c r="AE157" s="1124">
        <f>IF(AE$264=0,0,IF(AND(Setup!$E$192="m",Setup!$E$193&gt;AE$7),'Tax Tables'!$C$21,IF(AE$7&gt;=Setup!$E$193,'Tax Tables'!$D$21,'Tax Tables'!$D$21)))</f>
        <v>9000</v>
      </c>
      <c r="AF157" s="1124">
        <f>IF(AF$264=0,0,IF(AND(Setup!$E$192="m",Setup!$E$193&gt;AF$7),'Tax Tables'!$C$21,IF(AF$7&gt;=Setup!$E$193,'Tax Tables'!$D$21,'Tax Tables'!$D$21)))</f>
        <v>9000</v>
      </c>
      <c r="AG157" s="1124">
        <f>IF(AG$264=0,0,IF(AND(Setup!$E$192="m",Setup!$E$193&gt;AG$7),'Tax Tables'!$C$21,IF(AG$7&gt;=Setup!$E$193,'Tax Tables'!$D$21,'Tax Tables'!$D$21)))</f>
        <v>9000</v>
      </c>
      <c r="AH157" s="1124">
        <f>IF(AH$264=0,0,IF(AND(Setup!$E$192="m",Setup!$E$193&gt;AH$7),'Tax Tables'!$C$21,IF(AH$7&gt;=Setup!$E$193,'Tax Tables'!$D$21,'Tax Tables'!$D$21)))</f>
        <v>9000</v>
      </c>
      <c r="AI157" s="1124">
        <f>IF(AI$264=0,0,IF(AND(Setup!$E$192="m",Setup!$E$193&gt;AI$7),'Tax Tables'!$C$21,IF(AI$7&gt;=Setup!$E$193,'Tax Tables'!$D$21,'Tax Tables'!$D$21)))</f>
        <v>9000</v>
      </c>
      <c r="AJ157" s="1124">
        <f>IF(AJ$264=0,0,IF(AND(Setup!$E$192="m",Setup!$E$193&gt;AJ$7),'Tax Tables'!$C$21,IF(AJ$7&gt;=Setup!$E$193,'Tax Tables'!$D$21,'Tax Tables'!$D$21)))</f>
        <v>0</v>
      </c>
      <c r="AK157" s="1124">
        <f>IF(AK$264=0,0,IF(AND(Setup!$E$192="m",Setup!$E$193&gt;AK$7),'Tax Tables'!$C$21,IF(AK$7&gt;=Setup!$E$193,'Tax Tables'!$D$21,'Tax Tables'!$D$21)))</f>
        <v>0</v>
      </c>
      <c r="AL157" s="1124">
        <f>IF(AL$264=0,0,IF(AND(Setup!$E$192="m",Setup!$E$193&gt;AL$7),'Tax Tables'!$C$21,IF(AL$7&gt;=Setup!$E$193,'Tax Tables'!$D$21,'Tax Tables'!$D$21)))</f>
        <v>0</v>
      </c>
      <c r="AM157" s="1124">
        <f>IF(AM$264=0,0,IF(AND(Setup!$E$192="m",Setup!$E$193&gt;AM$7),'Tax Tables'!$C$21,IF(AM$7&gt;=Setup!$E$193,'Tax Tables'!$D$21,'Tax Tables'!$D$21)))</f>
        <v>0</v>
      </c>
      <c r="AN157" s="1124">
        <f>IF(AN$264=0,0,IF(AND(Setup!$E$192="m",Setup!$E$193&gt;AN$7),'Tax Tables'!$C$21,IF(AN$7&gt;=Setup!$E$193,'Tax Tables'!$D$21,'Tax Tables'!$D$21)))</f>
        <v>0</v>
      </c>
      <c r="AO157" s="1124">
        <f>IF(AO$264=0,0,IF(AND(Setup!$E$192="m",Setup!$E$193&gt;AO$7),'Tax Tables'!$C$21,IF(AO$7&gt;=Setup!$E$193,'Tax Tables'!$D$21,'Tax Tables'!$D$21)))</f>
        <v>0</v>
      </c>
      <c r="AP157" s="1124">
        <f>IF(AP$264=0,0,IF(AND(Setup!$E$192="m",Setup!$E$193&gt;AP$7),'Tax Tables'!$C$21,IF(AP$7&gt;=Setup!$E$193,'Tax Tables'!$D$21,'Tax Tables'!$D$21)))</f>
        <v>0</v>
      </c>
      <c r="AQ157" s="1124">
        <f>IF(AQ$264=0,0,IF(AND(Setup!$E$192="m",Setup!$E$193&gt;AQ$7),'Tax Tables'!$C$21,IF(AQ$7&gt;=Setup!$E$193,'Tax Tables'!$D$21,'Tax Tables'!$D$21)))</f>
        <v>0</v>
      </c>
      <c r="AR157" s="1124">
        <f>IF(AR$264=0,0,IF(AND(Setup!$E$192="m",Setup!$E$193&gt;AR$7),'Tax Tables'!$C$21,IF(AR$7&gt;=Setup!$E$193,'Tax Tables'!$D$21,'Tax Tables'!$D$21)))</f>
        <v>0</v>
      </c>
      <c r="AS157" s="1124">
        <f>IF(AS$264=0,0,IF(AND(Setup!$E$192="m",Setup!$E$193&gt;AS$7),'Tax Tables'!$C$21,IF(AS$7&gt;=Setup!$E$193,'Tax Tables'!$D$21,'Tax Tables'!$D$21)))</f>
        <v>0</v>
      </c>
      <c r="AT157" s="3"/>
      <c r="AU157" s="29">
        <f>+Details!E157</f>
        <v>0</v>
      </c>
      <c r="AV157" s="81">
        <f t="shared" si="125"/>
        <v>0</v>
      </c>
      <c r="AW157" s="102"/>
      <c r="AY157" s="31"/>
      <c r="AZ157" s="1124"/>
      <c r="BA157" s="1124"/>
      <c r="BB157" s="1124"/>
      <c r="BC157" s="1124"/>
      <c r="BD157" s="1124"/>
      <c r="BE157" s="1124"/>
      <c r="BF157" s="1124"/>
      <c r="BG157" s="1124"/>
      <c r="BH157" s="1124"/>
      <c r="BI157" s="1124"/>
      <c r="BJ157" s="1124"/>
      <c r="BK157" s="1124"/>
      <c r="BL157" s="1124"/>
      <c r="BM157" s="1124"/>
      <c r="BN157" s="1124"/>
      <c r="BO157" s="1124"/>
      <c r="BP157" s="1124"/>
      <c r="BQ157" s="1124"/>
      <c r="BR157" s="1124"/>
      <c r="BS157" s="1124"/>
      <c r="BT157" s="1124"/>
      <c r="BU157" s="1124"/>
      <c r="BV157" s="1124"/>
      <c r="BW157" s="1124"/>
      <c r="BX157" s="1124"/>
      <c r="BY157" s="1124"/>
      <c r="BZ157" s="1124"/>
      <c r="CA157" s="1124"/>
      <c r="CB157" s="1124"/>
      <c r="CC157" s="1124"/>
      <c r="CD157" s="1124"/>
      <c r="CE157" s="1124"/>
      <c r="CF157" s="1124"/>
      <c r="CG157" s="1124"/>
      <c r="CH157" s="1124"/>
      <c r="CI157" s="1124"/>
      <c r="CJ157" s="1124"/>
      <c r="CK157" s="1124"/>
      <c r="CL157" s="1124"/>
      <c r="CM157" s="81"/>
    </row>
    <row r="158" spans="1:91" hidden="1">
      <c r="A158" s="1427" t="s">
        <v>1578</v>
      </c>
      <c r="B158" s="419" t="s">
        <v>662</v>
      </c>
      <c r="C158" s="421" t="s">
        <v>1715</v>
      </c>
      <c r="D158" s="196"/>
      <c r="E158" s="29">
        <f t="shared" si="129"/>
        <v>2048400</v>
      </c>
      <c r="F158" s="31">
        <f>IF(F$156-F$157&lt;0,0,F$156-F$157)</f>
        <v>21600</v>
      </c>
      <c r="G158" s="1124">
        <f t="shared" ref="G158:AS158" si="131">IF(G$156-G$157&lt;0,0,G$156-G$157)</f>
        <v>38200</v>
      </c>
      <c r="H158" s="1124">
        <f t="shared" si="131"/>
        <v>24800</v>
      </c>
      <c r="I158" s="1124">
        <f t="shared" si="131"/>
        <v>26400</v>
      </c>
      <c r="J158" s="1124">
        <f t="shared" si="131"/>
        <v>28100</v>
      </c>
      <c r="K158" s="1124">
        <f t="shared" si="131"/>
        <v>41300</v>
      </c>
      <c r="L158" s="1124">
        <f t="shared" si="131"/>
        <v>44000</v>
      </c>
      <c r="M158" s="1124">
        <f t="shared" si="131"/>
        <v>46700</v>
      </c>
      <c r="N158" s="1124">
        <f t="shared" si="131"/>
        <v>32200</v>
      </c>
      <c r="O158" s="1124">
        <f t="shared" si="131"/>
        <v>34000</v>
      </c>
      <c r="P158" s="1124">
        <f t="shared" si="131"/>
        <v>35400</v>
      </c>
      <c r="Q158" s="1124">
        <f t="shared" si="131"/>
        <v>37600</v>
      </c>
      <c r="R158" s="1124">
        <f t="shared" si="131"/>
        <v>45000</v>
      </c>
      <c r="S158" s="1124">
        <f t="shared" si="131"/>
        <v>48200</v>
      </c>
      <c r="T158" s="1124">
        <f t="shared" si="131"/>
        <v>63000</v>
      </c>
      <c r="U158" s="1124">
        <f t="shared" si="131"/>
        <v>71500</v>
      </c>
      <c r="V158" s="1124">
        <f t="shared" si="131"/>
        <v>72700</v>
      </c>
      <c r="W158" s="1124">
        <f t="shared" si="131"/>
        <v>77800</v>
      </c>
      <c r="X158" s="1124">
        <f t="shared" si="131"/>
        <v>73600</v>
      </c>
      <c r="Y158" s="1124">
        <f t="shared" si="131"/>
        <v>76600</v>
      </c>
      <c r="Z158" s="1124">
        <f t="shared" si="131"/>
        <v>81400</v>
      </c>
      <c r="AA158" s="1124">
        <f t="shared" si="131"/>
        <v>86500</v>
      </c>
      <c r="AB158" s="1124">
        <f t="shared" si="131"/>
        <v>96700</v>
      </c>
      <c r="AC158" s="1124">
        <f t="shared" si="131"/>
        <v>113500</v>
      </c>
      <c r="AD158" s="1124">
        <f t="shared" si="131"/>
        <v>115800</v>
      </c>
      <c r="AE158" s="1124">
        <f t="shared" si="131"/>
        <v>122400</v>
      </c>
      <c r="AF158" s="1124">
        <f t="shared" si="131"/>
        <v>125700</v>
      </c>
      <c r="AG158" s="1124">
        <f t="shared" si="131"/>
        <v>120200</v>
      </c>
      <c r="AH158" s="1124">
        <f t="shared" si="131"/>
        <v>122000</v>
      </c>
      <c r="AI158" s="1124">
        <f t="shared" si="131"/>
        <v>125500</v>
      </c>
      <c r="AJ158" s="1124">
        <f t="shared" si="131"/>
        <v>0</v>
      </c>
      <c r="AK158" s="1124">
        <f t="shared" si="131"/>
        <v>0</v>
      </c>
      <c r="AL158" s="1124">
        <f t="shared" si="131"/>
        <v>0</v>
      </c>
      <c r="AM158" s="1124">
        <f t="shared" si="131"/>
        <v>0</v>
      </c>
      <c r="AN158" s="1124">
        <f t="shared" si="131"/>
        <v>0</v>
      </c>
      <c r="AO158" s="1124">
        <f t="shared" si="131"/>
        <v>0</v>
      </c>
      <c r="AP158" s="1124">
        <f t="shared" si="131"/>
        <v>0</v>
      </c>
      <c r="AQ158" s="1124">
        <f t="shared" si="131"/>
        <v>0</v>
      </c>
      <c r="AR158" s="1124">
        <f t="shared" si="131"/>
        <v>0</v>
      </c>
      <c r="AS158" s="1124">
        <f t="shared" si="131"/>
        <v>0</v>
      </c>
      <c r="AT158" s="3"/>
      <c r="AU158" s="29">
        <f>+Details!E158</f>
        <v>2048400</v>
      </c>
      <c r="AV158" s="81">
        <f t="shared" si="125"/>
        <v>0</v>
      </c>
      <c r="AW158" s="102"/>
      <c r="AY158" s="31">
        <f>+Details!F158-Base!F158</f>
        <v>0</v>
      </c>
      <c r="AZ158" s="1124">
        <f>+Details!G158-Base!G158</f>
        <v>0</v>
      </c>
      <c r="BA158" s="1124">
        <f>+Details!H158-Base!H158</f>
        <v>0</v>
      </c>
      <c r="BB158" s="1124">
        <f>+Details!I158-Base!I158</f>
        <v>0</v>
      </c>
      <c r="BC158" s="1124">
        <f>+Details!J158-Base!J158</f>
        <v>0</v>
      </c>
      <c r="BD158" s="1124">
        <f>+Details!K158-Base!K158</f>
        <v>0</v>
      </c>
      <c r="BE158" s="1124">
        <f>+Details!L158-Base!L158</f>
        <v>0</v>
      </c>
      <c r="BF158" s="1124">
        <f>+Details!M158-Base!M158</f>
        <v>0</v>
      </c>
      <c r="BG158" s="1124">
        <f>+Details!N158-Base!N158</f>
        <v>0</v>
      </c>
      <c r="BH158" s="1124">
        <f>+Details!O158-Base!O158</f>
        <v>0</v>
      </c>
      <c r="BI158" s="1124">
        <f>+Details!P158-Base!P158</f>
        <v>0</v>
      </c>
      <c r="BJ158" s="1124">
        <f>+Details!Q158-Base!Q158</f>
        <v>0</v>
      </c>
      <c r="BK158" s="1124">
        <f>+Details!R158-Base!R158</f>
        <v>0</v>
      </c>
      <c r="BL158" s="1124">
        <f>+Details!S158-Base!S158</f>
        <v>0</v>
      </c>
      <c r="BM158" s="1124">
        <f>+Details!T158-Base!T158</f>
        <v>0</v>
      </c>
      <c r="BN158" s="1124">
        <f>+Details!U158-Base!U158</f>
        <v>0</v>
      </c>
      <c r="BO158" s="1124">
        <f>+Details!V158-Base!V158</f>
        <v>0</v>
      </c>
      <c r="BP158" s="1124">
        <f>+Details!W158-Base!W158</f>
        <v>0</v>
      </c>
      <c r="BQ158" s="1124">
        <f>+Details!X158-Base!X158</f>
        <v>0</v>
      </c>
      <c r="BR158" s="1124">
        <f>+Details!Y158-Base!Y158</f>
        <v>0</v>
      </c>
      <c r="BS158" s="1124">
        <f>+Details!Z158-Base!Z158</f>
        <v>0</v>
      </c>
      <c r="BT158" s="1124">
        <f>+Details!AA158-Base!AA158</f>
        <v>0</v>
      </c>
      <c r="BU158" s="1124">
        <f>+Details!AB158-Base!AB158</f>
        <v>0</v>
      </c>
      <c r="BV158" s="1124">
        <f>+Details!AC158-Base!AC158</f>
        <v>0</v>
      </c>
      <c r="BW158" s="1124">
        <f>+Details!AD158-Base!AD158</f>
        <v>0</v>
      </c>
      <c r="BX158" s="1124">
        <f>+Details!AE158-Base!AE158</f>
        <v>0</v>
      </c>
      <c r="BY158" s="1124">
        <f>+Details!AF158-Base!AF158</f>
        <v>0</v>
      </c>
      <c r="BZ158" s="1124">
        <f>+Details!AG158-Base!AG158</f>
        <v>0</v>
      </c>
      <c r="CA158" s="1124">
        <f>+Details!AH158-Base!AH158</f>
        <v>0</v>
      </c>
      <c r="CB158" s="1124">
        <f>+Details!AI158-Base!AI158</f>
        <v>0</v>
      </c>
      <c r="CC158" s="1124">
        <f>+Details!AJ158-Base!AJ158</f>
        <v>0</v>
      </c>
      <c r="CD158" s="1124">
        <f>+Details!AK158-Base!AK158</f>
        <v>0</v>
      </c>
      <c r="CE158" s="1124">
        <f>+Details!AL158-Base!AL158</f>
        <v>0</v>
      </c>
      <c r="CF158" s="1124">
        <f>+Details!AM158-Base!AM158</f>
        <v>0</v>
      </c>
      <c r="CG158" s="1124">
        <f>+Details!AN158-Base!AN158</f>
        <v>0</v>
      </c>
      <c r="CH158" s="1124">
        <f>+Details!AO158-Base!AO158</f>
        <v>0</v>
      </c>
      <c r="CI158" s="1124">
        <f>+Details!AP158-Base!AP158</f>
        <v>0</v>
      </c>
      <c r="CJ158" s="1124">
        <f>+Details!AQ158-Base!AQ158</f>
        <v>0</v>
      </c>
      <c r="CK158" s="1124">
        <f>+Details!AR158-Base!AR158</f>
        <v>0</v>
      </c>
      <c r="CL158" s="1124">
        <f>+Details!AS158-Base!AS158</f>
        <v>0</v>
      </c>
      <c r="CM158" s="81"/>
    </row>
    <row r="159" spans="1:91" hidden="1">
      <c r="A159" s="1427" t="s">
        <v>1578</v>
      </c>
      <c r="B159" s="234" t="s">
        <v>661</v>
      </c>
      <c r="C159" s="421" t="s">
        <v>1098</v>
      </c>
      <c r="E159" s="29">
        <f t="shared" si="129"/>
        <v>342000</v>
      </c>
      <c r="F159" s="31">
        <f>IF(F$156&lt;F$157,F$156,F$157)</f>
        <v>12000</v>
      </c>
      <c r="G159" s="1124">
        <f t="shared" ref="G159:AS159" si="132">IF(G$156&lt;G$157,G$156,G$157)</f>
        <v>12000</v>
      </c>
      <c r="H159" s="1124">
        <f t="shared" si="132"/>
        <v>12000</v>
      </c>
      <c r="I159" s="1124">
        <f t="shared" si="132"/>
        <v>12000</v>
      </c>
      <c r="J159" s="1124">
        <f t="shared" si="132"/>
        <v>12000</v>
      </c>
      <c r="K159" s="1124">
        <f t="shared" si="132"/>
        <v>12000</v>
      </c>
      <c r="L159" s="1124">
        <f t="shared" si="132"/>
        <v>12000</v>
      </c>
      <c r="M159" s="1124">
        <f t="shared" si="132"/>
        <v>12000</v>
      </c>
      <c r="N159" s="1124">
        <f t="shared" si="132"/>
        <v>12000</v>
      </c>
      <c r="O159" s="1124">
        <f t="shared" si="132"/>
        <v>12000</v>
      </c>
      <c r="P159" s="1124">
        <f t="shared" si="132"/>
        <v>12000</v>
      </c>
      <c r="Q159" s="1124">
        <f t="shared" si="132"/>
        <v>12000</v>
      </c>
      <c r="R159" s="1124">
        <f t="shared" si="132"/>
        <v>12000</v>
      </c>
      <c r="S159" s="1124">
        <f t="shared" si="132"/>
        <v>12000</v>
      </c>
      <c r="T159" s="1124">
        <f t="shared" si="132"/>
        <v>12000</v>
      </c>
      <c r="U159" s="1124">
        <f t="shared" si="132"/>
        <v>12000</v>
      </c>
      <c r="V159" s="1124">
        <f t="shared" si="132"/>
        <v>12000</v>
      </c>
      <c r="W159" s="1124">
        <f t="shared" si="132"/>
        <v>12000</v>
      </c>
      <c r="X159" s="1124">
        <f t="shared" si="132"/>
        <v>12000</v>
      </c>
      <c r="Y159" s="1124">
        <f t="shared" si="132"/>
        <v>12000</v>
      </c>
      <c r="Z159" s="1124">
        <f t="shared" si="132"/>
        <v>12000</v>
      </c>
      <c r="AA159" s="1124">
        <f t="shared" si="132"/>
        <v>12000</v>
      </c>
      <c r="AB159" s="1124">
        <f t="shared" si="132"/>
        <v>12000</v>
      </c>
      <c r="AC159" s="1124">
        <f t="shared" si="132"/>
        <v>12000</v>
      </c>
      <c r="AD159" s="1124">
        <f t="shared" si="132"/>
        <v>9000</v>
      </c>
      <c r="AE159" s="1124">
        <f t="shared" si="132"/>
        <v>9000</v>
      </c>
      <c r="AF159" s="1124">
        <f t="shared" si="132"/>
        <v>9000</v>
      </c>
      <c r="AG159" s="1124">
        <f t="shared" si="132"/>
        <v>9000</v>
      </c>
      <c r="AH159" s="1124">
        <f t="shared" si="132"/>
        <v>9000</v>
      </c>
      <c r="AI159" s="1124">
        <f t="shared" si="132"/>
        <v>9000</v>
      </c>
      <c r="AJ159" s="1124">
        <f t="shared" si="132"/>
        <v>0</v>
      </c>
      <c r="AK159" s="1124">
        <f t="shared" si="132"/>
        <v>0</v>
      </c>
      <c r="AL159" s="1124">
        <f t="shared" si="132"/>
        <v>0</v>
      </c>
      <c r="AM159" s="1124">
        <f t="shared" si="132"/>
        <v>0</v>
      </c>
      <c r="AN159" s="1124">
        <f t="shared" si="132"/>
        <v>0</v>
      </c>
      <c r="AO159" s="1124">
        <f t="shared" si="132"/>
        <v>0</v>
      </c>
      <c r="AP159" s="1124">
        <f t="shared" si="132"/>
        <v>0</v>
      </c>
      <c r="AQ159" s="1124">
        <f t="shared" si="132"/>
        <v>0</v>
      </c>
      <c r="AR159" s="1124">
        <f t="shared" si="132"/>
        <v>0</v>
      </c>
      <c r="AS159" s="1124">
        <f t="shared" si="132"/>
        <v>0</v>
      </c>
      <c r="AT159" s="3"/>
      <c r="AU159" s="29">
        <f>+Details!E159</f>
        <v>342000</v>
      </c>
      <c r="AV159" s="81">
        <f t="shared" ref="AV159:AV164" si="133">+E159-AU159</f>
        <v>0</v>
      </c>
      <c r="AW159" s="102"/>
      <c r="AY159" s="31">
        <f>+Details!F159-Base!F159</f>
        <v>0</v>
      </c>
      <c r="AZ159" s="1124">
        <f>+Details!G159-Base!G159</f>
        <v>0</v>
      </c>
      <c r="BA159" s="1124">
        <f>+Details!H159-Base!H159</f>
        <v>0</v>
      </c>
      <c r="BB159" s="1124">
        <f>+Details!I159-Base!I159</f>
        <v>0</v>
      </c>
      <c r="BC159" s="1124">
        <f>+Details!J159-Base!J159</f>
        <v>0</v>
      </c>
      <c r="BD159" s="1124">
        <f>+Details!K159-Base!K159</f>
        <v>0</v>
      </c>
      <c r="BE159" s="1124">
        <f>+Details!L159-Base!L159</f>
        <v>0</v>
      </c>
      <c r="BF159" s="1124">
        <f>+Details!M159-Base!M159</f>
        <v>0</v>
      </c>
      <c r="BG159" s="1124">
        <f>+Details!N159-Base!N159</f>
        <v>0</v>
      </c>
      <c r="BH159" s="1124">
        <f>+Details!O159-Base!O159</f>
        <v>0</v>
      </c>
      <c r="BI159" s="1124">
        <f>+Details!P159-Base!P159</f>
        <v>0</v>
      </c>
      <c r="BJ159" s="1124">
        <f>+Details!Q159-Base!Q159</f>
        <v>0</v>
      </c>
      <c r="BK159" s="1124">
        <f>+Details!R159-Base!R159</f>
        <v>0</v>
      </c>
      <c r="BL159" s="1124">
        <f>+Details!S159-Base!S159</f>
        <v>0</v>
      </c>
      <c r="BM159" s="1124">
        <f>+Details!T159-Base!T159</f>
        <v>0</v>
      </c>
      <c r="BN159" s="1124">
        <f>+Details!U159-Base!U159</f>
        <v>0</v>
      </c>
      <c r="BO159" s="1124">
        <f>+Details!V159-Base!V159</f>
        <v>0</v>
      </c>
      <c r="BP159" s="1124">
        <f>+Details!W159-Base!W159</f>
        <v>0</v>
      </c>
      <c r="BQ159" s="1124">
        <f>+Details!X159-Base!X159</f>
        <v>0</v>
      </c>
      <c r="BR159" s="1124">
        <f>+Details!Y159-Base!Y159</f>
        <v>0</v>
      </c>
      <c r="BS159" s="1124">
        <f>+Details!Z159-Base!Z159</f>
        <v>0</v>
      </c>
      <c r="BT159" s="1124">
        <f>+Details!AA159-Base!AA159</f>
        <v>0</v>
      </c>
      <c r="BU159" s="1124">
        <f>+Details!AB159-Base!AB159</f>
        <v>0</v>
      </c>
      <c r="BV159" s="1124">
        <f>+Details!AC159-Base!AC159</f>
        <v>0</v>
      </c>
      <c r="BW159" s="1124">
        <f>+Details!AD159-Base!AD159</f>
        <v>0</v>
      </c>
      <c r="BX159" s="1124">
        <f>+Details!AE159-Base!AE159</f>
        <v>0</v>
      </c>
      <c r="BY159" s="1124">
        <f>+Details!AF159-Base!AF159</f>
        <v>0</v>
      </c>
      <c r="BZ159" s="1124">
        <f>+Details!AG159-Base!AG159</f>
        <v>0</v>
      </c>
      <c r="CA159" s="1124">
        <f>+Details!AH159-Base!AH159</f>
        <v>0</v>
      </c>
      <c r="CB159" s="1124">
        <f>+Details!AI159-Base!AI159</f>
        <v>0</v>
      </c>
      <c r="CC159" s="1124">
        <f>+Details!AJ159-Base!AJ159</f>
        <v>0</v>
      </c>
      <c r="CD159" s="1124">
        <f>+Details!AK159-Base!AK159</f>
        <v>0</v>
      </c>
      <c r="CE159" s="1124">
        <f>+Details!AL159-Base!AL159</f>
        <v>0</v>
      </c>
      <c r="CF159" s="1124">
        <f>+Details!AM159-Base!AM159</f>
        <v>0</v>
      </c>
      <c r="CG159" s="1124">
        <f>+Details!AN159-Base!AN159</f>
        <v>0</v>
      </c>
      <c r="CH159" s="1124">
        <f>+Details!AO159-Base!AO159</f>
        <v>0</v>
      </c>
      <c r="CI159" s="1124">
        <f>+Details!AP159-Base!AP159</f>
        <v>0</v>
      </c>
      <c r="CJ159" s="1124">
        <f>+Details!AQ159-Base!AQ159</f>
        <v>0</v>
      </c>
      <c r="CK159" s="1124">
        <f>+Details!AR159-Base!AR159</f>
        <v>0</v>
      </c>
      <c r="CL159" s="1124">
        <f>+Details!AS159-Base!AS159</f>
        <v>0</v>
      </c>
      <c r="CM159" s="81"/>
    </row>
    <row r="160" spans="1:91" hidden="1">
      <c r="A160" s="1427" t="s">
        <v>1578</v>
      </c>
      <c r="B160" s="234" t="s">
        <v>660</v>
      </c>
      <c r="C160" s="421" t="s">
        <v>1100</v>
      </c>
      <c r="D160" s="32"/>
      <c r="E160" s="29">
        <f t="shared" si="129"/>
        <v>171000</v>
      </c>
      <c r="F160" s="31">
        <f>+F$159*0.5</f>
        <v>6000</v>
      </c>
      <c r="G160" s="1124">
        <f t="shared" ref="G160:AS160" si="134">+G$159*0.5</f>
        <v>6000</v>
      </c>
      <c r="H160" s="1124">
        <f t="shared" si="134"/>
        <v>6000</v>
      </c>
      <c r="I160" s="1124">
        <f t="shared" si="134"/>
        <v>6000</v>
      </c>
      <c r="J160" s="1124">
        <f t="shared" si="134"/>
        <v>6000</v>
      </c>
      <c r="K160" s="1124">
        <f t="shared" si="134"/>
        <v>6000</v>
      </c>
      <c r="L160" s="1124">
        <f t="shared" si="134"/>
        <v>6000</v>
      </c>
      <c r="M160" s="1124">
        <f t="shared" si="134"/>
        <v>6000</v>
      </c>
      <c r="N160" s="1124">
        <f t="shared" si="134"/>
        <v>6000</v>
      </c>
      <c r="O160" s="1124">
        <f t="shared" si="134"/>
        <v>6000</v>
      </c>
      <c r="P160" s="1124">
        <f t="shared" si="134"/>
        <v>6000</v>
      </c>
      <c r="Q160" s="1124">
        <f t="shared" si="134"/>
        <v>6000</v>
      </c>
      <c r="R160" s="1124">
        <f t="shared" si="134"/>
        <v>6000</v>
      </c>
      <c r="S160" s="1124">
        <f t="shared" si="134"/>
        <v>6000</v>
      </c>
      <c r="T160" s="1124">
        <f t="shared" si="134"/>
        <v>6000</v>
      </c>
      <c r="U160" s="1124">
        <f t="shared" si="134"/>
        <v>6000</v>
      </c>
      <c r="V160" s="1124">
        <f t="shared" si="134"/>
        <v>6000</v>
      </c>
      <c r="W160" s="1124">
        <f t="shared" si="134"/>
        <v>6000</v>
      </c>
      <c r="X160" s="1124">
        <f t="shared" si="134"/>
        <v>6000</v>
      </c>
      <c r="Y160" s="1124">
        <f t="shared" si="134"/>
        <v>6000</v>
      </c>
      <c r="Z160" s="1124">
        <f t="shared" si="134"/>
        <v>6000</v>
      </c>
      <c r="AA160" s="1124">
        <f t="shared" si="134"/>
        <v>6000</v>
      </c>
      <c r="AB160" s="1124">
        <f t="shared" si="134"/>
        <v>6000</v>
      </c>
      <c r="AC160" s="1124">
        <f t="shared" si="134"/>
        <v>6000</v>
      </c>
      <c r="AD160" s="1124">
        <f t="shared" si="134"/>
        <v>4500</v>
      </c>
      <c r="AE160" s="1124">
        <f t="shared" si="134"/>
        <v>4500</v>
      </c>
      <c r="AF160" s="1124">
        <f t="shared" si="134"/>
        <v>4500</v>
      </c>
      <c r="AG160" s="1124">
        <f t="shared" si="134"/>
        <v>4500</v>
      </c>
      <c r="AH160" s="1124">
        <f t="shared" si="134"/>
        <v>4500</v>
      </c>
      <c r="AI160" s="1124">
        <f t="shared" si="134"/>
        <v>4500</v>
      </c>
      <c r="AJ160" s="1124">
        <f t="shared" si="134"/>
        <v>0</v>
      </c>
      <c r="AK160" s="1124">
        <f t="shared" si="134"/>
        <v>0</v>
      </c>
      <c r="AL160" s="1124">
        <f t="shared" si="134"/>
        <v>0</v>
      </c>
      <c r="AM160" s="1124">
        <f t="shared" si="134"/>
        <v>0</v>
      </c>
      <c r="AN160" s="1124">
        <f t="shared" si="134"/>
        <v>0</v>
      </c>
      <c r="AO160" s="1124">
        <f t="shared" si="134"/>
        <v>0</v>
      </c>
      <c r="AP160" s="1124">
        <f t="shared" si="134"/>
        <v>0</v>
      </c>
      <c r="AQ160" s="1124">
        <f t="shared" si="134"/>
        <v>0</v>
      </c>
      <c r="AR160" s="1124">
        <f t="shared" si="134"/>
        <v>0</v>
      </c>
      <c r="AS160" s="1124">
        <f t="shared" si="134"/>
        <v>0</v>
      </c>
      <c r="AT160" s="3"/>
      <c r="AU160" s="29">
        <f>+Details!E160</f>
        <v>171000</v>
      </c>
      <c r="AV160" s="81">
        <f t="shared" si="133"/>
        <v>0</v>
      </c>
      <c r="AW160" s="102"/>
      <c r="AY160" s="31">
        <f>+Details!F160-Base!F160</f>
        <v>0</v>
      </c>
      <c r="AZ160" s="1124">
        <f>+Details!G160-Base!G160</f>
        <v>0</v>
      </c>
      <c r="BA160" s="1124">
        <f>+Details!H160-Base!H160</f>
        <v>0</v>
      </c>
      <c r="BB160" s="1124">
        <f>+Details!I160-Base!I160</f>
        <v>0</v>
      </c>
      <c r="BC160" s="1124">
        <f>+Details!J160-Base!J160</f>
        <v>0</v>
      </c>
      <c r="BD160" s="1124">
        <f>+Details!K160-Base!K160</f>
        <v>0</v>
      </c>
      <c r="BE160" s="1124">
        <f>+Details!L160-Base!L160</f>
        <v>0</v>
      </c>
      <c r="BF160" s="1124">
        <f>+Details!M160-Base!M160</f>
        <v>0</v>
      </c>
      <c r="BG160" s="1124">
        <f>+Details!N160-Base!N160</f>
        <v>0</v>
      </c>
      <c r="BH160" s="1124">
        <f>+Details!O160-Base!O160</f>
        <v>0</v>
      </c>
      <c r="BI160" s="1124">
        <f>+Details!P160-Base!P160</f>
        <v>0</v>
      </c>
      <c r="BJ160" s="1124">
        <f>+Details!Q160-Base!Q160</f>
        <v>0</v>
      </c>
      <c r="BK160" s="1124">
        <f>+Details!R160-Base!R160</f>
        <v>0</v>
      </c>
      <c r="BL160" s="1124">
        <f>+Details!S160-Base!S160</f>
        <v>0</v>
      </c>
      <c r="BM160" s="1124">
        <f>+Details!T160-Base!T160</f>
        <v>0</v>
      </c>
      <c r="BN160" s="1124">
        <f>+Details!U160-Base!U160</f>
        <v>0</v>
      </c>
      <c r="BO160" s="1124">
        <f>+Details!V160-Base!V160</f>
        <v>0</v>
      </c>
      <c r="BP160" s="1124">
        <f>+Details!W160-Base!W160</f>
        <v>0</v>
      </c>
      <c r="BQ160" s="1124">
        <f>+Details!X160-Base!X160</f>
        <v>0</v>
      </c>
      <c r="BR160" s="1124">
        <f>+Details!Y160-Base!Y160</f>
        <v>0</v>
      </c>
      <c r="BS160" s="1124">
        <f>+Details!Z160-Base!Z160</f>
        <v>0</v>
      </c>
      <c r="BT160" s="1124">
        <f>+Details!AA160-Base!AA160</f>
        <v>0</v>
      </c>
      <c r="BU160" s="1124">
        <f>+Details!AB160-Base!AB160</f>
        <v>0</v>
      </c>
      <c r="BV160" s="1124">
        <f>+Details!AC160-Base!AC160</f>
        <v>0</v>
      </c>
      <c r="BW160" s="1124">
        <f>+Details!AD160-Base!AD160</f>
        <v>0</v>
      </c>
      <c r="BX160" s="1124">
        <f>+Details!AE160-Base!AE160</f>
        <v>0</v>
      </c>
      <c r="BY160" s="1124">
        <f>+Details!AF160-Base!AF160</f>
        <v>0</v>
      </c>
      <c r="BZ160" s="1124">
        <f>+Details!AG160-Base!AG160</f>
        <v>0</v>
      </c>
      <c r="CA160" s="1124">
        <f>+Details!AH160-Base!AH160</f>
        <v>0</v>
      </c>
      <c r="CB160" s="1124">
        <f>+Details!AI160-Base!AI160</f>
        <v>0</v>
      </c>
      <c r="CC160" s="1124">
        <f>+Details!AJ160-Base!AJ160</f>
        <v>0</v>
      </c>
      <c r="CD160" s="1124">
        <f>+Details!AK160-Base!AK160</f>
        <v>0</v>
      </c>
      <c r="CE160" s="1124">
        <f>+Details!AL160-Base!AL160</f>
        <v>0</v>
      </c>
      <c r="CF160" s="1124">
        <f>+Details!AM160-Base!AM160</f>
        <v>0</v>
      </c>
      <c r="CG160" s="1124">
        <f>+Details!AN160-Base!AN160</f>
        <v>0</v>
      </c>
      <c r="CH160" s="1124">
        <f>+Details!AO160-Base!AO160</f>
        <v>0</v>
      </c>
      <c r="CI160" s="1124">
        <f>+Details!AP160-Base!AP160</f>
        <v>0</v>
      </c>
      <c r="CJ160" s="1124">
        <f>+Details!AQ160-Base!AQ160</f>
        <v>0</v>
      </c>
      <c r="CK160" s="1124">
        <f>+Details!AR160-Base!AR160</f>
        <v>0</v>
      </c>
      <c r="CL160" s="1124">
        <f>+Details!AS160-Base!AS160</f>
        <v>0</v>
      </c>
      <c r="CM160" s="81"/>
    </row>
    <row r="161" spans="1:134" hidden="1">
      <c r="A161" s="1427" t="s">
        <v>1578</v>
      </c>
      <c r="B161" s="234" t="s">
        <v>269</v>
      </c>
      <c r="C161" s="421"/>
      <c r="D161" s="32"/>
      <c r="E161" s="29">
        <f t="shared" si="129"/>
        <v>141000</v>
      </c>
      <c r="F161" s="31">
        <f>IF(F$160&lt;F$152,F$160,F$152)</f>
        <v>0</v>
      </c>
      <c r="G161" s="1124">
        <f t="shared" ref="G161:AS161" si="135">IF(G$160&lt;G$152,G$160,G$152)</f>
        <v>0</v>
      </c>
      <c r="H161" s="1124">
        <f t="shared" si="135"/>
        <v>0</v>
      </c>
      <c r="I161" s="1124">
        <f t="shared" si="135"/>
        <v>0</v>
      </c>
      <c r="J161" s="1124">
        <f t="shared" si="135"/>
        <v>0</v>
      </c>
      <c r="K161" s="1124">
        <f t="shared" si="135"/>
        <v>6000</v>
      </c>
      <c r="L161" s="1124">
        <f t="shared" si="135"/>
        <v>6000</v>
      </c>
      <c r="M161" s="1124">
        <f t="shared" si="135"/>
        <v>6000</v>
      </c>
      <c r="N161" s="1124">
        <f t="shared" si="135"/>
        <v>6000</v>
      </c>
      <c r="O161" s="1124">
        <f t="shared" si="135"/>
        <v>6000</v>
      </c>
      <c r="P161" s="1124">
        <f t="shared" si="135"/>
        <v>6000</v>
      </c>
      <c r="Q161" s="1124">
        <f t="shared" si="135"/>
        <v>6000</v>
      </c>
      <c r="R161" s="1124">
        <f t="shared" si="135"/>
        <v>6000</v>
      </c>
      <c r="S161" s="1124">
        <f t="shared" si="135"/>
        <v>6000</v>
      </c>
      <c r="T161" s="1124">
        <f t="shared" si="135"/>
        <v>6000</v>
      </c>
      <c r="U161" s="1124">
        <f t="shared" si="135"/>
        <v>6000</v>
      </c>
      <c r="V161" s="1124">
        <f t="shared" si="135"/>
        <v>6000</v>
      </c>
      <c r="W161" s="1124">
        <f t="shared" si="135"/>
        <v>6000</v>
      </c>
      <c r="X161" s="1124">
        <f t="shared" si="135"/>
        <v>6000</v>
      </c>
      <c r="Y161" s="1124">
        <f t="shared" si="135"/>
        <v>6000</v>
      </c>
      <c r="Z161" s="1124">
        <f t="shared" si="135"/>
        <v>6000</v>
      </c>
      <c r="AA161" s="1124">
        <f t="shared" si="135"/>
        <v>6000</v>
      </c>
      <c r="AB161" s="1124">
        <f t="shared" si="135"/>
        <v>6000</v>
      </c>
      <c r="AC161" s="1124">
        <f t="shared" si="135"/>
        <v>6000</v>
      </c>
      <c r="AD161" s="1124">
        <f t="shared" si="135"/>
        <v>4500</v>
      </c>
      <c r="AE161" s="1124">
        <f t="shared" si="135"/>
        <v>4500</v>
      </c>
      <c r="AF161" s="1124">
        <f t="shared" si="135"/>
        <v>4500</v>
      </c>
      <c r="AG161" s="1124">
        <f t="shared" si="135"/>
        <v>4500</v>
      </c>
      <c r="AH161" s="1124">
        <f t="shared" si="135"/>
        <v>4500</v>
      </c>
      <c r="AI161" s="1124">
        <f t="shared" si="135"/>
        <v>4500</v>
      </c>
      <c r="AJ161" s="1124">
        <f t="shared" si="135"/>
        <v>0</v>
      </c>
      <c r="AK161" s="1124">
        <f t="shared" si="135"/>
        <v>0</v>
      </c>
      <c r="AL161" s="1124">
        <f t="shared" si="135"/>
        <v>0</v>
      </c>
      <c r="AM161" s="1124">
        <f t="shared" si="135"/>
        <v>0</v>
      </c>
      <c r="AN161" s="1124">
        <f t="shared" si="135"/>
        <v>0</v>
      </c>
      <c r="AO161" s="1124">
        <f t="shared" si="135"/>
        <v>0</v>
      </c>
      <c r="AP161" s="1124">
        <f t="shared" si="135"/>
        <v>0</v>
      </c>
      <c r="AQ161" s="1124">
        <f t="shared" si="135"/>
        <v>0</v>
      </c>
      <c r="AR161" s="1124">
        <f t="shared" si="135"/>
        <v>0</v>
      </c>
      <c r="AS161" s="1124">
        <f t="shared" si="135"/>
        <v>0</v>
      </c>
      <c r="AT161" s="3"/>
      <c r="AU161" s="29">
        <f>+Details!E161</f>
        <v>141000</v>
      </c>
      <c r="AV161" s="81">
        <f t="shared" si="133"/>
        <v>0</v>
      </c>
      <c r="AW161" s="102"/>
      <c r="AY161" s="31">
        <f>+Details!F161-Base!F161</f>
        <v>0</v>
      </c>
      <c r="AZ161" s="1124">
        <f>+Details!G161-Base!G161</f>
        <v>0</v>
      </c>
      <c r="BA161" s="1124">
        <f>+Details!H161-Base!H161</f>
        <v>0</v>
      </c>
      <c r="BB161" s="1124">
        <f>+Details!I161-Base!I161</f>
        <v>0</v>
      </c>
      <c r="BC161" s="1124">
        <f>+Details!J161-Base!J161</f>
        <v>0</v>
      </c>
      <c r="BD161" s="1124">
        <f>+Details!K161-Base!K161</f>
        <v>0</v>
      </c>
      <c r="BE161" s="1124">
        <f>+Details!L161-Base!L161</f>
        <v>0</v>
      </c>
      <c r="BF161" s="1124">
        <f>+Details!M161-Base!M161</f>
        <v>0</v>
      </c>
      <c r="BG161" s="1124">
        <f>+Details!N161-Base!N161</f>
        <v>0</v>
      </c>
      <c r="BH161" s="1124">
        <f>+Details!O161-Base!O161</f>
        <v>0</v>
      </c>
      <c r="BI161" s="1124">
        <f>+Details!P161-Base!P161</f>
        <v>0</v>
      </c>
      <c r="BJ161" s="1124">
        <f>+Details!Q161-Base!Q161</f>
        <v>0</v>
      </c>
      <c r="BK161" s="1124">
        <f>+Details!R161-Base!R161</f>
        <v>0</v>
      </c>
      <c r="BL161" s="1124">
        <f>+Details!S161-Base!S161</f>
        <v>0</v>
      </c>
      <c r="BM161" s="1124">
        <f>+Details!T161-Base!T161</f>
        <v>0</v>
      </c>
      <c r="BN161" s="1124">
        <f>+Details!U161-Base!U161</f>
        <v>0</v>
      </c>
      <c r="BO161" s="1124">
        <f>+Details!V161-Base!V161</f>
        <v>0</v>
      </c>
      <c r="BP161" s="1124">
        <f>+Details!W161-Base!W161</f>
        <v>0</v>
      </c>
      <c r="BQ161" s="1124">
        <f>+Details!X161-Base!X161</f>
        <v>0</v>
      </c>
      <c r="BR161" s="1124">
        <f>+Details!Y161-Base!Y161</f>
        <v>0</v>
      </c>
      <c r="BS161" s="1124">
        <f>+Details!Z161-Base!Z161</f>
        <v>0</v>
      </c>
      <c r="BT161" s="1124">
        <f>+Details!AA161-Base!AA161</f>
        <v>0</v>
      </c>
      <c r="BU161" s="1124">
        <f>+Details!AB161-Base!AB161</f>
        <v>0</v>
      </c>
      <c r="BV161" s="1124">
        <f>+Details!AC161-Base!AC161</f>
        <v>0</v>
      </c>
      <c r="BW161" s="1124">
        <f>+Details!AD161-Base!AD161</f>
        <v>0</v>
      </c>
      <c r="BX161" s="1124">
        <f>+Details!AE161-Base!AE161</f>
        <v>0</v>
      </c>
      <c r="BY161" s="1124">
        <f>+Details!AF161-Base!AF161</f>
        <v>0</v>
      </c>
      <c r="BZ161" s="1124">
        <f>+Details!AG161-Base!AG161</f>
        <v>0</v>
      </c>
      <c r="CA161" s="1124">
        <f>+Details!AH161-Base!AH161</f>
        <v>0</v>
      </c>
      <c r="CB161" s="1124">
        <f>+Details!AI161-Base!AI161</f>
        <v>0</v>
      </c>
      <c r="CC161" s="1124">
        <f>+Details!AJ161-Base!AJ161</f>
        <v>0</v>
      </c>
      <c r="CD161" s="1124">
        <f>+Details!AK161-Base!AK161</f>
        <v>0</v>
      </c>
      <c r="CE161" s="1124">
        <f>+Details!AL161-Base!AL161</f>
        <v>0</v>
      </c>
      <c r="CF161" s="1124">
        <f>+Details!AM161-Base!AM161</f>
        <v>0</v>
      </c>
      <c r="CG161" s="1124">
        <f>+Details!AN161-Base!AN161</f>
        <v>0</v>
      </c>
      <c r="CH161" s="1124">
        <f>+Details!AO161-Base!AO161</f>
        <v>0</v>
      </c>
      <c r="CI161" s="1124">
        <f>+Details!AP161-Base!AP161</f>
        <v>0</v>
      </c>
      <c r="CJ161" s="1124">
        <f>+Details!AQ161-Base!AQ161</f>
        <v>0</v>
      </c>
      <c r="CK161" s="1124">
        <f>+Details!AR161-Base!AR161</f>
        <v>0</v>
      </c>
      <c r="CL161" s="1124">
        <f>+Details!AS161-Base!AS161</f>
        <v>0</v>
      </c>
      <c r="CM161" s="81"/>
    </row>
    <row r="162" spans="1:134" hidden="1">
      <c r="A162" s="1427" t="s">
        <v>1578</v>
      </c>
      <c r="B162" s="234" t="s">
        <v>582</v>
      </c>
      <c r="C162" s="1008"/>
      <c r="D162" s="32"/>
      <c r="E162" s="29">
        <f t="shared" si="129"/>
        <v>1741400</v>
      </c>
      <c r="F162" s="31">
        <f t="shared" ref="F162:AS162" si="136">ROUND(IF(+F$158*0.85&lt;0,0,+F$158*0.85)/Round_To,0)*Round_To</f>
        <v>18400</v>
      </c>
      <c r="G162" s="1124">
        <f t="shared" si="136"/>
        <v>32500</v>
      </c>
      <c r="H162" s="1124">
        <f t="shared" si="136"/>
        <v>21100</v>
      </c>
      <c r="I162" s="1124">
        <f t="shared" si="136"/>
        <v>22400</v>
      </c>
      <c r="J162" s="1124">
        <f t="shared" si="136"/>
        <v>23900</v>
      </c>
      <c r="K162" s="1124">
        <f t="shared" si="136"/>
        <v>35100</v>
      </c>
      <c r="L162" s="1124">
        <f t="shared" si="136"/>
        <v>37400</v>
      </c>
      <c r="M162" s="1124">
        <f t="shared" si="136"/>
        <v>39700</v>
      </c>
      <c r="N162" s="1124">
        <f t="shared" si="136"/>
        <v>27400</v>
      </c>
      <c r="O162" s="1124">
        <f t="shared" si="136"/>
        <v>28900</v>
      </c>
      <c r="P162" s="1124">
        <f t="shared" si="136"/>
        <v>30100</v>
      </c>
      <c r="Q162" s="1124">
        <f t="shared" si="136"/>
        <v>32000</v>
      </c>
      <c r="R162" s="1124">
        <f t="shared" si="136"/>
        <v>38300</v>
      </c>
      <c r="S162" s="1124">
        <f t="shared" si="136"/>
        <v>41000</v>
      </c>
      <c r="T162" s="1124">
        <f t="shared" si="136"/>
        <v>53600</v>
      </c>
      <c r="U162" s="1124">
        <f t="shared" si="136"/>
        <v>60800</v>
      </c>
      <c r="V162" s="1124">
        <f t="shared" si="136"/>
        <v>61800</v>
      </c>
      <c r="W162" s="1124">
        <f t="shared" si="136"/>
        <v>66100</v>
      </c>
      <c r="X162" s="1124">
        <f t="shared" si="136"/>
        <v>62600</v>
      </c>
      <c r="Y162" s="1124">
        <f t="shared" si="136"/>
        <v>65100</v>
      </c>
      <c r="Z162" s="1124">
        <f t="shared" si="136"/>
        <v>69200</v>
      </c>
      <c r="AA162" s="1124">
        <f t="shared" si="136"/>
        <v>73500</v>
      </c>
      <c r="AB162" s="1124">
        <f t="shared" si="136"/>
        <v>82200</v>
      </c>
      <c r="AC162" s="1124">
        <f t="shared" si="136"/>
        <v>96500</v>
      </c>
      <c r="AD162" s="1124">
        <f t="shared" si="136"/>
        <v>98400</v>
      </c>
      <c r="AE162" s="1124">
        <f t="shared" si="136"/>
        <v>104000</v>
      </c>
      <c r="AF162" s="1124">
        <f t="shared" si="136"/>
        <v>106800</v>
      </c>
      <c r="AG162" s="1124">
        <f t="shared" si="136"/>
        <v>102200</v>
      </c>
      <c r="AH162" s="1124">
        <f t="shared" si="136"/>
        <v>103700</v>
      </c>
      <c r="AI162" s="1124">
        <f t="shared" si="136"/>
        <v>106700</v>
      </c>
      <c r="AJ162" s="1124">
        <f t="shared" si="136"/>
        <v>0</v>
      </c>
      <c r="AK162" s="1124">
        <f t="shared" si="136"/>
        <v>0</v>
      </c>
      <c r="AL162" s="1124">
        <f t="shared" si="136"/>
        <v>0</v>
      </c>
      <c r="AM162" s="1124">
        <f t="shared" si="136"/>
        <v>0</v>
      </c>
      <c r="AN162" s="1124">
        <f t="shared" si="136"/>
        <v>0</v>
      </c>
      <c r="AO162" s="1124">
        <f t="shared" si="136"/>
        <v>0</v>
      </c>
      <c r="AP162" s="1124">
        <f t="shared" si="136"/>
        <v>0</v>
      </c>
      <c r="AQ162" s="1124">
        <f t="shared" si="136"/>
        <v>0</v>
      </c>
      <c r="AR162" s="1124">
        <f t="shared" si="136"/>
        <v>0</v>
      </c>
      <c r="AS162" s="1124">
        <f t="shared" si="136"/>
        <v>0</v>
      </c>
      <c r="AT162" s="3"/>
      <c r="AU162" s="29">
        <f>+Details!E162</f>
        <v>1741400</v>
      </c>
      <c r="AV162" s="81">
        <f t="shared" si="133"/>
        <v>0</v>
      </c>
      <c r="AW162" s="102"/>
      <c r="AY162" s="31">
        <f>+Details!F162-Base!F162</f>
        <v>0</v>
      </c>
      <c r="AZ162" s="1124">
        <f>+Details!G162-Base!G162</f>
        <v>0</v>
      </c>
      <c r="BA162" s="1124">
        <f>+Details!H162-Base!H162</f>
        <v>0</v>
      </c>
      <c r="BB162" s="1124">
        <f>+Details!I162-Base!I162</f>
        <v>0</v>
      </c>
      <c r="BC162" s="1124">
        <f>+Details!J162-Base!J162</f>
        <v>0</v>
      </c>
      <c r="BD162" s="1124">
        <f>+Details!K162-Base!K162</f>
        <v>0</v>
      </c>
      <c r="BE162" s="1124">
        <f>+Details!L162-Base!L162</f>
        <v>0</v>
      </c>
      <c r="BF162" s="1124">
        <f>+Details!M162-Base!M162</f>
        <v>0</v>
      </c>
      <c r="BG162" s="1124">
        <f>+Details!N162-Base!N162</f>
        <v>0</v>
      </c>
      <c r="BH162" s="1124">
        <f>+Details!O162-Base!O162</f>
        <v>0</v>
      </c>
      <c r="BI162" s="1124">
        <f>+Details!P162-Base!P162</f>
        <v>0</v>
      </c>
      <c r="BJ162" s="1124">
        <f>+Details!Q162-Base!Q162</f>
        <v>0</v>
      </c>
      <c r="BK162" s="1124">
        <f>+Details!R162-Base!R162</f>
        <v>0</v>
      </c>
      <c r="BL162" s="1124">
        <f>+Details!S162-Base!S162</f>
        <v>0</v>
      </c>
      <c r="BM162" s="1124">
        <f>+Details!T162-Base!T162</f>
        <v>0</v>
      </c>
      <c r="BN162" s="1124">
        <f>+Details!U162-Base!U162</f>
        <v>0</v>
      </c>
      <c r="BO162" s="1124">
        <f>+Details!V162-Base!V162</f>
        <v>0</v>
      </c>
      <c r="BP162" s="1124">
        <f>+Details!W162-Base!W162</f>
        <v>0</v>
      </c>
      <c r="BQ162" s="1124">
        <f>+Details!X162-Base!X162</f>
        <v>0</v>
      </c>
      <c r="BR162" s="1124">
        <f>+Details!Y162-Base!Y162</f>
        <v>0</v>
      </c>
      <c r="BS162" s="1124">
        <f>+Details!Z162-Base!Z162</f>
        <v>0</v>
      </c>
      <c r="BT162" s="1124">
        <f>+Details!AA162-Base!AA162</f>
        <v>0</v>
      </c>
      <c r="BU162" s="1124">
        <f>+Details!AB162-Base!AB162</f>
        <v>0</v>
      </c>
      <c r="BV162" s="1124">
        <f>+Details!AC162-Base!AC162</f>
        <v>0</v>
      </c>
      <c r="BW162" s="1124">
        <f>+Details!AD162-Base!AD162</f>
        <v>0</v>
      </c>
      <c r="BX162" s="1124">
        <f>+Details!AE162-Base!AE162</f>
        <v>0</v>
      </c>
      <c r="BY162" s="1124">
        <f>+Details!AF162-Base!AF162</f>
        <v>0</v>
      </c>
      <c r="BZ162" s="1124">
        <f>+Details!AG162-Base!AG162</f>
        <v>0</v>
      </c>
      <c r="CA162" s="1124">
        <f>+Details!AH162-Base!AH162</f>
        <v>0</v>
      </c>
      <c r="CB162" s="1124">
        <f>+Details!AI162-Base!AI162</f>
        <v>0</v>
      </c>
      <c r="CC162" s="1124">
        <f>+Details!AJ162-Base!AJ162</f>
        <v>0</v>
      </c>
      <c r="CD162" s="1124">
        <f>+Details!AK162-Base!AK162</f>
        <v>0</v>
      </c>
      <c r="CE162" s="1124">
        <f>+Details!AL162-Base!AL162</f>
        <v>0</v>
      </c>
      <c r="CF162" s="1124">
        <f>+Details!AM162-Base!AM162</f>
        <v>0</v>
      </c>
      <c r="CG162" s="1124">
        <f>+Details!AN162-Base!AN162</f>
        <v>0</v>
      </c>
      <c r="CH162" s="1124">
        <f>+Details!AO162-Base!AO162</f>
        <v>0</v>
      </c>
      <c r="CI162" s="1124">
        <f>+Details!AP162-Base!AP162</f>
        <v>0</v>
      </c>
      <c r="CJ162" s="1124">
        <f>+Details!AQ162-Base!AQ162</f>
        <v>0</v>
      </c>
      <c r="CK162" s="1124">
        <f>+Details!AR162-Base!AR162</f>
        <v>0</v>
      </c>
      <c r="CL162" s="1124">
        <f>+Details!AS162-Base!AS162</f>
        <v>0</v>
      </c>
      <c r="CM162" s="81"/>
    </row>
    <row r="163" spans="1:134" hidden="1">
      <c r="A163" s="1427" t="s">
        <v>1578</v>
      </c>
      <c r="B163" s="234" t="s">
        <v>982</v>
      </c>
      <c r="C163" s="1009"/>
      <c r="D163" s="32"/>
      <c r="E163" s="29">
        <f t="shared" si="129"/>
        <v>1882400</v>
      </c>
      <c r="F163" s="31">
        <f t="shared" ref="F163:AS163" si="137">+F161+F162</f>
        <v>18400</v>
      </c>
      <c r="G163" s="1124">
        <f t="shared" si="137"/>
        <v>32500</v>
      </c>
      <c r="H163" s="1124">
        <f t="shared" si="137"/>
        <v>21100</v>
      </c>
      <c r="I163" s="1124">
        <f t="shared" si="137"/>
        <v>22400</v>
      </c>
      <c r="J163" s="1124">
        <f t="shared" si="137"/>
        <v>23900</v>
      </c>
      <c r="K163" s="1124">
        <f t="shared" si="137"/>
        <v>41100</v>
      </c>
      <c r="L163" s="1124">
        <f t="shared" si="137"/>
        <v>43400</v>
      </c>
      <c r="M163" s="1124">
        <f t="shared" si="137"/>
        <v>45700</v>
      </c>
      <c r="N163" s="1124">
        <f t="shared" si="137"/>
        <v>33400</v>
      </c>
      <c r="O163" s="1124">
        <f t="shared" si="137"/>
        <v>34900</v>
      </c>
      <c r="P163" s="1124">
        <f t="shared" si="137"/>
        <v>36100</v>
      </c>
      <c r="Q163" s="1124">
        <f t="shared" si="137"/>
        <v>38000</v>
      </c>
      <c r="R163" s="1124">
        <f t="shared" si="137"/>
        <v>44300</v>
      </c>
      <c r="S163" s="1124">
        <f t="shared" si="137"/>
        <v>47000</v>
      </c>
      <c r="T163" s="1124">
        <f t="shared" si="137"/>
        <v>59600</v>
      </c>
      <c r="U163" s="1124">
        <f t="shared" si="137"/>
        <v>66800</v>
      </c>
      <c r="V163" s="1124">
        <f t="shared" si="137"/>
        <v>67800</v>
      </c>
      <c r="W163" s="1124">
        <f t="shared" si="137"/>
        <v>72100</v>
      </c>
      <c r="X163" s="1124">
        <f t="shared" si="137"/>
        <v>68600</v>
      </c>
      <c r="Y163" s="1124">
        <f t="shared" si="137"/>
        <v>71100</v>
      </c>
      <c r="Z163" s="1124">
        <f t="shared" si="137"/>
        <v>75200</v>
      </c>
      <c r="AA163" s="1124">
        <f t="shared" si="137"/>
        <v>79500</v>
      </c>
      <c r="AB163" s="1124">
        <f t="shared" si="137"/>
        <v>88200</v>
      </c>
      <c r="AC163" s="1124">
        <f t="shared" si="137"/>
        <v>102500</v>
      </c>
      <c r="AD163" s="1124">
        <f t="shared" si="137"/>
        <v>102900</v>
      </c>
      <c r="AE163" s="1124">
        <f t="shared" si="137"/>
        <v>108500</v>
      </c>
      <c r="AF163" s="1124">
        <f t="shared" si="137"/>
        <v>111300</v>
      </c>
      <c r="AG163" s="1124">
        <f t="shared" si="137"/>
        <v>106700</v>
      </c>
      <c r="AH163" s="1124">
        <f t="shared" si="137"/>
        <v>108200</v>
      </c>
      <c r="AI163" s="1124">
        <f t="shared" si="137"/>
        <v>111200</v>
      </c>
      <c r="AJ163" s="1124">
        <f t="shared" si="137"/>
        <v>0</v>
      </c>
      <c r="AK163" s="1124">
        <f t="shared" si="137"/>
        <v>0</v>
      </c>
      <c r="AL163" s="1124">
        <f t="shared" si="137"/>
        <v>0</v>
      </c>
      <c r="AM163" s="1124">
        <f t="shared" si="137"/>
        <v>0</v>
      </c>
      <c r="AN163" s="1124">
        <f t="shared" si="137"/>
        <v>0</v>
      </c>
      <c r="AO163" s="1124">
        <f t="shared" si="137"/>
        <v>0</v>
      </c>
      <c r="AP163" s="1124">
        <f t="shared" si="137"/>
        <v>0</v>
      </c>
      <c r="AQ163" s="1124">
        <f t="shared" si="137"/>
        <v>0</v>
      </c>
      <c r="AR163" s="1124">
        <f t="shared" si="137"/>
        <v>0</v>
      </c>
      <c r="AS163" s="1124">
        <f t="shared" si="137"/>
        <v>0</v>
      </c>
      <c r="AT163" s="3"/>
      <c r="AU163" s="29">
        <f>+Details!E163</f>
        <v>1882400</v>
      </c>
      <c r="AV163" s="81">
        <f t="shared" si="133"/>
        <v>0</v>
      </c>
      <c r="AW163" s="102"/>
      <c r="AY163" s="31">
        <f>+Details!F163-Base!F163</f>
        <v>0</v>
      </c>
      <c r="AZ163" s="1124">
        <f>+Details!G163-Base!G163</f>
        <v>0</v>
      </c>
      <c r="BA163" s="1124">
        <f>+Details!H163-Base!H163</f>
        <v>0</v>
      </c>
      <c r="BB163" s="1124">
        <f>+Details!I163-Base!I163</f>
        <v>0</v>
      </c>
      <c r="BC163" s="1124">
        <f>+Details!J163-Base!J163</f>
        <v>0</v>
      </c>
      <c r="BD163" s="1124">
        <f>+Details!K163-Base!K163</f>
        <v>0</v>
      </c>
      <c r="BE163" s="1124">
        <f>+Details!L163-Base!L163</f>
        <v>0</v>
      </c>
      <c r="BF163" s="1124">
        <f>+Details!M163-Base!M163</f>
        <v>0</v>
      </c>
      <c r="BG163" s="1124">
        <f>+Details!N163-Base!N163</f>
        <v>0</v>
      </c>
      <c r="BH163" s="1124">
        <f>+Details!O163-Base!O163</f>
        <v>0</v>
      </c>
      <c r="BI163" s="1124">
        <f>+Details!P163-Base!P163</f>
        <v>0</v>
      </c>
      <c r="BJ163" s="1124">
        <f>+Details!Q163-Base!Q163</f>
        <v>0</v>
      </c>
      <c r="BK163" s="1124">
        <f>+Details!R163-Base!R163</f>
        <v>0</v>
      </c>
      <c r="BL163" s="1124">
        <f>+Details!S163-Base!S163</f>
        <v>0</v>
      </c>
      <c r="BM163" s="1124">
        <f>+Details!T163-Base!T163</f>
        <v>0</v>
      </c>
      <c r="BN163" s="1124">
        <f>+Details!U163-Base!U163</f>
        <v>0</v>
      </c>
      <c r="BO163" s="1124">
        <f>+Details!V163-Base!V163</f>
        <v>0</v>
      </c>
      <c r="BP163" s="1124">
        <f>+Details!W163-Base!W163</f>
        <v>0</v>
      </c>
      <c r="BQ163" s="1124">
        <f>+Details!X163-Base!X163</f>
        <v>0</v>
      </c>
      <c r="BR163" s="1124">
        <f>+Details!Y163-Base!Y163</f>
        <v>0</v>
      </c>
      <c r="BS163" s="1124">
        <f>+Details!Z163-Base!Z163</f>
        <v>0</v>
      </c>
      <c r="BT163" s="1124">
        <f>+Details!AA163-Base!AA163</f>
        <v>0</v>
      </c>
      <c r="BU163" s="1124">
        <f>+Details!AB163-Base!AB163</f>
        <v>0</v>
      </c>
      <c r="BV163" s="1124">
        <f>+Details!AC163-Base!AC163</f>
        <v>0</v>
      </c>
      <c r="BW163" s="1124">
        <f>+Details!AD163-Base!AD163</f>
        <v>0</v>
      </c>
      <c r="BX163" s="1124">
        <f>+Details!AE163-Base!AE163</f>
        <v>0</v>
      </c>
      <c r="BY163" s="1124">
        <f>+Details!AF163-Base!AF163</f>
        <v>0</v>
      </c>
      <c r="BZ163" s="1124">
        <f>+Details!AG163-Base!AG163</f>
        <v>0</v>
      </c>
      <c r="CA163" s="1124">
        <f>+Details!AH163-Base!AH163</f>
        <v>0</v>
      </c>
      <c r="CB163" s="1124">
        <f>+Details!AI163-Base!AI163</f>
        <v>0</v>
      </c>
      <c r="CC163" s="1124">
        <f>+Details!AJ163-Base!AJ163</f>
        <v>0</v>
      </c>
      <c r="CD163" s="1124">
        <f>+Details!AK163-Base!AK163</f>
        <v>0</v>
      </c>
      <c r="CE163" s="1124">
        <f>+Details!AL163-Base!AL163</f>
        <v>0</v>
      </c>
      <c r="CF163" s="1124">
        <f>+Details!AM163-Base!AM163</f>
        <v>0</v>
      </c>
      <c r="CG163" s="1124">
        <f>+Details!AN163-Base!AN163</f>
        <v>0</v>
      </c>
      <c r="CH163" s="1124">
        <f>+Details!AO163-Base!AO163</f>
        <v>0</v>
      </c>
      <c r="CI163" s="1124">
        <f>+Details!AP163-Base!AP163</f>
        <v>0</v>
      </c>
      <c r="CJ163" s="1124">
        <f>+Details!AQ163-Base!AQ163</f>
        <v>0</v>
      </c>
      <c r="CK163" s="1124">
        <f>+Details!AR163-Base!AR163</f>
        <v>0</v>
      </c>
      <c r="CL163" s="1124">
        <f>+Details!AS163-Base!AS163</f>
        <v>0</v>
      </c>
      <c r="CM163" s="81"/>
    </row>
    <row r="164" spans="1:134" hidden="1">
      <c r="A164" s="1427" t="s">
        <v>1578</v>
      </c>
      <c r="B164" s="423" t="s">
        <v>983</v>
      </c>
      <c r="C164" s="423"/>
      <c r="D164" s="423"/>
      <c r="E164" s="29">
        <f t="shared" si="129"/>
        <v>1289800</v>
      </c>
      <c r="F164" s="31">
        <f t="shared" ref="F164:AS164" si="138">ROUND(+F151*0.85/Round_To,0)*Round_To</f>
        <v>0</v>
      </c>
      <c r="G164" s="1124">
        <f t="shared" si="138"/>
        <v>0</v>
      </c>
      <c r="H164" s="1124">
        <f t="shared" si="138"/>
        <v>0</v>
      </c>
      <c r="I164" s="1124">
        <f t="shared" si="138"/>
        <v>0</v>
      </c>
      <c r="J164" s="1124">
        <f t="shared" si="138"/>
        <v>0</v>
      </c>
      <c r="K164" s="1124">
        <f t="shared" si="138"/>
        <v>18800</v>
      </c>
      <c r="L164" s="1124">
        <f t="shared" si="138"/>
        <v>19100</v>
      </c>
      <c r="M164" s="1124">
        <f t="shared" si="138"/>
        <v>19600</v>
      </c>
      <c r="N164" s="1124">
        <f t="shared" si="138"/>
        <v>59400</v>
      </c>
      <c r="O164" s="1124">
        <f t="shared" si="138"/>
        <v>60600</v>
      </c>
      <c r="P164" s="1124">
        <f t="shared" si="138"/>
        <v>61800</v>
      </c>
      <c r="Q164" s="1124">
        <f t="shared" si="138"/>
        <v>63100</v>
      </c>
      <c r="R164" s="1124">
        <f t="shared" si="138"/>
        <v>64300</v>
      </c>
      <c r="S164" s="1124">
        <f t="shared" si="138"/>
        <v>65600</v>
      </c>
      <c r="T164" s="1124">
        <f t="shared" si="138"/>
        <v>66900</v>
      </c>
      <c r="U164" s="1124">
        <f t="shared" si="138"/>
        <v>68200</v>
      </c>
      <c r="V164" s="1124">
        <f t="shared" si="138"/>
        <v>53600</v>
      </c>
      <c r="W164" s="1124">
        <f t="shared" si="138"/>
        <v>54600</v>
      </c>
      <c r="X164" s="1124">
        <f t="shared" si="138"/>
        <v>55700</v>
      </c>
      <c r="Y164" s="1124">
        <f t="shared" si="138"/>
        <v>56800</v>
      </c>
      <c r="Z164" s="1124">
        <f t="shared" si="138"/>
        <v>57900</v>
      </c>
      <c r="AA164" s="1124">
        <f t="shared" si="138"/>
        <v>59100</v>
      </c>
      <c r="AB164" s="1124">
        <f t="shared" si="138"/>
        <v>60300</v>
      </c>
      <c r="AC164" s="1124">
        <f t="shared" si="138"/>
        <v>61500</v>
      </c>
      <c r="AD164" s="1124">
        <f t="shared" si="138"/>
        <v>41700</v>
      </c>
      <c r="AE164" s="1124">
        <f t="shared" si="138"/>
        <v>42500</v>
      </c>
      <c r="AF164" s="1124">
        <f t="shared" si="138"/>
        <v>43400</v>
      </c>
      <c r="AG164" s="1124">
        <f t="shared" si="138"/>
        <v>44200</v>
      </c>
      <c r="AH164" s="1124">
        <f t="shared" si="138"/>
        <v>45100</v>
      </c>
      <c r="AI164" s="1124">
        <f t="shared" si="138"/>
        <v>46000</v>
      </c>
      <c r="AJ164" s="1124">
        <f t="shared" si="138"/>
        <v>0</v>
      </c>
      <c r="AK164" s="1124">
        <f t="shared" si="138"/>
        <v>0</v>
      </c>
      <c r="AL164" s="1124">
        <f t="shared" si="138"/>
        <v>0</v>
      </c>
      <c r="AM164" s="1124">
        <f t="shared" si="138"/>
        <v>0</v>
      </c>
      <c r="AN164" s="1124">
        <f t="shared" si="138"/>
        <v>0</v>
      </c>
      <c r="AO164" s="1124">
        <f t="shared" si="138"/>
        <v>0</v>
      </c>
      <c r="AP164" s="1124">
        <f t="shared" si="138"/>
        <v>0</v>
      </c>
      <c r="AQ164" s="1124">
        <f t="shared" si="138"/>
        <v>0</v>
      </c>
      <c r="AR164" s="1124">
        <f t="shared" si="138"/>
        <v>0</v>
      </c>
      <c r="AS164" s="1124">
        <f t="shared" si="138"/>
        <v>0</v>
      </c>
      <c r="AT164" s="3"/>
      <c r="AU164" s="29">
        <f>+Details!E164</f>
        <v>1289800</v>
      </c>
      <c r="AV164" s="81">
        <f t="shared" si="133"/>
        <v>0</v>
      </c>
      <c r="AW164" s="102"/>
      <c r="AY164" s="31">
        <f>+Details!F164-Base!F164</f>
        <v>0</v>
      </c>
      <c r="AZ164" s="1124">
        <f>+Details!G164-Base!G164</f>
        <v>0</v>
      </c>
      <c r="BA164" s="1124">
        <f>+Details!H164-Base!H164</f>
        <v>0</v>
      </c>
      <c r="BB164" s="1124">
        <f>+Details!I164-Base!I164</f>
        <v>0</v>
      </c>
      <c r="BC164" s="1124">
        <f>+Details!J164-Base!J164</f>
        <v>0</v>
      </c>
      <c r="BD164" s="1124">
        <f>+Details!K164-Base!K164</f>
        <v>0</v>
      </c>
      <c r="BE164" s="1124">
        <f>+Details!L164-Base!L164</f>
        <v>0</v>
      </c>
      <c r="BF164" s="1124">
        <f>+Details!M164-Base!M164</f>
        <v>0</v>
      </c>
      <c r="BG164" s="1124">
        <f>+Details!N164-Base!N164</f>
        <v>0</v>
      </c>
      <c r="BH164" s="1124">
        <f>+Details!O164-Base!O164</f>
        <v>0</v>
      </c>
      <c r="BI164" s="1124">
        <f>+Details!P164-Base!P164</f>
        <v>0</v>
      </c>
      <c r="BJ164" s="1124">
        <f>+Details!Q164-Base!Q164</f>
        <v>0</v>
      </c>
      <c r="BK164" s="1124">
        <f>+Details!R164-Base!R164</f>
        <v>0</v>
      </c>
      <c r="BL164" s="1124">
        <f>+Details!S164-Base!S164</f>
        <v>0</v>
      </c>
      <c r="BM164" s="1124">
        <f>+Details!T164-Base!T164</f>
        <v>0</v>
      </c>
      <c r="BN164" s="1124">
        <f>+Details!U164-Base!U164</f>
        <v>0</v>
      </c>
      <c r="BO164" s="1124">
        <f>+Details!V164-Base!V164</f>
        <v>0</v>
      </c>
      <c r="BP164" s="1124">
        <f>+Details!W164-Base!W164</f>
        <v>0</v>
      </c>
      <c r="BQ164" s="1124">
        <f>+Details!X164-Base!X164</f>
        <v>0</v>
      </c>
      <c r="BR164" s="1124">
        <f>+Details!Y164-Base!Y164</f>
        <v>0</v>
      </c>
      <c r="BS164" s="1124">
        <f>+Details!Z164-Base!Z164</f>
        <v>0</v>
      </c>
      <c r="BT164" s="1124">
        <f>+Details!AA164-Base!AA164</f>
        <v>0</v>
      </c>
      <c r="BU164" s="1124">
        <f>+Details!AB164-Base!AB164</f>
        <v>0</v>
      </c>
      <c r="BV164" s="1124">
        <f>+Details!AC164-Base!AC164</f>
        <v>0</v>
      </c>
      <c r="BW164" s="1124">
        <f>+Details!AD164-Base!AD164</f>
        <v>0</v>
      </c>
      <c r="BX164" s="1124">
        <f>+Details!AE164-Base!AE164</f>
        <v>0</v>
      </c>
      <c r="BY164" s="1124">
        <f>+Details!AF164-Base!AF164</f>
        <v>0</v>
      </c>
      <c r="BZ164" s="1124">
        <f>+Details!AG164-Base!AG164</f>
        <v>0</v>
      </c>
      <c r="CA164" s="1124">
        <f>+Details!AH164-Base!AH164</f>
        <v>0</v>
      </c>
      <c r="CB164" s="1124">
        <f>+Details!AI164-Base!AI164</f>
        <v>0</v>
      </c>
      <c r="CC164" s="1124">
        <f>+Details!AJ164-Base!AJ164</f>
        <v>0</v>
      </c>
      <c r="CD164" s="1124">
        <f>+Details!AK164-Base!AK164</f>
        <v>0</v>
      </c>
      <c r="CE164" s="1124">
        <f>+Details!AL164-Base!AL164</f>
        <v>0</v>
      </c>
      <c r="CF164" s="1124">
        <f>+Details!AM164-Base!AM164</f>
        <v>0</v>
      </c>
      <c r="CG164" s="1124">
        <f>+Details!AN164-Base!AN164</f>
        <v>0</v>
      </c>
      <c r="CH164" s="1124">
        <f>+Details!AO164-Base!AO164</f>
        <v>0</v>
      </c>
      <c r="CI164" s="1124">
        <f>+Details!AP164-Base!AP164</f>
        <v>0</v>
      </c>
      <c r="CJ164" s="1124">
        <f>+Details!AQ164-Base!AQ164</f>
        <v>0</v>
      </c>
      <c r="CK164" s="1124">
        <f>+Details!AR164-Base!AR164</f>
        <v>0</v>
      </c>
      <c r="CL164" s="1124">
        <f>+Details!AS164-Base!AS164</f>
        <v>0</v>
      </c>
      <c r="CM164" s="81"/>
    </row>
    <row r="165" spans="1:134">
      <c r="B165" s="175" t="s">
        <v>145</v>
      </c>
      <c r="C165" s="175"/>
      <c r="D165" s="32"/>
      <c r="E165" s="29">
        <f>SUM(F165:AS165)</f>
        <v>1140000</v>
      </c>
      <c r="F165" s="31">
        <f t="shared" ref="F165:AS165" si="139">ROUND(IF(F$163&lt;0,0,IF(F$163&lt;F$164,F$163,F$164))/Round_To,0)*Round_To</f>
        <v>0</v>
      </c>
      <c r="G165" s="1124">
        <f t="shared" si="139"/>
        <v>0</v>
      </c>
      <c r="H165" s="1124">
        <f t="shared" si="139"/>
        <v>0</v>
      </c>
      <c r="I165" s="1124">
        <f t="shared" si="139"/>
        <v>0</v>
      </c>
      <c r="J165" s="1124">
        <f t="shared" si="139"/>
        <v>0</v>
      </c>
      <c r="K165" s="1124">
        <f t="shared" si="139"/>
        <v>18800</v>
      </c>
      <c r="L165" s="1124">
        <f t="shared" si="139"/>
        <v>19100</v>
      </c>
      <c r="M165" s="1124">
        <f t="shared" si="139"/>
        <v>19600</v>
      </c>
      <c r="N165" s="1124">
        <f t="shared" si="139"/>
        <v>33400</v>
      </c>
      <c r="O165" s="1124">
        <f t="shared" si="139"/>
        <v>34900</v>
      </c>
      <c r="P165" s="1124">
        <f t="shared" si="139"/>
        <v>36100</v>
      </c>
      <c r="Q165" s="1124">
        <f t="shared" si="139"/>
        <v>38000</v>
      </c>
      <c r="R165" s="1124">
        <f t="shared" si="139"/>
        <v>44300</v>
      </c>
      <c r="S165" s="1124">
        <f t="shared" si="139"/>
        <v>47000</v>
      </c>
      <c r="T165" s="1124">
        <f t="shared" si="139"/>
        <v>59600</v>
      </c>
      <c r="U165" s="1124">
        <f t="shared" si="139"/>
        <v>66800</v>
      </c>
      <c r="V165" s="1124">
        <f t="shared" si="139"/>
        <v>53600</v>
      </c>
      <c r="W165" s="1124">
        <f t="shared" si="139"/>
        <v>54600</v>
      </c>
      <c r="X165" s="1124">
        <f t="shared" si="139"/>
        <v>55700</v>
      </c>
      <c r="Y165" s="1124">
        <f t="shared" si="139"/>
        <v>56800</v>
      </c>
      <c r="Z165" s="1124">
        <f t="shared" si="139"/>
        <v>57900</v>
      </c>
      <c r="AA165" s="1124">
        <f t="shared" si="139"/>
        <v>59100</v>
      </c>
      <c r="AB165" s="1124">
        <f t="shared" si="139"/>
        <v>60300</v>
      </c>
      <c r="AC165" s="1124">
        <f t="shared" si="139"/>
        <v>61500</v>
      </c>
      <c r="AD165" s="1124">
        <f t="shared" si="139"/>
        <v>41700</v>
      </c>
      <c r="AE165" s="1124">
        <f t="shared" si="139"/>
        <v>42500</v>
      </c>
      <c r="AF165" s="1124">
        <f t="shared" si="139"/>
        <v>43400</v>
      </c>
      <c r="AG165" s="1124">
        <f t="shared" si="139"/>
        <v>44200</v>
      </c>
      <c r="AH165" s="1124">
        <f t="shared" si="139"/>
        <v>45100</v>
      </c>
      <c r="AI165" s="1124">
        <f t="shared" si="139"/>
        <v>46000</v>
      </c>
      <c r="AJ165" s="1124">
        <f t="shared" si="139"/>
        <v>0</v>
      </c>
      <c r="AK165" s="1124">
        <f t="shared" si="139"/>
        <v>0</v>
      </c>
      <c r="AL165" s="1124">
        <f t="shared" si="139"/>
        <v>0</v>
      </c>
      <c r="AM165" s="1124">
        <f t="shared" si="139"/>
        <v>0</v>
      </c>
      <c r="AN165" s="1124">
        <f t="shared" si="139"/>
        <v>0</v>
      </c>
      <c r="AO165" s="1124">
        <f t="shared" si="139"/>
        <v>0</v>
      </c>
      <c r="AP165" s="1124">
        <f t="shared" si="139"/>
        <v>0</v>
      </c>
      <c r="AQ165" s="1124">
        <f t="shared" si="139"/>
        <v>0</v>
      </c>
      <c r="AR165" s="1124">
        <f t="shared" si="139"/>
        <v>0</v>
      </c>
      <c r="AS165" s="1124">
        <f t="shared" si="139"/>
        <v>0</v>
      </c>
      <c r="AT165" s="3"/>
      <c r="AU165" s="29">
        <f>+Details!E165</f>
        <v>1140000</v>
      </c>
      <c r="AV165" s="81">
        <f>+E165-AU165</f>
        <v>0</v>
      </c>
      <c r="AW165" s="102"/>
      <c r="AY165" s="31">
        <f>+Details!F165-Base!F165</f>
        <v>0</v>
      </c>
      <c r="AZ165" s="1124">
        <f>+Details!G165-Base!G165</f>
        <v>0</v>
      </c>
      <c r="BA165" s="1124">
        <f>+Details!H165-Base!H165</f>
        <v>0</v>
      </c>
      <c r="BB165" s="1124">
        <f>+Details!I165-Base!I165</f>
        <v>0</v>
      </c>
      <c r="BC165" s="1124">
        <f>+Details!J165-Base!J165</f>
        <v>0</v>
      </c>
      <c r="BD165" s="1124">
        <f>+Details!K165-Base!K165</f>
        <v>0</v>
      </c>
      <c r="BE165" s="1124">
        <f>+Details!L165-Base!L165</f>
        <v>0</v>
      </c>
      <c r="BF165" s="1124">
        <f>+Details!M165-Base!M165</f>
        <v>0</v>
      </c>
      <c r="BG165" s="1124">
        <f>+Details!N165-Base!N165</f>
        <v>0</v>
      </c>
      <c r="BH165" s="1124">
        <f>+Details!O165-Base!O165</f>
        <v>0</v>
      </c>
      <c r="BI165" s="1124">
        <f>+Details!P165-Base!P165</f>
        <v>0</v>
      </c>
      <c r="BJ165" s="1124">
        <f>+Details!Q165-Base!Q165</f>
        <v>0</v>
      </c>
      <c r="BK165" s="1124">
        <f>+Details!R165-Base!R165</f>
        <v>0</v>
      </c>
      <c r="BL165" s="1124">
        <f>+Details!S165-Base!S165</f>
        <v>0</v>
      </c>
      <c r="BM165" s="1124">
        <f>+Details!T165-Base!T165</f>
        <v>0</v>
      </c>
      <c r="BN165" s="1124">
        <f>+Details!U165-Base!U165</f>
        <v>0</v>
      </c>
      <c r="BO165" s="1124">
        <f>+Details!V165-Base!V165</f>
        <v>0</v>
      </c>
      <c r="BP165" s="1124">
        <f>+Details!W165-Base!W165</f>
        <v>0</v>
      </c>
      <c r="BQ165" s="1124">
        <f>+Details!X165-Base!X165</f>
        <v>0</v>
      </c>
      <c r="BR165" s="1124">
        <f>+Details!Y165-Base!Y165</f>
        <v>0</v>
      </c>
      <c r="BS165" s="1124">
        <f>+Details!Z165-Base!Z165</f>
        <v>0</v>
      </c>
      <c r="BT165" s="1124">
        <f>+Details!AA165-Base!AA165</f>
        <v>0</v>
      </c>
      <c r="BU165" s="1124">
        <f>+Details!AB165-Base!AB165</f>
        <v>0</v>
      </c>
      <c r="BV165" s="1124">
        <f>+Details!AC165-Base!AC165</f>
        <v>0</v>
      </c>
      <c r="BW165" s="1124">
        <f>+Details!AD165-Base!AD165</f>
        <v>0</v>
      </c>
      <c r="BX165" s="1124">
        <f>+Details!AE165-Base!AE165</f>
        <v>0</v>
      </c>
      <c r="BY165" s="1124">
        <f>+Details!AF165-Base!AF165</f>
        <v>0</v>
      </c>
      <c r="BZ165" s="1124">
        <f>+Details!AG165-Base!AG165</f>
        <v>0</v>
      </c>
      <c r="CA165" s="1124">
        <f>+Details!AH165-Base!AH165</f>
        <v>0</v>
      </c>
      <c r="CB165" s="1124">
        <f>+Details!AI165-Base!AI165</f>
        <v>0</v>
      </c>
      <c r="CC165" s="1124">
        <f>+Details!AJ165-Base!AJ165</f>
        <v>0</v>
      </c>
      <c r="CD165" s="1124">
        <f>+Details!AK165-Base!AK165</f>
        <v>0</v>
      </c>
      <c r="CE165" s="1124">
        <f>+Details!AL165-Base!AL165</f>
        <v>0</v>
      </c>
      <c r="CF165" s="1124">
        <f>+Details!AM165-Base!AM165</f>
        <v>0</v>
      </c>
      <c r="CG165" s="1124">
        <f>+Details!AN165-Base!AN165</f>
        <v>0</v>
      </c>
      <c r="CH165" s="1124">
        <f>+Details!AO165-Base!AO165</f>
        <v>0</v>
      </c>
      <c r="CI165" s="1124">
        <f>+Details!AP165-Base!AP165</f>
        <v>0</v>
      </c>
      <c r="CJ165" s="1124">
        <f>+Details!AQ165-Base!AQ165</f>
        <v>0</v>
      </c>
      <c r="CK165" s="1124">
        <f>+Details!AR165-Base!AR165</f>
        <v>0</v>
      </c>
      <c r="CL165" s="1124">
        <f>+Details!AS165-Base!AS165</f>
        <v>0</v>
      </c>
      <c r="CM165" s="81"/>
    </row>
    <row r="166" spans="1:134">
      <c r="B166" s="72" t="s">
        <v>1288</v>
      </c>
      <c r="C166" s="32"/>
      <c r="D166" s="32"/>
      <c r="E166" s="39"/>
      <c r="F166" s="43">
        <f t="shared" ref="F166:AS166" si="140">IF(F61=0,0,+F165/F61)</f>
        <v>0</v>
      </c>
      <c r="G166" s="43">
        <f t="shared" si="140"/>
        <v>0</v>
      </c>
      <c r="H166" s="43">
        <f t="shared" si="140"/>
        <v>0</v>
      </c>
      <c r="I166" s="43">
        <f t="shared" si="140"/>
        <v>0</v>
      </c>
      <c r="J166" s="43">
        <f t="shared" si="140"/>
        <v>0</v>
      </c>
      <c r="K166" s="43">
        <f t="shared" si="140"/>
        <v>0.85067873303167418</v>
      </c>
      <c r="L166" s="43">
        <f t="shared" si="140"/>
        <v>0.84888888888888892</v>
      </c>
      <c r="M166" s="43">
        <f t="shared" si="140"/>
        <v>0.85217391304347823</v>
      </c>
      <c r="N166" s="43">
        <f t="shared" si="140"/>
        <v>0.47782546494992845</v>
      </c>
      <c r="O166" s="43">
        <f t="shared" si="140"/>
        <v>0.48948106591865359</v>
      </c>
      <c r="P166" s="43">
        <f t="shared" si="140"/>
        <v>0.49656121045392021</v>
      </c>
      <c r="Q166" s="43">
        <f t="shared" si="140"/>
        <v>0.5121293800539084</v>
      </c>
      <c r="R166" s="43">
        <f t="shared" si="140"/>
        <v>0.58520475561426688</v>
      </c>
      <c r="S166" s="43">
        <f t="shared" si="140"/>
        <v>0.60880829015544047</v>
      </c>
      <c r="T166" s="43">
        <f t="shared" si="140"/>
        <v>0.75730622617534937</v>
      </c>
      <c r="U166" s="43">
        <f t="shared" si="140"/>
        <v>0.83291770573566082</v>
      </c>
      <c r="V166" s="43">
        <f t="shared" si="140"/>
        <v>0.85079365079365077</v>
      </c>
      <c r="W166" s="43">
        <f t="shared" si="140"/>
        <v>0.85046728971962615</v>
      </c>
      <c r="X166" s="43">
        <f t="shared" si="140"/>
        <v>0.85038167938931297</v>
      </c>
      <c r="Y166" s="43">
        <f t="shared" si="140"/>
        <v>0.85029940119760483</v>
      </c>
      <c r="Z166" s="43">
        <f t="shared" si="140"/>
        <v>0.85022026431718056</v>
      </c>
      <c r="AA166" s="43">
        <f t="shared" si="140"/>
        <v>0.85035971223021578</v>
      </c>
      <c r="AB166" s="43">
        <f t="shared" si="140"/>
        <v>0.85049365303244007</v>
      </c>
      <c r="AC166" s="43">
        <f t="shared" si="140"/>
        <v>0.85062240663900412</v>
      </c>
      <c r="AD166" s="43">
        <f t="shared" si="140"/>
        <v>0.8510204081632653</v>
      </c>
      <c r="AE166" s="43">
        <f t="shared" si="140"/>
        <v>0.85</v>
      </c>
      <c r="AF166" s="43">
        <f t="shared" si="140"/>
        <v>0.85098039215686272</v>
      </c>
      <c r="AG166" s="43">
        <f t="shared" si="140"/>
        <v>0.85</v>
      </c>
      <c r="AH166" s="43">
        <f t="shared" si="140"/>
        <v>0.85094339622641513</v>
      </c>
      <c r="AI166" s="43">
        <f t="shared" si="140"/>
        <v>0.85027726432532347</v>
      </c>
      <c r="AJ166" s="43">
        <f t="shared" si="140"/>
        <v>0</v>
      </c>
      <c r="AK166" s="43">
        <f t="shared" si="140"/>
        <v>0</v>
      </c>
      <c r="AL166" s="43">
        <f t="shared" si="140"/>
        <v>0</v>
      </c>
      <c r="AM166" s="43">
        <f t="shared" si="140"/>
        <v>0</v>
      </c>
      <c r="AN166" s="43">
        <f t="shared" si="140"/>
        <v>0</v>
      </c>
      <c r="AO166" s="43">
        <f t="shared" si="140"/>
        <v>0</v>
      </c>
      <c r="AP166" s="43">
        <f t="shared" si="140"/>
        <v>0</v>
      </c>
      <c r="AQ166" s="43">
        <f t="shared" si="140"/>
        <v>0</v>
      </c>
      <c r="AR166" s="43">
        <f t="shared" si="140"/>
        <v>0</v>
      </c>
      <c r="AS166" s="43">
        <f t="shared" si="140"/>
        <v>0</v>
      </c>
      <c r="AT166" s="3"/>
      <c r="AU166" s="113">
        <f>+Details!E166</f>
        <v>0</v>
      </c>
      <c r="AV166" s="996">
        <f>+E166-AU166</f>
        <v>0</v>
      </c>
      <c r="AW166" s="121"/>
      <c r="AY166" s="44">
        <f>+Details!F166-Base!F166</f>
        <v>0</v>
      </c>
      <c r="AZ166" s="43">
        <f>+Details!G166-Base!G166</f>
        <v>0</v>
      </c>
      <c r="BA166" s="43">
        <f>+Details!H166-Base!H166</f>
        <v>0</v>
      </c>
      <c r="BB166" s="43">
        <f>+Details!I166-Base!I166</f>
        <v>0</v>
      </c>
      <c r="BC166" s="43">
        <f>+Details!J166-Base!J166</f>
        <v>0</v>
      </c>
      <c r="BD166" s="43">
        <f>+Details!K166-Base!K166</f>
        <v>0</v>
      </c>
      <c r="BE166" s="43">
        <f>+Details!L166-Base!L166</f>
        <v>0</v>
      </c>
      <c r="BF166" s="43">
        <f>+Details!M166-Base!M166</f>
        <v>0</v>
      </c>
      <c r="BG166" s="43">
        <f>+Details!N166-Base!N166</f>
        <v>0</v>
      </c>
      <c r="BH166" s="43">
        <f>+Details!O166-Base!O166</f>
        <v>0</v>
      </c>
      <c r="BI166" s="43">
        <f>+Details!P166-Base!P166</f>
        <v>0</v>
      </c>
      <c r="BJ166" s="43">
        <f>+Details!Q166-Base!Q166</f>
        <v>0</v>
      </c>
      <c r="BK166" s="43">
        <f>+Details!R166-Base!R166</f>
        <v>0</v>
      </c>
      <c r="BL166" s="43">
        <f>+Details!S166-Base!S166</f>
        <v>0</v>
      </c>
      <c r="BM166" s="43">
        <f>+Details!T166-Base!T166</f>
        <v>0</v>
      </c>
      <c r="BN166" s="43">
        <f>+Details!U166-Base!U166</f>
        <v>0</v>
      </c>
      <c r="BO166" s="43">
        <f>+Details!V166-Base!V166</f>
        <v>0</v>
      </c>
      <c r="BP166" s="43">
        <f>+Details!W166-Base!W166</f>
        <v>0</v>
      </c>
      <c r="BQ166" s="43">
        <f>+Details!X166-Base!X166</f>
        <v>0</v>
      </c>
      <c r="BR166" s="43">
        <f>+Details!Y166-Base!Y166</f>
        <v>0</v>
      </c>
      <c r="BS166" s="43">
        <f>+Details!Z166-Base!Z166</f>
        <v>0</v>
      </c>
      <c r="BT166" s="43">
        <f>+Details!AA166-Base!AA166</f>
        <v>0</v>
      </c>
      <c r="BU166" s="43">
        <f>+Details!AB166-Base!AB166</f>
        <v>0</v>
      </c>
      <c r="BV166" s="43">
        <f>+Details!AC166-Base!AC166</f>
        <v>0</v>
      </c>
      <c r="BW166" s="43">
        <f>+Details!AD166-Base!AD166</f>
        <v>0</v>
      </c>
      <c r="BX166" s="43">
        <f>+Details!AE166-Base!AE166</f>
        <v>0</v>
      </c>
      <c r="BY166" s="43">
        <f>+Details!AF166-Base!AF166</f>
        <v>0</v>
      </c>
      <c r="BZ166" s="43">
        <f>+Details!AG166-Base!AG166</f>
        <v>0</v>
      </c>
      <c r="CA166" s="43">
        <f>+Details!AH166-Base!AH166</f>
        <v>0</v>
      </c>
      <c r="CB166" s="43">
        <f>+Details!AI166-Base!AI166</f>
        <v>0</v>
      </c>
      <c r="CC166" s="43">
        <f>+Details!AJ166-Base!AJ166</f>
        <v>0</v>
      </c>
      <c r="CD166" s="43">
        <f>+Details!AK166-Base!AK166</f>
        <v>0</v>
      </c>
      <c r="CE166" s="43">
        <f>+Details!AL166-Base!AL166</f>
        <v>0</v>
      </c>
      <c r="CF166" s="43">
        <f>+Details!AM166-Base!AM166</f>
        <v>0</v>
      </c>
      <c r="CG166" s="43">
        <f>+Details!AN166-Base!AN166</f>
        <v>0</v>
      </c>
      <c r="CH166" s="43">
        <f>+Details!AO166-Base!AO166</f>
        <v>0</v>
      </c>
      <c r="CI166" s="43">
        <f>+Details!AP166-Base!AP166</f>
        <v>0</v>
      </c>
      <c r="CJ166" s="43">
        <f>+Details!AQ166-Base!AQ166</f>
        <v>0</v>
      </c>
      <c r="CK166" s="43">
        <f>+Details!AR166-Base!AR166</f>
        <v>0</v>
      </c>
      <c r="CL166" s="43">
        <f>+Details!AS166-Base!AS166</f>
        <v>0</v>
      </c>
      <c r="CM166" s="996"/>
    </row>
    <row r="167" spans="1:134" ht="15.6">
      <c r="B167" s="28"/>
      <c r="C167" s="32"/>
      <c r="D167" s="32"/>
      <c r="E167" s="39"/>
      <c r="F167" s="152"/>
      <c r="G167" s="152"/>
      <c r="H167" s="152"/>
      <c r="I167" s="152"/>
      <c r="J167" s="152"/>
      <c r="K167" s="152"/>
      <c r="L167" s="152"/>
      <c r="M167" s="152"/>
      <c r="N167" s="152"/>
      <c r="O167" s="152"/>
      <c r="P167" s="152"/>
      <c r="Q167" s="152"/>
      <c r="R167" s="152"/>
      <c r="S167" s="152"/>
      <c r="T167" s="152"/>
      <c r="U167" s="152"/>
      <c r="V167" s="152"/>
      <c r="W167" s="152"/>
      <c r="X167" s="152"/>
      <c r="Y167" s="152"/>
      <c r="Z167" s="152"/>
      <c r="AA167" s="152"/>
      <c r="AB167" s="152"/>
      <c r="AC167" s="152"/>
      <c r="AD167" s="152"/>
      <c r="AE167" s="152"/>
      <c r="AF167" s="152"/>
      <c r="AG167" s="152"/>
      <c r="AH167" s="152"/>
      <c r="AI167" s="152"/>
      <c r="AJ167" s="152"/>
      <c r="AK167" s="152"/>
      <c r="AL167" s="152"/>
      <c r="AM167" s="152"/>
      <c r="AN167" s="31"/>
      <c r="AO167" s="31"/>
      <c r="AP167" s="31"/>
      <c r="AQ167" s="31"/>
      <c r="AR167" s="31"/>
      <c r="AS167" s="31"/>
      <c r="AT167" s="3"/>
      <c r="AU167" s="43"/>
      <c r="AV167" s="48"/>
      <c r="AW167" s="121"/>
      <c r="AZ167" s="152"/>
      <c r="BA167" s="152"/>
      <c r="BB167" s="152"/>
      <c r="BC167" s="152"/>
      <c r="BD167" s="152"/>
      <c r="BE167" s="152"/>
      <c r="BF167" s="152"/>
      <c r="BG167" s="152"/>
      <c r="BH167" s="152"/>
      <c r="BI167" s="152"/>
      <c r="BJ167" s="152"/>
      <c r="BK167" s="152"/>
      <c r="BL167" s="152"/>
      <c r="BM167" s="152"/>
      <c r="BN167" s="152"/>
      <c r="BO167" s="152"/>
      <c r="BP167" s="152"/>
      <c r="BQ167" s="152"/>
      <c r="BR167" s="152"/>
      <c r="BS167" s="152"/>
      <c r="BT167" s="152"/>
      <c r="BU167" s="152"/>
      <c r="BV167" s="152"/>
      <c r="BW167" s="152"/>
      <c r="BX167" s="152"/>
      <c r="BY167" s="152"/>
      <c r="BZ167" s="152"/>
      <c r="CA167" s="152"/>
      <c r="CB167" s="152"/>
      <c r="CC167" s="152"/>
      <c r="CD167" s="152"/>
      <c r="CE167" s="152"/>
      <c r="CF167" s="152"/>
      <c r="CG167" s="31"/>
      <c r="CH167" s="31"/>
      <c r="CI167" s="31"/>
      <c r="CJ167" s="31"/>
      <c r="CK167" s="31"/>
      <c r="CL167" s="31"/>
      <c r="CM167" s="48"/>
    </row>
    <row r="168" spans="1:134" ht="18" thickBot="1">
      <c r="A168" s="1431"/>
      <c r="B168" s="1060" t="s">
        <v>1111</v>
      </c>
      <c r="C168" s="1010"/>
      <c r="D168" s="505"/>
      <c r="E168" s="39"/>
      <c r="F168" s="31"/>
      <c r="G168" s="31"/>
      <c r="H168" s="31"/>
      <c r="I168" s="31"/>
      <c r="J168" s="31"/>
      <c r="K168" s="31"/>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c r="AI168" s="31"/>
      <c r="AJ168" s="31"/>
      <c r="AK168" s="31"/>
      <c r="AL168" s="31"/>
      <c r="AM168" s="31"/>
      <c r="AN168" s="31"/>
      <c r="AO168" s="31"/>
      <c r="AP168" s="31"/>
      <c r="AQ168" s="31"/>
      <c r="AR168" s="31"/>
      <c r="AS168" s="31"/>
      <c r="AT168" s="3"/>
      <c r="AU168" s="43"/>
      <c r="AV168" s="48"/>
      <c r="AW168" s="121"/>
      <c r="AZ168" s="31"/>
      <c r="BA168" s="31"/>
      <c r="BB168" s="31"/>
      <c r="BC168" s="31"/>
      <c r="BD168" s="31"/>
      <c r="BE168" s="31"/>
      <c r="BF168" s="31"/>
      <c r="BG168" s="31"/>
      <c r="BH168" s="31"/>
      <c r="BI168" s="31"/>
      <c r="BJ168" s="31"/>
      <c r="BK168" s="31"/>
      <c r="BL168" s="31"/>
      <c r="BM168" s="31"/>
      <c r="BN168" s="31"/>
      <c r="BO168" s="31"/>
      <c r="BP168" s="31"/>
      <c r="BQ168" s="31"/>
      <c r="BR168" s="31"/>
      <c r="BS168" s="31"/>
      <c r="BT168" s="31"/>
      <c r="BU168" s="31"/>
      <c r="BV168" s="31"/>
      <c r="BW168" s="31"/>
      <c r="BX168" s="31"/>
      <c r="BY168" s="31"/>
      <c r="BZ168" s="31"/>
      <c r="CA168" s="31"/>
      <c r="CB168" s="31"/>
      <c r="CC168" s="31"/>
      <c r="CD168" s="31"/>
      <c r="CE168" s="31"/>
      <c r="CF168" s="31"/>
      <c r="CG168" s="31"/>
      <c r="CH168" s="31"/>
      <c r="CI168" s="31"/>
      <c r="CJ168" s="31"/>
      <c r="CK168" s="31"/>
      <c r="CL168" s="31"/>
      <c r="CM168" s="48"/>
    </row>
    <row r="169" spans="1:134" hidden="1">
      <c r="A169" s="1427" t="s">
        <v>1578</v>
      </c>
      <c r="B169" s="234" t="s">
        <v>944</v>
      </c>
      <c r="C169" s="422"/>
      <c r="D169" s="32"/>
      <c r="E169" s="29">
        <f t="shared" ref="E169:E187" si="141">SUM(F169:AS169)</f>
        <v>748900</v>
      </c>
      <c r="F169" s="31">
        <f t="shared" ref="F169:AS169" si="142">+F28</f>
        <v>9600</v>
      </c>
      <c r="G169" s="1124">
        <f t="shared" si="142"/>
        <v>9300</v>
      </c>
      <c r="H169" s="1124">
        <f t="shared" si="142"/>
        <v>8900</v>
      </c>
      <c r="I169" s="1124">
        <f t="shared" si="142"/>
        <v>8300</v>
      </c>
      <c r="J169" s="1124">
        <f t="shared" si="142"/>
        <v>7700</v>
      </c>
      <c r="K169" s="1124">
        <f t="shared" si="142"/>
        <v>7600</v>
      </c>
      <c r="L169" s="1124">
        <f t="shared" si="142"/>
        <v>8100</v>
      </c>
      <c r="M169" s="1124">
        <f t="shared" si="142"/>
        <v>8600</v>
      </c>
      <c r="N169" s="1124">
        <f t="shared" si="142"/>
        <v>9400</v>
      </c>
      <c r="O169" s="1124">
        <f t="shared" si="142"/>
        <v>10900</v>
      </c>
      <c r="P169" s="1124">
        <f t="shared" si="142"/>
        <v>10700</v>
      </c>
      <c r="Q169" s="1124">
        <f t="shared" si="142"/>
        <v>11500</v>
      </c>
      <c r="R169" s="1124">
        <f t="shared" si="142"/>
        <v>14000</v>
      </c>
      <c r="S169" s="1124">
        <f t="shared" si="142"/>
        <v>15800</v>
      </c>
      <c r="T169" s="1124">
        <f t="shared" si="142"/>
        <v>16000</v>
      </c>
      <c r="U169" s="1124">
        <f t="shared" si="142"/>
        <v>18000</v>
      </c>
      <c r="V169" s="1124">
        <f t="shared" si="142"/>
        <v>22400</v>
      </c>
      <c r="W169" s="1124">
        <f t="shared" si="142"/>
        <v>25200</v>
      </c>
      <c r="X169" s="1124">
        <f t="shared" si="142"/>
        <v>22700</v>
      </c>
      <c r="Y169" s="1124">
        <f t="shared" si="142"/>
        <v>24000</v>
      </c>
      <c r="Z169" s="1124">
        <f t="shared" si="142"/>
        <v>25500</v>
      </c>
      <c r="AA169" s="1124">
        <f t="shared" si="142"/>
        <v>27100</v>
      </c>
      <c r="AB169" s="1124">
        <f t="shared" si="142"/>
        <v>37000</v>
      </c>
      <c r="AC169" s="1124">
        <f t="shared" si="142"/>
        <v>47300</v>
      </c>
      <c r="AD169" s="1124">
        <f t="shared" si="142"/>
        <v>51500</v>
      </c>
      <c r="AE169" s="1124">
        <f t="shared" si="142"/>
        <v>55100</v>
      </c>
      <c r="AF169" s="1124">
        <f t="shared" si="142"/>
        <v>56800</v>
      </c>
      <c r="AG169" s="1124">
        <f t="shared" si="142"/>
        <v>58400</v>
      </c>
      <c r="AH169" s="1124">
        <f t="shared" si="142"/>
        <v>60000</v>
      </c>
      <c r="AI169" s="1124">
        <f t="shared" si="142"/>
        <v>61500</v>
      </c>
      <c r="AJ169" s="1124">
        <f t="shared" si="142"/>
        <v>0</v>
      </c>
      <c r="AK169" s="1124">
        <f t="shared" si="142"/>
        <v>0</v>
      </c>
      <c r="AL169" s="1124">
        <f t="shared" si="142"/>
        <v>0</v>
      </c>
      <c r="AM169" s="1124">
        <f t="shared" si="142"/>
        <v>0</v>
      </c>
      <c r="AN169" s="1124">
        <f t="shared" si="142"/>
        <v>0</v>
      </c>
      <c r="AO169" s="1124">
        <f t="shared" si="142"/>
        <v>0</v>
      </c>
      <c r="AP169" s="1124">
        <f t="shared" si="142"/>
        <v>0</v>
      </c>
      <c r="AQ169" s="1124">
        <f t="shared" si="142"/>
        <v>0</v>
      </c>
      <c r="AR169" s="1124">
        <f t="shared" si="142"/>
        <v>0</v>
      </c>
      <c r="AS169" s="1124">
        <f t="shared" si="142"/>
        <v>0</v>
      </c>
      <c r="AT169" s="42"/>
      <c r="AU169" s="29">
        <f>+Details!E169</f>
        <v>748900</v>
      </c>
      <c r="AV169" s="81">
        <f t="shared" ref="AV169:AV184" si="143">+E169-AU169</f>
        <v>0</v>
      </c>
      <c r="AW169" s="102"/>
      <c r="AY169" s="31">
        <f>+Details!F169-Base!F169</f>
        <v>0</v>
      </c>
      <c r="AZ169" s="1124">
        <f>+Details!G169-Base!G169</f>
        <v>0</v>
      </c>
      <c r="BA169" s="1124">
        <f>+Details!H169-Base!H169</f>
        <v>0</v>
      </c>
      <c r="BB169" s="1124">
        <f>+Details!I169-Base!I169</f>
        <v>0</v>
      </c>
      <c r="BC169" s="1124">
        <f>+Details!J169-Base!J169</f>
        <v>0</v>
      </c>
      <c r="BD169" s="1124">
        <f>+Details!K169-Base!K169</f>
        <v>0</v>
      </c>
      <c r="BE169" s="1124">
        <f>+Details!L169-Base!L169</f>
        <v>0</v>
      </c>
      <c r="BF169" s="1124">
        <f>+Details!M169-Base!M169</f>
        <v>0</v>
      </c>
      <c r="BG169" s="1124">
        <f>+Details!N169-Base!N169</f>
        <v>0</v>
      </c>
      <c r="BH169" s="1124">
        <f>+Details!O169-Base!O169</f>
        <v>0</v>
      </c>
      <c r="BI169" s="1124">
        <f>+Details!P169-Base!P169</f>
        <v>0</v>
      </c>
      <c r="BJ169" s="1124">
        <f>+Details!Q169-Base!Q169</f>
        <v>0</v>
      </c>
      <c r="BK169" s="1124">
        <f>+Details!R169-Base!R169</f>
        <v>0</v>
      </c>
      <c r="BL169" s="1124">
        <f>+Details!S169-Base!S169</f>
        <v>0</v>
      </c>
      <c r="BM169" s="1124">
        <f>+Details!T169-Base!T169</f>
        <v>0</v>
      </c>
      <c r="BN169" s="1124">
        <f>+Details!U169-Base!U169</f>
        <v>0</v>
      </c>
      <c r="BO169" s="1124">
        <f>+Details!V169-Base!V169</f>
        <v>0</v>
      </c>
      <c r="BP169" s="1124">
        <f>+Details!W169-Base!W169</f>
        <v>0</v>
      </c>
      <c r="BQ169" s="1124">
        <f>+Details!X169-Base!X169</f>
        <v>0</v>
      </c>
      <c r="BR169" s="1124">
        <f>+Details!Y169-Base!Y169</f>
        <v>0</v>
      </c>
      <c r="BS169" s="1124">
        <f>+Details!Z169-Base!Z169</f>
        <v>0</v>
      </c>
      <c r="BT169" s="1124">
        <f>+Details!AA169-Base!AA169</f>
        <v>0</v>
      </c>
      <c r="BU169" s="1124">
        <f>+Details!AB169-Base!AB169</f>
        <v>0</v>
      </c>
      <c r="BV169" s="1124">
        <f>+Details!AC169-Base!AC169</f>
        <v>0</v>
      </c>
      <c r="BW169" s="1124">
        <f>+Details!AD169-Base!AD169</f>
        <v>0</v>
      </c>
      <c r="BX169" s="1124">
        <f>+Details!AE169-Base!AE169</f>
        <v>0</v>
      </c>
      <c r="BY169" s="1124">
        <f>+Details!AF169-Base!AF169</f>
        <v>0</v>
      </c>
      <c r="BZ169" s="1124">
        <f>+Details!AG169-Base!AG169</f>
        <v>0</v>
      </c>
      <c r="CA169" s="1124">
        <f>+Details!AH169-Base!AH169</f>
        <v>0</v>
      </c>
      <c r="CB169" s="1124">
        <f>+Details!AI169-Base!AI169</f>
        <v>0</v>
      </c>
      <c r="CC169" s="1124">
        <f>+Details!AJ169-Base!AJ169</f>
        <v>0</v>
      </c>
      <c r="CD169" s="1124">
        <f>+Details!AK169-Base!AK169</f>
        <v>0</v>
      </c>
      <c r="CE169" s="1124">
        <f>+Details!AL169-Base!AL169</f>
        <v>0</v>
      </c>
      <c r="CF169" s="1124">
        <f>+Details!AM169-Base!AM169</f>
        <v>0</v>
      </c>
      <c r="CG169" s="1124">
        <f>+Details!AN169-Base!AN169</f>
        <v>0</v>
      </c>
      <c r="CH169" s="1124">
        <f>+Details!AO169-Base!AO169</f>
        <v>0</v>
      </c>
      <c r="CI169" s="1124">
        <f>+Details!AP169-Base!AP169</f>
        <v>0</v>
      </c>
      <c r="CJ169" s="1124">
        <f>+Details!AQ169-Base!AQ169</f>
        <v>0</v>
      </c>
      <c r="CK169" s="1124">
        <f>+Details!AR169-Base!AR169</f>
        <v>0</v>
      </c>
      <c r="CL169" s="1124">
        <f>+Details!AS169-Base!AS169</f>
        <v>0</v>
      </c>
      <c r="CM169" s="81"/>
      <c r="CN169" s="49"/>
      <c r="CO169" s="49"/>
      <c r="CP169" s="42"/>
      <c r="CQ169" s="49"/>
      <c r="CR169" s="49"/>
      <c r="CS169" s="39"/>
      <c r="CT169" s="39"/>
      <c r="CU169" s="39"/>
      <c r="CV169" s="49"/>
      <c r="CW169" s="49"/>
      <c r="CX169" s="49"/>
      <c r="CY169" s="49"/>
      <c r="CZ169" s="39"/>
      <c r="DA169" s="49"/>
      <c r="DB169" s="39"/>
      <c r="DC169" s="39"/>
      <c r="DD169" s="49"/>
      <c r="DE169" s="49"/>
      <c r="DF169" s="49"/>
      <c r="DG169" s="49"/>
      <c r="DH169" s="49"/>
      <c r="DI169" s="49"/>
      <c r="DJ169" s="49"/>
      <c r="DK169" s="49"/>
      <c r="DL169" s="49"/>
      <c r="DM169" s="49"/>
      <c r="DN169" s="49"/>
      <c r="DO169" s="49"/>
      <c r="DP169" s="49"/>
      <c r="DQ169" s="44"/>
      <c r="DR169" s="49"/>
      <c r="DS169" s="49"/>
      <c r="DT169" s="49"/>
      <c r="DU169" s="49"/>
      <c r="DV169" s="49"/>
      <c r="DW169" s="49"/>
      <c r="DX169" s="49"/>
      <c r="DY169" s="49"/>
      <c r="DZ169" s="49"/>
      <c r="EA169" s="49"/>
      <c r="EB169" s="49"/>
      <c r="EC169" s="49"/>
      <c r="ED169" s="49"/>
    </row>
    <row r="170" spans="1:134" hidden="1">
      <c r="A170" s="1427" t="s">
        <v>1578</v>
      </c>
      <c r="B170" s="234" t="s">
        <v>294</v>
      </c>
      <c r="C170" s="422"/>
      <c r="D170" s="422"/>
      <c r="E170" s="29">
        <f t="shared" si="141"/>
        <v>-334400</v>
      </c>
      <c r="F170" s="551">
        <f>-F417</f>
        <v>-2900</v>
      </c>
      <c r="G170" s="1124">
        <f t="shared" ref="G170:AS170" si="144">-G417</f>
        <v>-2800</v>
      </c>
      <c r="H170" s="1124">
        <f t="shared" si="144"/>
        <v>-2700</v>
      </c>
      <c r="I170" s="1124">
        <f t="shared" si="144"/>
        <v>-2500</v>
      </c>
      <c r="J170" s="1124">
        <f t="shared" si="144"/>
        <v>-2300</v>
      </c>
      <c r="K170" s="1124">
        <f t="shared" si="144"/>
        <v>-2300</v>
      </c>
      <c r="L170" s="1124">
        <f t="shared" si="144"/>
        <v>-2400</v>
      </c>
      <c r="M170" s="1124">
        <f t="shared" si="144"/>
        <v>-2600</v>
      </c>
      <c r="N170" s="1124">
        <f t="shared" si="144"/>
        <v>-2800</v>
      </c>
      <c r="O170" s="1124">
        <f t="shared" si="144"/>
        <v>-3300</v>
      </c>
      <c r="P170" s="1124">
        <f t="shared" si="144"/>
        <v>-3200</v>
      </c>
      <c r="Q170" s="1124">
        <f t="shared" si="144"/>
        <v>-3500</v>
      </c>
      <c r="R170" s="1124">
        <f t="shared" si="144"/>
        <v>-4200</v>
      </c>
      <c r="S170" s="1124">
        <f t="shared" si="144"/>
        <v>-4700</v>
      </c>
      <c r="T170" s="1124">
        <f t="shared" si="144"/>
        <v>-4800</v>
      </c>
      <c r="U170" s="1124">
        <f t="shared" si="144"/>
        <v>-5400</v>
      </c>
      <c r="V170" s="1124">
        <f t="shared" si="144"/>
        <v>-6700</v>
      </c>
      <c r="W170" s="1124">
        <f t="shared" si="144"/>
        <v>-7600</v>
      </c>
      <c r="X170" s="1124">
        <f t="shared" si="144"/>
        <v>-11500</v>
      </c>
      <c r="Y170" s="1124">
        <f t="shared" si="144"/>
        <v>-12200</v>
      </c>
      <c r="Z170" s="1124">
        <f t="shared" si="144"/>
        <v>-13000</v>
      </c>
      <c r="AA170" s="1124">
        <f t="shared" si="144"/>
        <v>-13800</v>
      </c>
      <c r="AB170" s="1124">
        <f t="shared" si="144"/>
        <v>-17700</v>
      </c>
      <c r="AC170" s="1124">
        <f t="shared" si="144"/>
        <v>-24100</v>
      </c>
      <c r="AD170" s="1124">
        <f t="shared" si="144"/>
        <v>-26000</v>
      </c>
      <c r="AE170" s="1124">
        <f t="shared" si="144"/>
        <v>-28200</v>
      </c>
      <c r="AF170" s="1124">
        <f t="shared" si="144"/>
        <v>-29100</v>
      </c>
      <c r="AG170" s="1124">
        <f t="shared" si="144"/>
        <v>-29900</v>
      </c>
      <c r="AH170" s="1124">
        <f t="shared" si="144"/>
        <v>-30700</v>
      </c>
      <c r="AI170" s="1124">
        <f t="shared" si="144"/>
        <v>-31500</v>
      </c>
      <c r="AJ170" s="1124">
        <f t="shared" si="144"/>
        <v>0</v>
      </c>
      <c r="AK170" s="1124">
        <f t="shared" si="144"/>
        <v>0</v>
      </c>
      <c r="AL170" s="1124">
        <f t="shared" si="144"/>
        <v>0</v>
      </c>
      <c r="AM170" s="1124">
        <f t="shared" si="144"/>
        <v>0</v>
      </c>
      <c r="AN170" s="1124">
        <f t="shared" si="144"/>
        <v>0</v>
      </c>
      <c r="AO170" s="1124">
        <f t="shared" si="144"/>
        <v>0</v>
      </c>
      <c r="AP170" s="1124">
        <f t="shared" si="144"/>
        <v>0</v>
      </c>
      <c r="AQ170" s="1124">
        <f t="shared" si="144"/>
        <v>0</v>
      </c>
      <c r="AR170" s="1124">
        <f t="shared" si="144"/>
        <v>0</v>
      </c>
      <c r="AS170" s="1124">
        <f t="shared" si="144"/>
        <v>0</v>
      </c>
      <c r="AT170" s="42"/>
      <c r="AU170" s="29">
        <f>+Details!E170</f>
        <v>-334400</v>
      </c>
      <c r="AV170" s="81">
        <f t="shared" si="143"/>
        <v>0</v>
      </c>
      <c r="AW170" s="102"/>
      <c r="AY170" s="31">
        <f>+Details!F170-Base!F170</f>
        <v>0</v>
      </c>
      <c r="AZ170" s="1124">
        <f>+Details!G170-Base!G170</f>
        <v>0</v>
      </c>
      <c r="BA170" s="1124">
        <f>+Details!H170-Base!H170</f>
        <v>0</v>
      </c>
      <c r="BB170" s="1124">
        <f>+Details!I170-Base!I170</f>
        <v>0</v>
      </c>
      <c r="BC170" s="1124">
        <f>+Details!J170-Base!J170</f>
        <v>0</v>
      </c>
      <c r="BD170" s="1124">
        <f>+Details!K170-Base!K170</f>
        <v>0</v>
      </c>
      <c r="BE170" s="1124">
        <f>+Details!L170-Base!L170</f>
        <v>0</v>
      </c>
      <c r="BF170" s="1124">
        <f>+Details!M170-Base!M170</f>
        <v>0</v>
      </c>
      <c r="BG170" s="1124">
        <f>+Details!N170-Base!N170</f>
        <v>0</v>
      </c>
      <c r="BH170" s="1124">
        <f>+Details!O170-Base!O170</f>
        <v>0</v>
      </c>
      <c r="BI170" s="1124">
        <f>+Details!P170-Base!P170</f>
        <v>0</v>
      </c>
      <c r="BJ170" s="1124">
        <f>+Details!Q170-Base!Q170</f>
        <v>0</v>
      </c>
      <c r="BK170" s="1124">
        <f>+Details!R170-Base!R170</f>
        <v>0</v>
      </c>
      <c r="BL170" s="1124">
        <f>+Details!S170-Base!S170</f>
        <v>0</v>
      </c>
      <c r="BM170" s="1124">
        <f>+Details!T170-Base!T170</f>
        <v>0</v>
      </c>
      <c r="BN170" s="1124">
        <f>+Details!U170-Base!U170</f>
        <v>0</v>
      </c>
      <c r="BO170" s="1124">
        <f>+Details!V170-Base!V170</f>
        <v>0</v>
      </c>
      <c r="BP170" s="1124">
        <f>+Details!W170-Base!W170</f>
        <v>0</v>
      </c>
      <c r="BQ170" s="1124">
        <f>+Details!X170-Base!X170</f>
        <v>0</v>
      </c>
      <c r="BR170" s="1124">
        <f>+Details!Y170-Base!Y170</f>
        <v>0</v>
      </c>
      <c r="BS170" s="1124">
        <f>+Details!Z170-Base!Z170</f>
        <v>0</v>
      </c>
      <c r="BT170" s="1124">
        <f>+Details!AA170-Base!AA170</f>
        <v>0</v>
      </c>
      <c r="BU170" s="1124">
        <f>+Details!AB170-Base!AB170</f>
        <v>0</v>
      </c>
      <c r="BV170" s="1124">
        <f>+Details!AC170-Base!AC170</f>
        <v>0</v>
      </c>
      <c r="BW170" s="1124">
        <f>+Details!AD170-Base!AD170</f>
        <v>0</v>
      </c>
      <c r="BX170" s="1124">
        <f>+Details!AE170-Base!AE170</f>
        <v>0</v>
      </c>
      <c r="BY170" s="1124">
        <f>+Details!AF170-Base!AF170</f>
        <v>0</v>
      </c>
      <c r="BZ170" s="1124">
        <f>+Details!AG170-Base!AG170</f>
        <v>0</v>
      </c>
      <c r="CA170" s="1124">
        <f>+Details!AH170-Base!AH170</f>
        <v>0</v>
      </c>
      <c r="CB170" s="1124">
        <f>+Details!AI170-Base!AI170</f>
        <v>0</v>
      </c>
      <c r="CC170" s="1124">
        <f>+Details!AJ170-Base!AJ170</f>
        <v>0</v>
      </c>
      <c r="CD170" s="1124">
        <f>+Details!AK170-Base!AK170</f>
        <v>0</v>
      </c>
      <c r="CE170" s="1124">
        <f>+Details!AL170-Base!AL170</f>
        <v>0</v>
      </c>
      <c r="CF170" s="1124">
        <f>+Details!AM170-Base!AM170</f>
        <v>0</v>
      </c>
      <c r="CG170" s="1124">
        <f>+Details!AN170-Base!AN170</f>
        <v>0</v>
      </c>
      <c r="CH170" s="1124">
        <f>+Details!AO170-Base!AO170</f>
        <v>0</v>
      </c>
      <c r="CI170" s="1124">
        <f>+Details!AP170-Base!AP170</f>
        <v>0</v>
      </c>
      <c r="CJ170" s="1124">
        <f>+Details!AQ170-Base!AQ170</f>
        <v>0</v>
      </c>
      <c r="CK170" s="1124">
        <f>+Details!AR170-Base!AR170</f>
        <v>0</v>
      </c>
      <c r="CL170" s="1124">
        <f>+Details!AS170-Base!AS170</f>
        <v>0</v>
      </c>
      <c r="CM170" s="81"/>
      <c r="CN170" s="49"/>
      <c r="CO170" s="49"/>
      <c r="CP170" s="42"/>
      <c r="CQ170" s="49"/>
      <c r="CR170" s="49"/>
      <c r="CS170" s="39"/>
      <c r="CT170" s="39"/>
      <c r="CU170" s="39"/>
      <c r="CV170" s="49"/>
      <c r="CW170" s="49"/>
      <c r="CX170" s="49"/>
      <c r="CY170" s="49"/>
      <c r="CZ170" s="39"/>
      <c r="DA170" s="49"/>
      <c r="DB170" s="39"/>
      <c r="DC170" s="39"/>
      <c r="DD170" s="49"/>
      <c r="DE170" s="49"/>
      <c r="DF170" s="49"/>
      <c r="DG170" s="49"/>
      <c r="DH170" s="49"/>
      <c r="DI170" s="49"/>
      <c r="DJ170" s="49"/>
      <c r="DK170" s="49"/>
      <c r="DL170" s="49"/>
      <c r="DM170" s="49"/>
      <c r="DN170" s="49"/>
      <c r="DO170" s="49"/>
      <c r="DP170" s="49"/>
      <c r="DQ170" s="44"/>
      <c r="DR170" s="49"/>
      <c r="DS170" s="49"/>
      <c r="DT170" s="49"/>
      <c r="DU170" s="49"/>
      <c r="DV170" s="49"/>
      <c r="DW170" s="49"/>
      <c r="DX170" s="49"/>
      <c r="DY170" s="49"/>
      <c r="DZ170" s="49"/>
      <c r="EA170" s="49"/>
      <c r="EB170" s="49"/>
      <c r="EC170" s="49"/>
      <c r="ED170" s="49"/>
    </row>
    <row r="171" spans="1:134" hidden="1">
      <c r="A171" s="1427" t="s">
        <v>1578</v>
      </c>
      <c r="B171" s="234" t="s">
        <v>226</v>
      </c>
      <c r="C171" s="422"/>
      <c r="D171" s="1370">
        <f>Taxable_Tax_Rate</f>
        <v>0.6</v>
      </c>
      <c r="E171" s="29">
        <f t="shared" si="141"/>
        <v>-248800</v>
      </c>
      <c r="F171" s="354">
        <f t="shared" ref="F171:AS171" si="145">ROUND(-Taxable_Tax_Rate*(F169+F170)/Round_To,0)*Round_To</f>
        <v>-4000</v>
      </c>
      <c r="G171" s="1124">
        <f t="shared" si="145"/>
        <v>-3900</v>
      </c>
      <c r="H171" s="1124">
        <f t="shared" si="145"/>
        <v>-3700</v>
      </c>
      <c r="I171" s="1124">
        <f t="shared" si="145"/>
        <v>-3500</v>
      </c>
      <c r="J171" s="1124">
        <f t="shared" si="145"/>
        <v>-3200</v>
      </c>
      <c r="K171" s="1124">
        <f t="shared" si="145"/>
        <v>-3200</v>
      </c>
      <c r="L171" s="1124">
        <f t="shared" si="145"/>
        <v>-3400</v>
      </c>
      <c r="M171" s="1124">
        <f t="shared" si="145"/>
        <v>-3600</v>
      </c>
      <c r="N171" s="1124">
        <f t="shared" si="145"/>
        <v>-4000</v>
      </c>
      <c r="O171" s="1124">
        <f t="shared" si="145"/>
        <v>-4600</v>
      </c>
      <c r="P171" s="1124">
        <f t="shared" si="145"/>
        <v>-4500</v>
      </c>
      <c r="Q171" s="1124">
        <f t="shared" si="145"/>
        <v>-4800</v>
      </c>
      <c r="R171" s="1124">
        <f t="shared" si="145"/>
        <v>-5900</v>
      </c>
      <c r="S171" s="1124">
        <f t="shared" si="145"/>
        <v>-6700</v>
      </c>
      <c r="T171" s="1124">
        <f t="shared" si="145"/>
        <v>-6700</v>
      </c>
      <c r="U171" s="1124">
        <f t="shared" si="145"/>
        <v>-7600</v>
      </c>
      <c r="V171" s="1124">
        <f t="shared" si="145"/>
        <v>-9400</v>
      </c>
      <c r="W171" s="1124">
        <f t="shared" si="145"/>
        <v>-10600</v>
      </c>
      <c r="X171" s="1124">
        <f t="shared" si="145"/>
        <v>-6700</v>
      </c>
      <c r="Y171" s="1124">
        <f t="shared" si="145"/>
        <v>-7100</v>
      </c>
      <c r="Z171" s="1124">
        <f t="shared" si="145"/>
        <v>-7500</v>
      </c>
      <c r="AA171" s="1124">
        <f t="shared" si="145"/>
        <v>-8000</v>
      </c>
      <c r="AB171" s="1124">
        <f t="shared" si="145"/>
        <v>-11600</v>
      </c>
      <c r="AC171" s="1124">
        <f t="shared" si="145"/>
        <v>-13900</v>
      </c>
      <c r="AD171" s="1124">
        <f t="shared" si="145"/>
        <v>-15300</v>
      </c>
      <c r="AE171" s="1124">
        <f t="shared" si="145"/>
        <v>-16100</v>
      </c>
      <c r="AF171" s="1124">
        <f t="shared" si="145"/>
        <v>-16600</v>
      </c>
      <c r="AG171" s="1124">
        <f t="shared" si="145"/>
        <v>-17100</v>
      </c>
      <c r="AH171" s="1124">
        <f t="shared" si="145"/>
        <v>-17600</v>
      </c>
      <c r="AI171" s="1124">
        <f t="shared" si="145"/>
        <v>-18000</v>
      </c>
      <c r="AJ171" s="1124">
        <f t="shared" si="145"/>
        <v>0</v>
      </c>
      <c r="AK171" s="1124">
        <f t="shared" si="145"/>
        <v>0</v>
      </c>
      <c r="AL171" s="1124">
        <f t="shared" si="145"/>
        <v>0</v>
      </c>
      <c r="AM171" s="1124">
        <f t="shared" si="145"/>
        <v>0</v>
      </c>
      <c r="AN171" s="1124">
        <f t="shared" si="145"/>
        <v>0</v>
      </c>
      <c r="AO171" s="1124">
        <f t="shared" si="145"/>
        <v>0</v>
      </c>
      <c r="AP171" s="1124">
        <f t="shared" si="145"/>
        <v>0</v>
      </c>
      <c r="AQ171" s="1124">
        <f t="shared" si="145"/>
        <v>0</v>
      </c>
      <c r="AR171" s="1124">
        <f t="shared" si="145"/>
        <v>0</v>
      </c>
      <c r="AS171" s="1124">
        <f t="shared" si="145"/>
        <v>0</v>
      </c>
      <c r="AT171" s="42"/>
      <c r="AU171" s="29">
        <f>+Details!E171</f>
        <v>-248800</v>
      </c>
      <c r="AV171" s="81">
        <f t="shared" si="143"/>
        <v>0</v>
      </c>
      <c r="AW171" s="102"/>
      <c r="AY171" s="31">
        <f>+Details!F171-Base!F171</f>
        <v>0</v>
      </c>
      <c r="AZ171" s="1124">
        <f>+Details!G171-Base!G171</f>
        <v>0</v>
      </c>
      <c r="BA171" s="1124">
        <f>+Details!H171-Base!H171</f>
        <v>0</v>
      </c>
      <c r="BB171" s="1124">
        <f>+Details!I171-Base!I171</f>
        <v>0</v>
      </c>
      <c r="BC171" s="1124">
        <f>+Details!J171-Base!J171</f>
        <v>0</v>
      </c>
      <c r="BD171" s="1124">
        <f>+Details!K171-Base!K171</f>
        <v>0</v>
      </c>
      <c r="BE171" s="1124">
        <f>+Details!L171-Base!L171</f>
        <v>0</v>
      </c>
      <c r="BF171" s="1124">
        <f>+Details!M171-Base!M171</f>
        <v>0</v>
      </c>
      <c r="BG171" s="1124">
        <f>+Details!N171-Base!N171</f>
        <v>0</v>
      </c>
      <c r="BH171" s="1124">
        <f>+Details!O171-Base!O171</f>
        <v>0</v>
      </c>
      <c r="BI171" s="1124">
        <f>+Details!P171-Base!P171</f>
        <v>0</v>
      </c>
      <c r="BJ171" s="1124">
        <f>+Details!Q171-Base!Q171</f>
        <v>0</v>
      </c>
      <c r="BK171" s="1124">
        <f>+Details!R171-Base!R171</f>
        <v>0</v>
      </c>
      <c r="BL171" s="1124">
        <f>+Details!S171-Base!S171</f>
        <v>0</v>
      </c>
      <c r="BM171" s="1124">
        <f>+Details!T171-Base!T171</f>
        <v>0</v>
      </c>
      <c r="BN171" s="1124">
        <f>+Details!U171-Base!U171</f>
        <v>0</v>
      </c>
      <c r="BO171" s="1124">
        <f>+Details!V171-Base!V171</f>
        <v>0</v>
      </c>
      <c r="BP171" s="1124">
        <f>+Details!W171-Base!W171</f>
        <v>0</v>
      </c>
      <c r="BQ171" s="1124">
        <f>+Details!X171-Base!X171</f>
        <v>0</v>
      </c>
      <c r="BR171" s="1124">
        <f>+Details!Y171-Base!Y171</f>
        <v>0</v>
      </c>
      <c r="BS171" s="1124">
        <f>+Details!Z171-Base!Z171</f>
        <v>0</v>
      </c>
      <c r="BT171" s="1124">
        <f>+Details!AA171-Base!AA171</f>
        <v>0</v>
      </c>
      <c r="BU171" s="1124">
        <f>+Details!AB171-Base!AB171</f>
        <v>0</v>
      </c>
      <c r="BV171" s="1124">
        <f>+Details!AC171-Base!AC171</f>
        <v>0</v>
      </c>
      <c r="BW171" s="1124">
        <f>+Details!AD171-Base!AD171</f>
        <v>0</v>
      </c>
      <c r="BX171" s="1124">
        <f>+Details!AE171-Base!AE171</f>
        <v>0</v>
      </c>
      <c r="BY171" s="1124">
        <f>+Details!AF171-Base!AF171</f>
        <v>0</v>
      </c>
      <c r="BZ171" s="1124">
        <f>+Details!AG171-Base!AG171</f>
        <v>0</v>
      </c>
      <c r="CA171" s="1124">
        <f>+Details!AH171-Base!AH171</f>
        <v>0</v>
      </c>
      <c r="CB171" s="1124">
        <f>+Details!AI171-Base!AI171</f>
        <v>0</v>
      </c>
      <c r="CC171" s="1124">
        <f>+Details!AJ171-Base!AJ171</f>
        <v>0</v>
      </c>
      <c r="CD171" s="1124">
        <f>+Details!AK171-Base!AK171</f>
        <v>0</v>
      </c>
      <c r="CE171" s="1124">
        <f>+Details!AL171-Base!AL171</f>
        <v>0</v>
      </c>
      <c r="CF171" s="1124">
        <f>+Details!AM171-Base!AM171</f>
        <v>0</v>
      </c>
      <c r="CG171" s="1124">
        <f>+Details!AN171-Base!AN171</f>
        <v>0</v>
      </c>
      <c r="CH171" s="1124">
        <f>+Details!AO171-Base!AO171</f>
        <v>0</v>
      </c>
      <c r="CI171" s="1124">
        <f>+Details!AP171-Base!AP171</f>
        <v>0</v>
      </c>
      <c r="CJ171" s="1124">
        <f>+Details!AQ171-Base!AQ171</f>
        <v>0</v>
      </c>
      <c r="CK171" s="1124">
        <f>+Details!AR171-Base!AR171</f>
        <v>0</v>
      </c>
      <c r="CL171" s="1124">
        <f>+Details!AS171-Base!AS171</f>
        <v>0</v>
      </c>
      <c r="CM171" s="81"/>
      <c r="CN171" s="49"/>
      <c r="CO171" s="49"/>
      <c r="CP171" s="42"/>
      <c r="CQ171" s="49"/>
      <c r="CR171" s="49"/>
      <c r="CS171" s="39"/>
      <c r="CT171" s="39"/>
      <c r="CU171" s="39"/>
      <c r="CV171" s="49"/>
      <c r="CW171" s="49"/>
      <c r="CX171" s="49"/>
      <c r="CY171" s="49"/>
      <c r="CZ171" s="39"/>
      <c r="DA171" s="49"/>
      <c r="DB171" s="39"/>
      <c r="DC171" s="39"/>
      <c r="DD171" s="49"/>
      <c r="DE171" s="49"/>
      <c r="DF171" s="49"/>
      <c r="DG171" s="49"/>
      <c r="DH171" s="49"/>
      <c r="DI171" s="49"/>
      <c r="DJ171" s="49"/>
      <c r="DK171" s="49"/>
      <c r="DL171" s="49"/>
      <c r="DM171" s="49"/>
      <c r="DN171" s="49"/>
      <c r="DO171" s="49"/>
      <c r="DP171" s="49"/>
      <c r="DQ171" s="44"/>
      <c r="DR171" s="49"/>
      <c r="DS171" s="49"/>
      <c r="DT171" s="49"/>
      <c r="DU171" s="49"/>
      <c r="DV171" s="49"/>
      <c r="DW171" s="49"/>
      <c r="DX171" s="49"/>
      <c r="DY171" s="49"/>
      <c r="DZ171" s="49"/>
      <c r="EA171" s="49"/>
      <c r="EB171" s="49"/>
      <c r="EC171" s="49"/>
      <c r="ED171" s="49"/>
    </row>
    <row r="172" spans="1:134" hidden="1">
      <c r="A172" s="1427" t="s">
        <v>1578</v>
      </c>
      <c r="B172" s="234" t="s">
        <v>1583</v>
      </c>
      <c r="C172" s="234"/>
      <c r="D172" s="1373"/>
      <c r="E172" s="29">
        <f t="shared" si="141"/>
        <v>549600</v>
      </c>
      <c r="F172" s="31">
        <f t="shared" ref="F172:AS172" si="146">+F70</f>
        <v>20000</v>
      </c>
      <c r="G172" s="1124">
        <f t="shared" si="146"/>
        <v>35600</v>
      </c>
      <c r="H172" s="1124">
        <f t="shared" si="146"/>
        <v>21200</v>
      </c>
      <c r="I172" s="1124">
        <f t="shared" si="146"/>
        <v>21900</v>
      </c>
      <c r="J172" s="1124">
        <f t="shared" si="146"/>
        <v>22600</v>
      </c>
      <c r="K172" s="1124">
        <f t="shared" si="146"/>
        <v>23400</v>
      </c>
      <c r="L172" s="1124">
        <f t="shared" si="146"/>
        <v>24200</v>
      </c>
      <c r="M172" s="1124">
        <f t="shared" si="146"/>
        <v>25000</v>
      </c>
      <c r="N172" s="1124">
        <f t="shared" si="146"/>
        <v>25800</v>
      </c>
      <c r="O172" s="1124">
        <f t="shared" si="146"/>
        <v>12500</v>
      </c>
      <c r="P172" s="1124">
        <f t="shared" si="146"/>
        <v>12800</v>
      </c>
      <c r="Q172" s="1124">
        <f t="shared" si="146"/>
        <v>13100</v>
      </c>
      <c r="R172" s="1124">
        <f t="shared" si="146"/>
        <v>13400</v>
      </c>
      <c r="S172" s="1124">
        <f t="shared" si="146"/>
        <v>13700</v>
      </c>
      <c r="T172" s="1124">
        <f t="shared" si="146"/>
        <v>14100</v>
      </c>
      <c r="U172" s="1124">
        <f t="shared" si="146"/>
        <v>14500</v>
      </c>
      <c r="V172" s="1124">
        <f t="shared" si="146"/>
        <v>14900</v>
      </c>
      <c r="W172" s="1124">
        <f t="shared" si="146"/>
        <v>15300</v>
      </c>
      <c r="X172" s="1124">
        <f t="shared" si="146"/>
        <v>15700</v>
      </c>
      <c r="Y172" s="1124">
        <f t="shared" si="146"/>
        <v>16100</v>
      </c>
      <c r="Z172" s="1124">
        <f t="shared" si="146"/>
        <v>16500</v>
      </c>
      <c r="AA172" s="1124">
        <f t="shared" si="146"/>
        <v>16900</v>
      </c>
      <c r="AB172" s="1124">
        <f t="shared" si="146"/>
        <v>17300</v>
      </c>
      <c r="AC172" s="1124">
        <f t="shared" si="146"/>
        <v>17800</v>
      </c>
      <c r="AD172" s="1124">
        <f t="shared" si="146"/>
        <v>16300</v>
      </c>
      <c r="AE172" s="1124">
        <f t="shared" si="146"/>
        <v>16800</v>
      </c>
      <c r="AF172" s="1124">
        <f t="shared" si="146"/>
        <v>17300</v>
      </c>
      <c r="AG172" s="1124">
        <f t="shared" si="146"/>
        <v>17800</v>
      </c>
      <c r="AH172" s="1124">
        <f t="shared" si="146"/>
        <v>18300</v>
      </c>
      <c r="AI172" s="1124">
        <f t="shared" si="146"/>
        <v>18800</v>
      </c>
      <c r="AJ172" s="1124">
        <f t="shared" si="146"/>
        <v>0</v>
      </c>
      <c r="AK172" s="1124">
        <f t="shared" si="146"/>
        <v>0</v>
      </c>
      <c r="AL172" s="1124">
        <f t="shared" si="146"/>
        <v>0</v>
      </c>
      <c r="AM172" s="1124">
        <f t="shared" si="146"/>
        <v>0</v>
      </c>
      <c r="AN172" s="1124">
        <f t="shared" si="146"/>
        <v>0</v>
      </c>
      <c r="AO172" s="1124">
        <f t="shared" si="146"/>
        <v>0</v>
      </c>
      <c r="AP172" s="1124">
        <f t="shared" si="146"/>
        <v>0</v>
      </c>
      <c r="AQ172" s="1124">
        <f t="shared" si="146"/>
        <v>0</v>
      </c>
      <c r="AR172" s="1124">
        <f t="shared" si="146"/>
        <v>0</v>
      </c>
      <c r="AS172" s="1124">
        <f t="shared" si="146"/>
        <v>0</v>
      </c>
      <c r="AT172" s="42"/>
      <c r="AU172" s="29">
        <f>+Details!E172</f>
        <v>549600</v>
      </c>
      <c r="AV172" s="81">
        <f t="shared" si="143"/>
        <v>0</v>
      </c>
      <c r="AW172" s="102"/>
      <c r="AY172" s="31">
        <f>+Details!F172-Base!F172</f>
        <v>0</v>
      </c>
      <c r="AZ172" s="1124">
        <f>+Details!G172-Base!G172</f>
        <v>0</v>
      </c>
      <c r="BA172" s="1124">
        <f>+Details!H172-Base!H172</f>
        <v>0</v>
      </c>
      <c r="BB172" s="1124">
        <f>+Details!I172-Base!I172</f>
        <v>0</v>
      </c>
      <c r="BC172" s="1124">
        <f>+Details!J172-Base!J172</f>
        <v>0</v>
      </c>
      <c r="BD172" s="1124">
        <f>+Details!K172-Base!K172</f>
        <v>0</v>
      </c>
      <c r="BE172" s="1124">
        <f>+Details!L172-Base!L172</f>
        <v>0</v>
      </c>
      <c r="BF172" s="1124">
        <f>+Details!M172-Base!M172</f>
        <v>0</v>
      </c>
      <c r="BG172" s="1124">
        <f>+Details!N172-Base!N172</f>
        <v>0</v>
      </c>
      <c r="BH172" s="1124">
        <f>+Details!O172-Base!O172</f>
        <v>0</v>
      </c>
      <c r="BI172" s="1124">
        <f>+Details!P172-Base!P172</f>
        <v>0</v>
      </c>
      <c r="BJ172" s="1124">
        <f>+Details!Q172-Base!Q172</f>
        <v>0</v>
      </c>
      <c r="BK172" s="1124">
        <f>+Details!R172-Base!R172</f>
        <v>0</v>
      </c>
      <c r="BL172" s="1124">
        <f>+Details!S172-Base!S172</f>
        <v>0</v>
      </c>
      <c r="BM172" s="1124">
        <f>+Details!T172-Base!T172</f>
        <v>0</v>
      </c>
      <c r="BN172" s="1124">
        <f>+Details!U172-Base!U172</f>
        <v>0</v>
      </c>
      <c r="BO172" s="1124">
        <f>+Details!V172-Base!V172</f>
        <v>0</v>
      </c>
      <c r="BP172" s="1124">
        <f>+Details!W172-Base!W172</f>
        <v>0</v>
      </c>
      <c r="BQ172" s="1124">
        <f>+Details!X172-Base!X172</f>
        <v>0</v>
      </c>
      <c r="BR172" s="1124">
        <f>+Details!Y172-Base!Y172</f>
        <v>0</v>
      </c>
      <c r="BS172" s="1124">
        <f>+Details!Z172-Base!Z172</f>
        <v>0</v>
      </c>
      <c r="BT172" s="1124">
        <f>+Details!AA172-Base!AA172</f>
        <v>0</v>
      </c>
      <c r="BU172" s="1124">
        <f>+Details!AB172-Base!AB172</f>
        <v>0</v>
      </c>
      <c r="BV172" s="1124">
        <f>+Details!AC172-Base!AC172</f>
        <v>0</v>
      </c>
      <c r="BW172" s="1124">
        <f>+Details!AD172-Base!AD172</f>
        <v>0</v>
      </c>
      <c r="BX172" s="1124">
        <f>+Details!AE172-Base!AE172</f>
        <v>0</v>
      </c>
      <c r="BY172" s="1124">
        <f>+Details!AF172-Base!AF172</f>
        <v>0</v>
      </c>
      <c r="BZ172" s="1124">
        <f>+Details!AG172-Base!AG172</f>
        <v>0</v>
      </c>
      <c r="CA172" s="1124">
        <f>+Details!AH172-Base!AH172</f>
        <v>0</v>
      </c>
      <c r="CB172" s="1124">
        <f>+Details!AI172-Base!AI172</f>
        <v>0</v>
      </c>
      <c r="CC172" s="1124">
        <f>+Details!AJ172-Base!AJ172</f>
        <v>0</v>
      </c>
      <c r="CD172" s="1124">
        <f>+Details!AK172-Base!AK172</f>
        <v>0</v>
      </c>
      <c r="CE172" s="1124">
        <f>+Details!AL172-Base!AL172</f>
        <v>0</v>
      </c>
      <c r="CF172" s="1124">
        <f>+Details!AM172-Base!AM172</f>
        <v>0</v>
      </c>
      <c r="CG172" s="1124">
        <f>+Details!AN172-Base!AN172</f>
        <v>0</v>
      </c>
      <c r="CH172" s="1124">
        <f>+Details!AO172-Base!AO172</f>
        <v>0</v>
      </c>
      <c r="CI172" s="1124">
        <f>+Details!AP172-Base!AP172</f>
        <v>0</v>
      </c>
      <c r="CJ172" s="1124">
        <f>+Details!AQ172-Base!AQ172</f>
        <v>0</v>
      </c>
      <c r="CK172" s="1124">
        <f>+Details!AR172-Base!AR172</f>
        <v>0</v>
      </c>
      <c r="CL172" s="1124">
        <f>+Details!AS172-Base!AS172</f>
        <v>0</v>
      </c>
      <c r="CM172" s="81"/>
      <c r="CN172" s="49"/>
      <c r="CO172" s="49"/>
      <c r="CP172" s="42"/>
      <c r="CQ172" s="49"/>
      <c r="CR172" s="49"/>
      <c r="CS172" s="39"/>
      <c r="CT172" s="39"/>
      <c r="CU172" s="39"/>
      <c r="CV172" s="49"/>
      <c r="CW172" s="49"/>
      <c r="CX172" s="49"/>
      <c r="CY172" s="49"/>
      <c r="CZ172" s="39"/>
      <c r="DA172" s="49"/>
      <c r="DB172" s="39"/>
      <c r="DC172" s="39"/>
      <c r="DD172" s="49"/>
      <c r="DE172" s="49"/>
      <c r="DF172" s="49"/>
      <c r="DG172" s="49"/>
      <c r="DH172" s="49"/>
      <c r="DI172" s="49"/>
      <c r="DJ172" s="49"/>
      <c r="DK172" s="49"/>
      <c r="DL172" s="49"/>
      <c r="DM172" s="49"/>
      <c r="DN172" s="49"/>
      <c r="DO172" s="49"/>
      <c r="DP172" s="49"/>
      <c r="DQ172" s="44"/>
      <c r="DR172" s="49"/>
      <c r="DS172" s="49"/>
      <c r="DT172" s="49"/>
      <c r="DU172" s="49"/>
      <c r="DV172" s="49"/>
      <c r="DW172" s="49"/>
      <c r="DX172" s="49"/>
      <c r="DY172" s="49"/>
      <c r="DZ172" s="49"/>
      <c r="EA172" s="49"/>
      <c r="EB172" s="49"/>
      <c r="EC172" s="49"/>
      <c r="ED172" s="49"/>
    </row>
    <row r="173" spans="1:134" hidden="1">
      <c r="A173" s="1427" t="s">
        <v>1578</v>
      </c>
      <c r="B173" s="275" t="s">
        <v>1532</v>
      </c>
      <c r="C173" s="1006" t="str">
        <f>IF(SPIA_From="t","taxable acct",IF(SPIA_From="i","IR Annuity acct",IF(SPIA_From="r","Roth acct")))</f>
        <v>taxable acct</v>
      </c>
      <c r="D173" s="1373"/>
      <c r="E173" s="29">
        <f t="shared" si="141"/>
        <v>144000</v>
      </c>
      <c r="F173" s="31">
        <f t="shared" ref="F173:AS173" si="147">+F63+F62</f>
        <v>0</v>
      </c>
      <c r="G173" s="1124">
        <f t="shared" si="147"/>
        <v>0</v>
      </c>
      <c r="H173" s="1124">
        <f t="shared" si="147"/>
        <v>0</v>
      </c>
      <c r="I173" s="1124">
        <f t="shared" si="147"/>
        <v>0</v>
      </c>
      <c r="J173" s="1124">
        <f t="shared" si="147"/>
        <v>0</v>
      </c>
      <c r="K173" s="1124">
        <f t="shared" si="147"/>
        <v>0</v>
      </c>
      <c r="L173" s="1124">
        <f t="shared" si="147"/>
        <v>0</v>
      </c>
      <c r="M173" s="1124">
        <f t="shared" si="147"/>
        <v>0</v>
      </c>
      <c r="N173" s="1124">
        <f t="shared" si="147"/>
        <v>0</v>
      </c>
      <c r="O173" s="1124">
        <f t="shared" si="147"/>
        <v>0</v>
      </c>
      <c r="P173" s="1124">
        <f t="shared" si="147"/>
        <v>0</v>
      </c>
      <c r="Q173" s="1124">
        <f t="shared" si="147"/>
        <v>0</v>
      </c>
      <c r="R173" s="1124">
        <f t="shared" si="147"/>
        <v>0</v>
      </c>
      <c r="S173" s="1124">
        <f t="shared" si="147"/>
        <v>0</v>
      </c>
      <c r="T173" s="1124">
        <f t="shared" si="147"/>
        <v>9000</v>
      </c>
      <c r="U173" s="1124">
        <f t="shared" si="147"/>
        <v>9000</v>
      </c>
      <c r="V173" s="1124">
        <f t="shared" si="147"/>
        <v>9000</v>
      </c>
      <c r="W173" s="1124">
        <f t="shared" si="147"/>
        <v>9000</v>
      </c>
      <c r="X173" s="1124">
        <f t="shared" si="147"/>
        <v>9000</v>
      </c>
      <c r="Y173" s="1124">
        <f t="shared" si="147"/>
        <v>9000</v>
      </c>
      <c r="Z173" s="1124">
        <f t="shared" si="147"/>
        <v>9000</v>
      </c>
      <c r="AA173" s="1124">
        <f t="shared" si="147"/>
        <v>9000</v>
      </c>
      <c r="AB173" s="1124">
        <f t="shared" si="147"/>
        <v>9000</v>
      </c>
      <c r="AC173" s="1124">
        <f t="shared" si="147"/>
        <v>9000</v>
      </c>
      <c r="AD173" s="1124">
        <f t="shared" si="147"/>
        <v>9000</v>
      </c>
      <c r="AE173" s="1124">
        <f t="shared" si="147"/>
        <v>9000</v>
      </c>
      <c r="AF173" s="1124">
        <f t="shared" si="147"/>
        <v>9000</v>
      </c>
      <c r="AG173" s="1124">
        <f t="shared" si="147"/>
        <v>9000</v>
      </c>
      <c r="AH173" s="1124">
        <f t="shared" si="147"/>
        <v>9000</v>
      </c>
      <c r="AI173" s="1124">
        <f t="shared" si="147"/>
        <v>9000</v>
      </c>
      <c r="AJ173" s="1124">
        <f t="shared" si="147"/>
        <v>0</v>
      </c>
      <c r="AK173" s="1124">
        <f t="shared" si="147"/>
        <v>0</v>
      </c>
      <c r="AL173" s="1124">
        <f t="shared" si="147"/>
        <v>0</v>
      </c>
      <c r="AM173" s="1124">
        <f t="shared" si="147"/>
        <v>0</v>
      </c>
      <c r="AN173" s="1124">
        <f t="shared" si="147"/>
        <v>0</v>
      </c>
      <c r="AO173" s="1124">
        <f t="shared" si="147"/>
        <v>0</v>
      </c>
      <c r="AP173" s="1124">
        <f t="shared" si="147"/>
        <v>0</v>
      </c>
      <c r="AQ173" s="1124">
        <f t="shared" si="147"/>
        <v>0</v>
      </c>
      <c r="AR173" s="1124">
        <f t="shared" si="147"/>
        <v>0</v>
      </c>
      <c r="AS173" s="1124">
        <f t="shared" si="147"/>
        <v>0</v>
      </c>
      <c r="AT173" s="42"/>
      <c r="AU173" s="29">
        <f>+Details!E173</f>
        <v>144000</v>
      </c>
      <c r="AV173" s="81">
        <f t="shared" si="143"/>
        <v>0</v>
      </c>
      <c r="AW173" s="102"/>
      <c r="AY173" s="31">
        <f>+Details!F173-Base!F173</f>
        <v>0</v>
      </c>
      <c r="AZ173" s="1124">
        <f>+Details!G173-Base!G173</f>
        <v>0</v>
      </c>
      <c r="BA173" s="1124">
        <f>+Details!H173-Base!H173</f>
        <v>0</v>
      </c>
      <c r="BB173" s="1124">
        <f>+Details!I173-Base!I173</f>
        <v>0</v>
      </c>
      <c r="BC173" s="1124">
        <f>+Details!J173-Base!J173</f>
        <v>0</v>
      </c>
      <c r="BD173" s="1124">
        <f>+Details!K173-Base!K173</f>
        <v>0</v>
      </c>
      <c r="BE173" s="1124">
        <f>+Details!L173-Base!L173</f>
        <v>0</v>
      </c>
      <c r="BF173" s="1124">
        <f>+Details!M173-Base!M173</f>
        <v>0</v>
      </c>
      <c r="BG173" s="1124">
        <f>+Details!N173-Base!N173</f>
        <v>0</v>
      </c>
      <c r="BH173" s="1124">
        <f>+Details!O173-Base!O173</f>
        <v>0</v>
      </c>
      <c r="BI173" s="1124">
        <f>+Details!P173-Base!P173</f>
        <v>0</v>
      </c>
      <c r="BJ173" s="1124">
        <f>+Details!Q173-Base!Q173</f>
        <v>0</v>
      </c>
      <c r="BK173" s="1124">
        <f>+Details!R173-Base!R173</f>
        <v>0</v>
      </c>
      <c r="BL173" s="1124">
        <f>+Details!S173-Base!S173</f>
        <v>0</v>
      </c>
      <c r="BM173" s="1124">
        <f>+Details!T173-Base!T173</f>
        <v>0</v>
      </c>
      <c r="BN173" s="1124">
        <f>+Details!U173-Base!U173</f>
        <v>0</v>
      </c>
      <c r="BO173" s="1124">
        <f>+Details!V173-Base!V173</f>
        <v>0</v>
      </c>
      <c r="BP173" s="1124">
        <f>+Details!W173-Base!W173</f>
        <v>0</v>
      </c>
      <c r="BQ173" s="1124">
        <f>+Details!X173-Base!X173</f>
        <v>0</v>
      </c>
      <c r="BR173" s="1124">
        <f>+Details!Y173-Base!Y173</f>
        <v>0</v>
      </c>
      <c r="BS173" s="1124">
        <f>+Details!Z173-Base!Z173</f>
        <v>0</v>
      </c>
      <c r="BT173" s="1124">
        <f>+Details!AA173-Base!AA173</f>
        <v>0</v>
      </c>
      <c r="BU173" s="1124">
        <f>+Details!AB173-Base!AB173</f>
        <v>0</v>
      </c>
      <c r="BV173" s="1124">
        <f>+Details!AC173-Base!AC173</f>
        <v>0</v>
      </c>
      <c r="BW173" s="1124">
        <f>+Details!AD173-Base!AD173</f>
        <v>0</v>
      </c>
      <c r="BX173" s="1124">
        <f>+Details!AE173-Base!AE173</f>
        <v>0</v>
      </c>
      <c r="BY173" s="1124">
        <f>+Details!AF173-Base!AF173</f>
        <v>0</v>
      </c>
      <c r="BZ173" s="1124">
        <f>+Details!AG173-Base!AG173</f>
        <v>0</v>
      </c>
      <c r="CA173" s="1124">
        <f>+Details!AH173-Base!AH173</f>
        <v>0</v>
      </c>
      <c r="CB173" s="1124">
        <f>+Details!AI173-Base!AI173</f>
        <v>0</v>
      </c>
      <c r="CC173" s="1124">
        <f>+Details!AJ173-Base!AJ173</f>
        <v>0</v>
      </c>
      <c r="CD173" s="1124">
        <f>+Details!AK173-Base!AK173</f>
        <v>0</v>
      </c>
      <c r="CE173" s="1124">
        <f>+Details!AL173-Base!AL173</f>
        <v>0</v>
      </c>
      <c r="CF173" s="1124">
        <f>+Details!AM173-Base!AM173</f>
        <v>0</v>
      </c>
      <c r="CG173" s="1124">
        <f>+Details!AN173-Base!AN173</f>
        <v>0</v>
      </c>
      <c r="CH173" s="1124">
        <f>+Details!AO173-Base!AO173</f>
        <v>0</v>
      </c>
      <c r="CI173" s="1124">
        <f>+Details!AP173-Base!AP173</f>
        <v>0</v>
      </c>
      <c r="CJ173" s="1124">
        <f>+Details!AQ173-Base!AQ173</f>
        <v>0</v>
      </c>
      <c r="CK173" s="1124">
        <f>+Details!AR173-Base!AR173</f>
        <v>0</v>
      </c>
      <c r="CL173" s="1124">
        <f>+Details!AS173-Base!AS173</f>
        <v>0</v>
      </c>
      <c r="CM173" s="81"/>
      <c r="CN173" s="49"/>
      <c r="CO173" s="49"/>
      <c r="CP173" s="42"/>
      <c r="CQ173" s="49"/>
      <c r="CR173" s="49"/>
      <c r="CS173" s="39"/>
      <c r="CT173" s="39"/>
      <c r="CU173" s="39"/>
      <c r="CV173" s="49"/>
      <c r="CW173" s="49"/>
      <c r="CX173" s="49"/>
      <c r="CY173" s="49"/>
      <c r="CZ173" s="39"/>
      <c r="DA173" s="49"/>
      <c r="DB173" s="39"/>
      <c r="DC173" s="39"/>
      <c r="DD173" s="49"/>
      <c r="DE173" s="49"/>
      <c r="DF173" s="49"/>
      <c r="DG173" s="49"/>
      <c r="DH173" s="49"/>
      <c r="DI173" s="49"/>
      <c r="DJ173" s="49"/>
      <c r="DK173" s="49"/>
      <c r="DL173" s="49"/>
      <c r="DM173" s="49"/>
      <c r="DN173" s="49"/>
      <c r="DO173" s="49"/>
      <c r="DP173" s="49"/>
      <c r="DQ173" s="44"/>
      <c r="DR173" s="49"/>
      <c r="DS173" s="49"/>
      <c r="DT173" s="49"/>
      <c r="DU173" s="49"/>
      <c r="DV173" s="49"/>
      <c r="DW173" s="49"/>
      <c r="DX173" s="49"/>
      <c r="DY173" s="49"/>
      <c r="DZ173" s="49"/>
      <c r="EA173" s="49"/>
      <c r="EB173" s="49"/>
      <c r="EC173" s="49"/>
      <c r="ED173" s="49"/>
    </row>
    <row r="174" spans="1:134" hidden="1">
      <c r="A174" s="1427" t="s">
        <v>1578</v>
      </c>
      <c r="B174" s="234" t="s">
        <v>1711</v>
      </c>
      <c r="C174" s="234"/>
      <c r="D174" s="1370">
        <f>+SPIA_Excl</f>
        <v>0.75</v>
      </c>
      <c r="E174" s="29">
        <f t="shared" si="141"/>
        <v>-108800</v>
      </c>
      <c r="F174" s="31">
        <f t="shared" ref="F174:AS174" si="148">IF(SPIA_From="t",ROUND(-SPIA_Excl*F62/Round_To,0)*Round_To,0)</f>
        <v>0</v>
      </c>
      <c r="G174" s="1124">
        <f t="shared" si="148"/>
        <v>0</v>
      </c>
      <c r="H174" s="1124">
        <f t="shared" si="148"/>
        <v>0</v>
      </c>
      <c r="I174" s="1124">
        <f t="shared" si="148"/>
        <v>0</v>
      </c>
      <c r="J174" s="1124">
        <f t="shared" si="148"/>
        <v>0</v>
      </c>
      <c r="K174" s="1124">
        <f t="shared" si="148"/>
        <v>0</v>
      </c>
      <c r="L174" s="1124">
        <f t="shared" si="148"/>
        <v>0</v>
      </c>
      <c r="M174" s="1124">
        <f t="shared" si="148"/>
        <v>0</v>
      </c>
      <c r="N174" s="1124">
        <f t="shared" si="148"/>
        <v>0</v>
      </c>
      <c r="O174" s="1124">
        <f t="shared" si="148"/>
        <v>0</v>
      </c>
      <c r="P174" s="1124">
        <f t="shared" si="148"/>
        <v>0</v>
      </c>
      <c r="Q174" s="1124">
        <f t="shared" si="148"/>
        <v>0</v>
      </c>
      <c r="R174" s="1124">
        <f t="shared" si="148"/>
        <v>0</v>
      </c>
      <c r="S174" s="1124">
        <f t="shared" si="148"/>
        <v>0</v>
      </c>
      <c r="T174" s="1124">
        <f t="shared" si="148"/>
        <v>-6800</v>
      </c>
      <c r="U174" s="1124">
        <f t="shared" si="148"/>
        <v>-6800</v>
      </c>
      <c r="V174" s="1124">
        <f t="shared" si="148"/>
        <v>-6800</v>
      </c>
      <c r="W174" s="1124">
        <f t="shared" si="148"/>
        <v>-6800</v>
      </c>
      <c r="X174" s="1124">
        <f t="shared" si="148"/>
        <v>-6800</v>
      </c>
      <c r="Y174" s="1124">
        <f t="shared" si="148"/>
        <v>-6800</v>
      </c>
      <c r="Z174" s="1124">
        <f t="shared" si="148"/>
        <v>-6800</v>
      </c>
      <c r="AA174" s="1124">
        <f t="shared" si="148"/>
        <v>-6800</v>
      </c>
      <c r="AB174" s="1124">
        <f t="shared" si="148"/>
        <v>-6800</v>
      </c>
      <c r="AC174" s="1124">
        <f t="shared" si="148"/>
        <v>-6800</v>
      </c>
      <c r="AD174" s="1124">
        <f t="shared" si="148"/>
        <v>-6800</v>
      </c>
      <c r="AE174" s="1124">
        <f t="shared" si="148"/>
        <v>-6800</v>
      </c>
      <c r="AF174" s="1124">
        <f t="shared" si="148"/>
        <v>-6800</v>
      </c>
      <c r="AG174" s="1124">
        <f t="shared" si="148"/>
        <v>-6800</v>
      </c>
      <c r="AH174" s="1124">
        <f t="shared" si="148"/>
        <v>-6800</v>
      </c>
      <c r="AI174" s="1124">
        <f t="shared" si="148"/>
        <v>-6800</v>
      </c>
      <c r="AJ174" s="1124">
        <f t="shared" si="148"/>
        <v>0</v>
      </c>
      <c r="AK174" s="1124">
        <f t="shared" si="148"/>
        <v>0</v>
      </c>
      <c r="AL174" s="1124">
        <f t="shared" si="148"/>
        <v>0</v>
      </c>
      <c r="AM174" s="1124">
        <f t="shared" si="148"/>
        <v>0</v>
      </c>
      <c r="AN174" s="1124">
        <f t="shared" si="148"/>
        <v>0</v>
      </c>
      <c r="AO174" s="1124">
        <f t="shared" si="148"/>
        <v>0</v>
      </c>
      <c r="AP174" s="1124">
        <f t="shared" si="148"/>
        <v>0</v>
      </c>
      <c r="AQ174" s="1124">
        <f t="shared" si="148"/>
        <v>0</v>
      </c>
      <c r="AR174" s="1124">
        <f t="shared" si="148"/>
        <v>0</v>
      </c>
      <c r="AS174" s="1124">
        <f t="shared" si="148"/>
        <v>0</v>
      </c>
      <c r="AT174" s="42"/>
      <c r="AU174" s="29">
        <f>+Details!E174</f>
        <v>-108800</v>
      </c>
      <c r="AV174" s="81">
        <f t="shared" si="143"/>
        <v>0</v>
      </c>
      <c r="AW174" s="102"/>
      <c r="AY174" s="31">
        <f>+Details!F174-Base!F174</f>
        <v>0</v>
      </c>
      <c r="AZ174" s="1124">
        <f>+Details!G174-Base!G174</f>
        <v>0</v>
      </c>
      <c r="BA174" s="1124">
        <f>+Details!H174-Base!H174</f>
        <v>0</v>
      </c>
      <c r="BB174" s="1124">
        <f>+Details!I174-Base!I174</f>
        <v>0</v>
      </c>
      <c r="BC174" s="1124">
        <f>+Details!J174-Base!J174</f>
        <v>0</v>
      </c>
      <c r="BD174" s="1124">
        <f>+Details!K174-Base!K174</f>
        <v>0</v>
      </c>
      <c r="BE174" s="1124">
        <f>+Details!L174-Base!L174</f>
        <v>0</v>
      </c>
      <c r="BF174" s="1124">
        <f>+Details!M174-Base!M174</f>
        <v>0</v>
      </c>
      <c r="BG174" s="1124">
        <f>+Details!N174-Base!N174</f>
        <v>0</v>
      </c>
      <c r="BH174" s="1124">
        <f>+Details!O174-Base!O174</f>
        <v>0</v>
      </c>
      <c r="BI174" s="1124">
        <f>+Details!P174-Base!P174</f>
        <v>0</v>
      </c>
      <c r="BJ174" s="1124">
        <f>+Details!Q174-Base!Q174</f>
        <v>0</v>
      </c>
      <c r="BK174" s="1124">
        <f>+Details!R174-Base!R174</f>
        <v>0</v>
      </c>
      <c r="BL174" s="1124">
        <f>+Details!S174-Base!S174</f>
        <v>0</v>
      </c>
      <c r="BM174" s="1124">
        <f>+Details!T174-Base!T174</f>
        <v>0</v>
      </c>
      <c r="BN174" s="1124">
        <f>+Details!U174-Base!U174</f>
        <v>0</v>
      </c>
      <c r="BO174" s="1124">
        <f>+Details!V174-Base!V174</f>
        <v>0</v>
      </c>
      <c r="BP174" s="1124">
        <f>+Details!W174-Base!W174</f>
        <v>0</v>
      </c>
      <c r="BQ174" s="1124">
        <f>+Details!X174-Base!X174</f>
        <v>0</v>
      </c>
      <c r="BR174" s="1124">
        <f>+Details!Y174-Base!Y174</f>
        <v>0</v>
      </c>
      <c r="BS174" s="1124">
        <f>+Details!Z174-Base!Z174</f>
        <v>0</v>
      </c>
      <c r="BT174" s="1124">
        <f>+Details!AA174-Base!AA174</f>
        <v>0</v>
      </c>
      <c r="BU174" s="1124">
        <f>+Details!AB174-Base!AB174</f>
        <v>0</v>
      </c>
      <c r="BV174" s="1124">
        <f>+Details!AC174-Base!AC174</f>
        <v>0</v>
      </c>
      <c r="BW174" s="1124">
        <f>+Details!AD174-Base!AD174</f>
        <v>0</v>
      </c>
      <c r="BX174" s="1124">
        <f>+Details!AE174-Base!AE174</f>
        <v>0</v>
      </c>
      <c r="BY174" s="1124">
        <f>+Details!AF174-Base!AF174</f>
        <v>0</v>
      </c>
      <c r="BZ174" s="1124">
        <f>+Details!AG174-Base!AG174</f>
        <v>0</v>
      </c>
      <c r="CA174" s="1124">
        <f>+Details!AH174-Base!AH174</f>
        <v>0</v>
      </c>
      <c r="CB174" s="1124">
        <f>+Details!AI174-Base!AI174</f>
        <v>0</v>
      </c>
      <c r="CC174" s="1124">
        <f>+Details!AJ174-Base!AJ174</f>
        <v>0</v>
      </c>
      <c r="CD174" s="1124">
        <f>+Details!AK174-Base!AK174</f>
        <v>0</v>
      </c>
      <c r="CE174" s="1124">
        <f>+Details!AL174-Base!AL174</f>
        <v>0</v>
      </c>
      <c r="CF174" s="1124">
        <f>+Details!AM174-Base!AM174</f>
        <v>0</v>
      </c>
      <c r="CG174" s="1124">
        <f>+Details!AN174-Base!AN174</f>
        <v>0</v>
      </c>
      <c r="CH174" s="1124">
        <f>+Details!AO174-Base!AO174</f>
        <v>0</v>
      </c>
      <c r="CI174" s="1124">
        <f>+Details!AP174-Base!AP174</f>
        <v>0</v>
      </c>
      <c r="CJ174" s="1124">
        <f>+Details!AQ174-Base!AQ174</f>
        <v>0</v>
      </c>
      <c r="CK174" s="1124">
        <f>+Details!AR174-Base!AR174</f>
        <v>0</v>
      </c>
      <c r="CL174" s="1124">
        <f>+Details!AS174-Base!AS174</f>
        <v>0</v>
      </c>
      <c r="CM174" s="81"/>
      <c r="CN174" s="49"/>
      <c r="CO174" s="49"/>
      <c r="CP174" s="42"/>
      <c r="CQ174" s="49"/>
      <c r="CR174" s="49"/>
      <c r="CS174" s="39"/>
      <c r="CT174" s="39"/>
      <c r="CU174" s="39"/>
      <c r="CV174" s="49"/>
      <c r="CW174" s="49"/>
      <c r="CX174" s="49"/>
      <c r="CY174" s="49"/>
      <c r="CZ174" s="39"/>
      <c r="DA174" s="49"/>
      <c r="DB174" s="39"/>
      <c r="DC174" s="39"/>
      <c r="DD174" s="49"/>
      <c r="DE174" s="49"/>
      <c r="DF174" s="49"/>
      <c r="DG174" s="49"/>
      <c r="DH174" s="49"/>
      <c r="DI174" s="49"/>
      <c r="DJ174" s="49"/>
      <c r="DK174" s="49"/>
      <c r="DL174" s="49"/>
      <c r="DM174" s="49"/>
      <c r="DN174" s="49"/>
      <c r="DO174" s="49"/>
      <c r="DP174" s="49"/>
      <c r="DQ174" s="44"/>
      <c r="DR174" s="49"/>
      <c r="DS174" s="49"/>
      <c r="DT174" s="49"/>
      <c r="DU174" s="49"/>
      <c r="DV174" s="49"/>
      <c r="DW174" s="49"/>
      <c r="DX174" s="49"/>
      <c r="DY174" s="49"/>
      <c r="DZ174" s="49"/>
      <c r="EA174" s="49"/>
      <c r="EB174" s="49"/>
      <c r="EC174" s="49"/>
      <c r="ED174" s="49"/>
    </row>
    <row r="175" spans="1:134" hidden="1">
      <c r="A175" s="1427" t="s">
        <v>1578</v>
      </c>
      <c r="B175" s="234" t="s">
        <v>422</v>
      </c>
      <c r="C175" s="1008" t="str">
        <f>IF(Automate="y",Auto withdrawals included,"")</f>
        <v/>
      </c>
      <c r="D175" s="32"/>
      <c r="E175" s="65">
        <f t="shared" si="141"/>
        <v>402600</v>
      </c>
      <c r="F175" s="31">
        <f t="shared" ref="F175:AS175" si="149">-F91-F99-F95-F103</f>
        <v>40000</v>
      </c>
      <c r="G175" s="1124">
        <f t="shared" si="149"/>
        <v>41200</v>
      </c>
      <c r="H175" s="1124">
        <f t="shared" si="149"/>
        <v>42400</v>
      </c>
      <c r="I175" s="1124">
        <f t="shared" si="149"/>
        <v>43700</v>
      </c>
      <c r="J175" s="1124">
        <f t="shared" si="149"/>
        <v>45000</v>
      </c>
      <c r="K175" s="1124">
        <f t="shared" si="149"/>
        <v>46400</v>
      </c>
      <c r="L175" s="1124">
        <f t="shared" si="149"/>
        <v>47800</v>
      </c>
      <c r="M175" s="1124">
        <f t="shared" si="149"/>
        <v>49200</v>
      </c>
      <c r="N175" s="1124">
        <f t="shared" si="149"/>
        <v>10000</v>
      </c>
      <c r="O175" s="1124">
        <f t="shared" si="149"/>
        <v>9000</v>
      </c>
      <c r="P175" s="1124">
        <f t="shared" si="149"/>
        <v>8100</v>
      </c>
      <c r="Q175" s="1124">
        <f t="shared" si="149"/>
        <v>7300</v>
      </c>
      <c r="R175" s="1124">
        <f t="shared" si="149"/>
        <v>6600</v>
      </c>
      <c r="S175" s="1124">
        <f t="shared" si="149"/>
        <v>5900</v>
      </c>
      <c r="T175" s="1124">
        <f t="shared" si="149"/>
        <v>0</v>
      </c>
      <c r="U175" s="1124">
        <f t="shared" si="149"/>
        <v>0</v>
      </c>
      <c r="V175" s="1124">
        <f t="shared" si="149"/>
        <v>0</v>
      </c>
      <c r="W175" s="1124">
        <f t="shared" si="149"/>
        <v>0</v>
      </c>
      <c r="X175" s="1124">
        <f t="shared" si="149"/>
        <v>0</v>
      </c>
      <c r="Y175" s="1124">
        <f t="shared" si="149"/>
        <v>0</v>
      </c>
      <c r="Z175" s="1124">
        <f t="shared" si="149"/>
        <v>0</v>
      </c>
      <c r="AA175" s="1124">
        <f t="shared" si="149"/>
        <v>0</v>
      </c>
      <c r="AB175" s="1124">
        <f t="shared" si="149"/>
        <v>0</v>
      </c>
      <c r="AC175" s="1124">
        <f t="shared" si="149"/>
        <v>0</v>
      </c>
      <c r="AD175" s="1124">
        <f t="shared" si="149"/>
        <v>0</v>
      </c>
      <c r="AE175" s="1124">
        <f t="shared" si="149"/>
        <v>0</v>
      </c>
      <c r="AF175" s="1124">
        <f t="shared" si="149"/>
        <v>0</v>
      </c>
      <c r="AG175" s="1124">
        <f t="shared" si="149"/>
        <v>0</v>
      </c>
      <c r="AH175" s="1124">
        <f t="shared" si="149"/>
        <v>0</v>
      </c>
      <c r="AI175" s="1124">
        <f t="shared" si="149"/>
        <v>0</v>
      </c>
      <c r="AJ175" s="1124">
        <f t="shared" si="149"/>
        <v>0</v>
      </c>
      <c r="AK175" s="1124">
        <f t="shared" si="149"/>
        <v>0</v>
      </c>
      <c r="AL175" s="1124">
        <f t="shared" si="149"/>
        <v>0</v>
      </c>
      <c r="AM175" s="1124">
        <f t="shared" si="149"/>
        <v>0</v>
      </c>
      <c r="AN175" s="1124">
        <f t="shared" si="149"/>
        <v>0</v>
      </c>
      <c r="AO175" s="1124">
        <f t="shared" si="149"/>
        <v>0</v>
      </c>
      <c r="AP175" s="1124">
        <f t="shared" si="149"/>
        <v>0</v>
      </c>
      <c r="AQ175" s="1124">
        <f t="shared" si="149"/>
        <v>0</v>
      </c>
      <c r="AR175" s="1124">
        <f t="shared" si="149"/>
        <v>0</v>
      </c>
      <c r="AS175" s="1124">
        <f t="shared" si="149"/>
        <v>0</v>
      </c>
      <c r="AT175" s="42"/>
      <c r="AU175" s="29">
        <f>+Details!E175</f>
        <v>402600</v>
      </c>
      <c r="AV175" s="81">
        <f t="shared" si="143"/>
        <v>0</v>
      </c>
      <c r="AW175" s="102"/>
      <c r="AY175" s="31">
        <f>+Details!F175-Base!F175</f>
        <v>0</v>
      </c>
      <c r="AZ175" s="1124">
        <f>+Details!G175-Base!G175</f>
        <v>0</v>
      </c>
      <c r="BA175" s="1124">
        <f>+Details!H175-Base!H175</f>
        <v>0</v>
      </c>
      <c r="BB175" s="1124">
        <f>+Details!I175-Base!I175</f>
        <v>0</v>
      </c>
      <c r="BC175" s="1124">
        <f>+Details!J175-Base!J175</f>
        <v>0</v>
      </c>
      <c r="BD175" s="1124">
        <f>+Details!K175-Base!K175</f>
        <v>0</v>
      </c>
      <c r="BE175" s="1124">
        <f>+Details!L175-Base!L175</f>
        <v>0</v>
      </c>
      <c r="BF175" s="1124">
        <f>+Details!M175-Base!M175</f>
        <v>0</v>
      </c>
      <c r="BG175" s="1124">
        <f>+Details!N175-Base!N175</f>
        <v>0</v>
      </c>
      <c r="BH175" s="1124">
        <f>+Details!O175-Base!O175</f>
        <v>0</v>
      </c>
      <c r="BI175" s="1124">
        <f>+Details!P175-Base!P175</f>
        <v>0</v>
      </c>
      <c r="BJ175" s="1124">
        <f>+Details!Q175-Base!Q175</f>
        <v>0</v>
      </c>
      <c r="BK175" s="1124">
        <f>+Details!R175-Base!R175</f>
        <v>0</v>
      </c>
      <c r="BL175" s="1124">
        <f>+Details!S175-Base!S175</f>
        <v>0</v>
      </c>
      <c r="BM175" s="1124">
        <f>+Details!T175-Base!T175</f>
        <v>0</v>
      </c>
      <c r="BN175" s="1124">
        <f>+Details!U175-Base!U175</f>
        <v>0</v>
      </c>
      <c r="BO175" s="1124">
        <f>+Details!V175-Base!V175</f>
        <v>0</v>
      </c>
      <c r="BP175" s="1124">
        <f>+Details!W175-Base!W175</f>
        <v>0</v>
      </c>
      <c r="BQ175" s="1124">
        <f>+Details!X175-Base!X175</f>
        <v>0</v>
      </c>
      <c r="BR175" s="1124">
        <f>+Details!Y175-Base!Y175</f>
        <v>0</v>
      </c>
      <c r="BS175" s="1124">
        <f>+Details!Z175-Base!Z175</f>
        <v>0</v>
      </c>
      <c r="BT175" s="1124">
        <f>+Details!AA175-Base!AA175</f>
        <v>0</v>
      </c>
      <c r="BU175" s="1124">
        <f>+Details!AB175-Base!AB175</f>
        <v>0</v>
      </c>
      <c r="BV175" s="1124">
        <f>+Details!AC175-Base!AC175</f>
        <v>0</v>
      </c>
      <c r="BW175" s="1124">
        <f>+Details!AD175-Base!AD175</f>
        <v>0</v>
      </c>
      <c r="BX175" s="1124">
        <f>+Details!AE175-Base!AE175</f>
        <v>0</v>
      </c>
      <c r="BY175" s="1124">
        <f>+Details!AF175-Base!AF175</f>
        <v>0</v>
      </c>
      <c r="BZ175" s="1124">
        <f>+Details!AG175-Base!AG175</f>
        <v>0</v>
      </c>
      <c r="CA175" s="1124">
        <f>+Details!AH175-Base!AH175</f>
        <v>0</v>
      </c>
      <c r="CB175" s="1124">
        <f>+Details!AI175-Base!AI175</f>
        <v>0</v>
      </c>
      <c r="CC175" s="1124">
        <f>+Details!AJ175-Base!AJ175</f>
        <v>0</v>
      </c>
      <c r="CD175" s="1124">
        <f>+Details!AK175-Base!AK175</f>
        <v>0</v>
      </c>
      <c r="CE175" s="1124">
        <f>+Details!AL175-Base!AL175</f>
        <v>0</v>
      </c>
      <c r="CF175" s="1124">
        <f>+Details!AM175-Base!AM175</f>
        <v>0</v>
      </c>
      <c r="CG175" s="1124">
        <f>+Details!AN175-Base!AN175</f>
        <v>0</v>
      </c>
      <c r="CH175" s="1124">
        <f>+Details!AO175-Base!AO175</f>
        <v>0</v>
      </c>
      <c r="CI175" s="1124">
        <f>+Details!AP175-Base!AP175</f>
        <v>0</v>
      </c>
      <c r="CJ175" s="1124">
        <f>+Details!AQ175-Base!AQ175</f>
        <v>0</v>
      </c>
      <c r="CK175" s="1124">
        <f>+Details!AR175-Base!AR175</f>
        <v>0</v>
      </c>
      <c r="CL175" s="1124">
        <f>+Details!AS175-Base!AS175</f>
        <v>0</v>
      </c>
      <c r="CM175" s="81"/>
      <c r="CN175" s="49"/>
      <c r="CO175" s="49"/>
      <c r="CP175" s="42"/>
      <c r="CQ175" s="49"/>
      <c r="CR175" s="49"/>
      <c r="CS175" s="39"/>
      <c r="CT175" s="39"/>
      <c r="CU175" s="39"/>
      <c r="CV175" s="49"/>
      <c r="CW175" s="49"/>
      <c r="CX175" s="49"/>
      <c r="CY175" s="49"/>
      <c r="CZ175" s="39"/>
      <c r="DA175" s="49"/>
      <c r="DB175" s="39"/>
      <c r="DC175" s="39"/>
      <c r="DD175" s="49"/>
      <c r="DE175" s="49"/>
      <c r="DF175" s="49"/>
      <c r="DG175" s="49"/>
      <c r="DH175" s="49"/>
      <c r="DI175" s="49"/>
      <c r="DJ175" s="49"/>
      <c r="DK175" s="49"/>
      <c r="DL175" s="49"/>
      <c r="DM175" s="49"/>
      <c r="DN175" s="49"/>
      <c r="DO175" s="49"/>
      <c r="DP175" s="49"/>
      <c r="DQ175" s="44"/>
      <c r="DR175" s="49"/>
      <c r="DS175" s="49"/>
      <c r="DT175" s="49"/>
      <c r="DU175" s="49"/>
      <c r="DV175" s="49"/>
      <c r="DW175" s="49"/>
      <c r="DX175" s="49"/>
      <c r="DY175" s="49"/>
      <c r="DZ175" s="49"/>
      <c r="EA175" s="49"/>
      <c r="EB175" s="49"/>
      <c r="EC175" s="49"/>
      <c r="ED175" s="49"/>
    </row>
    <row r="176" spans="1:134" hidden="1">
      <c r="A176" s="1427" t="s">
        <v>1578</v>
      </c>
      <c r="B176" s="234" t="s">
        <v>1182</v>
      </c>
      <c r="C176" s="1008"/>
      <c r="D176" s="32"/>
      <c r="E176" s="65">
        <f t="shared" si="141"/>
        <v>1017800</v>
      </c>
      <c r="F176" s="31">
        <f t="shared" ref="F176:AS176" si="150">-F94-F102</f>
        <v>0</v>
      </c>
      <c r="G176" s="1124">
        <f t="shared" si="150"/>
        <v>0</v>
      </c>
      <c r="H176" s="1124">
        <f t="shared" si="150"/>
        <v>0</v>
      </c>
      <c r="I176" s="1124">
        <f t="shared" si="150"/>
        <v>0</v>
      </c>
      <c r="J176" s="1124">
        <f t="shared" si="150"/>
        <v>0</v>
      </c>
      <c r="K176" s="1124">
        <f t="shared" si="150"/>
        <v>0</v>
      </c>
      <c r="L176" s="1124">
        <f t="shared" si="150"/>
        <v>0</v>
      </c>
      <c r="M176" s="1124">
        <f t="shared" si="150"/>
        <v>0</v>
      </c>
      <c r="N176" s="1124">
        <f t="shared" si="150"/>
        <v>0</v>
      </c>
      <c r="O176" s="1124">
        <f t="shared" si="150"/>
        <v>29500</v>
      </c>
      <c r="P176" s="1124">
        <f t="shared" si="150"/>
        <v>30900</v>
      </c>
      <c r="Q176" s="1124">
        <f t="shared" si="150"/>
        <v>32400</v>
      </c>
      <c r="R176" s="1124">
        <f t="shared" si="150"/>
        <v>33900</v>
      </c>
      <c r="S176" s="1124">
        <f t="shared" si="150"/>
        <v>35600</v>
      </c>
      <c r="T176" s="1124">
        <f t="shared" si="150"/>
        <v>37400</v>
      </c>
      <c r="U176" s="1124">
        <f t="shared" si="150"/>
        <v>39500</v>
      </c>
      <c r="V176" s="1124">
        <f t="shared" si="150"/>
        <v>41800</v>
      </c>
      <c r="W176" s="1124">
        <f t="shared" si="150"/>
        <v>44100</v>
      </c>
      <c r="X176" s="1124">
        <f t="shared" si="150"/>
        <v>46300</v>
      </c>
      <c r="Y176" s="1124">
        <f t="shared" si="150"/>
        <v>48400</v>
      </c>
      <c r="Z176" s="1124">
        <f t="shared" si="150"/>
        <v>50500</v>
      </c>
      <c r="AA176" s="1124">
        <f t="shared" si="150"/>
        <v>52800</v>
      </c>
      <c r="AB176" s="1124">
        <f t="shared" si="150"/>
        <v>55000</v>
      </c>
      <c r="AC176" s="1124">
        <f t="shared" si="150"/>
        <v>57100</v>
      </c>
      <c r="AD176" s="1124">
        <f t="shared" si="150"/>
        <v>59100</v>
      </c>
      <c r="AE176" s="1124">
        <f t="shared" si="150"/>
        <v>61100</v>
      </c>
      <c r="AF176" s="1124">
        <f t="shared" si="150"/>
        <v>63000</v>
      </c>
      <c r="AG176" s="1124">
        <f t="shared" si="150"/>
        <v>64900</v>
      </c>
      <c r="AH176" s="1124">
        <f t="shared" si="150"/>
        <v>66600</v>
      </c>
      <c r="AI176" s="1124">
        <f t="shared" si="150"/>
        <v>67900</v>
      </c>
      <c r="AJ176" s="1124">
        <f t="shared" si="150"/>
        <v>0</v>
      </c>
      <c r="AK176" s="1124">
        <f t="shared" si="150"/>
        <v>0</v>
      </c>
      <c r="AL176" s="1124">
        <f t="shared" si="150"/>
        <v>0</v>
      </c>
      <c r="AM176" s="1124">
        <f t="shared" si="150"/>
        <v>0</v>
      </c>
      <c r="AN176" s="1124">
        <f t="shared" si="150"/>
        <v>0</v>
      </c>
      <c r="AO176" s="1124">
        <f t="shared" si="150"/>
        <v>0</v>
      </c>
      <c r="AP176" s="1124">
        <f t="shared" si="150"/>
        <v>0</v>
      </c>
      <c r="AQ176" s="1124">
        <f t="shared" si="150"/>
        <v>0</v>
      </c>
      <c r="AR176" s="1124">
        <f t="shared" si="150"/>
        <v>0</v>
      </c>
      <c r="AS176" s="1124">
        <f t="shared" si="150"/>
        <v>0</v>
      </c>
      <c r="AT176" s="42"/>
      <c r="AU176" s="29">
        <f>+Details!E176</f>
        <v>1017800</v>
      </c>
      <c r="AV176" s="81">
        <f t="shared" si="143"/>
        <v>0</v>
      </c>
      <c r="AW176" s="102"/>
      <c r="AY176" s="31">
        <f>+Details!F176-Base!F176</f>
        <v>0</v>
      </c>
      <c r="AZ176" s="1124">
        <f>+Details!G176-Base!G176</f>
        <v>0</v>
      </c>
      <c r="BA176" s="1124">
        <f>+Details!H176-Base!H176</f>
        <v>0</v>
      </c>
      <c r="BB176" s="1124">
        <f>+Details!I176-Base!I176</f>
        <v>0</v>
      </c>
      <c r="BC176" s="1124">
        <f>+Details!J176-Base!J176</f>
        <v>0</v>
      </c>
      <c r="BD176" s="1124">
        <f>+Details!K176-Base!K176</f>
        <v>0</v>
      </c>
      <c r="BE176" s="1124">
        <f>+Details!L176-Base!L176</f>
        <v>0</v>
      </c>
      <c r="BF176" s="1124">
        <f>+Details!M176-Base!M176</f>
        <v>0</v>
      </c>
      <c r="BG176" s="1124">
        <f>+Details!N176-Base!N176</f>
        <v>0</v>
      </c>
      <c r="BH176" s="1124">
        <f>+Details!O176-Base!O176</f>
        <v>0</v>
      </c>
      <c r="BI176" s="1124">
        <f>+Details!P176-Base!P176</f>
        <v>0</v>
      </c>
      <c r="BJ176" s="1124">
        <f>+Details!Q176-Base!Q176</f>
        <v>0</v>
      </c>
      <c r="BK176" s="1124">
        <f>+Details!R176-Base!R176</f>
        <v>0</v>
      </c>
      <c r="BL176" s="1124">
        <f>+Details!S176-Base!S176</f>
        <v>0</v>
      </c>
      <c r="BM176" s="1124">
        <f>+Details!T176-Base!T176</f>
        <v>0</v>
      </c>
      <c r="BN176" s="1124">
        <f>+Details!U176-Base!U176</f>
        <v>0</v>
      </c>
      <c r="BO176" s="1124">
        <f>+Details!V176-Base!V176</f>
        <v>0</v>
      </c>
      <c r="BP176" s="1124">
        <f>+Details!W176-Base!W176</f>
        <v>0</v>
      </c>
      <c r="BQ176" s="1124">
        <f>+Details!X176-Base!X176</f>
        <v>0</v>
      </c>
      <c r="BR176" s="1124">
        <f>+Details!Y176-Base!Y176</f>
        <v>0</v>
      </c>
      <c r="BS176" s="1124">
        <f>+Details!Z176-Base!Z176</f>
        <v>0</v>
      </c>
      <c r="BT176" s="1124">
        <f>+Details!AA176-Base!AA176</f>
        <v>0</v>
      </c>
      <c r="BU176" s="1124">
        <f>+Details!AB176-Base!AB176</f>
        <v>0</v>
      </c>
      <c r="BV176" s="1124">
        <f>+Details!AC176-Base!AC176</f>
        <v>0</v>
      </c>
      <c r="BW176" s="1124">
        <f>+Details!AD176-Base!AD176</f>
        <v>0</v>
      </c>
      <c r="BX176" s="1124">
        <f>+Details!AE176-Base!AE176</f>
        <v>0</v>
      </c>
      <c r="BY176" s="1124">
        <f>+Details!AF176-Base!AF176</f>
        <v>0</v>
      </c>
      <c r="BZ176" s="1124">
        <f>+Details!AG176-Base!AG176</f>
        <v>0</v>
      </c>
      <c r="CA176" s="1124">
        <f>+Details!AH176-Base!AH176</f>
        <v>0</v>
      </c>
      <c r="CB176" s="1124">
        <f>+Details!AI176-Base!AI176</f>
        <v>0</v>
      </c>
      <c r="CC176" s="1124">
        <f>+Details!AJ176-Base!AJ176</f>
        <v>0</v>
      </c>
      <c r="CD176" s="1124">
        <f>+Details!AK176-Base!AK176</f>
        <v>0</v>
      </c>
      <c r="CE176" s="1124">
        <f>+Details!AL176-Base!AL176</f>
        <v>0</v>
      </c>
      <c r="CF176" s="1124">
        <f>+Details!AM176-Base!AM176</f>
        <v>0</v>
      </c>
      <c r="CG176" s="1124">
        <f>+Details!AN176-Base!AN176</f>
        <v>0</v>
      </c>
      <c r="CH176" s="1124">
        <f>+Details!AO176-Base!AO176</f>
        <v>0</v>
      </c>
      <c r="CI176" s="1124">
        <f>+Details!AP176-Base!AP176</f>
        <v>0</v>
      </c>
      <c r="CJ176" s="1124">
        <f>+Details!AQ176-Base!AQ176</f>
        <v>0</v>
      </c>
      <c r="CK176" s="1124">
        <f>+Details!AR176-Base!AR176</f>
        <v>0</v>
      </c>
      <c r="CL176" s="1124">
        <f>+Details!AS176-Base!AS176</f>
        <v>0</v>
      </c>
      <c r="CM176" s="81"/>
      <c r="CN176" s="49"/>
      <c r="CO176" s="49"/>
      <c r="CP176" s="42"/>
      <c r="CQ176" s="49"/>
      <c r="CR176" s="49"/>
      <c r="CS176" s="39"/>
      <c r="CT176" s="39"/>
      <c r="CU176" s="39"/>
      <c r="CV176" s="49"/>
      <c r="CW176" s="49"/>
      <c r="CX176" s="49"/>
      <c r="CY176" s="49"/>
      <c r="CZ176" s="39"/>
      <c r="DA176" s="49"/>
      <c r="DB176" s="39"/>
      <c r="DC176" s="39"/>
      <c r="DD176" s="49"/>
      <c r="DE176" s="49"/>
      <c r="DF176" s="49"/>
      <c r="DG176" s="49"/>
      <c r="DH176" s="49"/>
      <c r="DI176" s="49"/>
      <c r="DJ176" s="49"/>
      <c r="DK176" s="49"/>
      <c r="DL176" s="49"/>
      <c r="DM176" s="49"/>
      <c r="DN176" s="49"/>
      <c r="DO176" s="49"/>
      <c r="DP176" s="49"/>
      <c r="DQ176" s="44"/>
      <c r="DR176" s="49"/>
      <c r="DS176" s="49"/>
      <c r="DT176" s="49"/>
      <c r="DU176" s="49"/>
      <c r="DV176" s="49"/>
      <c r="DW176" s="49"/>
      <c r="DX176" s="49"/>
      <c r="DY176" s="49"/>
      <c r="DZ176" s="49"/>
      <c r="EA176" s="49"/>
      <c r="EB176" s="49"/>
      <c r="EC176" s="49"/>
      <c r="ED176" s="49"/>
    </row>
    <row r="177" spans="1:134" hidden="1">
      <c r="A177" s="1427" t="s">
        <v>1578</v>
      </c>
      <c r="B177" s="234" t="s">
        <v>1272</v>
      </c>
      <c r="C177" s="1008" t="str">
        <f>IF(Automate="y",Auto withdrawals included,"")</f>
        <v/>
      </c>
      <c r="D177" s="32"/>
      <c r="E177" s="65">
        <f>SUM(F177:AS177)</f>
        <v>15300</v>
      </c>
      <c r="F177" s="31">
        <f t="shared" ref="F177:AS177" si="151">-F115-F118</f>
        <v>0</v>
      </c>
      <c r="G177" s="1124">
        <f t="shared" si="151"/>
        <v>0</v>
      </c>
      <c r="H177" s="1124">
        <f t="shared" si="151"/>
        <v>0</v>
      </c>
      <c r="I177" s="1124">
        <f t="shared" si="151"/>
        <v>0</v>
      </c>
      <c r="J177" s="1124">
        <f t="shared" si="151"/>
        <v>0</v>
      </c>
      <c r="K177" s="1124">
        <f t="shared" si="151"/>
        <v>0</v>
      </c>
      <c r="L177" s="1124">
        <f t="shared" si="151"/>
        <v>0</v>
      </c>
      <c r="M177" s="1124">
        <f t="shared" si="151"/>
        <v>0</v>
      </c>
      <c r="N177" s="1124">
        <f t="shared" si="151"/>
        <v>0</v>
      </c>
      <c r="O177" s="1124">
        <f t="shared" si="151"/>
        <v>0</v>
      </c>
      <c r="P177" s="1124">
        <f t="shared" si="151"/>
        <v>0</v>
      </c>
      <c r="Q177" s="1124">
        <f t="shared" si="151"/>
        <v>0</v>
      </c>
      <c r="R177" s="1124">
        <f t="shared" si="151"/>
        <v>0</v>
      </c>
      <c r="S177" s="1124">
        <f t="shared" si="151"/>
        <v>0</v>
      </c>
      <c r="T177" s="1124">
        <f t="shared" si="151"/>
        <v>0</v>
      </c>
      <c r="U177" s="1124">
        <f t="shared" si="151"/>
        <v>4000</v>
      </c>
      <c r="V177" s="1124">
        <f t="shared" si="151"/>
        <v>5000</v>
      </c>
      <c r="W177" s="1124">
        <f t="shared" si="151"/>
        <v>5100</v>
      </c>
      <c r="X177" s="1124">
        <f t="shared" si="151"/>
        <v>1200</v>
      </c>
      <c r="Y177" s="1124">
        <f t="shared" si="151"/>
        <v>0</v>
      </c>
      <c r="Z177" s="1124">
        <f t="shared" si="151"/>
        <v>0</v>
      </c>
      <c r="AA177" s="1124">
        <f t="shared" si="151"/>
        <v>0</v>
      </c>
      <c r="AB177" s="1124">
        <f t="shared" si="151"/>
        <v>0</v>
      </c>
      <c r="AC177" s="1124">
        <f t="shared" si="151"/>
        <v>0</v>
      </c>
      <c r="AD177" s="1124">
        <f t="shared" si="151"/>
        <v>0</v>
      </c>
      <c r="AE177" s="1124">
        <f t="shared" si="151"/>
        <v>0</v>
      </c>
      <c r="AF177" s="1124">
        <f t="shared" si="151"/>
        <v>0</v>
      </c>
      <c r="AG177" s="1124">
        <f t="shared" si="151"/>
        <v>0</v>
      </c>
      <c r="AH177" s="1124">
        <f t="shared" si="151"/>
        <v>0</v>
      </c>
      <c r="AI177" s="1124">
        <f t="shared" si="151"/>
        <v>0</v>
      </c>
      <c r="AJ177" s="1124">
        <f t="shared" si="151"/>
        <v>0</v>
      </c>
      <c r="AK177" s="1124">
        <f t="shared" si="151"/>
        <v>0</v>
      </c>
      <c r="AL177" s="1124">
        <f t="shared" si="151"/>
        <v>0</v>
      </c>
      <c r="AM177" s="1124">
        <f t="shared" si="151"/>
        <v>0</v>
      </c>
      <c r="AN177" s="1124">
        <f t="shared" si="151"/>
        <v>0</v>
      </c>
      <c r="AO177" s="1124">
        <f t="shared" si="151"/>
        <v>0</v>
      </c>
      <c r="AP177" s="1124">
        <f t="shared" si="151"/>
        <v>0</v>
      </c>
      <c r="AQ177" s="1124">
        <f t="shared" si="151"/>
        <v>0</v>
      </c>
      <c r="AR177" s="1124">
        <f t="shared" si="151"/>
        <v>0</v>
      </c>
      <c r="AS177" s="1124">
        <f t="shared" si="151"/>
        <v>0</v>
      </c>
      <c r="AT177" s="42"/>
      <c r="AU177" s="29">
        <f>+Details!E177</f>
        <v>15300</v>
      </c>
      <c r="AV177" s="81">
        <f t="shared" si="143"/>
        <v>0</v>
      </c>
      <c r="AW177" s="102"/>
      <c r="AY177" s="31">
        <f>+Details!F177-Base!F177</f>
        <v>0</v>
      </c>
      <c r="AZ177" s="1124">
        <f>+Details!G177-Base!G177</f>
        <v>0</v>
      </c>
      <c r="BA177" s="1124">
        <f>+Details!H177-Base!H177</f>
        <v>0</v>
      </c>
      <c r="BB177" s="1124">
        <f>+Details!I177-Base!I177</f>
        <v>0</v>
      </c>
      <c r="BC177" s="1124">
        <f>+Details!J177-Base!J177</f>
        <v>0</v>
      </c>
      <c r="BD177" s="1124">
        <f>+Details!K177-Base!K177</f>
        <v>0</v>
      </c>
      <c r="BE177" s="1124">
        <f>+Details!L177-Base!L177</f>
        <v>0</v>
      </c>
      <c r="BF177" s="1124">
        <f>+Details!M177-Base!M177</f>
        <v>0</v>
      </c>
      <c r="BG177" s="1124">
        <f>+Details!N177-Base!N177</f>
        <v>0</v>
      </c>
      <c r="BH177" s="1124">
        <f>+Details!O177-Base!O177</f>
        <v>0</v>
      </c>
      <c r="BI177" s="1124">
        <f>+Details!P177-Base!P177</f>
        <v>0</v>
      </c>
      <c r="BJ177" s="1124">
        <f>+Details!Q177-Base!Q177</f>
        <v>0</v>
      </c>
      <c r="BK177" s="1124">
        <f>+Details!R177-Base!R177</f>
        <v>0</v>
      </c>
      <c r="BL177" s="1124">
        <f>+Details!S177-Base!S177</f>
        <v>0</v>
      </c>
      <c r="BM177" s="1124">
        <f>+Details!T177-Base!T177</f>
        <v>0</v>
      </c>
      <c r="BN177" s="1124">
        <f>+Details!U177-Base!U177</f>
        <v>0</v>
      </c>
      <c r="BO177" s="1124">
        <f>+Details!V177-Base!V177</f>
        <v>0</v>
      </c>
      <c r="BP177" s="1124">
        <f>+Details!W177-Base!W177</f>
        <v>0</v>
      </c>
      <c r="BQ177" s="1124">
        <f>+Details!X177-Base!X177</f>
        <v>0</v>
      </c>
      <c r="BR177" s="1124">
        <f>+Details!Y177-Base!Y177</f>
        <v>0</v>
      </c>
      <c r="BS177" s="1124">
        <f>+Details!Z177-Base!Z177</f>
        <v>0</v>
      </c>
      <c r="BT177" s="1124">
        <f>+Details!AA177-Base!AA177</f>
        <v>0</v>
      </c>
      <c r="BU177" s="1124">
        <f>+Details!AB177-Base!AB177</f>
        <v>0</v>
      </c>
      <c r="BV177" s="1124">
        <f>+Details!AC177-Base!AC177</f>
        <v>0</v>
      </c>
      <c r="BW177" s="1124">
        <f>+Details!AD177-Base!AD177</f>
        <v>0</v>
      </c>
      <c r="BX177" s="1124">
        <f>+Details!AE177-Base!AE177</f>
        <v>0</v>
      </c>
      <c r="BY177" s="1124">
        <f>+Details!AF177-Base!AF177</f>
        <v>0</v>
      </c>
      <c r="BZ177" s="1124">
        <f>+Details!AG177-Base!AG177</f>
        <v>0</v>
      </c>
      <c r="CA177" s="1124">
        <f>+Details!AH177-Base!AH177</f>
        <v>0</v>
      </c>
      <c r="CB177" s="1124">
        <f>+Details!AI177-Base!AI177</f>
        <v>0</v>
      </c>
      <c r="CC177" s="1124">
        <f>+Details!AJ177-Base!AJ177</f>
        <v>0</v>
      </c>
      <c r="CD177" s="1124">
        <f>+Details!AK177-Base!AK177</f>
        <v>0</v>
      </c>
      <c r="CE177" s="1124">
        <f>+Details!AL177-Base!AL177</f>
        <v>0</v>
      </c>
      <c r="CF177" s="1124">
        <f>+Details!AM177-Base!AM177</f>
        <v>0</v>
      </c>
      <c r="CG177" s="1124">
        <f>+Details!AN177-Base!AN177</f>
        <v>0</v>
      </c>
      <c r="CH177" s="1124">
        <f>+Details!AO177-Base!AO177</f>
        <v>0</v>
      </c>
      <c r="CI177" s="1124">
        <f>+Details!AP177-Base!AP177</f>
        <v>0</v>
      </c>
      <c r="CJ177" s="1124">
        <f>+Details!AQ177-Base!AQ177</f>
        <v>0</v>
      </c>
      <c r="CK177" s="1124">
        <f>+Details!AR177-Base!AR177</f>
        <v>0</v>
      </c>
      <c r="CL177" s="1124">
        <f>+Details!AS177-Base!AS177</f>
        <v>0</v>
      </c>
      <c r="CM177" s="81"/>
      <c r="CN177" s="49"/>
      <c r="CO177" s="49"/>
      <c r="CP177" s="42"/>
      <c r="CQ177" s="49"/>
      <c r="CR177" s="49"/>
      <c r="CS177" s="39"/>
      <c r="CT177" s="39"/>
      <c r="CU177" s="39"/>
      <c r="CV177" s="49"/>
      <c r="CW177" s="49"/>
      <c r="CX177" s="49"/>
      <c r="CY177" s="49"/>
      <c r="CZ177" s="39"/>
      <c r="DA177" s="49"/>
      <c r="DB177" s="39"/>
      <c r="DC177" s="39"/>
      <c r="DD177" s="49"/>
      <c r="DE177" s="49"/>
      <c r="DF177" s="49"/>
      <c r="DG177" s="49"/>
      <c r="DH177" s="49"/>
      <c r="DI177" s="49"/>
      <c r="DJ177" s="49"/>
      <c r="DK177" s="49"/>
      <c r="DL177" s="49"/>
      <c r="DM177" s="49"/>
      <c r="DN177" s="49"/>
      <c r="DO177" s="49"/>
      <c r="DP177" s="49"/>
      <c r="DQ177" s="44"/>
      <c r="DR177" s="49"/>
      <c r="DS177" s="49"/>
      <c r="DT177" s="49"/>
      <c r="DU177" s="49"/>
      <c r="DV177" s="49"/>
      <c r="DW177" s="49"/>
      <c r="DX177" s="49"/>
      <c r="DY177" s="49"/>
      <c r="DZ177" s="49"/>
      <c r="EA177" s="49"/>
      <c r="EB177" s="49"/>
      <c r="EC177" s="49"/>
      <c r="ED177" s="49"/>
    </row>
    <row r="178" spans="1:134" hidden="1">
      <c r="A178" s="1427" t="s">
        <v>1578</v>
      </c>
      <c r="B178" s="234" t="s">
        <v>1181</v>
      </c>
      <c r="C178" s="1009"/>
      <c r="D178" s="32"/>
      <c r="E178" s="65">
        <f>SUM(F178:AS178)</f>
        <v>128700</v>
      </c>
      <c r="F178" s="31">
        <f t="shared" ref="F178:AS178" si="152">-F112</f>
        <v>0</v>
      </c>
      <c r="G178" s="1124">
        <f t="shared" si="152"/>
        <v>0</v>
      </c>
      <c r="H178" s="1124">
        <f t="shared" si="152"/>
        <v>0</v>
      </c>
      <c r="I178" s="1124">
        <f t="shared" si="152"/>
        <v>0</v>
      </c>
      <c r="J178" s="1124">
        <f t="shared" si="152"/>
        <v>0</v>
      </c>
      <c r="K178" s="1124">
        <f t="shared" si="152"/>
        <v>0</v>
      </c>
      <c r="L178" s="1124">
        <f t="shared" si="152"/>
        <v>0</v>
      </c>
      <c r="M178" s="1124">
        <f t="shared" si="152"/>
        <v>0</v>
      </c>
      <c r="N178" s="1124">
        <f t="shared" si="152"/>
        <v>0</v>
      </c>
      <c r="O178" s="1124">
        <f t="shared" si="152"/>
        <v>0</v>
      </c>
      <c r="P178" s="1124">
        <f t="shared" si="152"/>
        <v>0</v>
      </c>
      <c r="Q178" s="1124">
        <f t="shared" si="152"/>
        <v>0</v>
      </c>
      <c r="R178" s="1124">
        <f t="shared" si="152"/>
        <v>4100</v>
      </c>
      <c r="S178" s="1124">
        <f t="shared" si="152"/>
        <v>4300</v>
      </c>
      <c r="T178" s="1124">
        <f t="shared" si="152"/>
        <v>4600</v>
      </c>
      <c r="U178" s="1124">
        <f t="shared" si="152"/>
        <v>4800</v>
      </c>
      <c r="V178" s="1124">
        <f t="shared" si="152"/>
        <v>8300</v>
      </c>
      <c r="W178" s="1124">
        <f t="shared" si="152"/>
        <v>8400</v>
      </c>
      <c r="X178" s="1124">
        <f t="shared" si="152"/>
        <v>8400</v>
      </c>
      <c r="Y178" s="1124">
        <f t="shared" si="152"/>
        <v>8600</v>
      </c>
      <c r="Z178" s="1124">
        <f t="shared" si="152"/>
        <v>9100</v>
      </c>
      <c r="AA178" s="1124">
        <f t="shared" si="152"/>
        <v>9700</v>
      </c>
      <c r="AB178" s="1124">
        <f t="shared" si="152"/>
        <v>10300</v>
      </c>
      <c r="AC178" s="1124">
        <f t="shared" si="152"/>
        <v>10800</v>
      </c>
      <c r="AD178" s="1124">
        <f t="shared" si="152"/>
        <v>11500</v>
      </c>
      <c r="AE178" s="1124">
        <f t="shared" si="152"/>
        <v>12300</v>
      </c>
      <c r="AF178" s="1124">
        <f t="shared" si="152"/>
        <v>11500</v>
      </c>
      <c r="AG178" s="1124">
        <f t="shared" si="152"/>
        <v>2000</v>
      </c>
      <c r="AH178" s="1124">
        <f t="shared" si="152"/>
        <v>0</v>
      </c>
      <c r="AI178" s="1124">
        <f t="shared" si="152"/>
        <v>0</v>
      </c>
      <c r="AJ178" s="1124">
        <f t="shared" si="152"/>
        <v>0</v>
      </c>
      <c r="AK178" s="1124">
        <f t="shared" si="152"/>
        <v>0</v>
      </c>
      <c r="AL178" s="1124">
        <f t="shared" si="152"/>
        <v>0</v>
      </c>
      <c r="AM178" s="1124">
        <f t="shared" si="152"/>
        <v>0</v>
      </c>
      <c r="AN178" s="1124">
        <f t="shared" si="152"/>
        <v>0</v>
      </c>
      <c r="AO178" s="1124">
        <f t="shared" si="152"/>
        <v>0</v>
      </c>
      <c r="AP178" s="1124">
        <f t="shared" si="152"/>
        <v>0</v>
      </c>
      <c r="AQ178" s="1124">
        <f t="shared" si="152"/>
        <v>0</v>
      </c>
      <c r="AR178" s="1124">
        <f t="shared" si="152"/>
        <v>0</v>
      </c>
      <c r="AS178" s="1124">
        <f t="shared" si="152"/>
        <v>0</v>
      </c>
      <c r="AT178" s="42"/>
      <c r="AU178" s="29">
        <f>+Details!E178</f>
        <v>128700</v>
      </c>
      <c r="AV178" s="81">
        <f t="shared" si="143"/>
        <v>0</v>
      </c>
      <c r="AW178" s="102"/>
      <c r="AY178" s="31">
        <f>+Details!F178-Base!F178</f>
        <v>0</v>
      </c>
      <c r="AZ178" s="1124">
        <f>+Details!G178-Base!G178</f>
        <v>0</v>
      </c>
      <c r="BA178" s="1124">
        <f>+Details!H178-Base!H178</f>
        <v>0</v>
      </c>
      <c r="BB178" s="1124">
        <f>+Details!I178-Base!I178</f>
        <v>0</v>
      </c>
      <c r="BC178" s="1124">
        <f>+Details!J178-Base!J178</f>
        <v>0</v>
      </c>
      <c r="BD178" s="1124">
        <f>+Details!K178-Base!K178</f>
        <v>0</v>
      </c>
      <c r="BE178" s="1124">
        <f>+Details!L178-Base!L178</f>
        <v>0</v>
      </c>
      <c r="BF178" s="1124">
        <f>+Details!M178-Base!M178</f>
        <v>0</v>
      </c>
      <c r="BG178" s="1124">
        <f>+Details!N178-Base!N178</f>
        <v>0</v>
      </c>
      <c r="BH178" s="1124">
        <f>+Details!O178-Base!O178</f>
        <v>0</v>
      </c>
      <c r="BI178" s="1124">
        <f>+Details!P178-Base!P178</f>
        <v>0</v>
      </c>
      <c r="BJ178" s="1124">
        <f>+Details!Q178-Base!Q178</f>
        <v>0</v>
      </c>
      <c r="BK178" s="1124">
        <f>+Details!R178-Base!R178</f>
        <v>0</v>
      </c>
      <c r="BL178" s="1124">
        <f>+Details!S178-Base!S178</f>
        <v>0</v>
      </c>
      <c r="BM178" s="1124">
        <f>+Details!T178-Base!T178</f>
        <v>0</v>
      </c>
      <c r="BN178" s="1124">
        <f>+Details!U178-Base!U178</f>
        <v>0</v>
      </c>
      <c r="BO178" s="1124">
        <f>+Details!V178-Base!V178</f>
        <v>0</v>
      </c>
      <c r="BP178" s="1124">
        <f>+Details!W178-Base!W178</f>
        <v>0</v>
      </c>
      <c r="BQ178" s="1124">
        <f>+Details!X178-Base!X178</f>
        <v>0</v>
      </c>
      <c r="BR178" s="1124">
        <f>+Details!Y178-Base!Y178</f>
        <v>0</v>
      </c>
      <c r="BS178" s="1124">
        <f>+Details!Z178-Base!Z178</f>
        <v>0</v>
      </c>
      <c r="BT178" s="1124">
        <f>+Details!AA178-Base!AA178</f>
        <v>0</v>
      </c>
      <c r="BU178" s="1124">
        <f>+Details!AB178-Base!AB178</f>
        <v>0</v>
      </c>
      <c r="BV178" s="1124">
        <f>+Details!AC178-Base!AC178</f>
        <v>0</v>
      </c>
      <c r="BW178" s="1124">
        <f>+Details!AD178-Base!AD178</f>
        <v>0</v>
      </c>
      <c r="BX178" s="1124">
        <f>+Details!AE178-Base!AE178</f>
        <v>0</v>
      </c>
      <c r="BY178" s="1124">
        <f>+Details!AF178-Base!AF178</f>
        <v>0</v>
      </c>
      <c r="BZ178" s="1124">
        <f>+Details!AG178-Base!AG178</f>
        <v>0</v>
      </c>
      <c r="CA178" s="1124">
        <f>+Details!AH178-Base!AH178</f>
        <v>0</v>
      </c>
      <c r="CB178" s="1124">
        <f>+Details!AI178-Base!AI178</f>
        <v>0</v>
      </c>
      <c r="CC178" s="1124">
        <f>+Details!AJ178-Base!AJ178</f>
        <v>0</v>
      </c>
      <c r="CD178" s="1124">
        <f>+Details!AK178-Base!AK178</f>
        <v>0</v>
      </c>
      <c r="CE178" s="1124">
        <f>+Details!AL178-Base!AL178</f>
        <v>0</v>
      </c>
      <c r="CF178" s="1124">
        <f>+Details!AM178-Base!AM178</f>
        <v>0</v>
      </c>
      <c r="CG178" s="1124">
        <f>+Details!AN178-Base!AN178</f>
        <v>0</v>
      </c>
      <c r="CH178" s="1124">
        <f>+Details!AO178-Base!AO178</f>
        <v>0</v>
      </c>
      <c r="CI178" s="1124">
        <f>+Details!AP178-Base!AP178</f>
        <v>0</v>
      </c>
      <c r="CJ178" s="1124">
        <f>+Details!AQ178-Base!AQ178</f>
        <v>0</v>
      </c>
      <c r="CK178" s="1124">
        <f>+Details!AR178-Base!AR178</f>
        <v>0</v>
      </c>
      <c r="CL178" s="1124">
        <f>+Details!AS178-Base!AS178</f>
        <v>0</v>
      </c>
      <c r="CM178" s="81"/>
      <c r="CN178" s="49"/>
      <c r="CO178" s="49"/>
      <c r="CP178" s="42"/>
      <c r="CQ178" s="49"/>
      <c r="CR178" s="49"/>
      <c r="CS178" s="39"/>
      <c r="CT178" s="39"/>
      <c r="CU178" s="39"/>
      <c r="CV178" s="49"/>
      <c r="CW178" s="49"/>
      <c r="CX178" s="49"/>
      <c r="CY178" s="49"/>
      <c r="CZ178" s="39"/>
      <c r="DA178" s="49"/>
      <c r="DB178" s="39"/>
      <c r="DC178" s="39"/>
      <c r="DD178" s="49"/>
      <c r="DE178" s="49"/>
      <c r="DF178" s="49"/>
      <c r="DG178" s="49"/>
      <c r="DH178" s="49"/>
      <c r="DI178" s="49"/>
      <c r="DJ178" s="49"/>
      <c r="DK178" s="49"/>
      <c r="DL178" s="49"/>
      <c r="DM178" s="49"/>
      <c r="DN178" s="49"/>
      <c r="DO178" s="49"/>
      <c r="DP178" s="49"/>
      <c r="DQ178" s="44"/>
      <c r="DR178" s="49"/>
      <c r="DS178" s="49"/>
      <c r="DT178" s="49"/>
      <c r="DU178" s="49"/>
      <c r="DV178" s="49"/>
      <c r="DW178" s="49"/>
      <c r="DX178" s="49"/>
      <c r="DY178" s="49"/>
      <c r="DZ178" s="49"/>
      <c r="EA178" s="49"/>
      <c r="EB178" s="49"/>
      <c r="EC178" s="49"/>
      <c r="ED178" s="49"/>
    </row>
    <row r="179" spans="1:134" hidden="1">
      <c r="A179" s="1427" t="s">
        <v>1578</v>
      </c>
      <c r="B179" s="234" t="s">
        <v>44</v>
      </c>
      <c r="C179" s="1009"/>
      <c r="D179" s="32"/>
      <c r="E179" s="29">
        <f>SUM(F179:AS179)</f>
        <v>-100000</v>
      </c>
      <c r="F179" s="31">
        <f>F137</f>
        <v>0</v>
      </c>
      <c r="G179" s="1124">
        <f>G137</f>
        <v>0</v>
      </c>
      <c r="H179" s="1124">
        <f t="shared" ref="H179:AS179" si="153">H137</f>
        <v>0</v>
      </c>
      <c r="I179" s="1124">
        <f t="shared" si="153"/>
        <v>0</v>
      </c>
      <c r="J179" s="1124">
        <f t="shared" si="153"/>
        <v>0</v>
      </c>
      <c r="K179" s="1124">
        <f t="shared" si="153"/>
        <v>0</v>
      </c>
      <c r="L179" s="1124">
        <f t="shared" si="153"/>
        <v>0</v>
      </c>
      <c r="M179" s="1124">
        <f t="shared" si="153"/>
        <v>0</v>
      </c>
      <c r="N179" s="1124">
        <f t="shared" si="153"/>
        <v>0</v>
      </c>
      <c r="O179" s="1124">
        <f t="shared" si="153"/>
        <v>-15000</v>
      </c>
      <c r="P179" s="1124">
        <f t="shared" si="153"/>
        <v>-15000</v>
      </c>
      <c r="Q179" s="1124">
        <f t="shared" si="153"/>
        <v>-15000</v>
      </c>
      <c r="R179" s="1124">
        <f t="shared" si="153"/>
        <v>-15000</v>
      </c>
      <c r="S179" s="1124">
        <f t="shared" si="153"/>
        <v>-15000</v>
      </c>
      <c r="T179" s="1124">
        <f t="shared" si="153"/>
        <v>0</v>
      </c>
      <c r="U179" s="1124">
        <f t="shared" si="153"/>
        <v>0</v>
      </c>
      <c r="V179" s="1124">
        <f t="shared" si="153"/>
        <v>0</v>
      </c>
      <c r="W179" s="1124">
        <f t="shared" si="153"/>
        <v>0</v>
      </c>
      <c r="X179" s="1124">
        <f t="shared" si="153"/>
        <v>-5000</v>
      </c>
      <c r="Y179" s="1124">
        <f t="shared" si="153"/>
        <v>-5000</v>
      </c>
      <c r="Z179" s="1124">
        <f t="shared" si="153"/>
        <v>-5000</v>
      </c>
      <c r="AA179" s="1124">
        <f t="shared" si="153"/>
        <v>-5000</v>
      </c>
      <c r="AB179" s="1124">
        <f t="shared" si="153"/>
        <v>-5000</v>
      </c>
      <c r="AC179" s="1124">
        <f t="shared" si="153"/>
        <v>0</v>
      </c>
      <c r="AD179" s="1124">
        <f t="shared" si="153"/>
        <v>0</v>
      </c>
      <c r="AE179" s="1124">
        <f t="shared" si="153"/>
        <v>0</v>
      </c>
      <c r="AF179" s="1124">
        <f t="shared" si="153"/>
        <v>0</v>
      </c>
      <c r="AG179" s="1124">
        <f t="shared" si="153"/>
        <v>0</v>
      </c>
      <c r="AH179" s="1124">
        <f t="shared" si="153"/>
        <v>0</v>
      </c>
      <c r="AI179" s="1124">
        <f t="shared" si="153"/>
        <v>0</v>
      </c>
      <c r="AJ179" s="1124">
        <f t="shared" si="153"/>
        <v>0</v>
      </c>
      <c r="AK179" s="1124">
        <f t="shared" si="153"/>
        <v>0</v>
      </c>
      <c r="AL179" s="1124">
        <f t="shared" si="153"/>
        <v>0</v>
      </c>
      <c r="AM179" s="1124">
        <f t="shared" si="153"/>
        <v>0</v>
      </c>
      <c r="AN179" s="1124">
        <f t="shared" si="153"/>
        <v>0</v>
      </c>
      <c r="AO179" s="1124">
        <f t="shared" si="153"/>
        <v>0</v>
      </c>
      <c r="AP179" s="1124">
        <f t="shared" si="153"/>
        <v>0</v>
      </c>
      <c r="AQ179" s="1124">
        <f t="shared" si="153"/>
        <v>0</v>
      </c>
      <c r="AR179" s="1124">
        <f t="shared" si="153"/>
        <v>0</v>
      </c>
      <c r="AS179" s="1124">
        <f t="shared" si="153"/>
        <v>0</v>
      </c>
      <c r="AT179" s="42"/>
      <c r="AU179" s="29">
        <f>+Details!E179</f>
        <v>-100000</v>
      </c>
      <c r="AV179" s="81">
        <f t="shared" si="143"/>
        <v>0</v>
      </c>
      <c r="AW179" s="102"/>
      <c r="AY179" s="31">
        <f>+Details!F179-Base!F179</f>
        <v>0</v>
      </c>
      <c r="AZ179" s="1124">
        <f>+Details!G179-Base!G179</f>
        <v>0</v>
      </c>
      <c r="BA179" s="1124">
        <f>+Details!H179-Base!H179</f>
        <v>0</v>
      </c>
      <c r="BB179" s="1124">
        <f>+Details!I179-Base!I179</f>
        <v>0</v>
      </c>
      <c r="BC179" s="1124">
        <f>+Details!J179-Base!J179</f>
        <v>0</v>
      </c>
      <c r="BD179" s="1124">
        <f>+Details!K179-Base!K179</f>
        <v>0</v>
      </c>
      <c r="BE179" s="1124">
        <f>+Details!L179-Base!L179</f>
        <v>0</v>
      </c>
      <c r="BF179" s="1124">
        <f>+Details!M179-Base!M179</f>
        <v>0</v>
      </c>
      <c r="BG179" s="1124">
        <f>+Details!N179-Base!N179</f>
        <v>0</v>
      </c>
      <c r="BH179" s="1124">
        <f>+Details!O179-Base!O179</f>
        <v>0</v>
      </c>
      <c r="BI179" s="1124">
        <f>+Details!P179-Base!P179</f>
        <v>0</v>
      </c>
      <c r="BJ179" s="1124">
        <f>+Details!Q179-Base!Q179</f>
        <v>0</v>
      </c>
      <c r="BK179" s="1124">
        <f>+Details!R179-Base!R179</f>
        <v>0</v>
      </c>
      <c r="BL179" s="1124">
        <f>+Details!S179-Base!S179</f>
        <v>0</v>
      </c>
      <c r="BM179" s="1124">
        <f>+Details!T179-Base!T179</f>
        <v>0</v>
      </c>
      <c r="BN179" s="1124">
        <f>+Details!U179-Base!U179</f>
        <v>0</v>
      </c>
      <c r="BO179" s="1124">
        <f>+Details!V179-Base!V179</f>
        <v>0</v>
      </c>
      <c r="BP179" s="1124">
        <f>+Details!W179-Base!W179</f>
        <v>0</v>
      </c>
      <c r="BQ179" s="1124">
        <f>+Details!X179-Base!X179</f>
        <v>0</v>
      </c>
      <c r="BR179" s="1124">
        <f>+Details!Y179-Base!Y179</f>
        <v>0</v>
      </c>
      <c r="BS179" s="1124">
        <f>+Details!Z179-Base!Z179</f>
        <v>0</v>
      </c>
      <c r="BT179" s="1124">
        <f>+Details!AA179-Base!AA179</f>
        <v>0</v>
      </c>
      <c r="BU179" s="1124">
        <f>+Details!AB179-Base!AB179</f>
        <v>0</v>
      </c>
      <c r="BV179" s="1124">
        <f>+Details!AC179-Base!AC179</f>
        <v>0</v>
      </c>
      <c r="BW179" s="1124">
        <f>+Details!AD179-Base!AD179</f>
        <v>0</v>
      </c>
      <c r="BX179" s="1124">
        <f>+Details!AE179-Base!AE179</f>
        <v>0</v>
      </c>
      <c r="BY179" s="1124">
        <f>+Details!AF179-Base!AF179</f>
        <v>0</v>
      </c>
      <c r="BZ179" s="1124">
        <f>+Details!AG179-Base!AG179</f>
        <v>0</v>
      </c>
      <c r="CA179" s="1124">
        <f>+Details!AH179-Base!AH179</f>
        <v>0</v>
      </c>
      <c r="CB179" s="1124">
        <f>+Details!AI179-Base!AI179</f>
        <v>0</v>
      </c>
      <c r="CC179" s="1124">
        <f>+Details!AJ179-Base!AJ179</f>
        <v>0</v>
      </c>
      <c r="CD179" s="1124">
        <f>+Details!AK179-Base!AK179</f>
        <v>0</v>
      </c>
      <c r="CE179" s="1124">
        <f>+Details!AL179-Base!AL179</f>
        <v>0</v>
      </c>
      <c r="CF179" s="1124">
        <f>+Details!AM179-Base!AM179</f>
        <v>0</v>
      </c>
      <c r="CG179" s="1124">
        <f>+Details!AN179-Base!AN179</f>
        <v>0</v>
      </c>
      <c r="CH179" s="1124">
        <f>+Details!AO179-Base!AO179</f>
        <v>0</v>
      </c>
      <c r="CI179" s="1124">
        <f>+Details!AP179-Base!AP179</f>
        <v>0</v>
      </c>
      <c r="CJ179" s="1124">
        <f>+Details!AQ179-Base!AQ179</f>
        <v>0</v>
      </c>
      <c r="CK179" s="1124">
        <f>+Details!AR179-Base!AR179</f>
        <v>0</v>
      </c>
      <c r="CL179" s="1124">
        <f>+Details!AS179-Base!AS179</f>
        <v>0</v>
      </c>
      <c r="CM179" s="81"/>
      <c r="CN179" s="49"/>
      <c r="CO179" s="49"/>
      <c r="CP179" s="42"/>
      <c r="CQ179" s="49"/>
      <c r="CR179" s="49"/>
      <c r="CS179" s="39"/>
      <c r="CT179" s="39"/>
      <c r="CU179" s="39"/>
      <c r="CV179" s="49"/>
      <c r="CW179" s="49"/>
      <c r="CX179" s="49"/>
      <c r="CY179" s="49"/>
      <c r="CZ179" s="39"/>
      <c r="DA179" s="49"/>
      <c r="DB179" s="39"/>
      <c r="DC179" s="39"/>
      <c r="DD179" s="49"/>
      <c r="DE179" s="49"/>
      <c r="DF179" s="49"/>
      <c r="DG179" s="49"/>
      <c r="DH179" s="49"/>
      <c r="DI179" s="49"/>
      <c r="DJ179" s="49"/>
      <c r="DK179" s="49"/>
      <c r="DL179" s="49"/>
      <c r="DM179" s="49"/>
      <c r="DN179" s="49"/>
      <c r="DO179" s="49"/>
      <c r="DP179" s="49"/>
      <c r="DQ179" s="44"/>
      <c r="DR179" s="49"/>
      <c r="DS179" s="49"/>
      <c r="DT179" s="49"/>
      <c r="DU179" s="49"/>
      <c r="DV179" s="49"/>
      <c r="DW179" s="49"/>
      <c r="DX179" s="49"/>
      <c r="DY179" s="49"/>
      <c r="DZ179" s="49"/>
      <c r="EA179" s="49"/>
      <c r="EB179" s="49"/>
      <c r="EC179" s="49"/>
      <c r="ED179" s="49"/>
    </row>
    <row r="180" spans="1:134" hidden="1">
      <c r="A180" s="1427" t="s">
        <v>1578</v>
      </c>
      <c r="B180" s="234" t="s">
        <v>1504</v>
      </c>
      <c r="C180" s="422"/>
      <c r="D180" s="32"/>
      <c r="E180" s="102">
        <f>SUM(F180:AS180)</f>
        <v>0</v>
      </c>
      <c r="F180" s="88">
        <f t="shared" ref="F180:AS180" si="154">+F133</f>
        <v>0</v>
      </c>
      <c r="G180" s="1124">
        <f t="shared" si="154"/>
        <v>0</v>
      </c>
      <c r="H180" s="1124">
        <f t="shared" si="154"/>
        <v>0</v>
      </c>
      <c r="I180" s="1124">
        <f t="shared" si="154"/>
        <v>0</v>
      </c>
      <c r="J180" s="1124">
        <f t="shared" si="154"/>
        <v>0</v>
      </c>
      <c r="K180" s="1124">
        <f t="shared" si="154"/>
        <v>0</v>
      </c>
      <c r="L180" s="1124">
        <f t="shared" si="154"/>
        <v>0</v>
      </c>
      <c r="M180" s="1124">
        <f t="shared" si="154"/>
        <v>0</v>
      </c>
      <c r="N180" s="1124">
        <f t="shared" si="154"/>
        <v>0</v>
      </c>
      <c r="O180" s="1124">
        <f t="shared" si="154"/>
        <v>0</v>
      </c>
      <c r="P180" s="1124">
        <f t="shared" si="154"/>
        <v>0</v>
      </c>
      <c r="Q180" s="1124">
        <f t="shared" si="154"/>
        <v>0</v>
      </c>
      <c r="R180" s="1124">
        <f t="shared" si="154"/>
        <v>0</v>
      </c>
      <c r="S180" s="1124">
        <f t="shared" si="154"/>
        <v>0</v>
      </c>
      <c r="T180" s="1124">
        <f t="shared" si="154"/>
        <v>0</v>
      </c>
      <c r="U180" s="1124">
        <f t="shared" si="154"/>
        <v>0</v>
      </c>
      <c r="V180" s="1124">
        <f t="shared" si="154"/>
        <v>0</v>
      </c>
      <c r="W180" s="1124">
        <f t="shared" si="154"/>
        <v>0</v>
      </c>
      <c r="X180" s="1124">
        <f t="shared" si="154"/>
        <v>0</v>
      </c>
      <c r="Y180" s="1124">
        <f t="shared" si="154"/>
        <v>0</v>
      </c>
      <c r="Z180" s="1124">
        <f t="shared" si="154"/>
        <v>0</v>
      </c>
      <c r="AA180" s="1124">
        <f t="shared" si="154"/>
        <v>0</v>
      </c>
      <c r="AB180" s="1124">
        <f t="shared" si="154"/>
        <v>0</v>
      </c>
      <c r="AC180" s="1124">
        <f t="shared" si="154"/>
        <v>0</v>
      </c>
      <c r="AD180" s="1124">
        <f t="shared" si="154"/>
        <v>0</v>
      </c>
      <c r="AE180" s="1124">
        <f t="shared" si="154"/>
        <v>0</v>
      </c>
      <c r="AF180" s="1124">
        <f t="shared" si="154"/>
        <v>0</v>
      </c>
      <c r="AG180" s="1124">
        <f t="shared" si="154"/>
        <v>0</v>
      </c>
      <c r="AH180" s="1124">
        <f t="shared" si="154"/>
        <v>0</v>
      </c>
      <c r="AI180" s="1124">
        <f t="shared" si="154"/>
        <v>0</v>
      </c>
      <c r="AJ180" s="1124">
        <f t="shared" si="154"/>
        <v>0</v>
      </c>
      <c r="AK180" s="1124">
        <f t="shared" si="154"/>
        <v>0</v>
      </c>
      <c r="AL180" s="1124">
        <f t="shared" si="154"/>
        <v>0</v>
      </c>
      <c r="AM180" s="1124">
        <f t="shared" si="154"/>
        <v>0</v>
      </c>
      <c r="AN180" s="1124">
        <f t="shared" si="154"/>
        <v>0</v>
      </c>
      <c r="AO180" s="1124">
        <f t="shared" si="154"/>
        <v>0</v>
      </c>
      <c r="AP180" s="1124">
        <f t="shared" si="154"/>
        <v>0</v>
      </c>
      <c r="AQ180" s="1124">
        <f t="shared" si="154"/>
        <v>0</v>
      </c>
      <c r="AR180" s="1124">
        <f t="shared" si="154"/>
        <v>0</v>
      </c>
      <c r="AS180" s="1124">
        <f t="shared" si="154"/>
        <v>0</v>
      </c>
      <c r="AT180" s="111"/>
      <c r="AU180" s="102">
        <f>+Details!E180</f>
        <v>0</v>
      </c>
      <c r="AV180" s="103">
        <f t="shared" si="143"/>
        <v>0</v>
      </c>
      <c r="AW180" s="102"/>
      <c r="AY180" s="88">
        <f>+Details!F180-Base!F180</f>
        <v>0</v>
      </c>
      <c r="AZ180" s="1124">
        <f>+Details!G180-Base!G180</f>
        <v>0</v>
      </c>
      <c r="BA180" s="1124">
        <f>+Details!H180-Base!H180</f>
        <v>0</v>
      </c>
      <c r="BB180" s="1124">
        <f>+Details!I180-Base!I180</f>
        <v>0</v>
      </c>
      <c r="BC180" s="1124">
        <f>+Details!J180-Base!J180</f>
        <v>0</v>
      </c>
      <c r="BD180" s="1124">
        <f>+Details!K180-Base!K180</f>
        <v>0</v>
      </c>
      <c r="BE180" s="1124">
        <f>+Details!L180-Base!L180</f>
        <v>0</v>
      </c>
      <c r="BF180" s="1124">
        <f>+Details!M180-Base!M180</f>
        <v>0</v>
      </c>
      <c r="BG180" s="1124">
        <f>+Details!N180-Base!N180</f>
        <v>0</v>
      </c>
      <c r="BH180" s="1124">
        <f>+Details!O180-Base!O180</f>
        <v>0</v>
      </c>
      <c r="BI180" s="1124">
        <f>+Details!P180-Base!P180</f>
        <v>0</v>
      </c>
      <c r="BJ180" s="1124">
        <f>+Details!Q180-Base!Q180</f>
        <v>0</v>
      </c>
      <c r="BK180" s="1124">
        <f>+Details!R180-Base!R180</f>
        <v>0</v>
      </c>
      <c r="BL180" s="1124">
        <f>+Details!S180-Base!S180</f>
        <v>0</v>
      </c>
      <c r="BM180" s="1124">
        <f>+Details!T180-Base!T180</f>
        <v>0</v>
      </c>
      <c r="BN180" s="1124">
        <f>+Details!U180-Base!U180</f>
        <v>0</v>
      </c>
      <c r="BO180" s="1124">
        <f>+Details!V180-Base!V180</f>
        <v>0</v>
      </c>
      <c r="BP180" s="1124">
        <f>+Details!W180-Base!W180</f>
        <v>0</v>
      </c>
      <c r="BQ180" s="1124">
        <f>+Details!X180-Base!X180</f>
        <v>0</v>
      </c>
      <c r="BR180" s="1124">
        <f>+Details!Y180-Base!Y180</f>
        <v>0</v>
      </c>
      <c r="BS180" s="1124">
        <f>+Details!Z180-Base!Z180</f>
        <v>0</v>
      </c>
      <c r="BT180" s="1124">
        <f>+Details!AA180-Base!AA180</f>
        <v>0</v>
      </c>
      <c r="BU180" s="1124">
        <f>+Details!AB180-Base!AB180</f>
        <v>0</v>
      </c>
      <c r="BV180" s="1124">
        <f>+Details!AC180-Base!AC180</f>
        <v>0</v>
      </c>
      <c r="BW180" s="1124">
        <f>+Details!AD180-Base!AD180</f>
        <v>0</v>
      </c>
      <c r="BX180" s="1124">
        <f>+Details!AE180-Base!AE180</f>
        <v>0</v>
      </c>
      <c r="BY180" s="1124">
        <f>+Details!AF180-Base!AF180</f>
        <v>0</v>
      </c>
      <c r="BZ180" s="1124">
        <f>+Details!AG180-Base!AG180</f>
        <v>0</v>
      </c>
      <c r="CA180" s="1124">
        <f>+Details!AH180-Base!AH180</f>
        <v>0</v>
      </c>
      <c r="CB180" s="1124">
        <f>+Details!AI180-Base!AI180</f>
        <v>0</v>
      </c>
      <c r="CC180" s="1124">
        <f>+Details!AJ180-Base!AJ180</f>
        <v>0</v>
      </c>
      <c r="CD180" s="1124">
        <f>+Details!AK180-Base!AK180</f>
        <v>0</v>
      </c>
      <c r="CE180" s="1124">
        <f>+Details!AL180-Base!AL180</f>
        <v>0</v>
      </c>
      <c r="CF180" s="1124">
        <f>+Details!AM180-Base!AM180</f>
        <v>0</v>
      </c>
      <c r="CG180" s="1124">
        <f>+Details!AN180-Base!AN180</f>
        <v>0</v>
      </c>
      <c r="CH180" s="1124">
        <f>+Details!AO180-Base!AO180</f>
        <v>0</v>
      </c>
      <c r="CI180" s="1124">
        <f>+Details!AP180-Base!AP180</f>
        <v>0</v>
      </c>
      <c r="CJ180" s="1124">
        <f>+Details!AQ180-Base!AQ180</f>
        <v>0</v>
      </c>
      <c r="CK180" s="1124">
        <f>+Details!AR180-Base!AR180</f>
        <v>0</v>
      </c>
      <c r="CL180" s="1124">
        <f>+Details!AS180-Base!AS180</f>
        <v>0</v>
      </c>
      <c r="CM180" s="103"/>
      <c r="CN180" s="49"/>
      <c r="CO180" s="49"/>
      <c r="CP180" s="42"/>
      <c r="CQ180" s="49"/>
      <c r="CR180" s="49"/>
      <c r="CS180" s="39"/>
      <c r="CT180" s="39"/>
      <c r="CU180" s="39"/>
      <c r="CV180" s="49"/>
      <c r="CW180" s="49"/>
      <c r="CX180" s="49"/>
      <c r="CY180" s="49"/>
      <c r="CZ180" s="39"/>
      <c r="DA180" s="49"/>
      <c r="DB180" s="39"/>
      <c r="DC180" s="39"/>
      <c r="DD180" s="49"/>
      <c r="DE180" s="49"/>
      <c r="DF180" s="49"/>
      <c r="DG180" s="49"/>
      <c r="DH180" s="49"/>
      <c r="DI180" s="49"/>
      <c r="DJ180" s="49"/>
      <c r="DK180" s="49"/>
      <c r="DL180" s="49"/>
      <c r="DM180" s="49"/>
      <c r="DN180" s="49"/>
      <c r="DO180" s="49"/>
      <c r="DP180" s="49"/>
      <c r="DQ180" s="44"/>
      <c r="DR180" s="49"/>
      <c r="DS180" s="49"/>
      <c r="DT180" s="49"/>
      <c r="DU180" s="49"/>
      <c r="DV180" s="49"/>
      <c r="DW180" s="49"/>
      <c r="DX180" s="49"/>
      <c r="DY180" s="49"/>
      <c r="DZ180" s="49"/>
      <c r="EA180" s="49"/>
      <c r="EB180" s="49"/>
      <c r="EC180" s="49"/>
      <c r="ED180" s="49"/>
    </row>
    <row r="181" spans="1:134" ht="15.6">
      <c r="A181" s="1431"/>
      <c r="B181" s="1449" t="s">
        <v>793</v>
      </c>
      <c r="D181" s="231"/>
      <c r="E181" s="102">
        <f>SUM(F181:AS181)</f>
        <v>0</v>
      </c>
      <c r="F181" s="806">
        <f>+Details!F181</f>
        <v>0</v>
      </c>
      <c r="G181" s="806">
        <f>+Details!G181</f>
        <v>0</v>
      </c>
      <c r="H181" s="806">
        <f>+Details!H181</f>
        <v>0</v>
      </c>
      <c r="I181" s="806">
        <f>+Details!I181</f>
        <v>0</v>
      </c>
      <c r="J181" s="806">
        <f>+Details!J181</f>
        <v>0</v>
      </c>
      <c r="K181" s="806">
        <f>+Details!K181</f>
        <v>0</v>
      </c>
      <c r="L181" s="806">
        <f>+Details!L181</f>
        <v>0</v>
      </c>
      <c r="M181" s="806">
        <f>+Details!M181</f>
        <v>0</v>
      </c>
      <c r="N181" s="806">
        <f>+Details!N181</f>
        <v>0</v>
      </c>
      <c r="O181" s="806">
        <f>+Details!O181</f>
        <v>0</v>
      </c>
      <c r="P181" s="806">
        <f>+Details!P181</f>
        <v>0</v>
      </c>
      <c r="Q181" s="806">
        <f>+Details!Q181</f>
        <v>0</v>
      </c>
      <c r="R181" s="806">
        <f>+Details!R181</f>
        <v>0</v>
      </c>
      <c r="S181" s="806">
        <f>+Details!S181</f>
        <v>0</v>
      </c>
      <c r="T181" s="806">
        <f>+Details!T181</f>
        <v>0</v>
      </c>
      <c r="U181" s="806">
        <f>+Details!U181</f>
        <v>0</v>
      </c>
      <c r="V181" s="806">
        <f>+Details!V181</f>
        <v>0</v>
      </c>
      <c r="W181" s="806">
        <f>+Details!W181</f>
        <v>0</v>
      </c>
      <c r="X181" s="806">
        <f>+Details!X181</f>
        <v>0</v>
      </c>
      <c r="Y181" s="806">
        <f>+Details!Y181</f>
        <v>0</v>
      </c>
      <c r="Z181" s="806">
        <f>+Details!Z181</f>
        <v>0</v>
      </c>
      <c r="AA181" s="806">
        <f>+Details!AA181</f>
        <v>0</v>
      </c>
      <c r="AB181" s="806">
        <f>+Details!AB181</f>
        <v>0</v>
      </c>
      <c r="AC181" s="806">
        <f>+Details!AC181</f>
        <v>0</v>
      </c>
      <c r="AD181" s="806">
        <f>+Details!AD181</f>
        <v>0</v>
      </c>
      <c r="AE181" s="806">
        <f>+Details!AE181</f>
        <v>0</v>
      </c>
      <c r="AF181" s="806">
        <f>+Details!AF181</f>
        <v>0</v>
      </c>
      <c r="AG181" s="806">
        <f>+Details!AG181</f>
        <v>0</v>
      </c>
      <c r="AH181" s="806">
        <f>+Details!AH181</f>
        <v>0</v>
      </c>
      <c r="AI181" s="806">
        <f>+Details!AI181</f>
        <v>0</v>
      </c>
      <c r="AJ181" s="806">
        <f>+Details!AJ181</f>
        <v>0</v>
      </c>
      <c r="AK181" s="806">
        <f>+Details!AK181</f>
        <v>0</v>
      </c>
      <c r="AL181" s="806">
        <f>+Details!AL181</f>
        <v>0</v>
      </c>
      <c r="AM181" s="806">
        <f>+Details!AM181</f>
        <v>0</v>
      </c>
      <c r="AN181" s="806">
        <f>+Details!AN181</f>
        <v>0</v>
      </c>
      <c r="AO181" s="806">
        <f>+Details!AO181</f>
        <v>0</v>
      </c>
      <c r="AP181" s="806">
        <f>+Details!AP181</f>
        <v>0</v>
      </c>
      <c r="AQ181" s="806">
        <f>+Details!AQ181</f>
        <v>0</v>
      </c>
      <c r="AR181" s="806">
        <f>+Details!AR181</f>
        <v>0</v>
      </c>
      <c r="AS181" s="806">
        <f>+Details!AS181</f>
        <v>0</v>
      </c>
      <c r="AT181" s="1"/>
      <c r="AU181" s="102">
        <f>+Details!E181</f>
        <v>0</v>
      </c>
      <c r="AV181" s="103">
        <f t="shared" si="143"/>
        <v>0</v>
      </c>
      <c r="AW181" s="102"/>
      <c r="AX181" s="1"/>
      <c r="AY181" s="88">
        <f>+Details!F181-Base!F181</f>
        <v>0</v>
      </c>
      <c r="AZ181" s="1124">
        <f>+Details!G181-Base!G181</f>
        <v>0</v>
      </c>
      <c r="BA181" s="1124">
        <f>+Details!H181-Base!H181</f>
        <v>0</v>
      </c>
      <c r="BB181" s="1124">
        <f>+Details!I181-Base!I181</f>
        <v>0</v>
      </c>
      <c r="BC181" s="1124">
        <f>+Details!J181-Base!J181</f>
        <v>0</v>
      </c>
      <c r="BD181" s="1124">
        <f>+Details!K181-Base!K181</f>
        <v>0</v>
      </c>
      <c r="BE181" s="1124">
        <f>+Details!L181-Base!L181</f>
        <v>0</v>
      </c>
      <c r="BF181" s="1124">
        <f>+Details!M181-Base!M181</f>
        <v>0</v>
      </c>
      <c r="BG181" s="1124">
        <f>+Details!N181-Base!N181</f>
        <v>0</v>
      </c>
      <c r="BH181" s="1124">
        <f>+Details!O181-Base!O181</f>
        <v>0</v>
      </c>
      <c r="BI181" s="1124">
        <f>+Details!P181-Base!P181</f>
        <v>0</v>
      </c>
      <c r="BJ181" s="1124">
        <f>+Details!Q181-Base!Q181</f>
        <v>0</v>
      </c>
      <c r="BK181" s="1124">
        <f>+Details!R181-Base!R181</f>
        <v>0</v>
      </c>
      <c r="BL181" s="1124">
        <f>+Details!S181-Base!S181</f>
        <v>0</v>
      </c>
      <c r="BM181" s="1124">
        <f>+Details!T181-Base!T181</f>
        <v>0</v>
      </c>
      <c r="BN181" s="1124">
        <f>+Details!U181-Base!U181</f>
        <v>0</v>
      </c>
      <c r="BO181" s="1124">
        <f>+Details!V181-Base!V181</f>
        <v>0</v>
      </c>
      <c r="BP181" s="1124">
        <f>+Details!W181-Base!W181</f>
        <v>0</v>
      </c>
      <c r="BQ181" s="1124">
        <f>+Details!X181-Base!X181</f>
        <v>0</v>
      </c>
      <c r="BR181" s="1124">
        <f>+Details!Y181-Base!Y181</f>
        <v>0</v>
      </c>
      <c r="BS181" s="1124">
        <f>+Details!Z181-Base!Z181</f>
        <v>0</v>
      </c>
      <c r="BT181" s="1124">
        <f>+Details!AA181-Base!AA181</f>
        <v>0</v>
      </c>
      <c r="BU181" s="1124">
        <f>+Details!AB181-Base!AB181</f>
        <v>0</v>
      </c>
      <c r="BV181" s="1124">
        <f>+Details!AC181-Base!AC181</f>
        <v>0</v>
      </c>
      <c r="BW181" s="1124">
        <f>+Details!AD181-Base!AD181</f>
        <v>0</v>
      </c>
      <c r="BX181" s="1124">
        <f>+Details!AE181-Base!AE181</f>
        <v>0</v>
      </c>
      <c r="BY181" s="1124">
        <f>+Details!AF181-Base!AF181</f>
        <v>0</v>
      </c>
      <c r="BZ181" s="1124">
        <f>+Details!AG181-Base!AG181</f>
        <v>0</v>
      </c>
      <c r="CA181" s="1124">
        <f>+Details!AH181-Base!AH181</f>
        <v>0</v>
      </c>
      <c r="CB181" s="1124">
        <f>+Details!AI181-Base!AI181</f>
        <v>0</v>
      </c>
      <c r="CC181" s="1124">
        <f>+Details!AJ181-Base!AJ181</f>
        <v>0</v>
      </c>
      <c r="CD181" s="1124">
        <f>+Details!AK181-Base!AK181</f>
        <v>0</v>
      </c>
      <c r="CE181" s="1124">
        <f>+Details!AL181-Base!AL181</f>
        <v>0</v>
      </c>
      <c r="CF181" s="1124">
        <f>+Details!AM181-Base!AM181</f>
        <v>0</v>
      </c>
      <c r="CG181" s="1124">
        <f>+Details!AN181-Base!AN181</f>
        <v>0</v>
      </c>
      <c r="CH181" s="1124">
        <f>+Details!AO181-Base!AO181</f>
        <v>0</v>
      </c>
      <c r="CI181" s="1124">
        <f>+Details!AP181-Base!AP181</f>
        <v>0</v>
      </c>
      <c r="CJ181" s="1124">
        <f>+Details!AQ181-Base!AQ181</f>
        <v>0</v>
      </c>
      <c r="CK181" s="1124">
        <f>+Details!AR181-Base!AR181</f>
        <v>0</v>
      </c>
      <c r="CL181" s="1124">
        <f>+Details!AS181-Base!AS181</f>
        <v>0</v>
      </c>
      <c r="CM181" s="103"/>
      <c r="CN181" s="49"/>
      <c r="CO181" s="49"/>
      <c r="CP181" s="42"/>
      <c r="CQ181" s="49"/>
      <c r="CR181" s="49"/>
      <c r="CS181" s="39"/>
      <c r="CT181" s="39"/>
      <c r="CU181" s="39"/>
      <c r="CV181" s="49"/>
      <c r="CW181" s="49"/>
      <c r="CX181" s="49"/>
      <c r="CY181" s="49"/>
      <c r="CZ181" s="39"/>
      <c r="DA181" s="49"/>
      <c r="DB181" s="39"/>
      <c r="DC181" s="39"/>
      <c r="DD181" s="49"/>
      <c r="DE181" s="49"/>
      <c r="DF181" s="49"/>
      <c r="DG181" s="49"/>
      <c r="DH181" s="49"/>
      <c r="DI181" s="49"/>
      <c r="DJ181" s="49"/>
      <c r="DK181" s="49"/>
      <c r="DL181" s="49"/>
      <c r="DM181" s="49"/>
      <c r="DN181" s="49"/>
      <c r="DO181" s="49"/>
      <c r="DP181" s="49"/>
      <c r="DQ181" s="44"/>
      <c r="DR181" s="49"/>
      <c r="DS181" s="49"/>
      <c r="DT181" s="49"/>
      <c r="DU181" s="49"/>
      <c r="DV181" s="49"/>
      <c r="DW181" s="49"/>
      <c r="DX181" s="49"/>
      <c r="DY181" s="49"/>
      <c r="DZ181" s="49"/>
      <c r="EA181" s="49"/>
      <c r="EB181" s="49"/>
      <c r="EC181" s="49"/>
      <c r="ED181" s="49"/>
    </row>
    <row r="182" spans="1:134">
      <c r="B182" s="234" t="s">
        <v>1314</v>
      </c>
      <c r="C182" s="422"/>
      <c r="D182" s="32"/>
      <c r="E182" s="65">
        <f t="shared" si="141"/>
        <v>2214900</v>
      </c>
      <c r="F182" s="88">
        <f>SUM(F169:F181)</f>
        <v>62700</v>
      </c>
      <c r="G182" s="1124">
        <f t="shared" ref="G182:AS182" si="155">SUM(G169:G181)</f>
        <v>79400</v>
      </c>
      <c r="H182" s="1124">
        <f t="shared" si="155"/>
        <v>66100</v>
      </c>
      <c r="I182" s="1124">
        <f t="shared" si="155"/>
        <v>67900</v>
      </c>
      <c r="J182" s="1124">
        <f t="shared" si="155"/>
        <v>69800</v>
      </c>
      <c r="K182" s="1124">
        <f t="shared" si="155"/>
        <v>71900</v>
      </c>
      <c r="L182" s="1124">
        <f t="shared" si="155"/>
        <v>74300</v>
      </c>
      <c r="M182" s="1124">
        <f t="shared" si="155"/>
        <v>76600</v>
      </c>
      <c r="N182" s="1124">
        <f t="shared" si="155"/>
        <v>38400</v>
      </c>
      <c r="O182" s="1124">
        <f t="shared" si="155"/>
        <v>39000</v>
      </c>
      <c r="P182" s="1124">
        <f t="shared" si="155"/>
        <v>39800</v>
      </c>
      <c r="Q182" s="1124">
        <f t="shared" si="155"/>
        <v>41000</v>
      </c>
      <c r="R182" s="1124">
        <f t="shared" si="155"/>
        <v>46900</v>
      </c>
      <c r="S182" s="1124">
        <f t="shared" si="155"/>
        <v>48900</v>
      </c>
      <c r="T182" s="1124">
        <f t="shared" si="155"/>
        <v>62800</v>
      </c>
      <c r="U182" s="1124">
        <f t="shared" si="155"/>
        <v>70000</v>
      </c>
      <c r="V182" s="1124">
        <f t="shared" si="155"/>
        <v>78500</v>
      </c>
      <c r="W182" s="1124">
        <f t="shared" si="155"/>
        <v>82100</v>
      </c>
      <c r="X182" s="1124">
        <f t="shared" si="155"/>
        <v>73300</v>
      </c>
      <c r="Y182" s="1124">
        <f t="shared" si="155"/>
        <v>75000</v>
      </c>
      <c r="Z182" s="1124">
        <f t="shared" si="155"/>
        <v>78300</v>
      </c>
      <c r="AA182" s="1124">
        <f t="shared" si="155"/>
        <v>81900</v>
      </c>
      <c r="AB182" s="1124">
        <f t="shared" si="155"/>
        <v>87500</v>
      </c>
      <c r="AC182" s="1124">
        <f t="shared" si="155"/>
        <v>97200</v>
      </c>
      <c r="AD182" s="1124">
        <f t="shared" si="155"/>
        <v>99300</v>
      </c>
      <c r="AE182" s="1124">
        <f t="shared" si="155"/>
        <v>103200</v>
      </c>
      <c r="AF182" s="1124">
        <f t="shared" si="155"/>
        <v>105100</v>
      </c>
      <c r="AG182" s="1124">
        <f t="shared" si="155"/>
        <v>98300</v>
      </c>
      <c r="AH182" s="1124">
        <f t="shared" si="155"/>
        <v>98800</v>
      </c>
      <c r="AI182" s="1124">
        <f t="shared" si="155"/>
        <v>100900</v>
      </c>
      <c r="AJ182" s="1124">
        <f t="shared" si="155"/>
        <v>0</v>
      </c>
      <c r="AK182" s="1124">
        <f t="shared" si="155"/>
        <v>0</v>
      </c>
      <c r="AL182" s="1124">
        <f t="shared" si="155"/>
        <v>0</v>
      </c>
      <c r="AM182" s="1124">
        <f t="shared" si="155"/>
        <v>0</v>
      </c>
      <c r="AN182" s="1124">
        <f t="shared" si="155"/>
        <v>0</v>
      </c>
      <c r="AO182" s="1124">
        <f t="shared" si="155"/>
        <v>0</v>
      </c>
      <c r="AP182" s="1124">
        <f t="shared" si="155"/>
        <v>0</v>
      </c>
      <c r="AQ182" s="1124">
        <f t="shared" si="155"/>
        <v>0</v>
      </c>
      <c r="AR182" s="1124">
        <f t="shared" si="155"/>
        <v>0</v>
      </c>
      <c r="AS182" s="1124">
        <f t="shared" si="155"/>
        <v>0</v>
      </c>
      <c r="AT182" s="42"/>
      <c r="AU182" s="29">
        <f>+Details!E182</f>
        <v>2214900</v>
      </c>
      <c r="AV182" s="81">
        <f t="shared" si="143"/>
        <v>0</v>
      </c>
      <c r="AW182" s="102"/>
      <c r="AY182" s="31">
        <f>+Details!F182-Base!F182</f>
        <v>0</v>
      </c>
      <c r="AZ182" s="1124">
        <f>+Details!G182-Base!G182</f>
        <v>0</v>
      </c>
      <c r="BA182" s="1124">
        <f>+Details!H182-Base!H182</f>
        <v>0</v>
      </c>
      <c r="BB182" s="1124">
        <f>+Details!I182-Base!I182</f>
        <v>0</v>
      </c>
      <c r="BC182" s="1124">
        <f>+Details!J182-Base!J182</f>
        <v>0</v>
      </c>
      <c r="BD182" s="1124">
        <f>+Details!K182-Base!K182</f>
        <v>0</v>
      </c>
      <c r="BE182" s="1124">
        <f>+Details!L182-Base!L182</f>
        <v>0</v>
      </c>
      <c r="BF182" s="1124">
        <f>+Details!M182-Base!M182</f>
        <v>0</v>
      </c>
      <c r="BG182" s="1124">
        <f>+Details!N182-Base!N182</f>
        <v>0</v>
      </c>
      <c r="BH182" s="1124">
        <f>+Details!O182-Base!O182</f>
        <v>0</v>
      </c>
      <c r="BI182" s="1124">
        <f>+Details!P182-Base!P182</f>
        <v>0</v>
      </c>
      <c r="BJ182" s="1124">
        <f>+Details!Q182-Base!Q182</f>
        <v>0</v>
      </c>
      <c r="BK182" s="1124">
        <f>+Details!R182-Base!R182</f>
        <v>0</v>
      </c>
      <c r="BL182" s="1124">
        <f>+Details!S182-Base!S182</f>
        <v>0</v>
      </c>
      <c r="BM182" s="1124">
        <f>+Details!T182-Base!T182</f>
        <v>0</v>
      </c>
      <c r="BN182" s="1124">
        <f>+Details!U182-Base!U182</f>
        <v>0</v>
      </c>
      <c r="BO182" s="1124">
        <f>+Details!V182-Base!V182</f>
        <v>0</v>
      </c>
      <c r="BP182" s="1124">
        <f>+Details!W182-Base!W182</f>
        <v>0</v>
      </c>
      <c r="BQ182" s="1124">
        <f>+Details!X182-Base!X182</f>
        <v>0</v>
      </c>
      <c r="BR182" s="1124">
        <f>+Details!Y182-Base!Y182</f>
        <v>0</v>
      </c>
      <c r="BS182" s="1124">
        <f>+Details!Z182-Base!Z182</f>
        <v>0</v>
      </c>
      <c r="BT182" s="1124">
        <f>+Details!AA182-Base!AA182</f>
        <v>0</v>
      </c>
      <c r="BU182" s="1124">
        <f>+Details!AB182-Base!AB182</f>
        <v>0</v>
      </c>
      <c r="BV182" s="1124">
        <f>+Details!AC182-Base!AC182</f>
        <v>0</v>
      </c>
      <c r="BW182" s="1124">
        <f>+Details!AD182-Base!AD182</f>
        <v>0</v>
      </c>
      <c r="BX182" s="1124">
        <f>+Details!AE182-Base!AE182</f>
        <v>0</v>
      </c>
      <c r="BY182" s="1124">
        <f>+Details!AF182-Base!AF182</f>
        <v>0</v>
      </c>
      <c r="BZ182" s="1124">
        <f>+Details!AG182-Base!AG182</f>
        <v>0</v>
      </c>
      <c r="CA182" s="1124">
        <f>+Details!AH182-Base!AH182</f>
        <v>0</v>
      </c>
      <c r="CB182" s="1124">
        <f>+Details!AI182-Base!AI182</f>
        <v>0</v>
      </c>
      <c r="CC182" s="1124">
        <f>+Details!AJ182-Base!AJ182</f>
        <v>0</v>
      </c>
      <c r="CD182" s="1124">
        <f>+Details!AK182-Base!AK182</f>
        <v>0</v>
      </c>
      <c r="CE182" s="1124">
        <f>+Details!AL182-Base!AL182</f>
        <v>0</v>
      </c>
      <c r="CF182" s="1124">
        <f>+Details!AM182-Base!AM182</f>
        <v>0</v>
      </c>
      <c r="CG182" s="1124">
        <f>+Details!AN182-Base!AN182</f>
        <v>0</v>
      </c>
      <c r="CH182" s="1124">
        <f>+Details!AO182-Base!AO182</f>
        <v>0</v>
      </c>
      <c r="CI182" s="1124">
        <f>+Details!AP182-Base!AP182</f>
        <v>0</v>
      </c>
      <c r="CJ182" s="1124">
        <f>+Details!AQ182-Base!AQ182</f>
        <v>0</v>
      </c>
      <c r="CK182" s="1124">
        <f>+Details!AR182-Base!AR182</f>
        <v>0</v>
      </c>
      <c r="CL182" s="1124">
        <f>+Details!AS182-Base!AS182</f>
        <v>0</v>
      </c>
      <c r="CM182" s="81"/>
      <c r="CN182" s="49"/>
      <c r="CO182" s="49"/>
      <c r="CP182" s="42"/>
      <c r="CQ182" s="49"/>
      <c r="CR182" s="49"/>
      <c r="CS182" s="39"/>
      <c r="CT182" s="39"/>
      <c r="CU182" s="39"/>
      <c r="CV182" s="49"/>
      <c r="CW182" s="49"/>
      <c r="CX182" s="49"/>
      <c r="CY182" s="49"/>
      <c r="CZ182" s="39"/>
      <c r="DA182" s="49"/>
      <c r="DB182" s="39"/>
      <c r="DC182" s="39"/>
      <c r="DD182" s="49"/>
      <c r="DE182" s="49"/>
      <c r="DF182" s="49"/>
      <c r="DG182" s="49"/>
      <c r="DH182" s="49"/>
      <c r="DI182" s="49"/>
      <c r="DJ182" s="49"/>
      <c r="DK182" s="49"/>
      <c r="DL182" s="49"/>
      <c r="DM182" s="49"/>
      <c r="DN182" s="49"/>
      <c r="DO182" s="49"/>
      <c r="DP182" s="49"/>
      <c r="DQ182" s="44"/>
      <c r="DR182" s="49"/>
      <c r="DS182" s="49"/>
      <c r="DT182" s="49"/>
      <c r="DU182" s="49"/>
      <c r="DV182" s="49"/>
      <c r="DW182" s="49"/>
      <c r="DX182" s="49"/>
      <c r="DY182" s="49"/>
      <c r="DZ182" s="49"/>
      <c r="EA182" s="49"/>
      <c r="EB182" s="49"/>
      <c r="EC182" s="49"/>
      <c r="ED182" s="49"/>
    </row>
    <row r="183" spans="1:134">
      <c r="B183" s="234" t="s">
        <v>1171</v>
      </c>
      <c r="C183" s="422"/>
      <c r="D183" s="32"/>
      <c r="E183" s="34">
        <f>SUM(F183:AS183)</f>
        <v>1140000</v>
      </c>
      <c r="F183" s="38">
        <f>+F165</f>
        <v>0</v>
      </c>
      <c r="G183" s="1125">
        <f t="shared" ref="G183:AS183" si="156">+G165</f>
        <v>0</v>
      </c>
      <c r="H183" s="1125">
        <f t="shared" si="156"/>
        <v>0</v>
      </c>
      <c r="I183" s="1125">
        <f t="shared" si="156"/>
        <v>0</v>
      </c>
      <c r="J183" s="1125">
        <f t="shared" si="156"/>
        <v>0</v>
      </c>
      <c r="K183" s="1125">
        <f t="shared" si="156"/>
        <v>18800</v>
      </c>
      <c r="L183" s="1125">
        <f t="shared" si="156"/>
        <v>19100</v>
      </c>
      <c r="M183" s="1125">
        <f t="shared" si="156"/>
        <v>19600</v>
      </c>
      <c r="N183" s="1125">
        <f t="shared" si="156"/>
        <v>33400</v>
      </c>
      <c r="O183" s="1125">
        <f t="shared" si="156"/>
        <v>34900</v>
      </c>
      <c r="P183" s="1125">
        <f t="shared" si="156"/>
        <v>36100</v>
      </c>
      <c r="Q183" s="1125">
        <f t="shared" si="156"/>
        <v>38000</v>
      </c>
      <c r="R183" s="1125">
        <f t="shared" si="156"/>
        <v>44300</v>
      </c>
      <c r="S183" s="1125">
        <f t="shared" si="156"/>
        <v>47000</v>
      </c>
      <c r="T183" s="1125">
        <f t="shared" si="156"/>
        <v>59600</v>
      </c>
      <c r="U183" s="1125">
        <f t="shared" si="156"/>
        <v>66800</v>
      </c>
      <c r="V183" s="1125">
        <f t="shared" si="156"/>
        <v>53600</v>
      </c>
      <c r="W183" s="1125">
        <f t="shared" si="156"/>
        <v>54600</v>
      </c>
      <c r="X183" s="1125">
        <f t="shared" si="156"/>
        <v>55700</v>
      </c>
      <c r="Y183" s="1125">
        <f t="shared" si="156"/>
        <v>56800</v>
      </c>
      <c r="Z183" s="1125">
        <f t="shared" si="156"/>
        <v>57900</v>
      </c>
      <c r="AA183" s="1125">
        <f t="shared" si="156"/>
        <v>59100</v>
      </c>
      <c r="AB183" s="1125">
        <f t="shared" si="156"/>
        <v>60300</v>
      </c>
      <c r="AC183" s="1125">
        <f t="shared" si="156"/>
        <v>61500</v>
      </c>
      <c r="AD183" s="1125">
        <f t="shared" si="156"/>
        <v>41700</v>
      </c>
      <c r="AE183" s="1125">
        <f t="shared" si="156"/>
        <v>42500</v>
      </c>
      <c r="AF183" s="1125">
        <f t="shared" si="156"/>
        <v>43400</v>
      </c>
      <c r="AG183" s="1125">
        <f t="shared" si="156"/>
        <v>44200</v>
      </c>
      <c r="AH183" s="1125">
        <f t="shared" si="156"/>
        <v>45100</v>
      </c>
      <c r="AI183" s="1125">
        <f t="shared" si="156"/>
        <v>46000</v>
      </c>
      <c r="AJ183" s="1125">
        <f t="shared" si="156"/>
        <v>0</v>
      </c>
      <c r="AK183" s="1125">
        <f t="shared" si="156"/>
        <v>0</v>
      </c>
      <c r="AL183" s="1125">
        <f t="shared" si="156"/>
        <v>0</v>
      </c>
      <c r="AM183" s="1125">
        <f t="shared" si="156"/>
        <v>0</v>
      </c>
      <c r="AN183" s="1125">
        <f t="shared" si="156"/>
        <v>0</v>
      </c>
      <c r="AO183" s="1125">
        <f t="shared" si="156"/>
        <v>0</v>
      </c>
      <c r="AP183" s="1125">
        <f t="shared" si="156"/>
        <v>0</v>
      </c>
      <c r="AQ183" s="1125">
        <f t="shared" si="156"/>
        <v>0</v>
      </c>
      <c r="AR183" s="1125">
        <f t="shared" si="156"/>
        <v>0</v>
      </c>
      <c r="AS183" s="1125">
        <f t="shared" si="156"/>
        <v>0</v>
      </c>
      <c r="AT183" s="42"/>
      <c r="AU183" s="34">
        <f>+Details!E183</f>
        <v>1140000</v>
      </c>
      <c r="AV183" s="83">
        <f t="shared" si="143"/>
        <v>0</v>
      </c>
      <c r="AW183" s="102"/>
      <c r="AY183" s="38">
        <f>+Details!F183-Base!F183</f>
        <v>0</v>
      </c>
      <c r="AZ183" s="1125">
        <f>+Details!G183-Base!G183</f>
        <v>0</v>
      </c>
      <c r="BA183" s="1125">
        <f>+Details!H183-Base!H183</f>
        <v>0</v>
      </c>
      <c r="BB183" s="1125">
        <f>+Details!I183-Base!I183</f>
        <v>0</v>
      </c>
      <c r="BC183" s="1125">
        <f>+Details!J183-Base!J183</f>
        <v>0</v>
      </c>
      <c r="BD183" s="1125">
        <f>+Details!K183-Base!K183</f>
        <v>0</v>
      </c>
      <c r="BE183" s="1125">
        <f>+Details!L183-Base!L183</f>
        <v>0</v>
      </c>
      <c r="BF183" s="1125">
        <f>+Details!M183-Base!M183</f>
        <v>0</v>
      </c>
      <c r="BG183" s="1125">
        <f>+Details!N183-Base!N183</f>
        <v>0</v>
      </c>
      <c r="BH183" s="1125">
        <f>+Details!O183-Base!O183</f>
        <v>0</v>
      </c>
      <c r="BI183" s="1125">
        <f>+Details!P183-Base!P183</f>
        <v>0</v>
      </c>
      <c r="BJ183" s="1125">
        <f>+Details!Q183-Base!Q183</f>
        <v>0</v>
      </c>
      <c r="BK183" s="1125">
        <f>+Details!R183-Base!R183</f>
        <v>0</v>
      </c>
      <c r="BL183" s="1125">
        <f>+Details!S183-Base!S183</f>
        <v>0</v>
      </c>
      <c r="BM183" s="1125">
        <f>+Details!T183-Base!T183</f>
        <v>0</v>
      </c>
      <c r="BN183" s="1125">
        <f>+Details!U183-Base!U183</f>
        <v>0</v>
      </c>
      <c r="BO183" s="1125">
        <f>+Details!V183-Base!V183</f>
        <v>0</v>
      </c>
      <c r="BP183" s="1125">
        <f>+Details!W183-Base!W183</f>
        <v>0</v>
      </c>
      <c r="BQ183" s="1125">
        <f>+Details!X183-Base!X183</f>
        <v>0</v>
      </c>
      <c r="BR183" s="1125">
        <f>+Details!Y183-Base!Y183</f>
        <v>0</v>
      </c>
      <c r="BS183" s="1125">
        <f>+Details!Z183-Base!Z183</f>
        <v>0</v>
      </c>
      <c r="BT183" s="1125">
        <f>+Details!AA183-Base!AA183</f>
        <v>0</v>
      </c>
      <c r="BU183" s="1125">
        <f>+Details!AB183-Base!AB183</f>
        <v>0</v>
      </c>
      <c r="BV183" s="1125">
        <f>+Details!AC183-Base!AC183</f>
        <v>0</v>
      </c>
      <c r="BW183" s="1125">
        <f>+Details!AD183-Base!AD183</f>
        <v>0</v>
      </c>
      <c r="BX183" s="1125">
        <f>+Details!AE183-Base!AE183</f>
        <v>0</v>
      </c>
      <c r="BY183" s="1125">
        <f>+Details!AF183-Base!AF183</f>
        <v>0</v>
      </c>
      <c r="BZ183" s="1125">
        <f>+Details!AG183-Base!AG183</f>
        <v>0</v>
      </c>
      <c r="CA183" s="1125">
        <f>+Details!AH183-Base!AH183</f>
        <v>0</v>
      </c>
      <c r="CB183" s="1125">
        <f>+Details!AI183-Base!AI183</f>
        <v>0</v>
      </c>
      <c r="CC183" s="1125">
        <f>+Details!AJ183-Base!AJ183</f>
        <v>0</v>
      </c>
      <c r="CD183" s="1125">
        <f>+Details!AK183-Base!AK183</f>
        <v>0</v>
      </c>
      <c r="CE183" s="1125">
        <f>+Details!AL183-Base!AL183</f>
        <v>0</v>
      </c>
      <c r="CF183" s="1125">
        <f>+Details!AM183-Base!AM183</f>
        <v>0</v>
      </c>
      <c r="CG183" s="1125">
        <f>+Details!AN183-Base!AN183</f>
        <v>0</v>
      </c>
      <c r="CH183" s="1125">
        <f>+Details!AO183-Base!AO183</f>
        <v>0</v>
      </c>
      <c r="CI183" s="1125">
        <f>+Details!AP183-Base!AP183</f>
        <v>0</v>
      </c>
      <c r="CJ183" s="1125">
        <f>+Details!AQ183-Base!AQ183</f>
        <v>0</v>
      </c>
      <c r="CK183" s="1125">
        <f>+Details!AR183-Base!AR183</f>
        <v>0</v>
      </c>
      <c r="CL183" s="1125">
        <f>+Details!AS183-Base!AS183</f>
        <v>0</v>
      </c>
      <c r="CM183" s="103"/>
      <c r="CN183" s="49"/>
      <c r="CO183" s="49"/>
      <c r="CP183" s="42"/>
      <c r="CQ183" s="49"/>
      <c r="CR183" s="49"/>
      <c r="CS183" s="39"/>
      <c r="CT183" s="39"/>
      <c r="CU183" s="39"/>
      <c r="CV183" s="49"/>
      <c r="CW183" s="49"/>
      <c r="CX183" s="49"/>
      <c r="CY183" s="49"/>
      <c r="CZ183" s="39"/>
      <c r="DA183" s="49"/>
      <c r="DB183" s="39"/>
      <c r="DC183" s="39"/>
      <c r="DD183" s="49"/>
      <c r="DE183" s="49"/>
      <c r="DF183" s="49"/>
      <c r="DG183" s="49"/>
      <c r="DH183" s="49"/>
      <c r="DI183" s="49"/>
      <c r="DJ183" s="49"/>
      <c r="DK183" s="49"/>
      <c r="DL183" s="49"/>
      <c r="DM183" s="49"/>
      <c r="DN183" s="49"/>
      <c r="DO183" s="49"/>
      <c r="DP183" s="49"/>
      <c r="DQ183" s="44"/>
      <c r="DR183" s="49"/>
      <c r="DS183" s="49"/>
      <c r="DT183" s="49"/>
      <c r="DU183" s="49"/>
      <c r="DV183" s="49"/>
      <c r="DW183" s="49"/>
      <c r="DX183" s="49"/>
      <c r="DY183" s="49"/>
      <c r="DZ183" s="49"/>
      <c r="EA183" s="49"/>
      <c r="EB183" s="49"/>
      <c r="EC183" s="49"/>
      <c r="ED183" s="49"/>
    </row>
    <row r="184" spans="1:134" ht="15.6">
      <c r="B184" s="426" t="s">
        <v>1040</v>
      </c>
      <c r="C184" s="426"/>
      <c r="D184" s="459" t="str">
        <f>IF(Taxable_Tax_Rate&gt;0,"Taxable Adj "&amp;Taxable_Tax_Rate*100&amp;"%","0%")</f>
        <v>Taxable Adj 60%</v>
      </c>
      <c r="E184" s="29">
        <f>SUM(F184:AS184)</f>
        <v>3354900</v>
      </c>
      <c r="F184" s="31">
        <f>+F182+F183</f>
        <v>62700</v>
      </c>
      <c r="G184" s="1124">
        <f t="shared" ref="G184:AS184" si="157">+G182+G183</f>
        <v>79400</v>
      </c>
      <c r="H184" s="1124">
        <f t="shared" si="157"/>
        <v>66100</v>
      </c>
      <c r="I184" s="1124">
        <f t="shared" si="157"/>
        <v>67900</v>
      </c>
      <c r="J184" s="1124">
        <f t="shared" si="157"/>
        <v>69800</v>
      </c>
      <c r="K184" s="1124">
        <f t="shared" si="157"/>
        <v>90700</v>
      </c>
      <c r="L184" s="1124">
        <f t="shared" si="157"/>
        <v>93400</v>
      </c>
      <c r="M184" s="1124">
        <f t="shared" si="157"/>
        <v>96200</v>
      </c>
      <c r="N184" s="1124">
        <f t="shared" si="157"/>
        <v>71800</v>
      </c>
      <c r="O184" s="1124">
        <f t="shared" si="157"/>
        <v>73900</v>
      </c>
      <c r="P184" s="1124">
        <f t="shared" si="157"/>
        <v>75900</v>
      </c>
      <c r="Q184" s="1124">
        <f t="shared" si="157"/>
        <v>79000</v>
      </c>
      <c r="R184" s="1124">
        <f t="shared" si="157"/>
        <v>91200</v>
      </c>
      <c r="S184" s="1124">
        <f t="shared" si="157"/>
        <v>95900</v>
      </c>
      <c r="T184" s="1124">
        <f t="shared" si="157"/>
        <v>122400</v>
      </c>
      <c r="U184" s="1124">
        <f t="shared" si="157"/>
        <v>136800</v>
      </c>
      <c r="V184" s="1124">
        <f t="shared" si="157"/>
        <v>132100</v>
      </c>
      <c r="W184" s="1124">
        <f t="shared" si="157"/>
        <v>136700</v>
      </c>
      <c r="X184" s="1124">
        <f t="shared" si="157"/>
        <v>129000</v>
      </c>
      <c r="Y184" s="1124">
        <f t="shared" si="157"/>
        <v>131800</v>
      </c>
      <c r="Z184" s="1124">
        <f t="shared" si="157"/>
        <v>136200</v>
      </c>
      <c r="AA184" s="1124">
        <f t="shared" si="157"/>
        <v>141000</v>
      </c>
      <c r="AB184" s="1124">
        <f t="shared" si="157"/>
        <v>147800</v>
      </c>
      <c r="AC184" s="1124">
        <f t="shared" si="157"/>
        <v>158700</v>
      </c>
      <c r="AD184" s="1124">
        <f t="shared" si="157"/>
        <v>141000</v>
      </c>
      <c r="AE184" s="1124">
        <f t="shared" si="157"/>
        <v>145700</v>
      </c>
      <c r="AF184" s="1124">
        <f t="shared" si="157"/>
        <v>148500</v>
      </c>
      <c r="AG184" s="1124">
        <f t="shared" si="157"/>
        <v>142500</v>
      </c>
      <c r="AH184" s="1124">
        <f t="shared" si="157"/>
        <v>143900</v>
      </c>
      <c r="AI184" s="1124">
        <f t="shared" si="157"/>
        <v>146900</v>
      </c>
      <c r="AJ184" s="1124">
        <f t="shared" si="157"/>
        <v>0</v>
      </c>
      <c r="AK184" s="1124">
        <f t="shared" si="157"/>
        <v>0</v>
      </c>
      <c r="AL184" s="1124">
        <f t="shared" si="157"/>
        <v>0</v>
      </c>
      <c r="AM184" s="1124">
        <f t="shared" si="157"/>
        <v>0</v>
      </c>
      <c r="AN184" s="1124">
        <f t="shared" si="157"/>
        <v>0</v>
      </c>
      <c r="AO184" s="1124">
        <f t="shared" si="157"/>
        <v>0</v>
      </c>
      <c r="AP184" s="1124">
        <f t="shared" si="157"/>
        <v>0</v>
      </c>
      <c r="AQ184" s="1124">
        <f t="shared" si="157"/>
        <v>0</v>
      </c>
      <c r="AR184" s="1124">
        <f t="shared" si="157"/>
        <v>0</v>
      </c>
      <c r="AS184" s="1124">
        <f t="shared" si="157"/>
        <v>0</v>
      </c>
      <c r="AT184" s="3"/>
      <c r="AU184" s="29">
        <f>+Details!E184</f>
        <v>3354900</v>
      </c>
      <c r="AV184" s="81">
        <f t="shared" si="143"/>
        <v>0</v>
      </c>
      <c r="AW184" s="102"/>
      <c r="AY184" s="31">
        <f>+Details!F184-Base!F184</f>
        <v>0</v>
      </c>
      <c r="AZ184" s="1124">
        <f>+Details!G184-Base!G184</f>
        <v>0</v>
      </c>
      <c r="BA184" s="1124">
        <f>+Details!H184-Base!H184</f>
        <v>0</v>
      </c>
      <c r="BB184" s="1124">
        <f>+Details!I184-Base!I184</f>
        <v>0</v>
      </c>
      <c r="BC184" s="1124">
        <f>+Details!J184-Base!J184</f>
        <v>0</v>
      </c>
      <c r="BD184" s="1124">
        <f>+Details!K184-Base!K184</f>
        <v>0</v>
      </c>
      <c r="BE184" s="1124">
        <f>+Details!L184-Base!L184</f>
        <v>0</v>
      </c>
      <c r="BF184" s="1124">
        <f>+Details!M184-Base!M184</f>
        <v>0</v>
      </c>
      <c r="BG184" s="1124">
        <f>+Details!N184-Base!N184</f>
        <v>0</v>
      </c>
      <c r="BH184" s="1124">
        <f>+Details!O184-Base!O184</f>
        <v>0</v>
      </c>
      <c r="BI184" s="1124">
        <f>+Details!P184-Base!P184</f>
        <v>0</v>
      </c>
      <c r="BJ184" s="1124">
        <f>+Details!Q184-Base!Q184</f>
        <v>0</v>
      </c>
      <c r="BK184" s="1124">
        <f>+Details!R184-Base!R184</f>
        <v>0</v>
      </c>
      <c r="BL184" s="1124">
        <f>+Details!S184-Base!S184</f>
        <v>0</v>
      </c>
      <c r="BM184" s="1124">
        <f>+Details!T184-Base!T184</f>
        <v>0</v>
      </c>
      <c r="BN184" s="1124">
        <f>+Details!U184-Base!U184</f>
        <v>0</v>
      </c>
      <c r="BO184" s="1124">
        <f>+Details!V184-Base!V184</f>
        <v>0</v>
      </c>
      <c r="BP184" s="1124">
        <f>+Details!W184-Base!W184</f>
        <v>0</v>
      </c>
      <c r="BQ184" s="1124">
        <f>+Details!X184-Base!X184</f>
        <v>0</v>
      </c>
      <c r="BR184" s="1124">
        <f>+Details!Y184-Base!Y184</f>
        <v>0</v>
      </c>
      <c r="BS184" s="1124">
        <f>+Details!Z184-Base!Z184</f>
        <v>0</v>
      </c>
      <c r="BT184" s="1124">
        <f>+Details!AA184-Base!AA184</f>
        <v>0</v>
      </c>
      <c r="BU184" s="1124">
        <f>+Details!AB184-Base!AB184</f>
        <v>0</v>
      </c>
      <c r="BV184" s="1124">
        <f>+Details!AC184-Base!AC184</f>
        <v>0</v>
      </c>
      <c r="BW184" s="1124">
        <f>+Details!AD184-Base!AD184</f>
        <v>0</v>
      </c>
      <c r="BX184" s="1124">
        <f>+Details!AE184-Base!AE184</f>
        <v>0</v>
      </c>
      <c r="BY184" s="1124">
        <f>+Details!AF184-Base!AF184</f>
        <v>0</v>
      </c>
      <c r="BZ184" s="1124">
        <f>+Details!AG184-Base!AG184</f>
        <v>0</v>
      </c>
      <c r="CA184" s="1124">
        <f>+Details!AH184-Base!AH184</f>
        <v>0</v>
      </c>
      <c r="CB184" s="1124">
        <f>+Details!AI184-Base!AI184</f>
        <v>0</v>
      </c>
      <c r="CC184" s="1124">
        <f>+Details!AJ184-Base!AJ184</f>
        <v>0</v>
      </c>
      <c r="CD184" s="1124">
        <f>+Details!AK184-Base!AK184</f>
        <v>0</v>
      </c>
      <c r="CE184" s="1124">
        <f>+Details!AL184-Base!AL184</f>
        <v>0</v>
      </c>
      <c r="CF184" s="1124">
        <f>+Details!AM184-Base!AM184</f>
        <v>0</v>
      </c>
      <c r="CG184" s="1124">
        <f>+Details!AN184-Base!AN184</f>
        <v>0</v>
      </c>
      <c r="CH184" s="1124">
        <f>+Details!AO184-Base!AO184</f>
        <v>0</v>
      </c>
      <c r="CI184" s="1124">
        <f>+Details!AP184-Base!AP184</f>
        <v>0</v>
      </c>
      <c r="CJ184" s="1124">
        <f>+Details!AQ184-Base!AQ184</f>
        <v>0</v>
      </c>
      <c r="CK184" s="1124">
        <f>+Details!AR184-Base!AR184</f>
        <v>0</v>
      </c>
      <c r="CL184" s="1124">
        <f>+Details!AS184-Base!AS184</f>
        <v>0</v>
      </c>
      <c r="CM184" s="81"/>
    </row>
    <row r="185" spans="1:134" ht="15.6">
      <c r="B185" s="28"/>
      <c r="C185" s="28"/>
      <c r="D185" s="199"/>
      <c r="E185" s="29"/>
      <c r="F185" s="152"/>
      <c r="G185" s="152"/>
      <c r="H185" s="152"/>
      <c r="I185" s="152"/>
      <c r="J185" s="152"/>
      <c r="K185" s="152"/>
      <c r="L185" s="152"/>
      <c r="M185" s="152"/>
      <c r="N185" s="152"/>
      <c r="O185" s="152"/>
      <c r="P185" s="152"/>
      <c r="Q185" s="152"/>
      <c r="R185" s="152"/>
      <c r="S185" s="152"/>
      <c r="T185" s="152"/>
      <c r="U185" s="152"/>
      <c r="V185" s="152"/>
      <c r="W185" s="152"/>
      <c r="X185" s="152"/>
      <c r="Y185" s="152"/>
      <c r="Z185" s="152"/>
      <c r="AA185" s="152"/>
      <c r="AB185" s="152"/>
      <c r="AC185" s="152"/>
      <c r="AD185" s="152"/>
      <c r="AE185" s="152"/>
      <c r="AF185" s="152"/>
      <c r="AG185" s="152"/>
      <c r="AH185" s="152"/>
      <c r="AI185" s="152"/>
      <c r="AJ185" s="152"/>
      <c r="AK185" s="152"/>
      <c r="AL185" s="152"/>
      <c r="AM185" s="152"/>
      <c r="AN185" s="152"/>
      <c r="AO185" s="31"/>
      <c r="AP185" s="31"/>
      <c r="AQ185" s="31"/>
      <c r="AR185" s="31"/>
      <c r="AS185" s="31"/>
      <c r="AT185" s="3"/>
      <c r="AU185" s="29"/>
      <c r="AV185" s="81"/>
      <c r="AW185" s="102"/>
      <c r="AZ185" s="152"/>
      <c r="BA185" s="152"/>
      <c r="BB185" s="152"/>
      <c r="BC185" s="152"/>
      <c r="BD185" s="152"/>
      <c r="BE185" s="152"/>
      <c r="BF185" s="152"/>
      <c r="BG185" s="152"/>
      <c r="BH185" s="152"/>
      <c r="BI185" s="152"/>
      <c r="BJ185" s="152"/>
      <c r="BK185" s="152"/>
      <c r="BL185" s="152"/>
      <c r="BM185" s="152"/>
      <c r="BN185" s="152"/>
      <c r="BO185" s="152"/>
      <c r="BP185" s="152"/>
      <c r="BQ185" s="152"/>
      <c r="BR185" s="152"/>
      <c r="BS185" s="152"/>
      <c r="BT185" s="152"/>
      <c r="BU185" s="152"/>
      <c r="BV185" s="152"/>
      <c r="BW185" s="152"/>
      <c r="BX185" s="152"/>
      <c r="BY185" s="152"/>
      <c r="BZ185" s="152"/>
      <c r="CA185" s="152"/>
      <c r="CB185" s="152"/>
      <c r="CC185" s="152"/>
      <c r="CD185" s="152"/>
      <c r="CE185" s="152"/>
      <c r="CF185" s="152"/>
      <c r="CG185" s="152"/>
      <c r="CH185" s="31"/>
      <c r="CI185" s="31"/>
      <c r="CJ185" s="31"/>
      <c r="CK185" s="31"/>
      <c r="CL185" s="31"/>
      <c r="CM185" s="81"/>
    </row>
    <row r="186" spans="1:134" ht="15.6">
      <c r="B186" s="1475" t="s">
        <v>1853</v>
      </c>
      <c r="C186" s="28"/>
      <c r="D186" s="1107" t="str">
        <f>IF(Exemptions_Add&gt;0,"Additional " &amp; Exemptions_Start &amp; "-" &amp; Exemptions_End,".")</f>
        <v>.</v>
      </c>
      <c r="E186" s="29"/>
      <c r="F186" s="1106">
        <f>IF(Filing_Status="m",+'Tax Tables'!F96,+'Tax Tables'!F175)</f>
        <v>2</v>
      </c>
      <c r="G186" s="1124">
        <f>IF(Filing_Status="m",+'Tax Tables'!G96,+'Tax Tables'!G175)</f>
        <v>2</v>
      </c>
      <c r="H186" s="1124">
        <f>IF(Filing_Status="m",+'Tax Tables'!H96,+'Tax Tables'!H175)</f>
        <v>2</v>
      </c>
      <c r="I186" s="1124">
        <f>IF(Filing_Status="m",+'Tax Tables'!I96,+'Tax Tables'!I175)</f>
        <v>2</v>
      </c>
      <c r="J186" s="1124">
        <f>IF(Filing_Status="m",+'Tax Tables'!J96,+'Tax Tables'!J175)</f>
        <v>2</v>
      </c>
      <c r="K186" s="1124">
        <f>IF(Filing_Status="m",+'Tax Tables'!K96,+'Tax Tables'!K175)</f>
        <v>2</v>
      </c>
      <c r="L186" s="1124">
        <f>IF(Filing_Status="m",+'Tax Tables'!L96,+'Tax Tables'!L175)</f>
        <v>2</v>
      </c>
      <c r="M186" s="1124">
        <f>IF(Filing_Status="m",+'Tax Tables'!M96,+'Tax Tables'!M175)</f>
        <v>2</v>
      </c>
      <c r="N186" s="1124">
        <f>IF(Filing_Status="m",+'Tax Tables'!N96,+'Tax Tables'!N175)</f>
        <v>2</v>
      </c>
      <c r="O186" s="1124">
        <f>IF(Filing_Status="m",+'Tax Tables'!O96,+'Tax Tables'!O175)</f>
        <v>2</v>
      </c>
      <c r="P186" s="1124">
        <f>IF(Filing_Status="m",+'Tax Tables'!P96,+'Tax Tables'!P175)</f>
        <v>2</v>
      </c>
      <c r="Q186" s="1124">
        <f>IF(Filing_Status="m",+'Tax Tables'!Q96,+'Tax Tables'!Q175)</f>
        <v>2</v>
      </c>
      <c r="R186" s="1124">
        <f>IF(Filing_Status="m",+'Tax Tables'!R96,+'Tax Tables'!R175)</f>
        <v>2</v>
      </c>
      <c r="S186" s="1124">
        <f>IF(Filing_Status="m",+'Tax Tables'!S96,+'Tax Tables'!S175)</f>
        <v>2</v>
      </c>
      <c r="T186" s="1124">
        <f>IF(Filing_Status="m",+'Tax Tables'!T96,+'Tax Tables'!T175)</f>
        <v>2</v>
      </c>
      <c r="U186" s="1124">
        <f>IF(Filing_Status="m",+'Tax Tables'!U96,+'Tax Tables'!U175)</f>
        <v>2</v>
      </c>
      <c r="V186" s="1124">
        <f>IF(Filing_Status="m",+'Tax Tables'!V96,+'Tax Tables'!V175)</f>
        <v>2</v>
      </c>
      <c r="W186" s="1124">
        <f>IF(Filing_Status="m",+'Tax Tables'!W96,+'Tax Tables'!W175)</f>
        <v>2</v>
      </c>
      <c r="X186" s="1124">
        <f>IF(Filing_Status="m",+'Tax Tables'!X96,+'Tax Tables'!X175)</f>
        <v>2</v>
      </c>
      <c r="Y186" s="1124">
        <f>IF(Filing_Status="m",+'Tax Tables'!Y96,+'Tax Tables'!Y175)</f>
        <v>2</v>
      </c>
      <c r="Z186" s="1124">
        <f>IF(Filing_Status="m",+'Tax Tables'!Z96,+'Tax Tables'!Z175)</f>
        <v>2</v>
      </c>
      <c r="AA186" s="1124">
        <f>IF(Filing_Status="m",+'Tax Tables'!AA96,+'Tax Tables'!AA175)</f>
        <v>2</v>
      </c>
      <c r="AB186" s="1124">
        <f>IF(Filing_Status="m",+'Tax Tables'!AB96,+'Tax Tables'!AB175)</f>
        <v>2</v>
      </c>
      <c r="AC186" s="1124">
        <f>IF(Filing_Status="m",+'Tax Tables'!AC96,+'Tax Tables'!AC175)</f>
        <v>2</v>
      </c>
      <c r="AD186" s="1124">
        <f>IF(Filing_Status="m",+'Tax Tables'!AD96,+'Tax Tables'!AD175)</f>
        <v>1</v>
      </c>
      <c r="AE186" s="1124">
        <f>IF(Filing_Status="m",+'Tax Tables'!AE96,+'Tax Tables'!AE175)</f>
        <v>1</v>
      </c>
      <c r="AF186" s="1124">
        <f>IF(Filing_Status="m",+'Tax Tables'!AF96,+'Tax Tables'!AF175)</f>
        <v>1</v>
      </c>
      <c r="AG186" s="1124">
        <f>IF(Filing_Status="m",+'Tax Tables'!AG96,+'Tax Tables'!AG175)</f>
        <v>1</v>
      </c>
      <c r="AH186" s="1124">
        <f>IF(Filing_Status="m",+'Tax Tables'!AH96,+'Tax Tables'!AH175)</f>
        <v>1</v>
      </c>
      <c r="AI186" s="1124">
        <f>IF(Filing_Status="m",+'Tax Tables'!AI96,+'Tax Tables'!AI175)</f>
        <v>1</v>
      </c>
      <c r="AJ186" s="1124">
        <f>IF(Filing_Status="m",+'Tax Tables'!AJ96,+'Tax Tables'!AJ175)</f>
        <v>0</v>
      </c>
      <c r="AK186" s="1124">
        <f>IF(Filing_Status="m",+'Tax Tables'!AK96,+'Tax Tables'!AK175)</f>
        <v>0</v>
      </c>
      <c r="AL186" s="1124">
        <f>IF(Filing_Status="m",+'Tax Tables'!AL96,+'Tax Tables'!AL175)</f>
        <v>0</v>
      </c>
      <c r="AM186" s="1124">
        <f>IF(Filing_Status="m",+'Tax Tables'!AM96,+'Tax Tables'!AM175)</f>
        <v>0</v>
      </c>
      <c r="AN186" s="1124">
        <f>IF(Filing_Status="m",+'Tax Tables'!AN96,+'Tax Tables'!AN175)</f>
        <v>0</v>
      </c>
      <c r="AO186" s="1124">
        <f>IF(Filing_Status="m",+'Tax Tables'!AO96,+'Tax Tables'!AO175)</f>
        <v>0</v>
      </c>
      <c r="AP186" s="1124">
        <f>IF(Filing_Status="m",+'Tax Tables'!AP96,+'Tax Tables'!AP175)</f>
        <v>0</v>
      </c>
      <c r="AQ186" s="1124">
        <f>IF(Filing_Status="m",+'Tax Tables'!AQ96,+'Tax Tables'!AQ175)</f>
        <v>0</v>
      </c>
      <c r="AR186" s="1124">
        <f>IF(Filing_Status="m",+'Tax Tables'!AR96,+'Tax Tables'!AR175)</f>
        <v>0</v>
      </c>
      <c r="AS186" s="1124">
        <f>(IF(Filing_Status="m",IF(OR(AS$7&lt;Single_Rate_Start,Single_Rate_Start=""),+'Tax Tables'!AS96,+'Tax Tables'!AS175),1))</f>
        <v>0</v>
      </c>
      <c r="AT186" s="3"/>
      <c r="AU186" s="29"/>
      <c r="AV186" s="81"/>
      <c r="AW186" s="102"/>
      <c r="AY186" s="31">
        <f>+Details!F186-Base!F186</f>
        <v>0</v>
      </c>
      <c r="AZ186" s="1124">
        <f>+Details!G186-Base!G186</f>
        <v>0</v>
      </c>
      <c r="BA186" s="1124">
        <f>+Details!H186-Base!H186</f>
        <v>0</v>
      </c>
      <c r="BB186" s="1124">
        <f>+Details!I186-Base!I186</f>
        <v>0</v>
      </c>
      <c r="BC186" s="1124">
        <f>+Details!J186-Base!J186</f>
        <v>0</v>
      </c>
      <c r="BD186" s="1124">
        <f>+Details!K186-Base!K186</f>
        <v>0</v>
      </c>
      <c r="BE186" s="1124">
        <f>+Details!L186-Base!L186</f>
        <v>0</v>
      </c>
      <c r="BF186" s="1124">
        <f>+Details!M186-Base!M186</f>
        <v>0</v>
      </c>
      <c r="BG186" s="1124">
        <f>+Details!N186-Base!N186</f>
        <v>0</v>
      </c>
      <c r="BH186" s="1124">
        <f>+Details!O186-Base!O186</f>
        <v>0</v>
      </c>
      <c r="BI186" s="1124">
        <f>+Details!P186-Base!P186</f>
        <v>0</v>
      </c>
      <c r="BJ186" s="1124">
        <f>+Details!Q186-Base!Q186</f>
        <v>0</v>
      </c>
      <c r="BK186" s="1124">
        <f>+Details!R186-Base!R186</f>
        <v>0</v>
      </c>
      <c r="BL186" s="1124">
        <f>+Details!S186-Base!S186</f>
        <v>0</v>
      </c>
      <c r="BM186" s="1124">
        <f>+Details!T186-Base!T186</f>
        <v>0</v>
      </c>
      <c r="BN186" s="1124">
        <f>+Details!U186-Base!U186</f>
        <v>0</v>
      </c>
      <c r="BO186" s="1124">
        <f>+Details!V186-Base!V186</f>
        <v>0</v>
      </c>
      <c r="BP186" s="1124">
        <f>+Details!W186-Base!W186</f>
        <v>0</v>
      </c>
      <c r="BQ186" s="1124">
        <f>+Details!X186-Base!X186</f>
        <v>0</v>
      </c>
      <c r="BR186" s="1124">
        <f>+Details!Y186-Base!Y186</f>
        <v>0</v>
      </c>
      <c r="BS186" s="1124">
        <f>+Details!Z186-Base!Z186</f>
        <v>0</v>
      </c>
      <c r="BT186" s="1124">
        <f>+Details!AA186-Base!AA186</f>
        <v>0</v>
      </c>
      <c r="BU186" s="1124">
        <f>+Details!AB186-Base!AB186</f>
        <v>0</v>
      </c>
      <c r="BV186" s="1124">
        <f>+Details!AC186-Base!AC186</f>
        <v>0</v>
      </c>
      <c r="BW186" s="1124">
        <f>+Details!AD186-Base!AD186</f>
        <v>0</v>
      </c>
      <c r="BX186" s="1124">
        <f>+Details!AE186-Base!AE186</f>
        <v>0</v>
      </c>
      <c r="BY186" s="1124">
        <f>+Details!AF186-Base!AF186</f>
        <v>0</v>
      </c>
      <c r="BZ186" s="1124">
        <f>+Details!AG186-Base!AG186</f>
        <v>0</v>
      </c>
      <c r="CA186" s="1124">
        <f>+Details!AH186-Base!AH186</f>
        <v>0</v>
      </c>
      <c r="CB186" s="1124">
        <f>+Details!AI186-Base!AI186</f>
        <v>0</v>
      </c>
      <c r="CC186" s="1124">
        <f>+Details!AJ186-Base!AJ186</f>
        <v>0</v>
      </c>
      <c r="CD186" s="1124">
        <f>+Details!AK186-Base!AK186</f>
        <v>0</v>
      </c>
      <c r="CE186" s="1124">
        <f>+Details!AL186-Base!AL186</f>
        <v>0</v>
      </c>
      <c r="CF186" s="1124">
        <f>+Details!AM186-Base!AM186</f>
        <v>0</v>
      </c>
      <c r="CG186" s="1124">
        <f>+Details!AN186-Base!AN186</f>
        <v>0</v>
      </c>
      <c r="CH186" s="1124">
        <f>+Details!AO186-Base!AO186</f>
        <v>0</v>
      </c>
      <c r="CI186" s="1124">
        <f>+Details!AP186-Base!AP186</f>
        <v>0</v>
      </c>
      <c r="CJ186" s="1124">
        <f>+Details!AQ186-Base!AQ186</f>
        <v>0</v>
      </c>
      <c r="CK186" s="1124">
        <f>+Details!AR186-Base!AR186</f>
        <v>0</v>
      </c>
      <c r="CL186" s="1124">
        <f>+Details!AS186-Base!AS186</f>
        <v>0</v>
      </c>
      <c r="CM186" s="81"/>
    </row>
    <row r="187" spans="1:134">
      <c r="B187" s="235" t="s">
        <v>1219</v>
      </c>
      <c r="C187" s="235"/>
      <c r="D187" s="1069" t="str">
        <f>IF(Esc_Fed_Ded="n","Escalation turned off",".")</f>
        <v>.</v>
      </c>
      <c r="E187" s="29">
        <f t="shared" si="141"/>
        <v>0</v>
      </c>
      <c r="F187" s="1290">
        <f>IF(Filing_Status="m",IF(OR(F$7&lt;Single_Rate_Start,Single_Rate_Start=""),-'Tax Tables'!F$97,-'Tax Tables'!F$176),-'Tax Tables'!F$176)</f>
        <v>0</v>
      </c>
      <c r="G187" s="1124">
        <f>IF(Filing_Status="m",IF(OR(G$7&lt;Single_Rate_Start,Single_Rate_Start=""),-'Tax Tables'!G$97,-'Tax Tables'!G$176),-'Tax Tables'!G$176)*IF(G$7-$F7&lt;=Total_Years-1,1,0)</f>
        <v>0</v>
      </c>
      <c r="H187" s="1124">
        <f>IF(Filing_Status="m",IF(OR(H$7&lt;Single_Rate_Start,Single_Rate_Start=""),-'Tax Tables'!H$97,-'Tax Tables'!H$176),-'Tax Tables'!H$176)*IF(H$7-$F7&lt;=Total_Years-1,1,0)</f>
        <v>0</v>
      </c>
      <c r="I187" s="1124">
        <f>IF(Filing_Status="m",IF(OR(I$7&lt;Single_Rate_Start,Single_Rate_Start=""),-'Tax Tables'!I$97,-'Tax Tables'!I$176),-'Tax Tables'!I$176)*IF(I$7-$F7&lt;=Total_Years-1,1,0)</f>
        <v>0</v>
      </c>
      <c r="J187" s="1124">
        <f>IF(Filing_Status="m",IF(OR(J$7&lt;Single_Rate_Start,Single_Rate_Start=""),-'Tax Tables'!J$97,-'Tax Tables'!J$176),-'Tax Tables'!J$176)*IF(J$7-$F7&lt;=Total_Years-1,1,0)</f>
        <v>0</v>
      </c>
      <c r="K187" s="1124">
        <f>IF(Filing_Status="m",IF(OR(K$7&lt;Single_Rate_Start,Single_Rate_Start=""),-'Tax Tables'!K$97,-'Tax Tables'!K$176),-'Tax Tables'!K$176)*IF(K$7-$F7&lt;=Total_Years-1,1,0)</f>
        <v>0</v>
      </c>
      <c r="L187" s="1124">
        <f>IF(Filing_Status="m",IF(OR(L$7&lt;Single_Rate_Start,Single_Rate_Start=""),-'Tax Tables'!L$97,-'Tax Tables'!L$176),-'Tax Tables'!L$176)*IF(L$7-$F7&lt;=Total_Years-1,1,0)</f>
        <v>0</v>
      </c>
      <c r="M187" s="1124">
        <f>IF(Filing_Status="m",IF(OR(M$7&lt;Single_Rate_Start,Single_Rate_Start=""),-'Tax Tables'!M$97,-'Tax Tables'!M$176),-'Tax Tables'!M$176)*IF(M$7-$F7&lt;=Total_Years-1,1,0)</f>
        <v>0</v>
      </c>
      <c r="N187" s="1124">
        <f>IF(Filing_Status="m",IF(OR(N$7&lt;Single_Rate_Start,Single_Rate_Start=""),-'Tax Tables'!N$97,-'Tax Tables'!N$176),-'Tax Tables'!N$176)*IF(N$7-$F7&lt;=Total_Years-1,1,0)</f>
        <v>0</v>
      </c>
      <c r="O187" s="1124">
        <f>IF(Filing_Status="m",IF(OR(O$7&lt;Single_Rate_Start,Single_Rate_Start=""),-'Tax Tables'!O$97,-'Tax Tables'!O$176),-'Tax Tables'!O$176)*IF(O$7-$F7&lt;=Total_Years-1,1,0)</f>
        <v>0</v>
      </c>
      <c r="P187" s="1124">
        <f>IF(Filing_Status="m",IF(OR(P$7&lt;Single_Rate_Start,Single_Rate_Start=""),-'Tax Tables'!P$97,-'Tax Tables'!P$176),-'Tax Tables'!P$176)*IF(P$7-$F7&lt;=Total_Years-1,1,0)</f>
        <v>0</v>
      </c>
      <c r="Q187" s="1124">
        <f>IF(Filing_Status="m",IF(OR(Q$7&lt;Single_Rate_Start,Single_Rate_Start=""),-'Tax Tables'!Q$97,-'Tax Tables'!Q$176),-'Tax Tables'!Q$176)*IF(Q$7-$F7&lt;=Total_Years-1,1,0)</f>
        <v>0</v>
      </c>
      <c r="R187" s="1124">
        <f>IF(Filing_Status="m",IF(OR(R$7&lt;Single_Rate_Start,Single_Rate_Start=""),-'Tax Tables'!R$97,-'Tax Tables'!R$176),-'Tax Tables'!R$176)*IF(R$7-$F7&lt;=Total_Years-1,1,0)</f>
        <v>0</v>
      </c>
      <c r="S187" s="1124">
        <f>IF(Filing_Status="m",IF(OR(S$7&lt;Single_Rate_Start,Single_Rate_Start=""),-'Tax Tables'!S$97,-'Tax Tables'!S$176),-'Tax Tables'!S$176)*IF(S$7-$F7&lt;=Total_Years-1,1,0)</f>
        <v>0</v>
      </c>
      <c r="T187" s="1124">
        <f>IF(Filing_Status="m",IF(OR(T$7&lt;Single_Rate_Start,Single_Rate_Start=""),-'Tax Tables'!T$97,-'Tax Tables'!T$176),-'Tax Tables'!T$176)*IF(T$7-$F7&lt;=Total_Years-1,1,0)</f>
        <v>0</v>
      </c>
      <c r="U187" s="1124">
        <f>IF(Filing_Status="m",IF(OR(U$7&lt;Single_Rate_Start,Single_Rate_Start=""),-'Tax Tables'!U$97,-'Tax Tables'!U$176),-'Tax Tables'!U$176)*IF(U$7-$F7&lt;=Total_Years-1,1,0)</f>
        <v>0</v>
      </c>
      <c r="V187" s="1124">
        <f>IF(Filing_Status="m",IF(OR(V$7&lt;Single_Rate_Start,Single_Rate_Start=""),-'Tax Tables'!V$97,-'Tax Tables'!V$176),-'Tax Tables'!V$176)*IF(V$7-$F7&lt;=Total_Years-1,1,0)</f>
        <v>0</v>
      </c>
      <c r="W187" s="1124">
        <f>IF(Filing_Status="m",IF(OR(W$7&lt;Single_Rate_Start,Single_Rate_Start=""),-'Tax Tables'!W$97,-'Tax Tables'!W$176),-'Tax Tables'!W$176)*IF(W$7-$F7&lt;=Total_Years-1,1,0)</f>
        <v>0</v>
      </c>
      <c r="X187" s="1124">
        <f>IF(Filing_Status="m",IF(OR(X$7&lt;Single_Rate_Start,Single_Rate_Start=""),-'Tax Tables'!X$97,-'Tax Tables'!X$176),-'Tax Tables'!X$176)*IF(X$7-$F7&lt;=Total_Years-1,1,0)</f>
        <v>0</v>
      </c>
      <c r="Y187" s="1124">
        <f>IF(Filing_Status="m",IF(OR(Y$7&lt;Single_Rate_Start,Single_Rate_Start=""),-'Tax Tables'!Y$97,-'Tax Tables'!Y$176),-'Tax Tables'!Y$176)*IF(Y$7-$F7&lt;=Total_Years-1,1,0)</f>
        <v>0</v>
      </c>
      <c r="Z187" s="1124">
        <f>IF(Filing_Status="m",IF(OR(Z$7&lt;Single_Rate_Start,Single_Rate_Start=""),-'Tax Tables'!Z$97,-'Tax Tables'!Z$176),-'Tax Tables'!Z$176)*IF(Z$7-$F7&lt;=Total_Years-1,1,0)</f>
        <v>0</v>
      </c>
      <c r="AA187" s="1124">
        <f>IF(Filing_Status="m",IF(OR(AA$7&lt;Single_Rate_Start,Single_Rate_Start=""),-'Tax Tables'!AA$97,-'Tax Tables'!AA$176),-'Tax Tables'!AA$176)*IF(AA$7-$F7&lt;=Total_Years-1,1,0)</f>
        <v>0</v>
      </c>
      <c r="AB187" s="1124">
        <f>IF(Filing_Status="m",IF(OR(AB$7&lt;Single_Rate_Start,Single_Rate_Start=""),-'Tax Tables'!AB$97,-'Tax Tables'!AB$176),-'Tax Tables'!AB$176)*IF(AB$7-$F7&lt;=Total_Years-1,1,0)</f>
        <v>0</v>
      </c>
      <c r="AC187" s="1124">
        <f>IF(Filing_Status="m",IF(OR(AC$7&lt;Single_Rate_Start,Single_Rate_Start=""),-'Tax Tables'!AC$97,-'Tax Tables'!AC$176),-'Tax Tables'!AC$176)*IF(AC$7-$F7&lt;=Total_Years-1,1,0)</f>
        <v>0</v>
      </c>
      <c r="AD187" s="1124">
        <f>IF(Filing_Status="m",IF(OR(AD$7&lt;Single_Rate_Start,Single_Rate_Start=""),-'Tax Tables'!AD$97,-'Tax Tables'!AD$176),-'Tax Tables'!AD$176)*IF(AD$7-$F7&lt;=Total_Years-1,1,0)</f>
        <v>0</v>
      </c>
      <c r="AE187" s="1124">
        <f>IF(Filing_Status="m",IF(OR(AE$7&lt;Single_Rate_Start,Single_Rate_Start=""),-'Tax Tables'!AE$97,-'Tax Tables'!AE$176),-'Tax Tables'!AE$176)*IF(AE$7-$F7&lt;=Total_Years-1,1,0)</f>
        <v>0</v>
      </c>
      <c r="AF187" s="1124">
        <f>IF(Filing_Status="m",IF(OR(AF$7&lt;Single_Rate_Start,Single_Rate_Start=""),-'Tax Tables'!AF$97,-'Tax Tables'!AF$176),-'Tax Tables'!AF$176)*IF(AF$7-$F7&lt;=Total_Years-1,1,0)</f>
        <v>0</v>
      </c>
      <c r="AG187" s="1124">
        <f>IF(Filing_Status="m",IF(OR(AG$7&lt;Single_Rate_Start,Single_Rate_Start=""),-'Tax Tables'!AG$97,-'Tax Tables'!AG$176),-'Tax Tables'!AG$176)*IF(AG$7-$F7&lt;=Total_Years-1,1,0)</f>
        <v>0</v>
      </c>
      <c r="AH187" s="1124">
        <f>IF(Filing_Status="m",IF(OR(AH$7&lt;Single_Rate_Start,Single_Rate_Start=""),-'Tax Tables'!AH$97,-'Tax Tables'!AH$176),-'Tax Tables'!AH$176)*IF(AH$7-$F7&lt;=Total_Years-1,1,0)</f>
        <v>0</v>
      </c>
      <c r="AI187" s="1124">
        <f>IF(Filing_Status="m",IF(OR(AI$7&lt;Single_Rate_Start,Single_Rate_Start=""),-'Tax Tables'!AI$97,-'Tax Tables'!AI$176),-'Tax Tables'!AI$176)*IF(AI$7-$F7&lt;=Total_Years-1,1,0)</f>
        <v>0</v>
      </c>
      <c r="AJ187" s="1124">
        <f>IF(Filing_Status="m",IF(OR(AJ$7&lt;Single_Rate_Start,Single_Rate_Start=""),-'Tax Tables'!AJ$97,-'Tax Tables'!AJ$176),-'Tax Tables'!AJ$176)*IF(AJ$7-$F7&lt;=Total_Years-1,1,0)</f>
        <v>0</v>
      </c>
      <c r="AK187" s="1124">
        <f>IF(Filing_Status="m",IF(OR(AK$7&lt;Single_Rate_Start,Single_Rate_Start=""),-'Tax Tables'!AK$97,-'Tax Tables'!AK$176),-'Tax Tables'!AK$176)*IF(AK$7-$F7&lt;=Total_Years-1,1,0)</f>
        <v>0</v>
      </c>
      <c r="AL187" s="1124">
        <f>IF(Filing_Status="m",IF(OR(AL$7&lt;Single_Rate_Start,Single_Rate_Start=""),-'Tax Tables'!AL$97,-'Tax Tables'!AL$176),-'Tax Tables'!AL$176)*IF(AL$7-$F7&lt;=Total_Years-1,1,0)</f>
        <v>0</v>
      </c>
      <c r="AM187" s="1124">
        <f>IF(Filing_Status="m",IF(OR(AM$7&lt;Single_Rate_Start,Single_Rate_Start=""),-'Tax Tables'!AM$97,-'Tax Tables'!AM$176),-'Tax Tables'!AM$176)*IF(AM$7-$F7&lt;=Total_Years-1,1,0)</f>
        <v>0</v>
      </c>
      <c r="AN187" s="1124">
        <f>IF(Filing_Status="m",IF(OR(AN$7&lt;Single_Rate_Start,Single_Rate_Start=""),-'Tax Tables'!AN$97,-'Tax Tables'!AN$176),-'Tax Tables'!AN$176)*IF(AN$7-$F7&lt;=Total_Years-1,1,0)</f>
        <v>0</v>
      </c>
      <c r="AO187" s="1124">
        <f>IF(Filing_Status="m",IF(OR(AO$7&lt;Single_Rate_Start,Single_Rate_Start=""),-'Tax Tables'!AO$97,-'Tax Tables'!AO$176),-'Tax Tables'!AO$176)*IF(AO$7-$F7&lt;=Total_Years-1,1,0)</f>
        <v>0</v>
      </c>
      <c r="AP187" s="1124">
        <f>IF(Filing_Status="m",IF(OR(AP$7&lt;Single_Rate_Start,Single_Rate_Start=""),-'Tax Tables'!AP$97,-'Tax Tables'!AP$176),-'Tax Tables'!AP$176)*IF(AP$7-$F7&lt;=Total_Years-1,1,0)</f>
        <v>0</v>
      </c>
      <c r="AQ187" s="1124">
        <f>IF(Filing_Status="m",IF(OR(AQ$7&lt;Single_Rate_Start,Single_Rate_Start=""),-'Tax Tables'!AQ$97,-'Tax Tables'!AQ$176),-'Tax Tables'!AQ$176)*IF(AQ$7-$F7&lt;=Total_Years-1,1,0)</f>
        <v>0</v>
      </c>
      <c r="AR187" s="1124">
        <f>IF(Filing_Status="m",IF(OR(AR$7&lt;Single_Rate_Start,Single_Rate_Start=""),-'Tax Tables'!AR$97,-'Tax Tables'!AR$176),-'Tax Tables'!AR$176)*IF(AR$7-$F7&lt;=Total_Years-1,1,0)</f>
        <v>0</v>
      </c>
      <c r="AS187" s="1124">
        <f>IF(Filing_Status="m",IF(OR(AS$7&lt;Single_Rate_Start,Single_Rate_Start=""),-'Tax Tables'!AS$97,-'Tax Tables'!AS$176),-'Tax Tables'!AS$176)*IF(AS$7-$F7&lt;=Total_Years-1,1,0)</f>
        <v>0</v>
      </c>
      <c r="AT187" s="3"/>
      <c r="AU187" s="29">
        <f>+Details!E187</f>
        <v>0</v>
      </c>
      <c r="AV187" s="81">
        <f>+E187-AU187</f>
        <v>0</v>
      </c>
      <c r="AW187" s="102"/>
      <c r="AY187" s="31">
        <f>+Details!F187-Base!F187</f>
        <v>0</v>
      </c>
      <c r="AZ187" s="1124">
        <f>+Details!G187-Base!G187</f>
        <v>0</v>
      </c>
      <c r="BA187" s="1124">
        <f>+Details!H187-Base!H187</f>
        <v>0</v>
      </c>
      <c r="BB187" s="1124">
        <f>+Details!I187-Base!I187</f>
        <v>0</v>
      </c>
      <c r="BC187" s="1124">
        <f>+Details!J187-Base!J187</f>
        <v>0</v>
      </c>
      <c r="BD187" s="1124">
        <f>+Details!K187-Base!K187</f>
        <v>0</v>
      </c>
      <c r="BE187" s="1124">
        <f>+Details!L187-Base!L187</f>
        <v>0</v>
      </c>
      <c r="BF187" s="1124">
        <f>+Details!M187-Base!M187</f>
        <v>0</v>
      </c>
      <c r="BG187" s="1124">
        <f>+Details!N187-Base!N187</f>
        <v>0</v>
      </c>
      <c r="BH187" s="1124">
        <f>+Details!O187-Base!O187</f>
        <v>0</v>
      </c>
      <c r="BI187" s="1124">
        <f>+Details!P187-Base!P187</f>
        <v>0</v>
      </c>
      <c r="BJ187" s="1124">
        <f>+Details!Q187-Base!Q187</f>
        <v>0</v>
      </c>
      <c r="BK187" s="1124">
        <f>+Details!R187-Base!R187</f>
        <v>0</v>
      </c>
      <c r="BL187" s="1124">
        <f>+Details!S187-Base!S187</f>
        <v>0</v>
      </c>
      <c r="BM187" s="1124">
        <f>+Details!T187-Base!T187</f>
        <v>0</v>
      </c>
      <c r="BN187" s="1124">
        <f>+Details!U187-Base!U187</f>
        <v>0</v>
      </c>
      <c r="BO187" s="1124">
        <f>+Details!V187-Base!V187</f>
        <v>0</v>
      </c>
      <c r="BP187" s="1124">
        <f>+Details!W187-Base!W187</f>
        <v>0</v>
      </c>
      <c r="BQ187" s="1124">
        <f>+Details!X187-Base!X187</f>
        <v>0</v>
      </c>
      <c r="BR187" s="1124">
        <f>+Details!Y187-Base!Y187</f>
        <v>0</v>
      </c>
      <c r="BS187" s="1124">
        <f>+Details!Z187-Base!Z187</f>
        <v>0</v>
      </c>
      <c r="BT187" s="1124">
        <f>+Details!AA187-Base!AA187</f>
        <v>0</v>
      </c>
      <c r="BU187" s="1124">
        <f>+Details!AB187-Base!AB187</f>
        <v>0</v>
      </c>
      <c r="BV187" s="1124">
        <f>+Details!AC187-Base!AC187</f>
        <v>0</v>
      </c>
      <c r="BW187" s="1124">
        <f>+Details!AD187-Base!AD187</f>
        <v>0</v>
      </c>
      <c r="BX187" s="1124">
        <f>+Details!AE187-Base!AE187</f>
        <v>0</v>
      </c>
      <c r="BY187" s="1124">
        <f>+Details!AF187-Base!AF187</f>
        <v>0</v>
      </c>
      <c r="BZ187" s="1124">
        <f>+Details!AG187-Base!AG187</f>
        <v>0</v>
      </c>
      <c r="CA187" s="1124">
        <f>+Details!AH187-Base!AH187</f>
        <v>0</v>
      </c>
      <c r="CB187" s="1124">
        <f>+Details!AI187-Base!AI187</f>
        <v>0</v>
      </c>
      <c r="CC187" s="1124">
        <f>+Details!AJ187-Base!AJ187</f>
        <v>0</v>
      </c>
      <c r="CD187" s="1124">
        <f>+Details!AK187-Base!AK187</f>
        <v>0</v>
      </c>
      <c r="CE187" s="1124">
        <f>+Details!AL187-Base!AL187</f>
        <v>0</v>
      </c>
      <c r="CF187" s="1124">
        <f>+Details!AM187-Base!AM187</f>
        <v>0</v>
      </c>
      <c r="CG187" s="1124">
        <f>+Details!AN187-Base!AN187</f>
        <v>0</v>
      </c>
      <c r="CH187" s="1124">
        <f>+Details!AO187-Base!AO187</f>
        <v>0</v>
      </c>
      <c r="CI187" s="1124">
        <f>+Details!AP187-Base!AP187</f>
        <v>0</v>
      </c>
      <c r="CJ187" s="1124">
        <f>+Details!AQ187-Base!AQ187</f>
        <v>0</v>
      </c>
      <c r="CK187" s="1124">
        <f>+Details!AR187-Base!AR187</f>
        <v>0</v>
      </c>
      <c r="CL187" s="1124">
        <f>+Details!AS187-Base!AS187</f>
        <v>0</v>
      </c>
      <c r="CM187" s="81"/>
    </row>
    <row r="188" spans="1:134">
      <c r="B188" s="235" t="str">
        <f>"Deductions: " &amp; IF(Itemized&gt;0,"Itemized from Your Age "&amp;Your_Age&amp;"-"&amp;End_Itemized&amp;IF(End_Itemized&lt;Your_Age_End," then Standard","Standard"),"Standard")</f>
        <v>Deductions: Itemized from Your Age 62-68 then Standard</v>
      </c>
      <c r="C188" s="235"/>
      <c r="D188" s="199"/>
      <c r="E188" s="34">
        <f>SUM(F188:AS188)</f>
        <v>-990800</v>
      </c>
      <c r="F188" s="1291">
        <f>IF(Filing_Status="m",IF(OR(F$7&lt;Single_Rate_Start,Single_Rate_Start=""),-'Tax Tables'!F$103,-'Tax Tables'!F$181),-'Tax Tables'!F$181)</f>
        <v>-25000</v>
      </c>
      <c r="G188" s="1125">
        <f>IF(Filing_Status="m",IF(OR(G$7&lt;Single_Rate_Start,Single_Rate_Start=""),-'Tax Tables'!G$103,-'Tax Tables'!G$181),-'Tax Tables'!G$181)*IF(G$7-$F7&lt;=Total_Years-1,1,0)</f>
        <v>-26250</v>
      </c>
      <c r="H188" s="1125">
        <f>IF(Filing_Status="m",IF(OR(H$7&lt;Single_Rate_Start,Single_Rate_Start=""),-'Tax Tables'!H$103,-'Tax Tables'!H$181),-'Tax Tables'!H$181)*IF(H$7-$F7&lt;=Total_Years-1,1,0)</f>
        <v>-27550</v>
      </c>
      <c r="I188" s="1125">
        <f>IF(Filing_Status="m",IF(OR(I$7&lt;Single_Rate_Start,Single_Rate_Start=""),-'Tax Tables'!I$103,-'Tax Tables'!I$181),-'Tax Tables'!I$181)*IF(I$7-$F7&lt;=Total_Years-1,1,0)</f>
        <v>-28950</v>
      </c>
      <c r="J188" s="1125">
        <f>IF(Filing_Status="m",IF(OR(J$7&lt;Single_Rate_Start,Single_Rate_Start=""),-'Tax Tables'!J$103,-'Tax Tables'!J$181),-'Tax Tables'!J$181)*IF(J$7-$F7&lt;=Total_Years-1,1,0)</f>
        <v>-30400</v>
      </c>
      <c r="K188" s="1125">
        <f>IF(Filing_Status="m",IF(OR(K$7&lt;Single_Rate_Start,Single_Rate_Start=""),-'Tax Tables'!K$103,-'Tax Tables'!K$181),-'Tax Tables'!K$181)*IF(K$7-$F7&lt;=Total_Years-1,1,0)</f>
        <v>-31900</v>
      </c>
      <c r="L188" s="1125">
        <f>IF(Filing_Status="m",IF(OR(L$7&lt;Single_Rate_Start,Single_Rate_Start=""),-'Tax Tables'!L$103,-'Tax Tables'!L$181),-'Tax Tables'!L$181)*IF(L$7-$F7&lt;=Total_Years-1,1,0)</f>
        <v>-33500</v>
      </c>
      <c r="M188" s="1125">
        <f>IF(Filing_Status="m",IF(OR(M$7&lt;Single_Rate_Start,Single_Rate_Start=""),-'Tax Tables'!M$103,-'Tax Tables'!M$181),-'Tax Tables'!M$181)*IF(M$7-$F7&lt;=Total_Years-1,1,0)</f>
        <v>-31400</v>
      </c>
      <c r="N188" s="1125">
        <f>IF(Filing_Status="m",IF(OR(N$7&lt;Single_Rate_Start,Single_Rate_Start=""),-'Tax Tables'!N$103,-'Tax Tables'!N$181),-'Tax Tables'!N$181)*IF(N$7-$F7&lt;=Total_Years-1,1,0)</f>
        <v>-32100</v>
      </c>
      <c r="O188" s="1125">
        <f>IF(Filing_Status="m",IF(OR(O$7&lt;Single_Rate_Start,Single_Rate_Start=""),-'Tax Tables'!O$103,-'Tax Tables'!O$181),-'Tax Tables'!O$181)*IF(O$7-$F7&lt;=Total_Years-1,1,0)</f>
        <v>-32800</v>
      </c>
      <c r="P188" s="1125">
        <f>IF(Filing_Status="m",IF(OR(P$7&lt;Single_Rate_Start,Single_Rate_Start=""),-'Tax Tables'!P$103,-'Tax Tables'!P$181),-'Tax Tables'!P$181)*IF(P$7-$F7&lt;=Total_Years-1,1,0)</f>
        <v>-33500</v>
      </c>
      <c r="Q188" s="1125">
        <f>IF(Filing_Status="m",IF(OR(Q$7&lt;Single_Rate_Start,Single_Rate_Start=""),-'Tax Tables'!Q$103,-'Tax Tables'!Q$181),-'Tax Tables'!Q$181)*IF(Q$7-$F7&lt;=Total_Years-1,1,0)</f>
        <v>-34300</v>
      </c>
      <c r="R188" s="1125">
        <f>IF(Filing_Status="m",IF(OR(R$7&lt;Single_Rate_Start,Single_Rate_Start=""),-'Tax Tables'!R$103,-'Tax Tables'!R$181),-'Tax Tables'!R$181)*IF(R$7-$F7&lt;=Total_Years-1,1,0)</f>
        <v>-35100</v>
      </c>
      <c r="S188" s="1125">
        <f>IF(Filing_Status="m",IF(OR(S$7&lt;Single_Rate_Start,Single_Rate_Start=""),-'Tax Tables'!S$103,-'Tax Tables'!S$181),-'Tax Tables'!S$181)*IF(S$7-$F7&lt;=Total_Years-1,1,0)</f>
        <v>-35900</v>
      </c>
      <c r="T188" s="1125">
        <f>IF(Filing_Status="m",IF(OR(T$7&lt;Single_Rate_Start,Single_Rate_Start=""),-'Tax Tables'!T$103,-'Tax Tables'!T$181),-'Tax Tables'!T$181)*IF(T$7-$F7&lt;=Total_Years-1,1,0)</f>
        <v>-36600</v>
      </c>
      <c r="U188" s="1125">
        <f>IF(Filing_Status="m",IF(OR(U$7&lt;Single_Rate_Start,Single_Rate_Start=""),-'Tax Tables'!U$103,-'Tax Tables'!U$181),-'Tax Tables'!U$181)*IF(U$7-$F7&lt;=Total_Years-1,1,0)</f>
        <v>-37400</v>
      </c>
      <c r="V188" s="1125">
        <f>IF(Filing_Status="m",IF(OR(V$7&lt;Single_Rate_Start,Single_Rate_Start=""),-'Tax Tables'!V$103,-'Tax Tables'!V$181),-'Tax Tables'!V$181)*IF(V$7-$F7&lt;=Total_Years-1,1,0)</f>
        <v>-38200</v>
      </c>
      <c r="W188" s="1125">
        <f>IF(Filing_Status="m",IF(OR(W$7&lt;Single_Rate_Start,Single_Rate_Start=""),-'Tax Tables'!W$103,-'Tax Tables'!W$181),-'Tax Tables'!W$181)*IF(W$7-$F7&lt;=Total_Years-1,1,0)</f>
        <v>-39100</v>
      </c>
      <c r="X188" s="1125">
        <f>IF(Filing_Status="m",IF(OR(X$7&lt;Single_Rate_Start,Single_Rate_Start=""),-'Tax Tables'!X$103,-'Tax Tables'!X$181),-'Tax Tables'!X$181)*IF(X$7-$F7&lt;=Total_Years-1,1,0)</f>
        <v>-39900</v>
      </c>
      <c r="Y188" s="1125">
        <f>IF(Filing_Status="m",IF(OR(Y$7&lt;Single_Rate_Start,Single_Rate_Start=""),-'Tax Tables'!Y$103,-'Tax Tables'!Y$181),-'Tax Tables'!Y$181)*IF(Y$7-$F7&lt;=Total_Years-1,1,0)</f>
        <v>-40800</v>
      </c>
      <c r="Z188" s="1125">
        <f>IF(Filing_Status="m",IF(OR(Z$7&lt;Single_Rate_Start,Single_Rate_Start=""),-'Tax Tables'!Z$103,-'Tax Tables'!Z$181),-'Tax Tables'!Z$181)*IF(Z$7-$F7&lt;=Total_Years-1,1,0)</f>
        <v>-41700</v>
      </c>
      <c r="AA188" s="1125">
        <f>IF(Filing_Status="m",IF(OR(AA$7&lt;Single_Rate_Start,Single_Rate_Start=""),-'Tax Tables'!AA$103,-'Tax Tables'!AA$181),-'Tax Tables'!AA$181)*IF(AA$7-$F7&lt;=Total_Years-1,1,0)</f>
        <v>-42600</v>
      </c>
      <c r="AB188" s="1125">
        <f>IF(Filing_Status="m",IF(OR(AB$7&lt;Single_Rate_Start,Single_Rate_Start=""),-'Tax Tables'!AB$103,-'Tax Tables'!AB$181),-'Tax Tables'!AB$181)*IF(AB$7-$F7&lt;=Total_Years-1,1,0)</f>
        <v>-43500</v>
      </c>
      <c r="AC188" s="1125">
        <f>IF(Filing_Status="m",IF(OR(AC$7&lt;Single_Rate_Start,Single_Rate_Start=""),-'Tax Tables'!AC$103,-'Tax Tables'!AC$181),-'Tax Tables'!AC$181)*IF(AC$7-$F7&lt;=Total_Years-1,1,0)</f>
        <v>-44500</v>
      </c>
      <c r="AD188" s="1125">
        <f>IF(Filing_Status="m",IF(OR(AD$7&lt;Single_Rate_Start,Single_Rate_Start=""),-'Tax Tables'!AD$103,-'Tax Tables'!AD$181),-'Tax Tables'!AD$181)*IF(AD$7-$F7&lt;=Total_Years-1,1,0)</f>
        <v>-23350</v>
      </c>
      <c r="AE188" s="1125">
        <f>IF(Filing_Status="m",IF(OR(AE$7&lt;Single_Rate_Start,Single_Rate_Start=""),-'Tax Tables'!AE$103,-'Tax Tables'!AE$181),-'Tax Tables'!AE$181)*IF(AE$7-$F7&lt;=Total_Years-1,1,0)</f>
        <v>-23850</v>
      </c>
      <c r="AF188" s="1125">
        <f>IF(Filing_Status="m",IF(OR(AF$7&lt;Single_Rate_Start,Single_Rate_Start=""),-'Tax Tables'!AF$103,-'Tax Tables'!AF$181),-'Tax Tables'!AF$181)*IF(AF$7-$F7&lt;=Total_Years-1,1,0)</f>
        <v>-24350</v>
      </c>
      <c r="AG188" s="1125">
        <f>IF(Filing_Status="m",IF(OR(AG$7&lt;Single_Rate_Start,Single_Rate_Start=""),-'Tax Tables'!AG$103,-'Tax Tables'!AG$181),-'Tax Tables'!AG$181)*IF(AG$7-$F7&lt;=Total_Years-1,1,0)</f>
        <v>-24850</v>
      </c>
      <c r="AH188" s="1125">
        <f>IF(Filing_Status="m",IF(OR(AH$7&lt;Single_Rate_Start,Single_Rate_Start=""),-'Tax Tables'!AH$103,-'Tax Tables'!AH$181),-'Tax Tables'!AH$181)*IF(AH$7-$F7&lt;=Total_Years-1,1,0)</f>
        <v>-25450</v>
      </c>
      <c r="AI188" s="1125">
        <f>IF(Filing_Status="m",IF(OR(AI$7&lt;Single_Rate_Start,Single_Rate_Start=""),-'Tax Tables'!AI$103,-'Tax Tables'!AI$181),-'Tax Tables'!AI$181)*IF(AI$7-$F7&lt;=Total_Years-1,1,0)</f>
        <v>-26000</v>
      </c>
      <c r="AJ188" s="1125">
        <f>IF(Filing_Status="m",IF(OR(AJ$7&lt;Single_Rate_Start,Single_Rate_Start=""),-'Tax Tables'!AJ$103,-'Tax Tables'!AJ$181),-'Tax Tables'!AJ$181)*IF(AJ$7-$F7&lt;=Total_Years-1,1,0)</f>
        <v>0</v>
      </c>
      <c r="AK188" s="1125">
        <f>IF(Filing_Status="m",IF(OR(AK$7&lt;Single_Rate_Start,Single_Rate_Start=""),-'Tax Tables'!AK$103,-'Tax Tables'!AK$181),-'Tax Tables'!AK$181)*IF(AK$7-$F7&lt;=Total_Years-1,1,0)</f>
        <v>0</v>
      </c>
      <c r="AL188" s="1125">
        <f>IF(Filing_Status="m",IF(OR(AL$7&lt;Single_Rate_Start,Single_Rate_Start=""),-'Tax Tables'!AL$103,-'Tax Tables'!AL$181),-'Tax Tables'!AL$181)*IF(AL$7-$F7&lt;=Total_Years-1,1,0)</f>
        <v>0</v>
      </c>
      <c r="AM188" s="1125">
        <f>IF(Filing_Status="m",IF(OR(AM$7&lt;Single_Rate_Start,Single_Rate_Start=""),-'Tax Tables'!AM$103,-'Tax Tables'!AM$181),-'Tax Tables'!AM$181)*IF(AM$7-$F7&lt;=Total_Years-1,1,0)</f>
        <v>0</v>
      </c>
      <c r="AN188" s="1125">
        <f>IF(Filing_Status="m",IF(OR(AN$7&lt;Single_Rate_Start,Single_Rate_Start=""),-'Tax Tables'!AN$103,-'Tax Tables'!AN$181),-'Tax Tables'!AN$181)*IF(AN$7-$F7&lt;=Total_Years-1,1,0)</f>
        <v>0</v>
      </c>
      <c r="AO188" s="1125">
        <f>IF(Filing_Status="m",IF(OR(AO$7&lt;Single_Rate_Start,Single_Rate_Start=""),-'Tax Tables'!AO$103,-'Tax Tables'!AO$181),-'Tax Tables'!AO$181)*IF(AO$7-$F7&lt;=Total_Years-1,1,0)</f>
        <v>0</v>
      </c>
      <c r="AP188" s="1125">
        <f>IF(Filing_Status="m",IF(OR(AP$7&lt;Single_Rate_Start,Single_Rate_Start=""),-'Tax Tables'!AP$103,-'Tax Tables'!AP$181),-'Tax Tables'!AP$181)*IF(AP$7-$F7&lt;=Total_Years-1,1,0)</f>
        <v>0</v>
      </c>
      <c r="AQ188" s="1125">
        <f>IF(Filing_Status="m",IF(OR(AQ$7&lt;Single_Rate_Start,Single_Rate_Start=""),-'Tax Tables'!AQ$103,-'Tax Tables'!AQ$181),-'Tax Tables'!AQ$181)*IF(AQ$7-$F7&lt;=Total_Years-1,1,0)</f>
        <v>0</v>
      </c>
      <c r="AR188" s="1125">
        <f>IF(Filing_Status="m",IF(OR(AR$7&lt;Single_Rate_Start,Single_Rate_Start=""),-'Tax Tables'!AR$103,-'Tax Tables'!AR$181),-'Tax Tables'!AR$181)*IF(AR$7-$F7&lt;=Total_Years-1,1,0)</f>
        <v>0</v>
      </c>
      <c r="AS188" s="1125">
        <f>IF(Filing_Status="m",IF(OR(AS$7&lt;Single_Rate_Start,Single_Rate_Start=""),-'Tax Tables'!AS$103,-'Tax Tables'!AS$181),-'Tax Tables'!AS$181)*IF(AS$7-$F7&lt;=Total_Years-1,1,0)</f>
        <v>0</v>
      </c>
      <c r="AT188" s="3"/>
      <c r="AU188" s="34">
        <f>+Details!E188</f>
        <v>-990800</v>
      </c>
      <c r="AV188" s="83">
        <f>+E188-AU188</f>
        <v>0</v>
      </c>
      <c r="AW188" s="102"/>
      <c r="AY188" s="38">
        <f>+Details!F188-Base!F188</f>
        <v>0</v>
      </c>
      <c r="AZ188" s="1125">
        <f>+Details!G188-Base!G188</f>
        <v>0</v>
      </c>
      <c r="BA188" s="1125">
        <f>+Details!H188-Base!H188</f>
        <v>0</v>
      </c>
      <c r="BB188" s="1125">
        <f>+Details!I188-Base!I188</f>
        <v>0</v>
      </c>
      <c r="BC188" s="1125">
        <f>+Details!J188-Base!J188</f>
        <v>0</v>
      </c>
      <c r="BD188" s="1125">
        <f>+Details!K188-Base!K188</f>
        <v>0</v>
      </c>
      <c r="BE188" s="1125">
        <f>+Details!L188-Base!L188</f>
        <v>0</v>
      </c>
      <c r="BF188" s="1125">
        <f>+Details!M188-Base!M188</f>
        <v>0</v>
      </c>
      <c r="BG188" s="1125">
        <f>+Details!N188-Base!N188</f>
        <v>0</v>
      </c>
      <c r="BH188" s="1125">
        <f>+Details!O188-Base!O188</f>
        <v>0</v>
      </c>
      <c r="BI188" s="1125">
        <f>+Details!P188-Base!P188</f>
        <v>0</v>
      </c>
      <c r="BJ188" s="1125">
        <f>+Details!Q188-Base!Q188</f>
        <v>0</v>
      </c>
      <c r="BK188" s="1125">
        <f>+Details!R188-Base!R188</f>
        <v>0</v>
      </c>
      <c r="BL188" s="1125">
        <f>+Details!S188-Base!S188</f>
        <v>0</v>
      </c>
      <c r="BM188" s="1125">
        <f>+Details!T188-Base!T188</f>
        <v>0</v>
      </c>
      <c r="BN188" s="1125">
        <f>+Details!U188-Base!U188</f>
        <v>0</v>
      </c>
      <c r="BO188" s="1125">
        <f>+Details!V188-Base!V188</f>
        <v>0</v>
      </c>
      <c r="BP188" s="1125">
        <f>+Details!W188-Base!W188</f>
        <v>0</v>
      </c>
      <c r="BQ188" s="1125">
        <f>+Details!X188-Base!X188</f>
        <v>0</v>
      </c>
      <c r="BR188" s="1125">
        <f>+Details!Y188-Base!Y188</f>
        <v>0</v>
      </c>
      <c r="BS188" s="1125">
        <f>+Details!Z188-Base!Z188</f>
        <v>0</v>
      </c>
      <c r="BT188" s="1125">
        <f>+Details!AA188-Base!AA188</f>
        <v>0</v>
      </c>
      <c r="BU188" s="1125">
        <f>+Details!AB188-Base!AB188</f>
        <v>0</v>
      </c>
      <c r="BV188" s="1125">
        <f>+Details!AC188-Base!AC188</f>
        <v>0</v>
      </c>
      <c r="BW188" s="1125">
        <f>+Details!AD188-Base!AD188</f>
        <v>0</v>
      </c>
      <c r="BX188" s="1125">
        <f>+Details!AE188-Base!AE188</f>
        <v>0</v>
      </c>
      <c r="BY188" s="1125">
        <f>+Details!AF188-Base!AF188</f>
        <v>0</v>
      </c>
      <c r="BZ188" s="1125">
        <f>+Details!AG188-Base!AG188</f>
        <v>0</v>
      </c>
      <c r="CA188" s="1125">
        <f>+Details!AH188-Base!AH188</f>
        <v>0</v>
      </c>
      <c r="CB188" s="1125">
        <f>+Details!AI188-Base!AI188</f>
        <v>0</v>
      </c>
      <c r="CC188" s="1125">
        <f>+Details!AJ188-Base!AJ188</f>
        <v>0</v>
      </c>
      <c r="CD188" s="1125">
        <f>+Details!AK188-Base!AK188</f>
        <v>0</v>
      </c>
      <c r="CE188" s="1125">
        <f>+Details!AL188-Base!AL188</f>
        <v>0</v>
      </c>
      <c r="CF188" s="1125">
        <f>+Details!AM188-Base!AM188</f>
        <v>0</v>
      </c>
      <c r="CG188" s="1125">
        <f>+Details!AN188-Base!AN188</f>
        <v>0</v>
      </c>
      <c r="CH188" s="1125">
        <f>+Details!AO188-Base!AO188</f>
        <v>0</v>
      </c>
      <c r="CI188" s="1125">
        <f>+Details!AP188-Base!AP188</f>
        <v>0</v>
      </c>
      <c r="CJ188" s="1125">
        <f>+Details!AQ188-Base!AQ188</f>
        <v>0</v>
      </c>
      <c r="CK188" s="1125">
        <f>+Details!AR188-Base!AR188</f>
        <v>0</v>
      </c>
      <c r="CL188" s="1125">
        <f>+Details!AS188-Base!AS188</f>
        <v>0</v>
      </c>
      <c r="CM188" s="103"/>
    </row>
    <row r="189" spans="1:134" ht="15.6">
      <c r="B189" s="240" t="s">
        <v>1360</v>
      </c>
      <c r="C189" s="235"/>
      <c r="D189" s="32"/>
      <c r="E189" s="102">
        <f>SUM(F189:AS189)</f>
        <v>-991200</v>
      </c>
      <c r="F189" s="88">
        <f t="shared" ref="F189:AS189" si="158">ROUND((+F187+F188)/Round_To,0)*Round_To</f>
        <v>-25000</v>
      </c>
      <c r="G189" s="1124">
        <f t="shared" si="158"/>
        <v>-26300</v>
      </c>
      <c r="H189" s="1124">
        <f t="shared" si="158"/>
        <v>-27600</v>
      </c>
      <c r="I189" s="1124">
        <f t="shared" si="158"/>
        <v>-29000</v>
      </c>
      <c r="J189" s="1124">
        <f t="shared" si="158"/>
        <v>-30400</v>
      </c>
      <c r="K189" s="1124">
        <f t="shared" si="158"/>
        <v>-31900</v>
      </c>
      <c r="L189" s="1124">
        <f t="shared" si="158"/>
        <v>-33500</v>
      </c>
      <c r="M189" s="1124">
        <f t="shared" si="158"/>
        <v>-31400</v>
      </c>
      <c r="N189" s="1124">
        <f t="shared" si="158"/>
        <v>-32100</v>
      </c>
      <c r="O189" s="1124">
        <f t="shared" si="158"/>
        <v>-32800</v>
      </c>
      <c r="P189" s="1124">
        <f t="shared" si="158"/>
        <v>-33500</v>
      </c>
      <c r="Q189" s="1124">
        <f t="shared" si="158"/>
        <v>-34300</v>
      </c>
      <c r="R189" s="1124">
        <f t="shared" si="158"/>
        <v>-35100</v>
      </c>
      <c r="S189" s="1124">
        <f t="shared" si="158"/>
        <v>-35900</v>
      </c>
      <c r="T189" s="1124">
        <f t="shared" si="158"/>
        <v>-36600</v>
      </c>
      <c r="U189" s="1124">
        <f t="shared" si="158"/>
        <v>-37400</v>
      </c>
      <c r="V189" s="1124">
        <f t="shared" si="158"/>
        <v>-38200</v>
      </c>
      <c r="W189" s="1124">
        <f t="shared" si="158"/>
        <v>-39100</v>
      </c>
      <c r="X189" s="1124">
        <f t="shared" si="158"/>
        <v>-39900</v>
      </c>
      <c r="Y189" s="1124">
        <f t="shared" si="158"/>
        <v>-40800</v>
      </c>
      <c r="Z189" s="1124">
        <f t="shared" si="158"/>
        <v>-41700</v>
      </c>
      <c r="AA189" s="1124">
        <f t="shared" si="158"/>
        <v>-42600</v>
      </c>
      <c r="AB189" s="1124">
        <f t="shared" si="158"/>
        <v>-43500</v>
      </c>
      <c r="AC189" s="1124">
        <f t="shared" si="158"/>
        <v>-44500</v>
      </c>
      <c r="AD189" s="1124">
        <f t="shared" si="158"/>
        <v>-23400</v>
      </c>
      <c r="AE189" s="1124">
        <f t="shared" si="158"/>
        <v>-23900</v>
      </c>
      <c r="AF189" s="1124">
        <f t="shared" si="158"/>
        <v>-24400</v>
      </c>
      <c r="AG189" s="1124">
        <f t="shared" si="158"/>
        <v>-24900</v>
      </c>
      <c r="AH189" s="1124">
        <f t="shared" si="158"/>
        <v>-25500</v>
      </c>
      <c r="AI189" s="1124">
        <f t="shared" si="158"/>
        <v>-26000</v>
      </c>
      <c r="AJ189" s="1124">
        <f t="shared" si="158"/>
        <v>0</v>
      </c>
      <c r="AK189" s="1124">
        <f t="shared" si="158"/>
        <v>0</v>
      </c>
      <c r="AL189" s="1124">
        <f t="shared" si="158"/>
        <v>0</v>
      </c>
      <c r="AM189" s="1124">
        <f t="shared" si="158"/>
        <v>0</v>
      </c>
      <c r="AN189" s="1124">
        <f t="shared" si="158"/>
        <v>0</v>
      </c>
      <c r="AO189" s="1124">
        <f t="shared" si="158"/>
        <v>0</v>
      </c>
      <c r="AP189" s="1124">
        <f t="shared" si="158"/>
        <v>0</v>
      </c>
      <c r="AQ189" s="1124">
        <f t="shared" si="158"/>
        <v>0</v>
      </c>
      <c r="AR189" s="1124">
        <f t="shared" si="158"/>
        <v>0</v>
      </c>
      <c r="AS189" s="1124">
        <f t="shared" si="158"/>
        <v>0</v>
      </c>
      <c r="AT189" s="3"/>
      <c r="AU189" s="29">
        <f>+Details!E189</f>
        <v>-991200</v>
      </c>
      <c r="AV189" s="81">
        <f>+E189-AU189</f>
        <v>0</v>
      </c>
      <c r="AW189" s="102"/>
      <c r="AY189" s="31">
        <f>+Details!F189-Base!F189</f>
        <v>0</v>
      </c>
      <c r="AZ189" s="1124">
        <f>+Details!G189-Base!G189</f>
        <v>0</v>
      </c>
      <c r="BA189" s="1124">
        <f>+Details!H189-Base!H189</f>
        <v>0</v>
      </c>
      <c r="BB189" s="1124">
        <f>+Details!I189-Base!I189</f>
        <v>0</v>
      </c>
      <c r="BC189" s="1124">
        <f>+Details!J189-Base!J189</f>
        <v>0</v>
      </c>
      <c r="BD189" s="1124">
        <f>+Details!K189-Base!K189</f>
        <v>0</v>
      </c>
      <c r="BE189" s="1124">
        <f>+Details!L189-Base!L189</f>
        <v>0</v>
      </c>
      <c r="BF189" s="1124">
        <f>+Details!M189-Base!M189</f>
        <v>0</v>
      </c>
      <c r="BG189" s="1124">
        <f>+Details!N189-Base!N189</f>
        <v>0</v>
      </c>
      <c r="BH189" s="1124">
        <f>+Details!O189-Base!O189</f>
        <v>0</v>
      </c>
      <c r="BI189" s="1124">
        <f>+Details!P189-Base!P189</f>
        <v>0</v>
      </c>
      <c r="BJ189" s="1124">
        <f>+Details!Q189-Base!Q189</f>
        <v>0</v>
      </c>
      <c r="BK189" s="1124">
        <f>+Details!R189-Base!R189</f>
        <v>0</v>
      </c>
      <c r="BL189" s="1124">
        <f>+Details!S189-Base!S189</f>
        <v>0</v>
      </c>
      <c r="BM189" s="1124">
        <f>+Details!T189-Base!T189</f>
        <v>0</v>
      </c>
      <c r="BN189" s="1124">
        <f>+Details!U189-Base!U189</f>
        <v>0</v>
      </c>
      <c r="BO189" s="1124">
        <f>+Details!V189-Base!V189</f>
        <v>0</v>
      </c>
      <c r="BP189" s="1124">
        <f>+Details!W189-Base!W189</f>
        <v>0</v>
      </c>
      <c r="BQ189" s="1124">
        <f>+Details!X189-Base!X189</f>
        <v>0</v>
      </c>
      <c r="BR189" s="1124">
        <f>+Details!Y189-Base!Y189</f>
        <v>0</v>
      </c>
      <c r="BS189" s="1124">
        <f>+Details!Z189-Base!Z189</f>
        <v>0</v>
      </c>
      <c r="BT189" s="1124">
        <f>+Details!AA189-Base!AA189</f>
        <v>0</v>
      </c>
      <c r="BU189" s="1124">
        <f>+Details!AB189-Base!AB189</f>
        <v>0</v>
      </c>
      <c r="BV189" s="1124">
        <f>+Details!AC189-Base!AC189</f>
        <v>0</v>
      </c>
      <c r="BW189" s="1124">
        <f>+Details!AD189-Base!AD189</f>
        <v>0</v>
      </c>
      <c r="BX189" s="1124">
        <f>+Details!AE189-Base!AE189</f>
        <v>0</v>
      </c>
      <c r="BY189" s="1124">
        <f>+Details!AF189-Base!AF189</f>
        <v>0</v>
      </c>
      <c r="BZ189" s="1124">
        <f>+Details!AG189-Base!AG189</f>
        <v>0</v>
      </c>
      <c r="CA189" s="1124">
        <f>+Details!AH189-Base!AH189</f>
        <v>0</v>
      </c>
      <c r="CB189" s="1124">
        <f>+Details!AI189-Base!AI189</f>
        <v>0</v>
      </c>
      <c r="CC189" s="1124">
        <f>+Details!AJ189-Base!AJ189</f>
        <v>0</v>
      </c>
      <c r="CD189" s="1124">
        <f>+Details!AK189-Base!AK189</f>
        <v>0</v>
      </c>
      <c r="CE189" s="1124">
        <f>+Details!AL189-Base!AL189</f>
        <v>0</v>
      </c>
      <c r="CF189" s="1124">
        <f>+Details!AM189-Base!AM189</f>
        <v>0</v>
      </c>
      <c r="CG189" s="1124">
        <f>+Details!AN189-Base!AN189</f>
        <v>0</v>
      </c>
      <c r="CH189" s="1124">
        <f>+Details!AO189-Base!AO189</f>
        <v>0</v>
      </c>
      <c r="CI189" s="1124">
        <f>+Details!AP189-Base!AP189</f>
        <v>0</v>
      </c>
      <c r="CJ189" s="1124">
        <f>+Details!AQ189-Base!AQ189</f>
        <v>0</v>
      </c>
      <c r="CK189" s="1124">
        <f>+Details!AR189-Base!AR189</f>
        <v>0</v>
      </c>
      <c r="CL189" s="1124">
        <f>+Details!AS189-Base!AS189</f>
        <v>0</v>
      </c>
      <c r="CM189" s="81"/>
    </row>
    <row r="190" spans="1:134" ht="15.6">
      <c r="B190" s="241"/>
      <c r="C190" s="235"/>
      <c r="D190" s="32"/>
      <c r="E190" s="102"/>
      <c r="F190" s="88"/>
      <c r="G190" s="1124"/>
      <c r="H190" s="1124"/>
      <c r="I190" s="1124"/>
      <c r="J190" s="1124"/>
      <c r="K190" s="1124"/>
      <c r="L190" s="1124"/>
      <c r="M190" s="1124"/>
      <c r="N190" s="1124"/>
      <c r="O190" s="1124"/>
      <c r="P190" s="1124"/>
      <c r="Q190" s="1124"/>
      <c r="R190" s="1124"/>
      <c r="S190" s="1124"/>
      <c r="T190" s="1124"/>
      <c r="U190" s="1124"/>
      <c r="V190" s="1124"/>
      <c r="W190" s="1124"/>
      <c r="X190" s="1124"/>
      <c r="Y190" s="1124"/>
      <c r="Z190" s="1124"/>
      <c r="AA190" s="1124"/>
      <c r="AB190" s="1124"/>
      <c r="AC190" s="1124"/>
      <c r="AD190" s="1124"/>
      <c r="AE190" s="1124"/>
      <c r="AF190" s="1124"/>
      <c r="AG190" s="1124"/>
      <c r="AH190" s="1124"/>
      <c r="AI190" s="1124"/>
      <c r="AJ190" s="1124"/>
      <c r="AK190" s="1124"/>
      <c r="AL190" s="1124"/>
      <c r="AM190" s="1124"/>
      <c r="AN190" s="1124"/>
      <c r="AO190" s="1124"/>
      <c r="AP190" s="1124"/>
      <c r="AQ190" s="1124"/>
      <c r="AR190" s="1124"/>
      <c r="AS190" s="1124"/>
      <c r="AT190" s="3"/>
      <c r="AU190" s="29"/>
      <c r="AW190" s="1733"/>
      <c r="AY190" s="31"/>
      <c r="AZ190" s="1124"/>
      <c r="BA190" s="1124"/>
      <c r="BB190" s="1124"/>
      <c r="BC190" s="1124"/>
      <c r="BD190" s="1124"/>
      <c r="BE190" s="1124"/>
      <c r="BF190" s="1124"/>
      <c r="BG190" s="1124"/>
      <c r="BH190" s="1124"/>
      <c r="BI190" s="1124"/>
      <c r="BJ190" s="1124"/>
      <c r="BK190" s="1124"/>
      <c r="BL190" s="1124"/>
      <c r="BM190" s="1124"/>
      <c r="BN190" s="1124"/>
      <c r="BO190" s="1124"/>
      <c r="BP190" s="1124"/>
      <c r="BQ190" s="1124"/>
      <c r="BR190" s="1124"/>
      <c r="BS190" s="1124"/>
      <c r="BT190" s="1124"/>
      <c r="BU190" s="1124"/>
      <c r="BV190" s="1124"/>
      <c r="BW190" s="1124"/>
      <c r="BX190" s="1124"/>
      <c r="BY190" s="1124"/>
      <c r="BZ190" s="1124"/>
      <c r="CA190" s="1124"/>
      <c r="CB190" s="1124"/>
      <c r="CC190" s="1124"/>
      <c r="CD190" s="1124"/>
      <c r="CE190" s="1124"/>
      <c r="CF190" s="1124"/>
      <c r="CG190" s="1124"/>
      <c r="CH190" s="1124"/>
      <c r="CI190" s="1124"/>
      <c r="CJ190" s="1124"/>
      <c r="CK190" s="1124"/>
      <c r="CL190" s="1124"/>
      <c r="CM190" s="81"/>
    </row>
    <row r="191" spans="1:134" ht="17.399999999999999">
      <c r="B191" s="1026" t="s">
        <v>751</v>
      </c>
      <c r="C191" s="1021" t="str">
        <f>IF(Setup!$E$192="S","Single",IF(Setup!$E$193&lt;&gt;"","Joint then Single in " &amp; Setup!$E$193,"Married Filing Jointly"))</f>
        <v>Joint then Single in 2043</v>
      </c>
      <c r="D191" s="1021"/>
      <c r="E191" s="29">
        <f>SUM(F191:AS191)</f>
        <v>2363700</v>
      </c>
      <c r="F191" s="31">
        <f>IF(+F$184+F$189&lt;0,0,+F$184+F$189)</f>
        <v>37700</v>
      </c>
      <c r="G191" s="1124">
        <f>IF(+G$184+G$189&lt;0,0,+G$184+G$189)</f>
        <v>53100</v>
      </c>
      <c r="H191" s="1124">
        <f t="shared" ref="H191:AS191" si="159">IF(+H$184+H$189&lt;0,0,+H$184+H$189)</f>
        <v>38500</v>
      </c>
      <c r="I191" s="1124">
        <f t="shared" si="159"/>
        <v>38900</v>
      </c>
      <c r="J191" s="1124">
        <f t="shared" si="159"/>
        <v>39400</v>
      </c>
      <c r="K191" s="1124">
        <f t="shared" si="159"/>
        <v>58800</v>
      </c>
      <c r="L191" s="1124">
        <f t="shared" si="159"/>
        <v>59900</v>
      </c>
      <c r="M191" s="1124">
        <f t="shared" si="159"/>
        <v>64800</v>
      </c>
      <c r="N191" s="1124">
        <f t="shared" si="159"/>
        <v>39700</v>
      </c>
      <c r="O191" s="1124">
        <f t="shared" si="159"/>
        <v>41100</v>
      </c>
      <c r="P191" s="1124">
        <f t="shared" si="159"/>
        <v>42400</v>
      </c>
      <c r="Q191" s="1124">
        <f t="shared" si="159"/>
        <v>44700</v>
      </c>
      <c r="R191" s="1124">
        <f t="shared" si="159"/>
        <v>56100</v>
      </c>
      <c r="S191" s="1124">
        <f t="shared" si="159"/>
        <v>60000</v>
      </c>
      <c r="T191" s="1124">
        <f t="shared" si="159"/>
        <v>85800</v>
      </c>
      <c r="U191" s="1124">
        <f t="shared" si="159"/>
        <v>99400</v>
      </c>
      <c r="V191" s="1124">
        <f t="shared" si="159"/>
        <v>93900</v>
      </c>
      <c r="W191" s="1124">
        <f t="shared" si="159"/>
        <v>97600</v>
      </c>
      <c r="X191" s="1124">
        <f t="shared" si="159"/>
        <v>89100</v>
      </c>
      <c r="Y191" s="1124">
        <f t="shared" si="159"/>
        <v>91000</v>
      </c>
      <c r="Z191" s="1124">
        <f t="shared" si="159"/>
        <v>94500</v>
      </c>
      <c r="AA191" s="1124">
        <f t="shared" si="159"/>
        <v>98400</v>
      </c>
      <c r="AB191" s="1124">
        <f t="shared" si="159"/>
        <v>104300</v>
      </c>
      <c r="AC191" s="1124">
        <f t="shared" si="159"/>
        <v>114200</v>
      </c>
      <c r="AD191" s="1124">
        <f t="shared" si="159"/>
        <v>117600</v>
      </c>
      <c r="AE191" s="1124">
        <f t="shared" si="159"/>
        <v>121800</v>
      </c>
      <c r="AF191" s="1124">
        <f t="shared" si="159"/>
        <v>124100</v>
      </c>
      <c r="AG191" s="1124">
        <f t="shared" si="159"/>
        <v>117600</v>
      </c>
      <c r="AH191" s="1124">
        <f t="shared" si="159"/>
        <v>118400</v>
      </c>
      <c r="AI191" s="1124">
        <f t="shared" si="159"/>
        <v>120900</v>
      </c>
      <c r="AJ191" s="1124">
        <f t="shared" si="159"/>
        <v>0</v>
      </c>
      <c r="AK191" s="1124">
        <f t="shared" si="159"/>
        <v>0</v>
      </c>
      <c r="AL191" s="1124">
        <f t="shared" si="159"/>
        <v>0</v>
      </c>
      <c r="AM191" s="1124">
        <f t="shared" si="159"/>
        <v>0</v>
      </c>
      <c r="AN191" s="1124">
        <f t="shared" si="159"/>
        <v>0</v>
      </c>
      <c r="AO191" s="1124">
        <f t="shared" si="159"/>
        <v>0</v>
      </c>
      <c r="AP191" s="1124">
        <f t="shared" si="159"/>
        <v>0</v>
      </c>
      <c r="AQ191" s="1124">
        <f t="shared" si="159"/>
        <v>0</v>
      </c>
      <c r="AR191" s="1124">
        <f t="shared" si="159"/>
        <v>0</v>
      </c>
      <c r="AS191" s="1124">
        <f t="shared" si="159"/>
        <v>0</v>
      </c>
      <c r="AT191" s="3"/>
      <c r="AU191" s="29">
        <f>+Details!E191</f>
        <v>2363700</v>
      </c>
      <c r="AV191" s="81">
        <f>+E191-AU191</f>
        <v>0</v>
      </c>
      <c r="AW191" s="102"/>
      <c r="AY191" s="31">
        <f>+Details!F191-Base!F191</f>
        <v>0</v>
      </c>
      <c r="AZ191" s="1124">
        <f>+Details!G191-Base!G191</f>
        <v>0</v>
      </c>
      <c r="BA191" s="1124">
        <f>+Details!H191-Base!H191</f>
        <v>0</v>
      </c>
      <c r="BB191" s="1124">
        <f>+Details!I191-Base!I191</f>
        <v>0</v>
      </c>
      <c r="BC191" s="1124">
        <f>+Details!J191-Base!J191</f>
        <v>0</v>
      </c>
      <c r="BD191" s="1124">
        <f>+Details!K191-Base!K191</f>
        <v>0</v>
      </c>
      <c r="BE191" s="1124">
        <f>+Details!L191-Base!L191</f>
        <v>0</v>
      </c>
      <c r="BF191" s="1124">
        <f>+Details!M191-Base!M191</f>
        <v>0</v>
      </c>
      <c r="BG191" s="1124">
        <f>+Details!N191-Base!N191</f>
        <v>0</v>
      </c>
      <c r="BH191" s="1124">
        <f>+Details!O191-Base!O191</f>
        <v>0</v>
      </c>
      <c r="BI191" s="1124">
        <f>+Details!P191-Base!P191</f>
        <v>0</v>
      </c>
      <c r="BJ191" s="1124">
        <f>+Details!Q191-Base!Q191</f>
        <v>0</v>
      </c>
      <c r="BK191" s="1124">
        <f>+Details!R191-Base!R191</f>
        <v>0</v>
      </c>
      <c r="BL191" s="1124">
        <f>+Details!S191-Base!S191</f>
        <v>0</v>
      </c>
      <c r="BM191" s="1124">
        <f>+Details!T191-Base!T191</f>
        <v>0</v>
      </c>
      <c r="BN191" s="1124">
        <f>+Details!U191-Base!U191</f>
        <v>0</v>
      </c>
      <c r="BO191" s="1124">
        <f>+Details!V191-Base!V191</f>
        <v>0</v>
      </c>
      <c r="BP191" s="1124">
        <f>+Details!W191-Base!W191</f>
        <v>0</v>
      </c>
      <c r="BQ191" s="1124">
        <f>+Details!X191-Base!X191</f>
        <v>0</v>
      </c>
      <c r="BR191" s="1124">
        <f>+Details!Y191-Base!Y191</f>
        <v>0</v>
      </c>
      <c r="BS191" s="1124">
        <f>+Details!Z191-Base!Z191</f>
        <v>0</v>
      </c>
      <c r="BT191" s="1124">
        <f>+Details!AA191-Base!AA191</f>
        <v>0</v>
      </c>
      <c r="BU191" s="1124">
        <f>+Details!AB191-Base!AB191</f>
        <v>0</v>
      </c>
      <c r="BV191" s="1124">
        <f>+Details!AC191-Base!AC191</f>
        <v>0</v>
      </c>
      <c r="BW191" s="1124">
        <f>+Details!AD191-Base!AD191</f>
        <v>0</v>
      </c>
      <c r="BX191" s="1124">
        <f>+Details!AE191-Base!AE191</f>
        <v>0</v>
      </c>
      <c r="BY191" s="1124">
        <f>+Details!AF191-Base!AF191</f>
        <v>0</v>
      </c>
      <c r="BZ191" s="1124">
        <f>+Details!AG191-Base!AG191</f>
        <v>0</v>
      </c>
      <c r="CA191" s="1124">
        <f>+Details!AH191-Base!AH191</f>
        <v>0</v>
      </c>
      <c r="CB191" s="1124">
        <f>+Details!AI191-Base!AI191</f>
        <v>0</v>
      </c>
      <c r="CC191" s="1124">
        <f>+Details!AJ191-Base!AJ191</f>
        <v>0</v>
      </c>
      <c r="CD191" s="1124">
        <f>+Details!AK191-Base!AK191</f>
        <v>0</v>
      </c>
      <c r="CE191" s="1124">
        <f>+Details!AL191-Base!AL191</f>
        <v>0</v>
      </c>
      <c r="CF191" s="1124">
        <f>+Details!AM191-Base!AM191</f>
        <v>0</v>
      </c>
      <c r="CG191" s="1124">
        <f>+Details!AN191-Base!AN191</f>
        <v>0</v>
      </c>
      <c r="CH191" s="1124">
        <f>+Details!AO191-Base!AO191</f>
        <v>0</v>
      </c>
      <c r="CI191" s="1124">
        <f>+Details!AP191-Base!AP191</f>
        <v>0</v>
      </c>
      <c r="CJ191" s="1124">
        <f>+Details!AQ191-Base!AQ191</f>
        <v>0</v>
      </c>
      <c r="CK191" s="1124">
        <f>+Details!AR191-Base!AR191</f>
        <v>0</v>
      </c>
      <c r="CL191" s="1124">
        <f>+Details!AS191-Base!AS191</f>
        <v>0</v>
      </c>
      <c r="CM191" s="81"/>
    </row>
    <row r="192" spans="1:134">
      <c r="B192" s="1610" t="s">
        <v>2032</v>
      </c>
      <c r="C192" s="241"/>
      <c r="D192" s="32"/>
      <c r="E192" s="34">
        <f>SUM(F192:AS192)</f>
        <v>-124700</v>
      </c>
      <c r="F192" s="38">
        <f t="shared" ref="F192:AS192" si="160">ROUND(-Taxable_LTCG_Adj*(F169+F170)/Round_To,0)*Round_To</f>
        <v>-2000</v>
      </c>
      <c r="G192" s="1125">
        <f t="shared" si="160"/>
        <v>-2000</v>
      </c>
      <c r="H192" s="1125">
        <f t="shared" si="160"/>
        <v>-1900</v>
      </c>
      <c r="I192" s="1125">
        <f t="shared" si="160"/>
        <v>-1700</v>
      </c>
      <c r="J192" s="1125">
        <f t="shared" si="160"/>
        <v>-1600</v>
      </c>
      <c r="K192" s="1125">
        <f t="shared" si="160"/>
        <v>-1600</v>
      </c>
      <c r="L192" s="1125">
        <f t="shared" si="160"/>
        <v>-1700</v>
      </c>
      <c r="M192" s="1125">
        <f t="shared" si="160"/>
        <v>-1800</v>
      </c>
      <c r="N192" s="1125">
        <f t="shared" si="160"/>
        <v>-2000</v>
      </c>
      <c r="O192" s="1125">
        <f t="shared" si="160"/>
        <v>-2300</v>
      </c>
      <c r="P192" s="1125">
        <f t="shared" si="160"/>
        <v>-2300</v>
      </c>
      <c r="Q192" s="1125">
        <f t="shared" si="160"/>
        <v>-2400</v>
      </c>
      <c r="R192" s="1125">
        <f t="shared" si="160"/>
        <v>-2900</v>
      </c>
      <c r="S192" s="1125">
        <f t="shared" si="160"/>
        <v>-3300</v>
      </c>
      <c r="T192" s="1125">
        <f t="shared" si="160"/>
        <v>-3400</v>
      </c>
      <c r="U192" s="1125">
        <f t="shared" si="160"/>
        <v>-3800</v>
      </c>
      <c r="V192" s="1125">
        <f t="shared" si="160"/>
        <v>-4700</v>
      </c>
      <c r="W192" s="1125">
        <f t="shared" si="160"/>
        <v>-5300</v>
      </c>
      <c r="X192" s="1125">
        <f t="shared" si="160"/>
        <v>-3400</v>
      </c>
      <c r="Y192" s="1125">
        <f t="shared" si="160"/>
        <v>-3500</v>
      </c>
      <c r="Z192" s="1125">
        <f t="shared" si="160"/>
        <v>-3800</v>
      </c>
      <c r="AA192" s="1125">
        <f t="shared" si="160"/>
        <v>-4000</v>
      </c>
      <c r="AB192" s="1125">
        <f t="shared" si="160"/>
        <v>-5800</v>
      </c>
      <c r="AC192" s="1125">
        <f t="shared" si="160"/>
        <v>-7000</v>
      </c>
      <c r="AD192" s="1125">
        <f t="shared" si="160"/>
        <v>-7700</v>
      </c>
      <c r="AE192" s="1125">
        <f t="shared" si="160"/>
        <v>-8100</v>
      </c>
      <c r="AF192" s="1125">
        <f t="shared" si="160"/>
        <v>-8300</v>
      </c>
      <c r="AG192" s="1125">
        <f t="shared" si="160"/>
        <v>-8600</v>
      </c>
      <c r="AH192" s="1125">
        <f t="shared" si="160"/>
        <v>-8800</v>
      </c>
      <c r="AI192" s="1125">
        <f t="shared" si="160"/>
        <v>-9000</v>
      </c>
      <c r="AJ192" s="1125">
        <f t="shared" si="160"/>
        <v>0</v>
      </c>
      <c r="AK192" s="1125">
        <f t="shared" si="160"/>
        <v>0</v>
      </c>
      <c r="AL192" s="1125">
        <f t="shared" si="160"/>
        <v>0</v>
      </c>
      <c r="AM192" s="1125">
        <f t="shared" si="160"/>
        <v>0</v>
      </c>
      <c r="AN192" s="1125">
        <f t="shared" si="160"/>
        <v>0</v>
      </c>
      <c r="AO192" s="1125">
        <f t="shared" si="160"/>
        <v>0</v>
      </c>
      <c r="AP192" s="1125">
        <f t="shared" si="160"/>
        <v>0</v>
      </c>
      <c r="AQ192" s="1125">
        <f t="shared" si="160"/>
        <v>0</v>
      </c>
      <c r="AR192" s="1125">
        <f t="shared" si="160"/>
        <v>0</v>
      </c>
      <c r="AS192" s="1125">
        <f t="shared" si="160"/>
        <v>0</v>
      </c>
      <c r="AT192" s="3"/>
      <c r="AU192" s="34">
        <f>+Details!E192</f>
        <v>-124700</v>
      </c>
      <c r="AV192" s="83">
        <f>+E192-AU192</f>
        <v>0</v>
      </c>
      <c r="AW192" s="102"/>
      <c r="AY192" s="38">
        <f>+Details!F192-Base!F192</f>
        <v>0</v>
      </c>
      <c r="AZ192" s="1125">
        <f>+Details!G192-Base!G192</f>
        <v>0</v>
      </c>
      <c r="BA192" s="1125">
        <f>+Details!H192-Base!H192</f>
        <v>0</v>
      </c>
      <c r="BB192" s="1125">
        <f>+Details!I192-Base!I192</f>
        <v>0</v>
      </c>
      <c r="BC192" s="1125">
        <f>+Details!J192-Base!J192</f>
        <v>0</v>
      </c>
      <c r="BD192" s="1125">
        <f>+Details!K192-Base!K192</f>
        <v>0</v>
      </c>
      <c r="BE192" s="1125">
        <f>+Details!L192-Base!L192</f>
        <v>0</v>
      </c>
      <c r="BF192" s="1125">
        <f>+Details!M192-Base!M192</f>
        <v>0</v>
      </c>
      <c r="BG192" s="1125">
        <f>+Details!N192-Base!N192</f>
        <v>0</v>
      </c>
      <c r="BH192" s="1125">
        <f>+Details!O192-Base!O192</f>
        <v>0</v>
      </c>
      <c r="BI192" s="1125">
        <f>+Details!P192-Base!P192</f>
        <v>0</v>
      </c>
      <c r="BJ192" s="1125">
        <f>+Details!Q192-Base!Q192</f>
        <v>0</v>
      </c>
      <c r="BK192" s="1125">
        <f>+Details!R192-Base!R192</f>
        <v>0</v>
      </c>
      <c r="BL192" s="1125">
        <f>+Details!S192-Base!S192</f>
        <v>0</v>
      </c>
      <c r="BM192" s="1125">
        <f>+Details!T192-Base!T192</f>
        <v>0</v>
      </c>
      <c r="BN192" s="1125">
        <f>+Details!U192-Base!U192</f>
        <v>0</v>
      </c>
      <c r="BO192" s="1125">
        <f>+Details!V192-Base!V192</f>
        <v>0</v>
      </c>
      <c r="BP192" s="1125">
        <f>+Details!W192-Base!W192</f>
        <v>0</v>
      </c>
      <c r="BQ192" s="1125">
        <f>+Details!X192-Base!X192</f>
        <v>0</v>
      </c>
      <c r="BR192" s="1125">
        <f>+Details!Y192-Base!Y192</f>
        <v>0</v>
      </c>
      <c r="BS192" s="1125">
        <f>+Details!Z192-Base!Z192</f>
        <v>0</v>
      </c>
      <c r="BT192" s="1125">
        <f>+Details!AA192-Base!AA192</f>
        <v>0</v>
      </c>
      <c r="BU192" s="1125">
        <f>+Details!AB192-Base!AB192</f>
        <v>0</v>
      </c>
      <c r="BV192" s="1125">
        <f>+Details!AC192-Base!AC192</f>
        <v>0</v>
      </c>
      <c r="BW192" s="1125">
        <f>+Details!AD192-Base!AD192</f>
        <v>0</v>
      </c>
      <c r="BX192" s="1125">
        <f>+Details!AE192-Base!AE192</f>
        <v>0</v>
      </c>
      <c r="BY192" s="1125">
        <f>+Details!AF192-Base!AF192</f>
        <v>0</v>
      </c>
      <c r="BZ192" s="1125">
        <f>+Details!AG192-Base!AG192</f>
        <v>0</v>
      </c>
      <c r="CA192" s="1125">
        <f>+Details!AH192-Base!AH192</f>
        <v>0</v>
      </c>
      <c r="CB192" s="1125">
        <f>+Details!AI192-Base!AI192</f>
        <v>0</v>
      </c>
      <c r="CC192" s="1125">
        <f>+Details!AJ192-Base!AJ192</f>
        <v>0</v>
      </c>
      <c r="CD192" s="1125">
        <f>+Details!AK192-Base!AK192</f>
        <v>0</v>
      </c>
      <c r="CE192" s="1125">
        <f>+Details!AL192-Base!AL192</f>
        <v>0</v>
      </c>
      <c r="CF192" s="1125">
        <f>+Details!AM192-Base!AM192</f>
        <v>0</v>
      </c>
      <c r="CG192" s="1125">
        <f>+Details!AN192-Base!AN192</f>
        <v>0</v>
      </c>
      <c r="CH192" s="1125">
        <f>+Details!AO192-Base!AO192</f>
        <v>0</v>
      </c>
      <c r="CI192" s="1125">
        <f>+Details!AP192-Base!AP192</f>
        <v>0</v>
      </c>
      <c r="CJ192" s="1125">
        <f>+Details!AQ192-Base!AQ192</f>
        <v>0</v>
      </c>
      <c r="CK192" s="1125">
        <f>+Details!AR192-Base!AR192</f>
        <v>0</v>
      </c>
      <c r="CL192" s="1125">
        <f>+Details!AS192-Base!AS192</f>
        <v>0</v>
      </c>
      <c r="CM192" s="81"/>
    </row>
    <row r="193" spans="1:91" ht="17.399999999999999">
      <c r="B193" s="1026" t="s">
        <v>2038</v>
      </c>
      <c r="C193" s="1021"/>
      <c r="D193" s="1021"/>
      <c r="E193" s="29">
        <f>SUM(F193:AS193)</f>
        <v>2239000</v>
      </c>
      <c r="F193" s="31">
        <f>IF(+F$191+F$192&lt;0,0,+F$191+F$192)</f>
        <v>35700</v>
      </c>
      <c r="G193" s="1124">
        <f>IF(+G$191+G$192&lt;0,0,+G$191+G$192)</f>
        <v>51100</v>
      </c>
      <c r="H193" s="1124">
        <f t="shared" ref="H193:AS193" si="161">IF(+H$191+H$192&lt;0,0,+H$191+H$192)</f>
        <v>36600</v>
      </c>
      <c r="I193" s="1124">
        <f t="shared" si="161"/>
        <v>37200</v>
      </c>
      <c r="J193" s="1124">
        <f t="shared" si="161"/>
        <v>37800</v>
      </c>
      <c r="K193" s="1124">
        <f t="shared" si="161"/>
        <v>57200</v>
      </c>
      <c r="L193" s="1124">
        <f t="shared" si="161"/>
        <v>58200</v>
      </c>
      <c r="M193" s="1124">
        <f t="shared" si="161"/>
        <v>63000</v>
      </c>
      <c r="N193" s="1124">
        <f t="shared" si="161"/>
        <v>37700</v>
      </c>
      <c r="O193" s="1124">
        <f t="shared" si="161"/>
        <v>38800</v>
      </c>
      <c r="P193" s="1124">
        <f t="shared" si="161"/>
        <v>40100</v>
      </c>
      <c r="Q193" s="1124">
        <f t="shared" si="161"/>
        <v>42300</v>
      </c>
      <c r="R193" s="1124">
        <f t="shared" si="161"/>
        <v>53200</v>
      </c>
      <c r="S193" s="1124">
        <f t="shared" si="161"/>
        <v>56700</v>
      </c>
      <c r="T193" s="1124">
        <f t="shared" si="161"/>
        <v>82400</v>
      </c>
      <c r="U193" s="1124">
        <f t="shared" si="161"/>
        <v>95600</v>
      </c>
      <c r="V193" s="1124">
        <f t="shared" si="161"/>
        <v>89200</v>
      </c>
      <c r="W193" s="1124">
        <f t="shared" si="161"/>
        <v>92300</v>
      </c>
      <c r="X193" s="1124">
        <f t="shared" si="161"/>
        <v>85700</v>
      </c>
      <c r="Y193" s="1124">
        <f t="shared" si="161"/>
        <v>87500</v>
      </c>
      <c r="Z193" s="1124">
        <f t="shared" si="161"/>
        <v>90700</v>
      </c>
      <c r="AA193" s="1124">
        <f t="shared" si="161"/>
        <v>94400</v>
      </c>
      <c r="AB193" s="1124">
        <f t="shared" si="161"/>
        <v>98500</v>
      </c>
      <c r="AC193" s="1124">
        <f t="shared" si="161"/>
        <v>107200</v>
      </c>
      <c r="AD193" s="1124">
        <f t="shared" si="161"/>
        <v>109900</v>
      </c>
      <c r="AE193" s="1124">
        <f t="shared" si="161"/>
        <v>113700</v>
      </c>
      <c r="AF193" s="1124">
        <f t="shared" si="161"/>
        <v>115800</v>
      </c>
      <c r="AG193" s="1124">
        <f t="shared" si="161"/>
        <v>109000</v>
      </c>
      <c r="AH193" s="1124">
        <f t="shared" si="161"/>
        <v>109600</v>
      </c>
      <c r="AI193" s="1124">
        <f t="shared" si="161"/>
        <v>111900</v>
      </c>
      <c r="AJ193" s="1124">
        <f t="shared" si="161"/>
        <v>0</v>
      </c>
      <c r="AK193" s="1124">
        <f t="shared" si="161"/>
        <v>0</v>
      </c>
      <c r="AL193" s="1124">
        <f t="shared" si="161"/>
        <v>0</v>
      </c>
      <c r="AM193" s="1124">
        <f t="shared" si="161"/>
        <v>0</v>
      </c>
      <c r="AN193" s="1124">
        <f t="shared" si="161"/>
        <v>0</v>
      </c>
      <c r="AO193" s="1124">
        <f t="shared" si="161"/>
        <v>0</v>
      </c>
      <c r="AP193" s="1124">
        <f t="shared" si="161"/>
        <v>0</v>
      </c>
      <c r="AQ193" s="1124">
        <f t="shared" si="161"/>
        <v>0</v>
      </c>
      <c r="AR193" s="1124">
        <f t="shared" si="161"/>
        <v>0</v>
      </c>
      <c r="AS193" s="1124">
        <f t="shared" si="161"/>
        <v>0</v>
      </c>
      <c r="AT193" s="3"/>
      <c r="AU193" s="29">
        <f>+Details!E193</f>
        <v>2239000</v>
      </c>
      <c r="AV193" s="81">
        <f>+E193-AU193</f>
        <v>0</v>
      </c>
      <c r="AW193" s="102"/>
      <c r="AY193" s="31">
        <f>+Details!F193-Base!F193</f>
        <v>0</v>
      </c>
      <c r="AZ193" s="1124">
        <f>+Details!G193-Base!G193</f>
        <v>0</v>
      </c>
      <c r="BA193" s="1124">
        <f>+Details!H193-Base!H193</f>
        <v>0</v>
      </c>
      <c r="BB193" s="1124">
        <f>+Details!I193-Base!I193</f>
        <v>0</v>
      </c>
      <c r="BC193" s="1124">
        <f>+Details!J193-Base!J193</f>
        <v>0</v>
      </c>
      <c r="BD193" s="1124">
        <f>+Details!K193-Base!K193</f>
        <v>0</v>
      </c>
      <c r="BE193" s="1124">
        <f>+Details!L193-Base!L193</f>
        <v>0</v>
      </c>
      <c r="BF193" s="1124">
        <f>+Details!M193-Base!M193</f>
        <v>0</v>
      </c>
      <c r="BG193" s="1124">
        <f>+Details!N193-Base!N193</f>
        <v>0</v>
      </c>
      <c r="BH193" s="1124">
        <f>+Details!O193-Base!O193</f>
        <v>0</v>
      </c>
      <c r="BI193" s="1124">
        <f>+Details!P193-Base!P193</f>
        <v>0</v>
      </c>
      <c r="BJ193" s="1124">
        <f>+Details!Q193-Base!Q193</f>
        <v>0</v>
      </c>
      <c r="BK193" s="1124">
        <f>+Details!R193-Base!R193</f>
        <v>0</v>
      </c>
      <c r="BL193" s="1124">
        <f>+Details!S193-Base!S193</f>
        <v>0</v>
      </c>
      <c r="BM193" s="1124">
        <f>+Details!T193-Base!T193</f>
        <v>0</v>
      </c>
      <c r="BN193" s="1124">
        <f>+Details!U193-Base!U193</f>
        <v>0</v>
      </c>
      <c r="BO193" s="1124">
        <f>+Details!V193-Base!V193</f>
        <v>0</v>
      </c>
      <c r="BP193" s="1124">
        <f>+Details!W193-Base!W193</f>
        <v>0</v>
      </c>
      <c r="BQ193" s="1124">
        <f>+Details!X193-Base!X193</f>
        <v>0</v>
      </c>
      <c r="BR193" s="1124">
        <f>+Details!Y193-Base!Y193</f>
        <v>0</v>
      </c>
      <c r="BS193" s="1124">
        <f>+Details!Z193-Base!Z193</f>
        <v>0</v>
      </c>
      <c r="BT193" s="1124">
        <f>+Details!AA193-Base!AA193</f>
        <v>0</v>
      </c>
      <c r="BU193" s="1124">
        <f>+Details!AB193-Base!AB193</f>
        <v>0</v>
      </c>
      <c r="BV193" s="1124">
        <f>+Details!AC193-Base!AC193</f>
        <v>0</v>
      </c>
      <c r="BW193" s="1124">
        <f>+Details!AD193-Base!AD193</f>
        <v>0</v>
      </c>
      <c r="BX193" s="1124">
        <f>+Details!AE193-Base!AE193</f>
        <v>0</v>
      </c>
      <c r="BY193" s="1124">
        <f>+Details!AF193-Base!AF193</f>
        <v>0</v>
      </c>
      <c r="BZ193" s="1124">
        <f>+Details!AG193-Base!AG193</f>
        <v>0</v>
      </c>
      <c r="CA193" s="1124">
        <f>+Details!AH193-Base!AH193</f>
        <v>0</v>
      </c>
      <c r="CB193" s="1124">
        <f>+Details!AI193-Base!AI193</f>
        <v>0</v>
      </c>
      <c r="CC193" s="1124">
        <f>+Details!AJ193-Base!AJ193</f>
        <v>0</v>
      </c>
      <c r="CD193" s="1124">
        <f>+Details!AK193-Base!AK193</f>
        <v>0</v>
      </c>
      <c r="CE193" s="1124">
        <f>+Details!AL193-Base!AL193</f>
        <v>0</v>
      </c>
      <c r="CF193" s="1124">
        <f>+Details!AM193-Base!AM193</f>
        <v>0</v>
      </c>
      <c r="CG193" s="1124">
        <f>+Details!AN193-Base!AN193</f>
        <v>0</v>
      </c>
      <c r="CH193" s="1124">
        <f>+Details!AO193-Base!AO193</f>
        <v>0</v>
      </c>
      <c r="CI193" s="1124">
        <f>+Details!AP193-Base!AP193</f>
        <v>0</v>
      </c>
      <c r="CJ193" s="1124">
        <f>+Details!AQ193-Base!AQ193</f>
        <v>0</v>
      </c>
      <c r="CK193" s="1124">
        <f>+Details!AR193-Base!AR193</f>
        <v>0</v>
      </c>
      <c r="CL193" s="1124">
        <f>+Details!AS193-Base!AS193</f>
        <v>0</v>
      </c>
      <c r="CM193" s="81"/>
    </row>
    <row r="194" spans="1:91" ht="15.6">
      <c r="B194" s="28"/>
      <c r="C194" s="32"/>
      <c r="D194" s="32"/>
      <c r="E194" s="39"/>
      <c r="F194" s="152"/>
      <c r="G194" s="152"/>
      <c r="H194" s="152"/>
      <c r="I194" s="152"/>
      <c r="J194" s="152"/>
      <c r="K194" s="152"/>
      <c r="L194" s="152"/>
      <c r="M194" s="152"/>
      <c r="N194" s="152"/>
      <c r="O194" s="152"/>
      <c r="P194" s="152"/>
      <c r="Q194" s="152"/>
      <c r="R194" s="152"/>
      <c r="S194" s="152"/>
      <c r="T194" s="152"/>
      <c r="U194" s="152"/>
      <c r="V194" s="152"/>
      <c r="W194" s="152"/>
      <c r="X194" s="152"/>
      <c r="Y194" s="152"/>
      <c r="Z194" s="152"/>
      <c r="AA194" s="152"/>
      <c r="AB194" s="152"/>
      <c r="AC194" s="152"/>
      <c r="AD194" s="152"/>
      <c r="AE194" s="152"/>
      <c r="AF194" s="152"/>
      <c r="AG194" s="152"/>
      <c r="AH194" s="152"/>
      <c r="AI194" s="152"/>
      <c r="AJ194" s="152"/>
      <c r="AK194" s="152"/>
      <c r="AL194" s="152"/>
      <c r="AM194" s="152"/>
      <c r="AN194" s="31"/>
      <c r="AO194" s="31"/>
      <c r="AP194" s="31"/>
      <c r="AQ194" s="31"/>
      <c r="AR194" s="31"/>
      <c r="AS194" s="31"/>
      <c r="AT194" s="3"/>
      <c r="AU194" s="29"/>
      <c r="AV194" s="48"/>
      <c r="AW194" s="121"/>
      <c r="AZ194" s="152"/>
      <c r="BA194" s="152"/>
      <c r="BB194" s="152"/>
      <c r="BC194" s="152"/>
      <c r="BD194" s="152"/>
      <c r="BE194" s="152"/>
      <c r="BF194" s="152"/>
      <c r="BG194" s="152"/>
      <c r="BH194" s="152"/>
      <c r="BI194" s="152"/>
      <c r="BJ194" s="152"/>
      <c r="BK194" s="152"/>
      <c r="BL194" s="152"/>
      <c r="BM194" s="152"/>
      <c r="BN194" s="152"/>
      <c r="BO194" s="152"/>
      <c r="BP194" s="152"/>
      <c r="BQ194" s="152"/>
      <c r="BR194" s="152"/>
      <c r="BS194" s="152"/>
      <c r="BT194" s="152"/>
      <c r="BU194" s="152"/>
      <c r="BV194" s="152"/>
      <c r="BW194" s="152"/>
      <c r="BX194" s="152"/>
      <c r="BY194" s="152"/>
      <c r="BZ194" s="152"/>
      <c r="CA194" s="152"/>
      <c r="CB194" s="152"/>
      <c r="CC194" s="152"/>
      <c r="CD194" s="152"/>
      <c r="CE194" s="152"/>
      <c r="CF194" s="152"/>
      <c r="CG194" s="31"/>
      <c r="CH194" s="31"/>
      <c r="CI194" s="31"/>
      <c r="CJ194" s="31"/>
      <c r="CK194" s="31"/>
      <c r="CL194" s="31"/>
      <c r="CM194" s="48"/>
    </row>
    <row r="195" spans="1:91" ht="15.6" hidden="1">
      <c r="A195" s="1427" t="s">
        <v>1578</v>
      </c>
      <c r="B195" s="424" t="s">
        <v>434</v>
      </c>
      <c r="C195" s="425" t="str">
        <f>IF(Tax_Rates_Alt="y",IF(Filing_Status="m",Setup!$E$233,Setup!$H$233),"")</f>
        <v/>
      </c>
      <c r="D195" s="67">
        <f>IF(Filing_Status="m",Setup!$D233,Setup!$G233)</f>
        <v>0.1</v>
      </c>
      <c r="E195" s="29">
        <f t="shared" ref="E195:E202" si="162">SUM(F195:AS195)</f>
        <v>70800</v>
      </c>
      <c r="F195" s="31">
        <f>ROUND(IF(Exclude_Taxes="n",IF(Filing_Status="m",IF(OR(F7&lt;Single_Rate_Start,Single_Rate_Start=""),IF(F193&gt;'Tax Tables'!F$139,'Tax Tables'!F$139*'Tax Tables'!F$140,F193*'Tax Tables'!F$140),IF(F193&gt;'Tax Tables'!F$218,'Tax Tables'!F$218*'Tax Tables'!F$219,F193*'Tax Tables'!F$219)),IF(F193&gt;'Tax Tables'!F$218,'Tax Tables'!F$218*'Tax Tables'!F$219,F193*'Tax Tables'!F$219)),0)/Round_To,0)*Round_To</f>
        <v>1900</v>
      </c>
      <c r="G195" s="1124">
        <f>ROUND(IF(Exclude_Taxes="n",IF(Filing_Status="m",IF(OR(G7&lt;Single_Rate_Start,Single_Rate_Start=""),IF(G193&gt;'Tax Tables'!G$139,'Tax Tables'!G$139*'Tax Tables'!G$140,G193*'Tax Tables'!G$140),IF(G193&gt;'Tax Tables'!G$218,'Tax Tables'!G$218*'Tax Tables'!G$219,G193*'Tax Tables'!G$219)),IF(G193&gt;'Tax Tables'!G$218,'Tax Tables'!G$218*'Tax Tables'!G$219,G193*'Tax Tables'!G$219)),0)/Round_To,0)*Round_To</f>
        <v>2000</v>
      </c>
      <c r="H195" s="1124">
        <f>ROUND(IF(Exclude_Taxes="n",IF(Filing_Status="m",IF(OR(H7&lt;Single_Rate_Start,Single_Rate_Start=""),IF(H193&gt;'Tax Tables'!H$139,'Tax Tables'!H$139*'Tax Tables'!H$140,H193*'Tax Tables'!H$140),IF(H193&gt;'Tax Tables'!H$218,'Tax Tables'!H$218*'Tax Tables'!H$219,H193*'Tax Tables'!H$219)),IF(H193&gt;'Tax Tables'!H$218,'Tax Tables'!H$218*'Tax Tables'!H$219,H193*'Tax Tables'!H$219)),0)/Round_To,0)*Round_To</f>
        <v>2000</v>
      </c>
      <c r="I195" s="1124">
        <f>ROUND(IF(Exclude_Taxes="n",IF(Filing_Status="m",IF(OR(I7&lt;Single_Rate_Start,Single_Rate_Start=""),IF(I193&gt;'Tax Tables'!I$139,'Tax Tables'!I$139*'Tax Tables'!I$140,I193*'Tax Tables'!I$140),IF(I193&gt;'Tax Tables'!I$218,'Tax Tables'!I$218*'Tax Tables'!I$219,I193*'Tax Tables'!I$219)),IF(I193&gt;'Tax Tables'!I$218,'Tax Tables'!I$218*'Tax Tables'!I$219,I193*'Tax Tables'!I$219)),0)/Round_To,0)*Round_To</f>
        <v>2100</v>
      </c>
      <c r="J195" s="1124">
        <f>ROUND(IF(Exclude_Taxes="n",IF(Filing_Status="m",IF(OR(J7&lt;Single_Rate_Start,Single_Rate_Start=""),IF(J193&gt;'Tax Tables'!J$139,'Tax Tables'!J$139*'Tax Tables'!J$140,J193*'Tax Tables'!J$140),IF(J193&gt;'Tax Tables'!J$218,'Tax Tables'!J$218*'Tax Tables'!J$219,J193*'Tax Tables'!J$219)),IF(J193&gt;'Tax Tables'!J$218,'Tax Tables'!J$218*'Tax Tables'!J$219,J193*'Tax Tables'!J$219)),0)/Round_To,0)*Round_To</f>
        <v>2100</v>
      </c>
      <c r="K195" s="1124">
        <f>ROUND(IF(Exclude_Taxes="n",IF(Filing_Status="m",IF(OR(K7&lt;Single_Rate_Start,Single_Rate_Start=""),IF(K193&gt;'Tax Tables'!K$139,'Tax Tables'!K$139*'Tax Tables'!K$140,K193*'Tax Tables'!K$140),IF(K193&gt;'Tax Tables'!K$218,'Tax Tables'!K$218*'Tax Tables'!K$219,K193*'Tax Tables'!K$219)),IF(K193&gt;'Tax Tables'!K$218,'Tax Tables'!K$218*'Tax Tables'!K$219,K193*'Tax Tables'!K$219)),0)/Round_To,0)*Round_To</f>
        <v>2200</v>
      </c>
      <c r="L195" s="1124">
        <f>ROUND(IF(Exclude_Taxes="n",IF(Filing_Status="m",IF(OR(L7&lt;Single_Rate_Start,Single_Rate_Start=""),IF(L193&gt;'Tax Tables'!L$139,'Tax Tables'!L$139*'Tax Tables'!L$140,L193*'Tax Tables'!L$140),IF(L193&gt;'Tax Tables'!L$218,'Tax Tables'!L$218*'Tax Tables'!L$219,L193*'Tax Tables'!L$219)),IF(L193&gt;'Tax Tables'!L$218,'Tax Tables'!L$218*'Tax Tables'!L$219,L193*'Tax Tables'!L$219)),0)/Round_To,0)*Round_To</f>
        <v>2200</v>
      </c>
      <c r="M195" s="1124">
        <f>ROUND(IF(Exclude_Taxes="n",IF(Filing_Status="m",IF(OR(M7&lt;Single_Rate_Start,Single_Rate_Start=""),IF(M193&gt;'Tax Tables'!M$139,'Tax Tables'!M$139*'Tax Tables'!M$140,M193*'Tax Tables'!M$140),IF(M193&gt;'Tax Tables'!M$218,'Tax Tables'!M$218*'Tax Tables'!M$219,M193*'Tax Tables'!M$219)),IF(M193&gt;'Tax Tables'!M$218,'Tax Tables'!M$218*'Tax Tables'!M$219,M193*'Tax Tables'!M$219)),0)/Round_To,0)*Round_To</f>
        <v>2300</v>
      </c>
      <c r="N195" s="1124">
        <f>ROUND(IF(Exclude_Taxes="n",IF(Filing_Status="m",IF(OR(N7&lt;Single_Rate_Start,Single_Rate_Start=""),IF(N193&gt;'Tax Tables'!N$139,'Tax Tables'!N$139*'Tax Tables'!N$140,N193*'Tax Tables'!N$140),IF(N193&gt;'Tax Tables'!N$218,'Tax Tables'!N$218*'Tax Tables'!N$219,N193*'Tax Tables'!N$219)),IF(N193&gt;'Tax Tables'!N$218,'Tax Tables'!N$218*'Tax Tables'!N$219,N193*'Tax Tables'!N$219)),0)/Round_To,0)*Round_To</f>
        <v>2300</v>
      </c>
      <c r="O195" s="1124">
        <f>ROUND(IF(Exclude_Taxes="n",IF(Filing_Status="m",IF(OR(O7&lt;Single_Rate_Start,Single_Rate_Start=""),IF(O193&gt;'Tax Tables'!O$139,'Tax Tables'!O$139*'Tax Tables'!O$140,O193*'Tax Tables'!O$140),IF(O193&gt;'Tax Tables'!O$218,'Tax Tables'!O$218*'Tax Tables'!O$219,O193*'Tax Tables'!O$219)),IF(O193&gt;'Tax Tables'!O$218,'Tax Tables'!O$218*'Tax Tables'!O$219,O193*'Tax Tables'!O$219)),0)/Round_To,0)*Round_To</f>
        <v>2400</v>
      </c>
      <c r="P195" s="1124">
        <f>ROUND(IF(Exclude_Taxes="n",IF(Filing_Status="m",IF(OR(P7&lt;Single_Rate_Start,Single_Rate_Start=""),IF(P193&gt;'Tax Tables'!P$139,'Tax Tables'!P$139*'Tax Tables'!P$140,P193*'Tax Tables'!P$140),IF(P193&gt;'Tax Tables'!P$218,'Tax Tables'!P$218*'Tax Tables'!P$219,P193*'Tax Tables'!P$219)),IF(P193&gt;'Tax Tables'!P$218,'Tax Tables'!P$218*'Tax Tables'!P$219,P193*'Tax Tables'!P$219)),0)/Round_To,0)*Round_To</f>
        <v>2400</v>
      </c>
      <c r="Q195" s="1124">
        <f>ROUND(IF(Exclude_Taxes="n",IF(Filing_Status="m",IF(OR(Q7&lt;Single_Rate_Start,Single_Rate_Start=""),IF(Q193&gt;'Tax Tables'!Q$139,'Tax Tables'!Q$139*'Tax Tables'!Q$140,Q193*'Tax Tables'!Q$140),IF(Q193&gt;'Tax Tables'!Q$218,'Tax Tables'!Q$218*'Tax Tables'!Q$219,Q193*'Tax Tables'!Q$219)),IF(Q193&gt;'Tax Tables'!Q$218,'Tax Tables'!Q$218*'Tax Tables'!Q$219,Q193*'Tax Tables'!Q$219)),0)/Round_To,0)*Round_To</f>
        <v>2500</v>
      </c>
      <c r="R195" s="1124">
        <f>ROUND(IF(Exclude_Taxes="n",IF(Filing_Status="m",IF(OR(R7&lt;Single_Rate_Start,Single_Rate_Start=""),IF(R193&gt;'Tax Tables'!R$139,'Tax Tables'!R$139*'Tax Tables'!R$140,R193*'Tax Tables'!R$140),IF(R193&gt;'Tax Tables'!R$218,'Tax Tables'!R$218*'Tax Tables'!R$219,R193*'Tax Tables'!R$219)),IF(R193&gt;'Tax Tables'!R$218,'Tax Tables'!R$218*'Tax Tables'!R$219,R193*'Tax Tables'!R$219)),0)/Round_To,0)*Round_To</f>
        <v>2500</v>
      </c>
      <c r="S195" s="1124">
        <f>ROUND(IF(Exclude_Taxes="n",IF(Filing_Status="m",IF(OR(S7&lt;Single_Rate_Start,Single_Rate_Start=""),IF(S193&gt;'Tax Tables'!S$139,'Tax Tables'!S$139*'Tax Tables'!S$140,S193*'Tax Tables'!S$140),IF(S193&gt;'Tax Tables'!S$218,'Tax Tables'!S$218*'Tax Tables'!S$219,S193*'Tax Tables'!S$219)),IF(S193&gt;'Tax Tables'!S$218,'Tax Tables'!S$218*'Tax Tables'!S$219,S193*'Tax Tables'!S$219)),0)/Round_To,0)*Round_To</f>
        <v>2600</v>
      </c>
      <c r="T195" s="1124">
        <f>ROUND(IF(Exclude_Taxes="n",IF(Filing_Status="m",IF(OR(T7&lt;Single_Rate_Start,Single_Rate_Start=""),IF(T193&gt;'Tax Tables'!T$139,'Tax Tables'!T$139*'Tax Tables'!T$140,T193*'Tax Tables'!T$140),IF(T193&gt;'Tax Tables'!T$218,'Tax Tables'!T$218*'Tax Tables'!T$219,T193*'Tax Tables'!T$219)),IF(T193&gt;'Tax Tables'!T$218,'Tax Tables'!T$218*'Tax Tables'!T$219,T193*'Tax Tables'!T$219)),0)/Round_To,0)*Round_To</f>
        <v>2600</v>
      </c>
      <c r="U195" s="1124">
        <f>ROUND(IF(Exclude_Taxes="n",IF(Filing_Status="m",IF(OR(U7&lt;Single_Rate_Start,Single_Rate_Start=""),IF(U193&gt;'Tax Tables'!U$139,'Tax Tables'!U$139*'Tax Tables'!U$140,U193*'Tax Tables'!U$140),IF(U193&gt;'Tax Tables'!U$218,'Tax Tables'!U$218*'Tax Tables'!U$219,U193*'Tax Tables'!U$219)),IF(U193&gt;'Tax Tables'!U$218,'Tax Tables'!U$218*'Tax Tables'!U$219,U193*'Tax Tables'!U$219)),0)/Round_To,0)*Round_To</f>
        <v>2700</v>
      </c>
      <c r="V195" s="1124">
        <f>ROUND(IF(Exclude_Taxes="n",IF(Filing_Status="m",IF(OR(V7&lt;Single_Rate_Start,Single_Rate_Start=""),IF(V193&gt;'Tax Tables'!V$139,'Tax Tables'!V$139*'Tax Tables'!V$140,V193*'Tax Tables'!V$140),IF(V193&gt;'Tax Tables'!V$218,'Tax Tables'!V$218*'Tax Tables'!V$219,V193*'Tax Tables'!V$219)),IF(V193&gt;'Tax Tables'!V$218,'Tax Tables'!V$218*'Tax Tables'!V$219,V193*'Tax Tables'!V$219)),0)/Round_To,0)*Round_To</f>
        <v>2800</v>
      </c>
      <c r="W195" s="1124">
        <f>ROUND(IF(Exclude_Taxes="n",IF(Filing_Status="m",IF(OR(W7&lt;Single_Rate_Start,Single_Rate_Start=""),IF(W193&gt;'Tax Tables'!W$139,'Tax Tables'!W$139*'Tax Tables'!W$140,W193*'Tax Tables'!W$140),IF(W193&gt;'Tax Tables'!W$218,'Tax Tables'!W$218*'Tax Tables'!W$219,W193*'Tax Tables'!W$219)),IF(W193&gt;'Tax Tables'!W$218,'Tax Tables'!W$218*'Tax Tables'!W$219,W193*'Tax Tables'!W$219)),0)/Round_To,0)*Round_To</f>
        <v>2800</v>
      </c>
      <c r="X195" s="1124">
        <f>ROUND(IF(Exclude_Taxes="n",IF(Filing_Status="m",IF(OR(X7&lt;Single_Rate_Start,Single_Rate_Start=""),IF(X193&gt;'Tax Tables'!X$139,'Tax Tables'!X$139*'Tax Tables'!X$140,X193*'Tax Tables'!X$140),IF(X193&gt;'Tax Tables'!X$218,'Tax Tables'!X$218*'Tax Tables'!X$219,X193*'Tax Tables'!X$219)),IF(X193&gt;'Tax Tables'!X$218,'Tax Tables'!X$218*'Tax Tables'!X$219,X193*'Tax Tables'!X$219)),0)/Round_To,0)*Round_To</f>
        <v>2900</v>
      </c>
      <c r="Y195" s="1124">
        <f>ROUND(IF(Exclude_Taxes="n",IF(Filing_Status="m",IF(OR(Y7&lt;Single_Rate_Start,Single_Rate_Start=""),IF(Y193&gt;'Tax Tables'!Y$139,'Tax Tables'!Y$139*'Tax Tables'!Y$140,Y193*'Tax Tables'!Y$140),IF(Y193&gt;'Tax Tables'!Y$218,'Tax Tables'!Y$218*'Tax Tables'!Y$219,Y193*'Tax Tables'!Y$219)),IF(Y193&gt;'Tax Tables'!Y$218,'Tax Tables'!Y$218*'Tax Tables'!Y$219,Y193*'Tax Tables'!Y$219)),0)/Round_To,0)*Round_To</f>
        <v>2900</v>
      </c>
      <c r="Z195" s="1124">
        <f>ROUND(IF(Exclude_Taxes="n",IF(Filing_Status="m",IF(OR(Z7&lt;Single_Rate_Start,Single_Rate_Start=""),IF(Z193&gt;'Tax Tables'!Z$139,'Tax Tables'!Z$139*'Tax Tables'!Z$140,Z193*'Tax Tables'!Z$140),IF(Z193&gt;'Tax Tables'!Z$218,'Tax Tables'!Z$218*'Tax Tables'!Z$219,Z193*'Tax Tables'!Z$219)),IF(Z193&gt;'Tax Tables'!Z$218,'Tax Tables'!Z$218*'Tax Tables'!Z$219,Z193*'Tax Tables'!Z$219)),0)/Round_To,0)*Round_To</f>
        <v>3000</v>
      </c>
      <c r="AA195" s="1124">
        <f>ROUND(IF(Exclude_Taxes="n",IF(Filing_Status="m",IF(OR(AA7&lt;Single_Rate_Start,Single_Rate_Start=""),IF(AA193&gt;'Tax Tables'!AA$139,'Tax Tables'!AA$139*'Tax Tables'!AA$140,AA193*'Tax Tables'!AA$140),IF(AA193&gt;'Tax Tables'!AA$218,'Tax Tables'!AA$218*'Tax Tables'!AA$219,AA193*'Tax Tables'!AA$219)),IF(AA193&gt;'Tax Tables'!AA$218,'Tax Tables'!AA$218*'Tax Tables'!AA$219,AA193*'Tax Tables'!AA$219)),0)/Round_To,0)*Round_To</f>
        <v>3100</v>
      </c>
      <c r="AB195" s="1124">
        <f>ROUND(IF(Exclude_Taxes="n",IF(Filing_Status="m",IF(OR(AB7&lt;Single_Rate_Start,Single_Rate_Start=""),IF(AB193&gt;'Tax Tables'!AB$139,'Tax Tables'!AB$139*'Tax Tables'!AB$140,AB193*'Tax Tables'!AB$140),IF(AB193&gt;'Tax Tables'!AB$218,'Tax Tables'!AB$218*'Tax Tables'!AB$219,AB193*'Tax Tables'!AB$219)),IF(AB193&gt;'Tax Tables'!AB$218,'Tax Tables'!AB$218*'Tax Tables'!AB$219,AB193*'Tax Tables'!AB$219)),0)/Round_To,0)*Round_To</f>
        <v>3100</v>
      </c>
      <c r="AC195" s="1124">
        <f>ROUND(IF(Exclude_Taxes="n",IF(Filing_Status="m",IF(OR(AC7&lt;Single_Rate_Start,Single_Rate_Start=""),IF(AC193&gt;'Tax Tables'!AC$139,'Tax Tables'!AC$139*'Tax Tables'!AC$140,AC193*'Tax Tables'!AC$140),IF(AC193&gt;'Tax Tables'!AC$218,'Tax Tables'!AC$218*'Tax Tables'!AC$219,AC193*'Tax Tables'!AC$219)),IF(AC193&gt;'Tax Tables'!AC$218,'Tax Tables'!AC$218*'Tax Tables'!AC$219,AC193*'Tax Tables'!AC$219)),0)/Round_To,0)*Round_To</f>
        <v>3200</v>
      </c>
      <c r="AD195" s="1124">
        <f>ROUND(IF(Exclude_Taxes="n",IF(Filing_Status="m",IF(OR(AD7&lt;Single_Rate_Start,Single_Rate_Start=""),IF(AD193&gt;'Tax Tables'!AD$139,'Tax Tables'!AD$139*'Tax Tables'!AD$140,AD193*'Tax Tables'!AD$140),IF(AD193&gt;'Tax Tables'!AD$218,'Tax Tables'!AD$218*'Tax Tables'!AD$219,AD193*'Tax Tables'!AD$219)),IF(AD193&gt;'Tax Tables'!AD$218,'Tax Tables'!AD$218*'Tax Tables'!AD$219,AD193*'Tax Tables'!AD$219)),0)/Round_To,0)*Round_To</f>
        <v>1600</v>
      </c>
      <c r="AE195" s="1124">
        <f>ROUND(IF(Exclude_Taxes="n",IF(Filing_Status="m",IF(OR(AE7&lt;Single_Rate_Start,Single_Rate_Start=""),IF(AE193&gt;'Tax Tables'!AE$139,'Tax Tables'!AE$139*'Tax Tables'!AE$140,AE193*'Tax Tables'!AE$140),IF(AE193&gt;'Tax Tables'!AE$218,'Tax Tables'!AE$218*'Tax Tables'!AE$219,AE193*'Tax Tables'!AE$219)),IF(AE193&gt;'Tax Tables'!AE$218,'Tax Tables'!AE$218*'Tax Tables'!AE$219,AE193*'Tax Tables'!AE$219)),0)/Round_To,0)*Round_To</f>
        <v>1600</v>
      </c>
      <c r="AF195" s="1124">
        <f>ROUND(IF(Exclude_Taxes="n",IF(Filing_Status="m",IF(OR(AF7&lt;Single_Rate_Start,Single_Rate_Start=""),IF(AF193&gt;'Tax Tables'!AF$139,'Tax Tables'!AF$139*'Tax Tables'!AF$140,AF193*'Tax Tables'!AF$140),IF(AF193&gt;'Tax Tables'!AF$218,'Tax Tables'!AF$218*'Tax Tables'!AF$219,AF193*'Tax Tables'!AF$219)),IF(AF193&gt;'Tax Tables'!AF$218,'Tax Tables'!AF$218*'Tax Tables'!AF$219,AF193*'Tax Tables'!AF$219)),0)/Round_To,0)*Round_To</f>
        <v>1700</v>
      </c>
      <c r="AG195" s="1124">
        <f>ROUND(IF(Exclude_Taxes="n",IF(Filing_Status="m",IF(OR(AG7&lt;Single_Rate_Start,Single_Rate_Start=""),IF(AG193&gt;'Tax Tables'!AG$139,'Tax Tables'!AG$139*'Tax Tables'!AG$140,AG193*'Tax Tables'!AG$140),IF(AG193&gt;'Tax Tables'!AG$218,'Tax Tables'!AG$218*'Tax Tables'!AG$219,AG193*'Tax Tables'!AG$219)),IF(AG193&gt;'Tax Tables'!AG$218,'Tax Tables'!AG$218*'Tax Tables'!AG$219,AG193*'Tax Tables'!AG$219)),0)/Round_To,0)*Round_To</f>
        <v>1700</v>
      </c>
      <c r="AH195" s="1124">
        <f>ROUND(IF(Exclude_Taxes="n",IF(Filing_Status="m",IF(OR(AH7&lt;Single_Rate_Start,Single_Rate_Start=""),IF(AH193&gt;'Tax Tables'!AH$139,'Tax Tables'!AH$139*'Tax Tables'!AH$140,AH193*'Tax Tables'!AH$140),IF(AH193&gt;'Tax Tables'!AH$218,'Tax Tables'!AH$218*'Tax Tables'!AH$219,AH193*'Tax Tables'!AH$219)),IF(AH193&gt;'Tax Tables'!AH$218,'Tax Tables'!AH$218*'Tax Tables'!AH$219,AH193*'Tax Tables'!AH$219)),0)/Round_To,0)*Round_To</f>
        <v>1800</v>
      </c>
      <c r="AI195" s="1124">
        <f>ROUND(IF(Exclude_Taxes="n",IF(Filing_Status="m",IF(OR(AI7&lt;Single_Rate_Start,Single_Rate_Start=""),IF(AI193&gt;'Tax Tables'!AI$139,'Tax Tables'!AI$139*'Tax Tables'!AI$140,AI193*'Tax Tables'!AI$140),IF(AI193&gt;'Tax Tables'!AI$218,'Tax Tables'!AI$218*'Tax Tables'!AI$219,AI193*'Tax Tables'!AI$219)),IF(AI193&gt;'Tax Tables'!AI$218,'Tax Tables'!AI$218*'Tax Tables'!AI$219,AI193*'Tax Tables'!AI$219)),0)/Round_To,0)*Round_To</f>
        <v>1800</v>
      </c>
      <c r="AJ195" s="1124">
        <f>ROUND(IF(Exclude_Taxes="n",IF(Filing_Status="m",IF(OR(AJ7&lt;Single_Rate_Start,Single_Rate_Start=""),IF(AJ193&gt;'Tax Tables'!AJ$139,'Tax Tables'!AJ$139*'Tax Tables'!AJ$140,AJ193*'Tax Tables'!AJ$140),IF(AJ193&gt;'Tax Tables'!AJ$218,'Tax Tables'!AJ$218*'Tax Tables'!AJ$219,AJ193*'Tax Tables'!AJ$219)),IF(AJ193&gt;'Tax Tables'!AJ$218,'Tax Tables'!AJ$218*'Tax Tables'!AJ$219,AJ193*'Tax Tables'!AJ$219)),0)/Round_To,0)*Round_To</f>
        <v>0</v>
      </c>
      <c r="AK195" s="1124">
        <f>ROUND(IF(Exclude_Taxes="n",IF(Filing_Status="m",IF(OR(AK7&lt;Single_Rate_Start,Single_Rate_Start=""),IF(AK193&gt;'Tax Tables'!AK$139,'Tax Tables'!AK$139*'Tax Tables'!AK$140,AK193*'Tax Tables'!AK$140),IF(AK193&gt;'Tax Tables'!AK$218,'Tax Tables'!AK$218*'Tax Tables'!AK$219,AK193*'Tax Tables'!AK$219)),IF(AK193&gt;'Tax Tables'!AK$218,'Tax Tables'!AK$218*'Tax Tables'!AK$219,AK193*'Tax Tables'!AK$219)),0)/Round_To,0)*Round_To</f>
        <v>0</v>
      </c>
      <c r="AL195" s="1124">
        <f>ROUND(IF(Exclude_Taxes="n",IF(Filing_Status="m",IF(OR(AL7&lt;Single_Rate_Start,Single_Rate_Start=""),IF(AL193&gt;'Tax Tables'!AL$139,'Tax Tables'!AL$139*'Tax Tables'!AL$140,AL193*'Tax Tables'!AL$140),IF(AL193&gt;'Tax Tables'!AL$218,'Tax Tables'!AL$218*'Tax Tables'!AL$219,AL193*'Tax Tables'!AL$219)),IF(AL193&gt;'Tax Tables'!AL$218,'Tax Tables'!AL$218*'Tax Tables'!AL$219,AL193*'Tax Tables'!AL$219)),0)/Round_To,0)*Round_To</f>
        <v>0</v>
      </c>
      <c r="AM195" s="1124">
        <f>ROUND(IF(Exclude_Taxes="n",IF(Filing_Status="m",IF(OR(AM7&lt;Single_Rate_Start,Single_Rate_Start=""),IF(AM193&gt;'Tax Tables'!AM$139,'Tax Tables'!AM$139*'Tax Tables'!AM$140,AM193*'Tax Tables'!AM$140),IF(AM193&gt;'Tax Tables'!AM$218,'Tax Tables'!AM$218*'Tax Tables'!AM$219,AM193*'Tax Tables'!AM$219)),IF(AM193&gt;'Tax Tables'!AM$218,'Tax Tables'!AM$218*'Tax Tables'!AM$219,AM193*'Tax Tables'!AM$219)),0)/Round_To,0)*Round_To</f>
        <v>0</v>
      </c>
      <c r="AN195" s="1124">
        <f>ROUND(IF(Exclude_Taxes="n",IF(Filing_Status="m",IF(OR(AN7&lt;Single_Rate_Start,Single_Rate_Start=""),IF(AN193&gt;'Tax Tables'!AN$139,'Tax Tables'!AN$139*'Tax Tables'!AN$140,AN193*'Tax Tables'!AN$140),IF(AN193&gt;'Tax Tables'!AN$218,'Tax Tables'!AN$218*'Tax Tables'!AN$219,AN193*'Tax Tables'!AN$219)),IF(AN193&gt;'Tax Tables'!AN$218,'Tax Tables'!AN$218*'Tax Tables'!AN$219,AN193*'Tax Tables'!AN$219)),0)/Round_To,0)*Round_To</f>
        <v>0</v>
      </c>
      <c r="AO195" s="1124">
        <f>ROUND(IF(Exclude_Taxes="n",IF(Filing_Status="m",IF(OR(AO7&lt;Single_Rate_Start,Single_Rate_Start=""),IF(AO193&gt;'Tax Tables'!AO$139,'Tax Tables'!AO$139*'Tax Tables'!AO$140,AO193*'Tax Tables'!AO$140),IF(AO193&gt;'Tax Tables'!AO$218,'Tax Tables'!AO$218*'Tax Tables'!AO$219,AO193*'Tax Tables'!AO$219)),IF(AO193&gt;'Tax Tables'!AO$218,'Tax Tables'!AO$218*'Tax Tables'!AO$219,AO193*'Tax Tables'!AO$219)),0)/Round_To,0)*Round_To</f>
        <v>0</v>
      </c>
      <c r="AP195" s="1124">
        <f>ROUND(IF(Exclude_Taxes="n",IF(Filing_Status="m",IF(OR(AP7&lt;Single_Rate_Start,Single_Rate_Start=""),IF(AP193&gt;'Tax Tables'!AP$139,'Tax Tables'!AP$139*'Tax Tables'!AP$140,AP193*'Tax Tables'!AP$140),IF(AP193&gt;'Tax Tables'!AP$218,'Tax Tables'!AP$218*'Tax Tables'!AP$219,AP193*'Tax Tables'!AP$219)),IF(AP193&gt;'Tax Tables'!AP$218,'Tax Tables'!AP$218*'Tax Tables'!AP$219,AP193*'Tax Tables'!AP$219)),0)/Round_To,0)*Round_To</f>
        <v>0</v>
      </c>
      <c r="AQ195" s="1124">
        <f>ROUND(IF(Exclude_Taxes="n",IF(Filing_Status="m",IF(OR(AQ7&lt;Single_Rate_Start,Single_Rate_Start=""),IF(AQ193&gt;'Tax Tables'!AQ$139,'Tax Tables'!AQ$139*'Tax Tables'!AQ$140,AQ193*'Tax Tables'!AQ$140),IF(AQ193&gt;'Tax Tables'!AQ$218,'Tax Tables'!AQ$218*'Tax Tables'!AQ$219,AQ193*'Tax Tables'!AQ$219)),IF(AQ193&gt;'Tax Tables'!AQ$218,'Tax Tables'!AQ$218*'Tax Tables'!AQ$219,AQ193*'Tax Tables'!AQ$219)),0)/Round_To,0)*Round_To</f>
        <v>0</v>
      </c>
      <c r="AR195" s="1124">
        <f>ROUND(IF(Exclude_Taxes="n",IF(Filing_Status="m",IF(OR(AR7&lt;Single_Rate_Start,Single_Rate_Start=""),IF(AR193&gt;'Tax Tables'!AR$139,'Tax Tables'!AR$139*'Tax Tables'!AR$140,AR193*'Tax Tables'!AR$140),IF(AR193&gt;'Tax Tables'!AR$218,'Tax Tables'!AR$218*'Tax Tables'!AR$219,AR193*'Tax Tables'!AR$219)),IF(AR193&gt;'Tax Tables'!AR$218,'Tax Tables'!AR$218*'Tax Tables'!AR$219,AR193*'Tax Tables'!AR$219)),0)/Round_To,0)*Round_To</f>
        <v>0</v>
      </c>
      <c r="AS195" s="1124">
        <f>ROUND(IF(Exclude_Taxes="n",IF(Filing_Status="m",IF(OR(AS7&lt;Single_Rate_Start,Single_Rate_Start=""),IF(AS193&gt;'Tax Tables'!AS$139,'Tax Tables'!AS$139*'Tax Tables'!AS$140,AS193*'Tax Tables'!AS$140),IF(AS193&gt;'Tax Tables'!AS$218,'Tax Tables'!AS$218*'Tax Tables'!AS$219,AS193*'Tax Tables'!AS$219)),IF(AS193&gt;'Tax Tables'!AS$218,'Tax Tables'!AS$218*'Tax Tables'!AS$219,AS193*'Tax Tables'!AS$219)),0)/Round_To,0)*Round_To</f>
        <v>0</v>
      </c>
      <c r="AT195" s="3"/>
      <c r="AU195" s="29">
        <f>+Details!E195</f>
        <v>70800</v>
      </c>
      <c r="AV195" s="81">
        <f t="shared" ref="AV195:AV204" si="163">+E195-AU195</f>
        <v>0</v>
      </c>
      <c r="AW195" s="102"/>
      <c r="AY195" s="31">
        <f>+Details!F195-Base!F195</f>
        <v>0</v>
      </c>
      <c r="AZ195" s="1124">
        <f>+Details!G195-Base!G195</f>
        <v>0</v>
      </c>
      <c r="BA195" s="1124">
        <f>+Details!H195-Base!H195</f>
        <v>0</v>
      </c>
      <c r="BB195" s="1124">
        <f>+Details!I195-Base!I195</f>
        <v>0</v>
      </c>
      <c r="BC195" s="1124">
        <f>+Details!J195-Base!J195</f>
        <v>0</v>
      </c>
      <c r="BD195" s="1124">
        <f>+Details!K195-Base!K195</f>
        <v>0</v>
      </c>
      <c r="BE195" s="1124">
        <f>+Details!L195-Base!L195</f>
        <v>0</v>
      </c>
      <c r="BF195" s="1124">
        <f>+Details!M195-Base!M195</f>
        <v>0</v>
      </c>
      <c r="BG195" s="1124">
        <f>+Details!N195-Base!N195</f>
        <v>0</v>
      </c>
      <c r="BH195" s="1124">
        <f>+Details!O195-Base!O195</f>
        <v>0</v>
      </c>
      <c r="BI195" s="1124">
        <f>+Details!P195-Base!P195</f>
        <v>0</v>
      </c>
      <c r="BJ195" s="1124">
        <f>+Details!Q195-Base!Q195</f>
        <v>0</v>
      </c>
      <c r="BK195" s="1124">
        <f>+Details!R195-Base!R195</f>
        <v>0</v>
      </c>
      <c r="BL195" s="1124">
        <f>+Details!S195-Base!S195</f>
        <v>0</v>
      </c>
      <c r="BM195" s="1124">
        <f>+Details!T195-Base!T195</f>
        <v>0</v>
      </c>
      <c r="BN195" s="1124">
        <f>+Details!U195-Base!U195</f>
        <v>0</v>
      </c>
      <c r="BO195" s="1124">
        <f>+Details!V195-Base!V195</f>
        <v>0</v>
      </c>
      <c r="BP195" s="1124">
        <f>+Details!W195-Base!W195</f>
        <v>0</v>
      </c>
      <c r="BQ195" s="1124">
        <f>+Details!X195-Base!X195</f>
        <v>0</v>
      </c>
      <c r="BR195" s="1124">
        <f>+Details!Y195-Base!Y195</f>
        <v>0</v>
      </c>
      <c r="BS195" s="1124">
        <f>+Details!Z195-Base!Z195</f>
        <v>0</v>
      </c>
      <c r="BT195" s="1124">
        <f>+Details!AA195-Base!AA195</f>
        <v>0</v>
      </c>
      <c r="BU195" s="1124">
        <f>+Details!AB195-Base!AB195</f>
        <v>0</v>
      </c>
      <c r="BV195" s="1124">
        <f>+Details!AC195-Base!AC195</f>
        <v>0</v>
      </c>
      <c r="BW195" s="1124">
        <f>+Details!AD195-Base!AD195</f>
        <v>0</v>
      </c>
      <c r="BX195" s="1124">
        <f>+Details!AE195-Base!AE195</f>
        <v>0</v>
      </c>
      <c r="BY195" s="1124">
        <f>+Details!AF195-Base!AF195</f>
        <v>0</v>
      </c>
      <c r="BZ195" s="1124">
        <f>+Details!AG195-Base!AG195</f>
        <v>0</v>
      </c>
      <c r="CA195" s="1124">
        <f>+Details!AH195-Base!AH195</f>
        <v>0</v>
      </c>
      <c r="CB195" s="1124">
        <f>+Details!AI195-Base!AI195</f>
        <v>0</v>
      </c>
      <c r="CC195" s="1124">
        <f>+Details!AJ195-Base!AJ195</f>
        <v>0</v>
      </c>
      <c r="CD195" s="1124">
        <f>+Details!AK195-Base!AK195</f>
        <v>0</v>
      </c>
      <c r="CE195" s="1124">
        <f>+Details!AL195-Base!AL195</f>
        <v>0</v>
      </c>
      <c r="CF195" s="1124">
        <f>+Details!AM195-Base!AM195</f>
        <v>0</v>
      </c>
      <c r="CG195" s="1124">
        <f>+Details!AN195-Base!AN195</f>
        <v>0</v>
      </c>
      <c r="CH195" s="1124">
        <f>+Details!AO195-Base!AO195</f>
        <v>0</v>
      </c>
      <c r="CI195" s="1124">
        <f>+Details!AP195-Base!AP195</f>
        <v>0</v>
      </c>
      <c r="CJ195" s="1124">
        <f>+Details!AQ195-Base!AQ195</f>
        <v>0</v>
      </c>
      <c r="CK195" s="1124">
        <f>+Details!AR195-Base!AR195</f>
        <v>0</v>
      </c>
      <c r="CL195" s="1124">
        <f>+Details!AS195-Base!AS195</f>
        <v>0</v>
      </c>
      <c r="CM195" s="81"/>
    </row>
    <row r="196" spans="1:91" hidden="1">
      <c r="A196" s="1427" t="s">
        <v>1578</v>
      </c>
      <c r="B196" s="425"/>
      <c r="C196" s="425" t="str">
        <f>IF(Tax_Rates_Alt="y",IF(Filing_Status="m",Setup!$E$234,Setup!$H$234),"")</f>
        <v/>
      </c>
      <c r="D196" s="67">
        <f>IF(Filing_Status="m",Setup!$D234,Setup!$G234)</f>
        <v>0.12</v>
      </c>
      <c r="E196" s="29">
        <f t="shared" si="162"/>
        <v>154200</v>
      </c>
      <c r="F196" s="31">
        <f>ROUND(IF(Exclude_Taxes="n",IF(Filing_Status="m",IF(OR(F7&lt;Single_Rate_Start,Single_Rate_Start=""),IF(AND(F193&gt;='Tax Tables'!F$143,F193&lt;='Tax Tables'!F$144),(F193-'Tax Tables'!F$143)*'Tax Tables'!F$145,IF(F193&gt;='Tax Tables'!F$144,('Tax Tables'!F$144-'Tax Tables'!F$143)*'Tax Tables'!F$145,0)),IF(AND(F193&gt;='Tax Tables'!F$222,F193&lt;='Tax Tables'!F$223),(F193-'Tax Tables'!F$222)*'Tax Tables'!F$224,IF(F193&gt;='Tax Tables'!F$223,('Tax Tables'!F$223-'Tax Tables'!F$222)*'Tax Tables'!F$224,0))),IF(AND(F193&gt;='Tax Tables'!F$222,F193&lt;='Tax Tables'!F$223),(F193-'Tax Tables'!F$222)*'Tax Tables'!F$224,IF(F193&gt;='Tax Tables'!F$223,('Tax Tables'!F$223-'Tax Tables'!F$222)*'Tax Tables'!F$224,0))),0)/Round_To,0)*Round_To</f>
        <v>2000</v>
      </c>
      <c r="G196" s="1124">
        <f>ROUND(IF(Exclude_Taxes="n",IF(Filing_Status="m",IF(OR(G7&lt;Single_Rate_Start,Single_Rate_Start=""),IF(AND(G193&gt;='Tax Tables'!G$143,G193&lt;='Tax Tables'!G$144),(G193-'Tax Tables'!G$143)*'Tax Tables'!G$145,IF(G193&gt;='Tax Tables'!G$144,('Tax Tables'!G$144-'Tax Tables'!G$143)*'Tax Tables'!G$145,0)),IF(AND(G193&gt;='Tax Tables'!G$222,G193&lt;='Tax Tables'!G$223),(G193-'Tax Tables'!G$222)*'Tax Tables'!G$224,IF(G193&gt;='Tax Tables'!G$223,('Tax Tables'!G$223-'Tax Tables'!G$222)*'Tax Tables'!G$224,0))),IF(AND(G193&gt;='Tax Tables'!G$222,G193&lt;='Tax Tables'!G$223),(G193-'Tax Tables'!G$222)*'Tax Tables'!G$224,IF(G193&gt;='Tax Tables'!G$223,('Tax Tables'!G$223-'Tax Tables'!G$222)*'Tax Tables'!G$224,0))),0)/Round_To,0)*Round_To</f>
        <v>3800</v>
      </c>
      <c r="H196" s="1124">
        <f>ROUND(IF(Exclude_Taxes="n",IF(Filing_Status="m",IF(OR(H7&lt;Single_Rate_Start,Single_Rate_Start=""),IF(AND(H193&gt;='Tax Tables'!H$143,H193&lt;='Tax Tables'!H$144),(H193-'Tax Tables'!H$143)*'Tax Tables'!H$145,IF(H193&gt;='Tax Tables'!H$144,('Tax Tables'!H$144-'Tax Tables'!H$143)*'Tax Tables'!H$145,0)),IF(AND(H193&gt;='Tax Tables'!H$222,H193&lt;='Tax Tables'!H$223),(H193-'Tax Tables'!H$222)*'Tax Tables'!H$224,IF(H193&gt;='Tax Tables'!H$223,('Tax Tables'!H$223-'Tax Tables'!H$222)*'Tax Tables'!H$224,0))),IF(AND(H193&gt;='Tax Tables'!H$222,H193&lt;='Tax Tables'!H$223),(H193-'Tax Tables'!H$222)*'Tax Tables'!H$224,IF(H193&gt;='Tax Tables'!H$223,('Tax Tables'!H$223-'Tax Tables'!H$222)*'Tax Tables'!H$224,0))),0)/Round_To,0)*Round_To</f>
        <v>2000</v>
      </c>
      <c r="I196" s="1124">
        <f>ROUND(IF(Exclude_Taxes="n",IF(Filing_Status="m",IF(OR(I7&lt;Single_Rate_Start,Single_Rate_Start=""),IF(AND(I193&gt;='Tax Tables'!I$143,I193&lt;='Tax Tables'!I$144),(I193-'Tax Tables'!I$143)*'Tax Tables'!I$145,IF(I193&gt;='Tax Tables'!I$144,('Tax Tables'!I$144-'Tax Tables'!I$143)*'Tax Tables'!I$145,0)),IF(AND(I193&gt;='Tax Tables'!I$222,I193&lt;='Tax Tables'!I$223),(I193-'Tax Tables'!I$222)*'Tax Tables'!I$224,IF(I193&gt;='Tax Tables'!I$223,('Tax Tables'!I$223-'Tax Tables'!I$222)*'Tax Tables'!I$224,0))),IF(AND(I193&gt;='Tax Tables'!I$222,I193&lt;='Tax Tables'!I$223),(I193-'Tax Tables'!I$222)*'Tax Tables'!I$224,IF(I193&gt;='Tax Tables'!I$223,('Tax Tables'!I$223-'Tax Tables'!I$222)*'Tax Tables'!I$224,0))),0)/Round_To,0)*Round_To</f>
        <v>2000</v>
      </c>
      <c r="J196" s="1124">
        <f>ROUND(IF(Exclude_Taxes="n",IF(Filing_Status="m",IF(OR(J7&lt;Single_Rate_Start,Single_Rate_Start=""),IF(AND(J193&gt;='Tax Tables'!J$143,J193&lt;='Tax Tables'!J$144),(J193-'Tax Tables'!J$143)*'Tax Tables'!J$145,IF(J193&gt;='Tax Tables'!J$144,('Tax Tables'!J$144-'Tax Tables'!J$143)*'Tax Tables'!J$145,0)),IF(AND(J193&gt;='Tax Tables'!J$222,J193&lt;='Tax Tables'!J$223),(J193-'Tax Tables'!J$222)*'Tax Tables'!J$224,IF(J193&gt;='Tax Tables'!J$223,('Tax Tables'!J$223-'Tax Tables'!J$222)*'Tax Tables'!J$224,0))),IF(AND(J193&gt;='Tax Tables'!J$222,J193&lt;='Tax Tables'!J$223),(J193-'Tax Tables'!J$222)*'Tax Tables'!J$224,IF(J193&gt;='Tax Tables'!J$223,('Tax Tables'!J$223-'Tax Tables'!J$222)*'Tax Tables'!J$224,0))),0)/Round_To,0)*Round_To</f>
        <v>2000</v>
      </c>
      <c r="K196" s="1124">
        <f>ROUND(IF(Exclude_Taxes="n",IF(Filing_Status="m",IF(OR(K7&lt;Single_Rate_Start,Single_Rate_Start=""),IF(AND(K193&gt;='Tax Tables'!K$143,K193&lt;='Tax Tables'!K$144),(K193-'Tax Tables'!K$143)*'Tax Tables'!K$145,IF(K193&gt;='Tax Tables'!K$144,('Tax Tables'!K$144-'Tax Tables'!K$143)*'Tax Tables'!K$145,0)),IF(AND(K193&gt;='Tax Tables'!K$222,K193&lt;='Tax Tables'!K$223),(K193-'Tax Tables'!K$222)*'Tax Tables'!K$224,IF(K193&gt;='Tax Tables'!K$223,('Tax Tables'!K$223-'Tax Tables'!K$222)*'Tax Tables'!K$224,0))),IF(AND(K193&gt;='Tax Tables'!K$222,K193&lt;='Tax Tables'!K$223),(K193-'Tax Tables'!K$222)*'Tax Tables'!K$224,IF(K193&gt;='Tax Tables'!K$223,('Tax Tables'!K$223-'Tax Tables'!K$222)*'Tax Tables'!K$224,0))),0)/Round_To,0)*Round_To</f>
        <v>4300</v>
      </c>
      <c r="L196" s="1124">
        <f>ROUND(IF(Exclude_Taxes="n",IF(Filing_Status="m",IF(OR(L7&lt;Single_Rate_Start,Single_Rate_Start=""),IF(AND(L193&gt;='Tax Tables'!L$143,L193&lt;='Tax Tables'!L$144),(L193-'Tax Tables'!L$143)*'Tax Tables'!L$145,IF(L193&gt;='Tax Tables'!L$144,('Tax Tables'!L$144-'Tax Tables'!L$143)*'Tax Tables'!L$145,0)),IF(AND(L193&gt;='Tax Tables'!L$222,L193&lt;='Tax Tables'!L$223),(L193-'Tax Tables'!L$222)*'Tax Tables'!L$224,IF(L193&gt;='Tax Tables'!L$223,('Tax Tables'!L$223-'Tax Tables'!L$222)*'Tax Tables'!L$224,0))),IF(AND(L193&gt;='Tax Tables'!L$222,L193&lt;='Tax Tables'!L$223),(L193-'Tax Tables'!L$222)*'Tax Tables'!L$224,IF(L193&gt;='Tax Tables'!L$223,('Tax Tables'!L$223-'Tax Tables'!L$222)*'Tax Tables'!L$224,0))),0)/Round_To,0)*Round_To</f>
        <v>4300</v>
      </c>
      <c r="M196" s="1124">
        <f>ROUND(IF(Exclude_Taxes="n",IF(Filing_Status="m",IF(OR(M7&lt;Single_Rate_Start,Single_Rate_Start=""),IF(AND(M193&gt;='Tax Tables'!M$143,M193&lt;='Tax Tables'!M$144),(M193-'Tax Tables'!M$143)*'Tax Tables'!M$145,IF(M193&gt;='Tax Tables'!M$144,('Tax Tables'!M$144-'Tax Tables'!M$143)*'Tax Tables'!M$145,0)),IF(AND(M193&gt;='Tax Tables'!M$222,M193&lt;='Tax Tables'!M$223),(M193-'Tax Tables'!M$222)*'Tax Tables'!M$224,IF(M193&gt;='Tax Tables'!M$223,('Tax Tables'!M$223-'Tax Tables'!M$222)*'Tax Tables'!M$224,0))),IF(AND(M193&gt;='Tax Tables'!M$222,M193&lt;='Tax Tables'!M$223),(M193-'Tax Tables'!M$222)*'Tax Tables'!M$224,IF(M193&gt;='Tax Tables'!M$223,('Tax Tables'!M$223-'Tax Tables'!M$222)*'Tax Tables'!M$224,0))),0)/Round_To,0)*Round_To</f>
        <v>4800</v>
      </c>
      <c r="N196" s="1124">
        <f>ROUND(IF(Exclude_Taxes="n",IF(Filing_Status="m",IF(OR(N7&lt;Single_Rate_Start,Single_Rate_Start=""),IF(AND(N193&gt;='Tax Tables'!N$143,N193&lt;='Tax Tables'!N$144),(N193-'Tax Tables'!N$143)*'Tax Tables'!N$145,IF(N193&gt;='Tax Tables'!N$144,('Tax Tables'!N$144-'Tax Tables'!N$143)*'Tax Tables'!N$145,0)),IF(AND(N193&gt;='Tax Tables'!N$222,N193&lt;='Tax Tables'!N$223),(N193-'Tax Tables'!N$222)*'Tax Tables'!N$224,IF(N193&gt;='Tax Tables'!N$223,('Tax Tables'!N$223-'Tax Tables'!N$222)*'Tax Tables'!N$224,0))),IF(AND(N193&gt;='Tax Tables'!N$222,N193&lt;='Tax Tables'!N$223),(N193-'Tax Tables'!N$222)*'Tax Tables'!N$224,IF(N193&gt;='Tax Tables'!N$223,('Tax Tables'!N$223-'Tax Tables'!N$222)*'Tax Tables'!N$224,0))),0)/Round_To,0)*Round_To</f>
        <v>1800</v>
      </c>
      <c r="O196" s="1124">
        <f>ROUND(IF(Exclude_Taxes="n",IF(Filing_Status="m",IF(OR(O7&lt;Single_Rate_Start,Single_Rate_Start=""),IF(AND(O193&gt;='Tax Tables'!O$143,O193&lt;='Tax Tables'!O$144),(O193-'Tax Tables'!O$143)*'Tax Tables'!O$145,IF(O193&gt;='Tax Tables'!O$144,('Tax Tables'!O$144-'Tax Tables'!O$143)*'Tax Tables'!O$145,0)),IF(AND(O193&gt;='Tax Tables'!O$222,O193&lt;='Tax Tables'!O$223),(O193-'Tax Tables'!O$222)*'Tax Tables'!O$224,IF(O193&gt;='Tax Tables'!O$223,('Tax Tables'!O$223-'Tax Tables'!O$222)*'Tax Tables'!O$224,0))),IF(AND(O193&gt;='Tax Tables'!O$222,O193&lt;='Tax Tables'!O$223),(O193-'Tax Tables'!O$222)*'Tax Tables'!O$224,IF(O193&gt;='Tax Tables'!O$223,('Tax Tables'!O$223-'Tax Tables'!O$222)*'Tax Tables'!O$224,0))),0)/Round_To,0)*Round_To</f>
        <v>1800</v>
      </c>
      <c r="P196" s="1124">
        <f>ROUND(IF(Exclude_Taxes="n",IF(Filing_Status="m",IF(OR(P7&lt;Single_Rate_Start,Single_Rate_Start=""),IF(AND(P193&gt;='Tax Tables'!P$143,P193&lt;='Tax Tables'!P$144),(P193-'Tax Tables'!P$143)*'Tax Tables'!P$145,IF(P193&gt;='Tax Tables'!P$144,('Tax Tables'!P$144-'Tax Tables'!P$143)*'Tax Tables'!P$145,0)),IF(AND(P193&gt;='Tax Tables'!P$222,P193&lt;='Tax Tables'!P$223),(P193-'Tax Tables'!P$222)*'Tax Tables'!P$224,IF(P193&gt;='Tax Tables'!P$223,('Tax Tables'!P$223-'Tax Tables'!P$222)*'Tax Tables'!P$224,0))),IF(AND(P193&gt;='Tax Tables'!P$222,P193&lt;='Tax Tables'!P$223),(P193-'Tax Tables'!P$222)*'Tax Tables'!P$224,IF(P193&gt;='Tax Tables'!P$223,('Tax Tables'!P$223-'Tax Tables'!P$222)*'Tax Tables'!P$224,0))),0)/Round_To,0)*Round_To</f>
        <v>1900</v>
      </c>
      <c r="Q196" s="1124">
        <f>ROUND(IF(Exclude_Taxes="n",IF(Filing_Status="m",IF(OR(Q7&lt;Single_Rate_Start,Single_Rate_Start=""),IF(AND(Q193&gt;='Tax Tables'!Q$143,Q193&lt;='Tax Tables'!Q$144),(Q193-'Tax Tables'!Q$143)*'Tax Tables'!Q$145,IF(Q193&gt;='Tax Tables'!Q$144,('Tax Tables'!Q$144-'Tax Tables'!Q$143)*'Tax Tables'!Q$145,0)),IF(AND(Q193&gt;='Tax Tables'!Q$222,Q193&lt;='Tax Tables'!Q$223),(Q193-'Tax Tables'!Q$222)*'Tax Tables'!Q$224,IF(Q193&gt;='Tax Tables'!Q$223,('Tax Tables'!Q$223-'Tax Tables'!Q$222)*'Tax Tables'!Q$224,0))),IF(AND(Q193&gt;='Tax Tables'!Q$222,Q193&lt;='Tax Tables'!Q$223),(Q193-'Tax Tables'!Q$222)*'Tax Tables'!Q$224,IF(Q193&gt;='Tax Tables'!Q$223,('Tax Tables'!Q$223-'Tax Tables'!Q$222)*'Tax Tables'!Q$224,0))),0)/Round_To,0)*Round_To</f>
        <v>2100</v>
      </c>
      <c r="R196" s="1124">
        <f>ROUND(IF(Exclude_Taxes="n",IF(Filing_Status="m",IF(OR(R7&lt;Single_Rate_Start,Single_Rate_Start=""),IF(AND(R193&gt;='Tax Tables'!R$143,R193&lt;='Tax Tables'!R$144),(R193-'Tax Tables'!R$143)*'Tax Tables'!R$145,IF(R193&gt;='Tax Tables'!R$144,('Tax Tables'!R$144-'Tax Tables'!R$143)*'Tax Tables'!R$145,0)),IF(AND(R193&gt;='Tax Tables'!R$222,R193&lt;='Tax Tables'!R$223),(R193-'Tax Tables'!R$222)*'Tax Tables'!R$224,IF(R193&gt;='Tax Tables'!R$223,('Tax Tables'!R$223-'Tax Tables'!R$222)*'Tax Tables'!R$224,0))),IF(AND(R193&gt;='Tax Tables'!R$222,R193&lt;='Tax Tables'!R$223),(R193-'Tax Tables'!R$222)*'Tax Tables'!R$224,IF(R193&gt;='Tax Tables'!R$223,('Tax Tables'!R$223-'Tax Tables'!R$222)*'Tax Tables'!R$224,0))),0)/Round_To,0)*Round_To</f>
        <v>3400</v>
      </c>
      <c r="S196" s="1124">
        <f>ROUND(IF(Exclude_Taxes="n",IF(Filing_Status="m",IF(OR(S7&lt;Single_Rate_Start,Single_Rate_Start=""),IF(AND(S193&gt;='Tax Tables'!S$143,S193&lt;='Tax Tables'!S$144),(S193-'Tax Tables'!S$143)*'Tax Tables'!S$145,IF(S193&gt;='Tax Tables'!S$144,('Tax Tables'!S$144-'Tax Tables'!S$143)*'Tax Tables'!S$145,0)),IF(AND(S193&gt;='Tax Tables'!S$222,S193&lt;='Tax Tables'!S$223),(S193-'Tax Tables'!S$222)*'Tax Tables'!S$224,IF(S193&gt;='Tax Tables'!S$223,('Tax Tables'!S$223-'Tax Tables'!S$222)*'Tax Tables'!S$224,0))),IF(AND(S193&gt;='Tax Tables'!S$222,S193&lt;='Tax Tables'!S$223),(S193-'Tax Tables'!S$222)*'Tax Tables'!S$224,IF(S193&gt;='Tax Tables'!S$223,('Tax Tables'!S$223-'Tax Tables'!S$222)*'Tax Tables'!S$224,0))),0)/Round_To,0)*Round_To</f>
        <v>3700</v>
      </c>
      <c r="T196" s="1124">
        <f>ROUND(IF(Exclude_Taxes="n",IF(Filing_Status="m",IF(OR(T7&lt;Single_Rate_Start,Single_Rate_Start=""),IF(AND(T193&gt;='Tax Tables'!T$143,T193&lt;='Tax Tables'!T$144),(T193-'Tax Tables'!T$143)*'Tax Tables'!T$145,IF(T193&gt;='Tax Tables'!T$144,('Tax Tables'!T$144-'Tax Tables'!T$143)*'Tax Tables'!T$145,0)),IF(AND(T193&gt;='Tax Tables'!T$222,T193&lt;='Tax Tables'!T$223),(T193-'Tax Tables'!T$222)*'Tax Tables'!T$224,IF(T193&gt;='Tax Tables'!T$223,('Tax Tables'!T$223-'Tax Tables'!T$222)*'Tax Tables'!T$224,0))),IF(AND(T193&gt;='Tax Tables'!T$222,T193&lt;='Tax Tables'!T$223),(T193-'Tax Tables'!T$222)*'Tax Tables'!T$224,IF(T193&gt;='Tax Tables'!T$223,('Tax Tables'!T$223-'Tax Tables'!T$222)*'Tax Tables'!T$224,0))),0)/Round_To,0)*Round_To</f>
        <v>6700</v>
      </c>
      <c r="U196" s="1124">
        <f>ROUND(IF(Exclude_Taxes="n",IF(Filing_Status="m",IF(OR(U7&lt;Single_Rate_Start,Single_Rate_Start=""),IF(AND(U193&gt;='Tax Tables'!U$143,U193&lt;='Tax Tables'!U$144),(U193-'Tax Tables'!U$143)*'Tax Tables'!U$145,IF(U193&gt;='Tax Tables'!U$144,('Tax Tables'!U$144-'Tax Tables'!U$143)*'Tax Tables'!U$145,0)),IF(AND(U193&gt;='Tax Tables'!U$222,U193&lt;='Tax Tables'!U$223),(U193-'Tax Tables'!U$222)*'Tax Tables'!U$224,IF(U193&gt;='Tax Tables'!U$223,('Tax Tables'!U$223-'Tax Tables'!U$222)*'Tax Tables'!U$224,0))),IF(AND(U193&gt;='Tax Tables'!U$222,U193&lt;='Tax Tables'!U$223),(U193-'Tax Tables'!U$222)*'Tax Tables'!U$224,IF(U193&gt;='Tax Tables'!U$223,('Tax Tables'!U$223-'Tax Tables'!U$222)*'Tax Tables'!U$224,0))),0)/Round_To,0)*Round_To</f>
        <v>8200</v>
      </c>
      <c r="V196" s="1124">
        <f>ROUND(IF(Exclude_Taxes="n",IF(Filing_Status="m",IF(OR(V7&lt;Single_Rate_Start,Single_Rate_Start=""),IF(AND(V193&gt;='Tax Tables'!V$143,V193&lt;='Tax Tables'!V$144),(V193-'Tax Tables'!V$143)*'Tax Tables'!V$145,IF(V193&gt;='Tax Tables'!V$144,('Tax Tables'!V$144-'Tax Tables'!V$143)*'Tax Tables'!V$145,0)),IF(AND(V193&gt;='Tax Tables'!V$222,V193&lt;='Tax Tables'!V$223),(V193-'Tax Tables'!V$222)*'Tax Tables'!V$224,IF(V193&gt;='Tax Tables'!V$223,('Tax Tables'!V$223-'Tax Tables'!V$222)*'Tax Tables'!V$224,0))),IF(AND(V193&gt;='Tax Tables'!V$222,V193&lt;='Tax Tables'!V$223),(V193-'Tax Tables'!V$222)*'Tax Tables'!V$224,IF(V193&gt;='Tax Tables'!V$223,('Tax Tables'!V$223-'Tax Tables'!V$222)*'Tax Tables'!V$224,0))),0)/Round_To,0)*Round_To</f>
        <v>7400</v>
      </c>
      <c r="W196" s="1124">
        <f>ROUND(IF(Exclude_Taxes="n",IF(Filing_Status="m",IF(OR(W7&lt;Single_Rate_Start,Single_Rate_Start=""),IF(AND(W193&gt;='Tax Tables'!W$143,W193&lt;='Tax Tables'!W$144),(W193-'Tax Tables'!W$143)*'Tax Tables'!W$145,IF(W193&gt;='Tax Tables'!W$144,('Tax Tables'!W$144-'Tax Tables'!W$143)*'Tax Tables'!W$145,0)),IF(AND(W193&gt;='Tax Tables'!W$222,W193&lt;='Tax Tables'!W$223),(W193-'Tax Tables'!W$222)*'Tax Tables'!W$224,IF(W193&gt;='Tax Tables'!W$223,('Tax Tables'!W$223-'Tax Tables'!W$222)*'Tax Tables'!W$224,0))),IF(AND(W193&gt;='Tax Tables'!W$222,W193&lt;='Tax Tables'!W$223),(W193-'Tax Tables'!W$222)*'Tax Tables'!W$224,IF(W193&gt;='Tax Tables'!W$223,('Tax Tables'!W$223-'Tax Tables'!W$222)*'Tax Tables'!W$224,0))),0)/Round_To,0)*Round_To</f>
        <v>7700</v>
      </c>
      <c r="X196" s="1124">
        <f>ROUND(IF(Exclude_Taxes="n",IF(Filing_Status="m",IF(OR(X7&lt;Single_Rate_Start,Single_Rate_Start=""),IF(AND(X193&gt;='Tax Tables'!X$143,X193&lt;='Tax Tables'!X$144),(X193-'Tax Tables'!X$143)*'Tax Tables'!X$145,IF(X193&gt;='Tax Tables'!X$144,('Tax Tables'!X$144-'Tax Tables'!X$143)*'Tax Tables'!X$145,0)),IF(AND(X193&gt;='Tax Tables'!X$222,X193&lt;='Tax Tables'!X$223),(X193-'Tax Tables'!X$222)*'Tax Tables'!X$224,IF(X193&gt;='Tax Tables'!X$223,('Tax Tables'!X$223-'Tax Tables'!X$222)*'Tax Tables'!X$224,0))),IF(AND(X193&gt;='Tax Tables'!X$222,X193&lt;='Tax Tables'!X$223),(X193-'Tax Tables'!X$222)*'Tax Tables'!X$224,IF(X193&gt;='Tax Tables'!X$223,('Tax Tables'!X$223-'Tax Tables'!X$222)*'Tax Tables'!X$224,0))),0)/Round_To,0)*Round_To</f>
        <v>6800</v>
      </c>
      <c r="Y196" s="1124">
        <f>ROUND(IF(Exclude_Taxes="n",IF(Filing_Status="m",IF(OR(Y7&lt;Single_Rate_Start,Single_Rate_Start=""),IF(AND(Y193&gt;='Tax Tables'!Y$143,Y193&lt;='Tax Tables'!Y$144),(Y193-'Tax Tables'!Y$143)*'Tax Tables'!Y$145,IF(Y193&gt;='Tax Tables'!Y$144,('Tax Tables'!Y$144-'Tax Tables'!Y$143)*'Tax Tables'!Y$145,0)),IF(AND(Y193&gt;='Tax Tables'!Y$222,Y193&lt;='Tax Tables'!Y$223),(Y193-'Tax Tables'!Y$222)*'Tax Tables'!Y$224,IF(Y193&gt;='Tax Tables'!Y$223,('Tax Tables'!Y$223-'Tax Tables'!Y$222)*'Tax Tables'!Y$224,0))),IF(AND(Y193&gt;='Tax Tables'!Y$222,Y193&lt;='Tax Tables'!Y$223),(Y193-'Tax Tables'!Y$222)*'Tax Tables'!Y$224,IF(Y193&gt;='Tax Tables'!Y$223,('Tax Tables'!Y$223-'Tax Tables'!Y$222)*'Tax Tables'!Y$224,0))),0)/Round_To,0)*Round_To</f>
        <v>7000</v>
      </c>
      <c r="Z196" s="1124">
        <f>ROUND(IF(Exclude_Taxes="n",IF(Filing_Status="m",IF(OR(Z7&lt;Single_Rate_Start,Single_Rate_Start=""),IF(AND(Z193&gt;='Tax Tables'!Z$143,Z193&lt;='Tax Tables'!Z$144),(Z193-'Tax Tables'!Z$143)*'Tax Tables'!Z$145,IF(Z193&gt;='Tax Tables'!Z$144,('Tax Tables'!Z$144-'Tax Tables'!Z$143)*'Tax Tables'!Z$145,0)),IF(AND(Z193&gt;='Tax Tables'!Z$222,Z193&lt;='Tax Tables'!Z$223),(Z193-'Tax Tables'!Z$222)*'Tax Tables'!Z$224,IF(Z193&gt;='Tax Tables'!Z$223,('Tax Tables'!Z$223-'Tax Tables'!Z$222)*'Tax Tables'!Z$224,0))),IF(AND(Z193&gt;='Tax Tables'!Z$222,Z193&lt;='Tax Tables'!Z$223),(Z193-'Tax Tables'!Z$222)*'Tax Tables'!Z$224,IF(Z193&gt;='Tax Tables'!Z$223,('Tax Tables'!Z$223-'Tax Tables'!Z$222)*'Tax Tables'!Z$224,0))),0)/Round_To,0)*Round_To</f>
        <v>7300</v>
      </c>
      <c r="AA196" s="1124">
        <f>ROUND(IF(Exclude_Taxes="n",IF(Filing_Status="m",IF(OR(AA7&lt;Single_Rate_Start,Single_Rate_Start=""),IF(AND(AA193&gt;='Tax Tables'!AA$143,AA193&lt;='Tax Tables'!AA$144),(AA193-'Tax Tables'!AA$143)*'Tax Tables'!AA$145,IF(AA193&gt;='Tax Tables'!AA$144,('Tax Tables'!AA$144-'Tax Tables'!AA$143)*'Tax Tables'!AA$145,0)),IF(AND(AA193&gt;='Tax Tables'!AA$222,AA193&lt;='Tax Tables'!AA$223),(AA193-'Tax Tables'!AA$222)*'Tax Tables'!AA$224,IF(AA193&gt;='Tax Tables'!AA$223,('Tax Tables'!AA$223-'Tax Tables'!AA$222)*'Tax Tables'!AA$224,0))),IF(AND(AA193&gt;='Tax Tables'!AA$222,AA193&lt;='Tax Tables'!AA$223),(AA193-'Tax Tables'!AA$222)*'Tax Tables'!AA$224,IF(AA193&gt;='Tax Tables'!AA$223,('Tax Tables'!AA$223-'Tax Tables'!AA$222)*'Tax Tables'!AA$224,0))),0)/Round_To,0)*Round_To</f>
        <v>7700</v>
      </c>
      <c r="AB196" s="1124">
        <f>ROUND(IF(Exclude_Taxes="n",IF(Filing_Status="m",IF(OR(AB7&lt;Single_Rate_Start,Single_Rate_Start=""),IF(AND(AB193&gt;='Tax Tables'!AB$143,AB193&lt;='Tax Tables'!AB$144),(AB193-'Tax Tables'!AB$143)*'Tax Tables'!AB$145,IF(AB193&gt;='Tax Tables'!AB$144,('Tax Tables'!AB$144-'Tax Tables'!AB$143)*'Tax Tables'!AB$145,0)),IF(AND(AB193&gt;='Tax Tables'!AB$222,AB193&lt;='Tax Tables'!AB$223),(AB193-'Tax Tables'!AB$222)*'Tax Tables'!AB$224,IF(AB193&gt;='Tax Tables'!AB$223,('Tax Tables'!AB$223-'Tax Tables'!AB$222)*'Tax Tables'!AB$224,0))),IF(AND(AB193&gt;='Tax Tables'!AB$222,AB193&lt;='Tax Tables'!AB$223),(AB193-'Tax Tables'!AB$222)*'Tax Tables'!AB$224,IF(AB193&gt;='Tax Tables'!AB$223,('Tax Tables'!AB$223-'Tax Tables'!AB$222)*'Tax Tables'!AB$224,0))),0)/Round_To,0)*Round_To</f>
        <v>8100</v>
      </c>
      <c r="AC196" s="1124">
        <f>ROUND(IF(Exclude_Taxes="n",IF(Filing_Status="m",IF(OR(AC7&lt;Single_Rate_Start,Single_Rate_Start=""),IF(AND(AC193&gt;='Tax Tables'!AC$143,AC193&lt;='Tax Tables'!AC$144),(AC193-'Tax Tables'!AC$143)*'Tax Tables'!AC$145,IF(AC193&gt;='Tax Tables'!AC$144,('Tax Tables'!AC$144-'Tax Tables'!AC$143)*'Tax Tables'!AC$145,0)),IF(AND(AC193&gt;='Tax Tables'!AC$222,AC193&lt;='Tax Tables'!AC$223),(AC193-'Tax Tables'!AC$222)*'Tax Tables'!AC$224,IF(AC193&gt;='Tax Tables'!AC$223,('Tax Tables'!AC$223-'Tax Tables'!AC$222)*'Tax Tables'!AC$224,0))),IF(AND(AC193&gt;='Tax Tables'!AC$222,AC193&lt;='Tax Tables'!AC$223),(AC193-'Tax Tables'!AC$222)*'Tax Tables'!AC$224,IF(AC193&gt;='Tax Tables'!AC$223,('Tax Tables'!AC$223-'Tax Tables'!AC$222)*'Tax Tables'!AC$224,0))),0)/Round_To,0)*Round_To</f>
        <v>9000</v>
      </c>
      <c r="AD196" s="1124">
        <f>ROUND(IF(Exclude_Taxes="n",IF(Filing_Status="m",IF(OR(AD7&lt;Single_Rate_Start,Single_Rate_Start=""),IF(AND(AD193&gt;='Tax Tables'!AD$143,AD193&lt;='Tax Tables'!AD$144),(AD193-'Tax Tables'!AD$143)*'Tax Tables'!AD$145,IF(AD193&gt;='Tax Tables'!AD$144,('Tax Tables'!AD$144-'Tax Tables'!AD$143)*'Tax Tables'!AD$145,0)),IF(AND(AD193&gt;='Tax Tables'!AD$222,AD193&lt;='Tax Tables'!AD$223),(AD193-'Tax Tables'!AD$222)*'Tax Tables'!AD$224,IF(AD193&gt;='Tax Tables'!AD$223,('Tax Tables'!AD$223-'Tax Tables'!AD$222)*'Tax Tables'!AD$224,0))),IF(AND(AD193&gt;='Tax Tables'!AD$222,AD193&lt;='Tax Tables'!AD$223),(AD193-'Tax Tables'!AD$222)*'Tax Tables'!AD$224,IF(AD193&gt;='Tax Tables'!AD$223,('Tax Tables'!AD$223-'Tax Tables'!AD$222)*'Tax Tables'!AD$224,0))),0)/Round_To,0)*Round_To</f>
        <v>6100</v>
      </c>
      <c r="AE196" s="1124">
        <f>ROUND(IF(Exclude_Taxes="n",IF(Filing_Status="m",IF(OR(AE7&lt;Single_Rate_Start,Single_Rate_Start=""),IF(AND(AE193&gt;='Tax Tables'!AE$143,AE193&lt;='Tax Tables'!AE$144),(AE193-'Tax Tables'!AE$143)*'Tax Tables'!AE$145,IF(AE193&gt;='Tax Tables'!AE$144,('Tax Tables'!AE$144-'Tax Tables'!AE$143)*'Tax Tables'!AE$145,0)),IF(AND(AE193&gt;='Tax Tables'!AE$222,AE193&lt;='Tax Tables'!AE$223),(AE193-'Tax Tables'!AE$222)*'Tax Tables'!AE$224,IF(AE193&gt;='Tax Tables'!AE$223,('Tax Tables'!AE$223-'Tax Tables'!AE$222)*'Tax Tables'!AE$224,0))),IF(AND(AE193&gt;='Tax Tables'!AE$222,AE193&lt;='Tax Tables'!AE$223),(AE193-'Tax Tables'!AE$222)*'Tax Tables'!AE$224,IF(AE193&gt;='Tax Tables'!AE$223,('Tax Tables'!AE$223-'Tax Tables'!AE$222)*'Tax Tables'!AE$224,0))),0)/Round_To,0)*Round_To</f>
        <v>6200</v>
      </c>
      <c r="AF196" s="1124">
        <f>ROUND(IF(Exclude_Taxes="n",IF(Filing_Status="m",IF(OR(AF7&lt;Single_Rate_Start,Single_Rate_Start=""),IF(AND(AF193&gt;='Tax Tables'!AF$143,AF193&lt;='Tax Tables'!AF$144),(AF193-'Tax Tables'!AF$143)*'Tax Tables'!AF$145,IF(AF193&gt;='Tax Tables'!AF$144,('Tax Tables'!AF$144-'Tax Tables'!AF$143)*'Tax Tables'!AF$145,0)),IF(AND(AF193&gt;='Tax Tables'!AF$222,AF193&lt;='Tax Tables'!AF$223),(AF193-'Tax Tables'!AF$222)*'Tax Tables'!AF$224,IF(AF193&gt;='Tax Tables'!AF$223,('Tax Tables'!AF$223-'Tax Tables'!AF$222)*'Tax Tables'!AF$224,0))),IF(AND(AF193&gt;='Tax Tables'!AF$222,AF193&lt;='Tax Tables'!AF$223),(AF193-'Tax Tables'!AF$222)*'Tax Tables'!AF$224,IF(AF193&gt;='Tax Tables'!AF$223,('Tax Tables'!AF$223-'Tax Tables'!AF$222)*'Tax Tables'!AF$224,0))),0)/Round_To,0)*Round_To</f>
        <v>6300</v>
      </c>
      <c r="AG196" s="1124">
        <f>ROUND(IF(Exclude_Taxes="n",IF(Filing_Status="m",IF(OR(AG7&lt;Single_Rate_Start,Single_Rate_Start=""),IF(AND(AG193&gt;='Tax Tables'!AG$143,AG193&lt;='Tax Tables'!AG$144),(AG193-'Tax Tables'!AG$143)*'Tax Tables'!AG$145,IF(AG193&gt;='Tax Tables'!AG$144,('Tax Tables'!AG$144-'Tax Tables'!AG$143)*'Tax Tables'!AG$145,0)),IF(AND(AG193&gt;='Tax Tables'!AG$222,AG193&lt;='Tax Tables'!AG$223),(AG193-'Tax Tables'!AG$222)*'Tax Tables'!AG$224,IF(AG193&gt;='Tax Tables'!AG$223,('Tax Tables'!AG$223-'Tax Tables'!AG$222)*'Tax Tables'!AG$224,0))),IF(AND(AG193&gt;='Tax Tables'!AG$222,AG193&lt;='Tax Tables'!AG$223),(AG193-'Tax Tables'!AG$222)*'Tax Tables'!AG$224,IF(AG193&gt;='Tax Tables'!AG$223,('Tax Tables'!AG$223-'Tax Tables'!AG$222)*'Tax Tables'!AG$224,0))),0)/Round_To,0)*Round_To</f>
        <v>6500</v>
      </c>
      <c r="AH196" s="1124">
        <f>ROUND(IF(Exclude_Taxes="n",IF(Filing_Status="m",IF(OR(AH7&lt;Single_Rate_Start,Single_Rate_Start=""),IF(AND(AH193&gt;='Tax Tables'!AH$143,AH193&lt;='Tax Tables'!AH$144),(AH193-'Tax Tables'!AH$143)*'Tax Tables'!AH$145,IF(AH193&gt;='Tax Tables'!AH$144,('Tax Tables'!AH$144-'Tax Tables'!AH$143)*'Tax Tables'!AH$145,0)),IF(AND(AH193&gt;='Tax Tables'!AH$222,AH193&lt;='Tax Tables'!AH$223),(AH193-'Tax Tables'!AH$222)*'Tax Tables'!AH$224,IF(AH193&gt;='Tax Tables'!AH$223,('Tax Tables'!AH$223-'Tax Tables'!AH$222)*'Tax Tables'!AH$224,0))),IF(AND(AH193&gt;='Tax Tables'!AH$222,AH193&lt;='Tax Tables'!AH$223),(AH193-'Tax Tables'!AH$222)*'Tax Tables'!AH$224,IF(AH193&gt;='Tax Tables'!AH$223,('Tax Tables'!AH$223-'Tax Tables'!AH$222)*'Tax Tables'!AH$224,0))),0)/Round_To,0)*Round_To</f>
        <v>6600</v>
      </c>
      <c r="AI196" s="1124">
        <f>ROUND(IF(Exclude_Taxes="n",IF(Filing_Status="m",IF(OR(AI7&lt;Single_Rate_Start,Single_Rate_Start=""),IF(AND(AI193&gt;='Tax Tables'!AI$143,AI193&lt;='Tax Tables'!AI$144),(AI193-'Tax Tables'!AI$143)*'Tax Tables'!AI$145,IF(AI193&gt;='Tax Tables'!AI$144,('Tax Tables'!AI$144-'Tax Tables'!AI$143)*'Tax Tables'!AI$145,0)),IF(AND(AI193&gt;='Tax Tables'!AI$222,AI193&lt;='Tax Tables'!AI$223),(AI193-'Tax Tables'!AI$222)*'Tax Tables'!AI$224,IF(AI193&gt;='Tax Tables'!AI$223,('Tax Tables'!AI$223-'Tax Tables'!AI$222)*'Tax Tables'!AI$224,0))),IF(AND(AI193&gt;='Tax Tables'!AI$222,AI193&lt;='Tax Tables'!AI$223),(AI193-'Tax Tables'!AI$222)*'Tax Tables'!AI$224,IF(AI193&gt;='Tax Tables'!AI$223,('Tax Tables'!AI$223-'Tax Tables'!AI$222)*'Tax Tables'!AI$224,0))),0)/Round_To,0)*Round_To</f>
        <v>6700</v>
      </c>
      <c r="AJ196" s="1124">
        <f>ROUND(IF(Exclude_Taxes="n",IF(Filing_Status="m",IF(OR(AJ7&lt;Single_Rate_Start,Single_Rate_Start=""),IF(AND(AJ193&gt;='Tax Tables'!AJ$143,AJ193&lt;='Tax Tables'!AJ$144),(AJ193-'Tax Tables'!AJ$143)*'Tax Tables'!AJ$145,IF(AJ193&gt;='Tax Tables'!AJ$144,('Tax Tables'!AJ$144-'Tax Tables'!AJ$143)*'Tax Tables'!AJ$145,0)),IF(AND(AJ193&gt;='Tax Tables'!AJ$222,AJ193&lt;='Tax Tables'!AJ$223),(AJ193-'Tax Tables'!AJ$222)*'Tax Tables'!AJ$224,IF(AJ193&gt;='Tax Tables'!AJ$223,('Tax Tables'!AJ$223-'Tax Tables'!AJ$222)*'Tax Tables'!AJ$224,0))),IF(AND(AJ193&gt;='Tax Tables'!AJ$222,AJ193&lt;='Tax Tables'!AJ$223),(AJ193-'Tax Tables'!AJ$222)*'Tax Tables'!AJ$224,IF(AJ193&gt;='Tax Tables'!AJ$223,('Tax Tables'!AJ$223-'Tax Tables'!AJ$222)*'Tax Tables'!AJ$224,0))),0)/Round_To,0)*Round_To</f>
        <v>0</v>
      </c>
      <c r="AK196" s="1124">
        <f>ROUND(IF(Exclude_Taxes="n",IF(Filing_Status="m",IF(OR(AK7&lt;Single_Rate_Start,Single_Rate_Start=""),IF(AND(AK193&gt;='Tax Tables'!AK$143,AK193&lt;='Tax Tables'!AK$144),(AK193-'Tax Tables'!AK$143)*'Tax Tables'!AK$145,IF(AK193&gt;='Tax Tables'!AK$144,('Tax Tables'!AK$144-'Tax Tables'!AK$143)*'Tax Tables'!AK$145,0)),IF(AND(AK193&gt;='Tax Tables'!AK$222,AK193&lt;='Tax Tables'!AK$223),(AK193-'Tax Tables'!AK$222)*'Tax Tables'!AK$224,IF(AK193&gt;='Tax Tables'!AK$223,('Tax Tables'!AK$223-'Tax Tables'!AK$222)*'Tax Tables'!AK$224,0))),IF(AND(AK193&gt;='Tax Tables'!AK$222,AK193&lt;='Tax Tables'!AK$223),(AK193-'Tax Tables'!AK$222)*'Tax Tables'!AK$224,IF(AK193&gt;='Tax Tables'!AK$223,('Tax Tables'!AK$223-'Tax Tables'!AK$222)*'Tax Tables'!AK$224,0))),0)/Round_To,0)*Round_To</f>
        <v>0</v>
      </c>
      <c r="AL196" s="1124">
        <f>ROUND(IF(Exclude_Taxes="n",IF(Filing_Status="m",IF(OR(AL7&lt;Single_Rate_Start,Single_Rate_Start=""),IF(AND(AL193&gt;='Tax Tables'!AL$143,AL193&lt;='Tax Tables'!AL$144),(AL193-'Tax Tables'!AL$143)*'Tax Tables'!AL$145,IF(AL193&gt;='Tax Tables'!AL$144,('Tax Tables'!AL$144-'Tax Tables'!AL$143)*'Tax Tables'!AL$145,0)),IF(AND(AL193&gt;='Tax Tables'!AL$222,AL193&lt;='Tax Tables'!AL$223),(AL193-'Tax Tables'!AL$222)*'Tax Tables'!AL$224,IF(AL193&gt;='Tax Tables'!AL$223,('Tax Tables'!AL$223-'Tax Tables'!AL$222)*'Tax Tables'!AL$224,0))),IF(AND(AL193&gt;='Tax Tables'!AL$222,AL193&lt;='Tax Tables'!AL$223),(AL193-'Tax Tables'!AL$222)*'Tax Tables'!AL$224,IF(AL193&gt;='Tax Tables'!AL$223,('Tax Tables'!AL$223-'Tax Tables'!AL$222)*'Tax Tables'!AL$224,0))),0)/Round_To,0)*Round_To</f>
        <v>0</v>
      </c>
      <c r="AM196" s="1124">
        <f>ROUND(IF(Exclude_Taxes="n",IF(Filing_Status="m",IF(OR(AM7&lt;Single_Rate_Start,Single_Rate_Start=""),IF(AND(AM193&gt;='Tax Tables'!AM$143,AM193&lt;='Tax Tables'!AM$144),(AM193-'Tax Tables'!AM$143)*'Tax Tables'!AM$145,IF(AM193&gt;='Tax Tables'!AM$144,('Tax Tables'!AM$144-'Tax Tables'!AM$143)*'Tax Tables'!AM$145,0)),IF(AND(AM193&gt;='Tax Tables'!AM$222,AM193&lt;='Tax Tables'!AM$223),(AM193-'Tax Tables'!AM$222)*'Tax Tables'!AM$224,IF(AM193&gt;='Tax Tables'!AM$223,('Tax Tables'!AM$223-'Tax Tables'!AM$222)*'Tax Tables'!AM$224,0))),IF(AND(AM193&gt;='Tax Tables'!AM$222,AM193&lt;='Tax Tables'!AM$223),(AM193-'Tax Tables'!AM$222)*'Tax Tables'!AM$224,IF(AM193&gt;='Tax Tables'!AM$223,('Tax Tables'!AM$223-'Tax Tables'!AM$222)*'Tax Tables'!AM$224,0))),0)/Round_To,0)*Round_To</f>
        <v>0</v>
      </c>
      <c r="AN196" s="1124">
        <f>ROUND(IF(Exclude_Taxes="n",IF(Filing_Status="m",IF(OR(AN7&lt;Single_Rate_Start,Single_Rate_Start=""),IF(AND(AN193&gt;='Tax Tables'!AN$143,AN193&lt;='Tax Tables'!AN$144),(AN193-'Tax Tables'!AN$143)*'Tax Tables'!AN$145,IF(AN193&gt;='Tax Tables'!AN$144,('Tax Tables'!AN$144-'Tax Tables'!AN$143)*'Tax Tables'!AN$145,0)),IF(AND(AN193&gt;='Tax Tables'!AN$222,AN193&lt;='Tax Tables'!AN$223),(AN193-'Tax Tables'!AN$222)*'Tax Tables'!AN$224,IF(AN193&gt;='Tax Tables'!AN$223,('Tax Tables'!AN$223-'Tax Tables'!AN$222)*'Tax Tables'!AN$224,0))),IF(AND(AN193&gt;='Tax Tables'!AN$222,AN193&lt;='Tax Tables'!AN$223),(AN193-'Tax Tables'!AN$222)*'Tax Tables'!AN$224,IF(AN193&gt;='Tax Tables'!AN$223,('Tax Tables'!AN$223-'Tax Tables'!AN$222)*'Tax Tables'!AN$224,0))),0)/Round_To,0)*Round_To</f>
        <v>0</v>
      </c>
      <c r="AO196" s="1124">
        <f>ROUND(IF(Exclude_Taxes="n",IF(Filing_Status="m",IF(OR(AO7&lt;Single_Rate_Start,Single_Rate_Start=""),IF(AND(AO193&gt;='Tax Tables'!AO$143,AO193&lt;='Tax Tables'!AO$144),(AO193-'Tax Tables'!AO$143)*'Tax Tables'!AO$145,IF(AO193&gt;='Tax Tables'!AO$144,('Tax Tables'!AO$144-'Tax Tables'!AO$143)*'Tax Tables'!AO$145,0)),IF(AND(AO193&gt;='Tax Tables'!AO$222,AO193&lt;='Tax Tables'!AO$223),(AO193-'Tax Tables'!AO$222)*'Tax Tables'!AO$224,IF(AO193&gt;='Tax Tables'!AO$223,('Tax Tables'!AO$223-'Tax Tables'!AO$222)*'Tax Tables'!AO$224,0))),IF(AND(AO193&gt;='Tax Tables'!AO$222,AO193&lt;='Tax Tables'!AO$223),(AO193-'Tax Tables'!AO$222)*'Tax Tables'!AO$224,IF(AO193&gt;='Tax Tables'!AO$223,('Tax Tables'!AO$223-'Tax Tables'!AO$222)*'Tax Tables'!AO$224,0))),0)/Round_To,0)*Round_To</f>
        <v>0</v>
      </c>
      <c r="AP196" s="1124">
        <f>ROUND(IF(Exclude_Taxes="n",IF(Filing_Status="m",IF(OR(AP7&lt;Single_Rate_Start,Single_Rate_Start=""),IF(AND(AP193&gt;='Tax Tables'!AP$143,AP193&lt;='Tax Tables'!AP$144),(AP193-'Tax Tables'!AP$143)*'Tax Tables'!AP$145,IF(AP193&gt;='Tax Tables'!AP$144,('Tax Tables'!AP$144-'Tax Tables'!AP$143)*'Tax Tables'!AP$145,0)),IF(AND(AP193&gt;='Tax Tables'!AP$222,AP193&lt;='Tax Tables'!AP$223),(AP193-'Tax Tables'!AP$222)*'Tax Tables'!AP$224,IF(AP193&gt;='Tax Tables'!AP$223,('Tax Tables'!AP$223-'Tax Tables'!AP$222)*'Tax Tables'!AP$224,0))),IF(AND(AP193&gt;='Tax Tables'!AP$222,AP193&lt;='Tax Tables'!AP$223),(AP193-'Tax Tables'!AP$222)*'Tax Tables'!AP$224,IF(AP193&gt;='Tax Tables'!AP$223,('Tax Tables'!AP$223-'Tax Tables'!AP$222)*'Tax Tables'!AP$224,0))),0)/Round_To,0)*Round_To</f>
        <v>0</v>
      </c>
      <c r="AQ196" s="1124">
        <f>ROUND(IF(Exclude_Taxes="n",IF(Filing_Status="m",IF(OR(AQ7&lt;Single_Rate_Start,Single_Rate_Start=""),IF(AND(AQ193&gt;='Tax Tables'!AQ$143,AQ193&lt;='Tax Tables'!AQ$144),(AQ193-'Tax Tables'!AQ$143)*'Tax Tables'!AQ$145,IF(AQ193&gt;='Tax Tables'!AQ$144,('Tax Tables'!AQ$144-'Tax Tables'!AQ$143)*'Tax Tables'!AQ$145,0)),IF(AND(AQ193&gt;='Tax Tables'!AQ$222,AQ193&lt;='Tax Tables'!AQ$223),(AQ193-'Tax Tables'!AQ$222)*'Tax Tables'!AQ$224,IF(AQ193&gt;='Tax Tables'!AQ$223,('Tax Tables'!AQ$223-'Tax Tables'!AQ$222)*'Tax Tables'!AQ$224,0))),IF(AND(AQ193&gt;='Tax Tables'!AQ$222,AQ193&lt;='Tax Tables'!AQ$223),(AQ193-'Tax Tables'!AQ$222)*'Tax Tables'!AQ$224,IF(AQ193&gt;='Tax Tables'!AQ$223,('Tax Tables'!AQ$223-'Tax Tables'!AQ$222)*'Tax Tables'!AQ$224,0))),0)/Round_To,0)*Round_To</f>
        <v>0</v>
      </c>
      <c r="AR196" s="1124">
        <f>ROUND(IF(Exclude_Taxes="n",IF(Filing_Status="m",IF(OR(AR7&lt;Single_Rate_Start,Single_Rate_Start=""),IF(AND(AR193&gt;='Tax Tables'!AR$143,AR193&lt;='Tax Tables'!AR$144),(AR193-'Tax Tables'!AR$143)*'Tax Tables'!AR$145,IF(AR193&gt;='Tax Tables'!AR$144,('Tax Tables'!AR$144-'Tax Tables'!AR$143)*'Tax Tables'!AR$145,0)),IF(AND(AR193&gt;='Tax Tables'!AR$222,AR193&lt;='Tax Tables'!AR$223),(AR193-'Tax Tables'!AR$222)*'Tax Tables'!AR$224,IF(AR193&gt;='Tax Tables'!AR$223,('Tax Tables'!AR$223-'Tax Tables'!AR$222)*'Tax Tables'!AR$224,0))),IF(AND(AR193&gt;='Tax Tables'!AR$222,AR193&lt;='Tax Tables'!AR$223),(AR193-'Tax Tables'!AR$222)*'Tax Tables'!AR$224,IF(AR193&gt;='Tax Tables'!AR$223,('Tax Tables'!AR$223-'Tax Tables'!AR$222)*'Tax Tables'!AR$224,0))),0)/Round_To,0)*Round_To</f>
        <v>0</v>
      </c>
      <c r="AS196" s="1124">
        <f>ROUND(IF(Exclude_Taxes="n",IF(Filing_Status="m",IF(OR(AS7&lt;Single_Rate_Start,Single_Rate_Start=""),IF(AND(AS193&gt;='Tax Tables'!AS$143,AS193&lt;='Tax Tables'!AS$144),(AS193-'Tax Tables'!AS$143)*'Tax Tables'!AS$145,IF(AS193&gt;='Tax Tables'!AS$144,('Tax Tables'!AS$144-'Tax Tables'!AS$143)*'Tax Tables'!AS$145,0)),IF(AND(AS193&gt;='Tax Tables'!AS$222,AS193&lt;='Tax Tables'!AS$223),(AS193-'Tax Tables'!AS$222)*'Tax Tables'!AS$224,IF(AS193&gt;='Tax Tables'!AS$223,('Tax Tables'!AS$223-'Tax Tables'!AS$222)*'Tax Tables'!AS$224,0))),IF(AND(AS193&gt;='Tax Tables'!AS$222,AS193&lt;='Tax Tables'!AS$223),(AS193-'Tax Tables'!AS$222)*'Tax Tables'!AS$224,IF(AS193&gt;='Tax Tables'!AS$223,('Tax Tables'!AS$223-'Tax Tables'!AS$222)*'Tax Tables'!AS$224,0))),0)/Round_To,0)*Round_To</f>
        <v>0</v>
      </c>
      <c r="AT196" s="3"/>
      <c r="AU196" s="29">
        <f>+Details!E196</f>
        <v>154200</v>
      </c>
      <c r="AV196" s="81">
        <f t="shared" si="163"/>
        <v>0</v>
      </c>
      <c r="AW196" s="102"/>
      <c r="AY196" s="31">
        <f>+Details!F196-Base!F196</f>
        <v>0</v>
      </c>
      <c r="AZ196" s="1124">
        <f>+Details!G196-Base!G196</f>
        <v>0</v>
      </c>
      <c r="BA196" s="1124">
        <f>+Details!H196-Base!H196</f>
        <v>0</v>
      </c>
      <c r="BB196" s="1124">
        <f>+Details!I196-Base!I196</f>
        <v>0</v>
      </c>
      <c r="BC196" s="1124">
        <f>+Details!J196-Base!J196</f>
        <v>0</v>
      </c>
      <c r="BD196" s="1124">
        <f>+Details!K196-Base!K196</f>
        <v>0</v>
      </c>
      <c r="BE196" s="1124">
        <f>+Details!L196-Base!L196</f>
        <v>0</v>
      </c>
      <c r="BF196" s="1124">
        <f>+Details!M196-Base!M196</f>
        <v>0</v>
      </c>
      <c r="BG196" s="1124">
        <f>+Details!N196-Base!N196</f>
        <v>0</v>
      </c>
      <c r="BH196" s="1124">
        <f>+Details!O196-Base!O196</f>
        <v>0</v>
      </c>
      <c r="BI196" s="1124">
        <f>+Details!P196-Base!P196</f>
        <v>0</v>
      </c>
      <c r="BJ196" s="1124">
        <f>+Details!Q196-Base!Q196</f>
        <v>0</v>
      </c>
      <c r="BK196" s="1124">
        <f>+Details!R196-Base!R196</f>
        <v>0</v>
      </c>
      <c r="BL196" s="1124">
        <f>+Details!S196-Base!S196</f>
        <v>0</v>
      </c>
      <c r="BM196" s="1124">
        <f>+Details!T196-Base!T196</f>
        <v>0</v>
      </c>
      <c r="BN196" s="1124">
        <f>+Details!U196-Base!U196</f>
        <v>0</v>
      </c>
      <c r="BO196" s="1124">
        <f>+Details!V196-Base!V196</f>
        <v>0</v>
      </c>
      <c r="BP196" s="1124">
        <f>+Details!W196-Base!W196</f>
        <v>0</v>
      </c>
      <c r="BQ196" s="1124">
        <f>+Details!X196-Base!X196</f>
        <v>0</v>
      </c>
      <c r="BR196" s="1124">
        <f>+Details!Y196-Base!Y196</f>
        <v>0</v>
      </c>
      <c r="BS196" s="1124">
        <f>+Details!Z196-Base!Z196</f>
        <v>0</v>
      </c>
      <c r="BT196" s="1124">
        <f>+Details!AA196-Base!AA196</f>
        <v>0</v>
      </c>
      <c r="BU196" s="1124">
        <f>+Details!AB196-Base!AB196</f>
        <v>0</v>
      </c>
      <c r="BV196" s="1124">
        <f>+Details!AC196-Base!AC196</f>
        <v>0</v>
      </c>
      <c r="BW196" s="1124">
        <f>+Details!AD196-Base!AD196</f>
        <v>0</v>
      </c>
      <c r="BX196" s="1124">
        <f>+Details!AE196-Base!AE196</f>
        <v>0</v>
      </c>
      <c r="BY196" s="1124">
        <f>+Details!AF196-Base!AF196</f>
        <v>0</v>
      </c>
      <c r="BZ196" s="1124">
        <f>+Details!AG196-Base!AG196</f>
        <v>0</v>
      </c>
      <c r="CA196" s="1124">
        <f>+Details!AH196-Base!AH196</f>
        <v>0</v>
      </c>
      <c r="CB196" s="1124">
        <f>+Details!AI196-Base!AI196</f>
        <v>0</v>
      </c>
      <c r="CC196" s="1124">
        <f>+Details!AJ196-Base!AJ196</f>
        <v>0</v>
      </c>
      <c r="CD196" s="1124">
        <f>+Details!AK196-Base!AK196</f>
        <v>0</v>
      </c>
      <c r="CE196" s="1124">
        <f>+Details!AL196-Base!AL196</f>
        <v>0</v>
      </c>
      <c r="CF196" s="1124">
        <f>+Details!AM196-Base!AM196</f>
        <v>0</v>
      </c>
      <c r="CG196" s="1124">
        <f>+Details!AN196-Base!AN196</f>
        <v>0</v>
      </c>
      <c r="CH196" s="1124">
        <f>+Details!AO196-Base!AO196</f>
        <v>0</v>
      </c>
      <c r="CI196" s="1124">
        <f>+Details!AP196-Base!AP196</f>
        <v>0</v>
      </c>
      <c r="CJ196" s="1124">
        <f>+Details!AQ196-Base!AQ196</f>
        <v>0</v>
      </c>
      <c r="CK196" s="1124">
        <f>+Details!AR196-Base!AR196</f>
        <v>0</v>
      </c>
      <c r="CL196" s="1124">
        <f>+Details!AS196-Base!AS196</f>
        <v>0</v>
      </c>
      <c r="CM196" s="81"/>
    </row>
    <row r="197" spans="1:91" hidden="1">
      <c r="A197" s="1427" t="s">
        <v>1578</v>
      </c>
      <c r="B197" s="425"/>
      <c r="C197" s="425" t="str">
        <f>IF(Tax_Rates_Alt="y",IF(Filing_Status="m",Setup!$E$235,Setup!$H$235),"")</f>
        <v/>
      </c>
      <c r="D197" s="67">
        <f>IF(Filing_Status="m",Setup!$D235,Setup!$G235)</f>
        <v>0.22</v>
      </c>
      <c r="E197" s="29">
        <f t="shared" si="162"/>
        <v>54600</v>
      </c>
      <c r="F197" s="31">
        <f>ROUND(IF(Exclude_Taxes="n",IF(Filing_Status="m",IF(OR(F7&lt;Single_Rate_Start,Single_Rate_Start=""),IF(AND(F193&gt;='Tax Tables'!F$148,F193&lt;='Tax Tables'!F$149),(F193-'Tax Tables'!F$148)*'Tax Tables'!F$150,IF(F193&gt;='Tax Tables'!F$149,('Tax Tables'!F$149-'Tax Tables'!F$148)*'Tax Tables'!F$150,0)),IF(AND(F193&gt;='Tax Tables'!F$227,F193&lt;='Tax Tables'!F$228),(F193-'Tax Tables'!F$227)*'Tax Tables'!F$229,IF(F193&gt;='Tax Tables'!F$228,('Tax Tables'!F$228-'Tax Tables'!F$227)*'Tax Tables'!F$229,0))),IF(AND(F193&gt;='Tax Tables'!F$227,F193&lt;='Tax Tables'!F$228),(F193-'Tax Tables'!F$227)*'Tax Tables'!F$229,IF(F193&gt;='Tax Tables'!F$228,('Tax Tables'!F$228-'Tax Tables'!F$227)*'Tax Tables'!F$229,0))),0)/Round_To,0)*Round_To</f>
        <v>0</v>
      </c>
      <c r="G197" s="1124">
        <f>ROUND(IF(Exclude_Taxes="n",IF(Filing_Status="m",IF(OR(G7&lt;Single_Rate_Start,Single_Rate_Start=""),IF(AND(G193&gt;='Tax Tables'!G$148,G193&lt;='Tax Tables'!G$149),(G193-'Tax Tables'!G$148)*'Tax Tables'!G$150,IF(G193&gt;='Tax Tables'!G$149,('Tax Tables'!G$149-'Tax Tables'!G$148)*'Tax Tables'!G$150,0)),IF(AND(G193&gt;='Tax Tables'!G$227,G193&lt;='Tax Tables'!G$228),(G193-'Tax Tables'!G$227)*'Tax Tables'!G$229,IF(G193&gt;='Tax Tables'!G$228,('Tax Tables'!G$228-'Tax Tables'!G$227)*'Tax Tables'!G$229,0))),IF(AND(G193&gt;='Tax Tables'!G$227,G193&lt;='Tax Tables'!G$228),(G193-'Tax Tables'!G$227)*'Tax Tables'!G$229,IF(G193&gt;='Tax Tables'!G$228,('Tax Tables'!G$228-'Tax Tables'!G$227)*'Tax Tables'!G$229,0))),0)/Round_To,0)*Round_To</f>
        <v>0</v>
      </c>
      <c r="H197" s="1124">
        <f>ROUND(IF(Exclude_Taxes="n",IF(Filing_Status="m",IF(OR(H7&lt;Single_Rate_Start,Single_Rate_Start=""),IF(AND(H193&gt;='Tax Tables'!H$148,H193&lt;='Tax Tables'!H$149),(H193-'Tax Tables'!H$148)*'Tax Tables'!H$150,IF(H193&gt;='Tax Tables'!H$149,('Tax Tables'!H$149-'Tax Tables'!H$148)*'Tax Tables'!H$150,0)),IF(AND(H193&gt;='Tax Tables'!H$227,H193&lt;='Tax Tables'!H$228),(H193-'Tax Tables'!H$227)*'Tax Tables'!H$229,IF(H193&gt;='Tax Tables'!H$228,('Tax Tables'!H$228-'Tax Tables'!H$227)*'Tax Tables'!H$229,0))),IF(AND(H193&gt;='Tax Tables'!H$227,H193&lt;='Tax Tables'!H$228),(H193-'Tax Tables'!H$227)*'Tax Tables'!H$229,IF(H193&gt;='Tax Tables'!H$228,('Tax Tables'!H$228-'Tax Tables'!H$227)*'Tax Tables'!H$229,0))),0)/Round_To,0)*Round_To</f>
        <v>0</v>
      </c>
      <c r="I197" s="1124">
        <f>ROUND(IF(Exclude_Taxes="n",IF(Filing_Status="m",IF(OR(I7&lt;Single_Rate_Start,Single_Rate_Start=""),IF(AND(I193&gt;='Tax Tables'!I$148,I193&lt;='Tax Tables'!I$149),(I193-'Tax Tables'!I$148)*'Tax Tables'!I$150,IF(I193&gt;='Tax Tables'!I$149,('Tax Tables'!I$149-'Tax Tables'!I$148)*'Tax Tables'!I$150,0)),IF(AND(I193&gt;='Tax Tables'!I$227,I193&lt;='Tax Tables'!I$228),(I193-'Tax Tables'!I$227)*'Tax Tables'!I$229,IF(I193&gt;='Tax Tables'!I$228,('Tax Tables'!I$228-'Tax Tables'!I$227)*'Tax Tables'!I$229,0))),IF(AND(I193&gt;='Tax Tables'!I$227,I193&lt;='Tax Tables'!I$228),(I193-'Tax Tables'!I$227)*'Tax Tables'!I$229,IF(I193&gt;='Tax Tables'!I$228,('Tax Tables'!I$228-'Tax Tables'!I$227)*'Tax Tables'!I$229,0))),0)/Round_To,0)*Round_To</f>
        <v>0</v>
      </c>
      <c r="J197" s="1124">
        <f>ROUND(IF(Exclude_Taxes="n",IF(Filing_Status="m",IF(OR(J7&lt;Single_Rate_Start,Single_Rate_Start=""),IF(AND(J193&gt;='Tax Tables'!J$148,J193&lt;='Tax Tables'!J$149),(J193-'Tax Tables'!J$148)*'Tax Tables'!J$150,IF(J193&gt;='Tax Tables'!J$149,('Tax Tables'!J$149-'Tax Tables'!J$148)*'Tax Tables'!J$150,0)),IF(AND(J193&gt;='Tax Tables'!J$227,J193&lt;='Tax Tables'!J$228),(J193-'Tax Tables'!J$227)*'Tax Tables'!J$229,IF(J193&gt;='Tax Tables'!J$228,('Tax Tables'!J$228-'Tax Tables'!J$227)*'Tax Tables'!J$229,0))),IF(AND(J193&gt;='Tax Tables'!J$227,J193&lt;='Tax Tables'!J$228),(J193-'Tax Tables'!J$227)*'Tax Tables'!J$229,IF(J193&gt;='Tax Tables'!J$228,('Tax Tables'!J$228-'Tax Tables'!J$227)*'Tax Tables'!J$229,0))),0)/Round_To,0)*Round_To</f>
        <v>0</v>
      </c>
      <c r="K197" s="1124">
        <f>ROUND(IF(Exclude_Taxes="n",IF(Filing_Status="m",IF(OR(K7&lt;Single_Rate_Start,Single_Rate_Start=""),IF(AND(K193&gt;='Tax Tables'!K$148,K193&lt;='Tax Tables'!K$149),(K193-'Tax Tables'!K$148)*'Tax Tables'!K$150,IF(K193&gt;='Tax Tables'!K$149,('Tax Tables'!K$149-'Tax Tables'!K$148)*'Tax Tables'!K$150,0)),IF(AND(K193&gt;='Tax Tables'!K$227,K193&lt;='Tax Tables'!K$228),(K193-'Tax Tables'!K$227)*'Tax Tables'!K$229,IF(K193&gt;='Tax Tables'!K$228,('Tax Tables'!K$228-'Tax Tables'!K$227)*'Tax Tables'!K$229,0))),IF(AND(K193&gt;='Tax Tables'!K$227,K193&lt;='Tax Tables'!K$228),(K193-'Tax Tables'!K$227)*'Tax Tables'!K$229,IF(K193&gt;='Tax Tables'!K$228,('Tax Tables'!K$228-'Tax Tables'!K$227)*'Tax Tables'!K$229,0))),0)/Round_To,0)*Round_To</f>
        <v>0</v>
      </c>
      <c r="L197" s="1124">
        <f>ROUND(IF(Exclude_Taxes="n",IF(Filing_Status="m",IF(OR(L7&lt;Single_Rate_Start,Single_Rate_Start=""),IF(AND(L193&gt;='Tax Tables'!L$148,L193&lt;='Tax Tables'!L$149),(L193-'Tax Tables'!L$148)*'Tax Tables'!L$150,IF(L193&gt;='Tax Tables'!L$149,('Tax Tables'!L$149-'Tax Tables'!L$148)*'Tax Tables'!L$150,0)),IF(AND(L193&gt;='Tax Tables'!L$227,L193&lt;='Tax Tables'!L$228),(L193-'Tax Tables'!L$227)*'Tax Tables'!L$229,IF(L193&gt;='Tax Tables'!L$228,('Tax Tables'!L$228-'Tax Tables'!L$227)*'Tax Tables'!L$229,0))),IF(AND(L193&gt;='Tax Tables'!L$227,L193&lt;='Tax Tables'!L$228),(L193-'Tax Tables'!L$227)*'Tax Tables'!L$229,IF(L193&gt;='Tax Tables'!L$228,('Tax Tables'!L$228-'Tax Tables'!L$227)*'Tax Tables'!L$229,0))),0)/Round_To,0)*Round_To</f>
        <v>0</v>
      </c>
      <c r="M197" s="1124">
        <f>ROUND(IF(Exclude_Taxes="n",IF(Filing_Status="m",IF(OR(M7&lt;Single_Rate_Start,Single_Rate_Start=""),IF(AND(M193&gt;='Tax Tables'!M$148,M193&lt;='Tax Tables'!M$149),(M193-'Tax Tables'!M$148)*'Tax Tables'!M$150,IF(M193&gt;='Tax Tables'!M$149,('Tax Tables'!M$149-'Tax Tables'!M$148)*'Tax Tables'!M$150,0)),IF(AND(M193&gt;='Tax Tables'!M$227,M193&lt;='Tax Tables'!M$228),(M193-'Tax Tables'!M$227)*'Tax Tables'!M$229,IF(M193&gt;='Tax Tables'!M$228,('Tax Tables'!M$228-'Tax Tables'!M$227)*'Tax Tables'!M$229,0))),IF(AND(M193&gt;='Tax Tables'!M$227,M193&lt;='Tax Tables'!M$228),(M193-'Tax Tables'!M$227)*'Tax Tables'!M$229,IF(M193&gt;='Tax Tables'!M$228,('Tax Tables'!M$228-'Tax Tables'!M$227)*'Tax Tables'!M$229,0))),0)/Round_To,0)*Round_To</f>
        <v>0</v>
      </c>
      <c r="N197" s="1124">
        <f>ROUND(IF(Exclude_Taxes="n",IF(Filing_Status="m",IF(OR(N7&lt;Single_Rate_Start,Single_Rate_Start=""),IF(AND(N193&gt;='Tax Tables'!N$148,N193&lt;='Tax Tables'!N$149),(N193-'Tax Tables'!N$148)*'Tax Tables'!N$150,IF(N193&gt;='Tax Tables'!N$149,('Tax Tables'!N$149-'Tax Tables'!N$148)*'Tax Tables'!N$150,0)),IF(AND(N193&gt;='Tax Tables'!N$227,N193&lt;='Tax Tables'!N$228),(N193-'Tax Tables'!N$227)*'Tax Tables'!N$229,IF(N193&gt;='Tax Tables'!N$228,('Tax Tables'!N$228-'Tax Tables'!N$227)*'Tax Tables'!N$229,0))),IF(AND(N193&gt;='Tax Tables'!N$227,N193&lt;='Tax Tables'!N$228),(N193-'Tax Tables'!N$227)*'Tax Tables'!N$229,IF(N193&gt;='Tax Tables'!N$228,('Tax Tables'!N$228-'Tax Tables'!N$227)*'Tax Tables'!N$229,0))),0)/Round_To,0)*Round_To</f>
        <v>0</v>
      </c>
      <c r="O197" s="1124">
        <f>ROUND(IF(Exclude_Taxes="n",IF(Filing_Status="m",IF(OR(O7&lt;Single_Rate_Start,Single_Rate_Start=""),IF(AND(O193&gt;='Tax Tables'!O$148,O193&lt;='Tax Tables'!O$149),(O193-'Tax Tables'!O$148)*'Tax Tables'!O$150,IF(O193&gt;='Tax Tables'!O$149,('Tax Tables'!O$149-'Tax Tables'!O$148)*'Tax Tables'!O$150,0)),IF(AND(O193&gt;='Tax Tables'!O$227,O193&lt;='Tax Tables'!O$228),(O193-'Tax Tables'!O$227)*'Tax Tables'!O$229,IF(O193&gt;='Tax Tables'!O$228,('Tax Tables'!O$228-'Tax Tables'!O$227)*'Tax Tables'!O$229,0))),IF(AND(O193&gt;='Tax Tables'!O$227,O193&lt;='Tax Tables'!O$228),(O193-'Tax Tables'!O$227)*'Tax Tables'!O$229,IF(O193&gt;='Tax Tables'!O$228,('Tax Tables'!O$228-'Tax Tables'!O$227)*'Tax Tables'!O$229,0))),0)/Round_To,0)*Round_To</f>
        <v>0</v>
      </c>
      <c r="P197" s="1124">
        <f>ROUND(IF(Exclude_Taxes="n",IF(Filing_Status="m",IF(OR(P7&lt;Single_Rate_Start,Single_Rate_Start=""),IF(AND(P193&gt;='Tax Tables'!P$148,P193&lt;='Tax Tables'!P$149),(P193-'Tax Tables'!P$148)*'Tax Tables'!P$150,IF(P193&gt;='Tax Tables'!P$149,('Tax Tables'!P$149-'Tax Tables'!P$148)*'Tax Tables'!P$150,0)),IF(AND(P193&gt;='Tax Tables'!P$227,P193&lt;='Tax Tables'!P$228),(P193-'Tax Tables'!P$227)*'Tax Tables'!P$229,IF(P193&gt;='Tax Tables'!P$228,('Tax Tables'!P$228-'Tax Tables'!P$227)*'Tax Tables'!P$229,0))),IF(AND(P193&gt;='Tax Tables'!P$227,P193&lt;='Tax Tables'!P$228),(P193-'Tax Tables'!P$227)*'Tax Tables'!P$229,IF(P193&gt;='Tax Tables'!P$228,('Tax Tables'!P$228-'Tax Tables'!P$227)*'Tax Tables'!P$229,0))),0)/Round_To,0)*Round_To</f>
        <v>0</v>
      </c>
      <c r="Q197" s="1124">
        <f>ROUND(IF(Exclude_Taxes="n",IF(Filing_Status="m",IF(OR(Q7&lt;Single_Rate_Start,Single_Rate_Start=""),IF(AND(Q193&gt;='Tax Tables'!Q$148,Q193&lt;='Tax Tables'!Q$149),(Q193-'Tax Tables'!Q$148)*'Tax Tables'!Q$150,IF(Q193&gt;='Tax Tables'!Q$149,('Tax Tables'!Q$149-'Tax Tables'!Q$148)*'Tax Tables'!Q$150,0)),IF(AND(Q193&gt;='Tax Tables'!Q$227,Q193&lt;='Tax Tables'!Q$228),(Q193-'Tax Tables'!Q$227)*'Tax Tables'!Q$229,IF(Q193&gt;='Tax Tables'!Q$228,('Tax Tables'!Q$228-'Tax Tables'!Q$227)*'Tax Tables'!Q$229,0))),IF(AND(Q193&gt;='Tax Tables'!Q$227,Q193&lt;='Tax Tables'!Q$228),(Q193-'Tax Tables'!Q$227)*'Tax Tables'!Q$229,IF(Q193&gt;='Tax Tables'!Q$228,('Tax Tables'!Q$228-'Tax Tables'!Q$227)*'Tax Tables'!Q$229,0))),0)/Round_To,0)*Round_To</f>
        <v>0</v>
      </c>
      <c r="R197" s="1124">
        <f>ROUND(IF(Exclude_Taxes="n",IF(Filing_Status="m",IF(OR(R7&lt;Single_Rate_Start,Single_Rate_Start=""),IF(AND(R193&gt;='Tax Tables'!R$148,R193&lt;='Tax Tables'!R$149),(R193-'Tax Tables'!R$148)*'Tax Tables'!R$150,IF(R193&gt;='Tax Tables'!R$149,('Tax Tables'!R$149-'Tax Tables'!R$148)*'Tax Tables'!R$150,0)),IF(AND(R193&gt;='Tax Tables'!R$227,R193&lt;='Tax Tables'!R$228),(R193-'Tax Tables'!R$227)*'Tax Tables'!R$229,IF(R193&gt;='Tax Tables'!R$228,('Tax Tables'!R$228-'Tax Tables'!R$227)*'Tax Tables'!R$229,0))),IF(AND(R193&gt;='Tax Tables'!R$227,R193&lt;='Tax Tables'!R$228),(R193-'Tax Tables'!R$227)*'Tax Tables'!R$229,IF(R193&gt;='Tax Tables'!R$228,('Tax Tables'!R$228-'Tax Tables'!R$227)*'Tax Tables'!R$229,0))),0)/Round_To,0)*Round_To</f>
        <v>0</v>
      </c>
      <c r="S197" s="1124">
        <f>ROUND(IF(Exclude_Taxes="n",IF(Filing_Status="m",IF(OR(S7&lt;Single_Rate_Start,Single_Rate_Start=""),IF(AND(S193&gt;='Tax Tables'!S$148,S193&lt;='Tax Tables'!S$149),(S193-'Tax Tables'!S$148)*'Tax Tables'!S$150,IF(S193&gt;='Tax Tables'!S$149,('Tax Tables'!S$149-'Tax Tables'!S$148)*'Tax Tables'!S$150,0)),IF(AND(S193&gt;='Tax Tables'!S$227,S193&lt;='Tax Tables'!S$228),(S193-'Tax Tables'!S$227)*'Tax Tables'!S$229,IF(S193&gt;='Tax Tables'!S$228,('Tax Tables'!S$228-'Tax Tables'!S$227)*'Tax Tables'!S$229,0))),IF(AND(S193&gt;='Tax Tables'!S$227,S193&lt;='Tax Tables'!S$228),(S193-'Tax Tables'!S$227)*'Tax Tables'!S$229,IF(S193&gt;='Tax Tables'!S$228,('Tax Tables'!S$228-'Tax Tables'!S$227)*'Tax Tables'!S$229,0))),0)/Round_To,0)*Round_To</f>
        <v>0</v>
      </c>
      <c r="T197" s="1124">
        <f>ROUND(IF(Exclude_Taxes="n",IF(Filing_Status="m",IF(OR(T7&lt;Single_Rate_Start,Single_Rate_Start=""),IF(AND(T193&gt;='Tax Tables'!T$148,T193&lt;='Tax Tables'!T$149),(T193-'Tax Tables'!T$148)*'Tax Tables'!T$150,IF(T193&gt;='Tax Tables'!T$149,('Tax Tables'!T$149-'Tax Tables'!T$148)*'Tax Tables'!T$150,0)),IF(AND(T193&gt;='Tax Tables'!T$227,T193&lt;='Tax Tables'!T$228),(T193-'Tax Tables'!T$227)*'Tax Tables'!T$229,IF(T193&gt;='Tax Tables'!T$228,('Tax Tables'!T$228-'Tax Tables'!T$227)*'Tax Tables'!T$229,0))),IF(AND(T193&gt;='Tax Tables'!T$227,T193&lt;='Tax Tables'!T$228),(T193-'Tax Tables'!T$227)*'Tax Tables'!T$229,IF(T193&gt;='Tax Tables'!T$228,('Tax Tables'!T$228-'Tax Tables'!T$227)*'Tax Tables'!T$229,0))),0)/Round_To,0)*Round_To</f>
        <v>0</v>
      </c>
      <c r="U197" s="1124">
        <f>ROUND(IF(Exclude_Taxes="n",IF(Filing_Status="m",IF(OR(U7&lt;Single_Rate_Start,Single_Rate_Start=""),IF(AND(U193&gt;='Tax Tables'!U$148,U193&lt;='Tax Tables'!U$149),(U193-'Tax Tables'!U$148)*'Tax Tables'!U$150,IF(U193&gt;='Tax Tables'!U$149,('Tax Tables'!U$149-'Tax Tables'!U$148)*'Tax Tables'!U$150,0)),IF(AND(U193&gt;='Tax Tables'!U$227,U193&lt;='Tax Tables'!U$228),(U193-'Tax Tables'!U$227)*'Tax Tables'!U$229,IF(U193&gt;='Tax Tables'!U$228,('Tax Tables'!U$228-'Tax Tables'!U$227)*'Tax Tables'!U$229,0))),IF(AND(U193&gt;='Tax Tables'!U$227,U193&lt;='Tax Tables'!U$228),(U193-'Tax Tables'!U$227)*'Tax Tables'!U$229,IF(U193&gt;='Tax Tables'!U$228,('Tax Tables'!U$228-'Tax Tables'!U$227)*'Tax Tables'!U$229,0))),0)/Round_To,0)*Round_To</f>
        <v>0</v>
      </c>
      <c r="V197" s="1124">
        <f>ROUND(IF(Exclude_Taxes="n",IF(Filing_Status="m",IF(OR(V7&lt;Single_Rate_Start,Single_Rate_Start=""),IF(AND(V193&gt;='Tax Tables'!V$148,V193&lt;='Tax Tables'!V$149),(V193-'Tax Tables'!V$148)*'Tax Tables'!V$150,IF(V193&gt;='Tax Tables'!V$149,('Tax Tables'!V$149-'Tax Tables'!V$148)*'Tax Tables'!V$150,0)),IF(AND(V193&gt;='Tax Tables'!V$227,V193&lt;='Tax Tables'!V$228),(V193-'Tax Tables'!V$227)*'Tax Tables'!V$229,IF(V193&gt;='Tax Tables'!V$228,('Tax Tables'!V$228-'Tax Tables'!V$227)*'Tax Tables'!V$229,0))),IF(AND(V193&gt;='Tax Tables'!V$227,V193&lt;='Tax Tables'!V$228),(V193-'Tax Tables'!V$227)*'Tax Tables'!V$229,IF(V193&gt;='Tax Tables'!V$228,('Tax Tables'!V$228-'Tax Tables'!V$227)*'Tax Tables'!V$229,0))),0)/Round_To,0)*Round_To</f>
        <v>0</v>
      </c>
      <c r="W197" s="1124">
        <f>ROUND(IF(Exclude_Taxes="n",IF(Filing_Status="m",IF(OR(W7&lt;Single_Rate_Start,Single_Rate_Start=""),IF(AND(W193&gt;='Tax Tables'!W$148,W193&lt;='Tax Tables'!W$149),(W193-'Tax Tables'!W$148)*'Tax Tables'!W$150,IF(W193&gt;='Tax Tables'!W$149,('Tax Tables'!W$149-'Tax Tables'!W$148)*'Tax Tables'!W$150,0)),IF(AND(W193&gt;='Tax Tables'!W$227,W193&lt;='Tax Tables'!W$228),(W193-'Tax Tables'!W$227)*'Tax Tables'!W$229,IF(W193&gt;='Tax Tables'!W$228,('Tax Tables'!W$228-'Tax Tables'!W$227)*'Tax Tables'!W$229,0))),IF(AND(W193&gt;='Tax Tables'!W$227,W193&lt;='Tax Tables'!W$228),(W193-'Tax Tables'!W$227)*'Tax Tables'!W$229,IF(W193&gt;='Tax Tables'!W$228,('Tax Tables'!W$228-'Tax Tables'!W$227)*'Tax Tables'!W$229,0))),0)/Round_To,0)*Round_To</f>
        <v>0</v>
      </c>
      <c r="X197" s="1124">
        <f>ROUND(IF(Exclude_Taxes="n",IF(Filing_Status="m",IF(OR(X7&lt;Single_Rate_Start,Single_Rate_Start=""),IF(AND(X193&gt;='Tax Tables'!X$148,X193&lt;='Tax Tables'!X$149),(X193-'Tax Tables'!X$148)*'Tax Tables'!X$150,IF(X193&gt;='Tax Tables'!X$149,('Tax Tables'!X$149-'Tax Tables'!X$148)*'Tax Tables'!X$150,0)),IF(AND(X193&gt;='Tax Tables'!X$227,X193&lt;='Tax Tables'!X$228),(X193-'Tax Tables'!X$227)*'Tax Tables'!X$229,IF(X193&gt;='Tax Tables'!X$228,('Tax Tables'!X$228-'Tax Tables'!X$227)*'Tax Tables'!X$229,0))),IF(AND(X193&gt;='Tax Tables'!X$227,X193&lt;='Tax Tables'!X$228),(X193-'Tax Tables'!X$227)*'Tax Tables'!X$229,IF(X193&gt;='Tax Tables'!X$228,('Tax Tables'!X$228-'Tax Tables'!X$227)*'Tax Tables'!X$229,0))),0)/Round_To,0)*Round_To</f>
        <v>0</v>
      </c>
      <c r="Y197" s="1124">
        <f>ROUND(IF(Exclude_Taxes="n",IF(Filing_Status="m",IF(OR(Y7&lt;Single_Rate_Start,Single_Rate_Start=""),IF(AND(Y193&gt;='Tax Tables'!Y$148,Y193&lt;='Tax Tables'!Y$149),(Y193-'Tax Tables'!Y$148)*'Tax Tables'!Y$150,IF(Y193&gt;='Tax Tables'!Y$149,('Tax Tables'!Y$149-'Tax Tables'!Y$148)*'Tax Tables'!Y$150,0)),IF(AND(Y193&gt;='Tax Tables'!Y$227,Y193&lt;='Tax Tables'!Y$228),(Y193-'Tax Tables'!Y$227)*'Tax Tables'!Y$229,IF(Y193&gt;='Tax Tables'!Y$228,('Tax Tables'!Y$228-'Tax Tables'!Y$227)*'Tax Tables'!Y$229,0))),IF(AND(Y193&gt;='Tax Tables'!Y$227,Y193&lt;='Tax Tables'!Y$228),(Y193-'Tax Tables'!Y$227)*'Tax Tables'!Y$229,IF(Y193&gt;='Tax Tables'!Y$228,('Tax Tables'!Y$228-'Tax Tables'!Y$227)*'Tax Tables'!Y$229,0))),0)/Round_To,0)*Round_To</f>
        <v>0</v>
      </c>
      <c r="Z197" s="1124">
        <f>ROUND(IF(Exclude_Taxes="n",IF(Filing_Status="m",IF(OR(Z7&lt;Single_Rate_Start,Single_Rate_Start=""),IF(AND(Z193&gt;='Tax Tables'!Z$148,Z193&lt;='Tax Tables'!Z$149),(Z193-'Tax Tables'!Z$148)*'Tax Tables'!Z$150,IF(Z193&gt;='Tax Tables'!Z$149,('Tax Tables'!Z$149-'Tax Tables'!Z$148)*'Tax Tables'!Z$150,0)),IF(AND(Z193&gt;='Tax Tables'!Z$227,Z193&lt;='Tax Tables'!Z$228),(Z193-'Tax Tables'!Z$227)*'Tax Tables'!Z$229,IF(Z193&gt;='Tax Tables'!Z$228,('Tax Tables'!Z$228-'Tax Tables'!Z$227)*'Tax Tables'!Z$229,0))),IF(AND(Z193&gt;='Tax Tables'!Z$227,Z193&lt;='Tax Tables'!Z$228),(Z193-'Tax Tables'!Z$227)*'Tax Tables'!Z$229,IF(Z193&gt;='Tax Tables'!Z$228,('Tax Tables'!Z$228-'Tax Tables'!Z$227)*'Tax Tables'!Z$229,0))),0)/Round_To,0)*Round_To</f>
        <v>0</v>
      </c>
      <c r="AA197" s="1124">
        <f>ROUND(IF(Exclude_Taxes="n",IF(Filing_Status="m",IF(OR(AA7&lt;Single_Rate_Start,Single_Rate_Start=""),IF(AND(AA193&gt;='Tax Tables'!AA$148,AA193&lt;='Tax Tables'!AA$149),(AA193-'Tax Tables'!AA$148)*'Tax Tables'!AA$150,IF(AA193&gt;='Tax Tables'!AA$149,('Tax Tables'!AA$149-'Tax Tables'!AA$148)*'Tax Tables'!AA$150,0)),IF(AND(AA193&gt;='Tax Tables'!AA$227,AA193&lt;='Tax Tables'!AA$228),(AA193-'Tax Tables'!AA$227)*'Tax Tables'!AA$229,IF(AA193&gt;='Tax Tables'!AA$228,('Tax Tables'!AA$228-'Tax Tables'!AA$227)*'Tax Tables'!AA$229,0))),IF(AND(AA193&gt;='Tax Tables'!AA$227,AA193&lt;='Tax Tables'!AA$228),(AA193-'Tax Tables'!AA$227)*'Tax Tables'!AA$229,IF(AA193&gt;='Tax Tables'!AA$228,('Tax Tables'!AA$228-'Tax Tables'!AA$227)*'Tax Tables'!AA$229,0))),0)/Round_To,0)*Round_To</f>
        <v>0</v>
      </c>
      <c r="AB197" s="1124">
        <f>ROUND(IF(Exclude_Taxes="n",IF(Filing_Status="m",IF(OR(AB7&lt;Single_Rate_Start,Single_Rate_Start=""),IF(AND(AB193&gt;='Tax Tables'!AB$148,AB193&lt;='Tax Tables'!AB$149),(AB193-'Tax Tables'!AB$148)*'Tax Tables'!AB$150,IF(AB193&gt;='Tax Tables'!AB$149,('Tax Tables'!AB$149-'Tax Tables'!AB$148)*'Tax Tables'!AB$150,0)),IF(AND(AB193&gt;='Tax Tables'!AB$227,AB193&lt;='Tax Tables'!AB$228),(AB193-'Tax Tables'!AB$227)*'Tax Tables'!AB$229,IF(AB193&gt;='Tax Tables'!AB$228,('Tax Tables'!AB$228-'Tax Tables'!AB$227)*'Tax Tables'!AB$229,0))),IF(AND(AB193&gt;='Tax Tables'!AB$227,AB193&lt;='Tax Tables'!AB$228),(AB193-'Tax Tables'!AB$227)*'Tax Tables'!AB$229,IF(AB193&gt;='Tax Tables'!AB$228,('Tax Tables'!AB$228-'Tax Tables'!AB$227)*'Tax Tables'!AB$229,0))),0)/Round_To,0)*Round_To</f>
        <v>0</v>
      </c>
      <c r="AC197" s="1124">
        <f>ROUND(IF(Exclude_Taxes="n",IF(Filing_Status="m",IF(OR(AC7&lt;Single_Rate_Start,Single_Rate_Start=""),IF(AND(AC193&gt;='Tax Tables'!AC$148,AC193&lt;='Tax Tables'!AC$149),(AC193-'Tax Tables'!AC$148)*'Tax Tables'!AC$150,IF(AC193&gt;='Tax Tables'!AC$149,('Tax Tables'!AC$149-'Tax Tables'!AC$148)*'Tax Tables'!AC$150,0)),IF(AND(AC193&gt;='Tax Tables'!AC$227,AC193&lt;='Tax Tables'!AC$228),(AC193-'Tax Tables'!AC$227)*'Tax Tables'!AC$229,IF(AC193&gt;='Tax Tables'!AC$228,('Tax Tables'!AC$228-'Tax Tables'!AC$227)*'Tax Tables'!AC$229,0))),IF(AND(AC193&gt;='Tax Tables'!AC$227,AC193&lt;='Tax Tables'!AC$228),(AC193-'Tax Tables'!AC$227)*'Tax Tables'!AC$229,IF(AC193&gt;='Tax Tables'!AC$228,('Tax Tables'!AC$228-'Tax Tables'!AC$227)*'Tax Tables'!AC$229,0))),0)/Round_To,0)*Round_To</f>
        <v>0</v>
      </c>
      <c r="AD197" s="1124">
        <f>ROUND(IF(Exclude_Taxes="n",IF(Filing_Status="m",IF(OR(AD7&lt;Single_Rate_Start,Single_Rate_Start=""),IF(AND(AD193&gt;='Tax Tables'!AD$148,AD193&lt;='Tax Tables'!AD$149),(AD193-'Tax Tables'!AD$148)*'Tax Tables'!AD$150,IF(AD193&gt;='Tax Tables'!AD$149,('Tax Tables'!AD$149-'Tax Tables'!AD$148)*'Tax Tables'!AD$150,0)),IF(AND(AD193&gt;='Tax Tables'!AD$227,AD193&lt;='Tax Tables'!AD$228),(AD193-'Tax Tables'!AD$227)*'Tax Tables'!AD$229,IF(AD193&gt;='Tax Tables'!AD$228,('Tax Tables'!AD$228-'Tax Tables'!AD$227)*'Tax Tables'!AD$229,0))),IF(AND(AD193&gt;='Tax Tables'!AD$227,AD193&lt;='Tax Tables'!AD$228),(AD193-'Tax Tables'!AD$227)*'Tax Tables'!AD$229,IF(AD193&gt;='Tax Tables'!AD$228,('Tax Tables'!AD$228-'Tax Tables'!AD$227)*'Tax Tables'!AD$229,0))),0)/Round_To,0)*Round_To</f>
        <v>9500</v>
      </c>
      <c r="AE197" s="1124">
        <f>ROUND(IF(Exclude_Taxes="n",IF(Filing_Status="m",IF(OR(AE7&lt;Single_Rate_Start,Single_Rate_Start=""),IF(AND(AE193&gt;='Tax Tables'!AE$148,AE193&lt;='Tax Tables'!AE$149),(AE193-'Tax Tables'!AE$148)*'Tax Tables'!AE$150,IF(AE193&gt;='Tax Tables'!AE$149,('Tax Tables'!AE$149-'Tax Tables'!AE$148)*'Tax Tables'!AE$150,0)),IF(AND(AE193&gt;='Tax Tables'!AE$227,AE193&lt;='Tax Tables'!AE$228),(AE193-'Tax Tables'!AE$227)*'Tax Tables'!AE$229,IF(AE193&gt;='Tax Tables'!AE$228,('Tax Tables'!AE$228-'Tax Tables'!AE$227)*'Tax Tables'!AE$229,0))),IF(AND(AE193&gt;='Tax Tables'!AE$227,AE193&lt;='Tax Tables'!AE$228),(AE193-'Tax Tables'!AE$227)*'Tax Tables'!AE$229,IF(AE193&gt;='Tax Tables'!AE$228,('Tax Tables'!AE$228-'Tax Tables'!AE$227)*'Tax Tables'!AE$229,0))),0)/Round_To,0)*Round_To</f>
        <v>10100</v>
      </c>
      <c r="AF197" s="1124">
        <f>ROUND(IF(Exclude_Taxes="n",IF(Filing_Status="m",IF(OR(AF7&lt;Single_Rate_Start,Single_Rate_Start=""),IF(AND(AF193&gt;='Tax Tables'!AF$148,AF193&lt;='Tax Tables'!AF$149),(AF193-'Tax Tables'!AF$148)*'Tax Tables'!AF$150,IF(AF193&gt;='Tax Tables'!AF$149,('Tax Tables'!AF$149-'Tax Tables'!AF$148)*'Tax Tables'!AF$150,0)),IF(AND(AF193&gt;='Tax Tables'!AF$227,AF193&lt;='Tax Tables'!AF$228),(AF193-'Tax Tables'!AF$227)*'Tax Tables'!AF$229,IF(AF193&gt;='Tax Tables'!AF$228,('Tax Tables'!AF$228-'Tax Tables'!AF$227)*'Tax Tables'!AF$229,0))),IF(AND(AF193&gt;='Tax Tables'!AF$227,AF193&lt;='Tax Tables'!AF$228),(AF193-'Tax Tables'!AF$227)*'Tax Tables'!AF$229,IF(AF193&gt;='Tax Tables'!AF$228,('Tax Tables'!AF$228-'Tax Tables'!AF$227)*'Tax Tables'!AF$229,0))),0)/Round_To,0)*Round_To</f>
        <v>10200</v>
      </c>
      <c r="AG197" s="1124">
        <f>ROUND(IF(Exclude_Taxes="n",IF(Filing_Status="m",IF(OR(AG7&lt;Single_Rate_Start,Single_Rate_Start=""),IF(AND(AG193&gt;='Tax Tables'!AG$148,AG193&lt;='Tax Tables'!AG$149),(AG193-'Tax Tables'!AG$148)*'Tax Tables'!AG$150,IF(AG193&gt;='Tax Tables'!AG$149,('Tax Tables'!AG$149-'Tax Tables'!AG$148)*'Tax Tables'!AG$150,0)),IF(AND(AG193&gt;='Tax Tables'!AG$227,AG193&lt;='Tax Tables'!AG$228),(AG193-'Tax Tables'!AG$227)*'Tax Tables'!AG$229,IF(AG193&gt;='Tax Tables'!AG$228,('Tax Tables'!AG$228-'Tax Tables'!AG$227)*'Tax Tables'!AG$229,0))),IF(AND(AG193&gt;='Tax Tables'!AG$227,AG193&lt;='Tax Tables'!AG$228),(AG193-'Tax Tables'!AG$227)*'Tax Tables'!AG$229,IF(AG193&gt;='Tax Tables'!AG$228,('Tax Tables'!AG$228-'Tax Tables'!AG$227)*'Tax Tables'!AG$229,0))),0)/Round_To,0)*Round_To</f>
        <v>8400</v>
      </c>
      <c r="AH197" s="1124">
        <f>ROUND(IF(Exclude_Taxes="n",IF(Filing_Status="m",IF(OR(AH7&lt;Single_Rate_Start,Single_Rate_Start=""),IF(AND(AH193&gt;='Tax Tables'!AH$148,AH193&lt;='Tax Tables'!AH$149),(AH193-'Tax Tables'!AH$148)*'Tax Tables'!AH$150,IF(AH193&gt;='Tax Tables'!AH$149,('Tax Tables'!AH$149-'Tax Tables'!AH$148)*'Tax Tables'!AH$150,0)),IF(AND(AH193&gt;='Tax Tables'!AH$227,AH193&lt;='Tax Tables'!AH$228),(AH193-'Tax Tables'!AH$227)*'Tax Tables'!AH$229,IF(AH193&gt;='Tax Tables'!AH$228,('Tax Tables'!AH$228-'Tax Tables'!AH$227)*'Tax Tables'!AH$229,0))),IF(AND(AH193&gt;='Tax Tables'!AH$227,AH193&lt;='Tax Tables'!AH$228),(AH193-'Tax Tables'!AH$227)*'Tax Tables'!AH$229,IF(AH193&gt;='Tax Tables'!AH$228,('Tax Tables'!AH$228-'Tax Tables'!AH$227)*'Tax Tables'!AH$229,0))),0)/Round_To,0)*Round_To</f>
        <v>8100</v>
      </c>
      <c r="AI197" s="1124">
        <f>ROUND(IF(Exclude_Taxes="n",IF(Filing_Status="m",IF(OR(AI7&lt;Single_Rate_Start,Single_Rate_Start=""),IF(AND(AI193&gt;='Tax Tables'!AI$148,AI193&lt;='Tax Tables'!AI$149),(AI193-'Tax Tables'!AI$148)*'Tax Tables'!AI$150,IF(AI193&gt;='Tax Tables'!AI$149,('Tax Tables'!AI$149-'Tax Tables'!AI$148)*'Tax Tables'!AI$150,0)),IF(AND(AI193&gt;='Tax Tables'!AI$227,AI193&lt;='Tax Tables'!AI$228),(AI193-'Tax Tables'!AI$227)*'Tax Tables'!AI$229,IF(AI193&gt;='Tax Tables'!AI$228,('Tax Tables'!AI$228-'Tax Tables'!AI$227)*'Tax Tables'!AI$229,0))),IF(AND(AI193&gt;='Tax Tables'!AI$227,AI193&lt;='Tax Tables'!AI$228),(AI193-'Tax Tables'!AI$227)*'Tax Tables'!AI$229,IF(AI193&gt;='Tax Tables'!AI$228,('Tax Tables'!AI$228-'Tax Tables'!AI$227)*'Tax Tables'!AI$229,0))),0)/Round_To,0)*Round_To</f>
        <v>8300</v>
      </c>
      <c r="AJ197" s="1124">
        <f>ROUND(IF(Exclude_Taxes="n",IF(Filing_Status="m",IF(OR(AJ7&lt;Single_Rate_Start,Single_Rate_Start=""),IF(AND(AJ193&gt;='Tax Tables'!AJ$148,AJ193&lt;='Tax Tables'!AJ$149),(AJ193-'Tax Tables'!AJ$148)*'Tax Tables'!AJ$150,IF(AJ193&gt;='Tax Tables'!AJ$149,('Tax Tables'!AJ$149-'Tax Tables'!AJ$148)*'Tax Tables'!AJ$150,0)),IF(AND(AJ193&gt;='Tax Tables'!AJ$227,AJ193&lt;='Tax Tables'!AJ$228),(AJ193-'Tax Tables'!AJ$227)*'Tax Tables'!AJ$229,IF(AJ193&gt;='Tax Tables'!AJ$228,('Tax Tables'!AJ$228-'Tax Tables'!AJ$227)*'Tax Tables'!AJ$229,0))),IF(AND(AJ193&gt;='Tax Tables'!AJ$227,AJ193&lt;='Tax Tables'!AJ$228),(AJ193-'Tax Tables'!AJ$227)*'Tax Tables'!AJ$229,IF(AJ193&gt;='Tax Tables'!AJ$228,('Tax Tables'!AJ$228-'Tax Tables'!AJ$227)*'Tax Tables'!AJ$229,0))),0)/Round_To,0)*Round_To</f>
        <v>0</v>
      </c>
      <c r="AK197" s="1124">
        <f>ROUND(IF(Exclude_Taxes="n",IF(Filing_Status="m",IF(OR(AK7&lt;Single_Rate_Start,Single_Rate_Start=""),IF(AND(AK193&gt;='Tax Tables'!AK$148,AK193&lt;='Tax Tables'!AK$149),(AK193-'Tax Tables'!AK$148)*'Tax Tables'!AK$150,IF(AK193&gt;='Tax Tables'!AK$149,('Tax Tables'!AK$149-'Tax Tables'!AK$148)*'Tax Tables'!AK$150,0)),IF(AND(AK193&gt;='Tax Tables'!AK$227,AK193&lt;='Tax Tables'!AK$228),(AK193-'Tax Tables'!AK$227)*'Tax Tables'!AK$229,IF(AK193&gt;='Tax Tables'!AK$228,('Tax Tables'!AK$228-'Tax Tables'!AK$227)*'Tax Tables'!AK$229,0))),IF(AND(AK193&gt;='Tax Tables'!AK$227,AK193&lt;='Tax Tables'!AK$228),(AK193-'Tax Tables'!AK$227)*'Tax Tables'!AK$229,IF(AK193&gt;='Tax Tables'!AK$228,('Tax Tables'!AK$228-'Tax Tables'!AK$227)*'Tax Tables'!AK$229,0))),0)/Round_To,0)*Round_To</f>
        <v>0</v>
      </c>
      <c r="AL197" s="1124">
        <f>ROUND(IF(Exclude_Taxes="n",IF(Filing_Status="m",IF(OR(AL7&lt;Single_Rate_Start,Single_Rate_Start=""),IF(AND(AL193&gt;='Tax Tables'!AL$148,AL193&lt;='Tax Tables'!AL$149),(AL193-'Tax Tables'!AL$148)*'Tax Tables'!AL$150,IF(AL193&gt;='Tax Tables'!AL$149,('Tax Tables'!AL$149-'Tax Tables'!AL$148)*'Tax Tables'!AL$150,0)),IF(AND(AL193&gt;='Tax Tables'!AL$227,AL193&lt;='Tax Tables'!AL$228),(AL193-'Tax Tables'!AL$227)*'Tax Tables'!AL$229,IF(AL193&gt;='Tax Tables'!AL$228,('Tax Tables'!AL$228-'Tax Tables'!AL$227)*'Tax Tables'!AL$229,0))),IF(AND(AL193&gt;='Tax Tables'!AL$227,AL193&lt;='Tax Tables'!AL$228),(AL193-'Tax Tables'!AL$227)*'Tax Tables'!AL$229,IF(AL193&gt;='Tax Tables'!AL$228,('Tax Tables'!AL$228-'Tax Tables'!AL$227)*'Tax Tables'!AL$229,0))),0)/Round_To,0)*Round_To</f>
        <v>0</v>
      </c>
      <c r="AM197" s="1124">
        <f>ROUND(IF(Exclude_Taxes="n",IF(Filing_Status="m",IF(OR(AM7&lt;Single_Rate_Start,Single_Rate_Start=""),IF(AND(AM193&gt;='Tax Tables'!AM$148,AM193&lt;='Tax Tables'!AM$149),(AM193-'Tax Tables'!AM$148)*'Tax Tables'!AM$150,IF(AM193&gt;='Tax Tables'!AM$149,('Tax Tables'!AM$149-'Tax Tables'!AM$148)*'Tax Tables'!AM$150,0)),IF(AND(AM193&gt;='Tax Tables'!AM$227,AM193&lt;='Tax Tables'!AM$228),(AM193-'Tax Tables'!AM$227)*'Tax Tables'!AM$229,IF(AM193&gt;='Tax Tables'!AM$228,('Tax Tables'!AM$228-'Tax Tables'!AM$227)*'Tax Tables'!AM$229,0))),IF(AND(AM193&gt;='Tax Tables'!AM$227,AM193&lt;='Tax Tables'!AM$228),(AM193-'Tax Tables'!AM$227)*'Tax Tables'!AM$229,IF(AM193&gt;='Tax Tables'!AM$228,('Tax Tables'!AM$228-'Tax Tables'!AM$227)*'Tax Tables'!AM$229,0))),0)/Round_To,0)*Round_To</f>
        <v>0</v>
      </c>
      <c r="AN197" s="1124">
        <f>ROUND(IF(Exclude_Taxes="n",IF(Filing_Status="m",IF(OR(AN7&lt;Single_Rate_Start,Single_Rate_Start=""),IF(AND(AN193&gt;='Tax Tables'!AN$148,AN193&lt;='Tax Tables'!AN$149),(AN193-'Tax Tables'!AN$148)*'Tax Tables'!AN$150,IF(AN193&gt;='Tax Tables'!AN$149,('Tax Tables'!AN$149-'Tax Tables'!AN$148)*'Tax Tables'!AN$150,0)),IF(AND(AN193&gt;='Tax Tables'!AN$227,AN193&lt;='Tax Tables'!AN$228),(AN193-'Tax Tables'!AN$227)*'Tax Tables'!AN$229,IF(AN193&gt;='Tax Tables'!AN$228,('Tax Tables'!AN$228-'Tax Tables'!AN$227)*'Tax Tables'!AN$229,0))),IF(AND(AN193&gt;='Tax Tables'!AN$227,AN193&lt;='Tax Tables'!AN$228),(AN193-'Tax Tables'!AN$227)*'Tax Tables'!AN$229,IF(AN193&gt;='Tax Tables'!AN$228,('Tax Tables'!AN$228-'Tax Tables'!AN$227)*'Tax Tables'!AN$229,0))),0)/Round_To,0)*Round_To</f>
        <v>0</v>
      </c>
      <c r="AO197" s="1124">
        <f>ROUND(IF(Exclude_Taxes="n",IF(Filing_Status="m",IF(OR(AO7&lt;Single_Rate_Start,Single_Rate_Start=""),IF(AND(AO193&gt;='Tax Tables'!AO$148,AO193&lt;='Tax Tables'!AO$149),(AO193-'Tax Tables'!AO$148)*'Tax Tables'!AO$150,IF(AO193&gt;='Tax Tables'!AO$149,('Tax Tables'!AO$149-'Tax Tables'!AO$148)*'Tax Tables'!AO$150,0)),IF(AND(AO193&gt;='Tax Tables'!AO$227,AO193&lt;='Tax Tables'!AO$228),(AO193-'Tax Tables'!AO$227)*'Tax Tables'!AO$229,IF(AO193&gt;='Tax Tables'!AO$228,('Tax Tables'!AO$228-'Tax Tables'!AO$227)*'Tax Tables'!AO$229,0))),IF(AND(AO193&gt;='Tax Tables'!AO$227,AO193&lt;='Tax Tables'!AO$228),(AO193-'Tax Tables'!AO$227)*'Tax Tables'!AO$229,IF(AO193&gt;='Tax Tables'!AO$228,('Tax Tables'!AO$228-'Tax Tables'!AO$227)*'Tax Tables'!AO$229,0))),0)/Round_To,0)*Round_To</f>
        <v>0</v>
      </c>
      <c r="AP197" s="1124">
        <f>ROUND(IF(Exclude_Taxes="n",IF(Filing_Status="m",IF(OR(AP7&lt;Single_Rate_Start,Single_Rate_Start=""),IF(AND(AP193&gt;='Tax Tables'!AP$148,AP193&lt;='Tax Tables'!AP$149),(AP193-'Tax Tables'!AP$148)*'Tax Tables'!AP$150,IF(AP193&gt;='Tax Tables'!AP$149,('Tax Tables'!AP$149-'Tax Tables'!AP$148)*'Tax Tables'!AP$150,0)),IF(AND(AP193&gt;='Tax Tables'!AP$227,AP193&lt;='Tax Tables'!AP$228),(AP193-'Tax Tables'!AP$227)*'Tax Tables'!AP$229,IF(AP193&gt;='Tax Tables'!AP$228,('Tax Tables'!AP$228-'Tax Tables'!AP$227)*'Tax Tables'!AP$229,0))),IF(AND(AP193&gt;='Tax Tables'!AP$227,AP193&lt;='Tax Tables'!AP$228),(AP193-'Tax Tables'!AP$227)*'Tax Tables'!AP$229,IF(AP193&gt;='Tax Tables'!AP$228,('Tax Tables'!AP$228-'Tax Tables'!AP$227)*'Tax Tables'!AP$229,0))),0)/Round_To,0)*Round_To</f>
        <v>0</v>
      </c>
      <c r="AQ197" s="1124">
        <f>ROUND(IF(Exclude_Taxes="n",IF(Filing_Status="m",IF(OR(AQ7&lt;Single_Rate_Start,Single_Rate_Start=""),IF(AND(AQ193&gt;='Tax Tables'!AQ$148,AQ193&lt;='Tax Tables'!AQ$149),(AQ193-'Tax Tables'!AQ$148)*'Tax Tables'!AQ$150,IF(AQ193&gt;='Tax Tables'!AQ$149,('Tax Tables'!AQ$149-'Tax Tables'!AQ$148)*'Tax Tables'!AQ$150,0)),IF(AND(AQ193&gt;='Tax Tables'!AQ$227,AQ193&lt;='Tax Tables'!AQ$228),(AQ193-'Tax Tables'!AQ$227)*'Tax Tables'!AQ$229,IF(AQ193&gt;='Tax Tables'!AQ$228,('Tax Tables'!AQ$228-'Tax Tables'!AQ$227)*'Tax Tables'!AQ$229,0))),IF(AND(AQ193&gt;='Tax Tables'!AQ$227,AQ193&lt;='Tax Tables'!AQ$228),(AQ193-'Tax Tables'!AQ$227)*'Tax Tables'!AQ$229,IF(AQ193&gt;='Tax Tables'!AQ$228,('Tax Tables'!AQ$228-'Tax Tables'!AQ$227)*'Tax Tables'!AQ$229,0))),0)/Round_To,0)*Round_To</f>
        <v>0</v>
      </c>
      <c r="AR197" s="1124">
        <f>ROUND(IF(Exclude_Taxes="n",IF(Filing_Status="m",IF(OR(AR7&lt;Single_Rate_Start,Single_Rate_Start=""),IF(AND(AR193&gt;='Tax Tables'!AR$148,AR193&lt;='Tax Tables'!AR$149),(AR193-'Tax Tables'!AR$148)*'Tax Tables'!AR$150,IF(AR193&gt;='Tax Tables'!AR$149,('Tax Tables'!AR$149-'Tax Tables'!AR$148)*'Tax Tables'!AR$150,0)),IF(AND(AR193&gt;='Tax Tables'!AR$227,AR193&lt;='Tax Tables'!AR$228),(AR193-'Tax Tables'!AR$227)*'Tax Tables'!AR$229,IF(AR193&gt;='Tax Tables'!AR$228,('Tax Tables'!AR$228-'Tax Tables'!AR$227)*'Tax Tables'!AR$229,0))),IF(AND(AR193&gt;='Tax Tables'!AR$227,AR193&lt;='Tax Tables'!AR$228),(AR193-'Tax Tables'!AR$227)*'Tax Tables'!AR$229,IF(AR193&gt;='Tax Tables'!AR$228,('Tax Tables'!AR$228-'Tax Tables'!AR$227)*'Tax Tables'!AR$229,0))),0)/Round_To,0)*Round_To</f>
        <v>0</v>
      </c>
      <c r="AS197" s="1124">
        <f>ROUND(IF(Exclude_Taxes="n",IF(Filing_Status="m",IF(OR(AS7&lt;Single_Rate_Start,Single_Rate_Start=""),IF(AND(AS193&gt;='Tax Tables'!AS$148,AS193&lt;='Tax Tables'!AS$149),(AS193-'Tax Tables'!AS$148)*'Tax Tables'!AS$150,IF(AS193&gt;='Tax Tables'!AS$149,('Tax Tables'!AS$149-'Tax Tables'!AS$148)*'Tax Tables'!AS$150,0)),IF(AND(AS193&gt;='Tax Tables'!AS$227,AS193&lt;='Tax Tables'!AS$228),(AS193-'Tax Tables'!AS$227)*'Tax Tables'!AS$229,IF(AS193&gt;='Tax Tables'!AS$228,('Tax Tables'!AS$228-'Tax Tables'!AS$227)*'Tax Tables'!AS$229,0))),IF(AND(AS193&gt;='Tax Tables'!AS$227,AS193&lt;='Tax Tables'!AS$228),(AS193-'Tax Tables'!AS$227)*'Tax Tables'!AS$229,IF(AS193&gt;='Tax Tables'!AS$228,('Tax Tables'!AS$228-'Tax Tables'!AS$227)*'Tax Tables'!AS$229,0))),0)/Round_To,0)*Round_To</f>
        <v>0</v>
      </c>
      <c r="AT197" s="3"/>
      <c r="AU197" s="29">
        <f>+Details!E197</f>
        <v>54600</v>
      </c>
      <c r="AV197" s="81">
        <f t="shared" si="163"/>
        <v>0</v>
      </c>
      <c r="AW197" s="102"/>
      <c r="AY197" s="31">
        <f>+Details!F197-Base!F197</f>
        <v>0</v>
      </c>
      <c r="AZ197" s="1124">
        <f>+Details!G197-Base!G197</f>
        <v>0</v>
      </c>
      <c r="BA197" s="1124">
        <f>+Details!H197-Base!H197</f>
        <v>0</v>
      </c>
      <c r="BB197" s="1124">
        <f>+Details!I197-Base!I197</f>
        <v>0</v>
      </c>
      <c r="BC197" s="1124">
        <f>+Details!J197-Base!J197</f>
        <v>0</v>
      </c>
      <c r="BD197" s="1124">
        <f>+Details!K197-Base!K197</f>
        <v>0</v>
      </c>
      <c r="BE197" s="1124">
        <f>+Details!L197-Base!L197</f>
        <v>0</v>
      </c>
      <c r="BF197" s="1124">
        <f>+Details!M197-Base!M197</f>
        <v>0</v>
      </c>
      <c r="BG197" s="1124">
        <f>+Details!N197-Base!N197</f>
        <v>0</v>
      </c>
      <c r="BH197" s="1124">
        <f>+Details!O197-Base!O197</f>
        <v>0</v>
      </c>
      <c r="BI197" s="1124">
        <f>+Details!P197-Base!P197</f>
        <v>0</v>
      </c>
      <c r="BJ197" s="1124">
        <f>+Details!Q197-Base!Q197</f>
        <v>0</v>
      </c>
      <c r="BK197" s="1124">
        <f>+Details!R197-Base!R197</f>
        <v>0</v>
      </c>
      <c r="BL197" s="1124">
        <f>+Details!S197-Base!S197</f>
        <v>0</v>
      </c>
      <c r="BM197" s="1124">
        <f>+Details!T197-Base!T197</f>
        <v>0</v>
      </c>
      <c r="BN197" s="1124">
        <f>+Details!U197-Base!U197</f>
        <v>0</v>
      </c>
      <c r="BO197" s="1124">
        <f>+Details!V197-Base!V197</f>
        <v>0</v>
      </c>
      <c r="BP197" s="1124">
        <f>+Details!W197-Base!W197</f>
        <v>0</v>
      </c>
      <c r="BQ197" s="1124">
        <f>+Details!X197-Base!X197</f>
        <v>0</v>
      </c>
      <c r="BR197" s="1124">
        <f>+Details!Y197-Base!Y197</f>
        <v>0</v>
      </c>
      <c r="BS197" s="1124">
        <f>+Details!Z197-Base!Z197</f>
        <v>0</v>
      </c>
      <c r="BT197" s="1124">
        <f>+Details!AA197-Base!AA197</f>
        <v>0</v>
      </c>
      <c r="BU197" s="1124">
        <f>+Details!AB197-Base!AB197</f>
        <v>0</v>
      </c>
      <c r="BV197" s="1124">
        <f>+Details!AC197-Base!AC197</f>
        <v>0</v>
      </c>
      <c r="BW197" s="1124">
        <f>+Details!AD197-Base!AD197</f>
        <v>0</v>
      </c>
      <c r="BX197" s="1124">
        <f>+Details!AE197-Base!AE197</f>
        <v>0</v>
      </c>
      <c r="BY197" s="1124">
        <f>+Details!AF197-Base!AF197</f>
        <v>0</v>
      </c>
      <c r="BZ197" s="1124">
        <f>+Details!AG197-Base!AG197</f>
        <v>0</v>
      </c>
      <c r="CA197" s="1124">
        <f>+Details!AH197-Base!AH197</f>
        <v>0</v>
      </c>
      <c r="CB197" s="1124">
        <f>+Details!AI197-Base!AI197</f>
        <v>0</v>
      </c>
      <c r="CC197" s="1124">
        <f>+Details!AJ197-Base!AJ197</f>
        <v>0</v>
      </c>
      <c r="CD197" s="1124">
        <f>+Details!AK197-Base!AK197</f>
        <v>0</v>
      </c>
      <c r="CE197" s="1124">
        <f>+Details!AL197-Base!AL197</f>
        <v>0</v>
      </c>
      <c r="CF197" s="1124">
        <f>+Details!AM197-Base!AM197</f>
        <v>0</v>
      </c>
      <c r="CG197" s="1124">
        <f>+Details!AN197-Base!AN197</f>
        <v>0</v>
      </c>
      <c r="CH197" s="1124">
        <f>+Details!AO197-Base!AO197</f>
        <v>0</v>
      </c>
      <c r="CI197" s="1124">
        <f>+Details!AP197-Base!AP197</f>
        <v>0</v>
      </c>
      <c r="CJ197" s="1124">
        <f>+Details!AQ197-Base!AQ197</f>
        <v>0</v>
      </c>
      <c r="CK197" s="1124">
        <f>+Details!AR197-Base!AR197</f>
        <v>0</v>
      </c>
      <c r="CL197" s="1124">
        <f>+Details!AS197-Base!AS197</f>
        <v>0</v>
      </c>
      <c r="CM197" s="81"/>
    </row>
    <row r="198" spans="1:91" s="1" customFormat="1" hidden="1">
      <c r="A198" s="1427" t="s">
        <v>1578</v>
      </c>
      <c r="B198" s="425"/>
      <c r="C198" s="425" t="str">
        <f>IF(Tax_Rates_Alt="y",IF(Filing_Status="m",Setup!$E$236,Setup!$H$236),"")</f>
        <v/>
      </c>
      <c r="D198" s="67">
        <f>IF(Filing_Status="m",Setup!$D236,Setup!$G236)</f>
        <v>0.24</v>
      </c>
      <c r="E198" s="102">
        <f t="shared" si="162"/>
        <v>0</v>
      </c>
      <c r="F198" s="88">
        <f>ROUND(IF(Exclude_Taxes="n",IF(Filing_Status="m",IF(OR(F7&lt;Single_Rate_Start,Single_Rate_Start=""),IF(AND(F193&gt;='Tax Tables'!F$153,F193&lt;='Tax Tables'!F$154),(F193-'Tax Tables'!F$153)*'Tax Tables'!F$155,IF(F193&gt;='Tax Tables'!F$154,('Tax Tables'!F$154-'Tax Tables'!F$153)*'Tax Tables'!F$155,0)),IF(AND(F193&gt;='Tax Tables'!F$232,F193&lt;='Tax Tables'!F$233),(F193-'Tax Tables'!F$232)*'Tax Tables'!F$234,IF(F193&gt;='Tax Tables'!F$233,('Tax Tables'!F$233-'Tax Tables'!F$232)*'Tax Tables'!F$234,0))),IF(AND(F193&gt;='Tax Tables'!F$232,F193&lt;='Tax Tables'!F$233),(F193-'Tax Tables'!F$232)*'Tax Tables'!F$234,IF(F193&gt;='Tax Tables'!F$233,('Tax Tables'!F$233-'Tax Tables'!F$232)*'Tax Tables'!F$234,0))),0)/Round_To,0)*Round_To</f>
        <v>0</v>
      </c>
      <c r="G198" s="1124">
        <f>ROUND(IF(Exclude_Taxes="n",IF(Filing_Status="m",IF(OR(G7&lt;Single_Rate_Start,Single_Rate_Start=""),IF(AND(G193&gt;='Tax Tables'!G$153,G193&lt;='Tax Tables'!G$154),(G193-'Tax Tables'!G$153)*'Tax Tables'!G$155,IF(G193&gt;='Tax Tables'!G$154,('Tax Tables'!G$154-'Tax Tables'!G$153)*'Tax Tables'!G$155,0)),IF(AND(G193&gt;='Tax Tables'!G$232,G193&lt;='Tax Tables'!G$233),(G193-'Tax Tables'!G$232)*'Tax Tables'!G$234,IF(G193&gt;='Tax Tables'!G$233,('Tax Tables'!G$233-'Tax Tables'!G$232)*'Tax Tables'!G$234,0))),IF(AND(G193&gt;='Tax Tables'!G$232,G193&lt;='Tax Tables'!G$233),(G193-'Tax Tables'!G$232)*'Tax Tables'!G$234,IF(G193&gt;='Tax Tables'!G$233,('Tax Tables'!G$233-'Tax Tables'!G$232)*'Tax Tables'!G$234,0))),0)/Round_To,0)*Round_To</f>
        <v>0</v>
      </c>
      <c r="H198" s="1124">
        <f>ROUND(IF(Exclude_Taxes="n",IF(Filing_Status="m",IF(OR(H7&lt;Single_Rate_Start,Single_Rate_Start=""),IF(AND(H193&gt;='Tax Tables'!H$153,H193&lt;='Tax Tables'!H$154),(H193-'Tax Tables'!H$153)*'Tax Tables'!H$155,IF(H193&gt;='Tax Tables'!H$154,('Tax Tables'!H$154-'Tax Tables'!H$153)*'Tax Tables'!H$155,0)),IF(AND(H193&gt;='Tax Tables'!H$232,H193&lt;='Tax Tables'!H$233),(H193-'Tax Tables'!H$232)*'Tax Tables'!H$234,IF(H193&gt;='Tax Tables'!H$233,('Tax Tables'!H$233-'Tax Tables'!H$232)*'Tax Tables'!H$234,0))),IF(AND(H193&gt;='Tax Tables'!H$232,H193&lt;='Tax Tables'!H$233),(H193-'Tax Tables'!H$232)*'Tax Tables'!H$234,IF(H193&gt;='Tax Tables'!H$233,('Tax Tables'!H$233-'Tax Tables'!H$232)*'Tax Tables'!H$234,0))),0)/Round_To,0)*Round_To</f>
        <v>0</v>
      </c>
      <c r="I198" s="1124">
        <f>ROUND(IF(Exclude_Taxes="n",IF(Filing_Status="m",IF(OR(I7&lt;Single_Rate_Start,Single_Rate_Start=""),IF(AND(I193&gt;='Tax Tables'!I$153,I193&lt;='Tax Tables'!I$154),(I193-'Tax Tables'!I$153)*'Tax Tables'!I$155,IF(I193&gt;='Tax Tables'!I$154,('Tax Tables'!I$154-'Tax Tables'!I$153)*'Tax Tables'!I$155,0)),IF(AND(I193&gt;='Tax Tables'!I$232,I193&lt;='Tax Tables'!I$233),(I193-'Tax Tables'!I$232)*'Tax Tables'!I$234,IF(I193&gt;='Tax Tables'!I$233,('Tax Tables'!I$233-'Tax Tables'!I$232)*'Tax Tables'!I$234,0))),IF(AND(I193&gt;='Tax Tables'!I$232,I193&lt;='Tax Tables'!I$233),(I193-'Tax Tables'!I$232)*'Tax Tables'!I$234,IF(I193&gt;='Tax Tables'!I$233,('Tax Tables'!I$233-'Tax Tables'!I$232)*'Tax Tables'!I$234,0))),0)/Round_To,0)*Round_To</f>
        <v>0</v>
      </c>
      <c r="J198" s="1124">
        <f>ROUND(IF(Exclude_Taxes="n",IF(Filing_Status="m",IF(OR(J7&lt;Single_Rate_Start,Single_Rate_Start=""),IF(AND(J193&gt;='Tax Tables'!J$153,J193&lt;='Tax Tables'!J$154),(J193-'Tax Tables'!J$153)*'Tax Tables'!J$155,IF(J193&gt;='Tax Tables'!J$154,('Tax Tables'!J$154-'Tax Tables'!J$153)*'Tax Tables'!J$155,0)),IF(AND(J193&gt;='Tax Tables'!J$232,J193&lt;='Tax Tables'!J$233),(J193-'Tax Tables'!J$232)*'Tax Tables'!J$234,IF(J193&gt;='Tax Tables'!J$233,('Tax Tables'!J$233-'Tax Tables'!J$232)*'Tax Tables'!J$234,0))),IF(AND(J193&gt;='Tax Tables'!J$232,J193&lt;='Tax Tables'!J$233),(J193-'Tax Tables'!J$232)*'Tax Tables'!J$234,IF(J193&gt;='Tax Tables'!J$233,('Tax Tables'!J$233-'Tax Tables'!J$232)*'Tax Tables'!J$234,0))),0)/Round_To,0)*Round_To</f>
        <v>0</v>
      </c>
      <c r="K198" s="1124">
        <f>ROUND(IF(Exclude_Taxes="n",IF(Filing_Status="m",IF(OR(K7&lt;Single_Rate_Start,Single_Rate_Start=""),IF(AND(K193&gt;='Tax Tables'!K$153,K193&lt;='Tax Tables'!K$154),(K193-'Tax Tables'!K$153)*'Tax Tables'!K$155,IF(K193&gt;='Tax Tables'!K$154,('Tax Tables'!K$154-'Tax Tables'!K$153)*'Tax Tables'!K$155,0)),IF(AND(K193&gt;='Tax Tables'!K$232,K193&lt;='Tax Tables'!K$233),(K193-'Tax Tables'!K$232)*'Tax Tables'!K$234,IF(K193&gt;='Tax Tables'!K$233,('Tax Tables'!K$233-'Tax Tables'!K$232)*'Tax Tables'!K$234,0))),IF(AND(K193&gt;='Tax Tables'!K$232,K193&lt;='Tax Tables'!K$233),(K193-'Tax Tables'!K$232)*'Tax Tables'!K$234,IF(K193&gt;='Tax Tables'!K$233,('Tax Tables'!K$233-'Tax Tables'!K$232)*'Tax Tables'!K$234,0))),0)/Round_To,0)*Round_To</f>
        <v>0</v>
      </c>
      <c r="L198" s="1124">
        <f>ROUND(IF(Exclude_Taxes="n",IF(Filing_Status="m",IF(OR(L7&lt;Single_Rate_Start,Single_Rate_Start=""),IF(AND(L193&gt;='Tax Tables'!L$153,L193&lt;='Tax Tables'!L$154),(L193-'Tax Tables'!L$153)*'Tax Tables'!L$155,IF(L193&gt;='Tax Tables'!L$154,('Tax Tables'!L$154-'Tax Tables'!L$153)*'Tax Tables'!L$155,0)),IF(AND(L193&gt;='Tax Tables'!L$232,L193&lt;='Tax Tables'!L$233),(L193-'Tax Tables'!L$232)*'Tax Tables'!L$234,IF(L193&gt;='Tax Tables'!L$233,('Tax Tables'!L$233-'Tax Tables'!L$232)*'Tax Tables'!L$234,0))),IF(AND(L193&gt;='Tax Tables'!L$232,L193&lt;='Tax Tables'!L$233),(L193-'Tax Tables'!L$232)*'Tax Tables'!L$234,IF(L193&gt;='Tax Tables'!L$233,('Tax Tables'!L$233-'Tax Tables'!L$232)*'Tax Tables'!L$234,0))),0)/Round_To,0)*Round_To</f>
        <v>0</v>
      </c>
      <c r="M198" s="1124">
        <f>ROUND(IF(Exclude_Taxes="n",IF(Filing_Status="m",IF(OR(M7&lt;Single_Rate_Start,Single_Rate_Start=""),IF(AND(M193&gt;='Tax Tables'!M$153,M193&lt;='Tax Tables'!M$154),(M193-'Tax Tables'!M$153)*'Tax Tables'!M$155,IF(M193&gt;='Tax Tables'!M$154,('Tax Tables'!M$154-'Tax Tables'!M$153)*'Tax Tables'!M$155,0)),IF(AND(M193&gt;='Tax Tables'!M$232,M193&lt;='Tax Tables'!M$233),(M193-'Tax Tables'!M$232)*'Tax Tables'!M$234,IF(M193&gt;='Tax Tables'!M$233,('Tax Tables'!M$233-'Tax Tables'!M$232)*'Tax Tables'!M$234,0))),IF(AND(M193&gt;='Tax Tables'!M$232,M193&lt;='Tax Tables'!M$233),(M193-'Tax Tables'!M$232)*'Tax Tables'!M$234,IF(M193&gt;='Tax Tables'!M$233,('Tax Tables'!M$233-'Tax Tables'!M$232)*'Tax Tables'!M$234,0))),0)/Round_To,0)*Round_To</f>
        <v>0</v>
      </c>
      <c r="N198" s="1124">
        <f>ROUND(IF(Exclude_Taxes="n",IF(Filing_Status="m",IF(OR(N7&lt;Single_Rate_Start,Single_Rate_Start=""),IF(AND(N193&gt;='Tax Tables'!N$153,N193&lt;='Tax Tables'!N$154),(N193-'Tax Tables'!N$153)*'Tax Tables'!N$155,IF(N193&gt;='Tax Tables'!N$154,('Tax Tables'!N$154-'Tax Tables'!N$153)*'Tax Tables'!N$155,0)),IF(AND(N193&gt;='Tax Tables'!N$232,N193&lt;='Tax Tables'!N$233),(N193-'Tax Tables'!N$232)*'Tax Tables'!N$234,IF(N193&gt;='Tax Tables'!N$233,('Tax Tables'!N$233-'Tax Tables'!N$232)*'Tax Tables'!N$234,0))),IF(AND(N193&gt;='Tax Tables'!N$232,N193&lt;='Tax Tables'!N$233),(N193-'Tax Tables'!N$232)*'Tax Tables'!N$234,IF(N193&gt;='Tax Tables'!N$233,('Tax Tables'!N$233-'Tax Tables'!N$232)*'Tax Tables'!N$234,0))),0)/Round_To,0)*Round_To</f>
        <v>0</v>
      </c>
      <c r="O198" s="1124">
        <f>ROUND(IF(Exclude_Taxes="n",IF(Filing_Status="m",IF(OR(O7&lt;Single_Rate_Start,Single_Rate_Start=""),IF(AND(O193&gt;='Tax Tables'!O$153,O193&lt;='Tax Tables'!O$154),(O193-'Tax Tables'!O$153)*'Tax Tables'!O$155,IF(O193&gt;='Tax Tables'!O$154,('Tax Tables'!O$154-'Tax Tables'!O$153)*'Tax Tables'!O$155,0)),IF(AND(O193&gt;='Tax Tables'!O$232,O193&lt;='Tax Tables'!O$233),(O193-'Tax Tables'!O$232)*'Tax Tables'!O$234,IF(O193&gt;='Tax Tables'!O$233,('Tax Tables'!O$233-'Tax Tables'!O$232)*'Tax Tables'!O$234,0))),IF(AND(O193&gt;='Tax Tables'!O$232,O193&lt;='Tax Tables'!O$233),(O193-'Tax Tables'!O$232)*'Tax Tables'!O$234,IF(O193&gt;='Tax Tables'!O$233,('Tax Tables'!O$233-'Tax Tables'!O$232)*'Tax Tables'!O$234,0))),0)/Round_To,0)*Round_To</f>
        <v>0</v>
      </c>
      <c r="P198" s="1124">
        <f>ROUND(IF(Exclude_Taxes="n",IF(Filing_Status="m",IF(OR(P7&lt;Single_Rate_Start,Single_Rate_Start=""),IF(AND(P193&gt;='Tax Tables'!P$153,P193&lt;='Tax Tables'!P$154),(P193-'Tax Tables'!P$153)*'Tax Tables'!P$155,IF(P193&gt;='Tax Tables'!P$154,('Tax Tables'!P$154-'Tax Tables'!P$153)*'Tax Tables'!P$155,0)),IF(AND(P193&gt;='Tax Tables'!P$232,P193&lt;='Tax Tables'!P$233),(P193-'Tax Tables'!P$232)*'Tax Tables'!P$234,IF(P193&gt;='Tax Tables'!P$233,('Tax Tables'!P$233-'Tax Tables'!P$232)*'Tax Tables'!P$234,0))),IF(AND(P193&gt;='Tax Tables'!P$232,P193&lt;='Tax Tables'!P$233),(P193-'Tax Tables'!P$232)*'Tax Tables'!P$234,IF(P193&gt;='Tax Tables'!P$233,('Tax Tables'!P$233-'Tax Tables'!P$232)*'Tax Tables'!P$234,0))),0)/Round_To,0)*Round_To</f>
        <v>0</v>
      </c>
      <c r="Q198" s="1124">
        <f>ROUND(IF(Exclude_Taxes="n",IF(Filing_Status="m",IF(OR(Q7&lt;Single_Rate_Start,Single_Rate_Start=""),IF(AND(Q193&gt;='Tax Tables'!Q$153,Q193&lt;='Tax Tables'!Q$154),(Q193-'Tax Tables'!Q$153)*'Tax Tables'!Q$155,IF(Q193&gt;='Tax Tables'!Q$154,('Tax Tables'!Q$154-'Tax Tables'!Q$153)*'Tax Tables'!Q$155,0)),IF(AND(Q193&gt;='Tax Tables'!Q$232,Q193&lt;='Tax Tables'!Q$233),(Q193-'Tax Tables'!Q$232)*'Tax Tables'!Q$234,IF(Q193&gt;='Tax Tables'!Q$233,('Tax Tables'!Q$233-'Tax Tables'!Q$232)*'Tax Tables'!Q$234,0))),IF(AND(Q193&gt;='Tax Tables'!Q$232,Q193&lt;='Tax Tables'!Q$233),(Q193-'Tax Tables'!Q$232)*'Tax Tables'!Q$234,IF(Q193&gt;='Tax Tables'!Q$233,('Tax Tables'!Q$233-'Tax Tables'!Q$232)*'Tax Tables'!Q$234,0))),0)/Round_To,0)*Round_To</f>
        <v>0</v>
      </c>
      <c r="R198" s="1124">
        <f>ROUND(IF(Exclude_Taxes="n",IF(Filing_Status="m",IF(OR(R7&lt;Single_Rate_Start,Single_Rate_Start=""),IF(AND(R193&gt;='Tax Tables'!R$153,R193&lt;='Tax Tables'!R$154),(R193-'Tax Tables'!R$153)*'Tax Tables'!R$155,IF(R193&gt;='Tax Tables'!R$154,('Tax Tables'!R$154-'Tax Tables'!R$153)*'Tax Tables'!R$155,0)),IF(AND(R193&gt;='Tax Tables'!R$232,R193&lt;='Tax Tables'!R$233),(R193-'Tax Tables'!R$232)*'Tax Tables'!R$234,IF(R193&gt;='Tax Tables'!R$233,('Tax Tables'!R$233-'Tax Tables'!R$232)*'Tax Tables'!R$234,0))),IF(AND(R193&gt;='Tax Tables'!R$232,R193&lt;='Tax Tables'!R$233),(R193-'Tax Tables'!R$232)*'Tax Tables'!R$234,IF(R193&gt;='Tax Tables'!R$233,('Tax Tables'!R$233-'Tax Tables'!R$232)*'Tax Tables'!R$234,0))),0)/Round_To,0)*Round_To</f>
        <v>0</v>
      </c>
      <c r="S198" s="1124">
        <f>ROUND(IF(Exclude_Taxes="n",IF(Filing_Status="m",IF(OR(S7&lt;Single_Rate_Start,Single_Rate_Start=""),IF(AND(S193&gt;='Tax Tables'!S$153,S193&lt;='Tax Tables'!S$154),(S193-'Tax Tables'!S$153)*'Tax Tables'!S$155,IF(S193&gt;='Tax Tables'!S$154,('Tax Tables'!S$154-'Tax Tables'!S$153)*'Tax Tables'!S$155,0)),IF(AND(S193&gt;='Tax Tables'!S$232,S193&lt;='Tax Tables'!S$233),(S193-'Tax Tables'!S$232)*'Tax Tables'!S$234,IF(S193&gt;='Tax Tables'!S$233,('Tax Tables'!S$233-'Tax Tables'!S$232)*'Tax Tables'!S$234,0))),IF(AND(S193&gt;='Tax Tables'!S$232,S193&lt;='Tax Tables'!S$233),(S193-'Tax Tables'!S$232)*'Tax Tables'!S$234,IF(S193&gt;='Tax Tables'!S$233,('Tax Tables'!S$233-'Tax Tables'!S$232)*'Tax Tables'!S$234,0))),0)/Round_To,0)*Round_To</f>
        <v>0</v>
      </c>
      <c r="T198" s="1124">
        <f>ROUND(IF(Exclude_Taxes="n",IF(Filing_Status="m",IF(OR(T7&lt;Single_Rate_Start,Single_Rate_Start=""),IF(AND(T193&gt;='Tax Tables'!T$153,T193&lt;='Tax Tables'!T$154),(T193-'Tax Tables'!T$153)*'Tax Tables'!T$155,IF(T193&gt;='Tax Tables'!T$154,('Tax Tables'!T$154-'Tax Tables'!T$153)*'Tax Tables'!T$155,0)),IF(AND(T193&gt;='Tax Tables'!T$232,T193&lt;='Tax Tables'!T$233),(T193-'Tax Tables'!T$232)*'Tax Tables'!T$234,IF(T193&gt;='Tax Tables'!T$233,('Tax Tables'!T$233-'Tax Tables'!T$232)*'Tax Tables'!T$234,0))),IF(AND(T193&gt;='Tax Tables'!T$232,T193&lt;='Tax Tables'!T$233),(T193-'Tax Tables'!T$232)*'Tax Tables'!T$234,IF(T193&gt;='Tax Tables'!T$233,('Tax Tables'!T$233-'Tax Tables'!T$232)*'Tax Tables'!T$234,0))),0)/Round_To,0)*Round_To</f>
        <v>0</v>
      </c>
      <c r="U198" s="1124">
        <f>ROUND(IF(Exclude_Taxes="n",IF(Filing_Status="m",IF(OR(U7&lt;Single_Rate_Start,Single_Rate_Start=""),IF(AND(U193&gt;='Tax Tables'!U$153,U193&lt;='Tax Tables'!U$154),(U193-'Tax Tables'!U$153)*'Tax Tables'!U$155,IF(U193&gt;='Tax Tables'!U$154,('Tax Tables'!U$154-'Tax Tables'!U$153)*'Tax Tables'!U$155,0)),IF(AND(U193&gt;='Tax Tables'!U$232,U193&lt;='Tax Tables'!U$233),(U193-'Tax Tables'!U$232)*'Tax Tables'!U$234,IF(U193&gt;='Tax Tables'!U$233,('Tax Tables'!U$233-'Tax Tables'!U$232)*'Tax Tables'!U$234,0))),IF(AND(U193&gt;='Tax Tables'!U$232,U193&lt;='Tax Tables'!U$233),(U193-'Tax Tables'!U$232)*'Tax Tables'!U$234,IF(U193&gt;='Tax Tables'!U$233,('Tax Tables'!U$233-'Tax Tables'!U$232)*'Tax Tables'!U$234,0))),0)/Round_To,0)*Round_To</f>
        <v>0</v>
      </c>
      <c r="V198" s="1124">
        <f>ROUND(IF(Exclude_Taxes="n",IF(Filing_Status="m",IF(OR(V7&lt;Single_Rate_Start,Single_Rate_Start=""),IF(AND(V193&gt;='Tax Tables'!V$153,V193&lt;='Tax Tables'!V$154),(V193-'Tax Tables'!V$153)*'Tax Tables'!V$155,IF(V193&gt;='Tax Tables'!V$154,('Tax Tables'!V$154-'Tax Tables'!V$153)*'Tax Tables'!V$155,0)),IF(AND(V193&gt;='Tax Tables'!V$232,V193&lt;='Tax Tables'!V$233),(V193-'Tax Tables'!V$232)*'Tax Tables'!V$234,IF(V193&gt;='Tax Tables'!V$233,('Tax Tables'!V$233-'Tax Tables'!V$232)*'Tax Tables'!V$234,0))),IF(AND(V193&gt;='Tax Tables'!V$232,V193&lt;='Tax Tables'!V$233),(V193-'Tax Tables'!V$232)*'Tax Tables'!V$234,IF(V193&gt;='Tax Tables'!V$233,('Tax Tables'!V$233-'Tax Tables'!V$232)*'Tax Tables'!V$234,0))),0)/Round_To,0)*Round_To</f>
        <v>0</v>
      </c>
      <c r="W198" s="1124">
        <f>ROUND(IF(Exclude_Taxes="n",IF(Filing_Status="m",IF(OR(W7&lt;Single_Rate_Start,Single_Rate_Start=""),IF(AND(W193&gt;='Tax Tables'!W$153,W193&lt;='Tax Tables'!W$154),(W193-'Tax Tables'!W$153)*'Tax Tables'!W$155,IF(W193&gt;='Tax Tables'!W$154,('Tax Tables'!W$154-'Tax Tables'!W$153)*'Tax Tables'!W$155,0)),IF(AND(W193&gt;='Tax Tables'!W$232,W193&lt;='Tax Tables'!W$233),(W193-'Tax Tables'!W$232)*'Tax Tables'!W$234,IF(W193&gt;='Tax Tables'!W$233,('Tax Tables'!W$233-'Tax Tables'!W$232)*'Tax Tables'!W$234,0))),IF(AND(W193&gt;='Tax Tables'!W$232,W193&lt;='Tax Tables'!W$233),(W193-'Tax Tables'!W$232)*'Tax Tables'!W$234,IF(W193&gt;='Tax Tables'!W$233,('Tax Tables'!W$233-'Tax Tables'!W$232)*'Tax Tables'!W$234,0))),0)/Round_To,0)*Round_To</f>
        <v>0</v>
      </c>
      <c r="X198" s="1124">
        <f>ROUND(IF(Exclude_Taxes="n",IF(Filing_Status="m",IF(OR(X7&lt;Single_Rate_Start,Single_Rate_Start=""),IF(AND(X193&gt;='Tax Tables'!X$153,X193&lt;='Tax Tables'!X$154),(X193-'Tax Tables'!X$153)*'Tax Tables'!X$155,IF(X193&gt;='Tax Tables'!X$154,('Tax Tables'!X$154-'Tax Tables'!X$153)*'Tax Tables'!X$155,0)),IF(AND(X193&gt;='Tax Tables'!X$232,X193&lt;='Tax Tables'!X$233),(X193-'Tax Tables'!X$232)*'Tax Tables'!X$234,IF(X193&gt;='Tax Tables'!X$233,('Tax Tables'!X$233-'Tax Tables'!X$232)*'Tax Tables'!X$234,0))),IF(AND(X193&gt;='Tax Tables'!X$232,X193&lt;='Tax Tables'!X$233),(X193-'Tax Tables'!X$232)*'Tax Tables'!X$234,IF(X193&gt;='Tax Tables'!X$233,('Tax Tables'!X$233-'Tax Tables'!X$232)*'Tax Tables'!X$234,0))),0)/Round_To,0)*Round_To</f>
        <v>0</v>
      </c>
      <c r="Y198" s="1124">
        <f>ROUND(IF(Exclude_Taxes="n",IF(Filing_Status="m",IF(OR(Y7&lt;Single_Rate_Start,Single_Rate_Start=""),IF(AND(Y193&gt;='Tax Tables'!Y$153,Y193&lt;='Tax Tables'!Y$154),(Y193-'Tax Tables'!Y$153)*'Tax Tables'!Y$155,IF(Y193&gt;='Tax Tables'!Y$154,('Tax Tables'!Y$154-'Tax Tables'!Y$153)*'Tax Tables'!Y$155,0)),IF(AND(Y193&gt;='Tax Tables'!Y$232,Y193&lt;='Tax Tables'!Y$233),(Y193-'Tax Tables'!Y$232)*'Tax Tables'!Y$234,IF(Y193&gt;='Tax Tables'!Y$233,('Tax Tables'!Y$233-'Tax Tables'!Y$232)*'Tax Tables'!Y$234,0))),IF(AND(Y193&gt;='Tax Tables'!Y$232,Y193&lt;='Tax Tables'!Y$233),(Y193-'Tax Tables'!Y$232)*'Tax Tables'!Y$234,IF(Y193&gt;='Tax Tables'!Y$233,('Tax Tables'!Y$233-'Tax Tables'!Y$232)*'Tax Tables'!Y$234,0))),0)/Round_To,0)*Round_To</f>
        <v>0</v>
      </c>
      <c r="Z198" s="1124">
        <f>ROUND(IF(Exclude_Taxes="n",IF(Filing_Status="m",IF(OR(Z7&lt;Single_Rate_Start,Single_Rate_Start=""),IF(AND(Z193&gt;='Tax Tables'!Z$153,Z193&lt;='Tax Tables'!Z$154),(Z193-'Tax Tables'!Z$153)*'Tax Tables'!Z$155,IF(Z193&gt;='Tax Tables'!Z$154,('Tax Tables'!Z$154-'Tax Tables'!Z$153)*'Tax Tables'!Z$155,0)),IF(AND(Z193&gt;='Tax Tables'!Z$232,Z193&lt;='Tax Tables'!Z$233),(Z193-'Tax Tables'!Z$232)*'Tax Tables'!Z$234,IF(Z193&gt;='Tax Tables'!Z$233,('Tax Tables'!Z$233-'Tax Tables'!Z$232)*'Tax Tables'!Z$234,0))),IF(AND(Z193&gt;='Tax Tables'!Z$232,Z193&lt;='Tax Tables'!Z$233),(Z193-'Tax Tables'!Z$232)*'Tax Tables'!Z$234,IF(Z193&gt;='Tax Tables'!Z$233,('Tax Tables'!Z$233-'Tax Tables'!Z$232)*'Tax Tables'!Z$234,0))),0)/Round_To,0)*Round_To</f>
        <v>0</v>
      </c>
      <c r="AA198" s="1124">
        <f>ROUND(IF(Exclude_Taxes="n",IF(Filing_Status="m",IF(OR(AA7&lt;Single_Rate_Start,Single_Rate_Start=""),IF(AND(AA193&gt;='Tax Tables'!AA$153,AA193&lt;='Tax Tables'!AA$154),(AA193-'Tax Tables'!AA$153)*'Tax Tables'!AA$155,IF(AA193&gt;='Tax Tables'!AA$154,('Tax Tables'!AA$154-'Tax Tables'!AA$153)*'Tax Tables'!AA$155,0)),IF(AND(AA193&gt;='Tax Tables'!AA$232,AA193&lt;='Tax Tables'!AA$233),(AA193-'Tax Tables'!AA$232)*'Tax Tables'!AA$234,IF(AA193&gt;='Tax Tables'!AA$233,('Tax Tables'!AA$233-'Tax Tables'!AA$232)*'Tax Tables'!AA$234,0))),IF(AND(AA193&gt;='Tax Tables'!AA$232,AA193&lt;='Tax Tables'!AA$233),(AA193-'Tax Tables'!AA$232)*'Tax Tables'!AA$234,IF(AA193&gt;='Tax Tables'!AA$233,('Tax Tables'!AA$233-'Tax Tables'!AA$232)*'Tax Tables'!AA$234,0))),0)/Round_To,0)*Round_To</f>
        <v>0</v>
      </c>
      <c r="AB198" s="1124">
        <f>ROUND(IF(Exclude_Taxes="n",IF(Filing_Status="m",IF(OR(AB7&lt;Single_Rate_Start,Single_Rate_Start=""),IF(AND(AB193&gt;='Tax Tables'!AB$153,AB193&lt;='Tax Tables'!AB$154),(AB193-'Tax Tables'!AB$153)*'Tax Tables'!AB$155,IF(AB193&gt;='Tax Tables'!AB$154,('Tax Tables'!AB$154-'Tax Tables'!AB$153)*'Tax Tables'!AB$155,0)),IF(AND(AB193&gt;='Tax Tables'!AB$232,AB193&lt;='Tax Tables'!AB$233),(AB193-'Tax Tables'!AB$232)*'Tax Tables'!AB$234,IF(AB193&gt;='Tax Tables'!AB$233,('Tax Tables'!AB$233-'Tax Tables'!AB$232)*'Tax Tables'!AB$234,0))),IF(AND(AB193&gt;='Tax Tables'!AB$232,AB193&lt;='Tax Tables'!AB$233),(AB193-'Tax Tables'!AB$232)*'Tax Tables'!AB$234,IF(AB193&gt;='Tax Tables'!AB$233,('Tax Tables'!AB$233-'Tax Tables'!AB$232)*'Tax Tables'!AB$234,0))),0)/Round_To,0)*Round_To</f>
        <v>0</v>
      </c>
      <c r="AC198" s="1124">
        <f>ROUND(IF(Exclude_Taxes="n",IF(Filing_Status="m",IF(OR(AC7&lt;Single_Rate_Start,Single_Rate_Start=""),IF(AND(AC193&gt;='Tax Tables'!AC$153,AC193&lt;='Tax Tables'!AC$154),(AC193-'Tax Tables'!AC$153)*'Tax Tables'!AC$155,IF(AC193&gt;='Tax Tables'!AC$154,('Tax Tables'!AC$154-'Tax Tables'!AC$153)*'Tax Tables'!AC$155,0)),IF(AND(AC193&gt;='Tax Tables'!AC$232,AC193&lt;='Tax Tables'!AC$233),(AC193-'Tax Tables'!AC$232)*'Tax Tables'!AC$234,IF(AC193&gt;='Tax Tables'!AC$233,('Tax Tables'!AC$233-'Tax Tables'!AC$232)*'Tax Tables'!AC$234,0))),IF(AND(AC193&gt;='Tax Tables'!AC$232,AC193&lt;='Tax Tables'!AC$233),(AC193-'Tax Tables'!AC$232)*'Tax Tables'!AC$234,IF(AC193&gt;='Tax Tables'!AC$233,('Tax Tables'!AC$233-'Tax Tables'!AC$232)*'Tax Tables'!AC$234,0))),0)/Round_To,0)*Round_To</f>
        <v>0</v>
      </c>
      <c r="AD198" s="1124">
        <f>ROUND(IF(Exclude_Taxes="n",IF(Filing_Status="m",IF(OR(AD7&lt;Single_Rate_Start,Single_Rate_Start=""),IF(AND(AD193&gt;='Tax Tables'!AD$153,AD193&lt;='Tax Tables'!AD$154),(AD193-'Tax Tables'!AD$153)*'Tax Tables'!AD$155,IF(AD193&gt;='Tax Tables'!AD$154,('Tax Tables'!AD$154-'Tax Tables'!AD$153)*'Tax Tables'!AD$155,0)),IF(AND(AD193&gt;='Tax Tables'!AD$232,AD193&lt;='Tax Tables'!AD$233),(AD193-'Tax Tables'!AD$232)*'Tax Tables'!AD$234,IF(AD193&gt;='Tax Tables'!AD$233,('Tax Tables'!AD$233-'Tax Tables'!AD$232)*'Tax Tables'!AD$234,0))),IF(AND(AD193&gt;='Tax Tables'!AD$232,AD193&lt;='Tax Tables'!AD$233),(AD193-'Tax Tables'!AD$232)*'Tax Tables'!AD$234,IF(AD193&gt;='Tax Tables'!AD$233,('Tax Tables'!AD$233-'Tax Tables'!AD$232)*'Tax Tables'!AD$234,0))),0)/Round_To,0)*Round_To</f>
        <v>0</v>
      </c>
      <c r="AE198" s="1124">
        <f>ROUND(IF(Exclude_Taxes="n",IF(Filing_Status="m",IF(OR(AE7&lt;Single_Rate_Start,Single_Rate_Start=""),IF(AND(AE193&gt;='Tax Tables'!AE$153,AE193&lt;='Tax Tables'!AE$154),(AE193-'Tax Tables'!AE$153)*'Tax Tables'!AE$155,IF(AE193&gt;='Tax Tables'!AE$154,('Tax Tables'!AE$154-'Tax Tables'!AE$153)*'Tax Tables'!AE$155,0)),IF(AND(AE193&gt;='Tax Tables'!AE$232,AE193&lt;='Tax Tables'!AE$233),(AE193-'Tax Tables'!AE$232)*'Tax Tables'!AE$234,IF(AE193&gt;='Tax Tables'!AE$233,('Tax Tables'!AE$233-'Tax Tables'!AE$232)*'Tax Tables'!AE$234,0))),IF(AND(AE193&gt;='Tax Tables'!AE$232,AE193&lt;='Tax Tables'!AE$233),(AE193-'Tax Tables'!AE$232)*'Tax Tables'!AE$234,IF(AE193&gt;='Tax Tables'!AE$233,('Tax Tables'!AE$233-'Tax Tables'!AE$232)*'Tax Tables'!AE$234,0))),0)/Round_To,0)*Round_To</f>
        <v>0</v>
      </c>
      <c r="AF198" s="1124">
        <f>ROUND(IF(Exclude_Taxes="n",IF(Filing_Status="m",IF(OR(AF7&lt;Single_Rate_Start,Single_Rate_Start=""),IF(AND(AF193&gt;='Tax Tables'!AF$153,AF193&lt;='Tax Tables'!AF$154),(AF193-'Tax Tables'!AF$153)*'Tax Tables'!AF$155,IF(AF193&gt;='Tax Tables'!AF$154,('Tax Tables'!AF$154-'Tax Tables'!AF$153)*'Tax Tables'!AF$155,0)),IF(AND(AF193&gt;='Tax Tables'!AF$232,AF193&lt;='Tax Tables'!AF$233),(AF193-'Tax Tables'!AF$232)*'Tax Tables'!AF$234,IF(AF193&gt;='Tax Tables'!AF$233,('Tax Tables'!AF$233-'Tax Tables'!AF$232)*'Tax Tables'!AF$234,0))),IF(AND(AF193&gt;='Tax Tables'!AF$232,AF193&lt;='Tax Tables'!AF$233),(AF193-'Tax Tables'!AF$232)*'Tax Tables'!AF$234,IF(AF193&gt;='Tax Tables'!AF$233,('Tax Tables'!AF$233-'Tax Tables'!AF$232)*'Tax Tables'!AF$234,0))),0)/Round_To,0)*Round_To</f>
        <v>0</v>
      </c>
      <c r="AG198" s="1124">
        <f>ROUND(IF(Exclude_Taxes="n",IF(Filing_Status="m",IF(OR(AG7&lt;Single_Rate_Start,Single_Rate_Start=""),IF(AND(AG193&gt;='Tax Tables'!AG$153,AG193&lt;='Tax Tables'!AG$154),(AG193-'Tax Tables'!AG$153)*'Tax Tables'!AG$155,IF(AG193&gt;='Tax Tables'!AG$154,('Tax Tables'!AG$154-'Tax Tables'!AG$153)*'Tax Tables'!AG$155,0)),IF(AND(AG193&gt;='Tax Tables'!AG$232,AG193&lt;='Tax Tables'!AG$233),(AG193-'Tax Tables'!AG$232)*'Tax Tables'!AG$234,IF(AG193&gt;='Tax Tables'!AG$233,('Tax Tables'!AG$233-'Tax Tables'!AG$232)*'Tax Tables'!AG$234,0))),IF(AND(AG193&gt;='Tax Tables'!AG$232,AG193&lt;='Tax Tables'!AG$233),(AG193-'Tax Tables'!AG$232)*'Tax Tables'!AG$234,IF(AG193&gt;='Tax Tables'!AG$233,('Tax Tables'!AG$233-'Tax Tables'!AG$232)*'Tax Tables'!AG$234,0))),0)/Round_To,0)*Round_To</f>
        <v>0</v>
      </c>
      <c r="AH198" s="1124">
        <f>ROUND(IF(Exclude_Taxes="n",IF(Filing_Status="m",IF(OR(AH7&lt;Single_Rate_Start,Single_Rate_Start=""),IF(AND(AH193&gt;='Tax Tables'!AH$153,AH193&lt;='Tax Tables'!AH$154),(AH193-'Tax Tables'!AH$153)*'Tax Tables'!AH$155,IF(AH193&gt;='Tax Tables'!AH$154,('Tax Tables'!AH$154-'Tax Tables'!AH$153)*'Tax Tables'!AH$155,0)),IF(AND(AH193&gt;='Tax Tables'!AH$232,AH193&lt;='Tax Tables'!AH$233),(AH193-'Tax Tables'!AH$232)*'Tax Tables'!AH$234,IF(AH193&gt;='Tax Tables'!AH$233,('Tax Tables'!AH$233-'Tax Tables'!AH$232)*'Tax Tables'!AH$234,0))),IF(AND(AH193&gt;='Tax Tables'!AH$232,AH193&lt;='Tax Tables'!AH$233),(AH193-'Tax Tables'!AH$232)*'Tax Tables'!AH$234,IF(AH193&gt;='Tax Tables'!AH$233,('Tax Tables'!AH$233-'Tax Tables'!AH$232)*'Tax Tables'!AH$234,0))),0)/Round_To,0)*Round_To</f>
        <v>0</v>
      </c>
      <c r="AI198" s="1124">
        <f>ROUND(IF(Exclude_Taxes="n",IF(Filing_Status="m",IF(OR(AI7&lt;Single_Rate_Start,Single_Rate_Start=""),IF(AND(AI193&gt;='Tax Tables'!AI$153,AI193&lt;='Tax Tables'!AI$154),(AI193-'Tax Tables'!AI$153)*'Tax Tables'!AI$155,IF(AI193&gt;='Tax Tables'!AI$154,('Tax Tables'!AI$154-'Tax Tables'!AI$153)*'Tax Tables'!AI$155,0)),IF(AND(AI193&gt;='Tax Tables'!AI$232,AI193&lt;='Tax Tables'!AI$233),(AI193-'Tax Tables'!AI$232)*'Tax Tables'!AI$234,IF(AI193&gt;='Tax Tables'!AI$233,('Tax Tables'!AI$233-'Tax Tables'!AI$232)*'Tax Tables'!AI$234,0))),IF(AND(AI193&gt;='Tax Tables'!AI$232,AI193&lt;='Tax Tables'!AI$233),(AI193-'Tax Tables'!AI$232)*'Tax Tables'!AI$234,IF(AI193&gt;='Tax Tables'!AI$233,('Tax Tables'!AI$233-'Tax Tables'!AI$232)*'Tax Tables'!AI$234,0))),0)/Round_To,0)*Round_To</f>
        <v>0</v>
      </c>
      <c r="AJ198" s="1124">
        <f>ROUND(IF(Exclude_Taxes="n",IF(Filing_Status="m",IF(OR(AJ7&lt;Single_Rate_Start,Single_Rate_Start=""),IF(AND(AJ193&gt;='Tax Tables'!AJ$153,AJ193&lt;='Tax Tables'!AJ$154),(AJ193-'Tax Tables'!AJ$153)*'Tax Tables'!AJ$155,IF(AJ193&gt;='Tax Tables'!AJ$154,('Tax Tables'!AJ$154-'Tax Tables'!AJ$153)*'Tax Tables'!AJ$155,0)),IF(AND(AJ193&gt;='Tax Tables'!AJ$232,AJ193&lt;='Tax Tables'!AJ$233),(AJ193-'Tax Tables'!AJ$232)*'Tax Tables'!AJ$234,IF(AJ193&gt;='Tax Tables'!AJ$233,('Tax Tables'!AJ$233-'Tax Tables'!AJ$232)*'Tax Tables'!AJ$234,0))),IF(AND(AJ193&gt;='Tax Tables'!AJ$232,AJ193&lt;='Tax Tables'!AJ$233),(AJ193-'Tax Tables'!AJ$232)*'Tax Tables'!AJ$234,IF(AJ193&gt;='Tax Tables'!AJ$233,('Tax Tables'!AJ$233-'Tax Tables'!AJ$232)*'Tax Tables'!AJ$234,0))),0)/Round_To,0)*Round_To</f>
        <v>0</v>
      </c>
      <c r="AK198" s="1124">
        <f>ROUND(IF(Exclude_Taxes="n",IF(Filing_Status="m",IF(OR(AK7&lt;Single_Rate_Start,Single_Rate_Start=""),IF(AND(AK193&gt;='Tax Tables'!AK$153,AK193&lt;='Tax Tables'!AK$154),(AK193-'Tax Tables'!AK$153)*'Tax Tables'!AK$155,IF(AK193&gt;='Tax Tables'!AK$154,('Tax Tables'!AK$154-'Tax Tables'!AK$153)*'Tax Tables'!AK$155,0)),IF(AND(AK193&gt;='Tax Tables'!AK$232,AK193&lt;='Tax Tables'!AK$233),(AK193-'Tax Tables'!AK$232)*'Tax Tables'!AK$234,IF(AK193&gt;='Tax Tables'!AK$233,('Tax Tables'!AK$233-'Tax Tables'!AK$232)*'Tax Tables'!AK$234,0))),IF(AND(AK193&gt;='Tax Tables'!AK$232,AK193&lt;='Tax Tables'!AK$233),(AK193-'Tax Tables'!AK$232)*'Tax Tables'!AK$234,IF(AK193&gt;='Tax Tables'!AK$233,('Tax Tables'!AK$233-'Tax Tables'!AK$232)*'Tax Tables'!AK$234,0))),0)/Round_To,0)*Round_To</f>
        <v>0</v>
      </c>
      <c r="AL198" s="1124">
        <f>ROUND(IF(Exclude_Taxes="n",IF(Filing_Status="m",IF(OR(AL7&lt;Single_Rate_Start,Single_Rate_Start=""),IF(AND(AL193&gt;='Tax Tables'!AL$153,AL193&lt;='Tax Tables'!AL$154),(AL193-'Tax Tables'!AL$153)*'Tax Tables'!AL$155,IF(AL193&gt;='Tax Tables'!AL$154,('Tax Tables'!AL$154-'Tax Tables'!AL$153)*'Tax Tables'!AL$155,0)),IF(AND(AL193&gt;='Tax Tables'!AL$232,AL193&lt;='Tax Tables'!AL$233),(AL193-'Tax Tables'!AL$232)*'Tax Tables'!AL$234,IF(AL193&gt;='Tax Tables'!AL$233,('Tax Tables'!AL$233-'Tax Tables'!AL$232)*'Tax Tables'!AL$234,0))),IF(AND(AL193&gt;='Tax Tables'!AL$232,AL193&lt;='Tax Tables'!AL$233),(AL193-'Tax Tables'!AL$232)*'Tax Tables'!AL$234,IF(AL193&gt;='Tax Tables'!AL$233,('Tax Tables'!AL$233-'Tax Tables'!AL$232)*'Tax Tables'!AL$234,0))),0)/Round_To,0)*Round_To</f>
        <v>0</v>
      </c>
      <c r="AM198" s="1124">
        <f>ROUND(IF(Exclude_Taxes="n",IF(Filing_Status="m",IF(OR(AM7&lt;Single_Rate_Start,Single_Rate_Start=""),IF(AND(AM193&gt;='Tax Tables'!AM$153,AM193&lt;='Tax Tables'!AM$154),(AM193-'Tax Tables'!AM$153)*'Tax Tables'!AM$155,IF(AM193&gt;='Tax Tables'!AM$154,('Tax Tables'!AM$154-'Tax Tables'!AM$153)*'Tax Tables'!AM$155,0)),IF(AND(AM193&gt;='Tax Tables'!AM$232,AM193&lt;='Tax Tables'!AM$233),(AM193-'Tax Tables'!AM$232)*'Tax Tables'!AM$234,IF(AM193&gt;='Tax Tables'!AM$233,('Tax Tables'!AM$233-'Tax Tables'!AM$232)*'Tax Tables'!AM$234,0))),IF(AND(AM193&gt;='Tax Tables'!AM$232,AM193&lt;='Tax Tables'!AM$233),(AM193-'Tax Tables'!AM$232)*'Tax Tables'!AM$234,IF(AM193&gt;='Tax Tables'!AM$233,('Tax Tables'!AM$233-'Tax Tables'!AM$232)*'Tax Tables'!AM$234,0))),0)/Round_To,0)*Round_To</f>
        <v>0</v>
      </c>
      <c r="AN198" s="1124">
        <f>ROUND(IF(Exclude_Taxes="n",IF(Filing_Status="m",IF(OR(AN7&lt;Single_Rate_Start,Single_Rate_Start=""),IF(AND(AN193&gt;='Tax Tables'!AN$153,AN193&lt;='Tax Tables'!AN$154),(AN193-'Tax Tables'!AN$153)*'Tax Tables'!AN$155,IF(AN193&gt;='Tax Tables'!AN$154,('Tax Tables'!AN$154-'Tax Tables'!AN$153)*'Tax Tables'!AN$155,0)),IF(AND(AN193&gt;='Tax Tables'!AN$232,AN193&lt;='Tax Tables'!AN$233),(AN193-'Tax Tables'!AN$232)*'Tax Tables'!AN$234,IF(AN193&gt;='Tax Tables'!AN$233,('Tax Tables'!AN$233-'Tax Tables'!AN$232)*'Tax Tables'!AN$234,0))),IF(AND(AN193&gt;='Tax Tables'!AN$232,AN193&lt;='Tax Tables'!AN$233),(AN193-'Tax Tables'!AN$232)*'Tax Tables'!AN$234,IF(AN193&gt;='Tax Tables'!AN$233,('Tax Tables'!AN$233-'Tax Tables'!AN$232)*'Tax Tables'!AN$234,0))),0)/Round_To,0)*Round_To</f>
        <v>0</v>
      </c>
      <c r="AO198" s="1124">
        <f>ROUND(IF(Exclude_Taxes="n",IF(Filing_Status="m",IF(OR(AO7&lt;Single_Rate_Start,Single_Rate_Start=""),IF(AND(AO193&gt;='Tax Tables'!AO$153,AO193&lt;='Tax Tables'!AO$154),(AO193-'Tax Tables'!AO$153)*'Tax Tables'!AO$155,IF(AO193&gt;='Tax Tables'!AO$154,('Tax Tables'!AO$154-'Tax Tables'!AO$153)*'Tax Tables'!AO$155,0)),IF(AND(AO193&gt;='Tax Tables'!AO$232,AO193&lt;='Tax Tables'!AO$233),(AO193-'Tax Tables'!AO$232)*'Tax Tables'!AO$234,IF(AO193&gt;='Tax Tables'!AO$233,('Tax Tables'!AO$233-'Tax Tables'!AO$232)*'Tax Tables'!AO$234,0))),IF(AND(AO193&gt;='Tax Tables'!AO$232,AO193&lt;='Tax Tables'!AO$233),(AO193-'Tax Tables'!AO$232)*'Tax Tables'!AO$234,IF(AO193&gt;='Tax Tables'!AO$233,('Tax Tables'!AO$233-'Tax Tables'!AO$232)*'Tax Tables'!AO$234,0))),0)/Round_To,0)*Round_To</f>
        <v>0</v>
      </c>
      <c r="AP198" s="1124">
        <f>ROUND(IF(Exclude_Taxes="n",IF(Filing_Status="m",IF(OR(AP7&lt;Single_Rate_Start,Single_Rate_Start=""),IF(AND(AP193&gt;='Tax Tables'!AP$153,AP193&lt;='Tax Tables'!AP$154),(AP193-'Tax Tables'!AP$153)*'Tax Tables'!AP$155,IF(AP193&gt;='Tax Tables'!AP$154,('Tax Tables'!AP$154-'Tax Tables'!AP$153)*'Tax Tables'!AP$155,0)),IF(AND(AP193&gt;='Tax Tables'!AP$232,AP193&lt;='Tax Tables'!AP$233),(AP193-'Tax Tables'!AP$232)*'Tax Tables'!AP$234,IF(AP193&gt;='Tax Tables'!AP$233,('Tax Tables'!AP$233-'Tax Tables'!AP$232)*'Tax Tables'!AP$234,0))),IF(AND(AP193&gt;='Tax Tables'!AP$232,AP193&lt;='Tax Tables'!AP$233),(AP193-'Tax Tables'!AP$232)*'Tax Tables'!AP$234,IF(AP193&gt;='Tax Tables'!AP$233,('Tax Tables'!AP$233-'Tax Tables'!AP$232)*'Tax Tables'!AP$234,0))),0)/Round_To,0)*Round_To</f>
        <v>0</v>
      </c>
      <c r="AQ198" s="1124">
        <f>ROUND(IF(Exclude_Taxes="n",IF(Filing_Status="m",IF(OR(AQ7&lt;Single_Rate_Start,Single_Rate_Start=""),IF(AND(AQ193&gt;='Tax Tables'!AQ$153,AQ193&lt;='Tax Tables'!AQ$154),(AQ193-'Tax Tables'!AQ$153)*'Tax Tables'!AQ$155,IF(AQ193&gt;='Tax Tables'!AQ$154,('Tax Tables'!AQ$154-'Tax Tables'!AQ$153)*'Tax Tables'!AQ$155,0)),IF(AND(AQ193&gt;='Tax Tables'!AQ$232,AQ193&lt;='Tax Tables'!AQ$233),(AQ193-'Tax Tables'!AQ$232)*'Tax Tables'!AQ$234,IF(AQ193&gt;='Tax Tables'!AQ$233,('Tax Tables'!AQ$233-'Tax Tables'!AQ$232)*'Tax Tables'!AQ$234,0))),IF(AND(AQ193&gt;='Tax Tables'!AQ$232,AQ193&lt;='Tax Tables'!AQ$233),(AQ193-'Tax Tables'!AQ$232)*'Tax Tables'!AQ$234,IF(AQ193&gt;='Tax Tables'!AQ$233,('Tax Tables'!AQ$233-'Tax Tables'!AQ$232)*'Tax Tables'!AQ$234,0))),0)/Round_To,0)*Round_To</f>
        <v>0</v>
      </c>
      <c r="AR198" s="1124">
        <f>ROUND(IF(Exclude_Taxes="n",IF(Filing_Status="m",IF(OR(AR7&lt;Single_Rate_Start,Single_Rate_Start=""),IF(AND(AR193&gt;='Tax Tables'!AR$153,AR193&lt;='Tax Tables'!AR$154),(AR193-'Tax Tables'!AR$153)*'Tax Tables'!AR$155,IF(AR193&gt;='Tax Tables'!AR$154,('Tax Tables'!AR$154-'Tax Tables'!AR$153)*'Tax Tables'!AR$155,0)),IF(AND(AR193&gt;='Tax Tables'!AR$232,AR193&lt;='Tax Tables'!AR$233),(AR193-'Tax Tables'!AR$232)*'Tax Tables'!AR$234,IF(AR193&gt;='Tax Tables'!AR$233,('Tax Tables'!AR$233-'Tax Tables'!AR$232)*'Tax Tables'!AR$234,0))),IF(AND(AR193&gt;='Tax Tables'!AR$232,AR193&lt;='Tax Tables'!AR$233),(AR193-'Tax Tables'!AR$232)*'Tax Tables'!AR$234,IF(AR193&gt;='Tax Tables'!AR$233,('Tax Tables'!AR$233-'Tax Tables'!AR$232)*'Tax Tables'!AR$234,0))),0)/Round_To,0)*Round_To</f>
        <v>0</v>
      </c>
      <c r="AS198" s="1124">
        <f>ROUND(IF(Exclude_Taxes="n",IF(Filing_Status="m",IF(OR(AS7&lt;Single_Rate_Start,Single_Rate_Start=""),IF(AND(AS193&gt;='Tax Tables'!AS$153,AS193&lt;='Tax Tables'!AS$154),(AS193-'Tax Tables'!AS$153)*'Tax Tables'!AS$155,IF(AS193&gt;='Tax Tables'!AS$154,('Tax Tables'!AS$154-'Tax Tables'!AS$153)*'Tax Tables'!AS$155,0)),IF(AND(AS193&gt;='Tax Tables'!AS$232,AS193&lt;='Tax Tables'!AS$233),(AS193-'Tax Tables'!AS$232)*'Tax Tables'!AS$234,IF(AS193&gt;='Tax Tables'!AS$233,('Tax Tables'!AS$233-'Tax Tables'!AS$232)*'Tax Tables'!AS$234,0))),IF(AND(AS193&gt;='Tax Tables'!AS$232,AS193&lt;='Tax Tables'!AS$233),(AS193-'Tax Tables'!AS$232)*'Tax Tables'!AS$234,IF(AS193&gt;='Tax Tables'!AS$233,('Tax Tables'!AS$233-'Tax Tables'!AS$232)*'Tax Tables'!AS$234,0))),0)/Round_To,0)*Round_To</f>
        <v>0</v>
      </c>
      <c r="AT198" s="89"/>
      <c r="AU198" s="102">
        <f>+Details!E198</f>
        <v>0</v>
      </c>
      <c r="AV198" s="103">
        <f t="shared" si="163"/>
        <v>0</v>
      </c>
      <c r="AW198" s="102"/>
      <c r="AY198" s="31">
        <f>+Details!F198-Base!F198</f>
        <v>0</v>
      </c>
      <c r="AZ198" s="1124">
        <f>+Details!G198-Base!G198</f>
        <v>0</v>
      </c>
      <c r="BA198" s="1124">
        <f>+Details!H198-Base!H198</f>
        <v>0</v>
      </c>
      <c r="BB198" s="1124">
        <f>+Details!I198-Base!I198</f>
        <v>0</v>
      </c>
      <c r="BC198" s="1124">
        <f>+Details!J198-Base!J198</f>
        <v>0</v>
      </c>
      <c r="BD198" s="1124">
        <f>+Details!K198-Base!K198</f>
        <v>0</v>
      </c>
      <c r="BE198" s="1124">
        <f>+Details!L198-Base!L198</f>
        <v>0</v>
      </c>
      <c r="BF198" s="1124">
        <f>+Details!M198-Base!M198</f>
        <v>0</v>
      </c>
      <c r="BG198" s="1124">
        <f>+Details!N198-Base!N198</f>
        <v>0</v>
      </c>
      <c r="BH198" s="1124">
        <f>+Details!O198-Base!O198</f>
        <v>0</v>
      </c>
      <c r="BI198" s="1124">
        <f>+Details!P198-Base!P198</f>
        <v>0</v>
      </c>
      <c r="BJ198" s="1124">
        <f>+Details!Q198-Base!Q198</f>
        <v>0</v>
      </c>
      <c r="BK198" s="1124">
        <f>+Details!R198-Base!R198</f>
        <v>0</v>
      </c>
      <c r="BL198" s="1124">
        <f>+Details!S198-Base!S198</f>
        <v>0</v>
      </c>
      <c r="BM198" s="1124">
        <f>+Details!T198-Base!T198</f>
        <v>0</v>
      </c>
      <c r="BN198" s="1124">
        <f>+Details!U198-Base!U198</f>
        <v>0</v>
      </c>
      <c r="BO198" s="1124">
        <f>+Details!V198-Base!V198</f>
        <v>0</v>
      </c>
      <c r="BP198" s="1124">
        <f>+Details!W198-Base!W198</f>
        <v>0</v>
      </c>
      <c r="BQ198" s="1124">
        <f>+Details!X198-Base!X198</f>
        <v>0</v>
      </c>
      <c r="BR198" s="1124">
        <f>+Details!Y198-Base!Y198</f>
        <v>0</v>
      </c>
      <c r="BS198" s="1124">
        <f>+Details!Z198-Base!Z198</f>
        <v>0</v>
      </c>
      <c r="BT198" s="1124">
        <f>+Details!AA198-Base!AA198</f>
        <v>0</v>
      </c>
      <c r="BU198" s="1124">
        <f>+Details!AB198-Base!AB198</f>
        <v>0</v>
      </c>
      <c r="BV198" s="1124">
        <f>+Details!AC198-Base!AC198</f>
        <v>0</v>
      </c>
      <c r="BW198" s="1124">
        <f>+Details!AD198-Base!AD198</f>
        <v>0</v>
      </c>
      <c r="BX198" s="1124">
        <f>+Details!AE198-Base!AE198</f>
        <v>0</v>
      </c>
      <c r="BY198" s="1124">
        <f>+Details!AF198-Base!AF198</f>
        <v>0</v>
      </c>
      <c r="BZ198" s="1124">
        <f>+Details!AG198-Base!AG198</f>
        <v>0</v>
      </c>
      <c r="CA198" s="1124">
        <f>+Details!AH198-Base!AH198</f>
        <v>0</v>
      </c>
      <c r="CB198" s="1124">
        <f>+Details!AI198-Base!AI198</f>
        <v>0</v>
      </c>
      <c r="CC198" s="1124">
        <f>+Details!AJ198-Base!AJ198</f>
        <v>0</v>
      </c>
      <c r="CD198" s="1124">
        <f>+Details!AK198-Base!AK198</f>
        <v>0</v>
      </c>
      <c r="CE198" s="1124">
        <f>+Details!AL198-Base!AL198</f>
        <v>0</v>
      </c>
      <c r="CF198" s="1124">
        <f>+Details!AM198-Base!AM198</f>
        <v>0</v>
      </c>
      <c r="CG198" s="1124">
        <f>+Details!AN198-Base!AN198</f>
        <v>0</v>
      </c>
      <c r="CH198" s="1124">
        <f>+Details!AO198-Base!AO198</f>
        <v>0</v>
      </c>
      <c r="CI198" s="1124">
        <f>+Details!AP198-Base!AP198</f>
        <v>0</v>
      </c>
      <c r="CJ198" s="1124">
        <f>+Details!AQ198-Base!AQ198</f>
        <v>0</v>
      </c>
      <c r="CK198" s="1124">
        <f>+Details!AR198-Base!AR198</f>
        <v>0</v>
      </c>
      <c r="CL198" s="1124">
        <f>+Details!AS198-Base!AS198</f>
        <v>0</v>
      </c>
      <c r="CM198" s="103"/>
    </row>
    <row r="199" spans="1:91" hidden="1">
      <c r="A199" s="1427" t="s">
        <v>1578</v>
      </c>
      <c r="B199" s="425"/>
      <c r="C199" s="425" t="str">
        <f>IF(Tax_Rates_Alt="y",IF(Filing_Status="m",Setup!$E$237,Setup!$H$237),"")</f>
        <v/>
      </c>
      <c r="D199" s="67">
        <f>IF(Filing_Status="m",Setup!$D237,Setup!$G237)</f>
        <v>0.32</v>
      </c>
      <c r="E199" s="102">
        <f t="shared" si="162"/>
        <v>0</v>
      </c>
      <c r="F199" s="88">
        <f>ROUND(IF(Exclude_Taxes="n",IF(Filing_Status="m",IF(OR(F$7&lt;Single_Rate_Start,Single_Rate_Start=""),IF(AND(F$193&gt;='Tax Tables'!F$158,F$193&lt;='Tax Tables'!F$159),(F$193-'Tax Tables'!F$158)*'Tax Tables'!F$160,IF(F$193&gt;='Tax Tables'!F$159,('Tax Tables'!F$159-'Tax Tables'!F$158)*'Tax Tables'!F$160,0)),IF(AND(F$193&gt;='Tax Tables'!F$237,F$193&lt;='Tax Tables'!F$238),(F$193-'Tax Tables'!F$237)*'Tax Tables'!F$239,IF(F$193&gt;='Tax Tables'!F$238,('Tax Tables'!F$238-'Tax Tables'!F$237)*'Tax Tables'!F$239,0))),IF(AND(F$193&gt;='Tax Tables'!F$237,F$193&lt;='Tax Tables'!F$238),(F$193-'Tax Tables'!F$237)*'Tax Tables'!F$239,IF(F$193&gt;='Tax Tables'!F$238,('Tax Tables'!F$238-'Tax Tables'!F$237)*'Tax Tables'!F$239,0))),0)/Round_To,0)*Round_To</f>
        <v>0</v>
      </c>
      <c r="G199" s="1124">
        <f>ROUND(IF(Exclude_Taxes="n",IF(Filing_Status="m",IF(OR(G$7&lt;Single_Rate_Start,Single_Rate_Start=""),IF(AND(G$193&gt;='Tax Tables'!G$158,G$193&lt;='Tax Tables'!G$159),(G$193-'Tax Tables'!G$158)*'Tax Tables'!G$160,IF(G$193&gt;='Tax Tables'!G$159,('Tax Tables'!G$159-'Tax Tables'!G$158)*'Tax Tables'!G$160,0)),IF(AND(G$193&gt;='Tax Tables'!G$237,G$193&lt;='Tax Tables'!G$238),(G$193-'Tax Tables'!G$237)*'Tax Tables'!G$239,IF(G$193&gt;='Tax Tables'!G$238,('Tax Tables'!G$238-'Tax Tables'!G$237)*'Tax Tables'!G$239,0))),IF(AND(G$193&gt;='Tax Tables'!G$237,G$193&lt;='Tax Tables'!G$238),(G$193-'Tax Tables'!G$237)*'Tax Tables'!G$239,IF(G$193&gt;='Tax Tables'!G$238,('Tax Tables'!G$238-'Tax Tables'!G$237)*'Tax Tables'!G$239,0))),0)/Round_To,0)*Round_To</f>
        <v>0</v>
      </c>
      <c r="H199" s="1124">
        <f>ROUND(IF(Exclude_Taxes="n",IF(Filing_Status="m",IF(OR(H$7&lt;Single_Rate_Start,Single_Rate_Start=""),IF(AND(H$193&gt;='Tax Tables'!H$158,H$193&lt;='Tax Tables'!H$159),(H$193-'Tax Tables'!H$158)*'Tax Tables'!H$160,IF(H$193&gt;='Tax Tables'!H$159,('Tax Tables'!H$159-'Tax Tables'!H$158)*'Tax Tables'!H$160,0)),IF(AND(H$193&gt;='Tax Tables'!H$237,H$193&lt;='Tax Tables'!H$238),(H$193-'Tax Tables'!H$237)*'Tax Tables'!H$239,IF(H$193&gt;='Tax Tables'!H$238,('Tax Tables'!H$238-'Tax Tables'!H$237)*'Tax Tables'!H$239,0))),IF(AND(H$193&gt;='Tax Tables'!H$237,H$193&lt;='Tax Tables'!H$238),(H$193-'Tax Tables'!H$237)*'Tax Tables'!H$239,IF(H$193&gt;='Tax Tables'!H$238,('Tax Tables'!H$238-'Tax Tables'!H$237)*'Tax Tables'!H$239,0))),0)/Round_To,0)*Round_To</f>
        <v>0</v>
      </c>
      <c r="I199" s="1124">
        <f>ROUND(IF(Exclude_Taxes="n",IF(Filing_Status="m",IF(OR(I$7&lt;Single_Rate_Start,Single_Rate_Start=""),IF(AND(I$193&gt;='Tax Tables'!I$158,I$193&lt;='Tax Tables'!I$159),(I$193-'Tax Tables'!I$158)*'Tax Tables'!I$160,IF(I$193&gt;='Tax Tables'!I$159,('Tax Tables'!I$159-'Tax Tables'!I$158)*'Tax Tables'!I$160,0)),IF(AND(I$193&gt;='Tax Tables'!I$237,I$193&lt;='Tax Tables'!I$238),(I$193-'Tax Tables'!I$237)*'Tax Tables'!I$239,IF(I$193&gt;='Tax Tables'!I$238,('Tax Tables'!I$238-'Tax Tables'!I$237)*'Tax Tables'!I$239,0))),IF(AND(I$193&gt;='Tax Tables'!I$237,I$193&lt;='Tax Tables'!I$238),(I$193-'Tax Tables'!I$237)*'Tax Tables'!I$239,IF(I$193&gt;='Tax Tables'!I$238,('Tax Tables'!I$238-'Tax Tables'!I$237)*'Tax Tables'!I$239,0))),0)/Round_To,0)*Round_To</f>
        <v>0</v>
      </c>
      <c r="J199" s="1124">
        <f>ROUND(IF(Exclude_Taxes="n",IF(Filing_Status="m",IF(OR(J$7&lt;Single_Rate_Start,Single_Rate_Start=""),IF(AND(J$193&gt;='Tax Tables'!J$158,J$193&lt;='Tax Tables'!J$159),(J$193-'Tax Tables'!J$158)*'Tax Tables'!J$160,IF(J$193&gt;='Tax Tables'!J$159,('Tax Tables'!J$159-'Tax Tables'!J$158)*'Tax Tables'!J$160,0)),IF(AND(J$193&gt;='Tax Tables'!J$237,J$193&lt;='Tax Tables'!J$238),(J$193-'Tax Tables'!J$237)*'Tax Tables'!J$239,IF(J$193&gt;='Tax Tables'!J$238,('Tax Tables'!J$238-'Tax Tables'!J$237)*'Tax Tables'!J$239,0))),IF(AND(J$193&gt;='Tax Tables'!J$237,J$193&lt;='Tax Tables'!J$238),(J$193-'Tax Tables'!J$237)*'Tax Tables'!J$239,IF(J$193&gt;='Tax Tables'!J$238,('Tax Tables'!J$238-'Tax Tables'!J$237)*'Tax Tables'!J$239,0))),0)/Round_To,0)*Round_To</f>
        <v>0</v>
      </c>
      <c r="K199" s="1124">
        <f>ROUND(IF(Exclude_Taxes="n",IF(Filing_Status="m",IF(OR(K$7&lt;Single_Rate_Start,Single_Rate_Start=""),IF(AND(K$193&gt;='Tax Tables'!K$158,K$193&lt;='Tax Tables'!K$159),(K$193-'Tax Tables'!K$158)*'Tax Tables'!K$160,IF(K$193&gt;='Tax Tables'!K$159,('Tax Tables'!K$159-'Tax Tables'!K$158)*'Tax Tables'!K$160,0)),IF(AND(K$193&gt;='Tax Tables'!K$237,K$193&lt;='Tax Tables'!K$238),(K$193-'Tax Tables'!K$237)*'Tax Tables'!K$239,IF(K$193&gt;='Tax Tables'!K$238,('Tax Tables'!K$238-'Tax Tables'!K$237)*'Tax Tables'!K$239,0))),IF(AND(K$193&gt;='Tax Tables'!K$237,K$193&lt;='Tax Tables'!K$238),(K$193-'Tax Tables'!K$237)*'Tax Tables'!K$239,IF(K$193&gt;='Tax Tables'!K$238,('Tax Tables'!K$238-'Tax Tables'!K$237)*'Tax Tables'!K$239,0))),0)/Round_To,0)*Round_To</f>
        <v>0</v>
      </c>
      <c r="L199" s="1124">
        <f>ROUND(IF(Exclude_Taxes="n",IF(Filing_Status="m",IF(OR(L$7&lt;Single_Rate_Start,Single_Rate_Start=""),IF(AND(L$193&gt;='Tax Tables'!L$158,L$193&lt;='Tax Tables'!L$159),(L$193-'Tax Tables'!L$158)*'Tax Tables'!L$160,IF(L$193&gt;='Tax Tables'!L$159,('Tax Tables'!L$159-'Tax Tables'!L$158)*'Tax Tables'!L$160,0)),IF(AND(L$193&gt;='Tax Tables'!L$237,L$193&lt;='Tax Tables'!L$238),(L$193-'Tax Tables'!L$237)*'Tax Tables'!L$239,IF(L$193&gt;='Tax Tables'!L$238,('Tax Tables'!L$238-'Tax Tables'!L$237)*'Tax Tables'!L$239,0))),IF(AND(L$193&gt;='Tax Tables'!L$237,L$193&lt;='Tax Tables'!L$238),(L$193-'Tax Tables'!L$237)*'Tax Tables'!L$239,IF(L$193&gt;='Tax Tables'!L$238,('Tax Tables'!L$238-'Tax Tables'!L$237)*'Tax Tables'!L$239,0))),0)/Round_To,0)*Round_To</f>
        <v>0</v>
      </c>
      <c r="M199" s="1124">
        <f>ROUND(IF(Exclude_Taxes="n",IF(Filing_Status="m",IF(OR(M$7&lt;Single_Rate_Start,Single_Rate_Start=""),IF(AND(M$193&gt;='Tax Tables'!M$158,M$193&lt;='Tax Tables'!M$159),(M$193-'Tax Tables'!M$158)*'Tax Tables'!M$160,IF(M$193&gt;='Tax Tables'!M$159,('Tax Tables'!M$159-'Tax Tables'!M$158)*'Tax Tables'!M$160,0)),IF(AND(M$193&gt;='Tax Tables'!M$237,M$193&lt;='Tax Tables'!M$238),(M$193-'Tax Tables'!M$237)*'Tax Tables'!M$239,IF(M$193&gt;='Tax Tables'!M$238,('Tax Tables'!M$238-'Tax Tables'!M$237)*'Tax Tables'!M$239,0))),IF(AND(M$193&gt;='Tax Tables'!M$237,M$193&lt;='Tax Tables'!M$238),(M$193-'Tax Tables'!M$237)*'Tax Tables'!M$239,IF(M$193&gt;='Tax Tables'!M$238,('Tax Tables'!M$238-'Tax Tables'!M$237)*'Tax Tables'!M$239,0))),0)/Round_To,0)*Round_To</f>
        <v>0</v>
      </c>
      <c r="N199" s="1124">
        <f>ROUND(IF(Exclude_Taxes="n",IF(Filing_Status="m",IF(OR(N$7&lt;Single_Rate_Start,Single_Rate_Start=""),IF(AND(N$193&gt;='Tax Tables'!N$158,N$193&lt;='Tax Tables'!N$159),(N$193-'Tax Tables'!N$158)*'Tax Tables'!N$160,IF(N$193&gt;='Tax Tables'!N$159,('Tax Tables'!N$159-'Tax Tables'!N$158)*'Tax Tables'!N$160,0)),IF(AND(N$193&gt;='Tax Tables'!N$237,N$193&lt;='Tax Tables'!N$238),(N$193-'Tax Tables'!N$237)*'Tax Tables'!N$239,IF(N$193&gt;='Tax Tables'!N$238,('Tax Tables'!N$238-'Tax Tables'!N$237)*'Tax Tables'!N$239,0))),IF(AND(N$193&gt;='Tax Tables'!N$237,N$193&lt;='Tax Tables'!N$238),(N$193-'Tax Tables'!N$237)*'Tax Tables'!N$239,IF(N$193&gt;='Tax Tables'!N$238,('Tax Tables'!N$238-'Tax Tables'!N$237)*'Tax Tables'!N$239,0))),0)/Round_To,0)*Round_To</f>
        <v>0</v>
      </c>
      <c r="O199" s="1124">
        <f>ROUND(IF(Exclude_Taxes="n",IF(Filing_Status="m",IF(OR(O$7&lt;Single_Rate_Start,Single_Rate_Start=""),IF(AND(O$193&gt;='Tax Tables'!O$158,O$193&lt;='Tax Tables'!O$159),(O$193-'Tax Tables'!O$158)*'Tax Tables'!O$160,IF(O$193&gt;='Tax Tables'!O$159,('Tax Tables'!O$159-'Tax Tables'!O$158)*'Tax Tables'!O$160,0)),IF(AND(O$193&gt;='Tax Tables'!O$237,O$193&lt;='Tax Tables'!O$238),(O$193-'Tax Tables'!O$237)*'Tax Tables'!O$239,IF(O$193&gt;='Tax Tables'!O$238,('Tax Tables'!O$238-'Tax Tables'!O$237)*'Tax Tables'!O$239,0))),IF(AND(O$193&gt;='Tax Tables'!O$237,O$193&lt;='Tax Tables'!O$238),(O$193-'Tax Tables'!O$237)*'Tax Tables'!O$239,IF(O$193&gt;='Tax Tables'!O$238,('Tax Tables'!O$238-'Tax Tables'!O$237)*'Tax Tables'!O$239,0))),0)/Round_To,0)*Round_To</f>
        <v>0</v>
      </c>
      <c r="P199" s="1124">
        <f>ROUND(IF(Exclude_Taxes="n",IF(Filing_Status="m",IF(OR(P$7&lt;Single_Rate_Start,Single_Rate_Start=""),IF(AND(P$193&gt;='Tax Tables'!P$158,P$193&lt;='Tax Tables'!P$159),(P$193-'Tax Tables'!P$158)*'Tax Tables'!P$160,IF(P$193&gt;='Tax Tables'!P$159,('Tax Tables'!P$159-'Tax Tables'!P$158)*'Tax Tables'!P$160,0)),IF(AND(P$193&gt;='Tax Tables'!P$237,P$193&lt;='Tax Tables'!P$238),(P$193-'Tax Tables'!P$237)*'Tax Tables'!P$239,IF(P$193&gt;='Tax Tables'!P$238,('Tax Tables'!P$238-'Tax Tables'!P$237)*'Tax Tables'!P$239,0))),IF(AND(P$193&gt;='Tax Tables'!P$237,P$193&lt;='Tax Tables'!P$238),(P$193-'Tax Tables'!P$237)*'Tax Tables'!P$239,IF(P$193&gt;='Tax Tables'!P$238,('Tax Tables'!P$238-'Tax Tables'!P$237)*'Tax Tables'!P$239,0))),0)/Round_To,0)*Round_To</f>
        <v>0</v>
      </c>
      <c r="Q199" s="1124">
        <f>ROUND(IF(Exclude_Taxes="n",IF(Filing_Status="m",IF(OR(Q$7&lt;Single_Rate_Start,Single_Rate_Start=""),IF(AND(Q$193&gt;='Tax Tables'!Q$158,Q$193&lt;='Tax Tables'!Q$159),(Q$193-'Tax Tables'!Q$158)*'Tax Tables'!Q$160,IF(Q$193&gt;='Tax Tables'!Q$159,('Tax Tables'!Q$159-'Tax Tables'!Q$158)*'Tax Tables'!Q$160,0)),IF(AND(Q$193&gt;='Tax Tables'!Q$237,Q$193&lt;='Tax Tables'!Q$238),(Q$193-'Tax Tables'!Q$237)*'Tax Tables'!Q$239,IF(Q$193&gt;='Tax Tables'!Q$238,('Tax Tables'!Q$238-'Tax Tables'!Q$237)*'Tax Tables'!Q$239,0))),IF(AND(Q$193&gt;='Tax Tables'!Q$237,Q$193&lt;='Tax Tables'!Q$238),(Q$193-'Tax Tables'!Q$237)*'Tax Tables'!Q$239,IF(Q$193&gt;='Tax Tables'!Q$238,('Tax Tables'!Q$238-'Tax Tables'!Q$237)*'Tax Tables'!Q$239,0))),0)/Round_To,0)*Round_To</f>
        <v>0</v>
      </c>
      <c r="R199" s="1124">
        <f>ROUND(IF(Exclude_Taxes="n",IF(Filing_Status="m",IF(OR(R$7&lt;Single_Rate_Start,Single_Rate_Start=""),IF(AND(R$193&gt;='Tax Tables'!R$158,R$193&lt;='Tax Tables'!R$159),(R$193-'Tax Tables'!R$158)*'Tax Tables'!R$160,IF(R$193&gt;='Tax Tables'!R$159,('Tax Tables'!R$159-'Tax Tables'!R$158)*'Tax Tables'!R$160,0)),IF(AND(R$193&gt;='Tax Tables'!R$237,R$193&lt;='Tax Tables'!R$238),(R$193-'Tax Tables'!R$237)*'Tax Tables'!R$239,IF(R$193&gt;='Tax Tables'!R$238,('Tax Tables'!R$238-'Tax Tables'!R$237)*'Tax Tables'!R$239,0))),IF(AND(R$193&gt;='Tax Tables'!R$237,R$193&lt;='Tax Tables'!R$238),(R$193-'Tax Tables'!R$237)*'Tax Tables'!R$239,IF(R$193&gt;='Tax Tables'!R$238,('Tax Tables'!R$238-'Tax Tables'!R$237)*'Tax Tables'!R$239,0))),0)/Round_To,0)*Round_To</f>
        <v>0</v>
      </c>
      <c r="S199" s="1124">
        <f>ROUND(IF(Exclude_Taxes="n",IF(Filing_Status="m",IF(OR(S$7&lt;Single_Rate_Start,Single_Rate_Start=""),IF(AND(S$193&gt;='Tax Tables'!S$158,S$193&lt;='Tax Tables'!S$159),(S$193-'Tax Tables'!S$158)*'Tax Tables'!S$160,IF(S$193&gt;='Tax Tables'!S$159,('Tax Tables'!S$159-'Tax Tables'!S$158)*'Tax Tables'!S$160,0)),IF(AND(S$193&gt;='Tax Tables'!S$237,S$193&lt;='Tax Tables'!S$238),(S$193-'Tax Tables'!S$237)*'Tax Tables'!S$239,IF(S$193&gt;='Tax Tables'!S$238,('Tax Tables'!S$238-'Tax Tables'!S$237)*'Tax Tables'!S$239,0))),IF(AND(S$193&gt;='Tax Tables'!S$237,S$193&lt;='Tax Tables'!S$238),(S$193-'Tax Tables'!S$237)*'Tax Tables'!S$239,IF(S$193&gt;='Tax Tables'!S$238,('Tax Tables'!S$238-'Tax Tables'!S$237)*'Tax Tables'!S$239,0))),0)/Round_To,0)*Round_To</f>
        <v>0</v>
      </c>
      <c r="T199" s="1124">
        <f>ROUND(IF(Exclude_Taxes="n",IF(Filing_Status="m",IF(OR(T$7&lt;Single_Rate_Start,Single_Rate_Start=""),IF(AND(T$193&gt;='Tax Tables'!T$158,T$193&lt;='Tax Tables'!T$159),(T$193-'Tax Tables'!T$158)*'Tax Tables'!T$160,IF(T$193&gt;='Tax Tables'!T$159,('Tax Tables'!T$159-'Tax Tables'!T$158)*'Tax Tables'!T$160,0)),IF(AND(T$193&gt;='Tax Tables'!T$237,T$193&lt;='Tax Tables'!T$238),(T$193-'Tax Tables'!T$237)*'Tax Tables'!T$239,IF(T$193&gt;='Tax Tables'!T$238,('Tax Tables'!T$238-'Tax Tables'!T$237)*'Tax Tables'!T$239,0))),IF(AND(T$193&gt;='Tax Tables'!T$237,T$193&lt;='Tax Tables'!T$238),(T$193-'Tax Tables'!T$237)*'Tax Tables'!T$239,IF(T$193&gt;='Tax Tables'!T$238,('Tax Tables'!T$238-'Tax Tables'!T$237)*'Tax Tables'!T$239,0))),0)/Round_To,0)*Round_To</f>
        <v>0</v>
      </c>
      <c r="U199" s="1124">
        <f>ROUND(IF(Exclude_Taxes="n",IF(Filing_Status="m",IF(OR(U$7&lt;Single_Rate_Start,Single_Rate_Start=""),IF(AND(U$193&gt;='Tax Tables'!U$158,U$193&lt;='Tax Tables'!U$159),(U$193-'Tax Tables'!U$158)*'Tax Tables'!U$160,IF(U$193&gt;='Tax Tables'!U$159,('Tax Tables'!U$159-'Tax Tables'!U$158)*'Tax Tables'!U$160,0)),IF(AND(U$193&gt;='Tax Tables'!U$237,U$193&lt;='Tax Tables'!U$238),(U$193-'Tax Tables'!U$237)*'Tax Tables'!U$239,IF(U$193&gt;='Tax Tables'!U$238,('Tax Tables'!U$238-'Tax Tables'!U$237)*'Tax Tables'!U$239,0))),IF(AND(U$193&gt;='Tax Tables'!U$237,U$193&lt;='Tax Tables'!U$238),(U$193-'Tax Tables'!U$237)*'Tax Tables'!U$239,IF(U$193&gt;='Tax Tables'!U$238,('Tax Tables'!U$238-'Tax Tables'!U$237)*'Tax Tables'!U$239,0))),0)/Round_To,0)*Round_To</f>
        <v>0</v>
      </c>
      <c r="V199" s="1124">
        <f>ROUND(IF(Exclude_Taxes="n",IF(Filing_Status="m",IF(OR(V$7&lt;Single_Rate_Start,Single_Rate_Start=""),IF(AND(V$193&gt;='Tax Tables'!V$158,V$193&lt;='Tax Tables'!V$159),(V$193-'Tax Tables'!V$158)*'Tax Tables'!V$160,IF(V$193&gt;='Tax Tables'!V$159,('Tax Tables'!V$159-'Tax Tables'!V$158)*'Tax Tables'!V$160,0)),IF(AND(V$193&gt;='Tax Tables'!V$237,V$193&lt;='Tax Tables'!V$238),(V$193-'Tax Tables'!V$237)*'Tax Tables'!V$239,IF(V$193&gt;='Tax Tables'!V$238,('Tax Tables'!V$238-'Tax Tables'!V$237)*'Tax Tables'!V$239,0))),IF(AND(V$193&gt;='Tax Tables'!V$237,V$193&lt;='Tax Tables'!V$238),(V$193-'Tax Tables'!V$237)*'Tax Tables'!V$239,IF(V$193&gt;='Tax Tables'!V$238,('Tax Tables'!V$238-'Tax Tables'!V$237)*'Tax Tables'!V$239,0))),0)/Round_To,0)*Round_To</f>
        <v>0</v>
      </c>
      <c r="W199" s="1124">
        <f>ROUND(IF(Exclude_Taxes="n",IF(Filing_Status="m",IF(OR(W$7&lt;Single_Rate_Start,Single_Rate_Start=""),IF(AND(W$193&gt;='Tax Tables'!W$158,W$193&lt;='Tax Tables'!W$159),(W$193-'Tax Tables'!W$158)*'Tax Tables'!W$160,IF(W$193&gt;='Tax Tables'!W$159,('Tax Tables'!W$159-'Tax Tables'!W$158)*'Tax Tables'!W$160,0)),IF(AND(W$193&gt;='Tax Tables'!W$237,W$193&lt;='Tax Tables'!W$238),(W$193-'Tax Tables'!W$237)*'Tax Tables'!W$239,IF(W$193&gt;='Tax Tables'!W$238,('Tax Tables'!W$238-'Tax Tables'!W$237)*'Tax Tables'!W$239,0))),IF(AND(W$193&gt;='Tax Tables'!W$237,W$193&lt;='Tax Tables'!W$238),(W$193-'Tax Tables'!W$237)*'Tax Tables'!W$239,IF(W$193&gt;='Tax Tables'!W$238,('Tax Tables'!W$238-'Tax Tables'!W$237)*'Tax Tables'!W$239,0))),0)/Round_To,0)*Round_To</f>
        <v>0</v>
      </c>
      <c r="X199" s="1124">
        <f>ROUND(IF(Exclude_Taxes="n",IF(Filing_Status="m",IF(OR(X$7&lt;Single_Rate_Start,Single_Rate_Start=""),IF(AND(X$193&gt;='Tax Tables'!X$158,X$193&lt;='Tax Tables'!X$159),(X$193-'Tax Tables'!X$158)*'Tax Tables'!X$160,IF(X$193&gt;='Tax Tables'!X$159,('Tax Tables'!X$159-'Tax Tables'!X$158)*'Tax Tables'!X$160,0)),IF(AND(X$193&gt;='Tax Tables'!X$237,X$193&lt;='Tax Tables'!X$238),(X$193-'Tax Tables'!X$237)*'Tax Tables'!X$239,IF(X$193&gt;='Tax Tables'!X$238,('Tax Tables'!X$238-'Tax Tables'!X$237)*'Tax Tables'!X$239,0))),IF(AND(X$193&gt;='Tax Tables'!X$237,X$193&lt;='Tax Tables'!X$238),(X$193-'Tax Tables'!X$237)*'Tax Tables'!X$239,IF(X$193&gt;='Tax Tables'!X$238,('Tax Tables'!X$238-'Tax Tables'!X$237)*'Tax Tables'!X$239,0))),0)/Round_To,0)*Round_To</f>
        <v>0</v>
      </c>
      <c r="Y199" s="1124">
        <f>ROUND(IF(Exclude_Taxes="n",IF(Filing_Status="m",IF(OR(Y$7&lt;Single_Rate_Start,Single_Rate_Start=""),IF(AND(Y$193&gt;='Tax Tables'!Y$158,Y$193&lt;='Tax Tables'!Y$159),(Y$193-'Tax Tables'!Y$158)*'Tax Tables'!Y$160,IF(Y$193&gt;='Tax Tables'!Y$159,('Tax Tables'!Y$159-'Tax Tables'!Y$158)*'Tax Tables'!Y$160,0)),IF(AND(Y$193&gt;='Tax Tables'!Y$237,Y$193&lt;='Tax Tables'!Y$238),(Y$193-'Tax Tables'!Y$237)*'Tax Tables'!Y$239,IF(Y$193&gt;='Tax Tables'!Y$238,('Tax Tables'!Y$238-'Tax Tables'!Y$237)*'Tax Tables'!Y$239,0))),IF(AND(Y$193&gt;='Tax Tables'!Y$237,Y$193&lt;='Tax Tables'!Y$238),(Y$193-'Tax Tables'!Y$237)*'Tax Tables'!Y$239,IF(Y$193&gt;='Tax Tables'!Y$238,('Tax Tables'!Y$238-'Tax Tables'!Y$237)*'Tax Tables'!Y$239,0))),0)/Round_To,0)*Round_To</f>
        <v>0</v>
      </c>
      <c r="Z199" s="1124">
        <f>ROUND(IF(Exclude_Taxes="n",IF(Filing_Status="m",IF(OR(Z$7&lt;Single_Rate_Start,Single_Rate_Start=""),IF(AND(Z$193&gt;='Tax Tables'!Z$158,Z$193&lt;='Tax Tables'!Z$159),(Z$193-'Tax Tables'!Z$158)*'Tax Tables'!Z$160,IF(Z$193&gt;='Tax Tables'!Z$159,('Tax Tables'!Z$159-'Tax Tables'!Z$158)*'Tax Tables'!Z$160,0)),IF(AND(Z$193&gt;='Tax Tables'!Z$237,Z$193&lt;='Tax Tables'!Z$238),(Z$193-'Tax Tables'!Z$237)*'Tax Tables'!Z$239,IF(Z$193&gt;='Tax Tables'!Z$238,('Tax Tables'!Z$238-'Tax Tables'!Z$237)*'Tax Tables'!Z$239,0))),IF(AND(Z$193&gt;='Tax Tables'!Z$237,Z$193&lt;='Tax Tables'!Z$238),(Z$193-'Tax Tables'!Z$237)*'Tax Tables'!Z$239,IF(Z$193&gt;='Tax Tables'!Z$238,('Tax Tables'!Z$238-'Tax Tables'!Z$237)*'Tax Tables'!Z$239,0))),0)/Round_To,0)*Round_To</f>
        <v>0</v>
      </c>
      <c r="AA199" s="1124">
        <f>ROUND(IF(Exclude_Taxes="n",IF(Filing_Status="m",IF(OR(AA$7&lt;Single_Rate_Start,Single_Rate_Start=""),IF(AND(AA$193&gt;='Tax Tables'!AA$158,AA$193&lt;='Tax Tables'!AA$159),(AA$193-'Tax Tables'!AA$158)*'Tax Tables'!AA$160,IF(AA$193&gt;='Tax Tables'!AA$159,('Tax Tables'!AA$159-'Tax Tables'!AA$158)*'Tax Tables'!AA$160,0)),IF(AND(AA$193&gt;='Tax Tables'!AA$237,AA$193&lt;='Tax Tables'!AA$238),(AA$193-'Tax Tables'!AA$237)*'Tax Tables'!AA$239,IF(AA$193&gt;='Tax Tables'!AA$238,('Tax Tables'!AA$238-'Tax Tables'!AA$237)*'Tax Tables'!AA$239,0))),IF(AND(AA$193&gt;='Tax Tables'!AA$237,AA$193&lt;='Tax Tables'!AA$238),(AA$193-'Tax Tables'!AA$237)*'Tax Tables'!AA$239,IF(AA$193&gt;='Tax Tables'!AA$238,('Tax Tables'!AA$238-'Tax Tables'!AA$237)*'Tax Tables'!AA$239,0))),0)/Round_To,0)*Round_To</f>
        <v>0</v>
      </c>
      <c r="AB199" s="1124">
        <f>ROUND(IF(Exclude_Taxes="n",IF(Filing_Status="m",IF(OR(AB$7&lt;Single_Rate_Start,Single_Rate_Start=""),IF(AND(AB$193&gt;='Tax Tables'!AB$158,AB$193&lt;='Tax Tables'!AB$159),(AB$193-'Tax Tables'!AB$158)*'Tax Tables'!AB$160,IF(AB$193&gt;='Tax Tables'!AB$159,('Tax Tables'!AB$159-'Tax Tables'!AB$158)*'Tax Tables'!AB$160,0)),IF(AND(AB$193&gt;='Tax Tables'!AB$237,AB$193&lt;='Tax Tables'!AB$238),(AB$193-'Tax Tables'!AB$237)*'Tax Tables'!AB$239,IF(AB$193&gt;='Tax Tables'!AB$238,('Tax Tables'!AB$238-'Tax Tables'!AB$237)*'Tax Tables'!AB$239,0))),IF(AND(AB$193&gt;='Tax Tables'!AB$237,AB$193&lt;='Tax Tables'!AB$238),(AB$193-'Tax Tables'!AB$237)*'Tax Tables'!AB$239,IF(AB$193&gt;='Tax Tables'!AB$238,('Tax Tables'!AB$238-'Tax Tables'!AB$237)*'Tax Tables'!AB$239,0))),0)/Round_To,0)*Round_To</f>
        <v>0</v>
      </c>
      <c r="AC199" s="1124">
        <f>ROUND(IF(Exclude_Taxes="n",IF(Filing_Status="m",IF(OR(AC$7&lt;Single_Rate_Start,Single_Rate_Start=""),IF(AND(AC$193&gt;='Tax Tables'!AC$158,AC$193&lt;='Tax Tables'!AC$159),(AC$193-'Tax Tables'!AC$158)*'Tax Tables'!AC$160,IF(AC$193&gt;='Tax Tables'!AC$159,('Tax Tables'!AC$159-'Tax Tables'!AC$158)*'Tax Tables'!AC$160,0)),IF(AND(AC$193&gt;='Tax Tables'!AC$237,AC$193&lt;='Tax Tables'!AC$238),(AC$193-'Tax Tables'!AC$237)*'Tax Tables'!AC$239,IF(AC$193&gt;='Tax Tables'!AC$238,('Tax Tables'!AC$238-'Tax Tables'!AC$237)*'Tax Tables'!AC$239,0))),IF(AND(AC$193&gt;='Tax Tables'!AC$237,AC$193&lt;='Tax Tables'!AC$238),(AC$193-'Tax Tables'!AC$237)*'Tax Tables'!AC$239,IF(AC$193&gt;='Tax Tables'!AC$238,('Tax Tables'!AC$238-'Tax Tables'!AC$237)*'Tax Tables'!AC$239,0))),0)/Round_To,0)*Round_To</f>
        <v>0</v>
      </c>
      <c r="AD199" s="1124">
        <f>ROUND(IF(Exclude_Taxes="n",IF(Filing_Status="m",IF(OR(AD$7&lt;Single_Rate_Start,Single_Rate_Start=""),IF(AND(AD$193&gt;='Tax Tables'!AD$158,AD$193&lt;='Tax Tables'!AD$159),(AD$193-'Tax Tables'!AD$158)*'Tax Tables'!AD$160,IF(AD$193&gt;='Tax Tables'!AD$159,('Tax Tables'!AD$159-'Tax Tables'!AD$158)*'Tax Tables'!AD$160,0)),IF(AND(AD$193&gt;='Tax Tables'!AD$237,AD$193&lt;='Tax Tables'!AD$238),(AD$193-'Tax Tables'!AD$237)*'Tax Tables'!AD$239,IF(AD$193&gt;='Tax Tables'!AD$238,('Tax Tables'!AD$238-'Tax Tables'!AD$237)*'Tax Tables'!AD$239,0))),IF(AND(AD$193&gt;='Tax Tables'!AD$237,AD$193&lt;='Tax Tables'!AD$238),(AD$193-'Tax Tables'!AD$237)*'Tax Tables'!AD$239,IF(AD$193&gt;='Tax Tables'!AD$238,('Tax Tables'!AD$238-'Tax Tables'!AD$237)*'Tax Tables'!AD$239,0))),0)/Round_To,0)*Round_To</f>
        <v>0</v>
      </c>
      <c r="AE199" s="1124">
        <f>ROUND(IF(Exclude_Taxes="n",IF(Filing_Status="m",IF(OR(AE$7&lt;Single_Rate_Start,Single_Rate_Start=""),IF(AND(AE$193&gt;='Tax Tables'!AE$158,AE$193&lt;='Tax Tables'!AE$159),(AE$193-'Tax Tables'!AE$158)*'Tax Tables'!AE$160,IF(AE$193&gt;='Tax Tables'!AE$159,('Tax Tables'!AE$159-'Tax Tables'!AE$158)*'Tax Tables'!AE$160,0)),IF(AND(AE$193&gt;='Tax Tables'!AE$237,AE$193&lt;='Tax Tables'!AE$238),(AE$193-'Tax Tables'!AE$237)*'Tax Tables'!AE$239,IF(AE$193&gt;='Tax Tables'!AE$238,('Tax Tables'!AE$238-'Tax Tables'!AE$237)*'Tax Tables'!AE$239,0))),IF(AND(AE$193&gt;='Tax Tables'!AE$237,AE$193&lt;='Tax Tables'!AE$238),(AE$193-'Tax Tables'!AE$237)*'Tax Tables'!AE$239,IF(AE$193&gt;='Tax Tables'!AE$238,('Tax Tables'!AE$238-'Tax Tables'!AE$237)*'Tax Tables'!AE$239,0))),0)/Round_To,0)*Round_To</f>
        <v>0</v>
      </c>
      <c r="AF199" s="1124">
        <f>ROUND(IF(Exclude_Taxes="n",IF(Filing_Status="m",IF(OR(AF$7&lt;Single_Rate_Start,Single_Rate_Start=""),IF(AND(AF$193&gt;='Tax Tables'!AF$158,AF$193&lt;='Tax Tables'!AF$159),(AF$193-'Tax Tables'!AF$158)*'Tax Tables'!AF$160,IF(AF$193&gt;='Tax Tables'!AF$159,('Tax Tables'!AF$159-'Tax Tables'!AF$158)*'Tax Tables'!AF$160,0)),IF(AND(AF$193&gt;='Tax Tables'!AF$237,AF$193&lt;='Tax Tables'!AF$238),(AF$193-'Tax Tables'!AF$237)*'Tax Tables'!AF$239,IF(AF$193&gt;='Tax Tables'!AF$238,('Tax Tables'!AF$238-'Tax Tables'!AF$237)*'Tax Tables'!AF$239,0))),IF(AND(AF$193&gt;='Tax Tables'!AF$237,AF$193&lt;='Tax Tables'!AF$238),(AF$193-'Tax Tables'!AF$237)*'Tax Tables'!AF$239,IF(AF$193&gt;='Tax Tables'!AF$238,('Tax Tables'!AF$238-'Tax Tables'!AF$237)*'Tax Tables'!AF$239,0))),0)/Round_To,0)*Round_To</f>
        <v>0</v>
      </c>
      <c r="AG199" s="1124">
        <f>ROUND(IF(Exclude_Taxes="n",IF(Filing_Status="m",IF(OR(AG$7&lt;Single_Rate_Start,Single_Rate_Start=""),IF(AND(AG$193&gt;='Tax Tables'!AG$158,AG$193&lt;='Tax Tables'!AG$159),(AG$193-'Tax Tables'!AG$158)*'Tax Tables'!AG$160,IF(AG$193&gt;='Tax Tables'!AG$159,('Tax Tables'!AG$159-'Tax Tables'!AG$158)*'Tax Tables'!AG$160,0)),IF(AND(AG$193&gt;='Tax Tables'!AG$237,AG$193&lt;='Tax Tables'!AG$238),(AG$193-'Tax Tables'!AG$237)*'Tax Tables'!AG$239,IF(AG$193&gt;='Tax Tables'!AG$238,('Tax Tables'!AG$238-'Tax Tables'!AG$237)*'Tax Tables'!AG$239,0))),IF(AND(AG$193&gt;='Tax Tables'!AG$237,AG$193&lt;='Tax Tables'!AG$238),(AG$193-'Tax Tables'!AG$237)*'Tax Tables'!AG$239,IF(AG$193&gt;='Tax Tables'!AG$238,('Tax Tables'!AG$238-'Tax Tables'!AG$237)*'Tax Tables'!AG$239,0))),0)/Round_To,0)*Round_To</f>
        <v>0</v>
      </c>
      <c r="AH199" s="1124">
        <f>ROUND(IF(Exclude_Taxes="n",IF(Filing_Status="m",IF(OR(AH$7&lt;Single_Rate_Start,Single_Rate_Start=""),IF(AND(AH$193&gt;='Tax Tables'!AH$158,AH$193&lt;='Tax Tables'!AH$159),(AH$193-'Tax Tables'!AH$158)*'Tax Tables'!AH$160,IF(AH$193&gt;='Tax Tables'!AH$159,('Tax Tables'!AH$159-'Tax Tables'!AH$158)*'Tax Tables'!AH$160,0)),IF(AND(AH$193&gt;='Tax Tables'!AH$237,AH$193&lt;='Tax Tables'!AH$238),(AH$193-'Tax Tables'!AH$237)*'Tax Tables'!AH$239,IF(AH$193&gt;='Tax Tables'!AH$238,('Tax Tables'!AH$238-'Tax Tables'!AH$237)*'Tax Tables'!AH$239,0))),IF(AND(AH$193&gt;='Tax Tables'!AH$237,AH$193&lt;='Tax Tables'!AH$238),(AH$193-'Tax Tables'!AH$237)*'Tax Tables'!AH$239,IF(AH$193&gt;='Tax Tables'!AH$238,('Tax Tables'!AH$238-'Tax Tables'!AH$237)*'Tax Tables'!AH$239,0))),0)/Round_To,0)*Round_To</f>
        <v>0</v>
      </c>
      <c r="AI199" s="1124">
        <f>ROUND(IF(Exclude_Taxes="n",IF(Filing_Status="m",IF(OR(AI$7&lt;Single_Rate_Start,Single_Rate_Start=""),IF(AND(AI$193&gt;='Tax Tables'!AI$158,AI$193&lt;='Tax Tables'!AI$159),(AI$193-'Tax Tables'!AI$158)*'Tax Tables'!AI$160,IF(AI$193&gt;='Tax Tables'!AI$159,('Tax Tables'!AI$159-'Tax Tables'!AI$158)*'Tax Tables'!AI$160,0)),IF(AND(AI$193&gt;='Tax Tables'!AI$237,AI$193&lt;='Tax Tables'!AI$238),(AI$193-'Tax Tables'!AI$237)*'Tax Tables'!AI$239,IF(AI$193&gt;='Tax Tables'!AI$238,('Tax Tables'!AI$238-'Tax Tables'!AI$237)*'Tax Tables'!AI$239,0))),IF(AND(AI$193&gt;='Tax Tables'!AI$237,AI$193&lt;='Tax Tables'!AI$238),(AI$193-'Tax Tables'!AI$237)*'Tax Tables'!AI$239,IF(AI$193&gt;='Tax Tables'!AI$238,('Tax Tables'!AI$238-'Tax Tables'!AI$237)*'Tax Tables'!AI$239,0))),0)/Round_To,0)*Round_To</f>
        <v>0</v>
      </c>
      <c r="AJ199" s="1124">
        <f>ROUND(IF(Exclude_Taxes="n",IF(Filing_Status="m",IF(OR(AJ$7&lt;Single_Rate_Start,Single_Rate_Start=""),IF(AND(AJ$193&gt;='Tax Tables'!AJ$158,AJ$193&lt;='Tax Tables'!AJ$159),(AJ$193-'Tax Tables'!AJ$158)*'Tax Tables'!AJ$160,IF(AJ$193&gt;='Tax Tables'!AJ$159,('Tax Tables'!AJ$159-'Tax Tables'!AJ$158)*'Tax Tables'!AJ$160,0)),IF(AND(AJ$193&gt;='Tax Tables'!AJ$237,AJ$193&lt;='Tax Tables'!AJ$238),(AJ$193-'Tax Tables'!AJ$237)*'Tax Tables'!AJ$239,IF(AJ$193&gt;='Tax Tables'!AJ$238,('Tax Tables'!AJ$238-'Tax Tables'!AJ$237)*'Tax Tables'!AJ$239,0))),IF(AND(AJ$193&gt;='Tax Tables'!AJ$237,AJ$193&lt;='Tax Tables'!AJ$238),(AJ$193-'Tax Tables'!AJ$237)*'Tax Tables'!AJ$239,IF(AJ$193&gt;='Tax Tables'!AJ$238,('Tax Tables'!AJ$238-'Tax Tables'!AJ$237)*'Tax Tables'!AJ$239,0))),0)/Round_To,0)*Round_To</f>
        <v>0</v>
      </c>
      <c r="AK199" s="1124">
        <f>ROUND(IF(Exclude_Taxes="n",IF(Filing_Status="m",IF(OR(AK$7&lt;Single_Rate_Start,Single_Rate_Start=""),IF(AND(AK$193&gt;='Tax Tables'!AK$158,AK$193&lt;='Tax Tables'!AK$159),(AK$193-'Tax Tables'!AK$158)*'Tax Tables'!AK$160,IF(AK$193&gt;='Tax Tables'!AK$159,('Tax Tables'!AK$159-'Tax Tables'!AK$158)*'Tax Tables'!AK$160,0)),IF(AND(AK$193&gt;='Tax Tables'!AK$237,AK$193&lt;='Tax Tables'!AK$238),(AK$193-'Tax Tables'!AK$237)*'Tax Tables'!AK$239,IF(AK$193&gt;='Tax Tables'!AK$238,('Tax Tables'!AK$238-'Tax Tables'!AK$237)*'Tax Tables'!AK$239,0))),IF(AND(AK$193&gt;='Tax Tables'!AK$237,AK$193&lt;='Tax Tables'!AK$238),(AK$193-'Tax Tables'!AK$237)*'Tax Tables'!AK$239,IF(AK$193&gt;='Tax Tables'!AK$238,('Tax Tables'!AK$238-'Tax Tables'!AK$237)*'Tax Tables'!AK$239,0))),0)/Round_To,0)*Round_To</f>
        <v>0</v>
      </c>
      <c r="AL199" s="1124">
        <f>ROUND(IF(Exclude_Taxes="n",IF(Filing_Status="m",IF(OR(AL$7&lt;Single_Rate_Start,Single_Rate_Start=""),IF(AND(AL$193&gt;='Tax Tables'!AL$158,AL$193&lt;='Tax Tables'!AL$159),(AL$193-'Tax Tables'!AL$158)*'Tax Tables'!AL$160,IF(AL$193&gt;='Tax Tables'!AL$159,('Tax Tables'!AL$159-'Tax Tables'!AL$158)*'Tax Tables'!AL$160,0)),IF(AND(AL$193&gt;='Tax Tables'!AL$237,AL$193&lt;='Tax Tables'!AL$238),(AL$193-'Tax Tables'!AL$237)*'Tax Tables'!AL$239,IF(AL$193&gt;='Tax Tables'!AL$238,('Tax Tables'!AL$238-'Tax Tables'!AL$237)*'Tax Tables'!AL$239,0))),IF(AND(AL$193&gt;='Tax Tables'!AL$237,AL$193&lt;='Tax Tables'!AL$238),(AL$193-'Tax Tables'!AL$237)*'Tax Tables'!AL$239,IF(AL$193&gt;='Tax Tables'!AL$238,('Tax Tables'!AL$238-'Tax Tables'!AL$237)*'Tax Tables'!AL$239,0))),0)/Round_To,0)*Round_To</f>
        <v>0</v>
      </c>
      <c r="AM199" s="1124">
        <f>ROUND(IF(Exclude_Taxes="n",IF(Filing_Status="m",IF(OR(AM$7&lt;Single_Rate_Start,Single_Rate_Start=""),IF(AND(AM$193&gt;='Tax Tables'!AM$158,AM$193&lt;='Tax Tables'!AM$159),(AM$193-'Tax Tables'!AM$158)*'Tax Tables'!AM$160,IF(AM$193&gt;='Tax Tables'!AM$159,('Tax Tables'!AM$159-'Tax Tables'!AM$158)*'Tax Tables'!AM$160,0)),IF(AND(AM$193&gt;='Tax Tables'!AM$237,AM$193&lt;='Tax Tables'!AM$238),(AM$193-'Tax Tables'!AM$237)*'Tax Tables'!AM$239,IF(AM$193&gt;='Tax Tables'!AM$238,('Tax Tables'!AM$238-'Tax Tables'!AM$237)*'Tax Tables'!AM$239,0))),IF(AND(AM$193&gt;='Tax Tables'!AM$237,AM$193&lt;='Tax Tables'!AM$238),(AM$193-'Tax Tables'!AM$237)*'Tax Tables'!AM$239,IF(AM$193&gt;='Tax Tables'!AM$238,('Tax Tables'!AM$238-'Tax Tables'!AM$237)*'Tax Tables'!AM$239,0))),0)/Round_To,0)*Round_To</f>
        <v>0</v>
      </c>
      <c r="AN199" s="1124">
        <f>ROUND(IF(Exclude_Taxes="n",IF(Filing_Status="m",IF(OR(AN$7&lt;Single_Rate_Start,Single_Rate_Start=""),IF(AND(AN$193&gt;='Tax Tables'!AN$158,AN$193&lt;='Tax Tables'!AN$159),(AN$193-'Tax Tables'!AN$158)*'Tax Tables'!AN$160,IF(AN$193&gt;='Tax Tables'!AN$159,('Tax Tables'!AN$159-'Tax Tables'!AN$158)*'Tax Tables'!AN$160,0)),IF(AND(AN$193&gt;='Tax Tables'!AN$237,AN$193&lt;='Tax Tables'!AN$238),(AN$193-'Tax Tables'!AN$237)*'Tax Tables'!AN$239,IF(AN$193&gt;='Tax Tables'!AN$238,('Tax Tables'!AN$238-'Tax Tables'!AN$237)*'Tax Tables'!AN$239,0))),IF(AND(AN$193&gt;='Tax Tables'!AN$237,AN$193&lt;='Tax Tables'!AN$238),(AN$193-'Tax Tables'!AN$237)*'Tax Tables'!AN$239,IF(AN$193&gt;='Tax Tables'!AN$238,('Tax Tables'!AN$238-'Tax Tables'!AN$237)*'Tax Tables'!AN$239,0))),0)/Round_To,0)*Round_To</f>
        <v>0</v>
      </c>
      <c r="AO199" s="1124">
        <f>ROUND(IF(Exclude_Taxes="n",IF(Filing_Status="m",IF(OR(AO$7&lt;Single_Rate_Start,Single_Rate_Start=""),IF(AND(AO$193&gt;='Tax Tables'!AO$158,AO$193&lt;='Tax Tables'!AO$159),(AO$193-'Tax Tables'!AO$158)*'Tax Tables'!AO$160,IF(AO$193&gt;='Tax Tables'!AO$159,('Tax Tables'!AO$159-'Tax Tables'!AO$158)*'Tax Tables'!AO$160,0)),IF(AND(AO$193&gt;='Tax Tables'!AO$237,AO$193&lt;='Tax Tables'!AO$238),(AO$193-'Tax Tables'!AO$237)*'Tax Tables'!AO$239,IF(AO$193&gt;='Tax Tables'!AO$238,('Tax Tables'!AO$238-'Tax Tables'!AO$237)*'Tax Tables'!AO$239,0))),IF(AND(AO$193&gt;='Tax Tables'!AO$237,AO$193&lt;='Tax Tables'!AO$238),(AO$193-'Tax Tables'!AO$237)*'Tax Tables'!AO$239,IF(AO$193&gt;='Tax Tables'!AO$238,('Tax Tables'!AO$238-'Tax Tables'!AO$237)*'Tax Tables'!AO$239,0))),0)/Round_To,0)*Round_To</f>
        <v>0</v>
      </c>
      <c r="AP199" s="1124">
        <f>ROUND(IF(Exclude_Taxes="n",IF(Filing_Status="m",IF(OR(AP$7&lt;Single_Rate_Start,Single_Rate_Start=""),IF(AND(AP$193&gt;='Tax Tables'!AP$158,AP$193&lt;='Tax Tables'!AP$159),(AP$193-'Tax Tables'!AP$158)*'Tax Tables'!AP$160,IF(AP$193&gt;='Tax Tables'!AP$159,('Tax Tables'!AP$159-'Tax Tables'!AP$158)*'Tax Tables'!AP$160,0)),IF(AND(AP$193&gt;='Tax Tables'!AP$237,AP$193&lt;='Tax Tables'!AP$238),(AP$193-'Tax Tables'!AP$237)*'Tax Tables'!AP$239,IF(AP$193&gt;='Tax Tables'!AP$238,('Tax Tables'!AP$238-'Tax Tables'!AP$237)*'Tax Tables'!AP$239,0))),IF(AND(AP$193&gt;='Tax Tables'!AP$237,AP$193&lt;='Tax Tables'!AP$238),(AP$193-'Tax Tables'!AP$237)*'Tax Tables'!AP$239,IF(AP$193&gt;='Tax Tables'!AP$238,('Tax Tables'!AP$238-'Tax Tables'!AP$237)*'Tax Tables'!AP$239,0))),0)/Round_To,0)*Round_To</f>
        <v>0</v>
      </c>
      <c r="AQ199" s="1124">
        <f>ROUND(IF(Exclude_Taxes="n",IF(Filing_Status="m",IF(OR(AQ$7&lt;Single_Rate_Start,Single_Rate_Start=""),IF(AND(AQ$193&gt;='Tax Tables'!AQ$158,AQ$193&lt;='Tax Tables'!AQ$159),(AQ$193-'Tax Tables'!AQ$158)*'Tax Tables'!AQ$160,IF(AQ$193&gt;='Tax Tables'!AQ$159,('Tax Tables'!AQ$159-'Tax Tables'!AQ$158)*'Tax Tables'!AQ$160,0)),IF(AND(AQ$193&gt;='Tax Tables'!AQ$237,AQ$193&lt;='Tax Tables'!AQ$238),(AQ$193-'Tax Tables'!AQ$237)*'Tax Tables'!AQ$239,IF(AQ$193&gt;='Tax Tables'!AQ$238,('Tax Tables'!AQ$238-'Tax Tables'!AQ$237)*'Tax Tables'!AQ$239,0))),IF(AND(AQ$193&gt;='Tax Tables'!AQ$237,AQ$193&lt;='Tax Tables'!AQ$238),(AQ$193-'Tax Tables'!AQ$237)*'Tax Tables'!AQ$239,IF(AQ$193&gt;='Tax Tables'!AQ$238,('Tax Tables'!AQ$238-'Tax Tables'!AQ$237)*'Tax Tables'!AQ$239,0))),0)/Round_To,0)*Round_To</f>
        <v>0</v>
      </c>
      <c r="AR199" s="1124">
        <f>ROUND(IF(Exclude_Taxes="n",IF(Filing_Status="m",IF(OR(AR$7&lt;Single_Rate_Start,Single_Rate_Start=""),IF(AND(AR$193&gt;='Tax Tables'!AR$158,AR$193&lt;='Tax Tables'!AR$159),(AR$193-'Tax Tables'!AR$158)*'Tax Tables'!AR$160,IF(AR$193&gt;='Tax Tables'!AR$159,('Tax Tables'!AR$159-'Tax Tables'!AR$158)*'Tax Tables'!AR$160,0)),IF(AND(AR$193&gt;='Tax Tables'!AR$237,AR$193&lt;='Tax Tables'!AR$238),(AR$193-'Tax Tables'!AR$237)*'Tax Tables'!AR$239,IF(AR$193&gt;='Tax Tables'!AR$238,('Tax Tables'!AR$238-'Tax Tables'!AR$237)*'Tax Tables'!AR$239,0))),IF(AND(AR$193&gt;='Tax Tables'!AR$237,AR$193&lt;='Tax Tables'!AR$238),(AR$193-'Tax Tables'!AR$237)*'Tax Tables'!AR$239,IF(AR$193&gt;='Tax Tables'!AR$238,('Tax Tables'!AR$238-'Tax Tables'!AR$237)*'Tax Tables'!AR$239,0))),0)/Round_To,0)*Round_To</f>
        <v>0</v>
      </c>
      <c r="AS199" s="1124">
        <f>ROUND(IF(Exclude_Taxes="n",IF(Filing_Status="m",IF(OR(AS$7&lt;Single_Rate_Start,Single_Rate_Start=""),IF(AND(AS$193&gt;='Tax Tables'!AS$158,AS$193&lt;='Tax Tables'!AS$159),(AS$193-'Tax Tables'!AS$158)*'Tax Tables'!AS$160,IF(AS$193&gt;='Tax Tables'!AS$159,('Tax Tables'!AS$159-'Tax Tables'!AS$158)*'Tax Tables'!AS$160,0)),IF(AND(AS$193&gt;='Tax Tables'!AS$237,AS$193&lt;='Tax Tables'!AS$238),(AS$193-'Tax Tables'!AS$237)*'Tax Tables'!AS$239,IF(AS$193&gt;='Tax Tables'!AS$238,('Tax Tables'!AS$238-'Tax Tables'!AS$237)*'Tax Tables'!AS$239,0))),IF(AND(AS$193&gt;='Tax Tables'!AS$237,AS$193&lt;='Tax Tables'!AS$238),(AS$193-'Tax Tables'!AS$237)*'Tax Tables'!AS$239,IF(AS$193&gt;='Tax Tables'!AS$238,('Tax Tables'!AS$238-'Tax Tables'!AS$237)*'Tax Tables'!AS$239,0))),0)/Round_To,0)*Round_To</f>
        <v>0</v>
      </c>
      <c r="AT199" s="3"/>
      <c r="AU199" s="102">
        <f>+Details!E199</f>
        <v>0</v>
      </c>
      <c r="AV199" s="103">
        <f t="shared" si="163"/>
        <v>0</v>
      </c>
      <c r="AW199" s="102"/>
      <c r="AY199" s="31">
        <f>+Details!F199-Base!F199</f>
        <v>0</v>
      </c>
      <c r="AZ199" s="1124">
        <f>+Details!G199-Base!G199</f>
        <v>0</v>
      </c>
      <c r="BA199" s="1124">
        <f>+Details!H199-Base!H199</f>
        <v>0</v>
      </c>
      <c r="BB199" s="1124">
        <f>+Details!I199-Base!I199</f>
        <v>0</v>
      </c>
      <c r="BC199" s="1124">
        <f>+Details!J199-Base!J199</f>
        <v>0</v>
      </c>
      <c r="BD199" s="1124">
        <f>+Details!K199-Base!K199</f>
        <v>0</v>
      </c>
      <c r="BE199" s="1124">
        <f>+Details!L199-Base!L199</f>
        <v>0</v>
      </c>
      <c r="BF199" s="1124">
        <f>+Details!M199-Base!M199</f>
        <v>0</v>
      </c>
      <c r="BG199" s="1124">
        <f>+Details!N199-Base!N199</f>
        <v>0</v>
      </c>
      <c r="BH199" s="1124">
        <f>+Details!O199-Base!O199</f>
        <v>0</v>
      </c>
      <c r="BI199" s="1124">
        <f>+Details!P199-Base!P199</f>
        <v>0</v>
      </c>
      <c r="BJ199" s="1124">
        <f>+Details!Q199-Base!Q199</f>
        <v>0</v>
      </c>
      <c r="BK199" s="1124">
        <f>+Details!R199-Base!R199</f>
        <v>0</v>
      </c>
      <c r="BL199" s="1124">
        <f>+Details!S199-Base!S199</f>
        <v>0</v>
      </c>
      <c r="BM199" s="1124">
        <f>+Details!T199-Base!T199</f>
        <v>0</v>
      </c>
      <c r="BN199" s="1124">
        <f>+Details!U199-Base!U199</f>
        <v>0</v>
      </c>
      <c r="BO199" s="1124">
        <f>+Details!V199-Base!V199</f>
        <v>0</v>
      </c>
      <c r="BP199" s="1124">
        <f>+Details!W199-Base!W199</f>
        <v>0</v>
      </c>
      <c r="BQ199" s="1124">
        <f>+Details!X199-Base!X199</f>
        <v>0</v>
      </c>
      <c r="BR199" s="1124">
        <f>+Details!Y199-Base!Y199</f>
        <v>0</v>
      </c>
      <c r="BS199" s="1124">
        <f>+Details!Z199-Base!Z199</f>
        <v>0</v>
      </c>
      <c r="BT199" s="1124">
        <f>+Details!AA199-Base!AA199</f>
        <v>0</v>
      </c>
      <c r="BU199" s="1124">
        <f>+Details!AB199-Base!AB199</f>
        <v>0</v>
      </c>
      <c r="BV199" s="1124">
        <f>+Details!AC199-Base!AC199</f>
        <v>0</v>
      </c>
      <c r="BW199" s="1124">
        <f>+Details!AD199-Base!AD199</f>
        <v>0</v>
      </c>
      <c r="BX199" s="1124">
        <f>+Details!AE199-Base!AE199</f>
        <v>0</v>
      </c>
      <c r="BY199" s="1124">
        <f>+Details!AF199-Base!AF199</f>
        <v>0</v>
      </c>
      <c r="BZ199" s="1124">
        <f>+Details!AG199-Base!AG199</f>
        <v>0</v>
      </c>
      <c r="CA199" s="1124">
        <f>+Details!AH199-Base!AH199</f>
        <v>0</v>
      </c>
      <c r="CB199" s="1124">
        <f>+Details!AI199-Base!AI199</f>
        <v>0</v>
      </c>
      <c r="CC199" s="1124">
        <f>+Details!AJ199-Base!AJ199</f>
        <v>0</v>
      </c>
      <c r="CD199" s="1124">
        <f>+Details!AK199-Base!AK199</f>
        <v>0</v>
      </c>
      <c r="CE199" s="1124">
        <f>+Details!AL199-Base!AL199</f>
        <v>0</v>
      </c>
      <c r="CF199" s="1124">
        <f>+Details!AM199-Base!AM199</f>
        <v>0</v>
      </c>
      <c r="CG199" s="1124">
        <f>+Details!AN199-Base!AN199</f>
        <v>0</v>
      </c>
      <c r="CH199" s="1124">
        <f>+Details!AO199-Base!AO199</f>
        <v>0</v>
      </c>
      <c r="CI199" s="1124">
        <f>+Details!AP199-Base!AP199</f>
        <v>0</v>
      </c>
      <c r="CJ199" s="1124">
        <f>+Details!AQ199-Base!AQ199</f>
        <v>0</v>
      </c>
      <c r="CK199" s="1124">
        <f>+Details!AR199-Base!AR199</f>
        <v>0</v>
      </c>
      <c r="CL199" s="1124">
        <f>+Details!AS199-Base!AS199</f>
        <v>0</v>
      </c>
      <c r="CM199" s="103"/>
    </row>
    <row r="200" spans="1:91" hidden="1">
      <c r="A200" s="1427" t="s">
        <v>1578</v>
      </c>
      <c r="B200" s="425"/>
      <c r="C200" s="425" t="str">
        <f>IF(Tax_Rates_Alt="y",IF(Filing_Status="m",Setup!$E$238,Setup!$H$238),"")</f>
        <v/>
      </c>
      <c r="D200" s="67">
        <f>IF(Filing_Status="m",Setup!$D238,Setup!$G238)</f>
        <v>0.35</v>
      </c>
      <c r="E200" s="102">
        <f t="shared" si="162"/>
        <v>0</v>
      </c>
      <c r="F200" s="88">
        <f>ROUND(IF(Exclude_Taxes="n",IF(Filing_Status="m",IF(OR(F$7&lt;Single_Rate_Start,Single_Rate_Start=""),IF(AND(F$193&gt;='Tax Tables'!F$163,F$193&lt;='Tax Tables'!F$164),(F$193-'Tax Tables'!F$163)*'Tax Tables'!F$165,IF(F$193&gt;='Tax Tables'!F$164,('Tax Tables'!F$164-'Tax Tables'!F$163)*'Tax Tables'!F$165,0)),IF(AND(F$193&gt;='Tax Tables'!F$242,F$193&lt;='Tax Tables'!F$243),(F$193-'Tax Tables'!F$242)*'Tax Tables'!F$244,IF(F$193&gt;='Tax Tables'!F$243,('Tax Tables'!F$243-'Tax Tables'!F$242)*'Tax Tables'!F$244,0))),IF(AND(F$193&gt;='Tax Tables'!F$242,F$193&lt;='Tax Tables'!F$243),(F$193-'Tax Tables'!F$242)*'Tax Tables'!F$244,IF(F$193&gt;='Tax Tables'!F$243,('Tax Tables'!F$243-'Tax Tables'!F$242)*'Tax Tables'!F$244,0))),0)/Round_To,0)*Round_To</f>
        <v>0</v>
      </c>
      <c r="G200" s="1124">
        <f>ROUND(IF(Exclude_Taxes="n",IF(Filing_Status="m",IF(OR(G$7&lt;Single_Rate_Start,Single_Rate_Start=""),IF(AND(G$193&gt;='Tax Tables'!G$163,G$193&lt;='Tax Tables'!G$164),(G$193-'Tax Tables'!G$163)*'Tax Tables'!G$165,IF(G$193&gt;='Tax Tables'!G$164,('Tax Tables'!G$164-'Tax Tables'!G$163)*'Tax Tables'!G$165,0)),IF(AND(G$193&gt;='Tax Tables'!G$242,G$193&lt;='Tax Tables'!G$243),(G$193-'Tax Tables'!G$242)*'Tax Tables'!G$244,IF(G$193&gt;='Tax Tables'!G$243,('Tax Tables'!G$243-'Tax Tables'!G$242)*'Tax Tables'!G$244,0))),IF(AND(G$193&gt;='Tax Tables'!G$242,G$193&lt;='Tax Tables'!G$243),(G$193-'Tax Tables'!G$242)*'Tax Tables'!G$244,IF(G$193&gt;='Tax Tables'!G$243,('Tax Tables'!G$243-'Tax Tables'!G$242)*'Tax Tables'!G$244,0))),0)/Round_To,0)*Round_To</f>
        <v>0</v>
      </c>
      <c r="H200" s="1124">
        <f>ROUND(IF(Exclude_Taxes="n",IF(Filing_Status="m",IF(OR(H$7&lt;Single_Rate_Start,Single_Rate_Start=""),IF(AND(H$193&gt;='Tax Tables'!H$163,H$193&lt;='Tax Tables'!H$164),(H$193-'Tax Tables'!H$163)*'Tax Tables'!H$165,IF(H$193&gt;='Tax Tables'!H$164,('Tax Tables'!H$164-'Tax Tables'!H$163)*'Tax Tables'!H$165,0)),IF(AND(H$193&gt;='Tax Tables'!H$242,H$193&lt;='Tax Tables'!H$243),(H$193-'Tax Tables'!H$242)*'Tax Tables'!H$244,IF(H$193&gt;='Tax Tables'!H$243,('Tax Tables'!H$243-'Tax Tables'!H$242)*'Tax Tables'!H$244,0))),IF(AND(H$193&gt;='Tax Tables'!H$242,H$193&lt;='Tax Tables'!H$243),(H$193-'Tax Tables'!H$242)*'Tax Tables'!H$244,IF(H$193&gt;='Tax Tables'!H$243,('Tax Tables'!H$243-'Tax Tables'!H$242)*'Tax Tables'!H$244,0))),0)/Round_To,0)*Round_To</f>
        <v>0</v>
      </c>
      <c r="I200" s="1124">
        <f>ROUND(IF(Exclude_Taxes="n",IF(Filing_Status="m",IF(OR(I$7&lt;Single_Rate_Start,Single_Rate_Start=""),IF(AND(I$193&gt;='Tax Tables'!I$163,I$193&lt;='Tax Tables'!I$164),(I$193-'Tax Tables'!I$163)*'Tax Tables'!I$165,IF(I$193&gt;='Tax Tables'!I$164,('Tax Tables'!I$164-'Tax Tables'!I$163)*'Tax Tables'!I$165,0)),IF(AND(I$193&gt;='Tax Tables'!I$242,I$193&lt;='Tax Tables'!I$243),(I$193-'Tax Tables'!I$242)*'Tax Tables'!I$244,IF(I$193&gt;='Tax Tables'!I$243,('Tax Tables'!I$243-'Tax Tables'!I$242)*'Tax Tables'!I$244,0))),IF(AND(I$193&gt;='Tax Tables'!I$242,I$193&lt;='Tax Tables'!I$243),(I$193-'Tax Tables'!I$242)*'Tax Tables'!I$244,IF(I$193&gt;='Tax Tables'!I$243,('Tax Tables'!I$243-'Tax Tables'!I$242)*'Tax Tables'!I$244,0))),0)/Round_To,0)*Round_To</f>
        <v>0</v>
      </c>
      <c r="J200" s="1124">
        <f>ROUND(IF(Exclude_Taxes="n",IF(Filing_Status="m",IF(OR(J$7&lt;Single_Rate_Start,Single_Rate_Start=""),IF(AND(J$193&gt;='Tax Tables'!J$163,J$193&lt;='Tax Tables'!J$164),(J$193-'Tax Tables'!J$163)*'Tax Tables'!J$165,IF(J$193&gt;='Tax Tables'!J$164,('Tax Tables'!J$164-'Tax Tables'!J$163)*'Tax Tables'!J$165,0)),IF(AND(J$193&gt;='Tax Tables'!J$242,J$193&lt;='Tax Tables'!J$243),(J$193-'Tax Tables'!J$242)*'Tax Tables'!J$244,IF(J$193&gt;='Tax Tables'!J$243,('Tax Tables'!J$243-'Tax Tables'!J$242)*'Tax Tables'!J$244,0))),IF(AND(J$193&gt;='Tax Tables'!J$242,J$193&lt;='Tax Tables'!J$243),(J$193-'Tax Tables'!J$242)*'Tax Tables'!J$244,IF(J$193&gt;='Tax Tables'!J$243,('Tax Tables'!J$243-'Tax Tables'!J$242)*'Tax Tables'!J$244,0))),0)/Round_To,0)*Round_To</f>
        <v>0</v>
      </c>
      <c r="K200" s="1124">
        <f>ROUND(IF(Exclude_Taxes="n",IF(Filing_Status="m",IF(OR(K$7&lt;Single_Rate_Start,Single_Rate_Start=""),IF(AND(K$193&gt;='Tax Tables'!K$163,K$193&lt;='Tax Tables'!K$164),(K$193-'Tax Tables'!K$163)*'Tax Tables'!K$165,IF(K$193&gt;='Tax Tables'!K$164,('Tax Tables'!K$164-'Tax Tables'!K$163)*'Tax Tables'!K$165,0)),IF(AND(K$193&gt;='Tax Tables'!K$242,K$193&lt;='Tax Tables'!K$243),(K$193-'Tax Tables'!K$242)*'Tax Tables'!K$244,IF(K$193&gt;='Tax Tables'!K$243,('Tax Tables'!K$243-'Tax Tables'!K$242)*'Tax Tables'!K$244,0))),IF(AND(K$193&gt;='Tax Tables'!K$242,K$193&lt;='Tax Tables'!K$243),(K$193-'Tax Tables'!K$242)*'Tax Tables'!K$244,IF(K$193&gt;='Tax Tables'!K$243,('Tax Tables'!K$243-'Tax Tables'!K$242)*'Tax Tables'!K$244,0))),0)/Round_To,0)*Round_To</f>
        <v>0</v>
      </c>
      <c r="L200" s="1124">
        <f>ROUND(IF(Exclude_Taxes="n",IF(Filing_Status="m",IF(OR(L$7&lt;Single_Rate_Start,Single_Rate_Start=""),IF(AND(L$193&gt;='Tax Tables'!L$163,L$193&lt;='Tax Tables'!L$164),(L$193-'Tax Tables'!L$163)*'Tax Tables'!L$165,IF(L$193&gt;='Tax Tables'!L$164,('Tax Tables'!L$164-'Tax Tables'!L$163)*'Tax Tables'!L$165,0)),IF(AND(L$193&gt;='Tax Tables'!L$242,L$193&lt;='Tax Tables'!L$243),(L$193-'Tax Tables'!L$242)*'Tax Tables'!L$244,IF(L$193&gt;='Tax Tables'!L$243,('Tax Tables'!L$243-'Tax Tables'!L$242)*'Tax Tables'!L$244,0))),IF(AND(L$193&gt;='Tax Tables'!L$242,L$193&lt;='Tax Tables'!L$243),(L$193-'Tax Tables'!L$242)*'Tax Tables'!L$244,IF(L$193&gt;='Tax Tables'!L$243,('Tax Tables'!L$243-'Tax Tables'!L$242)*'Tax Tables'!L$244,0))),0)/Round_To,0)*Round_To</f>
        <v>0</v>
      </c>
      <c r="M200" s="1124">
        <f>ROUND(IF(Exclude_Taxes="n",IF(Filing_Status="m",IF(OR(M$7&lt;Single_Rate_Start,Single_Rate_Start=""),IF(AND(M$193&gt;='Tax Tables'!M$163,M$193&lt;='Tax Tables'!M$164),(M$193-'Tax Tables'!M$163)*'Tax Tables'!M$165,IF(M$193&gt;='Tax Tables'!M$164,('Tax Tables'!M$164-'Tax Tables'!M$163)*'Tax Tables'!M$165,0)),IF(AND(M$193&gt;='Tax Tables'!M$242,M$193&lt;='Tax Tables'!M$243),(M$193-'Tax Tables'!M$242)*'Tax Tables'!M$244,IF(M$193&gt;='Tax Tables'!M$243,('Tax Tables'!M$243-'Tax Tables'!M$242)*'Tax Tables'!M$244,0))),IF(AND(M$193&gt;='Tax Tables'!M$242,M$193&lt;='Tax Tables'!M$243),(M$193-'Tax Tables'!M$242)*'Tax Tables'!M$244,IF(M$193&gt;='Tax Tables'!M$243,('Tax Tables'!M$243-'Tax Tables'!M$242)*'Tax Tables'!M$244,0))),0)/Round_To,0)*Round_To</f>
        <v>0</v>
      </c>
      <c r="N200" s="1124">
        <f>ROUND(IF(Exclude_Taxes="n",IF(Filing_Status="m",IF(OR(N$7&lt;Single_Rate_Start,Single_Rate_Start=""),IF(AND(N$193&gt;='Tax Tables'!N$163,N$193&lt;='Tax Tables'!N$164),(N$193-'Tax Tables'!N$163)*'Tax Tables'!N$165,IF(N$193&gt;='Tax Tables'!N$164,('Tax Tables'!N$164-'Tax Tables'!N$163)*'Tax Tables'!N$165,0)),IF(AND(N$193&gt;='Tax Tables'!N$242,N$193&lt;='Tax Tables'!N$243),(N$193-'Tax Tables'!N$242)*'Tax Tables'!N$244,IF(N$193&gt;='Tax Tables'!N$243,('Tax Tables'!N$243-'Tax Tables'!N$242)*'Tax Tables'!N$244,0))),IF(AND(N$193&gt;='Tax Tables'!N$242,N$193&lt;='Tax Tables'!N$243),(N$193-'Tax Tables'!N$242)*'Tax Tables'!N$244,IF(N$193&gt;='Tax Tables'!N$243,('Tax Tables'!N$243-'Tax Tables'!N$242)*'Tax Tables'!N$244,0))),0)/Round_To,0)*Round_To</f>
        <v>0</v>
      </c>
      <c r="O200" s="1124">
        <f>ROUND(IF(Exclude_Taxes="n",IF(Filing_Status="m",IF(OR(O$7&lt;Single_Rate_Start,Single_Rate_Start=""),IF(AND(O$193&gt;='Tax Tables'!O$163,O$193&lt;='Tax Tables'!O$164),(O$193-'Tax Tables'!O$163)*'Tax Tables'!O$165,IF(O$193&gt;='Tax Tables'!O$164,('Tax Tables'!O$164-'Tax Tables'!O$163)*'Tax Tables'!O$165,0)),IF(AND(O$193&gt;='Tax Tables'!O$242,O$193&lt;='Tax Tables'!O$243),(O$193-'Tax Tables'!O$242)*'Tax Tables'!O$244,IF(O$193&gt;='Tax Tables'!O$243,('Tax Tables'!O$243-'Tax Tables'!O$242)*'Tax Tables'!O$244,0))),IF(AND(O$193&gt;='Tax Tables'!O$242,O$193&lt;='Tax Tables'!O$243),(O$193-'Tax Tables'!O$242)*'Tax Tables'!O$244,IF(O$193&gt;='Tax Tables'!O$243,('Tax Tables'!O$243-'Tax Tables'!O$242)*'Tax Tables'!O$244,0))),0)/Round_To,0)*Round_To</f>
        <v>0</v>
      </c>
      <c r="P200" s="1124">
        <f>ROUND(IF(Exclude_Taxes="n",IF(Filing_Status="m",IF(OR(P$7&lt;Single_Rate_Start,Single_Rate_Start=""),IF(AND(P$193&gt;='Tax Tables'!P$163,P$193&lt;='Tax Tables'!P$164),(P$193-'Tax Tables'!P$163)*'Tax Tables'!P$165,IF(P$193&gt;='Tax Tables'!P$164,('Tax Tables'!P$164-'Tax Tables'!P$163)*'Tax Tables'!P$165,0)),IF(AND(P$193&gt;='Tax Tables'!P$242,P$193&lt;='Tax Tables'!P$243),(P$193-'Tax Tables'!P$242)*'Tax Tables'!P$244,IF(P$193&gt;='Tax Tables'!P$243,('Tax Tables'!P$243-'Tax Tables'!P$242)*'Tax Tables'!P$244,0))),IF(AND(P$193&gt;='Tax Tables'!P$242,P$193&lt;='Tax Tables'!P$243),(P$193-'Tax Tables'!P$242)*'Tax Tables'!P$244,IF(P$193&gt;='Tax Tables'!P$243,('Tax Tables'!P$243-'Tax Tables'!P$242)*'Tax Tables'!P$244,0))),0)/Round_To,0)*Round_To</f>
        <v>0</v>
      </c>
      <c r="Q200" s="1124">
        <f>ROUND(IF(Exclude_Taxes="n",IF(Filing_Status="m",IF(OR(Q$7&lt;Single_Rate_Start,Single_Rate_Start=""),IF(AND(Q$193&gt;='Tax Tables'!Q$163,Q$193&lt;='Tax Tables'!Q$164),(Q$193-'Tax Tables'!Q$163)*'Tax Tables'!Q$165,IF(Q$193&gt;='Tax Tables'!Q$164,('Tax Tables'!Q$164-'Tax Tables'!Q$163)*'Tax Tables'!Q$165,0)),IF(AND(Q$193&gt;='Tax Tables'!Q$242,Q$193&lt;='Tax Tables'!Q$243),(Q$193-'Tax Tables'!Q$242)*'Tax Tables'!Q$244,IF(Q$193&gt;='Tax Tables'!Q$243,('Tax Tables'!Q$243-'Tax Tables'!Q$242)*'Tax Tables'!Q$244,0))),IF(AND(Q$193&gt;='Tax Tables'!Q$242,Q$193&lt;='Tax Tables'!Q$243),(Q$193-'Tax Tables'!Q$242)*'Tax Tables'!Q$244,IF(Q$193&gt;='Tax Tables'!Q$243,('Tax Tables'!Q$243-'Tax Tables'!Q$242)*'Tax Tables'!Q$244,0))),0)/Round_To,0)*Round_To</f>
        <v>0</v>
      </c>
      <c r="R200" s="1124">
        <f>ROUND(IF(Exclude_Taxes="n",IF(Filing_Status="m",IF(OR(R$7&lt;Single_Rate_Start,Single_Rate_Start=""),IF(AND(R$193&gt;='Tax Tables'!R$163,R$193&lt;='Tax Tables'!R$164),(R$193-'Tax Tables'!R$163)*'Tax Tables'!R$165,IF(R$193&gt;='Tax Tables'!R$164,('Tax Tables'!R$164-'Tax Tables'!R$163)*'Tax Tables'!R$165,0)),IF(AND(R$193&gt;='Tax Tables'!R$242,R$193&lt;='Tax Tables'!R$243),(R$193-'Tax Tables'!R$242)*'Tax Tables'!R$244,IF(R$193&gt;='Tax Tables'!R$243,('Tax Tables'!R$243-'Tax Tables'!R$242)*'Tax Tables'!R$244,0))),IF(AND(R$193&gt;='Tax Tables'!R$242,R$193&lt;='Tax Tables'!R$243),(R$193-'Tax Tables'!R$242)*'Tax Tables'!R$244,IF(R$193&gt;='Tax Tables'!R$243,('Tax Tables'!R$243-'Tax Tables'!R$242)*'Tax Tables'!R$244,0))),0)/Round_To,0)*Round_To</f>
        <v>0</v>
      </c>
      <c r="S200" s="1124">
        <f>ROUND(IF(Exclude_Taxes="n",IF(Filing_Status="m",IF(OR(S$7&lt;Single_Rate_Start,Single_Rate_Start=""),IF(AND(S$193&gt;='Tax Tables'!S$163,S$193&lt;='Tax Tables'!S$164),(S$193-'Tax Tables'!S$163)*'Tax Tables'!S$165,IF(S$193&gt;='Tax Tables'!S$164,('Tax Tables'!S$164-'Tax Tables'!S$163)*'Tax Tables'!S$165,0)),IF(AND(S$193&gt;='Tax Tables'!S$242,S$193&lt;='Tax Tables'!S$243),(S$193-'Tax Tables'!S$242)*'Tax Tables'!S$244,IF(S$193&gt;='Tax Tables'!S$243,('Tax Tables'!S$243-'Tax Tables'!S$242)*'Tax Tables'!S$244,0))),IF(AND(S$193&gt;='Tax Tables'!S$242,S$193&lt;='Tax Tables'!S$243),(S$193-'Tax Tables'!S$242)*'Tax Tables'!S$244,IF(S$193&gt;='Tax Tables'!S$243,('Tax Tables'!S$243-'Tax Tables'!S$242)*'Tax Tables'!S$244,0))),0)/Round_To,0)*Round_To</f>
        <v>0</v>
      </c>
      <c r="T200" s="1124">
        <f>ROUND(IF(Exclude_Taxes="n",IF(Filing_Status="m",IF(OR(T$7&lt;Single_Rate_Start,Single_Rate_Start=""),IF(AND(T$193&gt;='Tax Tables'!T$163,T$193&lt;='Tax Tables'!T$164),(T$193-'Tax Tables'!T$163)*'Tax Tables'!T$165,IF(T$193&gt;='Tax Tables'!T$164,('Tax Tables'!T$164-'Tax Tables'!T$163)*'Tax Tables'!T$165,0)),IF(AND(T$193&gt;='Tax Tables'!T$242,T$193&lt;='Tax Tables'!T$243),(T$193-'Tax Tables'!T$242)*'Tax Tables'!T$244,IF(T$193&gt;='Tax Tables'!T$243,('Tax Tables'!T$243-'Tax Tables'!T$242)*'Tax Tables'!T$244,0))),IF(AND(T$193&gt;='Tax Tables'!T$242,T$193&lt;='Tax Tables'!T$243),(T$193-'Tax Tables'!T$242)*'Tax Tables'!T$244,IF(T$193&gt;='Tax Tables'!T$243,('Tax Tables'!T$243-'Tax Tables'!T$242)*'Tax Tables'!T$244,0))),0)/Round_To,0)*Round_To</f>
        <v>0</v>
      </c>
      <c r="U200" s="1124">
        <f>ROUND(IF(Exclude_Taxes="n",IF(Filing_Status="m",IF(OR(U$7&lt;Single_Rate_Start,Single_Rate_Start=""),IF(AND(U$193&gt;='Tax Tables'!U$163,U$193&lt;='Tax Tables'!U$164),(U$193-'Tax Tables'!U$163)*'Tax Tables'!U$165,IF(U$193&gt;='Tax Tables'!U$164,('Tax Tables'!U$164-'Tax Tables'!U$163)*'Tax Tables'!U$165,0)),IF(AND(U$193&gt;='Tax Tables'!U$242,U$193&lt;='Tax Tables'!U$243),(U$193-'Tax Tables'!U$242)*'Tax Tables'!U$244,IF(U$193&gt;='Tax Tables'!U$243,('Tax Tables'!U$243-'Tax Tables'!U$242)*'Tax Tables'!U$244,0))),IF(AND(U$193&gt;='Tax Tables'!U$242,U$193&lt;='Tax Tables'!U$243),(U$193-'Tax Tables'!U$242)*'Tax Tables'!U$244,IF(U$193&gt;='Tax Tables'!U$243,('Tax Tables'!U$243-'Tax Tables'!U$242)*'Tax Tables'!U$244,0))),0)/Round_To,0)*Round_To</f>
        <v>0</v>
      </c>
      <c r="V200" s="1124">
        <f>ROUND(IF(Exclude_Taxes="n",IF(Filing_Status="m",IF(OR(V$7&lt;Single_Rate_Start,Single_Rate_Start=""),IF(AND(V$193&gt;='Tax Tables'!V$163,V$193&lt;='Tax Tables'!V$164),(V$193-'Tax Tables'!V$163)*'Tax Tables'!V$165,IF(V$193&gt;='Tax Tables'!V$164,('Tax Tables'!V$164-'Tax Tables'!V$163)*'Tax Tables'!V$165,0)),IF(AND(V$193&gt;='Tax Tables'!V$242,V$193&lt;='Tax Tables'!V$243),(V$193-'Tax Tables'!V$242)*'Tax Tables'!V$244,IF(V$193&gt;='Tax Tables'!V$243,('Tax Tables'!V$243-'Tax Tables'!V$242)*'Tax Tables'!V$244,0))),IF(AND(V$193&gt;='Tax Tables'!V$242,V$193&lt;='Tax Tables'!V$243),(V$193-'Tax Tables'!V$242)*'Tax Tables'!V$244,IF(V$193&gt;='Tax Tables'!V$243,('Tax Tables'!V$243-'Tax Tables'!V$242)*'Tax Tables'!V$244,0))),0)/Round_To,0)*Round_To</f>
        <v>0</v>
      </c>
      <c r="W200" s="1124">
        <f>ROUND(IF(Exclude_Taxes="n",IF(Filing_Status="m",IF(OR(W$7&lt;Single_Rate_Start,Single_Rate_Start=""),IF(AND(W$193&gt;='Tax Tables'!W$163,W$193&lt;='Tax Tables'!W$164),(W$193-'Tax Tables'!W$163)*'Tax Tables'!W$165,IF(W$193&gt;='Tax Tables'!W$164,('Tax Tables'!W$164-'Tax Tables'!W$163)*'Tax Tables'!W$165,0)),IF(AND(W$193&gt;='Tax Tables'!W$242,W$193&lt;='Tax Tables'!W$243),(W$193-'Tax Tables'!W$242)*'Tax Tables'!W$244,IF(W$193&gt;='Tax Tables'!W$243,('Tax Tables'!W$243-'Tax Tables'!W$242)*'Tax Tables'!W$244,0))),IF(AND(W$193&gt;='Tax Tables'!W$242,W$193&lt;='Tax Tables'!W$243),(W$193-'Tax Tables'!W$242)*'Tax Tables'!W$244,IF(W$193&gt;='Tax Tables'!W$243,('Tax Tables'!W$243-'Tax Tables'!W$242)*'Tax Tables'!W$244,0))),0)/Round_To,0)*Round_To</f>
        <v>0</v>
      </c>
      <c r="X200" s="1124">
        <f>ROUND(IF(Exclude_Taxes="n",IF(Filing_Status="m",IF(OR(X$7&lt;Single_Rate_Start,Single_Rate_Start=""),IF(AND(X$193&gt;='Tax Tables'!X$163,X$193&lt;='Tax Tables'!X$164),(X$193-'Tax Tables'!X$163)*'Tax Tables'!X$165,IF(X$193&gt;='Tax Tables'!X$164,('Tax Tables'!X$164-'Tax Tables'!X$163)*'Tax Tables'!X$165,0)),IF(AND(X$193&gt;='Tax Tables'!X$242,X$193&lt;='Tax Tables'!X$243),(X$193-'Tax Tables'!X$242)*'Tax Tables'!X$244,IF(X$193&gt;='Tax Tables'!X$243,('Tax Tables'!X$243-'Tax Tables'!X$242)*'Tax Tables'!X$244,0))),IF(AND(X$193&gt;='Tax Tables'!X$242,X$193&lt;='Tax Tables'!X$243),(X$193-'Tax Tables'!X$242)*'Tax Tables'!X$244,IF(X$193&gt;='Tax Tables'!X$243,('Tax Tables'!X$243-'Tax Tables'!X$242)*'Tax Tables'!X$244,0))),0)/Round_To,0)*Round_To</f>
        <v>0</v>
      </c>
      <c r="Y200" s="1124">
        <f>ROUND(IF(Exclude_Taxes="n",IF(Filing_Status="m",IF(OR(Y$7&lt;Single_Rate_Start,Single_Rate_Start=""),IF(AND(Y$193&gt;='Tax Tables'!Y$163,Y$193&lt;='Tax Tables'!Y$164),(Y$193-'Tax Tables'!Y$163)*'Tax Tables'!Y$165,IF(Y$193&gt;='Tax Tables'!Y$164,('Tax Tables'!Y$164-'Tax Tables'!Y$163)*'Tax Tables'!Y$165,0)),IF(AND(Y$193&gt;='Tax Tables'!Y$242,Y$193&lt;='Tax Tables'!Y$243),(Y$193-'Tax Tables'!Y$242)*'Tax Tables'!Y$244,IF(Y$193&gt;='Tax Tables'!Y$243,('Tax Tables'!Y$243-'Tax Tables'!Y$242)*'Tax Tables'!Y$244,0))),IF(AND(Y$193&gt;='Tax Tables'!Y$242,Y$193&lt;='Tax Tables'!Y$243),(Y$193-'Tax Tables'!Y$242)*'Tax Tables'!Y$244,IF(Y$193&gt;='Tax Tables'!Y$243,('Tax Tables'!Y$243-'Tax Tables'!Y$242)*'Tax Tables'!Y$244,0))),0)/Round_To,0)*Round_To</f>
        <v>0</v>
      </c>
      <c r="Z200" s="1124">
        <f>ROUND(IF(Exclude_Taxes="n",IF(Filing_Status="m",IF(OR(Z$7&lt;Single_Rate_Start,Single_Rate_Start=""),IF(AND(Z$193&gt;='Tax Tables'!Z$163,Z$193&lt;='Tax Tables'!Z$164),(Z$193-'Tax Tables'!Z$163)*'Tax Tables'!Z$165,IF(Z$193&gt;='Tax Tables'!Z$164,('Tax Tables'!Z$164-'Tax Tables'!Z$163)*'Tax Tables'!Z$165,0)),IF(AND(Z$193&gt;='Tax Tables'!Z$242,Z$193&lt;='Tax Tables'!Z$243),(Z$193-'Tax Tables'!Z$242)*'Tax Tables'!Z$244,IF(Z$193&gt;='Tax Tables'!Z$243,('Tax Tables'!Z$243-'Tax Tables'!Z$242)*'Tax Tables'!Z$244,0))),IF(AND(Z$193&gt;='Tax Tables'!Z$242,Z$193&lt;='Tax Tables'!Z$243),(Z$193-'Tax Tables'!Z$242)*'Tax Tables'!Z$244,IF(Z$193&gt;='Tax Tables'!Z$243,('Tax Tables'!Z$243-'Tax Tables'!Z$242)*'Tax Tables'!Z$244,0))),0)/Round_To,0)*Round_To</f>
        <v>0</v>
      </c>
      <c r="AA200" s="1124">
        <f>ROUND(IF(Exclude_Taxes="n",IF(Filing_Status="m",IF(OR(AA$7&lt;Single_Rate_Start,Single_Rate_Start=""),IF(AND(AA$193&gt;='Tax Tables'!AA$163,AA$193&lt;='Tax Tables'!AA$164),(AA$193-'Tax Tables'!AA$163)*'Tax Tables'!AA$165,IF(AA$193&gt;='Tax Tables'!AA$164,('Tax Tables'!AA$164-'Tax Tables'!AA$163)*'Tax Tables'!AA$165,0)),IF(AND(AA$193&gt;='Tax Tables'!AA$242,AA$193&lt;='Tax Tables'!AA$243),(AA$193-'Tax Tables'!AA$242)*'Tax Tables'!AA$244,IF(AA$193&gt;='Tax Tables'!AA$243,('Tax Tables'!AA$243-'Tax Tables'!AA$242)*'Tax Tables'!AA$244,0))),IF(AND(AA$193&gt;='Tax Tables'!AA$242,AA$193&lt;='Tax Tables'!AA$243),(AA$193-'Tax Tables'!AA$242)*'Tax Tables'!AA$244,IF(AA$193&gt;='Tax Tables'!AA$243,('Tax Tables'!AA$243-'Tax Tables'!AA$242)*'Tax Tables'!AA$244,0))),0)/Round_To,0)*Round_To</f>
        <v>0</v>
      </c>
      <c r="AB200" s="1124">
        <f>ROUND(IF(Exclude_Taxes="n",IF(Filing_Status="m",IF(OR(AB$7&lt;Single_Rate_Start,Single_Rate_Start=""),IF(AND(AB$193&gt;='Tax Tables'!AB$163,AB$193&lt;='Tax Tables'!AB$164),(AB$193-'Tax Tables'!AB$163)*'Tax Tables'!AB$165,IF(AB$193&gt;='Tax Tables'!AB$164,('Tax Tables'!AB$164-'Tax Tables'!AB$163)*'Tax Tables'!AB$165,0)),IF(AND(AB$193&gt;='Tax Tables'!AB$242,AB$193&lt;='Tax Tables'!AB$243),(AB$193-'Tax Tables'!AB$242)*'Tax Tables'!AB$244,IF(AB$193&gt;='Tax Tables'!AB$243,('Tax Tables'!AB$243-'Tax Tables'!AB$242)*'Tax Tables'!AB$244,0))),IF(AND(AB$193&gt;='Tax Tables'!AB$242,AB$193&lt;='Tax Tables'!AB$243),(AB$193-'Tax Tables'!AB$242)*'Tax Tables'!AB$244,IF(AB$193&gt;='Tax Tables'!AB$243,('Tax Tables'!AB$243-'Tax Tables'!AB$242)*'Tax Tables'!AB$244,0))),0)/Round_To,0)*Round_To</f>
        <v>0</v>
      </c>
      <c r="AC200" s="1124">
        <f>ROUND(IF(Exclude_Taxes="n",IF(Filing_Status="m",IF(OR(AC$7&lt;Single_Rate_Start,Single_Rate_Start=""),IF(AND(AC$193&gt;='Tax Tables'!AC$163,AC$193&lt;='Tax Tables'!AC$164),(AC$193-'Tax Tables'!AC$163)*'Tax Tables'!AC$165,IF(AC$193&gt;='Tax Tables'!AC$164,('Tax Tables'!AC$164-'Tax Tables'!AC$163)*'Tax Tables'!AC$165,0)),IF(AND(AC$193&gt;='Tax Tables'!AC$242,AC$193&lt;='Tax Tables'!AC$243),(AC$193-'Tax Tables'!AC$242)*'Tax Tables'!AC$244,IF(AC$193&gt;='Tax Tables'!AC$243,('Tax Tables'!AC$243-'Tax Tables'!AC$242)*'Tax Tables'!AC$244,0))),IF(AND(AC$193&gt;='Tax Tables'!AC$242,AC$193&lt;='Tax Tables'!AC$243),(AC$193-'Tax Tables'!AC$242)*'Tax Tables'!AC$244,IF(AC$193&gt;='Tax Tables'!AC$243,('Tax Tables'!AC$243-'Tax Tables'!AC$242)*'Tax Tables'!AC$244,0))),0)/Round_To,0)*Round_To</f>
        <v>0</v>
      </c>
      <c r="AD200" s="1124">
        <f>ROUND(IF(Exclude_Taxes="n",IF(Filing_Status="m",IF(OR(AD$7&lt;Single_Rate_Start,Single_Rate_Start=""),IF(AND(AD$193&gt;='Tax Tables'!AD$163,AD$193&lt;='Tax Tables'!AD$164),(AD$193-'Tax Tables'!AD$163)*'Tax Tables'!AD$165,IF(AD$193&gt;='Tax Tables'!AD$164,('Tax Tables'!AD$164-'Tax Tables'!AD$163)*'Tax Tables'!AD$165,0)),IF(AND(AD$193&gt;='Tax Tables'!AD$242,AD$193&lt;='Tax Tables'!AD$243),(AD$193-'Tax Tables'!AD$242)*'Tax Tables'!AD$244,IF(AD$193&gt;='Tax Tables'!AD$243,('Tax Tables'!AD$243-'Tax Tables'!AD$242)*'Tax Tables'!AD$244,0))),IF(AND(AD$193&gt;='Tax Tables'!AD$242,AD$193&lt;='Tax Tables'!AD$243),(AD$193-'Tax Tables'!AD$242)*'Tax Tables'!AD$244,IF(AD$193&gt;='Tax Tables'!AD$243,('Tax Tables'!AD$243-'Tax Tables'!AD$242)*'Tax Tables'!AD$244,0))),0)/Round_To,0)*Round_To</f>
        <v>0</v>
      </c>
      <c r="AE200" s="1124">
        <f>ROUND(IF(Exclude_Taxes="n",IF(Filing_Status="m",IF(OR(AE$7&lt;Single_Rate_Start,Single_Rate_Start=""),IF(AND(AE$193&gt;='Tax Tables'!AE$163,AE$193&lt;='Tax Tables'!AE$164),(AE$193-'Tax Tables'!AE$163)*'Tax Tables'!AE$165,IF(AE$193&gt;='Tax Tables'!AE$164,('Tax Tables'!AE$164-'Tax Tables'!AE$163)*'Tax Tables'!AE$165,0)),IF(AND(AE$193&gt;='Tax Tables'!AE$242,AE$193&lt;='Tax Tables'!AE$243),(AE$193-'Tax Tables'!AE$242)*'Tax Tables'!AE$244,IF(AE$193&gt;='Tax Tables'!AE$243,('Tax Tables'!AE$243-'Tax Tables'!AE$242)*'Tax Tables'!AE$244,0))),IF(AND(AE$193&gt;='Tax Tables'!AE$242,AE$193&lt;='Tax Tables'!AE$243),(AE$193-'Tax Tables'!AE$242)*'Tax Tables'!AE$244,IF(AE$193&gt;='Tax Tables'!AE$243,('Tax Tables'!AE$243-'Tax Tables'!AE$242)*'Tax Tables'!AE$244,0))),0)/Round_To,0)*Round_To</f>
        <v>0</v>
      </c>
      <c r="AF200" s="1124">
        <f>ROUND(IF(Exclude_Taxes="n",IF(Filing_Status="m",IF(OR(AF$7&lt;Single_Rate_Start,Single_Rate_Start=""),IF(AND(AF$193&gt;='Tax Tables'!AF$163,AF$193&lt;='Tax Tables'!AF$164),(AF$193-'Tax Tables'!AF$163)*'Tax Tables'!AF$165,IF(AF$193&gt;='Tax Tables'!AF$164,('Tax Tables'!AF$164-'Tax Tables'!AF$163)*'Tax Tables'!AF$165,0)),IF(AND(AF$193&gt;='Tax Tables'!AF$242,AF$193&lt;='Tax Tables'!AF$243),(AF$193-'Tax Tables'!AF$242)*'Tax Tables'!AF$244,IF(AF$193&gt;='Tax Tables'!AF$243,('Tax Tables'!AF$243-'Tax Tables'!AF$242)*'Tax Tables'!AF$244,0))),IF(AND(AF$193&gt;='Tax Tables'!AF$242,AF$193&lt;='Tax Tables'!AF$243),(AF$193-'Tax Tables'!AF$242)*'Tax Tables'!AF$244,IF(AF$193&gt;='Tax Tables'!AF$243,('Tax Tables'!AF$243-'Tax Tables'!AF$242)*'Tax Tables'!AF$244,0))),0)/Round_To,0)*Round_To</f>
        <v>0</v>
      </c>
      <c r="AG200" s="1124">
        <f>ROUND(IF(Exclude_Taxes="n",IF(Filing_Status="m",IF(OR(AG$7&lt;Single_Rate_Start,Single_Rate_Start=""),IF(AND(AG$193&gt;='Tax Tables'!AG$163,AG$193&lt;='Tax Tables'!AG$164),(AG$193-'Tax Tables'!AG$163)*'Tax Tables'!AG$165,IF(AG$193&gt;='Tax Tables'!AG$164,('Tax Tables'!AG$164-'Tax Tables'!AG$163)*'Tax Tables'!AG$165,0)),IF(AND(AG$193&gt;='Tax Tables'!AG$242,AG$193&lt;='Tax Tables'!AG$243),(AG$193-'Tax Tables'!AG$242)*'Tax Tables'!AG$244,IF(AG$193&gt;='Tax Tables'!AG$243,('Tax Tables'!AG$243-'Tax Tables'!AG$242)*'Tax Tables'!AG$244,0))),IF(AND(AG$193&gt;='Tax Tables'!AG$242,AG$193&lt;='Tax Tables'!AG$243),(AG$193-'Tax Tables'!AG$242)*'Tax Tables'!AG$244,IF(AG$193&gt;='Tax Tables'!AG$243,('Tax Tables'!AG$243-'Tax Tables'!AG$242)*'Tax Tables'!AG$244,0))),0)/Round_To,0)*Round_To</f>
        <v>0</v>
      </c>
      <c r="AH200" s="1124">
        <f>ROUND(IF(Exclude_Taxes="n",IF(Filing_Status="m",IF(OR(AH$7&lt;Single_Rate_Start,Single_Rate_Start=""),IF(AND(AH$193&gt;='Tax Tables'!AH$163,AH$193&lt;='Tax Tables'!AH$164),(AH$193-'Tax Tables'!AH$163)*'Tax Tables'!AH$165,IF(AH$193&gt;='Tax Tables'!AH$164,('Tax Tables'!AH$164-'Tax Tables'!AH$163)*'Tax Tables'!AH$165,0)),IF(AND(AH$193&gt;='Tax Tables'!AH$242,AH$193&lt;='Tax Tables'!AH$243),(AH$193-'Tax Tables'!AH$242)*'Tax Tables'!AH$244,IF(AH$193&gt;='Tax Tables'!AH$243,('Tax Tables'!AH$243-'Tax Tables'!AH$242)*'Tax Tables'!AH$244,0))),IF(AND(AH$193&gt;='Tax Tables'!AH$242,AH$193&lt;='Tax Tables'!AH$243),(AH$193-'Tax Tables'!AH$242)*'Tax Tables'!AH$244,IF(AH$193&gt;='Tax Tables'!AH$243,('Tax Tables'!AH$243-'Tax Tables'!AH$242)*'Tax Tables'!AH$244,0))),0)/Round_To,0)*Round_To</f>
        <v>0</v>
      </c>
      <c r="AI200" s="1124">
        <f>ROUND(IF(Exclude_Taxes="n",IF(Filing_Status="m",IF(OR(AI$7&lt;Single_Rate_Start,Single_Rate_Start=""),IF(AND(AI$193&gt;='Tax Tables'!AI$163,AI$193&lt;='Tax Tables'!AI$164),(AI$193-'Tax Tables'!AI$163)*'Tax Tables'!AI$165,IF(AI$193&gt;='Tax Tables'!AI$164,('Tax Tables'!AI$164-'Tax Tables'!AI$163)*'Tax Tables'!AI$165,0)),IF(AND(AI$193&gt;='Tax Tables'!AI$242,AI$193&lt;='Tax Tables'!AI$243),(AI$193-'Tax Tables'!AI$242)*'Tax Tables'!AI$244,IF(AI$193&gt;='Tax Tables'!AI$243,('Tax Tables'!AI$243-'Tax Tables'!AI$242)*'Tax Tables'!AI$244,0))),IF(AND(AI$193&gt;='Tax Tables'!AI$242,AI$193&lt;='Tax Tables'!AI$243),(AI$193-'Tax Tables'!AI$242)*'Tax Tables'!AI$244,IF(AI$193&gt;='Tax Tables'!AI$243,('Tax Tables'!AI$243-'Tax Tables'!AI$242)*'Tax Tables'!AI$244,0))),0)/Round_To,0)*Round_To</f>
        <v>0</v>
      </c>
      <c r="AJ200" s="1124">
        <f>ROUND(IF(Exclude_Taxes="n",IF(Filing_Status="m",IF(OR(AJ$7&lt;Single_Rate_Start,Single_Rate_Start=""),IF(AND(AJ$193&gt;='Tax Tables'!AJ$163,AJ$193&lt;='Tax Tables'!AJ$164),(AJ$193-'Tax Tables'!AJ$163)*'Tax Tables'!AJ$165,IF(AJ$193&gt;='Tax Tables'!AJ$164,('Tax Tables'!AJ$164-'Tax Tables'!AJ$163)*'Tax Tables'!AJ$165,0)),IF(AND(AJ$193&gt;='Tax Tables'!AJ$242,AJ$193&lt;='Tax Tables'!AJ$243),(AJ$193-'Tax Tables'!AJ$242)*'Tax Tables'!AJ$244,IF(AJ$193&gt;='Tax Tables'!AJ$243,('Tax Tables'!AJ$243-'Tax Tables'!AJ$242)*'Tax Tables'!AJ$244,0))),IF(AND(AJ$193&gt;='Tax Tables'!AJ$242,AJ$193&lt;='Tax Tables'!AJ$243),(AJ$193-'Tax Tables'!AJ$242)*'Tax Tables'!AJ$244,IF(AJ$193&gt;='Tax Tables'!AJ$243,('Tax Tables'!AJ$243-'Tax Tables'!AJ$242)*'Tax Tables'!AJ$244,0))),0)/Round_To,0)*Round_To</f>
        <v>0</v>
      </c>
      <c r="AK200" s="1124">
        <f>ROUND(IF(Exclude_Taxes="n",IF(Filing_Status="m",IF(OR(AK$7&lt;Single_Rate_Start,Single_Rate_Start=""),IF(AND(AK$193&gt;='Tax Tables'!AK$163,AK$193&lt;='Tax Tables'!AK$164),(AK$193-'Tax Tables'!AK$163)*'Tax Tables'!AK$165,IF(AK$193&gt;='Tax Tables'!AK$164,('Tax Tables'!AK$164-'Tax Tables'!AK$163)*'Tax Tables'!AK$165,0)),IF(AND(AK$193&gt;='Tax Tables'!AK$242,AK$193&lt;='Tax Tables'!AK$243),(AK$193-'Tax Tables'!AK$242)*'Tax Tables'!AK$244,IF(AK$193&gt;='Tax Tables'!AK$243,('Tax Tables'!AK$243-'Tax Tables'!AK$242)*'Tax Tables'!AK$244,0))),IF(AND(AK$193&gt;='Tax Tables'!AK$242,AK$193&lt;='Tax Tables'!AK$243),(AK$193-'Tax Tables'!AK$242)*'Tax Tables'!AK$244,IF(AK$193&gt;='Tax Tables'!AK$243,('Tax Tables'!AK$243-'Tax Tables'!AK$242)*'Tax Tables'!AK$244,0))),0)/Round_To,0)*Round_To</f>
        <v>0</v>
      </c>
      <c r="AL200" s="1124">
        <f>ROUND(IF(Exclude_Taxes="n",IF(Filing_Status="m",IF(OR(AL$7&lt;Single_Rate_Start,Single_Rate_Start=""),IF(AND(AL$193&gt;='Tax Tables'!AL$163,AL$193&lt;='Tax Tables'!AL$164),(AL$193-'Tax Tables'!AL$163)*'Tax Tables'!AL$165,IF(AL$193&gt;='Tax Tables'!AL$164,('Tax Tables'!AL$164-'Tax Tables'!AL$163)*'Tax Tables'!AL$165,0)),IF(AND(AL$193&gt;='Tax Tables'!AL$242,AL$193&lt;='Tax Tables'!AL$243),(AL$193-'Tax Tables'!AL$242)*'Tax Tables'!AL$244,IF(AL$193&gt;='Tax Tables'!AL$243,('Tax Tables'!AL$243-'Tax Tables'!AL$242)*'Tax Tables'!AL$244,0))),IF(AND(AL$193&gt;='Tax Tables'!AL$242,AL$193&lt;='Tax Tables'!AL$243),(AL$193-'Tax Tables'!AL$242)*'Tax Tables'!AL$244,IF(AL$193&gt;='Tax Tables'!AL$243,('Tax Tables'!AL$243-'Tax Tables'!AL$242)*'Tax Tables'!AL$244,0))),0)/Round_To,0)*Round_To</f>
        <v>0</v>
      </c>
      <c r="AM200" s="1124">
        <f>ROUND(IF(Exclude_Taxes="n",IF(Filing_Status="m",IF(OR(AM$7&lt;Single_Rate_Start,Single_Rate_Start=""),IF(AND(AM$193&gt;='Tax Tables'!AM$163,AM$193&lt;='Tax Tables'!AM$164),(AM$193-'Tax Tables'!AM$163)*'Tax Tables'!AM$165,IF(AM$193&gt;='Tax Tables'!AM$164,('Tax Tables'!AM$164-'Tax Tables'!AM$163)*'Tax Tables'!AM$165,0)),IF(AND(AM$193&gt;='Tax Tables'!AM$242,AM$193&lt;='Tax Tables'!AM$243),(AM$193-'Tax Tables'!AM$242)*'Tax Tables'!AM$244,IF(AM$193&gt;='Tax Tables'!AM$243,('Tax Tables'!AM$243-'Tax Tables'!AM$242)*'Tax Tables'!AM$244,0))),IF(AND(AM$193&gt;='Tax Tables'!AM$242,AM$193&lt;='Tax Tables'!AM$243),(AM$193-'Tax Tables'!AM$242)*'Tax Tables'!AM$244,IF(AM$193&gt;='Tax Tables'!AM$243,('Tax Tables'!AM$243-'Tax Tables'!AM$242)*'Tax Tables'!AM$244,0))),0)/Round_To,0)*Round_To</f>
        <v>0</v>
      </c>
      <c r="AN200" s="1124">
        <f>ROUND(IF(Exclude_Taxes="n",IF(Filing_Status="m",IF(OR(AN$7&lt;Single_Rate_Start,Single_Rate_Start=""),IF(AND(AN$193&gt;='Tax Tables'!AN$163,AN$193&lt;='Tax Tables'!AN$164),(AN$193-'Tax Tables'!AN$163)*'Tax Tables'!AN$165,IF(AN$193&gt;='Tax Tables'!AN$164,('Tax Tables'!AN$164-'Tax Tables'!AN$163)*'Tax Tables'!AN$165,0)),IF(AND(AN$193&gt;='Tax Tables'!AN$242,AN$193&lt;='Tax Tables'!AN$243),(AN$193-'Tax Tables'!AN$242)*'Tax Tables'!AN$244,IF(AN$193&gt;='Tax Tables'!AN$243,('Tax Tables'!AN$243-'Tax Tables'!AN$242)*'Tax Tables'!AN$244,0))),IF(AND(AN$193&gt;='Tax Tables'!AN$242,AN$193&lt;='Tax Tables'!AN$243),(AN$193-'Tax Tables'!AN$242)*'Tax Tables'!AN$244,IF(AN$193&gt;='Tax Tables'!AN$243,('Tax Tables'!AN$243-'Tax Tables'!AN$242)*'Tax Tables'!AN$244,0))),0)/Round_To,0)*Round_To</f>
        <v>0</v>
      </c>
      <c r="AO200" s="1124">
        <f>ROUND(IF(Exclude_Taxes="n",IF(Filing_Status="m",IF(OR(AO$7&lt;Single_Rate_Start,Single_Rate_Start=""),IF(AND(AO$193&gt;='Tax Tables'!AO$163,AO$193&lt;='Tax Tables'!AO$164),(AO$193-'Tax Tables'!AO$163)*'Tax Tables'!AO$165,IF(AO$193&gt;='Tax Tables'!AO$164,('Tax Tables'!AO$164-'Tax Tables'!AO$163)*'Tax Tables'!AO$165,0)),IF(AND(AO$193&gt;='Tax Tables'!AO$242,AO$193&lt;='Tax Tables'!AO$243),(AO$193-'Tax Tables'!AO$242)*'Tax Tables'!AO$244,IF(AO$193&gt;='Tax Tables'!AO$243,('Tax Tables'!AO$243-'Tax Tables'!AO$242)*'Tax Tables'!AO$244,0))),IF(AND(AO$193&gt;='Tax Tables'!AO$242,AO$193&lt;='Tax Tables'!AO$243),(AO$193-'Tax Tables'!AO$242)*'Tax Tables'!AO$244,IF(AO$193&gt;='Tax Tables'!AO$243,('Tax Tables'!AO$243-'Tax Tables'!AO$242)*'Tax Tables'!AO$244,0))),0)/Round_To,0)*Round_To</f>
        <v>0</v>
      </c>
      <c r="AP200" s="1124">
        <f>ROUND(IF(Exclude_Taxes="n",IF(Filing_Status="m",IF(OR(AP$7&lt;Single_Rate_Start,Single_Rate_Start=""),IF(AND(AP$193&gt;='Tax Tables'!AP$163,AP$193&lt;='Tax Tables'!AP$164),(AP$193-'Tax Tables'!AP$163)*'Tax Tables'!AP$165,IF(AP$193&gt;='Tax Tables'!AP$164,('Tax Tables'!AP$164-'Tax Tables'!AP$163)*'Tax Tables'!AP$165,0)),IF(AND(AP$193&gt;='Tax Tables'!AP$242,AP$193&lt;='Tax Tables'!AP$243),(AP$193-'Tax Tables'!AP$242)*'Tax Tables'!AP$244,IF(AP$193&gt;='Tax Tables'!AP$243,('Tax Tables'!AP$243-'Tax Tables'!AP$242)*'Tax Tables'!AP$244,0))),IF(AND(AP$193&gt;='Tax Tables'!AP$242,AP$193&lt;='Tax Tables'!AP$243),(AP$193-'Tax Tables'!AP$242)*'Tax Tables'!AP$244,IF(AP$193&gt;='Tax Tables'!AP$243,('Tax Tables'!AP$243-'Tax Tables'!AP$242)*'Tax Tables'!AP$244,0))),0)/Round_To,0)*Round_To</f>
        <v>0</v>
      </c>
      <c r="AQ200" s="1124">
        <f>ROUND(IF(Exclude_Taxes="n",IF(Filing_Status="m",IF(OR(AQ$7&lt;Single_Rate_Start,Single_Rate_Start=""),IF(AND(AQ$193&gt;='Tax Tables'!AQ$163,AQ$193&lt;='Tax Tables'!AQ$164),(AQ$193-'Tax Tables'!AQ$163)*'Tax Tables'!AQ$165,IF(AQ$193&gt;='Tax Tables'!AQ$164,('Tax Tables'!AQ$164-'Tax Tables'!AQ$163)*'Tax Tables'!AQ$165,0)),IF(AND(AQ$193&gt;='Tax Tables'!AQ$242,AQ$193&lt;='Tax Tables'!AQ$243),(AQ$193-'Tax Tables'!AQ$242)*'Tax Tables'!AQ$244,IF(AQ$193&gt;='Tax Tables'!AQ$243,('Tax Tables'!AQ$243-'Tax Tables'!AQ$242)*'Tax Tables'!AQ$244,0))),IF(AND(AQ$193&gt;='Tax Tables'!AQ$242,AQ$193&lt;='Tax Tables'!AQ$243),(AQ$193-'Tax Tables'!AQ$242)*'Tax Tables'!AQ$244,IF(AQ$193&gt;='Tax Tables'!AQ$243,('Tax Tables'!AQ$243-'Tax Tables'!AQ$242)*'Tax Tables'!AQ$244,0))),0)/Round_To,0)*Round_To</f>
        <v>0</v>
      </c>
      <c r="AR200" s="1124">
        <f>ROUND(IF(Exclude_Taxes="n",IF(Filing_Status="m",IF(OR(AR$7&lt;Single_Rate_Start,Single_Rate_Start=""),IF(AND(AR$193&gt;='Tax Tables'!AR$163,AR$193&lt;='Tax Tables'!AR$164),(AR$193-'Tax Tables'!AR$163)*'Tax Tables'!AR$165,IF(AR$193&gt;='Tax Tables'!AR$164,('Tax Tables'!AR$164-'Tax Tables'!AR$163)*'Tax Tables'!AR$165,0)),IF(AND(AR$193&gt;='Tax Tables'!AR$242,AR$193&lt;='Tax Tables'!AR$243),(AR$193-'Tax Tables'!AR$242)*'Tax Tables'!AR$244,IF(AR$193&gt;='Tax Tables'!AR$243,('Tax Tables'!AR$243-'Tax Tables'!AR$242)*'Tax Tables'!AR$244,0))),IF(AND(AR$193&gt;='Tax Tables'!AR$242,AR$193&lt;='Tax Tables'!AR$243),(AR$193-'Tax Tables'!AR$242)*'Tax Tables'!AR$244,IF(AR$193&gt;='Tax Tables'!AR$243,('Tax Tables'!AR$243-'Tax Tables'!AR$242)*'Tax Tables'!AR$244,0))),0)/Round_To,0)*Round_To</f>
        <v>0</v>
      </c>
      <c r="AS200" s="1124">
        <f>ROUND(IF(Exclude_Taxes="n",IF(Filing_Status="m",IF(OR(AS$7&lt;Single_Rate_Start,Single_Rate_Start=""),IF(AND(AS$193&gt;='Tax Tables'!AS$163,AS$193&lt;='Tax Tables'!AS$164),(AS$193-'Tax Tables'!AS$163)*'Tax Tables'!AS$165,IF(AS$193&gt;='Tax Tables'!AS$164,('Tax Tables'!AS$164-'Tax Tables'!AS$163)*'Tax Tables'!AS$165,0)),IF(AND(AS$193&gt;='Tax Tables'!AS$242,AS$193&lt;='Tax Tables'!AS$243),(AS$193-'Tax Tables'!AS$242)*'Tax Tables'!AS$244,IF(AS$193&gt;='Tax Tables'!AS$243,('Tax Tables'!AS$243-'Tax Tables'!AS$242)*'Tax Tables'!AS$244,0))),IF(AND(AS$193&gt;='Tax Tables'!AS$242,AS$193&lt;='Tax Tables'!AS$243),(AS$193-'Tax Tables'!AS$242)*'Tax Tables'!AS$244,IF(AS$193&gt;='Tax Tables'!AS$243,('Tax Tables'!AS$243-'Tax Tables'!AS$242)*'Tax Tables'!AS$244,0))),0)/Round_To,0)*Round_To</f>
        <v>0</v>
      </c>
      <c r="AT200" s="3"/>
      <c r="AU200" s="102">
        <f>+Details!E200</f>
        <v>0</v>
      </c>
      <c r="AV200" s="103">
        <f t="shared" si="163"/>
        <v>0</v>
      </c>
      <c r="AW200" s="102"/>
      <c r="AY200" s="31">
        <f>+Details!F200-Base!F200</f>
        <v>0</v>
      </c>
      <c r="AZ200" s="1124">
        <f>+Details!G200-Base!G200</f>
        <v>0</v>
      </c>
      <c r="BA200" s="1124">
        <f>+Details!H200-Base!H200</f>
        <v>0</v>
      </c>
      <c r="BB200" s="1124">
        <f>+Details!I200-Base!I200</f>
        <v>0</v>
      </c>
      <c r="BC200" s="1124">
        <f>+Details!J200-Base!J200</f>
        <v>0</v>
      </c>
      <c r="BD200" s="1124">
        <f>+Details!K200-Base!K200</f>
        <v>0</v>
      </c>
      <c r="BE200" s="1124">
        <f>+Details!L200-Base!L200</f>
        <v>0</v>
      </c>
      <c r="BF200" s="1124">
        <f>+Details!M200-Base!M200</f>
        <v>0</v>
      </c>
      <c r="BG200" s="1124">
        <f>+Details!N200-Base!N200</f>
        <v>0</v>
      </c>
      <c r="BH200" s="1124">
        <f>+Details!O200-Base!O200</f>
        <v>0</v>
      </c>
      <c r="BI200" s="1124">
        <f>+Details!P200-Base!P200</f>
        <v>0</v>
      </c>
      <c r="BJ200" s="1124">
        <f>+Details!Q200-Base!Q200</f>
        <v>0</v>
      </c>
      <c r="BK200" s="1124">
        <f>+Details!R200-Base!R200</f>
        <v>0</v>
      </c>
      <c r="BL200" s="1124">
        <f>+Details!S200-Base!S200</f>
        <v>0</v>
      </c>
      <c r="BM200" s="1124">
        <f>+Details!T200-Base!T200</f>
        <v>0</v>
      </c>
      <c r="BN200" s="1124">
        <f>+Details!U200-Base!U200</f>
        <v>0</v>
      </c>
      <c r="BO200" s="1124">
        <f>+Details!V200-Base!V200</f>
        <v>0</v>
      </c>
      <c r="BP200" s="1124">
        <f>+Details!W200-Base!W200</f>
        <v>0</v>
      </c>
      <c r="BQ200" s="1124">
        <f>+Details!X200-Base!X200</f>
        <v>0</v>
      </c>
      <c r="BR200" s="1124">
        <f>+Details!Y200-Base!Y200</f>
        <v>0</v>
      </c>
      <c r="BS200" s="1124">
        <f>+Details!Z200-Base!Z200</f>
        <v>0</v>
      </c>
      <c r="BT200" s="1124">
        <f>+Details!AA200-Base!AA200</f>
        <v>0</v>
      </c>
      <c r="BU200" s="1124">
        <f>+Details!AB200-Base!AB200</f>
        <v>0</v>
      </c>
      <c r="BV200" s="1124">
        <f>+Details!AC200-Base!AC200</f>
        <v>0</v>
      </c>
      <c r="BW200" s="1124">
        <f>+Details!AD200-Base!AD200</f>
        <v>0</v>
      </c>
      <c r="BX200" s="1124">
        <f>+Details!AE200-Base!AE200</f>
        <v>0</v>
      </c>
      <c r="BY200" s="1124">
        <f>+Details!AF200-Base!AF200</f>
        <v>0</v>
      </c>
      <c r="BZ200" s="1124">
        <f>+Details!AG200-Base!AG200</f>
        <v>0</v>
      </c>
      <c r="CA200" s="1124">
        <f>+Details!AH200-Base!AH200</f>
        <v>0</v>
      </c>
      <c r="CB200" s="1124">
        <f>+Details!AI200-Base!AI200</f>
        <v>0</v>
      </c>
      <c r="CC200" s="1124">
        <f>+Details!AJ200-Base!AJ200</f>
        <v>0</v>
      </c>
      <c r="CD200" s="1124">
        <f>+Details!AK200-Base!AK200</f>
        <v>0</v>
      </c>
      <c r="CE200" s="1124">
        <f>+Details!AL200-Base!AL200</f>
        <v>0</v>
      </c>
      <c r="CF200" s="1124">
        <f>+Details!AM200-Base!AM200</f>
        <v>0</v>
      </c>
      <c r="CG200" s="1124">
        <f>+Details!AN200-Base!AN200</f>
        <v>0</v>
      </c>
      <c r="CH200" s="1124">
        <f>+Details!AO200-Base!AO200</f>
        <v>0</v>
      </c>
      <c r="CI200" s="1124">
        <f>+Details!AP200-Base!AP200</f>
        <v>0</v>
      </c>
      <c r="CJ200" s="1124">
        <f>+Details!AQ200-Base!AQ200</f>
        <v>0</v>
      </c>
      <c r="CK200" s="1124">
        <f>+Details!AR200-Base!AR200</f>
        <v>0</v>
      </c>
      <c r="CL200" s="1124">
        <f>+Details!AS200-Base!AS200</f>
        <v>0</v>
      </c>
      <c r="CM200" s="103"/>
    </row>
    <row r="201" spans="1:91" hidden="1">
      <c r="A201" s="1427" t="s">
        <v>1578</v>
      </c>
      <c r="B201" s="425"/>
      <c r="C201" s="425" t="str">
        <f>IF(Tax_Rates_Alt="y",IF(Filing_Status="m",Setup!$E$239,Setup!$H$239),"")</f>
        <v/>
      </c>
      <c r="D201" s="1435">
        <f>IF(Filing_Status="m",Setup!$D239,Setup!$G239)</f>
        <v>0.37</v>
      </c>
      <c r="E201" s="34">
        <f t="shared" si="162"/>
        <v>0</v>
      </c>
      <c r="F201" s="127">
        <f>ROUND(IF(Exclude_Taxes="n",IF(Filing_Status="m",IF(OR(F$7&lt;Single_Rate_Start,Single_Rate_Start=""),IF(F$193&gt;='Tax Tables'!F$168,(F$193-'Tax Tables'!F$168)*'Tax Tables'!F$169,0),IF(F$193&gt;='Tax Tables'!F$247,(F$193-'Tax Tables'!F$247)*'Tax Tables'!F$248,0)),IF(F$193&gt;='Tax Tables'!F$247,(F$193-'Tax Tables'!F$247)*'Tax Tables'!F$248,0)),0)/Round_To,0)*Round_To</f>
        <v>0</v>
      </c>
      <c r="G201" s="1125">
        <f>ROUND(IF(Exclude_Taxes="n",IF(Filing_Status="m",IF(OR(G$7&lt;Single_Rate_Start,Single_Rate_Start=""),IF(G$193&gt;='Tax Tables'!G$168,(G$193-'Tax Tables'!G$168)*'Tax Tables'!G$169,0),IF(G$193&gt;='Tax Tables'!G$247,(G$193-'Tax Tables'!G$247)*'Tax Tables'!G$248,0)),IF(G$193&gt;='Tax Tables'!G$247,(G$193-'Tax Tables'!G$247)*'Tax Tables'!G$248,0)),0)/Round_To,0)*Round_To</f>
        <v>0</v>
      </c>
      <c r="H201" s="1125">
        <f>ROUND(IF(Exclude_Taxes="n",IF(Filing_Status="m",IF(OR(H$7&lt;Single_Rate_Start,Single_Rate_Start=""),IF(H$193&gt;='Tax Tables'!H$168,(H$193-'Tax Tables'!H$168)*'Tax Tables'!H$169,0),IF(H$193&gt;='Tax Tables'!H$247,(H$193-'Tax Tables'!H$247)*'Tax Tables'!H$248,0)),IF(H$193&gt;='Tax Tables'!H$247,(H$193-'Tax Tables'!H$247)*'Tax Tables'!H$248,0)),0)/Round_To,0)*Round_To</f>
        <v>0</v>
      </c>
      <c r="I201" s="1125">
        <f>ROUND(IF(Exclude_Taxes="n",IF(Filing_Status="m",IF(OR(I$7&lt;Single_Rate_Start,Single_Rate_Start=""),IF(I$193&gt;='Tax Tables'!I$168,(I$193-'Tax Tables'!I$168)*'Tax Tables'!I$169,0),IF(I$193&gt;='Tax Tables'!I$247,(I$193-'Tax Tables'!I$247)*'Tax Tables'!I$248,0)),IF(I$193&gt;='Tax Tables'!I$247,(I$193-'Tax Tables'!I$247)*'Tax Tables'!I$248,0)),0)/Round_To,0)*Round_To</f>
        <v>0</v>
      </c>
      <c r="J201" s="1125">
        <f>ROUND(IF(Exclude_Taxes="n",IF(Filing_Status="m",IF(OR(J$7&lt;Single_Rate_Start,Single_Rate_Start=""),IF(J$193&gt;='Tax Tables'!J$168,(J$193-'Tax Tables'!J$168)*'Tax Tables'!J$169,0),IF(J$193&gt;='Tax Tables'!J$247,(J$193-'Tax Tables'!J$247)*'Tax Tables'!J$248,0)),IF(J$193&gt;='Tax Tables'!J$247,(J$193-'Tax Tables'!J$247)*'Tax Tables'!J$248,0)),0)/Round_To,0)*Round_To</f>
        <v>0</v>
      </c>
      <c r="K201" s="1125">
        <f>ROUND(IF(Exclude_Taxes="n",IF(Filing_Status="m",IF(OR(K$7&lt;Single_Rate_Start,Single_Rate_Start=""),IF(K$193&gt;='Tax Tables'!K$168,(K$193-'Tax Tables'!K$168)*'Tax Tables'!K$169,0),IF(K$193&gt;='Tax Tables'!K$247,(K$193-'Tax Tables'!K$247)*'Tax Tables'!K$248,0)),IF(K$193&gt;='Tax Tables'!K$247,(K$193-'Tax Tables'!K$247)*'Tax Tables'!K$248,0)),0)/Round_To,0)*Round_To</f>
        <v>0</v>
      </c>
      <c r="L201" s="1125">
        <f>ROUND(IF(Exclude_Taxes="n",IF(Filing_Status="m",IF(OR(L$7&lt;Single_Rate_Start,Single_Rate_Start=""),IF(L$193&gt;='Tax Tables'!L$168,(L$193-'Tax Tables'!L$168)*'Tax Tables'!L$169,0),IF(L$193&gt;='Tax Tables'!L$247,(L$193-'Tax Tables'!L$247)*'Tax Tables'!L$248,0)),IF(L$193&gt;='Tax Tables'!L$247,(L$193-'Tax Tables'!L$247)*'Tax Tables'!L$248,0)),0)/Round_To,0)*Round_To</f>
        <v>0</v>
      </c>
      <c r="M201" s="1125">
        <f>ROUND(IF(Exclude_Taxes="n",IF(Filing_Status="m",IF(OR(M$7&lt;Single_Rate_Start,Single_Rate_Start=""),IF(M$193&gt;='Tax Tables'!M$168,(M$193-'Tax Tables'!M$168)*'Tax Tables'!M$169,0),IF(M$193&gt;='Tax Tables'!M$247,(M$193-'Tax Tables'!M$247)*'Tax Tables'!M$248,0)),IF(M$193&gt;='Tax Tables'!M$247,(M$193-'Tax Tables'!M$247)*'Tax Tables'!M$248,0)),0)/Round_To,0)*Round_To</f>
        <v>0</v>
      </c>
      <c r="N201" s="1125">
        <f>ROUND(IF(Exclude_Taxes="n",IF(Filing_Status="m",IF(OR(N$7&lt;Single_Rate_Start,Single_Rate_Start=""),IF(N$193&gt;='Tax Tables'!N$168,(N$193-'Tax Tables'!N$168)*'Tax Tables'!N$169,0),IF(N$193&gt;='Tax Tables'!N$247,(N$193-'Tax Tables'!N$247)*'Tax Tables'!N$248,0)),IF(N$193&gt;='Tax Tables'!N$247,(N$193-'Tax Tables'!N$247)*'Tax Tables'!N$248,0)),0)/Round_To,0)*Round_To</f>
        <v>0</v>
      </c>
      <c r="O201" s="1125">
        <f>ROUND(IF(Exclude_Taxes="n",IF(Filing_Status="m",IF(OR(O$7&lt;Single_Rate_Start,Single_Rate_Start=""),IF(O$193&gt;='Tax Tables'!O$168,(O$193-'Tax Tables'!O$168)*'Tax Tables'!O$169,0),IF(O$193&gt;='Tax Tables'!O$247,(O$193-'Tax Tables'!O$247)*'Tax Tables'!O$248,0)),IF(O$193&gt;='Tax Tables'!O$247,(O$193-'Tax Tables'!O$247)*'Tax Tables'!O$248,0)),0)/Round_To,0)*Round_To</f>
        <v>0</v>
      </c>
      <c r="P201" s="1125">
        <f>ROUND(IF(Exclude_Taxes="n",IF(Filing_Status="m",IF(OR(P$7&lt;Single_Rate_Start,Single_Rate_Start=""),IF(P$193&gt;='Tax Tables'!P$168,(P$193-'Tax Tables'!P$168)*'Tax Tables'!P$169,0),IF(P$193&gt;='Tax Tables'!P$247,(P$193-'Tax Tables'!P$247)*'Tax Tables'!P$248,0)),IF(P$193&gt;='Tax Tables'!P$247,(P$193-'Tax Tables'!P$247)*'Tax Tables'!P$248,0)),0)/Round_To,0)*Round_To</f>
        <v>0</v>
      </c>
      <c r="Q201" s="1125">
        <f>ROUND(IF(Exclude_Taxes="n",IF(Filing_Status="m",IF(OR(Q$7&lt;Single_Rate_Start,Single_Rate_Start=""),IF(Q$193&gt;='Tax Tables'!Q$168,(Q$193-'Tax Tables'!Q$168)*'Tax Tables'!Q$169,0),IF(Q$193&gt;='Tax Tables'!Q$247,(Q$193-'Tax Tables'!Q$247)*'Tax Tables'!Q$248,0)),IF(Q$193&gt;='Tax Tables'!Q$247,(Q$193-'Tax Tables'!Q$247)*'Tax Tables'!Q$248,0)),0)/Round_To,0)*Round_To</f>
        <v>0</v>
      </c>
      <c r="R201" s="1125">
        <f>ROUND(IF(Exclude_Taxes="n",IF(Filing_Status="m",IF(OR(R$7&lt;Single_Rate_Start,Single_Rate_Start=""),IF(R$193&gt;='Tax Tables'!R$168,(R$193-'Tax Tables'!R$168)*'Tax Tables'!R$169,0),IF(R$193&gt;='Tax Tables'!R$247,(R$193-'Tax Tables'!R$247)*'Tax Tables'!R$248,0)),IF(R$193&gt;='Tax Tables'!R$247,(R$193-'Tax Tables'!R$247)*'Tax Tables'!R$248,0)),0)/Round_To,0)*Round_To</f>
        <v>0</v>
      </c>
      <c r="S201" s="1125">
        <f>ROUND(IF(Exclude_Taxes="n",IF(Filing_Status="m",IF(OR(S$7&lt;Single_Rate_Start,Single_Rate_Start=""),IF(S$193&gt;='Tax Tables'!S$168,(S$193-'Tax Tables'!S$168)*'Tax Tables'!S$169,0),IF(S$193&gt;='Tax Tables'!S$247,(S$193-'Tax Tables'!S$247)*'Tax Tables'!S$248,0)),IF(S$193&gt;='Tax Tables'!S$247,(S$193-'Tax Tables'!S$247)*'Tax Tables'!S$248,0)),0)/Round_To,0)*Round_To</f>
        <v>0</v>
      </c>
      <c r="T201" s="1125">
        <f>ROUND(IF(Exclude_Taxes="n",IF(Filing_Status="m",IF(OR(T$7&lt;Single_Rate_Start,Single_Rate_Start=""),IF(T$193&gt;='Tax Tables'!T$168,(T$193-'Tax Tables'!T$168)*'Tax Tables'!T$169,0),IF(T$193&gt;='Tax Tables'!T$247,(T$193-'Tax Tables'!T$247)*'Tax Tables'!T$248,0)),IF(T$193&gt;='Tax Tables'!T$247,(T$193-'Tax Tables'!T$247)*'Tax Tables'!T$248,0)),0)/Round_To,0)*Round_To</f>
        <v>0</v>
      </c>
      <c r="U201" s="1125">
        <f>ROUND(IF(Exclude_Taxes="n",IF(Filing_Status="m",IF(OR(U$7&lt;Single_Rate_Start,Single_Rate_Start=""),IF(U$193&gt;='Tax Tables'!U$168,(U$193-'Tax Tables'!U$168)*'Tax Tables'!U$169,0),IF(U$193&gt;='Tax Tables'!U$247,(U$193-'Tax Tables'!U$247)*'Tax Tables'!U$248,0)),IF(U$193&gt;='Tax Tables'!U$247,(U$193-'Tax Tables'!U$247)*'Tax Tables'!U$248,0)),0)/Round_To,0)*Round_To</f>
        <v>0</v>
      </c>
      <c r="V201" s="1125">
        <f>ROUND(IF(Exclude_Taxes="n",IF(Filing_Status="m",IF(OR(V$7&lt;Single_Rate_Start,Single_Rate_Start=""),IF(V$193&gt;='Tax Tables'!V$168,(V$193-'Tax Tables'!V$168)*'Tax Tables'!V$169,0),IF(V$193&gt;='Tax Tables'!V$247,(V$193-'Tax Tables'!V$247)*'Tax Tables'!V$248,0)),IF(V$193&gt;='Tax Tables'!V$247,(V$193-'Tax Tables'!V$247)*'Tax Tables'!V$248,0)),0)/Round_To,0)*Round_To</f>
        <v>0</v>
      </c>
      <c r="W201" s="1125">
        <f>ROUND(IF(Exclude_Taxes="n",IF(Filing_Status="m",IF(OR(W$7&lt;Single_Rate_Start,Single_Rate_Start=""),IF(W$193&gt;='Tax Tables'!W$168,(W$193-'Tax Tables'!W$168)*'Tax Tables'!W$169,0),IF(W$193&gt;='Tax Tables'!W$247,(W$193-'Tax Tables'!W$247)*'Tax Tables'!W$248,0)),IF(W$193&gt;='Tax Tables'!W$247,(W$193-'Tax Tables'!W$247)*'Tax Tables'!W$248,0)),0)/Round_To,0)*Round_To</f>
        <v>0</v>
      </c>
      <c r="X201" s="1125">
        <f>ROUND(IF(Exclude_Taxes="n",IF(Filing_Status="m",IF(OR(X$7&lt;Single_Rate_Start,Single_Rate_Start=""),IF(X$193&gt;='Tax Tables'!X$168,(X$193-'Tax Tables'!X$168)*'Tax Tables'!X$169,0),IF(X$193&gt;='Tax Tables'!X$247,(X$193-'Tax Tables'!X$247)*'Tax Tables'!X$248,0)),IF(X$193&gt;='Tax Tables'!X$247,(X$193-'Tax Tables'!X$247)*'Tax Tables'!X$248,0)),0)/Round_To,0)*Round_To</f>
        <v>0</v>
      </c>
      <c r="Y201" s="1125">
        <f>ROUND(IF(Exclude_Taxes="n",IF(Filing_Status="m",IF(OR(Y$7&lt;Single_Rate_Start,Single_Rate_Start=""),IF(Y$193&gt;='Tax Tables'!Y$168,(Y$193-'Tax Tables'!Y$168)*'Tax Tables'!Y$169,0),IF(Y$193&gt;='Tax Tables'!Y$247,(Y$193-'Tax Tables'!Y$247)*'Tax Tables'!Y$248,0)),IF(Y$193&gt;='Tax Tables'!Y$247,(Y$193-'Tax Tables'!Y$247)*'Tax Tables'!Y$248,0)),0)/Round_To,0)*Round_To</f>
        <v>0</v>
      </c>
      <c r="Z201" s="1125">
        <f>ROUND(IF(Exclude_Taxes="n",IF(Filing_Status="m",IF(OR(Z$7&lt;Single_Rate_Start,Single_Rate_Start=""),IF(Z$193&gt;='Tax Tables'!Z$168,(Z$193-'Tax Tables'!Z$168)*'Tax Tables'!Z$169,0),IF(Z$193&gt;='Tax Tables'!Z$247,(Z$193-'Tax Tables'!Z$247)*'Tax Tables'!Z$248,0)),IF(Z$193&gt;='Tax Tables'!Z$247,(Z$193-'Tax Tables'!Z$247)*'Tax Tables'!Z$248,0)),0)/Round_To,0)*Round_To</f>
        <v>0</v>
      </c>
      <c r="AA201" s="1125">
        <f>ROUND(IF(Exclude_Taxes="n",IF(Filing_Status="m",IF(OR(AA$7&lt;Single_Rate_Start,Single_Rate_Start=""),IF(AA$193&gt;='Tax Tables'!AA$168,(AA$193-'Tax Tables'!AA$168)*'Tax Tables'!AA$169,0),IF(AA$193&gt;='Tax Tables'!AA$247,(AA$193-'Tax Tables'!AA$247)*'Tax Tables'!AA$248,0)),IF(AA$193&gt;='Tax Tables'!AA$247,(AA$193-'Tax Tables'!AA$247)*'Tax Tables'!AA$248,0)),0)/Round_To,0)*Round_To</f>
        <v>0</v>
      </c>
      <c r="AB201" s="1125">
        <f>ROUND(IF(Exclude_Taxes="n",IF(Filing_Status="m",IF(OR(AB$7&lt;Single_Rate_Start,Single_Rate_Start=""),IF(AB$193&gt;='Tax Tables'!AB$168,(AB$193-'Tax Tables'!AB$168)*'Tax Tables'!AB$169,0),IF(AB$193&gt;='Tax Tables'!AB$247,(AB$193-'Tax Tables'!AB$247)*'Tax Tables'!AB$248,0)),IF(AB$193&gt;='Tax Tables'!AB$247,(AB$193-'Tax Tables'!AB$247)*'Tax Tables'!AB$248,0)),0)/Round_To,0)*Round_To</f>
        <v>0</v>
      </c>
      <c r="AC201" s="1125">
        <f>ROUND(IF(Exclude_Taxes="n",IF(Filing_Status="m",IF(OR(AC$7&lt;Single_Rate_Start,Single_Rate_Start=""),IF(AC$193&gt;='Tax Tables'!AC$168,(AC$193-'Tax Tables'!AC$168)*'Tax Tables'!AC$169,0),IF(AC$193&gt;='Tax Tables'!AC$247,(AC$193-'Tax Tables'!AC$247)*'Tax Tables'!AC$248,0)),IF(AC$193&gt;='Tax Tables'!AC$247,(AC$193-'Tax Tables'!AC$247)*'Tax Tables'!AC$248,0)),0)/Round_To,0)*Round_To</f>
        <v>0</v>
      </c>
      <c r="AD201" s="1125">
        <f>ROUND(IF(Exclude_Taxes="n",IF(Filing_Status="m",IF(OR(AD$7&lt;Single_Rate_Start,Single_Rate_Start=""),IF(AD$193&gt;='Tax Tables'!AD$168,(AD$193-'Tax Tables'!AD$168)*'Tax Tables'!AD$169,0),IF(AD$193&gt;='Tax Tables'!AD$247,(AD$193-'Tax Tables'!AD$247)*'Tax Tables'!AD$248,0)),IF(AD$193&gt;='Tax Tables'!AD$247,(AD$193-'Tax Tables'!AD$247)*'Tax Tables'!AD$248,0)),0)/Round_To,0)*Round_To</f>
        <v>0</v>
      </c>
      <c r="AE201" s="1125">
        <f>ROUND(IF(Exclude_Taxes="n",IF(Filing_Status="m",IF(OR(AE$7&lt;Single_Rate_Start,Single_Rate_Start=""),IF(AE$193&gt;='Tax Tables'!AE$168,(AE$193-'Tax Tables'!AE$168)*'Tax Tables'!AE$169,0),IF(AE$193&gt;='Tax Tables'!AE$247,(AE$193-'Tax Tables'!AE$247)*'Tax Tables'!AE$248,0)),IF(AE$193&gt;='Tax Tables'!AE$247,(AE$193-'Tax Tables'!AE$247)*'Tax Tables'!AE$248,0)),0)/Round_To,0)*Round_To</f>
        <v>0</v>
      </c>
      <c r="AF201" s="1125">
        <f>ROUND(IF(Exclude_Taxes="n",IF(Filing_Status="m",IF(OR(AF$7&lt;Single_Rate_Start,Single_Rate_Start=""),IF(AF$193&gt;='Tax Tables'!AF$168,(AF$193-'Tax Tables'!AF$168)*'Tax Tables'!AF$169,0),IF(AF$193&gt;='Tax Tables'!AF$247,(AF$193-'Tax Tables'!AF$247)*'Tax Tables'!AF$248,0)),IF(AF$193&gt;='Tax Tables'!AF$247,(AF$193-'Tax Tables'!AF$247)*'Tax Tables'!AF$248,0)),0)/Round_To,0)*Round_To</f>
        <v>0</v>
      </c>
      <c r="AG201" s="1125">
        <f>ROUND(IF(Exclude_Taxes="n",IF(Filing_Status="m",IF(OR(AG$7&lt;Single_Rate_Start,Single_Rate_Start=""),IF(AG$193&gt;='Tax Tables'!AG$168,(AG$193-'Tax Tables'!AG$168)*'Tax Tables'!AG$169,0),IF(AG$193&gt;='Tax Tables'!AG$247,(AG$193-'Tax Tables'!AG$247)*'Tax Tables'!AG$248,0)),IF(AG$193&gt;='Tax Tables'!AG$247,(AG$193-'Tax Tables'!AG$247)*'Tax Tables'!AG$248,0)),0)/Round_To,0)*Round_To</f>
        <v>0</v>
      </c>
      <c r="AH201" s="1125">
        <f>ROUND(IF(Exclude_Taxes="n",IF(Filing_Status="m",IF(OR(AH$7&lt;Single_Rate_Start,Single_Rate_Start=""),IF(AH$193&gt;='Tax Tables'!AH$168,(AH$193-'Tax Tables'!AH$168)*'Tax Tables'!AH$169,0),IF(AH$193&gt;='Tax Tables'!AH$247,(AH$193-'Tax Tables'!AH$247)*'Tax Tables'!AH$248,0)),IF(AH$193&gt;='Tax Tables'!AH$247,(AH$193-'Tax Tables'!AH$247)*'Tax Tables'!AH$248,0)),0)/Round_To,0)*Round_To</f>
        <v>0</v>
      </c>
      <c r="AI201" s="1125">
        <f>ROUND(IF(Exclude_Taxes="n",IF(Filing_Status="m",IF(OR(AI$7&lt;Single_Rate_Start,Single_Rate_Start=""),IF(AI$193&gt;='Tax Tables'!AI$168,(AI$193-'Tax Tables'!AI$168)*'Tax Tables'!AI$169,0),IF(AI$193&gt;='Tax Tables'!AI$247,(AI$193-'Tax Tables'!AI$247)*'Tax Tables'!AI$248,0)),IF(AI$193&gt;='Tax Tables'!AI$247,(AI$193-'Tax Tables'!AI$247)*'Tax Tables'!AI$248,0)),0)/Round_To,0)*Round_To</f>
        <v>0</v>
      </c>
      <c r="AJ201" s="1125">
        <f>ROUND(IF(Exclude_Taxes="n",IF(Filing_Status="m",IF(OR(AJ$7&lt;Single_Rate_Start,Single_Rate_Start=""),IF(AJ$193&gt;='Tax Tables'!AJ$168,(AJ$193-'Tax Tables'!AJ$168)*'Tax Tables'!AJ$169,0),IF(AJ$193&gt;='Tax Tables'!AJ$247,(AJ$193-'Tax Tables'!AJ$247)*'Tax Tables'!AJ$248,0)),IF(AJ$193&gt;='Tax Tables'!AJ$247,(AJ$193-'Tax Tables'!AJ$247)*'Tax Tables'!AJ$248,0)),0)/Round_To,0)*Round_To</f>
        <v>0</v>
      </c>
      <c r="AK201" s="1125">
        <f>ROUND(IF(Exclude_Taxes="n",IF(Filing_Status="m",IF(OR(AK$7&lt;Single_Rate_Start,Single_Rate_Start=""),IF(AK$193&gt;='Tax Tables'!AK$168,(AK$193-'Tax Tables'!AK$168)*'Tax Tables'!AK$169,0),IF(AK$193&gt;='Tax Tables'!AK$247,(AK$193-'Tax Tables'!AK$247)*'Tax Tables'!AK$248,0)),IF(AK$193&gt;='Tax Tables'!AK$247,(AK$193-'Tax Tables'!AK$247)*'Tax Tables'!AK$248,0)),0)/Round_To,0)*Round_To</f>
        <v>0</v>
      </c>
      <c r="AL201" s="1125">
        <f>ROUND(IF(Exclude_Taxes="n",IF(Filing_Status="m",IF(OR(AL$7&lt;Single_Rate_Start,Single_Rate_Start=""),IF(AL$193&gt;='Tax Tables'!AL$168,(AL$193-'Tax Tables'!AL$168)*'Tax Tables'!AL$169,0),IF(AL$193&gt;='Tax Tables'!AL$247,(AL$193-'Tax Tables'!AL$247)*'Tax Tables'!AL$248,0)),IF(AL$193&gt;='Tax Tables'!AL$247,(AL$193-'Tax Tables'!AL$247)*'Tax Tables'!AL$248,0)),0)/Round_To,0)*Round_To</f>
        <v>0</v>
      </c>
      <c r="AM201" s="1125">
        <f>ROUND(IF(Exclude_Taxes="n",IF(Filing_Status="m",IF(OR(AM$7&lt;Single_Rate_Start,Single_Rate_Start=""),IF(AM$193&gt;='Tax Tables'!AM$168,(AM$193-'Tax Tables'!AM$168)*'Tax Tables'!AM$169,0),IF(AM$193&gt;='Tax Tables'!AM$247,(AM$193-'Tax Tables'!AM$247)*'Tax Tables'!AM$248,0)),IF(AM$193&gt;='Tax Tables'!AM$247,(AM$193-'Tax Tables'!AM$247)*'Tax Tables'!AM$248,0)),0)/Round_To,0)*Round_To</f>
        <v>0</v>
      </c>
      <c r="AN201" s="1125">
        <f>ROUND(IF(Exclude_Taxes="n",IF(Filing_Status="m",IF(OR(AN$7&lt;Single_Rate_Start,Single_Rate_Start=""),IF(AN$193&gt;='Tax Tables'!AN$168,(AN$193-'Tax Tables'!AN$168)*'Tax Tables'!AN$169,0),IF(AN$193&gt;='Tax Tables'!AN$247,(AN$193-'Tax Tables'!AN$247)*'Tax Tables'!AN$248,0)),IF(AN$193&gt;='Tax Tables'!AN$247,(AN$193-'Tax Tables'!AN$247)*'Tax Tables'!AN$248,0)),0)/Round_To,0)*Round_To</f>
        <v>0</v>
      </c>
      <c r="AO201" s="1125">
        <f>ROUND(IF(Exclude_Taxes="n",IF(Filing_Status="m",IF(OR(AO$7&lt;Single_Rate_Start,Single_Rate_Start=""),IF(AO$193&gt;='Tax Tables'!AO$168,(AO$193-'Tax Tables'!AO$168)*'Tax Tables'!AO$169,0),IF(AO$193&gt;='Tax Tables'!AO$247,(AO$193-'Tax Tables'!AO$247)*'Tax Tables'!AO$248,0)),IF(AO$193&gt;='Tax Tables'!AO$247,(AO$193-'Tax Tables'!AO$247)*'Tax Tables'!AO$248,0)),0)/Round_To,0)*Round_To</f>
        <v>0</v>
      </c>
      <c r="AP201" s="1125">
        <f>ROUND(IF(Exclude_Taxes="n",IF(Filing_Status="m",IF(OR(AP$7&lt;Single_Rate_Start,Single_Rate_Start=""),IF(AP$193&gt;='Tax Tables'!AP$168,(AP$193-'Tax Tables'!AP$168)*'Tax Tables'!AP$169,0),IF(AP$193&gt;='Tax Tables'!AP$247,(AP$193-'Tax Tables'!AP$247)*'Tax Tables'!AP$248,0)),IF(AP$193&gt;='Tax Tables'!AP$247,(AP$193-'Tax Tables'!AP$247)*'Tax Tables'!AP$248,0)),0)/Round_To,0)*Round_To</f>
        <v>0</v>
      </c>
      <c r="AQ201" s="1125">
        <f>ROUND(IF(Exclude_Taxes="n",IF(Filing_Status="m",IF(OR(AQ$7&lt;Single_Rate_Start,Single_Rate_Start=""),IF(AQ$193&gt;='Tax Tables'!AQ$168,(AQ$193-'Tax Tables'!AQ$168)*'Tax Tables'!AQ$169,0),IF(AQ$193&gt;='Tax Tables'!AQ$247,(AQ$193-'Tax Tables'!AQ$247)*'Tax Tables'!AQ$248,0)),IF(AQ$193&gt;='Tax Tables'!AQ$247,(AQ$193-'Tax Tables'!AQ$247)*'Tax Tables'!AQ$248,0)),0)/Round_To,0)*Round_To</f>
        <v>0</v>
      </c>
      <c r="AR201" s="1125">
        <f>ROUND(IF(Exclude_Taxes="n",IF(Filing_Status="m",IF(OR(AR$7&lt;Single_Rate_Start,Single_Rate_Start=""),IF(AR$193&gt;='Tax Tables'!AR$168,(AR$193-'Tax Tables'!AR$168)*'Tax Tables'!AR$169,0),IF(AR$193&gt;='Tax Tables'!AR$247,(AR$193-'Tax Tables'!AR$247)*'Tax Tables'!AR$248,0)),IF(AR$193&gt;='Tax Tables'!AR$247,(AR$193-'Tax Tables'!AR$247)*'Tax Tables'!AR$248,0)),0)/Round_To,0)*Round_To</f>
        <v>0</v>
      </c>
      <c r="AS201" s="1125">
        <f>ROUND(IF(Exclude_Taxes="n",IF(Filing_Status="m",IF(OR(AS$7&lt;Single_Rate_Start,Single_Rate_Start=""),IF(AS$193&gt;='Tax Tables'!AS$168,(AS$193-'Tax Tables'!AS$168)*'Tax Tables'!AS$169,0),IF(AS$193&gt;='Tax Tables'!AS$247,(AS$193-'Tax Tables'!AS$247)*'Tax Tables'!AS$248,0)),IF(AS$193&gt;='Tax Tables'!AS$247,(AS$193-'Tax Tables'!AS$247)*'Tax Tables'!AS$248,0)),0)/Round_To,0)*Round_To</f>
        <v>0</v>
      </c>
      <c r="AT201" s="3"/>
      <c r="AU201" s="34">
        <f>+Details!E201</f>
        <v>0</v>
      </c>
      <c r="AV201" s="83">
        <f t="shared" si="163"/>
        <v>0</v>
      </c>
      <c r="AW201" s="102"/>
      <c r="AY201" s="38">
        <f>+Details!F201-Base!F201</f>
        <v>0</v>
      </c>
      <c r="AZ201" s="1125">
        <f>+Details!G201-Base!G201</f>
        <v>0</v>
      </c>
      <c r="BA201" s="1125">
        <f>+Details!H201-Base!H201</f>
        <v>0</v>
      </c>
      <c r="BB201" s="1125">
        <f>+Details!I201-Base!I201</f>
        <v>0</v>
      </c>
      <c r="BC201" s="1125">
        <f>+Details!J201-Base!J201</f>
        <v>0</v>
      </c>
      <c r="BD201" s="1125">
        <f>+Details!K201-Base!K201</f>
        <v>0</v>
      </c>
      <c r="BE201" s="1125">
        <f>+Details!L201-Base!L201</f>
        <v>0</v>
      </c>
      <c r="BF201" s="1125">
        <f>+Details!M201-Base!M201</f>
        <v>0</v>
      </c>
      <c r="BG201" s="1125">
        <f>+Details!N201-Base!N201</f>
        <v>0</v>
      </c>
      <c r="BH201" s="1125">
        <f>+Details!O201-Base!O201</f>
        <v>0</v>
      </c>
      <c r="BI201" s="1125">
        <f>+Details!P201-Base!P201</f>
        <v>0</v>
      </c>
      <c r="BJ201" s="1125">
        <f>+Details!Q201-Base!Q201</f>
        <v>0</v>
      </c>
      <c r="BK201" s="1125">
        <f>+Details!R201-Base!R201</f>
        <v>0</v>
      </c>
      <c r="BL201" s="1125">
        <f>+Details!S201-Base!S201</f>
        <v>0</v>
      </c>
      <c r="BM201" s="1125">
        <f>+Details!T201-Base!T201</f>
        <v>0</v>
      </c>
      <c r="BN201" s="1125">
        <f>+Details!U201-Base!U201</f>
        <v>0</v>
      </c>
      <c r="BO201" s="1125">
        <f>+Details!V201-Base!V201</f>
        <v>0</v>
      </c>
      <c r="BP201" s="1125">
        <f>+Details!W201-Base!W201</f>
        <v>0</v>
      </c>
      <c r="BQ201" s="1125">
        <f>+Details!X201-Base!X201</f>
        <v>0</v>
      </c>
      <c r="BR201" s="1125">
        <f>+Details!Y201-Base!Y201</f>
        <v>0</v>
      </c>
      <c r="BS201" s="1125">
        <f>+Details!Z201-Base!Z201</f>
        <v>0</v>
      </c>
      <c r="BT201" s="1125">
        <f>+Details!AA201-Base!AA201</f>
        <v>0</v>
      </c>
      <c r="BU201" s="1125">
        <f>+Details!AB201-Base!AB201</f>
        <v>0</v>
      </c>
      <c r="BV201" s="1125">
        <f>+Details!AC201-Base!AC201</f>
        <v>0</v>
      </c>
      <c r="BW201" s="1125">
        <f>+Details!AD201-Base!AD201</f>
        <v>0</v>
      </c>
      <c r="BX201" s="1125">
        <f>+Details!AE201-Base!AE201</f>
        <v>0</v>
      </c>
      <c r="BY201" s="1125">
        <f>+Details!AF201-Base!AF201</f>
        <v>0</v>
      </c>
      <c r="BZ201" s="1125">
        <f>+Details!AG201-Base!AG201</f>
        <v>0</v>
      </c>
      <c r="CA201" s="1125">
        <f>+Details!AH201-Base!AH201</f>
        <v>0</v>
      </c>
      <c r="CB201" s="1125">
        <f>+Details!AI201-Base!AI201</f>
        <v>0</v>
      </c>
      <c r="CC201" s="1125">
        <f>+Details!AJ201-Base!AJ201</f>
        <v>0</v>
      </c>
      <c r="CD201" s="1125">
        <f>+Details!AK201-Base!AK201</f>
        <v>0</v>
      </c>
      <c r="CE201" s="1125">
        <f>+Details!AL201-Base!AL201</f>
        <v>0</v>
      </c>
      <c r="CF201" s="1125">
        <f>+Details!AM201-Base!AM201</f>
        <v>0</v>
      </c>
      <c r="CG201" s="1125">
        <f>+Details!AN201-Base!AN201</f>
        <v>0</v>
      </c>
      <c r="CH201" s="1125">
        <f>+Details!AO201-Base!AO201</f>
        <v>0</v>
      </c>
      <c r="CI201" s="1125">
        <f>+Details!AP201-Base!AP201</f>
        <v>0</v>
      </c>
      <c r="CJ201" s="1125">
        <f>+Details!AQ201-Base!AQ201</f>
        <v>0</v>
      </c>
      <c r="CK201" s="1125">
        <f>+Details!AR201-Base!AR201</f>
        <v>0</v>
      </c>
      <c r="CL201" s="1125">
        <f>+Details!AS201-Base!AS201</f>
        <v>0</v>
      </c>
      <c r="CM201" s="103"/>
    </row>
    <row r="202" spans="1:91" ht="17.399999999999999">
      <c r="B202" s="1026" t="s">
        <v>1102</v>
      </c>
      <c r="C202" s="426"/>
      <c r="D202" s="152"/>
      <c r="E202" s="29">
        <f t="shared" si="162"/>
        <v>279600</v>
      </c>
      <c r="F202" s="31">
        <f>SUM(F195:F201)</f>
        <v>3900</v>
      </c>
      <c r="G202" s="1124">
        <f t="shared" ref="G202:AS202" si="164">SUM(G195:G201)</f>
        <v>5800</v>
      </c>
      <c r="H202" s="1124">
        <f t="shared" si="164"/>
        <v>4000</v>
      </c>
      <c r="I202" s="1124">
        <f t="shared" si="164"/>
        <v>4100</v>
      </c>
      <c r="J202" s="1124">
        <f t="shared" si="164"/>
        <v>4100</v>
      </c>
      <c r="K202" s="1124">
        <f t="shared" si="164"/>
        <v>6500</v>
      </c>
      <c r="L202" s="1124">
        <f t="shared" si="164"/>
        <v>6500</v>
      </c>
      <c r="M202" s="1124">
        <f t="shared" si="164"/>
        <v>7100</v>
      </c>
      <c r="N202" s="1124">
        <f t="shared" si="164"/>
        <v>4100</v>
      </c>
      <c r="O202" s="1124">
        <f t="shared" si="164"/>
        <v>4200</v>
      </c>
      <c r="P202" s="1124">
        <f t="shared" si="164"/>
        <v>4300</v>
      </c>
      <c r="Q202" s="1124">
        <f t="shared" si="164"/>
        <v>4600</v>
      </c>
      <c r="R202" s="1124">
        <f t="shared" si="164"/>
        <v>5900</v>
      </c>
      <c r="S202" s="1124">
        <f t="shared" si="164"/>
        <v>6300</v>
      </c>
      <c r="T202" s="1124">
        <f t="shared" si="164"/>
        <v>9300</v>
      </c>
      <c r="U202" s="1124">
        <f t="shared" si="164"/>
        <v>10900</v>
      </c>
      <c r="V202" s="1124">
        <f t="shared" si="164"/>
        <v>10200</v>
      </c>
      <c r="W202" s="1124">
        <f t="shared" si="164"/>
        <v>10500</v>
      </c>
      <c r="X202" s="1124">
        <f t="shared" si="164"/>
        <v>9700</v>
      </c>
      <c r="Y202" s="1124">
        <f t="shared" si="164"/>
        <v>9900</v>
      </c>
      <c r="Z202" s="1124">
        <f t="shared" si="164"/>
        <v>10300</v>
      </c>
      <c r="AA202" s="1124">
        <f t="shared" si="164"/>
        <v>10800</v>
      </c>
      <c r="AB202" s="1124">
        <f t="shared" si="164"/>
        <v>11200</v>
      </c>
      <c r="AC202" s="1124">
        <f t="shared" si="164"/>
        <v>12200</v>
      </c>
      <c r="AD202" s="1124">
        <f t="shared" si="164"/>
        <v>17200</v>
      </c>
      <c r="AE202" s="1124">
        <f t="shared" si="164"/>
        <v>17900</v>
      </c>
      <c r="AF202" s="1124">
        <f t="shared" si="164"/>
        <v>18200</v>
      </c>
      <c r="AG202" s="1124">
        <f t="shared" si="164"/>
        <v>16600</v>
      </c>
      <c r="AH202" s="1124">
        <f t="shared" si="164"/>
        <v>16500</v>
      </c>
      <c r="AI202" s="1124">
        <f t="shared" si="164"/>
        <v>16800</v>
      </c>
      <c r="AJ202" s="1124">
        <f t="shared" si="164"/>
        <v>0</v>
      </c>
      <c r="AK202" s="1124">
        <f t="shared" si="164"/>
        <v>0</v>
      </c>
      <c r="AL202" s="1124">
        <f t="shared" si="164"/>
        <v>0</v>
      </c>
      <c r="AM202" s="1124">
        <f t="shared" si="164"/>
        <v>0</v>
      </c>
      <c r="AN202" s="1124">
        <f t="shared" si="164"/>
        <v>0</v>
      </c>
      <c r="AO202" s="1124">
        <f t="shared" si="164"/>
        <v>0</v>
      </c>
      <c r="AP202" s="1124">
        <f t="shared" si="164"/>
        <v>0</v>
      </c>
      <c r="AQ202" s="1124">
        <f t="shared" si="164"/>
        <v>0</v>
      </c>
      <c r="AR202" s="1124">
        <f t="shared" si="164"/>
        <v>0</v>
      </c>
      <c r="AS202" s="1124">
        <f t="shared" si="164"/>
        <v>0</v>
      </c>
      <c r="AT202" s="3"/>
      <c r="AU202" s="29">
        <f>+Details!E202</f>
        <v>279600</v>
      </c>
      <c r="AV202" s="81">
        <f t="shared" si="163"/>
        <v>0</v>
      </c>
      <c r="AW202" s="102"/>
      <c r="AY202" s="31">
        <f>+Details!F202-Base!F202</f>
        <v>0</v>
      </c>
      <c r="AZ202" s="1124">
        <f>+Details!G202-Base!G202</f>
        <v>0</v>
      </c>
      <c r="BA202" s="1124">
        <f>+Details!H202-Base!H202</f>
        <v>0</v>
      </c>
      <c r="BB202" s="1124">
        <f>+Details!I202-Base!I202</f>
        <v>0</v>
      </c>
      <c r="BC202" s="1124">
        <f>+Details!J202-Base!J202</f>
        <v>0</v>
      </c>
      <c r="BD202" s="1124">
        <f>+Details!K202-Base!K202</f>
        <v>0</v>
      </c>
      <c r="BE202" s="1124">
        <f>+Details!L202-Base!L202</f>
        <v>0</v>
      </c>
      <c r="BF202" s="1124">
        <f>+Details!M202-Base!M202</f>
        <v>0</v>
      </c>
      <c r="BG202" s="1124">
        <f>+Details!N202-Base!N202</f>
        <v>0</v>
      </c>
      <c r="BH202" s="1124">
        <f>+Details!O202-Base!O202</f>
        <v>0</v>
      </c>
      <c r="BI202" s="1124">
        <f>+Details!P202-Base!P202</f>
        <v>0</v>
      </c>
      <c r="BJ202" s="1124">
        <f>+Details!Q202-Base!Q202</f>
        <v>0</v>
      </c>
      <c r="BK202" s="1124">
        <f>+Details!R202-Base!R202</f>
        <v>0</v>
      </c>
      <c r="BL202" s="1124">
        <f>+Details!S202-Base!S202</f>
        <v>0</v>
      </c>
      <c r="BM202" s="1124">
        <f>+Details!T202-Base!T202</f>
        <v>0</v>
      </c>
      <c r="BN202" s="1124">
        <f>+Details!U202-Base!U202</f>
        <v>0</v>
      </c>
      <c r="BO202" s="1124">
        <f>+Details!V202-Base!V202</f>
        <v>0</v>
      </c>
      <c r="BP202" s="1124">
        <f>+Details!W202-Base!W202</f>
        <v>0</v>
      </c>
      <c r="BQ202" s="1124">
        <f>+Details!X202-Base!X202</f>
        <v>0</v>
      </c>
      <c r="BR202" s="1124">
        <f>+Details!Y202-Base!Y202</f>
        <v>0</v>
      </c>
      <c r="BS202" s="1124">
        <f>+Details!Z202-Base!Z202</f>
        <v>0</v>
      </c>
      <c r="BT202" s="1124">
        <f>+Details!AA202-Base!AA202</f>
        <v>0</v>
      </c>
      <c r="BU202" s="1124">
        <f>+Details!AB202-Base!AB202</f>
        <v>0</v>
      </c>
      <c r="BV202" s="1124">
        <f>+Details!AC202-Base!AC202</f>
        <v>0</v>
      </c>
      <c r="BW202" s="1124">
        <f>+Details!AD202-Base!AD202</f>
        <v>0</v>
      </c>
      <c r="BX202" s="1124">
        <f>+Details!AE202-Base!AE202</f>
        <v>0</v>
      </c>
      <c r="BY202" s="1124">
        <f>+Details!AF202-Base!AF202</f>
        <v>0</v>
      </c>
      <c r="BZ202" s="1124">
        <f>+Details!AG202-Base!AG202</f>
        <v>0</v>
      </c>
      <c r="CA202" s="1124">
        <f>+Details!AH202-Base!AH202</f>
        <v>0</v>
      </c>
      <c r="CB202" s="1124">
        <f>+Details!AI202-Base!AI202</f>
        <v>0</v>
      </c>
      <c r="CC202" s="1124">
        <f>+Details!AJ202-Base!AJ202</f>
        <v>0</v>
      </c>
      <c r="CD202" s="1124">
        <f>+Details!AK202-Base!AK202</f>
        <v>0</v>
      </c>
      <c r="CE202" s="1124">
        <f>+Details!AL202-Base!AL202</f>
        <v>0</v>
      </c>
      <c r="CF202" s="1124">
        <f>+Details!AM202-Base!AM202</f>
        <v>0</v>
      </c>
      <c r="CG202" s="1124">
        <f>+Details!AN202-Base!AN202</f>
        <v>0</v>
      </c>
      <c r="CH202" s="1124">
        <f>+Details!AO202-Base!AO202</f>
        <v>0</v>
      </c>
      <c r="CI202" s="1124">
        <f>+Details!AP202-Base!AP202</f>
        <v>0</v>
      </c>
      <c r="CJ202" s="1124">
        <f>+Details!AQ202-Base!AQ202</f>
        <v>0</v>
      </c>
      <c r="CK202" s="1124">
        <f>+Details!AR202-Base!AR202</f>
        <v>0</v>
      </c>
      <c r="CL202" s="1124">
        <f>+Details!AS202-Base!AS202</f>
        <v>0</v>
      </c>
      <c r="CM202" s="81"/>
    </row>
    <row r="203" spans="1:91" ht="15.6">
      <c r="B203" s="72" t="s">
        <v>1315</v>
      </c>
      <c r="C203" s="173" t="str">
        <f>IF(Tax_Rates_Alt="y","Using alternative tax rates","")</f>
        <v/>
      </c>
      <c r="D203" s="173"/>
      <c r="E203" s="44">
        <f>IF(E193&gt;0,+E202/E193,0)</f>
        <v>0.12487717731129969</v>
      </c>
      <c r="F203" s="44">
        <f t="shared" ref="F203:AS203" si="165">IF(F193=0,0,+F202/F193)</f>
        <v>0.1092436974789916</v>
      </c>
      <c r="G203" s="1129">
        <f t="shared" si="165"/>
        <v>0.11350293542074363</v>
      </c>
      <c r="H203" s="1129">
        <f t="shared" si="165"/>
        <v>0.10928961748633879</v>
      </c>
      <c r="I203" s="1129">
        <f t="shared" si="165"/>
        <v>0.11021505376344086</v>
      </c>
      <c r="J203" s="1129">
        <f t="shared" si="165"/>
        <v>0.10846560846560846</v>
      </c>
      <c r="K203" s="1129">
        <f t="shared" si="165"/>
        <v>0.11363636363636363</v>
      </c>
      <c r="L203" s="1129">
        <f t="shared" si="165"/>
        <v>0.11168384879725086</v>
      </c>
      <c r="M203" s="1129">
        <f t="shared" si="165"/>
        <v>0.1126984126984127</v>
      </c>
      <c r="N203" s="1129">
        <f t="shared" si="165"/>
        <v>0.10875331564986737</v>
      </c>
      <c r="O203" s="1129">
        <f t="shared" si="165"/>
        <v>0.10824742268041238</v>
      </c>
      <c r="P203" s="1129">
        <f t="shared" si="165"/>
        <v>0.10723192019950124</v>
      </c>
      <c r="Q203" s="1129">
        <f t="shared" si="165"/>
        <v>0.10874704491725769</v>
      </c>
      <c r="R203" s="1129">
        <f t="shared" si="165"/>
        <v>0.11090225563909774</v>
      </c>
      <c r="S203" s="1129">
        <f t="shared" si="165"/>
        <v>0.1111111111111111</v>
      </c>
      <c r="T203" s="1129">
        <f t="shared" si="165"/>
        <v>0.11286407766990292</v>
      </c>
      <c r="U203" s="1129">
        <f t="shared" si="165"/>
        <v>0.11401673640167365</v>
      </c>
      <c r="V203" s="1129">
        <f t="shared" si="165"/>
        <v>0.11434977578475336</v>
      </c>
      <c r="W203" s="1129">
        <f t="shared" si="165"/>
        <v>0.11375947995666305</v>
      </c>
      <c r="X203" s="1129">
        <f t="shared" si="165"/>
        <v>0.11318553092182031</v>
      </c>
      <c r="Y203" s="1129">
        <f t="shared" si="165"/>
        <v>0.11314285714285714</v>
      </c>
      <c r="Z203" s="1129">
        <f t="shared" si="165"/>
        <v>0.11356119073869901</v>
      </c>
      <c r="AA203" s="1129">
        <f t="shared" si="165"/>
        <v>0.11440677966101695</v>
      </c>
      <c r="AB203" s="1129">
        <f t="shared" si="165"/>
        <v>0.11370558375634518</v>
      </c>
      <c r="AC203" s="1129">
        <f t="shared" si="165"/>
        <v>0.11380597014925373</v>
      </c>
      <c r="AD203" s="1129">
        <f t="shared" si="165"/>
        <v>0.1565059144676979</v>
      </c>
      <c r="AE203" s="1129">
        <f t="shared" si="165"/>
        <v>0.15743183817062445</v>
      </c>
      <c r="AF203" s="1129">
        <f t="shared" si="165"/>
        <v>0.15716753022452504</v>
      </c>
      <c r="AG203" s="1129">
        <f t="shared" si="165"/>
        <v>0.15229357798165138</v>
      </c>
      <c r="AH203" s="1129">
        <f t="shared" si="165"/>
        <v>0.15054744525547445</v>
      </c>
      <c r="AI203" s="1129">
        <f t="shared" si="165"/>
        <v>0.15013404825737264</v>
      </c>
      <c r="AJ203" s="1129">
        <f t="shared" si="165"/>
        <v>0</v>
      </c>
      <c r="AK203" s="1129">
        <f t="shared" si="165"/>
        <v>0</v>
      </c>
      <c r="AL203" s="1129">
        <f t="shared" si="165"/>
        <v>0</v>
      </c>
      <c r="AM203" s="1129">
        <f t="shared" si="165"/>
        <v>0</v>
      </c>
      <c r="AN203" s="1129">
        <f t="shared" si="165"/>
        <v>0</v>
      </c>
      <c r="AO203" s="1129">
        <f t="shared" si="165"/>
        <v>0</v>
      </c>
      <c r="AP203" s="1129">
        <f t="shared" si="165"/>
        <v>0</v>
      </c>
      <c r="AQ203" s="1129">
        <f t="shared" si="165"/>
        <v>0</v>
      </c>
      <c r="AR203" s="1129">
        <f t="shared" si="165"/>
        <v>0</v>
      </c>
      <c r="AS203" s="1129">
        <f t="shared" si="165"/>
        <v>0</v>
      </c>
      <c r="AT203" s="3"/>
      <c r="AU203" s="40">
        <f>+Details!E203</f>
        <v>0.12487717731129969</v>
      </c>
      <c r="AV203" s="118">
        <f t="shared" si="163"/>
        <v>0</v>
      </c>
      <c r="AW203" s="122"/>
      <c r="AY203" s="44">
        <f>+Details!F203-Base!F203</f>
        <v>0</v>
      </c>
      <c r="AZ203" s="1129">
        <f>+Details!G203-Base!G203</f>
        <v>0</v>
      </c>
      <c r="BA203" s="1129">
        <f>+Details!H203-Base!H203</f>
        <v>0</v>
      </c>
      <c r="BB203" s="1129">
        <f>+Details!I203-Base!I203</f>
        <v>0</v>
      </c>
      <c r="BC203" s="1129">
        <f>+Details!J203-Base!J203</f>
        <v>0</v>
      </c>
      <c r="BD203" s="1129">
        <f>+Details!K203-Base!K203</f>
        <v>0</v>
      </c>
      <c r="BE203" s="1129">
        <f>+Details!L203-Base!L203</f>
        <v>0</v>
      </c>
      <c r="BF203" s="1129">
        <f>+Details!M203-Base!M203</f>
        <v>0</v>
      </c>
      <c r="BG203" s="1129">
        <f>+Details!N203-Base!N203</f>
        <v>0</v>
      </c>
      <c r="BH203" s="1129">
        <f>+Details!O203-Base!O203</f>
        <v>0</v>
      </c>
      <c r="BI203" s="1129">
        <f>+Details!P203-Base!P203</f>
        <v>0</v>
      </c>
      <c r="BJ203" s="1129">
        <f>+Details!Q203-Base!Q203</f>
        <v>0</v>
      </c>
      <c r="BK203" s="1129">
        <f>+Details!R203-Base!R203</f>
        <v>0</v>
      </c>
      <c r="BL203" s="1129">
        <f>+Details!S203-Base!S203</f>
        <v>0</v>
      </c>
      <c r="BM203" s="1129">
        <f>+Details!T203-Base!T203</f>
        <v>0</v>
      </c>
      <c r="BN203" s="1129">
        <f>+Details!U203-Base!U203</f>
        <v>0</v>
      </c>
      <c r="BO203" s="1129">
        <f>+Details!V203-Base!V203</f>
        <v>0</v>
      </c>
      <c r="BP203" s="1129">
        <f>+Details!W203-Base!W203</f>
        <v>0</v>
      </c>
      <c r="BQ203" s="1129">
        <f>+Details!X203-Base!X203</f>
        <v>0</v>
      </c>
      <c r="BR203" s="1129">
        <f>+Details!Y203-Base!Y203</f>
        <v>0</v>
      </c>
      <c r="BS203" s="1129">
        <f>+Details!Z203-Base!Z203</f>
        <v>0</v>
      </c>
      <c r="BT203" s="1129">
        <f>+Details!AA203-Base!AA203</f>
        <v>0</v>
      </c>
      <c r="BU203" s="1129">
        <f>+Details!AB203-Base!AB203</f>
        <v>0</v>
      </c>
      <c r="BV203" s="1129">
        <f>+Details!AC203-Base!AC203</f>
        <v>0</v>
      </c>
      <c r="BW203" s="1129">
        <f>+Details!AD203-Base!AD203</f>
        <v>0</v>
      </c>
      <c r="BX203" s="1129">
        <f>+Details!AE203-Base!AE203</f>
        <v>0</v>
      </c>
      <c r="BY203" s="1129">
        <f>+Details!AF203-Base!AF203</f>
        <v>0</v>
      </c>
      <c r="BZ203" s="1129">
        <f>+Details!AG203-Base!AG203</f>
        <v>0</v>
      </c>
      <c r="CA203" s="1129">
        <f>+Details!AH203-Base!AH203</f>
        <v>0</v>
      </c>
      <c r="CB203" s="1129">
        <f>+Details!AI203-Base!AI203</f>
        <v>0</v>
      </c>
      <c r="CC203" s="1129">
        <f>+Details!AJ203-Base!AJ203</f>
        <v>0</v>
      </c>
      <c r="CD203" s="1129">
        <f>+Details!AK203-Base!AK203</f>
        <v>0</v>
      </c>
      <c r="CE203" s="1129">
        <f>+Details!AL203-Base!AL203</f>
        <v>0</v>
      </c>
      <c r="CF203" s="1129">
        <f>+Details!AM203-Base!AM203</f>
        <v>0</v>
      </c>
      <c r="CG203" s="1129">
        <f>+Details!AN203-Base!AN203</f>
        <v>0</v>
      </c>
      <c r="CH203" s="1129">
        <f>+Details!AO203-Base!AO203</f>
        <v>0</v>
      </c>
      <c r="CI203" s="1129">
        <f>+Details!AP203-Base!AP203</f>
        <v>0</v>
      </c>
      <c r="CJ203" s="1129">
        <f>+Details!AQ203-Base!AQ203</f>
        <v>0</v>
      </c>
      <c r="CK203" s="1129">
        <f>+Details!AR203-Base!AR203</f>
        <v>0</v>
      </c>
      <c r="CL203" s="1129">
        <f>+Details!AS203-Base!AS203</f>
        <v>0</v>
      </c>
      <c r="CM203" s="118"/>
    </row>
    <row r="204" spans="1:91">
      <c r="B204" s="72" t="s">
        <v>1316</v>
      </c>
      <c r="D204" s="152"/>
      <c r="E204" s="44"/>
      <c r="F204" s="44">
        <f>IF(F201&gt;0,'Tax Tables'!F311,IF(F200&gt;0,'Tax Tables'!F310,IF(F199&gt;0,'Tax Tables'!F309,IF(F198&gt;0,'Tax Tables'!F308,IF(F197&gt;0,'Tax Tables'!F307,IF(F196&gt;0,'Tax Tables'!F306,IF(F195&gt;0,'Tax Tables'!F305,0)))))))</f>
        <v>0.12</v>
      </c>
      <c r="G204" s="44">
        <f>IF(G201&gt;0,'Tax Tables'!G311,IF(G200&gt;0,'Tax Tables'!G310,IF(G199&gt;0,'Tax Tables'!G309,IF(G198&gt;0,'Tax Tables'!G308,IF(G197&gt;0,'Tax Tables'!G307,IF(G196&gt;0,'Tax Tables'!G306,IF(G195&gt;0,'Tax Tables'!G305,0)))))))</f>
        <v>0.12</v>
      </c>
      <c r="H204" s="44">
        <f>IF(H201&gt;0,'Tax Tables'!H311,IF(H200&gt;0,'Tax Tables'!H310,IF(H199&gt;0,'Tax Tables'!H309,IF(H198&gt;0,'Tax Tables'!H308,IF(H197&gt;0,'Tax Tables'!H307,IF(H196&gt;0,'Tax Tables'!H306,IF(H195&gt;0,'Tax Tables'!H305,0)))))))</f>
        <v>0.12</v>
      </c>
      <c r="I204" s="44">
        <f>IF(I201&gt;0,'Tax Tables'!I311,IF(I200&gt;0,'Tax Tables'!I310,IF(I199&gt;0,'Tax Tables'!I309,IF(I198&gt;0,'Tax Tables'!I308,IF(I197&gt;0,'Tax Tables'!I307,IF(I196&gt;0,'Tax Tables'!I306,IF(I195&gt;0,'Tax Tables'!I305,0)))))))</f>
        <v>0.12</v>
      </c>
      <c r="J204" s="44">
        <f>IF(J201&gt;0,'Tax Tables'!J311,IF(J200&gt;0,'Tax Tables'!J310,IF(J199&gt;0,'Tax Tables'!J309,IF(J198&gt;0,'Tax Tables'!J308,IF(J197&gt;0,'Tax Tables'!J307,IF(J196&gt;0,'Tax Tables'!J306,IF(J195&gt;0,'Tax Tables'!J305,0)))))))</f>
        <v>0.12</v>
      </c>
      <c r="K204" s="44">
        <f>IF(K201&gt;0,'Tax Tables'!K311,IF(K200&gt;0,'Tax Tables'!K310,IF(K199&gt;0,'Tax Tables'!K309,IF(K198&gt;0,'Tax Tables'!K308,IF(K197&gt;0,'Tax Tables'!K307,IF(K196&gt;0,'Tax Tables'!K306,IF(K195&gt;0,'Tax Tables'!K305,0)))))))</f>
        <v>0.12</v>
      </c>
      <c r="L204" s="44">
        <f>IF(L201&gt;0,'Tax Tables'!L311,IF(L200&gt;0,'Tax Tables'!L310,IF(L199&gt;0,'Tax Tables'!L309,IF(L198&gt;0,'Tax Tables'!L308,IF(L197&gt;0,'Tax Tables'!L307,IF(L196&gt;0,'Tax Tables'!L306,IF(L195&gt;0,'Tax Tables'!L305,0)))))))</f>
        <v>0.12</v>
      </c>
      <c r="M204" s="44">
        <f>IF(M201&gt;0,'Tax Tables'!M311,IF(M200&gt;0,'Tax Tables'!M310,IF(M199&gt;0,'Tax Tables'!M309,IF(M198&gt;0,'Tax Tables'!M308,IF(M197&gt;0,'Tax Tables'!M307,IF(M196&gt;0,'Tax Tables'!M306,IF(M195&gt;0,'Tax Tables'!M305,0)))))))</f>
        <v>0.12</v>
      </c>
      <c r="N204" s="44">
        <f>IF(N201&gt;0,'Tax Tables'!N311,IF(N200&gt;0,'Tax Tables'!N310,IF(N199&gt;0,'Tax Tables'!N309,IF(N198&gt;0,'Tax Tables'!N308,IF(N197&gt;0,'Tax Tables'!N307,IF(N196&gt;0,'Tax Tables'!N306,IF(N195&gt;0,'Tax Tables'!N305,0)))))))</f>
        <v>0.12</v>
      </c>
      <c r="O204" s="44">
        <f>IF(O201&gt;0,'Tax Tables'!O311,IF(O200&gt;0,'Tax Tables'!O310,IF(O199&gt;0,'Tax Tables'!O309,IF(O198&gt;0,'Tax Tables'!O308,IF(O197&gt;0,'Tax Tables'!O307,IF(O196&gt;0,'Tax Tables'!O306,IF(O195&gt;0,'Tax Tables'!O305,0)))))))</f>
        <v>0.12</v>
      </c>
      <c r="P204" s="44">
        <f>IF(P201&gt;0,'Tax Tables'!P311,IF(P200&gt;0,'Tax Tables'!P310,IF(P199&gt;0,'Tax Tables'!P309,IF(P198&gt;0,'Tax Tables'!P308,IF(P197&gt;0,'Tax Tables'!P307,IF(P196&gt;0,'Tax Tables'!P306,IF(P195&gt;0,'Tax Tables'!P305,0)))))))</f>
        <v>0.12</v>
      </c>
      <c r="Q204" s="44">
        <f>IF(Q201&gt;0,'Tax Tables'!Q311,IF(Q200&gt;0,'Tax Tables'!Q310,IF(Q199&gt;0,'Tax Tables'!Q309,IF(Q198&gt;0,'Tax Tables'!Q308,IF(Q197&gt;0,'Tax Tables'!Q307,IF(Q196&gt;0,'Tax Tables'!Q306,IF(Q195&gt;0,'Tax Tables'!Q305,0)))))))</f>
        <v>0.12</v>
      </c>
      <c r="R204" s="44">
        <f>IF(R201&gt;0,'Tax Tables'!R311,IF(R200&gt;0,'Tax Tables'!R310,IF(R199&gt;0,'Tax Tables'!R309,IF(R198&gt;0,'Tax Tables'!R308,IF(R197&gt;0,'Tax Tables'!R307,IF(R196&gt;0,'Tax Tables'!R306,IF(R195&gt;0,'Tax Tables'!R305,0)))))))</f>
        <v>0.12</v>
      </c>
      <c r="S204" s="44">
        <f>IF(S201&gt;0,'Tax Tables'!S311,IF(S200&gt;0,'Tax Tables'!S310,IF(S199&gt;0,'Tax Tables'!S309,IF(S198&gt;0,'Tax Tables'!S308,IF(S197&gt;0,'Tax Tables'!S307,IF(S196&gt;0,'Tax Tables'!S306,IF(S195&gt;0,'Tax Tables'!S305,0)))))))</f>
        <v>0.12</v>
      </c>
      <c r="T204" s="44">
        <f>IF(T201&gt;0,'Tax Tables'!T311,IF(T200&gt;0,'Tax Tables'!T310,IF(T199&gt;0,'Tax Tables'!T309,IF(T198&gt;0,'Tax Tables'!T308,IF(T197&gt;0,'Tax Tables'!T307,IF(T196&gt;0,'Tax Tables'!T306,IF(T195&gt;0,'Tax Tables'!T305,0)))))))</f>
        <v>0.12</v>
      </c>
      <c r="U204" s="44">
        <f>IF(U201&gt;0,'Tax Tables'!U311,IF(U200&gt;0,'Tax Tables'!U310,IF(U199&gt;0,'Tax Tables'!U309,IF(U198&gt;0,'Tax Tables'!U308,IF(U197&gt;0,'Tax Tables'!U307,IF(U196&gt;0,'Tax Tables'!U306,IF(U195&gt;0,'Tax Tables'!U305,0)))))))</f>
        <v>0.12</v>
      </c>
      <c r="V204" s="44">
        <f>IF(V201&gt;0,'Tax Tables'!V311,IF(V200&gt;0,'Tax Tables'!V310,IF(V199&gt;0,'Tax Tables'!V309,IF(V198&gt;0,'Tax Tables'!V308,IF(V197&gt;0,'Tax Tables'!V307,IF(V196&gt;0,'Tax Tables'!V306,IF(V195&gt;0,'Tax Tables'!V305,0)))))))</f>
        <v>0.12</v>
      </c>
      <c r="W204" s="44">
        <f>IF(W201&gt;0,'Tax Tables'!W311,IF(W200&gt;0,'Tax Tables'!W310,IF(W199&gt;0,'Tax Tables'!W309,IF(W198&gt;0,'Tax Tables'!W308,IF(W197&gt;0,'Tax Tables'!W307,IF(W196&gt;0,'Tax Tables'!W306,IF(W195&gt;0,'Tax Tables'!W305,0)))))))</f>
        <v>0.12</v>
      </c>
      <c r="X204" s="44">
        <f>IF(X201&gt;0,'Tax Tables'!X311,IF(X200&gt;0,'Tax Tables'!X310,IF(X199&gt;0,'Tax Tables'!X309,IF(X198&gt;0,'Tax Tables'!X308,IF(X197&gt;0,'Tax Tables'!X307,IF(X196&gt;0,'Tax Tables'!X306,IF(X195&gt;0,'Tax Tables'!X305,0)))))))</f>
        <v>0.12</v>
      </c>
      <c r="Y204" s="44">
        <f>IF(Y201&gt;0,'Tax Tables'!Y311,IF(Y200&gt;0,'Tax Tables'!Y310,IF(Y199&gt;0,'Tax Tables'!Y309,IF(Y198&gt;0,'Tax Tables'!Y308,IF(Y197&gt;0,'Tax Tables'!Y307,IF(Y196&gt;0,'Tax Tables'!Y306,IF(Y195&gt;0,'Tax Tables'!Y305,0)))))))</f>
        <v>0.12</v>
      </c>
      <c r="Z204" s="44">
        <f>IF(Z201&gt;0,'Tax Tables'!Z311,IF(Z200&gt;0,'Tax Tables'!Z310,IF(Z199&gt;0,'Tax Tables'!Z309,IF(Z198&gt;0,'Tax Tables'!Z308,IF(Z197&gt;0,'Tax Tables'!Z307,IF(Z196&gt;0,'Tax Tables'!Z306,IF(Z195&gt;0,'Tax Tables'!Z305,0)))))))</f>
        <v>0.12</v>
      </c>
      <c r="AA204" s="44">
        <f>IF(AA201&gt;0,'Tax Tables'!AA311,IF(AA200&gt;0,'Tax Tables'!AA310,IF(AA199&gt;0,'Tax Tables'!AA309,IF(AA198&gt;0,'Tax Tables'!AA308,IF(AA197&gt;0,'Tax Tables'!AA307,IF(AA196&gt;0,'Tax Tables'!AA306,IF(AA195&gt;0,'Tax Tables'!AA305,0)))))))</f>
        <v>0.12</v>
      </c>
      <c r="AB204" s="44">
        <f>IF(AB201&gt;0,'Tax Tables'!AB311,IF(AB200&gt;0,'Tax Tables'!AB310,IF(AB199&gt;0,'Tax Tables'!AB309,IF(AB198&gt;0,'Tax Tables'!AB308,IF(AB197&gt;0,'Tax Tables'!AB307,IF(AB196&gt;0,'Tax Tables'!AB306,IF(AB195&gt;0,'Tax Tables'!AB305,0)))))))</f>
        <v>0.12</v>
      </c>
      <c r="AC204" s="44">
        <f>IF(AC201&gt;0,'Tax Tables'!AC311,IF(AC200&gt;0,'Tax Tables'!AC310,IF(AC199&gt;0,'Tax Tables'!AC309,IF(AC198&gt;0,'Tax Tables'!AC308,IF(AC197&gt;0,'Tax Tables'!AC307,IF(AC196&gt;0,'Tax Tables'!AC306,IF(AC195&gt;0,'Tax Tables'!AC305,0)))))))</f>
        <v>0.12</v>
      </c>
      <c r="AD204" s="44">
        <f>IF(AD201&gt;0,'Tax Tables'!AD311,IF(AD200&gt;0,'Tax Tables'!AD310,IF(AD199&gt;0,'Tax Tables'!AD309,IF(AD198&gt;0,'Tax Tables'!AD308,IF(AD197&gt;0,'Tax Tables'!AD307,IF(AD196&gt;0,'Tax Tables'!AD306,IF(AD195&gt;0,'Tax Tables'!AD305,0)))))))</f>
        <v>0.22</v>
      </c>
      <c r="AE204" s="44">
        <f>IF(AE201&gt;0,'Tax Tables'!AE311,IF(AE200&gt;0,'Tax Tables'!AE310,IF(AE199&gt;0,'Tax Tables'!AE309,IF(AE198&gt;0,'Tax Tables'!AE308,IF(AE197&gt;0,'Tax Tables'!AE307,IF(AE196&gt;0,'Tax Tables'!AE306,IF(AE195&gt;0,'Tax Tables'!AE305,0)))))))</f>
        <v>0.22</v>
      </c>
      <c r="AF204" s="44">
        <f>IF(AF201&gt;0,'Tax Tables'!AF311,IF(AF200&gt;0,'Tax Tables'!AF310,IF(AF199&gt;0,'Tax Tables'!AF309,IF(AF198&gt;0,'Tax Tables'!AF308,IF(AF197&gt;0,'Tax Tables'!AF307,IF(AF196&gt;0,'Tax Tables'!AF306,IF(AF195&gt;0,'Tax Tables'!AF305,0)))))))</f>
        <v>0.22</v>
      </c>
      <c r="AG204" s="44">
        <f>IF(AG201&gt;0,'Tax Tables'!AG311,IF(AG200&gt;0,'Tax Tables'!AG310,IF(AG199&gt;0,'Tax Tables'!AG309,IF(AG198&gt;0,'Tax Tables'!AG308,IF(AG197&gt;0,'Tax Tables'!AG307,IF(AG196&gt;0,'Tax Tables'!AG306,IF(AG195&gt;0,'Tax Tables'!AG305,0)))))))</f>
        <v>0.22</v>
      </c>
      <c r="AH204" s="44">
        <f>IF(AH201&gt;0,'Tax Tables'!AH311,IF(AH200&gt;0,'Tax Tables'!AH310,IF(AH199&gt;0,'Tax Tables'!AH309,IF(AH198&gt;0,'Tax Tables'!AH308,IF(AH197&gt;0,'Tax Tables'!AH307,IF(AH196&gt;0,'Tax Tables'!AH306,IF(AH195&gt;0,'Tax Tables'!AH305,0)))))))</f>
        <v>0.22</v>
      </c>
      <c r="AI204" s="44">
        <f>IF(AI201&gt;0,'Tax Tables'!AI311,IF(AI200&gt;0,'Tax Tables'!AI310,IF(AI199&gt;0,'Tax Tables'!AI309,IF(AI198&gt;0,'Tax Tables'!AI308,IF(AI197&gt;0,'Tax Tables'!AI307,IF(AI196&gt;0,'Tax Tables'!AI306,IF(AI195&gt;0,'Tax Tables'!AI305,0)))))))</f>
        <v>0.22</v>
      </c>
      <c r="AJ204" s="44">
        <f>IF(AJ201&gt;0,'Tax Tables'!AJ311,IF(AJ200&gt;0,'Tax Tables'!AJ310,IF(AJ199&gt;0,'Tax Tables'!AJ309,IF(AJ198&gt;0,'Tax Tables'!AJ308,IF(AJ197&gt;0,'Tax Tables'!AJ307,IF(AJ196&gt;0,'Tax Tables'!AJ306,IF(AJ195&gt;0,'Tax Tables'!AJ305,0)))))))</f>
        <v>0</v>
      </c>
      <c r="AK204" s="44">
        <f>IF(AK201&gt;0,'Tax Tables'!AK311,IF(AK200&gt;0,'Tax Tables'!AK310,IF(AK199&gt;0,'Tax Tables'!AK309,IF(AK198&gt;0,'Tax Tables'!AK308,IF(AK197&gt;0,'Tax Tables'!AK307,IF(AK196&gt;0,'Tax Tables'!AK306,IF(AK195&gt;0,'Tax Tables'!AK305,0)))))))</f>
        <v>0</v>
      </c>
      <c r="AL204" s="44">
        <f>IF(AL201&gt;0,'Tax Tables'!AL311,IF(AL200&gt;0,'Tax Tables'!AL310,IF(AL199&gt;0,'Tax Tables'!AL309,IF(AL198&gt;0,'Tax Tables'!AL308,IF(AL197&gt;0,'Tax Tables'!AL307,IF(AL196&gt;0,'Tax Tables'!AL306,IF(AL195&gt;0,'Tax Tables'!AL305,0)))))))</f>
        <v>0</v>
      </c>
      <c r="AM204" s="44">
        <f>IF(AM201&gt;0,'Tax Tables'!AM311,IF(AM200&gt;0,'Tax Tables'!AM310,IF(AM199&gt;0,'Tax Tables'!AM309,IF(AM198&gt;0,'Tax Tables'!AM308,IF(AM197&gt;0,'Tax Tables'!AM307,IF(AM196&gt;0,'Tax Tables'!AM306,IF(AM195&gt;0,'Tax Tables'!AM305,0)))))))</f>
        <v>0</v>
      </c>
      <c r="AN204" s="44">
        <f>IF(AN201&gt;0,'Tax Tables'!AN311,IF(AN200&gt;0,'Tax Tables'!AN310,IF(AN199&gt;0,'Tax Tables'!AN309,IF(AN198&gt;0,'Tax Tables'!AN308,IF(AN197&gt;0,'Tax Tables'!AN307,IF(AN196&gt;0,'Tax Tables'!AN306,IF(AN195&gt;0,'Tax Tables'!AN305,0)))))))</f>
        <v>0</v>
      </c>
      <c r="AO204" s="44">
        <f>IF(AO201&gt;0,'Tax Tables'!AO311,IF(AO200&gt;0,'Tax Tables'!AO310,IF(AO199&gt;0,'Tax Tables'!AO309,IF(AO198&gt;0,'Tax Tables'!AO308,IF(AO197&gt;0,'Tax Tables'!AO307,IF(AO196&gt;0,'Tax Tables'!AO306,IF(AO195&gt;0,'Tax Tables'!AO305,0)))))))</f>
        <v>0</v>
      </c>
      <c r="AP204" s="44">
        <f>IF(AP201&gt;0,'Tax Tables'!AP311,IF(AP200&gt;0,'Tax Tables'!AP310,IF(AP199&gt;0,'Tax Tables'!AP309,IF(AP198&gt;0,'Tax Tables'!AP308,IF(AP197&gt;0,'Tax Tables'!AP307,IF(AP196&gt;0,'Tax Tables'!AP306,IF(AP195&gt;0,'Tax Tables'!AP305,0)))))))</f>
        <v>0</v>
      </c>
      <c r="AQ204" s="44">
        <f>IF(AQ201&gt;0,'Tax Tables'!AQ311,IF(AQ200&gt;0,'Tax Tables'!AQ310,IF(AQ199&gt;0,'Tax Tables'!AQ309,IF(AQ198&gt;0,'Tax Tables'!AQ308,IF(AQ197&gt;0,'Tax Tables'!AQ307,IF(AQ196&gt;0,'Tax Tables'!AQ306,IF(AQ195&gt;0,'Tax Tables'!AQ305,0)))))))</f>
        <v>0</v>
      </c>
      <c r="AR204" s="44">
        <f>IF(AR201&gt;0,'Tax Tables'!AR311,IF(AR200&gt;0,'Tax Tables'!AR310,IF(AR199&gt;0,'Tax Tables'!AR309,IF(AR198&gt;0,'Tax Tables'!AR308,IF(AR197&gt;0,'Tax Tables'!AR307,IF(AR196&gt;0,'Tax Tables'!AR306,IF(AR195&gt;0,'Tax Tables'!AR305,0)))))))</f>
        <v>0</v>
      </c>
      <c r="AS204" s="44">
        <f>IF(AS201&gt;0,'Tax Tables'!AS311,IF(AS200&gt;0,'Tax Tables'!AS310,IF(AS199&gt;0,'Tax Tables'!AS309,IF(AS198&gt;0,'Tax Tables'!AS308,IF(AS197&gt;0,'Tax Tables'!AS307,IF(AS196&gt;0,'Tax Tables'!AS306,IF(AS195&gt;0,'Tax Tables'!AS305,0)))))))</f>
        <v>0</v>
      </c>
      <c r="AT204" s="3"/>
      <c r="AU204" s="40">
        <f>+Details!E204</f>
        <v>0</v>
      </c>
      <c r="AV204" s="118">
        <f t="shared" si="163"/>
        <v>0</v>
      </c>
      <c r="AW204" s="122"/>
      <c r="AY204" s="44">
        <f>+Details!F204-Base!F204</f>
        <v>0</v>
      </c>
      <c r="AZ204" s="1129">
        <f>+Details!G204-Base!G204</f>
        <v>0</v>
      </c>
      <c r="BA204" s="1129">
        <f>+Details!H204-Base!H204</f>
        <v>0</v>
      </c>
      <c r="BB204" s="1129">
        <f>+Details!I204-Base!I204</f>
        <v>0</v>
      </c>
      <c r="BC204" s="1129">
        <f>+Details!J204-Base!J204</f>
        <v>0</v>
      </c>
      <c r="BD204" s="1129">
        <f>+Details!K204-Base!K204</f>
        <v>0</v>
      </c>
      <c r="BE204" s="1129">
        <f>+Details!L204-Base!L204</f>
        <v>0</v>
      </c>
      <c r="BF204" s="1129">
        <f>+Details!M204-Base!M204</f>
        <v>0</v>
      </c>
      <c r="BG204" s="1129">
        <f>+Details!N204-Base!N204</f>
        <v>0</v>
      </c>
      <c r="BH204" s="1129">
        <f>+Details!O204-Base!O204</f>
        <v>0</v>
      </c>
      <c r="BI204" s="1129">
        <f>+Details!P204-Base!P204</f>
        <v>0</v>
      </c>
      <c r="BJ204" s="1129">
        <f>+Details!Q204-Base!Q204</f>
        <v>0</v>
      </c>
      <c r="BK204" s="1129">
        <f>+Details!R204-Base!R204</f>
        <v>0</v>
      </c>
      <c r="BL204" s="1129">
        <f>+Details!S204-Base!S204</f>
        <v>0</v>
      </c>
      <c r="BM204" s="1129">
        <f>+Details!T204-Base!T204</f>
        <v>0</v>
      </c>
      <c r="BN204" s="1129">
        <f>+Details!U204-Base!U204</f>
        <v>0</v>
      </c>
      <c r="BO204" s="1129">
        <f>+Details!V204-Base!V204</f>
        <v>0</v>
      </c>
      <c r="BP204" s="1129">
        <f>+Details!W204-Base!W204</f>
        <v>0</v>
      </c>
      <c r="BQ204" s="1129">
        <f>+Details!X204-Base!X204</f>
        <v>0</v>
      </c>
      <c r="BR204" s="1129">
        <f>+Details!Y204-Base!Y204</f>
        <v>0</v>
      </c>
      <c r="BS204" s="1129">
        <f>+Details!Z204-Base!Z204</f>
        <v>0</v>
      </c>
      <c r="BT204" s="1129">
        <f>+Details!AA204-Base!AA204</f>
        <v>0</v>
      </c>
      <c r="BU204" s="1129">
        <f>+Details!AB204-Base!AB204</f>
        <v>0</v>
      </c>
      <c r="BV204" s="1129">
        <f>+Details!AC204-Base!AC204</f>
        <v>0</v>
      </c>
      <c r="BW204" s="1129">
        <f>+Details!AD204-Base!AD204</f>
        <v>0</v>
      </c>
      <c r="BX204" s="1129">
        <f>+Details!AE204-Base!AE204</f>
        <v>0</v>
      </c>
      <c r="BY204" s="1129">
        <f>+Details!AF204-Base!AF204</f>
        <v>0</v>
      </c>
      <c r="BZ204" s="1129">
        <f>+Details!AG204-Base!AG204</f>
        <v>0</v>
      </c>
      <c r="CA204" s="1129">
        <f>+Details!AH204-Base!AH204</f>
        <v>0</v>
      </c>
      <c r="CB204" s="1129">
        <f>+Details!AI204-Base!AI204</f>
        <v>0</v>
      </c>
      <c r="CC204" s="1129">
        <f>+Details!AJ204-Base!AJ204</f>
        <v>0</v>
      </c>
      <c r="CD204" s="1129">
        <f>+Details!AK204-Base!AK204</f>
        <v>0</v>
      </c>
      <c r="CE204" s="1129">
        <f>+Details!AL204-Base!AL204</f>
        <v>0</v>
      </c>
      <c r="CF204" s="1129">
        <f>+Details!AM204-Base!AM204</f>
        <v>0</v>
      </c>
      <c r="CG204" s="1129">
        <f>+Details!AN204-Base!AN204</f>
        <v>0</v>
      </c>
      <c r="CH204" s="1129">
        <f>+Details!AO204-Base!AO204</f>
        <v>0</v>
      </c>
      <c r="CI204" s="1129">
        <f>+Details!AP204-Base!AP204</f>
        <v>0</v>
      </c>
      <c r="CJ204" s="1129">
        <f>+Details!AQ204-Base!AQ204</f>
        <v>0</v>
      </c>
      <c r="CK204" s="1129">
        <f>+Details!AR204-Base!AR204</f>
        <v>0</v>
      </c>
      <c r="CL204" s="1129">
        <f>+Details!AS204-Base!AS204</f>
        <v>0</v>
      </c>
      <c r="CM204" s="118"/>
    </row>
    <row r="205" spans="1:91">
      <c r="B205" s="72"/>
      <c r="D205" s="152"/>
      <c r="E205" s="44"/>
      <c r="F205" s="843"/>
      <c r="G205" s="843"/>
      <c r="H205" s="843"/>
      <c r="I205" s="843"/>
      <c r="J205" s="843"/>
      <c r="K205" s="843"/>
      <c r="L205" s="843"/>
      <c r="M205" s="843"/>
      <c r="N205" s="843"/>
      <c r="O205" s="843"/>
      <c r="P205" s="843"/>
      <c r="Q205" s="843"/>
      <c r="R205" s="843"/>
      <c r="S205" s="843"/>
      <c r="T205" s="843"/>
      <c r="U205" s="843"/>
      <c r="V205" s="843"/>
      <c r="W205" s="843"/>
      <c r="X205" s="843"/>
      <c r="Y205" s="843"/>
      <c r="Z205" s="843"/>
      <c r="AA205" s="843"/>
      <c r="AB205" s="843"/>
      <c r="AC205" s="843"/>
      <c r="AD205" s="843"/>
      <c r="AE205" s="843"/>
      <c r="AF205" s="843"/>
      <c r="AG205" s="843"/>
      <c r="AH205" s="843"/>
      <c r="AI205" s="843"/>
      <c r="AJ205" s="843"/>
      <c r="AK205" s="843"/>
      <c r="AL205" s="843"/>
      <c r="AM205" s="843"/>
      <c r="AN205" s="843"/>
      <c r="AO205" s="44"/>
      <c r="AP205" s="44"/>
      <c r="AQ205" s="44"/>
      <c r="AR205" s="44"/>
      <c r="AS205" s="44"/>
      <c r="AT205" s="3"/>
      <c r="AU205" s="40"/>
      <c r="AV205" s="118"/>
      <c r="AW205" s="122"/>
      <c r="AY205" s="43"/>
      <c r="AZ205" s="843"/>
      <c r="BA205" s="843"/>
      <c r="BB205" s="843"/>
      <c r="BC205" s="843"/>
      <c r="BD205" s="843"/>
      <c r="BE205" s="843"/>
      <c r="BF205" s="843"/>
      <c r="BG205" s="843"/>
      <c r="BH205" s="843"/>
      <c r="BI205" s="843"/>
      <c r="BJ205" s="843"/>
      <c r="BK205" s="843"/>
      <c r="BL205" s="843"/>
      <c r="BM205" s="843"/>
      <c r="BN205" s="843"/>
      <c r="BO205" s="843"/>
      <c r="BP205" s="843"/>
      <c r="BQ205" s="843"/>
      <c r="BR205" s="843"/>
      <c r="BS205" s="843"/>
      <c r="BT205" s="843"/>
      <c r="BU205" s="843"/>
      <c r="BV205" s="843"/>
      <c r="BW205" s="843"/>
      <c r="BX205" s="843"/>
      <c r="BY205" s="843"/>
      <c r="BZ205" s="843"/>
      <c r="CA205" s="843"/>
      <c r="CB205" s="843"/>
      <c r="CC205" s="843"/>
      <c r="CD205" s="843"/>
      <c r="CE205" s="843"/>
      <c r="CF205" s="843"/>
      <c r="CG205" s="843"/>
      <c r="CH205" s="44"/>
      <c r="CI205" s="44"/>
      <c r="CJ205" s="44"/>
      <c r="CK205" s="44"/>
      <c r="CL205" s="44"/>
      <c r="CM205" s="118"/>
    </row>
    <row r="206" spans="1:91" ht="17.399999999999999">
      <c r="B206" s="1026" t="s">
        <v>1697</v>
      </c>
      <c r="D206" s="152"/>
      <c r="E206" s="44"/>
      <c r="F206" s="819" t="str">
        <f t="shared" ref="F206:AS206" si="166">IF(End_Itemized+1=F$4,"std ded","") &amp; IF(Single_Rate_Start=F$7,"single rate",".") &amp; IF(State_Move_Age=F$4,"new state","")</f>
        <v>.</v>
      </c>
      <c r="G206" s="819" t="str">
        <f t="shared" si="166"/>
        <v>.</v>
      </c>
      <c r="H206" s="819" t="str">
        <f t="shared" si="166"/>
        <v>.</v>
      </c>
      <c r="I206" s="819" t="str">
        <f t="shared" si="166"/>
        <v>.</v>
      </c>
      <c r="J206" s="819" t="str">
        <f t="shared" si="166"/>
        <v>.</v>
      </c>
      <c r="K206" s="819" t="str">
        <f t="shared" si="166"/>
        <v>.</v>
      </c>
      <c r="L206" s="819" t="str">
        <f t="shared" si="166"/>
        <v>.</v>
      </c>
      <c r="M206" s="819" t="str">
        <f t="shared" si="166"/>
        <v>std ded.</v>
      </c>
      <c r="N206" s="819" t="str">
        <f t="shared" si="166"/>
        <v>.</v>
      </c>
      <c r="O206" s="819" t="str">
        <f t="shared" si="166"/>
        <v>.</v>
      </c>
      <c r="P206" s="819" t="str">
        <f t="shared" si="166"/>
        <v>.</v>
      </c>
      <c r="Q206" s="819" t="str">
        <f t="shared" si="166"/>
        <v>.</v>
      </c>
      <c r="R206" s="819" t="str">
        <f t="shared" si="166"/>
        <v>.</v>
      </c>
      <c r="S206" s="819" t="str">
        <f t="shared" si="166"/>
        <v>.</v>
      </c>
      <c r="T206" s="819" t="str">
        <f t="shared" si="166"/>
        <v>.</v>
      </c>
      <c r="U206" s="819" t="str">
        <f t="shared" si="166"/>
        <v>.</v>
      </c>
      <c r="V206" s="819" t="str">
        <f t="shared" si="166"/>
        <v>.</v>
      </c>
      <c r="W206" s="819" t="str">
        <f t="shared" si="166"/>
        <v>.</v>
      </c>
      <c r="X206" s="819" t="str">
        <f t="shared" si="166"/>
        <v>.</v>
      </c>
      <c r="Y206" s="819" t="str">
        <f t="shared" si="166"/>
        <v>.</v>
      </c>
      <c r="Z206" s="819" t="str">
        <f t="shared" si="166"/>
        <v>.</v>
      </c>
      <c r="AA206" s="819" t="str">
        <f t="shared" si="166"/>
        <v>.</v>
      </c>
      <c r="AB206" s="819" t="str">
        <f t="shared" si="166"/>
        <v>.new state</v>
      </c>
      <c r="AC206" s="819" t="str">
        <f t="shared" si="166"/>
        <v>.</v>
      </c>
      <c r="AD206" s="819" t="str">
        <f t="shared" si="166"/>
        <v>single rate</v>
      </c>
      <c r="AE206" s="819" t="str">
        <f t="shared" si="166"/>
        <v>.</v>
      </c>
      <c r="AF206" s="819" t="str">
        <f t="shared" si="166"/>
        <v>.</v>
      </c>
      <c r="AG206" s="819" t="str">
        <f t="shared" si="166"/>
        <v>.</v>
      </c>
      <c r="AH206" s="819" t="str">
        <f t="shared" si="166"/>
        <v>.</v>
      </c>
      <c r="AI206" s="819" t="str">
        <f t="shared" si="166"/>
        <v>.</v>
      </c>
      <c r="AJ206" s="819" t="str">
        <f t="shared" si="166"/>
        <v>.</v>
      </c>
      <c r="AK206" s="819" t="str">
        <f t="shared" si="166"/>
        <v>.</v>
      </c>
      <c r="AL206" s="819" t="str">
        <f t="shared" si="166"/>
        <v>.</v>
      </c>
      <c r="AM206" s="819" t="str">
        <f t="shared" si="166"/>
        <v>.</v>
      </c>
      <c r="AN206" s="819" t="str">
        <f t="shared" si="166"/>
        <v>.</v>
      </c>
      <c r="AO206" s="819" t="str">
        <f t="shared" si="166"/>
        <v>.</v>
      </c>
      <c r="AP206" s="819" t="str">
        <f t="shared" si="166"/>
        <v>.</v>
      </c>
      <c r="AQ206" s="819" t="str">
        <f t="shared" si="166"/>
        <v>.</v>
      </c>
      <c r="AR206" s="819" t="str">
        <f t="shared" si="166"/>
        <v>.</v>
      </c>
      <c r="AS206" s="819" t="str">
        <f t="shared" si="166"/>
        <v>.</v>
      </c>
      <c r="AT206" s="3"/>
      <c r="AU206" s="40"/>
      <c r="AV206" s="118"/>
      <c r="AW206" s="88"/>
      <c r="AY206" s="819" t="str">
        <f>IF(End_Itemized+1=Base!AY$4,"std ded","") &amp; IF(Single_Rate_Start=Base!AY$7,"single rate",".") &amp; IF(State_Move_Age=Base!AY$4,"new state","")</f>
        <v>.</v>
      </c>
      <c r="AZ206" s="819" t="str">
        <f>IF(End_Itemized+1=Base!AZ$4,"std ded","") &amp; IF(Single_Rate_Start=Base!AZ$7,"single rate",".") &amp; IF(State_Move_Age=Base!AZ$4,"new state","")</f>
        <v>.</v>
      </c>
      <c r="BA206" s="819" t="str">
        <f>IF(End_Itemized+1=Base!BA$4,"std ded","") &amp; IF(Single_Rate_Start=Base!BA$7,"single rate",".") &amp; IF(State_Move_Age=Base!BA$4,"new state","")</f>
        <v>.</v>
      </c>
      <c r="BB206" s="819" t="str">
        <f>IF(End_Itemized+1=Base!BB$4,"std ded","") &amp; IF(Single_Rate_Start=Base!BB$7,"single rate",".") &amp; IF(State_Move_Age=Base!BB$4,"new state","")</f>
        <v>.</v>
      </c>
      <c r="BC206" s="819" t="str">
        <f>IF(End_Itemized+1=Base!BC$4,"std ded","") &amp; IF(Single_Rate_Start=Base!BC$7,"single rate",".") &amp; IF(State_Move_Age=Base!BC$4,"new state","")</f>
        <v>.</v>
      </c>
      <c r="BD206" s="819" t="str">
        <f>IF(End_Itemized+1=Base!BD$4,"std ded","") &amp; IF(Single_Rate_Start=Base!BD$7,"single rate",".") &amp; IF(State_Move_Age=Base!BD$4,"new state","")</f>
        <v>.</v>
      </c>
      <c r="BE206" s="819" t="str">
        <f>IF(End_Itemized+1=Base!BE$4,"std ded","") &amp; IF(Single_Rate_Start=Base!BE$7,"single rate",".") &amp; IF(State_Move_Age=Base!BE$4,"new state","")</f>
        <v>.</v>
      </c>
      <c r="BF206" s="819" t="str">
        <f>IF(End_Itemized+1=Base!BF$4,"std ded","") &amp; IF(Single_Rate_Start=Base!BF$7,"single rate",".") &amp; IF(State_Move_Age=Base!BF$4,"new state","")</f>
        <v>std ded.</v>
      </c>
      <c r="BG206" s="819" t="str">
        <f>IF(End_Itemized+1=Base!BG$4,"std ded","") &amp; IF(Single_Rate_Start=Base!BG$7,"single rate",".") &amp; IF(State_Move_Age=Base!BG$4,"new state","")</f>
        <v>.</v>
      </c>
      <c r="BH206" s="819" t="str">
        <f>IF(End_Itemized+1=Base!BH$4,"std ded","") &amp; IF(Single_Rate_Start=Base!BH$7,"single rate",".") &amp; IF(State_Move_Age=Base!BH$4,"new state","")</f>
        <v>.</v>
      </c>
      <c r="BI206" s="819" t="str">
        <f>IF(End_Itemized+1=Base!BI$4,"std ded","") &amp; IF(Single_Rate_Start=Base!BI$7,"single rate",".") &amp; IF(State_Move_Age=Base!BI$4,"new state","")</f>
        <v>.</v>
      </c>
      <c r="BJ206" s="819" t="str">
        <f>IF(End_Itemized+1=Base!BJ$4,"std ded","") &amp; IF(Single_Rate_Start=Base!BJ$7,"single rate",".") &amp; IF(State_Move_Age=Base!BJ$4,"new state","")</f>
        <v>.</v>
      </c>
      <c r="BK206" s="819" t="str">
        <f>IF(End_Itemized+1=Base!BK$4,"std ded","") &amp; IF(Single_Rate_Start=Base!BK$7,"single rate",".") &amp; IF(State_Move_Age=Base!BK$4,"new state","")</f>
        <v>.</v>
      </c>
      <c r="BL206" s="819" t="str">
        <f>IF(End_Itemized+1=Base!BL$4,"std ded","") &amp; IF(Single_Rate_Start=Base!BL$7,"single rate",".") &amp; IF(State_Move_Age=Base!BL$4,"new state","")</f>
        <v>.</v>
      </c>
      <c r="BM206" s="819" t="str">
        <f>IF(End_Itemized+1=Base!BM$4,"std ded","") &amp; IF(Single_Rate_Start=Base!BM$7,"single rate",".") &amp; IF(State_Move_Age=Base!BM$4,"new state","")</f>
        <v>.</v>
      </c>
      <c r="BN206" s="819" t="str">
        <f>IF(End_Itemized+1=Base!BN$4,"std ded","") &amp; IF(Single_Rate_Start=Base!BN$7,"single rate",".") &amp; IF(State_Move_Age=Base!BN$4,"new state","")</f>
        <v>.</v>
      </c>
      <c r="BO206" s="819" t="str">
        <f>IF(End_Itemized+1=Base!BO$4,"std ded","") &amp; IF(Single_Rate_Start=Base!BO$7,"single rate",".") &amp; IF(State_Move_Age=Base!BO$4,"new state","")</f>
        <v>.</v>
      </c>
      <c r="BP206" s="819" t="str">
        <f>IF(End_Itemized+1=Base!BP$4,"std ded","") &amp; IF(Single_Rate_Start=Base!BP$7,"single rate",".") &amp; IF(State_Move_Age=Base!BP$4,"new state","")</f>
        <v>.</v>
      </c>
      <c r="BQ206" s="819" t="str">
        <f>IF(End_Itemized+1=Base!BQ$4,"std ded","") &amp; IF(Single_Rate_Start=Base!BQ$7,"single rate",".") &amp; IF(State_Move_Age=Base!BQ$4,"new state","")</f>
        <v>.</v>
      </c>
      <c r="BR206" s="819" t="str">
        <f>IF(End_Itemized+1=Base!BR$4,"std ded","") &amp; IF(Single_Rate_Start=Base!BR$7,"single rate",".") &amp; IF(State_Move_Age=Base!BR$4,"new state","")</f>
        <v>.</v>
      </c>
      <c r="BS206" s="819" t="str">
        <f>IF(End_Itemized+1=Base!BS$4,"std ded","") &amp; IF(Single_Rate_Start=Base!BS$7,"single rate",".") &amp; IF(State_Move_Age=Base!BS$4,"new state","")</f>
        <v>.</v>
      </c>
      <c r="BT206" s="819" t="str">
        <f>IF(End_Itemized+1=Base!BT$4,"std ded","") &amp; IF(Single_Rate_Start=Base!BT$7,"single rate",".") &amp; IF(State_Move_Age=Base!BT$4,"new state","")</f>
        <v>.</v>
      </c>
      <c r="BU206" s="819" t="str">
        <f>IF(End_Itemized+1=Base!BU$4,"std ded","") &amp; IF(Single_Rate_Start=Base!BU$7,"single rate",".") &amp; IF(State_Move_Age=Base!BU$4,"new state","")</f>
        <v>.new state</v>
      </c>
      <c r="BV206" s="819" t="str">
        <f>IF(End_Itemized+1=Base!BV$4,"std ded","") &amp; IF(Single_Rate_Start=Base!BV$7,"single rate",".") &amp; IF(State_Move_Age=Base!BV$4,"new state","")</f>
        <v>.</v>
      </c>
      <c r="BW206" s="819" t="str">
        <f>IF(End_Itemized+1=Base!BW$4,"std ded","") &amp; IF(Single_Rate_Start=Base!BW$7,"single rate",".") &amp; IF(State_Move_Age=Base!BW$4,"new state","")</f>
        <v>single rate</v>
      </c>
      <c r="BX206" s="819" t="str">
        <f>IF(End_Itemized+1=Base!BX$4,"std ded","") &amp; IF(Single_Rate_Start=Base!BX$7,"single rate",".") &amp; IF(State_Move_Age=Base!BX$4,"new state","")</f>
        <v>.</v>
      </c>
      <c r="BY206" s="819" t="str">
        <f>IF(End_Itemized+1=Base!BY$4,"std ded","") &amp; IF(Single_Rate_Start=Base!BY$7,"single rate",".") &amp; IF(State_Move_Age=Base!BY$4,"new state","")</f>
        <v>.</v>
      </c>
      <c r="BZ206" s="819" t="str">
        <f>IF(End_Itemized+1=Base!BZ$4,"std ded","") &amp; IF(Single_Rate_Start=Base!BZ$7,"single rate",".") &amp; IF(State_Move_Age=Base!BZ$4,"new state","")</f>
        <v>.</v>
      </c>
      <c r="CA206" s="819" t="str">
        <f>IF(End_Itemized+1=Base!CA$4,"std ded","") &amp; IF(Single_Rate_Start=Base!CA$7,"single rate",".") &amp; IF(State_Move_Age=Base!CA$4,"new state","")</f>
        <v>.</v>
      </c>
      <c r="CB206" s="819" t="str">
        <f>IF(End_Itemized+1=Base!CB$4,"std ded","") &amp; IF(Single_Rate_Start=Base!CB$7,"single rate",".") &amp; IF(State_Move_Age=Base!CB$4,"new state","")</f>
        <v>.</v>
      </c>
      <c r="CC206" s="819" t="str">
        <f>IF(End_Itemized+1=Base!CC$4,"std ded","") &amp; IF(Single_Rate_Start=Base!CC$7,"single rate",".") &amp; IF(State_Move_Age=Base!CC$4,"new state","")</f>
        <v>.</v>
      </c>
      <c r="CD206" s="819" t="str">
        <f>IF(End_Itemized+1=Base!CD$4,"std ded","") &amp; IF(Single_Rate_Start=Base!CD$7,"single rate",".") &amp; IF(State_Move_Age=Base!CD$4,"new state","")</f>
        <v>.</v>
      </c>
      <c r="CE206" s="819" t="str">
        <f>IF(End_Itemized+1=Base!CE$4,"std ded","") &amp; IF(Single_Rate_Start=Base!CE$7,"single rate",".") &amp; IF(State_Move_Age=Base!CE$4,"new state","")</f>
        <v>.</v>
      </c>
      <c r="CF206" s="819" t="str">
        <f>IF(End_Itemized+1=Base!CF$4,"std ded","") &amp; IF(Single_Rate_Start=Base!CF$7,"single rate",".") &amp; IF(State_Move_Age=Base!CF$4,"new state","")</f>
        <v>.</v>
      </c>
      <c r="CG206" s="819" t="str">
        <f>IF(End_Itemized+1=Base!CG$4,"std ded","") &amp; IF(Single_Rate_Start=Base!CG$7,"single rate",".") &amp; IF(State_Move_Age=Base!CG$4,"new state","")</f>
        <v>.</v>
      </c>
      <c r="CH206" s="819" t="str">
        <f>IF(End_Itemized+1=Base!CH$4,"std ded","") &amp; IF(Single_Rate_Start=Base!CH$7,"single rate",".") &amp; IF(State_Move_Age=Base!CH$4,"new state","")</f>
        <v>.</v>
      </c>
      <c r="CI206" s="819" t="str">
        <f>IF(End_Itemized+1=Base!CI$4,"std ded","") &amp; IF(Single_Rate_Start=Base!CI$7,"single rate",".") &amp; IF(State_Move_Age=Base!CI$4,"new state","")</f>
        <v>.</v>
      </c>
      <c r="CJ206" s="819" t="str">
        <f>IF(End_Itemized+1=Base!CJ$4,"std ded","") &amp; IF(Single_Rate_Start=Base!CJ$7,"single rate",".") &amp; IF(State_Move_Age=Base!CJ$4,"new state","")</f>
        <v>.</v>
      </c>
      <c r="CK206" s="819" t="str">
        <f>IF(End_Itemized+1=Base!CK$4,"std ded","") &amp; IF(Single_Rate_Start=Base!CK$7,"single rate",".") &amp; IF(State_Move_Age=Base!CK$4,"new state","")</f>
        <v>.</v>
      </c>
      <c r="CL206" s="819" t="str">
        <f>IF(End_Itemized+1=Base!CL$4,"std ded","") &amp; IF(Single_Rate_Start=Base!CL$7,"single rate",".") &amp; IF(State_Move_Age=Base!CL$4,"new state","")</f>
        <v>.</v>
      </c>
      <c r="CM206" s="118"/>
    </row>
    <row r="207" spans="1:91">
      <c r="B207" s="634" t="s">
        <v>1036</v>
      </c>
      <c r="D207" s="29"/>
      <c r="E207" s="102">
        <f t="shared" ref="E207:E222" si="167">SUM(F207:AS207)</f>
        <v>1833700</v>
      </c>
      <c r="F207" s="1124">
        <f>+F182-F66</f>
        <v>54700</v>
      </c>
      <c r="G207" s="1124">
        <f t="shared" ref="G207:AR207" si="168">+G182-G66</f>
        <v>71200</v>
      </c>
      <c r="H207" s="1124">
        <f t="shared" si="168"/>
        <v>57700</v>
      </c>
      <c r="I207" s="1124">
        <f t="shared" si="168"/>
        <v>59200</v>
      </c>
      <c r="J207" s="1124">
        <f t="shared" si="168"/>
        <v>60800</v>
      </c>
      <c r="K207" s="1124">
        <f t="shared" si="168"/>
        <v>62600</v>
      </c>
      <c r="L207" s="1124">
        <f t="shared" si="168"/>
        <v>64700</v>
      </c>
      <c r="M207" s="1124">
        <f t="shared" si="168"/>
        <v>66700</v>
      </c>
      <c r="N207" s="1124">
        <f t="shared" si="168"/>
        <v>28200</v>
      </c>
      <c r="O207" s="1124">
        <f t="shared" si="168"/>
        <v>28500</v>
      </c>
      <c r="P207" s="1124">
        <f t="shared" si="168"/>
        <v>29000</v>
      </c>
      <c r="Q207" s="1124">
        <f t="shared" si="168"/>
        <v>29900</v>
      </c>
      <c r="R207" s="1124">
        <f t="shared" si="168"/>
        <v>35500</v>
      </c>
      <c r="S207" s="1124">
        <f t="shared" si="168"/>
        <v>37200</v>
      </c>
      <c r="T207" s="1124">
        <f t="shared" si="168"/>
        <v>50700</v>
      </c>
      <c r="U207" s="1124">
        <f t="shared" si="168"/>
        <v>57500</v>
      </c>
      <c r="V207" s="1124">
        <f t="shared" si="168"/>
        <v>65600</v>
      </c>
      <c r="W207" s="1124">
        <f t="shared" si="168"/>
        <v>68800</v>
      </c>
      <c r="X207" s="1124">
        <f t="shared" si="168"/>
        <v>59600</v>
      </c>
      <c r="Y207" s="1124">
        <f t="shared" si="168"/>
        <v>60900</v>
      </c>
      <c r="Z207" s="1124">
        <f t="shared" si="168"/>
        <v>63800</v>
      </c>
      <c r="AA207" s="1124">
        <f t="shared" si="168"/>
        <v>67000</v>
      </c>
      <c r="AB207" s="1124">
        <f t="shared" si="168"/>
        <v>72200</v>
      </c>
      <c r="AC207" s="1124">
        <f t="shared" si="168"/>
        <v>81400</v>
      </c>
      <c r="AD207" s="1124">
        <f t="shared" si="168"/>
        <v>83000</v>
      </c>
      <c r="AE207" s="1124">
        <f t="shared" si="168"/>
        <v>86400</v>
      </c>
      <c r="AF207" s="1124">
        <f t="shared" si="168"/>
        <v>87800</v>
      </c>
      <c r="AG207" s="1124">
        <f t="shared" si="168"/>
        <v>80500</v>
      </c>
      <c r="AH207" s="1124">
        <f t="shared" si="168"/>
        <v>80500</v>
      </c>
      <c r="AI207" s="1124">
        <f t="shared" si="168"/>
        <v>82100</v>
      </c>
      <c r="AJ207" s="1124">
        <f t="shared" si="168"/>
        <v>0</v>
      </c>
      <c r="AK207" s="1124">
        <f t="shared" si="168"/>
        <v>0</v>
      </c>
      <c r="AL207" s="1124">
        <f t="shared" si="168"/>
        <v>0</v>
      </c>
      <c r="AM207" s="1124">
        <f t="shared" si="168"/>
        <v>0</v>
      </c>
      <c r="AN207" s="1124">
        <f t="shared" si="168"/>
        <v>0</v>
      </c>
      <c r="AO207" s="1124">
        <f t="shared" si="168"/>
        <v>0</v>
      </c>
      <c r="AP207" s="1124">
        <f t="shared" si="168"/>
        <v>0</v>
      </c>
      <c r="AQ207" s="1124">
        <f t="shared" si="168"/>
        <v>0</v>
      </c>
      <c r="AR207" s="1124">
        <f t="shared" si="168"/>
        <v>0</v>
      </c>
      <c r="AS207" s="1124">
        <f>+AS182-AS66</f>
        <v>0</v>
      </c>
      <c r="AT207" s="3"/>
      <c r="AU207" s="102">
        <f>+Details!E207</f>
        <v>1833700</v>
      </c>
      <c r="AV207" s="103">
        <f t="shared" ref="AV207:AV225" si="169">+E207-AU207</f>
        <v>0</v>
      </c>
      <c r="AW207" s="102"/>
      <c r="AY207" s="31">
        <f>+Details!F207-Base!F207</f>
        <v>0</v>
      </c>
      <c r="AZ207" s="1124">
        <f>+Details!G207-Base!G207</f>
        <v>0</v>
      </c>
      <c r="BA207" s="1124">
        <f>+Details!H207-Base!H207</f>
        <v>0</v>
      </c>
      <c r="BB207" s="1124">
        <f>+Details!I207-Base!I207</f>
        <v>0</v>
      </c>
      <c r="BC207" s="1124">
        <f>+Details!J207-Base!J207</f>
        <v>0</v>
      </c>
      <c r="BD207" s="1124">
        <f>+Details!K207-Base!K207</f>
        <v>0</v>
      </c>
      <c r="BE207" s="1124">
        <f>+Details!L207-Base!L207</f>
        <v>0</v>
      </c>
      <c r="BF207" s="1124">
        <f>+Details!M207-Base!M207</f>
        <v>0</v>
      </c>
      <c r="BG207" s="1124">
        <f>+Details!N207-Base!N207</f>
        <v>0</v>
      </c>
      <c r="BH207" s="1124">
        <f>+Details!O207-Base!O207</f>
        <v>0</v>
      </c>
      <c r="BI207" s="1124">
        <f>+Details!P207-Base!P207</f>
        <v>0</v>
      </c>
      <c r="BJ207" s="1124">
        <f>+Details!Q207-Base!Q207</f>
        <v>0</v>
      </c>
      <c r="BK207" s="1124">
        <f>+Details!R207-Base!R207</f>
        <v>0</v>
      </c>
      <c r="BL207" s="1124">
        <f>+Details!S207-Base!S207</f>
        <v>0</v>
      </c>
      <c r="BM207" s="1124">
        <f>+Details!T207-Base!T207</f>
        <v>0</v>
      </c>
      <c r="BN207" s="1124">
        <f>+Details!U207-Base!U207</f>
        <v>0</v>
      </c>
      <c r="BO207" s="1124">
        <f>+Details!V207-Base!V207</f>
        <v>0</v>
      </c>
      <c r="BP207" s="1124">
        <f>+Details!W207-Base!W207</f>
        <v>0</v>
      </c>
      <c r="BQ207" s="1124">
        <f>+Details!X207-Base!X207</f>
        <v>0</v>
      </c>
      <c r="BR207" s="1124">
        <f>+Details!Y207-Base!Y207</f>
        <v>0</v>
      </c>
      <c r="BS207" s="1124">
        <f>+Details!Z207-Base!Z207</f>
        <v>0</v>
      </c>
      <c r="BT207" s="1124">
        <f>+Details!AA207-Base!AA207</f>
        <v>0</v>
      </c>
      <c r="BU207" s="1124">
        <f>+Details!AB207-Base!AB207</f>
        <v>0</v>
      </c>
      <c r="BV207" s="1124">
        <f>+Details!AC207-Base!AC207</f>
        <v>0</v>
      </c>
      <c r="BW207" s="1124">
        <f>+Details!AD207-Base!AD207</f>
        <v>0</v>
      </c>
      <c r="BX207" s="1124">
        <f>+Details!AE207-Base!AE207</f>
        <v>0</v>
      </c>
      <c r="BY207" s="1124">
        <f>+Details!AF207-Base!AF207</f>
        <v>0</v>
      </c>
      <c r="BZ207" s="1124">
        <f>+Details!AG207-Base!AG207</f>
        <v>0</v>
      </c>
      <c r="CA207" s="1124">
        <f>+Details!AH207-Base!AH207</f>
        <v>0</v>
      </c>
      <c r="CB207" s="1124">
        <f>+Details!AI207-Base!AI207</f>
        <v>0</v>
      </c>
      <c r="CC207" s="1124">
        <f>+Details!AJ207-Base!AJ207</f>
        <v>0</v>
      </c>
      <c r="CD207" s="1124">
        <f>+Details!AK207-Base!AK207</f>
        <v>0</v>
      </c>
      <c r="CE207" s="1124">
        <f>+Details!AL207-Base!AL207</f>
        <v>0</v>
      </c>
      <c r="CF207" s="1124">
        <f>+Details!AM207-Base!AM207</f>
        <v>0</v>
      </c>
      <c r="CG207" s="1124">
        <f>+Details!AN207-Base!AN207</f>
        <v>0</v>
      </c>
      <c r="CH207" s="1124">
        <f>+Details!AO207-Base!AO207</f>
        <v>0</v>
      </c>
      <c r="CI207" s="1124">
        <f>+Details!AP207-Base!AP207</f>
        <v>0</v>
      </c>
      <c r="CJ207" s="1124">
        <f>+Details!AQ207-Base!AQ207</f>
        <v>0</v>
      </c>
      <c r="CK207" s="1124">
        <f>+Details!AR207-Base!AR207</f>
        <v>0</v>
      </c>
      <c r="CL207" s="1124">
        <f>+Details!AS207-Base!AS207</f>
        <v>0</v>
      </c>
      <c r="CM207" s="103"/>
    </row>
    <row r="208" spans="1:91">
      <c r="B208" s="72" t="s">
        <v>962</v>
      </c>
      <c r="D208" s="1374" t="str">
        <f>"state1: " &amp; SS_Tax_State &amp; ", state2: " &amp; SS_Tax_State2</f>
        <v>state1: n, state2: y</v>
      </c>
      <c r="E208" s="102">
        <f t="shared" si="167"/>
        <v>384700</v>
      </c>
      <c r="F208" s="88">
        <f t="shared" ref="F208:AS208" si="170">ROUND(IF(AND(State_Move_Age&lt;=F$4,State_Move_Age&lt;&gt;0),IF(SS_Tax_State2="y",+F$183,0),IF(SS_Tax_State="y",F$183,0))/Round_To,0)*Round_To</f>
        <v>0</v>
      </c>
      <c r="G208" s="1124">
        <f t="shared" si="170"/>
        <v>0</v>
      </c>
      <c r="H208" s="1124">
        <f t="shared" si="170"/>
        <v>0</v>
      </c>
      <c r="I208" s="1124">
        <f t="shared" si="170"/>
        <v>0</v>
      </c>
      <c r="J208" s="1124">
        <f t="shared" si="170"/>
        <v>0</v>
      </c>
      <c r="K208" s="1124">
        <f t="shared" si="170"/>
        <v>0</v>
      </c>
      <c r="L208" s="1124">
        <f t="shared" si="170"/>
        <v>0</v>
      </c>
      <c r="M208" s="1124">
        <f t="shared" si="170"/>
        <v>0</v>
      </c>
      <c r="N208" s="1124">
        <f t="shared" si="170"/>
        <v>0</v>
      </c>
      <c r="O208" s="1124">
        <f t="shared" si="170"/>
        <v>0</v>
      </c>
      <c r="P208" s="1124">
        <f t="shared" si="170"/>
        <v>0</v>
      </c>
      <c r="Q208" s="1124">
        <f t="shared" si="170"/>
        <v>0</v>
      </c>
      <c r="R208" s="1124">
        <f t="shared" si="170"/>
        <v>0</v>
      </c>
      <c r="S208" s="1124">
        <f t="shared" si="170"/>
        <v>0</v>
      </c>
      <c r="T208" s="1124">
        <f t="shared" si="170"/>
        <v>0</v>
      </c>
      <c r="U208" s="1124">
        <f t="shared" si="170"/>
        <v>0</v>
      </c>
      <c r="V208" s="1124">
        <f t="shared" si="170"/>
        <v>0</v>
      </c>
      <c r="W208" s="1124">
        <f t="shared" si="170"/>
        <v>0</v>
      </c>
      <c r="X208" s="1124">
        <f t="shared" si="170"/>
        <v>0</v>
      </c>
      <c r="Y208" s="1124">
        <f t="shared" si="170"/>
        <v>0</v>
      </c>
      <c r="Z208" s="1124">
        <f t="shared" si="170"/>
        <v>0</v>
      </c>
      <c r="AA208" s="1124">
        <f t="shared" si="170"/>
        <v>0</v>
      </c>
      <c r="AB208" s="1124">
        <f t="shared" si="170"/>
        <v>60300</v>
      </c>
      <c r="AC208" s="1124">
        <f t="shared" si="170"/>
        <v>61500</v>
      </c>
      <c r="AD208" s="1124">
        <f t="shared" si="170"/>
        <v>41700</v>
      </c>
      <c r="AE208" s="1124">
        <f t="shared" si="170"/>
        <v>42500</v>
      </c>
      <c r="AF208" s="1124">
        <f t="shared" si="170"/>
        <v>43400</v>
      </c>
      <c r="AG208" s="1124">
        <f t="shared" si="170"/>
        <v>44200</v>
      </c>
      <c r="AH208" s="1124">
        <f t="shared" si="170"/>
        <v>45100</v>
      </c>
      <c r="AI208" s="1124">
        <f t="shared" si="170"/>
        <v>46000</v>
      </c>
      <c r="AJ208" s="1124">
        <f t="shared" si="170"/>
        <v>0</v>
      </c>
      <c r="AK208" s="1124">
        <f t="shared" si="170"/>
        <v>0</v>
      </c>
      <c r="AL208" s="1124">
        <f t="shared" si="170"/>
        <v>0</v>
      </c>
      <c r="AM208" s="1124">
        <f t="shared" si="170"/>
        <v>0</v>
      </c>
      <c r="AN208" s="1124">
        <f t="shared" si="170"/>
        <v>0</v>
      </c>
      <c r="AO208" s="1124">
        <f t="shared" si="170"/>
        <v>0</v>
      </c>
      <c r="AP208" s="1124">
        <f t="shared" si="170"/>
        <v>0</v>
      </c>
      <c r="AQ208" s="1124">
        <f t="shared" si="170"/>
        <v>0</v>
      </c>
      <c r="AR208" s="1124">
        <f t="shared" si="170"/>
        <v>0</v>
      </c>
      <c r="AS208" s="1124">
        <f t="shared" si="170"/>
        <v>0</v>
      </c>
      <c r="AT208" s="3"/>
      <c r="AU208" s="102">
        <f>+Details!E208</f>
        <v>384700</v>
      </c>
      <c r="AV208" s="103">
        <f t="shared" si="169"/>
        <v>0</v>
      </c>
      <c r="AW208" s="102"/>
      <c r="AY208" s="31">
        <f>+Details!F208-Base!F208</f>
        <v>0</v>
      </c>
      <c r="AZ208" s="1124">
        <f>+Details!G208-Base!G208</f>
        <v>0</v>
      </c>
      <c r="BA208" s="1124">
        <f>+Details!H208-Base!H208</f>
        <v>0</v>
      </c>
      <c r="BB208" s="1124">
        <f>+Details!I208-Base!I208</f>
        <v>0</v>
      </c>
      <c r="BC208" s="1124">
        <f>+Details!J208-Base!J208</f>
        <v>0</v>
      </c>
      <c r="BD208" s="1124">
        <f>+Details!K208-Base!K208</f>
        <v>0</v>
      </c>
      <c r="BE208" s="1124">
        <f>+Details!L208-Base!L208</f>
        <v>0</v>
      </c>
      <c r="BF208" s="1124">
        <f>+Details!M208-Base!M208</f>
        <v>0</v>
      </c>
      <c r="BG208" s="1124">
        <f>+Details!N208-Base!N208</f>
        <v>0</v>
      </c>
      <c r="BH208" s="1124">
        <f>+Details!O208-Base!O208</f>
        <v>0</v>
      </c>
      <c r="BI208" s="1124">
        <f>+Details!P208-Base!P208</f>
        <v>0</v>
      </c>
      <c r="BJ208" s="1124">
        <f>+Details!Q208-Base!Q208</f>
        <v>0</v>
      </c>
      <c r="BK208" s="1124">
        <f>+Details!R208-Base!R208</f>
        <v>0</v>
      </c>
      <c r="BL208" s="1124">
        <f>+Details!S208-Base!S208</f>
        <v>0</v>
      </c>
      <c r="BM208" s="1124">
        <f>+Details!T208-Base!T208</f>
        <v>0</v>
      </c>
      <c r="BN208" s="1124">
        <f>+Details!U208-Base!U208</f>
        <v>0</v>
      </c>
      <c r="BO208" s="1124">
        <f>+Details!V208-Base!V208</f>
        <v>0</v>
      </c>
      <c r="BP208" s="1124">
        <f>+Details!W208-Base!W208</f>
        <v>0</v>
      </c>
      <c r="BQ208" s="1124">
        <f>+Details!X208-Base!X208</f>
        <v>0</v>
      </c>
      <c r="BR208" s="1124">
        <f>+Details!Y208-Base!Y208</f>
        <v>0</v>
      </c>
      <c r="BS208" s="1124">
        <f>+Details!Z208-Base!Z208</f>
        <v>0</v>
      </c>
      <c r="BT208" s="1124">
        <f>+Details!AA208-Base!AA208</f>
        <v>0</v>
      </c>
      <c r="BU208" s="1124">
        <f>+Details!AB208-Base!AB208</f>
        <v>0</v>
      </c>
      <c r="BV208" s="1124">
        <f>+Details!AC208-Base!AC208</f>
        <v>0</v>
      </c>
      <c r="BW208" s="1124">
        <f>+Details!AD208-Base!AD208</f>
        <v>0</v>
      </c>
      <c r="BX208" s="1124">
        <f>+Details!AE208-Base!AE208</f>
        <v>0</v>
      </c>
      <c r="BY208" s="1124">
        <f>+Details!AF208-Base!AF208</f>
        <v>0</v>
      </c>
      <c r="BZ208" s="1124">
        <f>+Details!AG208-Base!AG208</f>
        <v>0</v>
      </c>
      <c r="CA208" s="1124">
        <f>+Details!AH208-Base!AH208</f>
        <v>0</v>
      </c>
      <c r="CB208" s="1124">
        <f>+Details!AI208-Base!AI208</f>
        <v>0</v>
      </c>
      <c r="CC208" s="1124">
        <f>+Details!AJ208-Base!AJ208</f>
        <v>0</v>
      </c>
      <c r="CD208" s="1124">
        <f>+Details!AK208-Base!AK208</f>
        <v>0</v>
      </c>
      <c r="CE208" s="1124">
        <f>+Details!AL208-Base!AL208</f>
        <v>0</v>
      </c>
      <c r="CF208" s="1124">
        <f>+Details!AM208-Base!AM208</f>
        <v>0</v>
      </c>
      <c r="CG208" s="1124">
        <f>+Details!AN208-Base!AN208</f>
        <v>0</v>
      </c>
      <c r="CH208" s="1124">
        <f>+Details!AO208-Base!AO208</f>
        <v>0</v>
      </c>
      <c r="CI208" s="1124">
        <f>+Details!AP208-Base!AP208</f>
        <v>0</v>
      </c>
      <c r="CJ208" s="1124">
        <f>+Details!AQ208-Base!AQ208</f>
        <v>0</v>
      </c>
      <c r="CK208" s="1124">
        <f>+Details!AR208-Base!AR208</f>
        <v>0</v>
      </c>
      <c r="CL208" s="1124">
        <f>+Details!AS208-Base!AS208</f>
        <v>0</v>
      </c>
      <c r="CM208" s="103"/>
    </row>
    <row r="209" spans="1:91">
      <c r="B209" s="72" t="s">
        <v>963</v>
      </c>
      <c r="D209" s="1374" t="str">
        <f>"state1: " &amp; Pen_Tax_State*100 &amp; "%, state2: " &amp; Pen_Tax_State2*100 &amp; "%"</f>
        <v>state1: 100%, state2: 50%</v>
      </c>
      <c r="E209" s="102">
        <f t="shared" si="167"/>
        <v>313200</v>
      </c>
      <c r="F209" s="88">
        <f t="shared" ref="F209:AS209" si="171">ROUND(IF(OR(F$4&lt;State_Move_Age,State_Move_Age=0),Pen_Tax_State*F$66,Pen_Tax_State2*F$66)/Round_To,0)*Round_To</f>
        <v>8000</v>
      </c>
      <c r="G209" s="1124">
        <f t="shared" si="171"/>
        <v>8200</v>
      </c>
      <c r="H209" s="1124">
        <f t="shared" si="171"/>
        <v>8400</v>
      </c>
      <c r="I209" s="1124">
        <f t="shared" si="171"/>
        <v>8700</v>
      </c>
      <c r="J209" s="1124">
        <f t="shared" si="171"/>
        <v>9000</v>
      </c>
      <c r="K209" s="1124">
        <f t="shared" si="171"/>
        <v>9300</v>
      </c>
      <c r="L209" s="1124">
        <f t="shared" si="171"/>
        <v>9600</v>
      </c>
      <c r="M209" s="1124">
        <f t="shared" si="171"/>
        <v>9900</v>
      </c>
      <c r="N209" s="1124">
        <f t="shared" si="171"/>
        <v>10200</v>
      </c>
      <c r="O209" s="1124">
        <f t="shared" si="171"/>
        <v>10500</v>
      </c>
      <c r="P209" s="1124">
        <f t="shared" si="171"/>
        <v>10800</v>
      </c>
      <c r="Q209" s="1124">
        <f t="shared" si="171"/>
        <v>11100</v>
      </c>
      <c r="R209" s="1124">
        <f t="shared" si="171"/>
        <v>11400</v>
      </c>
      <c r="S209" s="1124">
        <f t="shared" si="171"/>
        <v>11700</v>
      </c>
      <c r="T209" s="1124">
        <f t="shared" si="171"/>
        <v>12100</v>
      </c>
      <c r="U209" s="1124">
        <f t="shared" si="171"/>
        <v>12500</v>
      </c>
      <c r="V209" s="1124">
        <f t="shared" si="171"/>
        <v>12900</v>
      </c>
      <c r="W209" s="1124">
        <f t="shared" si="171"/>
        <v>13300</v>
      </c>
      <c r="X209" s="1124">
        <f t="shared" si="171"/>
        <v>13700</v>
      </c>
      <c r="Y209" s="1124">
        <f t="shared" si="171"/>
        <v>14100</v>
      </c>
      <c r="Z209" s="1124">
        <f t="shared" si="171"/>
        <v>14500</v>
      </c>
      <c r="AA209" s="1124">
        <f t="shared" si="171"/>
        <v>14900</v>
      </c>
      <c r="AB209" s="1124">
        <f t="shared" si="171"/>
        <v>7700</v>
      </c>
      <c r="AC209" s="1124">
        <f t="shared" si="171"/>
        <v>7900</v>
      </c>
      <c r="AD209" s="1124">
        <f t="shared" si="171"/>
        <v>8200</v>
      </c>
      <c r="AE209" s="1124">
        <f t="shared" si="171"/>
        <v>8400</v>
      </c>
      <c r="AF209" s="1124">
        <f t="shared" si="171"/>
        <v>8700</v>
      </c>
      <c r="AG209" s="1124">
        <f t="shared" si="171"/>
        <v>8900</v>
      </c>
      <c r="AH209" s="1124">
        <f t="shared" si="171"/>
        <v>9200</v>
      </c>
      <c r="AI209" s="1124">
        <f t="shared" si="171"/>
        <v>9400</v>
      </c>
      <c r="AJ209" s="1124">
        <f t="shared" si="171"/>
        <v>0</v>
      </c>
      <c r="AK209" s="1124">
        <f t="shared" si="171"/>
        <v>0</v>
      </c>
      <c r="AL209" s="1124">
        <f t="shared" si="171"/>
        <v>0</v>
      </c>
      <c r="AM209" s="1124">
        <f t="shared" si="171"/>
        <v>0</v>
      </c>
      <c r="AN209" s="1124">
        <f t="shared" si="171"/>
        <v>0</v>
      </c>
      <c r="AO209" s="1124">
        <f t="shared" si="171"/>
        <v>0</v>
      </c>
      <c r="AP209" s="1124">
        <f t="shared" si="171"/>
        <v>0</v>
      </c>
      <c r="AQ209" s="1124">
        <f t="shared" si="171"/>
        <v>0</v>
      </c>
      <c r="AR209" s="1124">
        <f t="shared" si="171"/>
        <v>0</v>
      </c>
      <c r="AS209" s="1124">
        <f t="shared" si="171"/>
        <v>0</v>
      </c>
      <c r="AT209" s="89"/>
      <c r="AU209" s="102">
        <f>+Details!E209</f>
        <v>313200</v>
      </c>
      <c r="AV209" s="103">
        <f t="shared" si="169"/>
        <v>0</v>
      </c>
      <c r="AW209" s="102"/>
      <c r="AY209" s="88">
        <f>+Details!F209-Base!F209</f>
        <v>0</v>
      </c>
      <c r="AZ209" s="1124">
        <f>+Details!G209-Base!G209</f>
        <v>0</v>
      </c>
      <c r="BA209" s="1124">
        <f>+Details!H209-Base!H209</f>
        <v>0</v>
      </c>
      <c r="BB209" s="1124">
        <f>+Details!I209-Base!I209</f>
        <v>0</v>
      </c>
      <c r="BC209" s="1124">
        <f>+Details!J209-Base!J209</f>
        <v>0</v>
      </c>
      <c r="BD209" s="1124">
        <f>+Details!K209-Base!K209</f>
        <v>0</v>
      </c>
      <c r="BE209" s="1124">
        <f>+Details!L209-Base!L209</f>
        <v>0</v>
      </c>
      <c r="BF209" s="1124">
        <f>+Details!M209-Base!M209</f>
        <v>0</v>
      </c>
      <c r="BG209" s="1124">
        <f>+Details!N209-Base!N209</f>
        <v>0</v>
      </c>
      <c r="BH209" s="1124">
        <f>+Details!O209-Base!O209</f>
        <v>0</v>
      </c>
      <c r="BI209" s="1124">
        <f>+Details!P209-Base!P209</f>
        <v>0</v>
      </c>
      <c r="BJ209" s="1124">
        <f>+Details!Q209-Base!Q209</f>
        <v>0</v>
      </c>
      <c r="BK209" s="1124">
        <f>+Details!R209-Base!R209</f>
        <v>0</v>
      </c>
      <c r="BL209" s="1124">
        <f>+Details!S209-Base!S209</f>
        <v>0</v>
      </c>
      <c r="BM209" s="1124">
        <f>+Details!T209-Base!T209</f>
        <v>0</v>
      </c>
      <c r="BN209" s="1124">
        <f>+Details!U209-Base!U209</f>
        <v>0</v>
      </c>
      <c r="BO209" s="1124">
        <f>+Details!V209-Base!V209</f>
        <v>0</v>
      </c>
      <c r="BP209" s="1124">
        <f>+Details!W209-Base!W209</f>
        <v>0</v>
      </c>
      <c r="BQ209" s="1124">
        <f>+Details!X209-Base!X209</f>
        <v>0</v>
      </c>
      <c r="BR209" s="1124">
        <f>+Details!Y209-Base!Y209</f>
        <v>0</v>
      </c>
      <c r="BS209" s="1124">
        <f>+Details!Z209-Base!Z209</f>
        <v>0</v>
      </c>
      <c r="BT209" s="1124">
        <f>+Details!AA209-Base!AA209</f>
        <v>0</v>
      </c>
      <c r="BU209" s="1124">
        <f>+Details!AB209-Base!AB209</f>
        <v>0</v>
      </c>
      <c r="BV209" s="1124">
        <f>+Details!AC209-Base!AC209</f>
        <v>0</v>
      </c>
      <c r="BW209" s="1124">
        <f>+Details!AD209-Base!AD209</f>
        <v>0</v>
      </c>
      <c r="BX209" s="1124">
        <f>+Details!AE209-Base!AE209</f>
        <v>0</v>
      </c>
      <c r="BY209" s="1124">
        <f>+Details!AF209-Base!AF209</f>
        <v>0</v>
      </c>
      <c r="BZ209" s="1124">
        <f>+Details!AG209-Base!AG209</f>
        <v>0</v>
      </c>
      <c r="CA209" s="1124">
        <f>+Details!AH209-Base!AH209</f>
        <v>0</v>
      </c>
      <c r="CB209" s="1124">
        <f>+Details!AI209-Base!AI209</f>
        <v>0</v>
      </c>
      <c r="CC209" s="1124">
        <f>+Details!AJ209-Base!AJ209</f>
        <v>0</v>
      </c>
      <c r="CD209" s="1124">
        <f>+Details!AK209-Base!AK209</f>
        <v>0</v>
      </c>
      <c r="CE209" s="1124">
        <f>+Details!AL209-Base!AL209</f>
        <v>0</v>
      </c>
      <c r="CF209" s="1124">
        <f>+Details!AM209-Base!AM209</f>
        <v>0</v>
      </c>
      <c r="CG209" s="1124">
        <f>+Details!AN209-Base!AN209</f>
        <v>0</v>
      </c>
      <c r="CH209" s="1124">
        <f>+Details!AO209-Base!AO209</f>
        <v>0</v>
      </c>
      <c r="CI209" s="1124">
        <f>+Details!AP209-Base!AP209</f>
        <v>0</v>
      </c>
      <c r="CJ209" s="1124">
        <f>+Details!AQ209-Base!AQ209</f>
        <v>0</v>
      </c>
      <c r="CK209" s="1124">
        <f>+Details!AR209-Base!AR209</f>
        <v>0</v>
      </c>
      <c r="CL209" s="1124">
        <f>+Details!AS209-Base!AS209</f>
        <v>0</v>
      </c>
      <c r="CM209" s="103"/>
    </row>
    <row r="210" spans="1:91" s="1" customFormat="1">
      <c r="A210" s="1426"/>
      <c r="B210" s="552" t="s">
        <v>139</v>
      </c>
      <c r="D210" s="829"/>
      <c r="E210" s="102">
        <f t="shared" si="167"/>
        <v>117200</v>
      </c>
      <c r="F210" s="88">
        <f t="shared" ref="F210:AS210" si="172">ROUND(IF(AND(State_Move_Age&gt;F$4,State_Move_Age&lt;&gt;0),TaxEx_State*-F$170,TaxEx_State2*-F$170)/Round_To,0)*Round_To</f>
        <v>2900</v>
      </c>
      <c r="G210" s="1147">
        <f t="shared" si="172"/>
        <v>2800</v>
      </c>
      <c r="H210" s="1147">
        <f t="shared" si="172"/>
        <v>2700</v>
      </c>
      <c r="I210" s="1147">
        <f t="shared" si="172"/>
        <v>2500</v>
      </c>
      <c r="J210" s="1147">
        <f t="shared" si="172"/>
        <v>2300</v>
      </c>
      <c r="K210" s="1147">
        <f t="shared" si="172"/>
        <v>2300</v>
      </c>
      <c r="L210" s="1147">
        <f t="shared" si="172"/>
        <v>2400</v>
      </c>
      <c r="M210" s="1147">
        <f t="shared" si="172"/>
        <v>2600</v>
      </c>
      <c r="N210" s="1147">
        <f t="shared" si="172"/>
        <v>2800</v>
      </c>
      <c r="O210" s="1147">
        <f t="shared" si="172"/>
        <v>3300</v>
      </c>
      <c r="P210" s="1147">
        <f t="shared" si="172"/>
        <v>3200</v>
      </c>
      <c r="Q210" s="1147">
        <f t="shared" si="172"/>
        <v>3500</v>
      </c>
      <c r="R210" s="1147">
        <f t="shared" si="172"/>
        <v>4200</v>
      </c>
      <c r="S210" s="1147">
        <f t="shared" si="172"/>
        <v>4700</v>
      </c>
      <c r="T210" s="1147">
        <f t="shared" si="172"/>
        <v>4800</v>
      </c>
      <c r="U210" s="1147">
        <f t="shared" si="172"/>
        <v>5400</v>
      </c>
      <c r="V210" s="1147">
        <f t="shared" si="172"/>
        <v>6700</v>
      </c>
      <c r="W210" s="1147">
        <f t="shared" si="172"/>
        <v>7600</v>
      </c>
      <c r="X210" s="1147">
        <f t="shared" si="172"/>
        <v>11500</v>
      </c>
      <c r="Y210" s="1147">
        <f t="shared" si="172"/>
        <v>12200</v>
      </c>
      <c r="Z210" s="1147">
        <f t="shared" si="172"/>
        <v>13000</v>
      </c>
      <c r="AA210" s="1147">
        <f t="shared" si="172"/>
        <v>13800</v>
      </c>
      <c r="AB210" s="1147">
        <f t="shared" si="172"/>
        <v>0</v>
      </c>
      <c r="AC210" s="1147">
        <f t="shared" si="172"/>
        <v>0</v>
      </c>
      <c r="AD210" s="1147">
        <f t="shared" si="172"/>
        <v>0</v>
      </c>
      <c r="AE210" s="1147">
        <f t="shared" si="172"/>
        <v>0</v>
      </c>
      <c r="AF210" s="1147">
        <f t="shared" si="172"/>
        <v>0</v>
      </c>
      <c r="AG210" s="1147">
        <f t="shared" si="172"/>
        <v>0</v>
      </c>
      <c r="AH210" s="1147">
        <f t="shared" si="172"/>
        <v>0</v>
      </c>
      <c r="AI210" s="1147">
        <f t="shared" si="172"/>
        <v>0</v>
      </c>
      <c r="AJ210" s="1147">
        <f t="shared" si="172"/>
        <v>0</v>
      </c>
      <c r="AK210" s="1147">
        <f t="shared" si="172"/>
        <v>0</v>
      </c>
      <c r="AL210" s="1147">
        <f t="shared" si="172"/>
        <v>0</v>
      </c>
      <c r="AM210" s="1147">
        <f t="shared" si="172"/>
        <v>0</v>
      </c>
      <c r="AN210" s="1147">
        <f t="shared" si="172"/>
        <v>0</v>
      </c>
      <c r="AO210" s="1147">
        <f t="shared" si="172"/>
        <v>0</v>
      </c>
      <c r="AP210" s="1147">
        <f t="shared" si="172"/>
        <v>0</v>
      </c>
      <c r="AQ210" s="1147">
        <f t="shared" si="172"/>
        <v>0</v>
      </c>
      <c r="AR210" s="1147">
        <f t="shared" si="172"/>
        <v>0</v>
      </c>
      <c r="AS210" s="1147">
        <f t="shared" si="172"/>
        <v>0</v>
      </c>
      <c r="AT210" s="89"/>
      <c r="AU210" s="102">
        <f>+Details!E210</f>
        <v>117200</v>
      </c>
      <c r="AV210" s="103">
        <f>+E210-AU210</f>
        <v>0</v>
      </c>
      <c r="AW210" s="102"/>
      <c r="AY210" s="88">
        <f>+Details!F210-Base!F210</f>
        <v>0</v>
      </c>
      <c r="AZ210" s="1147">
        <f>+Details!G210-Base!G210</f>
        <v>0</v>
      </c>
      <c r="BA210" s="1147">
        <f>+Details!H210-Base!H210</f>
        <v>0</v>
      </c>
      <c r="BB210" s="1147">
        <f>+Details!I210-Base!I210</f>
        <v>0</v>
      </c>
      <c r="BC210" s="1147">
        <f>+Details!J210-Base!J210</f>
        <v>0</v>
      </c>
      <c r="BD210" s="1147">
        <f>+Details!K210-Base!K210</f>
        <v>0</v>
      </c>
      <c r="BE210" s="1147">
        <f>+Details!L210-Base!L210</f>
        <v>0</v>
      </c>
      <c r="BF210" s="1147">
        <f>+Details!M210-Base!M210</f>
        <v>0</v>
      </c>
      <c r="BG210" s="1147">
        <f>+Details!N210-Base!N210</f>
        <v>0</v>
      </c>
      <c r="BH210" s="1147">
        <f>+Details!O210-Base!O210</f>
        <v>0</v>
      </c>
      <c r="BI210" s="1147">
        <f>+Details!P210-Base!P210</f>
        <v>0</v>
      </c>
      <c r="BJ210" s="1147">
        <f>+Details!Q210-Base!Q210</f>
        <v>0</v>
      </c>
      <c r="BK210" s="1147">
        <f>+Details!R210-Base!R210</f>
        <v>0</v>
      </c>
      <c r="BL210" s="1147">
        <f>+Details!S210-Base!S210</f>
        <v>0</v>
      </c>
      <c r="BM210" s="1147">
        <f>+Details!T210-Base!T210</f>
        <v>0</v>
      </c>
      <c r="BN210" s="1147">
        <f>+Details!U210-Base!U210</f>
        <v>0</v>
      </c>
      <c r="BO210" s="1147">
        <f>+Details!V210-Base!V210</f>
        <v>0</v>
      </c>
      <c r="BP210" s="1147">
        <f>+Details!W210-Base!W210</f>
        <v>0</v>
      </c>
      <c r="BQ210" s="1147">
        <f>+Details!X210-Base!X210</f>
        <v>0</v>
      </c>
      <c r="BR210" s="1147">
        <f>+Details!Y210-Base!Y210</f>
        <v>0</v>
      </c>
      <c r="BS210" s="1147">
        <f>+Details!Z210-Base!Z210</f>
        <v>0</v>
      </c>
      <c r="BT210" s="1147">
        <f>+Details!AA210-Base!AA210</f>
        <v>0</v>
      </c>
      <c r="BU210" s="1147">
        <f>+Details!AB210-Base!AB210</f>
        <v>0</v>
      </c>
      <c r="BV210" s="1147">
        <f>+Details!AC210-Base!AC210</f>
        <v>0</v>
      </c>
      <c r="BW210" s="1147">
        <f>+Details!AD210-Base!AD210</f>
        <v>0</v>
      </c>
      <c r="BX210" s="1147">
        <f>+Details!AE210-Base!AE210</f>
        <v>0</v>
      </c>
      <c r="BY210" s="1147">
        <f>+Details!AF210-Base!AF210</f>
        <v>0</v>
      </c>
      <c r="BZ210" s="1147">
        <f>+Details!AG210-Base!AG210</f>
        <v>0</v>
      </c>
      <c r="CA210" s="1147">
        <f>+Details!AH210-Base!AH210</f>
        <v>0</v>
      </c>
      <c r="CB210" s="1147">
        <f>+Details!AI210-Base!AI210</f>
        <v>0</v>
      </c>
      <c r="CC210" s="1147">
        <f>+Details!AJ210-Base!AJ210</f>
        <v>0</v>
      </c>
      <c r="CD210" s="1147">
        <f>+Details!AK210-Base!AK210</f>
        <v>0</v>
      </c>
      <c r="CE210" s="1147">
        <f>+Details!AL210-Base!AL210</f>
        <v>0</v>
      </c>
      <c r="CF210" s="1147">
        <f>+Details!AM210-Base!AM210</f>
        <v>0</v>
      </c>
      <c r="CG210" s="1147">
        <f>+Details!AN210-Base!AN210</f>
        <v>0</v>
      </c>
      <c r="CH210" s="1147">
        <f>+Details!AO210-Base!AO210</f>
        <v>0</v>
      </c>
      <c r="CI210" s="1147">
        <f>+Details!AP210-Base!AP210</f>
        <v>0</v>
      </c>
      <c r="CJ210" s="1147">
        <f>+Details!AQ210-Base!AQ210</f>
        <v>0</v>
      </c>
      <c r="CK210" s="1147">
        <f>+Details!AR210-Base!AR210</f>
        <v>0</v>
      </c>
      <c r="CL210" s="1147">
        <f>+Details!AS210-Base!AS210</f>
        <v>0</v>
      </c>
      <c r="CM210" s="103"/>
    </row>
    <row r="211" spans="1:91" ht="15.6">
      <c r="B211" s="1449" t="s">
        <v>793</v>
      </c>
      <c r="D211" s="1038"/>
      <c r="E211" s="1377">
        <f>SUM(F211:AS211)</f>
        <v>0</v>
      </c>
      <c r="F211" s="642">
        <f>+Details!F211</f>
        <v>0</v>
      </c>
      <c r="G211" s="1125">
        <f>+Details!G211</f>
        <v>0</v>
      </c>
      <c r="H211" s="1125">
        <f>+Details!H211</f>
        <v>0</v>
      </c>
      <c r="I211" s="1125">
        <f>+Details!I211</f>
        <v>0</v>
      </c>
      <c r="J211" s="1125">
        <f>+Details!J211</f>
        <v>0</v>
      </c>
      <c r="K211" s="1125">
        <f>+Details!K211</f>
        <v>0</v>
      </c>
      <c r="L211" s="1125">
        <f>+Details!L211</f>
        <v>0</v>
      </c>
      <c r="M211" s="1125">
        <f>+Details!M211</f>
        <v>0</v>
      </c>
      <c r="N211" s="1125">
        <f>+Details!N211</f>
        <v>0</v>
      </c>
      <c r="O211" s="1125">
        <f>+Details!O211</f>
        <v>0</v>
      </c>
      <c r="P211" s="1125">
        <f>+Details!P211</f>
        <v>0</v>
      </c>
      <c r="Q211" s="1125">
        <f>+Details!Q211</f>
        <v>0</v>
      </c>
      <c r="R211" s="1125">
        <f>+Details!R211</f>
        <v>0</v>
      </c>
      <c r="S211" s="1125">
        <f>+Details!S211</f>
        <v>0</v>
      </c>
      <c r="T211" s="1125">
        <f>+Details!T211</f>
        <v>0</v>
      </c>
      <c r="U211" s="1125">
        <f>+Details!U211</f>
        <v>0</v>
      </c>
      <c r="V211" s="1125">
        <f>+Details!V211</f>
        <v>0</v>
      </c>
      <c r="W211" s="1125">
        <f>+Details!W211</f>
        <v>0</v>
      </c>
      <c r="X211" s="1125">
        <f>+Details!X211</f>
        <v>0</v>
      </c>
      <c r="Y211" s="1125">
        <f>+Details!Y211</f>
        <v>0</v>
      </c>
      <c r="Z211" s="1125">
        <f>+Details!Z211</f>
        <v>0</v>
      </c>
      <c r="AA211" s="1125">
        <f>+Details!AA211</f>
        <v>0</v>
      </c>
      <c r="AB211" s="1125">
        <f>+Details!AB211</f>
        <v>0</v>
      </c>
      <c r="AC211" s="1125">
        <f>+Details!AC211</f>
        <v>0</v>
      </c>
      <c r="AD211" s="1125">
        <f>+Details!AD211</f>
        <v>0</v>
      </c>
      <c r="AE211" s="1125">
        <f>+Details!AE211</f>
        <v>0</v>
      </c>
      <c r="AF211" s="1125">
        <f>+Details!AF211</f>
        <v>0</v>
      </c>
      <c r="AG211" s="1125">
        <f>+Details!AG211</f>
        <v>0</v>
      </c>
      <c r="AH211" s="1125">
        <f>+Details!AH211</f>
        <v>0</v>
      </c>
      <c r="AI211" s="1125">
        <f>+Details!AI211</f>
        <v>0</v>
      </c>
      <c r="AJ211" s="1125">
        <f>+Details!AJ211</f>
        <v>0</v>
      </c>
      <c r="AK211" s="1125">
        <f>+Details!AK211</f>
        <v>0</v>
      </c>
      <c r="AL211" s="1125">
        <f>+Details!AL211</f>
        <v>0</v>
      </c>
      <c r="AM211" s="1125">
        <f>+Details!AM211</f>
        <v>0</v>
      </c>
      <c r="AN211" s="1125">
        <f>+Details!AN211</f>
        <v>0</v>
      </c>
      <c r="AO211" s="1125">
        <f>+Details!AO211</f>
        <v>0</v>
      </c>
      <c r="AP211" s="1125">
        <f>+Details!AP211</f>
        <v>0</v>
      </c>
      <c r="AQ211" s="1125">
        <f>+Details!AQ211</f>
        <v>0</v>
      </c>
      <c r="AR211" s="1125">
        <f>+Details!AR211</f>
        <v>0</v>
      </c>
      <c r="AS211" s="1125">
        <f>+Details!AS211</f>
        <v>0</v>
      </c>
      <c r="AT211" s="3"/>
      <c r="AU211" s="34">
        <f>+Details!E211</f>
        <v>0</v>
      </c>
      <c r="AV211" s="83">
        <f>+E211-AU211</f>
        <v>0</v>
      </c>
      <c r="AW211" s="102"/>
      <c r="AY211" s="38">
        <f>+Details!F211-Base!F211</f>
        <v>0</v>
      </c>
      <c r="AZ211" s="1125">
        <f>+Details!G211-Base!G211</f>
        <v>0</v>
      </c>
      <c r="BA211" s="1125">
        <f>+Details!H211-Base!H211</f>
        <v>0</v>
      </c>
      <c r="BB211" s="1125">
        <f>+Details!I211-Base!I211</f>
        <v>0</v>
      </c>
      <c r="BC211" s="1125">
        <f>+Details!J211-Base!J211</f>
        <v>0</v>
      </c>
      <c r="BD211" s="1125">
        <f>+Details!K211-Base!K211</f>
        <v>0</v>
      </c>
      <c r="BE211" s="1125">
        <f>+Details!L211-Base!L211</f>
        <v>0</v>
      </c>
      <c r="BF211" s="1125">
        <f>+Details!M211-Base!M211</f>
        <v>0</v>
      </c>
      <c r="BG211" s="1125">
        <f>+Details!N211-Base!N211</f>
        <v>0</v>
      </c>
      <c r="BH211" s="1125">
        <f>+Details!O211-Base!O211</f>
        <v>0</v>
      </c>
      <c r="BI211" s="1125">
        <f>+Details!P211-Base!P211</f>
        <v>0</v>
      </c>
      <c r="BJ211" s="1125">
        <f>+Details!Q211-Base!Q211</f>
        <v>0</v>
      </c>
      <c r="BK211" s="1125">
        <f>+Details!R211-Base!R211</f>
        <v>0</v>
      </c>
      <c r="BL211" s="1125">
        <f>+Details!S211-Base!S211</f>
        <v>0</v>
      </c>
      <c r="BM211" s="1125">
        <f>+Details!T211-Base!T211</f>
        <v>0</v>
      </c>
      <c r="BN211" s="1125">
        <f>+Details!U211-Base!U211</f>
        <v>0</v>
      </c>
      <c r="BO211" s="1125">
        <f>+Details!V211-Base!V211</f>
        <v>0</v>
      </c>
      <c r="BP211" s="1125">
        <f>+Details!W211-Base!W211</f>
        <v>0</v>
      </c>
      <c r="BQ211" s="1125">
        <f>+Details!X211-Base!X211</f>
        <v>0</v>
      </c>
      <c r="BR211" s="1125">
        <f>+Details!Y211-Base!Y211</f>
        <v>0</v>
      </c>
      <c r="BS211" s="1125">
        <f>+Details!Z211-Base!Z211</f>
        <v>0</v>
      </c>
      <c r="BT211" s="1125">
        <f>+Details!AA211-Base!AA211</f>
        <v>0</v>
      </c>
      <c r="BU211" s="1125">
        <f>+Details!AB211-Base!AB211</f>
        <v>0</v>
      </c>
      <c r="BV211" s="1125">
        <f>+Details!AC211-Base!AC211</f>
        <v>0</v>
      </c>
      <c r="BW211" s="1125">
        <f>+Details!AD211-Base!AD211</f>
        <v>0</v>
      </c>
      <c r="BX211" s="1125">
        <f>+Details!AE211-Base!AE211</f>
        <v>0</v>
      </c>
      <c r="BY211" s="1125">
        <f>+Details!AF211-Base!AF211</f>
        <v>0</v>
      </c>
      <c r="BZ211" s="1125">
        <f>+Details!AG211-Base!AG211</f>
        <v>0</v>
      </c>
      <c r="CA211" s="1125">
        <f>+Details!AH211-Base!AH211</f>
        <v>0</v>
      </c>
      <c r="CB211" s="1125">
        <f>+Details!AI211-Base!AI211</f>
        <v>0</v>
      </c>
      <c r="CC211" s="1125">
        <f>+Details!AJ211-Base!AJ211</f>
        <v>0</v>
      </c>
      <c r="CD211" s="1125">
        <f>+Details!AK211-Base!AK211</f>
        <v>0</v>
      </c>
      <c r="CE211" s="1125">
        <f>+Details!AL211-Base!AL211</f>
        <v>0</v>
      </c>
      <c r="CF211" s="1125">
        <f>+Details!AM211-Base!AM211</f>
        <v>0</v>
      </c>
      <c r="CG211" s="1125">
        <f>+Details!AN211-Base!AN211</f>
        <v>0</v>
      </c>
      <c r="CH211" s="1125">
        <f>+Details!AO211-Base!AO211</f>
        <v>0</v>
      </c>
      <c r="CI211" s="1125">
        <f>+Details!AP211-Base!AP211</f>
        <v>0</v>
      </c>
      <c r="CJ211" s="1125">
        <f>+Details!AQ211-Base!AQ211</f>
        <v>0</v>
      </c>
      <c r="CK211" s="1125">
        <f>+Details!AR211-Base!AR211</f>
        <v>0</v>
      </c>
      <c r="CL211" s="1125">
        <f>+Details!AS211-Base!AS211</f>
        <v>0</v>
      </c>
      <c r="CM211" s="103"/>
    </row>
    <row r="212" spans="1:91" ht="15.6">
      <c r="B212" s="28" t="s">
        <v>968</v>
      </c>
      <c r="D212" s="29"/>
      <c r="E212" s="102">
        <f t="shared" si="167"/>
        <v>2648800</v>
      </c>
      <c r="F212" s="88">
        <f>+F207+F208+F209+F210+F211</f>
        <v>65600</v>
      </c>
      <c r="G212" s="1124">
        <f>+G207+G208+G209+G210+G211</f>
        <v>82200</v>
      </c>
      <c r="H212" s="1124">
        <f t="shared" ref="H212:AS212" si="173">+H207+H208+H209+H210</f>
        <v>68800</v>
      </c>
      <c r="I212" s="1124">
        <f t="shared" si="173"/>
        <v>70400</v>
      </c>
      <c r="J212" s="1124">
        <f t="shared" si="173"/>
        <v>72100</v>
      </c>
      <c r="K212" s="1124">
        <f t="shared" si="173"/>
        <v>74200</v>
      </c>
      <c r="L212" s="1124">
        <f t="shared" si="173"/>
        <v>76700</v>
      </c>
      <c r="M212" s="1124">
        <f t="shared" si="173"/>
        <v>79200</v>
      </c>
      <c r="N212" s="1124">
        <f t="shared" si="173"/>
        <v>41200</v>
      </c>
      <c r="O212" s="1124">
        <f t="shared" si="173"/>
        <v>42300</v>
      </c>
      <c r="P212" s="1124">
        <f t="shared" si="173"/>
        <v>43000</v>
      </c>
      <c r="Q212" s="1124">
        <f t="shared" si="173"/>
        <v>44500</v>
      </c>
      <c r="R212" s="1124">
        <f t="shared" si="173"/>
        <v>51100</v>
      </c>
      <c r="S212" s="1124">
        <f t="shared" si="173"/>
        <v>53600</v>
      </c>
      <c r="T212" s="1124">
        <f t="shared" si="173"/>
        <v>67600</v>
      </c>
      <c r="U212" s="1124">
        <f t="shared" si="173"/>
        <v>75400</v>
      </c>
      <c r="V212" s="1124">
        <f t="shared" si="173"/>
        <v>85200</v>
      </c>
      <c r="W212" s="1124">
        <f t="shared" si="173"/>
        <v>89700</v>
      </c>
      <c r="X212" s="1124">
        <f t="shared" si="173"/>
        <v>84800</v>
      </c>
      <c r="Y212" s="1124">
        <f t="shared" si="173"/>
        <v>87200</v>
      </c>
      <c r="Z212" s="1124">
        <f t="shared" si="173"/>
        <v>91300</v>
      </c>
      <c r="AA212" s="1124">
        <f t="shared" si="173"/>
        <v>95700</v>
      </c>
      <c r="AB212" s="1124">
        <f t="shared" si="173"/>
        <v>140200</v>
      </c>
      <c r="AC212" s="1124">
        <f t="shared" si="173"/>
        <v>150800</v>
      </c>
      <c r="AD212" s="1124">
        <f t="shared" si="173"/>
        <v>132900</v>
      </c>
      <c r="AE212" s="1124">
        <f t="shared" si="173"/>
        <v>137300</v>
      </c>
      <c r="AF212" s="1124">
        <f t="shared" si="173"/>
        <v>139900</v>
      </c>
      <c r="AG212" s="1124">
        <f t="shared" si="173"/>
        <v>133600</v>
      </c>
      <c r="AH212" s="1124">
        <f t="shared" si="173"/>
        <v>134800</v>
      </c>
      <c r="AI212" s="1124">
        <f t="shared" si="173"/>
        <v>137500</v>
      </c>
      <c r="AJ212" s="1124">
        <f t="shared" si="173"/>
        <v>0</v>
      </c>
      <c r="AK212" s="1124">
        <f t="shared" si="173"/>
        <v>0</v>
      </c>
      <c r="AL212" s="1124">
        <f t="shared" si="173"/>
        <v>0</v>
      </c>
      <c r="AM212" s="1124">
        <f t="shared" si="173"/>
        <v>0</v>
      </c>
      <c r="AN212" s="1124">
        <f t="shared" si="173"/>
        <v>0</v>
      </c>
      <c r="AO212" s="1124">
        <f t="shared" si="173"/>
        <v>0</v>
      </c>
      <c r="AP212" s="1124">
        <f t="shared" si="173"/>
        <v>0</v>
      </c>
      <c r="AQ212" s="1124">
        <f t="shared" si="173"/>
        <v>0</v>
      </c>
      <c r="AR212" s="1124">
        <f t="shared" si="173"/>
        <v>0</v>
      </c>
      <c r="AS212" s="1124">
        <f t="shared" si="173"/>
        <v>0</v>
      </c>
      <c r="AT212" s="3"/>
      <c r="AU212" s="102">
        <f>+Details!E212</f>
        <v>2648800</v>
      </c>
      <c r="AV212" s="103">
        <f t="shared" si="169"/>
        <v>0</v>
      </c>
      <c r="AW212" s="102"/>
      <c r="AY212" s="31">
        <f>+Details!F212-Base!F212</f>
        <v>0</v>
      </c>
      <c r="AZ212" s="1124">
        <f>+Details!G212-Base!G212</f>
        <v>0</v>
      </c>
      <c r="BA212" s="1124">
        <f>+Details!H212-Base!H212</f>
        <v>0</v>
      </c>
      <c r="BB212" s="1124">
        <f>+Details!I212-Base!I212</f>
        <v>0</v>
      </c>
      <c r="BC212" s="1124">
        <f>+Details!J212-Base!J212</f>
        <v>0</v>
      </c>
      <c r="BD212" s="1124">
        <f>+Details!K212-Base!K212</f>
        <v>0</v>
      </c>
      <c r="BE212" s="1124">
        <f>+Details!L212-Base!L212</f>
        <v>0</v>
      </c>
      <c r="BF212" s="1124">
        <f>+Details!M212-Base!M212</f>
        <v>0</v>
      </c>
      <c r="BG212" s="1124">
        <f>+Details!N212-Base!N212</f>
        <v>0</v>
      </c>
      <c r="BH212" s="1124">
        <f>+Details!O212-Base!O212</f>
        <v>0</v>
      </c>
      <c r="BI212" s="1124">
        <f>+Details!P212-Base!P212</f>
        <v>0</v>
      </c>
      <c r="BJ212" s="1124">
        <f>+Details!Q212-Base!Q212</f>
        <v>0</v>
      </c>
      <c r="BK212" s="1124">
        <f>+Details!R212-Base!R212</f>
        <v>0</v>
      </c>
      <c r="BL212" s="1124">
        <f>+Details!S212-Base!S212</f>
        <v>0</v>
      </c>
      <c r="BM212" s="1124">
        <f>+Details!T212-Base!T212</f>
        <v>0</v>
      </c>
      <c r="BN212" s="1124">
        <f>+Details!U212-Base!U212</f>
        <v>0</v>
      </c>
      <c r="BO212" s="1124">
        <f>+Details!V212-Base!V212</f>
        <v>0</v>
      </c>
      <c r="BP212" s="1124">
        <f>+Details!W212-Base!W212</f>
        <v>0</v>
      </c>
      <c r="BQ212" s="1124">
        <f>+Details!X212-Base!X212</f>
        <v>0</v>
      </c>
      <c r="BR212" s="1124">
        <f>+Details!Y212-Base!Y212</f>
        <v>0</v>
      </c>
      <c r="BS212" s="1124">
        <f>+Details!Z212-Base!Z212</f>
        <v>0</v>
      </c>
      <c r="BT212" s="1124">
        <f>+Details!AA212-Base!AA212</f>
        <v>0</v>
      </c>
      <c r="BU212" s="1124">
        <f>+Details!AB212-Base!AB212</f>
        <v>0</v>
      </c>
      <c r="BV212" s="1124">
        <f>+Details!AC212-Base!AC212</f>
        <v>0</v>
      </c>
      <c r="BW212" s="1124">
        <f>+Details!AD212-Base!AD212</f>
        <v>0</v>
      </c>
      <c r="BX212" s="1124">
        <f>+Details!AE212-Base!AE212</f>
        <v>0</v>
      </c>
      <c r="BY212" s="1124">
        <f>+Details!AF212-Base!AF212</f>
        <v>0</v>
      </c>
      <c r="BZ212" s="1124">
        <f>+Details!AG212-Base!AG212</f>
        <v>0</v>
      </c>
      <c r="CA212" s="1124">
        <f>+Details!AH212-Base!AH212</f>
        <v>0</v>
      </c>
      <c r="CB212" s="1124">
        <f>+Details!AI212-Base!AI212</f>
        <v>0</v>
      </c>
      <c r="CC212" s="1124">
        <f>+Details!AJ212-Base!AJ212</f>
        <v>0</v>
      </c>
      <c r="CD212" s="1124">
        <f>+Details!AK212-Base!AK212</f>
        <v>0</v>
      </c>
      <c r="CE212" s="1124">
        <f>+Details!AL212-Base!AL212</f>
        <v>0</v>
      </c>
      <c r="CF212" s="1124">
        <f>+Details!AM212-Base!AM212</f>
        <v>0</v>
      </c>
      <c r="CG212" s="1124">
        <f>+Details!AN212-Base!AN212</f>
        <v>0</v>
      </c>
      <c r="CH212" s="1124">
        <f>+Details!AO212-Base!AO212</f>
        <v>0</v>
      </c>
      <c r="CI212" s="1124">
        <f>+Details!AP212-Base!AP212</f>
        <v>0</v>
      </c>
      <c r="CJ212" s="1124">
        <f>+Details!AQ212-Base!AQ212</f>
        <v>0</v>
      </c>
      <c r="CK212" s="1124">
        <f>+Details!AR212-Base!AR212</f>
        <v>0</v>
      </c>
      <c r="CL212" s="1124">
        <f>+Details!AS212-Base!AS212</f>
        <v>0</v>
      </c>
      <c r="CM212" s="103"/>
    </row>
    <row r="213" spans="1:91" ht="15.6">
      <c r="B213" s="72"/>
      <c r="C213" s="231"/>
      <c r="D213" s="29"/>
      <c r="E213" s="102"/>
      <c r="F213" s="845"/>
      <c r="G213" s="845"/>
      <c r="H213" s="845"/>
      <c r="I213" s="845"/>
      <c r="J213" s="845"/>
      <c r="K213" s="845"/>
      <c r="L213" s="845"/>
      <c r="M213" s="845"/>
      <c r="N213" s="845"/>
      <c r="O213" s="845"/>
      <c r="P213" s="845"/>
      <c r="Q213" s="845"/>
      <c r="R213" s="845"/>
      <c r="S213" s="845"/>
      <c r="T213" s="845"/>
      <c r="U213" s="845"/>
      <c r="V213" s="845"/>
      <c r="W213" s="845"/>
      <c r="X213" s="845"/>
      <c r="Y213" s="845"/>
      <c r="Z213" s="845"/>
      <c r="AA213" s="845"/>
      <c r="AB213" s="845"/>
      <c r="AC213" s="845"/>
      <c r="AD213" s="845"/>
      <c r="AE213" s="845"/>
      <c r="AF213" s="845"/>
      <c r="AG213" s="845"/>
      <c r="AH213" s="845"/>
      <c r="AI213" s="845"/>
      <c r="AJ213" s="845"/>
      <c r="AK213" s="88"/>
      <c r="AL213" s="88"/>
      <c r="AM213" s="88"/>
      <c r="AN213" s="88"/>
      <c r="AO213" s="88"/>
      <c r="AP213" s="88"/>
      <c r="AQ213" s="88"/>
      <c r="AR213" s="88"/>
      <c r="AS213" s="88"/>
      <c r="AT213" s="3"/>
      <c r="AU213" s="102"/>
      <c r="AV213" s="103"/>
      <c r="AW213" s="88"/>
      <c r="AY213" s="88"/>
      <c r="AZ213" s="845"/>
      <c r="BA213" s="845"/>
      <c r="BB213" s="845"/>
      <c r="BC213" s="845"/>
      <c r="BD213" s="845"/>
      <c r="BE213" s="845"/>
      <c r="BF213" s="845"/>
      <c r="BG213" s="845"/>
      <c r="BH213" s="845"/>
      <c r="BI213" s="845"/>
      <c r="BJ213" s="845"/>
      <c r="BK213" s="845"/>
      <c r="BL213" s="845"/>
      <c r="BM213" s="845"/>
      <c r="BN213" s="845"/>
      <c r="BO213" s="845"/>
      <c r="BP213" s="845"/>
      <c r="BQ213" s="845"/>
      <c r="BR213" s="845"/>
      <c r="BS213" s="845"/>
      <c r="BT213" s="845"/>
      <c r="BU213" s="845"/>
      <c r="BV213" s="845"/>
      <c r="BW213" s="845"/>
      <c r="BX213" s="845"/>
      <c r="BY213" s="845"/>
      <c r="BZ213" s="845"/>
      <c r="CA213" s="845"/>
      <c r="CB213" s="845"/>
      <c r="CC213" s="845"/>
      <c r="CD213" s="88"/>
      <c r="CE213" s="88"/>
      <c r="CF213" s="88"/>
      <c r="CG213" s="88"/>
      <c r="CH213" s="88"/>
      <c r="CI213" s="88"/>
      <c r="CJ213" s="88"/>
      <c r="CK213" s="88"/>
      <c r="CL213" s="88"/>
      <c r="CM213" s="103"/>
    </row>
    <row r="214" spans="1:91" hidden="1">
      <c r="A214" s="1427" t="s">
        <v>1578</v>
      </c>
      <c r="B214" s="72" t="s">
        <v>1213</v>
      </c>
      <c r="C214" s="425"/>
      <c r="D214" s="1374" t="str">
        <f>IF(Itemized&gt;0,"Itemized "&amp;Your_Age&amp;"-"&amp;End_Itemized&amp;IF(End_Itemized&lt;Your_Age_End," "," ")," ")</f>
        <v xml:space="preserve">Itemized 62-68 </v>
      </c>
      <c r="E214" s="102">
        <f>SUM(F214:AS214)</f>
        <v>-203550</v>
      </c>
      <c r="F214" s="88">
        <f>IF(Filing_Status="m",IF(OR(F$7&lt;Single_Rate_Start,Single_Rate_Start=""),-'Tax Tables'!F$102,-'Tax Tables'!F$180),-'Tax Tables'!F$180)*IF(F$7-$F7&lt;=Total_Years-1,1,0)</f>
        <v>-25000</v>
      </c>
      <c r="G214" s="1124">
        <f>IF(Filing_Status="m",IF(OR(G$7&lt;Single_Rate_Start,Single_Rate_Start=""),-'Tax Tables'!G$102,-'Tax Tables'!G$180),-'Tax Tables'!G$180)*IF(G$7-$F7&lt;=Total_Years-1,1,0)</f>
        <v>-26250</v>
      </c>
      <c r="H214" s="1124">
        <f>IF(Filing_Status="m",IF(OR(H$7&lt;Single_Rate_Start,Single_Rate_Start=""),-'Tax Tables'!H$102,-'Tax Tables'!H$180),-'Tax Tables'!H$180)*IF(H$7-$F7&lt;=Total_Years-1,1,0)</f>
        <v>-27550</v>
      </c>
      <c r="I214" s="1124">
        <f>IF(Filing_Status="m",IF(OR(I$7&lt;Single_Rate_Start,Single_Rate_Start=""),-'Tax Tables'!I$102,-'Tax Tables'!I$180),-'Tax Tables'!I$180)*IF(I$7-$F7&lt;=Total_Years-1,1,0)</f>
        <v>-28950</v>
      </c>
      <c r="J214" s="1124">
        <f>IF(Filing_Status="m",IF(OR(J$7&lt;Single_Rate_Start,Single_Rate_Start=""),-'Tax Tables'!J$102,-'Tax Tables'!J$180),-'Tax Tables'!J$180)*IF(J$7-$F7&lt;=Total_Years-1,1,0)</f>
        <v>-30400</v>
      </c>
      <c r="K214" s="1124">
        <f>IF(Filing_Status="m",IF(OR(K$7&lt;Single_Rate_Start,Single_Rate_Start=""),-'Tax Tables'!K$102,-'Tax Tables'!K$180),-'Tax Tables'!K$180)*IF(K$7-$F7&lt;=Total_Years-1,1,0)</f>
        <v>-31900</v>
      </c>
      <c r="L214" s="1124">
        <f>IF(Filing_Status="m",IF(OR(L$7&lt;Single_Rate_Start,Single_Rate_Start=""),-'Tax Tables'!L$102,-'Tax Tables'!L$180),-'Tax Tables'!L$180)*IF(L$7-$F7&lt;=Total_Years-1,1,0)</f>
        <v>-33500</v>
      </c>
      <c r="M214" s="1124">
        <f>IF(Filing_Status="m",IF(OR(M$7&lt;Single_Rate_Start,Single_Rate_Start=""),-'Tax Tables'!M$102,-'Tax Tables'!M$180),-'Tax Tables'!M$180)*IF(M$7-$F7&lt;=Total_Years-1,1,0)</f>
        <v>0</v>
      </c>
      <c r="N214" s="1124">
        <f>IF(Filing_Status="m",IF(OR(N$7&lt;Single_Rate_Start,Single_Rate_Start=""),-'Tax Tables'!N$102,-'Tax Tables'!N$180),-'Tax Tables'!N$180)*IF(N$7-$F7&lt;=Total_Years-1,1,0)</f>
        <v>0</v>
      </c>
      <c r="O214" s="1124">
        <f>IF(Filing_Status="m",IF(OR(O$7&lt;Single_Rate_Start,Single_Rate_Start=""),-'Tax Tables'!O$102,-'Tax Tables'!O$180),-'Tax Tables'!O$180)*IF(O$7-$F7&lt;=Total_Years-1,1,0)</f>
        <v>0</v>
      </c>
      <c r="P214" s="1124">
        <f>IF(Filing_Status="m",IF(OR(P$7&lt;Single_Rate_Start,Single_Rate_Start=""),-'Tax Tables'!P$102,-'Tax Tables'!P$180),-'Tax Tables'!P$180)*IF(P$7-$F7&lt;=Total_Years-1,1,0)</f>
        <v>0</v>
      </c>
      <c r="Q214" s="1124">
        <f>IF(Filing_Status="m",IF(OR(Q$7&lt;Single_Rate_Start,Single_Rate_Start=""),-'Tax Tables'!Q$102,-'Tax Tables'!Q$180),-'Tax Tables'!Q$180)*IF(Q$7-$F7&lt;=Total_Years-1,1,0)</f>
        <v>0</v>
      </c>
      <c r="R214" s="1124">
        <f>IF(Filing_Status="m",IF(OR(R$7&lt;Single_Rate_Start,Single_Rate_Start=""),-'Tax Tables'!R$102,-'Tax Tables'!R$180),-'Tax Tables'!R$180)*IF(R$7-$F7&lt;=Total_Years-1,1,0)</f>
        <v>0</v>
      </c>
      <c r="S214" s="1124">
        <f>IF(Filing_Status="m",IF(OR(S$7&lt;Single_Rate_Start,Single_Rate_Start=""),-'Tax Tables'!S$102,-'Tax Tables'!S$180),-'Tax Tables'!S$180)*IF(S$7-$F7&lt;=Total_Years-1,1,0)</f>
        <v>0</v>
      </c>
      <c r="T214" s="1124">
        <f>IF(Filing_Status="m",IF(OR(T$7&lt;Single_Rate_Start,Single_Rate_Start=""),-'Tax Tables'!T$102,-'Tax Tables'!T$180),-'Tax Tables'!T$180)*IF(T$7-$F7&lt;=Total_Years-1,1,0)</f>
        <v>0</v>
      </c>
      <c r="U214" s="1124">
        <f>IF(Filing_Status="m",IF(OR(U$7&lt;Single_Rate_Start,Single_Rate_Start=""),-'Tax Tables'!U$102,-'Tax Tables'!U$180),-'Tax Tables'!U$180)*IF(U$7-$F7&lt;=Total_Years-1,1,0)</f>
        <v>0</v>
      </c>
      <c r="V214" s="1124">
        <f>IF(Filing_Status="m",IF(OR(V$7&lt;Single_Rate_Start,Single_Rate_Start=""),-'Tax Tables'!V$102,-'Tax Tables'!V$180),-'Tax Tables'!V$180)*IF(V$7-$F7&lt;=Total_Years-1,1,0)</f>
        <v>0</v>
      </c>
      <c r="W214" s="1124">
        <f>IF(Filing_Status="m",IF(OR(W$7&lt;Single_Rate_Start,Single_Rate_Start=""),-'Tax Tables'!W$102,-'Tax Tables'!W$180),-'Tax Tables'!W$180)*IF(W$7-$F7&lt;=Total_Years-1,1,0)</f>
        <v>0</v>
      </c>
      <c r="X214" s="1124">
        <f>IF(Filing_Status="m",IF(OR(X$7&lt;Single_Rate_Start,Single_Rate_Start=""),-'Tax Tables'!X$102,-'Tax Tables'!X$180),-'Tax Tables'!X$180)*IF(X$7-$F7&lt;=Total_Years-1,1,0)</f>
        <v>0</v>
      </c>
      <c r="Y214" s="1124">
        <f>IF(Filing_Status="m",IF(OR(Y$7&lt;Single_Rate_Start,Single_Rate_Start=""),-'Tax Tables'!Y$102,-'Tax Tables'!Y$180),-'Tax Tables'!Y$180)*IF(Y$7-$F7&lt;=Total_Years-1,1,0)</f>
        <v>0</v>
      </c>
      <c r="Z214" s="1124">
        <f>IF(Filing_Status="m",IF(OR(Z$7&lt;Single_Rate_Start,Single_Rate_Start=""),-'Tax Tables'!Z$102,-'Tax Tables'!Z$180),-'Tax Tables'!Z$180)*IF(Z$7-$F7&lt;=Total_Years-1,1,0)</f>
        <v>0</v>
      </c>
      <c r="AA214" s="1124">
        <f>IF(Filing_Status="m",IF(OR(AA$7&lt;Single_Rate_Start,Single_Rate_Start=""),-'Tax Tables'!AA$102,-'Tax Tables'!AA$180),-'Tax Tables'!AA$180)*IF(AA$7-$F7&lt;=Total_Years-1,1,0)</f>
        <v>0</v>
      </c>
      <c r="AB214" s="1124">
        <f>IF(Filing_Status="m",IF(OR(AB$7&lt;Single_Rate_Start,Single_Rate_Start=""),-'Tax Tables'!AB$102,-'Tax Tables'!AB$180),-'Tax Tables'!AB$180)*IF(AB$7-$F7&lt;=Total_Years-1,1,0)</f>
        <v>0</v>
      </c>
      <c r="AC214" s="1124">
        <f>IF(Filing_Status="m",IF(OR(AC$7&lt;Single_Rate_Start,Single_Rate_Start=""),-'Tax Tables'!AC$102,-'Tax Tables'!AC$180),-'Tax Tables'!AC$180)*IF(AC$7-$F7&lt;=Total_Years-1,1,0)</f>
        <v>0</v>
      </c>
      <c r="AD214" s="1124">
        <f>IF(Filing_Status="m",IF(OR(AD$7&lt;Single_Rate_Start,Single_Rate_Start=""),-'Tax Tables'!AD$102,-'Tax Tables'!AD$180),-'Tax Tables'!AD$180)*IF(AD$7-$F7&lt;=Total_Years-1,1,0)</f>
        <v>0</v>
      </c>
      <c r="AE214" s="1124">
        <f>IF(Filing_Status="m",IF(OR(AE$7&lt;Single_Rate_Start,Single_Rate_Start=""),-'Tax Tables'!AE$102,-'Tax Tables'!AE$180),-'Tax Tables'!AE$180)*IF(AE$7-$F7&lt;=Total_Years-1,1,0)</f>
        <v>0</v>
      </c>
      <c r="AF214" s="1124">
        <f>IF(Filing_Status="m",IF(OR(AF$7&lt;Single_Rate_Start,Single_Rate_Start=""),-'Tax Tables'!AF$102,-'Tax Tables'!AF$180),-'Tax Tables'!AF$180)*IF(AF$7-$F7&lt;=Total_Years-1,1,0)</f>
        <v>0</v>
      </c>
      <c r="AG214" s="1124">
        <f>IF(Filing_Status="m",IF(OR(AG$7&lt;Single_Rate_Start,Single_Rate_Start=""),-'Tax Tables'!AG$102,-'Tax Tables'!AG$180),-'Tax Tables'!AG$180)*IF(AG$7-$F7&lt;=Total_Years-1,1,0)</f>
        <v>0</v>
      </c>
      <c r="AH214" s="1124">
        <f>IF(Filing_Status="m",IF(OR(AH$7&lt;Single_Rate_Start,Single_Rate_Start=""),-'Tax Tables'!AH$102,-'Tax Tables'!AH$180),-'Tax Tables'!AH$180)*IF(AH$7-$F7&lt;=Total_Years-1,1,0)</f>
        <v>0</v>
      </c>
      <c r="AI214" s="1124">
        <f>IF(Filing_Status="m",IF(OR(AI$7&lt;Single_Rate_Start,Single_Rate_Start=""),-'Tax Tables'!AI$102,-'Tax Tables'!AI$180),-'Tax Tables'!AI$180)*IF(AI$7-$F7&lt;=Total_Years-1,1,0)</f>
        <v>0</v>
      </c>
      <c r="AJ214" s="1124">
        <f>IF(Filing_Status="m",IF(OR(AJ$7&lt;Single_Rate_Start,Single_Rate_Start=""),-'Tax Tables'!AJ$102,-'Tax Tables'!AJ$180),-'Tax Tables'!AJ$180)*IF(AJ$7-$F7&lt;=Total_Years-1,1,0)</f>
        <v>0</v>
      </c>
      <c r="AK214" s="1124">
        <f>IF(Filing_Status="m",IF(OR(AK$7&lt;Single_Rate_Start,Single_Rate_Start=""),-'Tax Tables'!AK$102,-'Tax Tables'!AK$180),-'Tax Tables'!AK$180)*IF(AK$7-$F7&lt;=Total_Years-1,1,0)</f>
        <v>0</v>
      </c>
      <c r="AL214" s="1124">
        <f>IF(Filing_Status="m",IF(OR(AL$7&lt;Single_Rate_Start,Single_Rate_Start=""),-'Tax Tables'!AL$102,-'Tax Tables'!AL$180),-'Tax Tables'!AL$180)*IF(AL$7-$F7&lt;=Total_Years-1,1,0)</f>
        <v>0</v>
      </c>
      <c r="AM214" s="1124">
        <f>IF(Filing_Status="m",IF(OR(AM$7&lt;Single_Rate_Start,Single_Rate_Start=""),-'Tax Tables'!AM$102,-'Tax Tables'!AM$180),-'Tax Tables'!AM$180)*IF(AM$7-$F7&lt;=Total_Years-1,1,0)</f>
        <v>0</v>
      </c>
      <c r="AN214" s="1124">
        <f>IF(Filing_Status="m",IF(OR(AN$7&lt;Single_Rate_Start,Single_Rate_Start=""),-'Tax Tables'!AN$102,-'Tax Tables'!AN$180),-'Tax Tables'!AN$180)*IF(AN$7-$F7&lt;=Total_Years-1,1,0)</f>
        <v>0</v>
      </c>
      <c r="AO214" s="1124">
        <f>IF(Filing_Status="m",IF(OR(AO$7&lt;Single_Rate_Start,Single_Rate_Start=""),-'Tax Tables'!AO$102,-'Tax Tables'!AO$180),-'Tax Tables'!AO$180)*IF(AO$7-$F7&lt;=Total_Years-1,1,0)</f>
        <v>0</v>
      </c>
      <c r="AP214" s="1124">
        <f>IF(Filing_Status="m",IF(OR(AP$7&lt;Single_Rate_Start,Single_Rate_Start=""),-'Tax Tables'!AP$102,-'Tax Tables'!AP$180),-'Tax Tables'!AP$180)*IF(AP$7-$F7&lt;=Total_Years-1,1,0)</f>
        <v>0</v>
      </c>
      <c r="AQ214" s="1124">
        <f>IF(Filing_Status="m",IF(OR(AQ$7&lt;Single_Rate_Start,Single_Rate_Start=""),-'Tax Tables'!AQ$102,-'Tax Tables'!AQ$180),-'Tax Tables'!AQ$180)*IF(AQ$7-$F7&lt;=Total_Years-1,1,0)</f>
        <v>0</v>
      </c>
      <c r="AR214" s="1124">
        <f>IF(Filing_Status="m",IF(OR(AR$7&lt;Single_Rate_Start,Single_Rate_Start=""),-'Tax Tables'!AR$102,-'Tax Tables'!AR$180),-'Tax Tables'!AR$180)*IF(AR$7-$F7&lt;=Total_Years-1,1,0)</f>
        <v>0</v>
      </c>
      <c r="AS214" s="1124">
        <f>IF(Filing_Status="m",IF(OR(AS$7&lt;Single_Rate_Start,Single_Rate_Start=""),-'Tax Tables'!AS$102,-'Tax Tables'!AS$180),-'Tax Tables'!AS$180)*IF(AS$7-$F7&lt;=Total_Years-1,1,0)</f>
        <v>0</v>
      </c>
      <c r="AT214" s="3"/>
      <c r="AU214" s="102">
        <f>+Details!E214</f>
        <v>-203550</v>
      </c>
      <c r="AV214" s="103">
        <f>+E214-AU214</f>
        <v>0</v>
      </c>
      <c r="AW214" s="102"/>
      <c r="AY214" s="31">
        <f>+Details!F214-Base!F214</f>
        <v>0</v>
      </c>
      <c r="AZ214" s="1124">
        <f>+Details!G214-Base!G214</f>
        <v>0</v>
      </c>
      <c r="BA214" s="1124">
        <f>+Details!H214-Base!H214</f>
        <v>0</v>
      </c>
      <c r="BB214" s="1124">
        <f>+Details!I214-Base!I214</f>
        <v>0</v>
      </c>
      <c r="BC214" s="1124">
        <f>+Details!J214-Base!J214</f>
        <v>0</v>
      </c>
      <c r="BD214" s="1124">
        <f>+Details!K214-Base!K214</f>
        <v>0</v>
      </c>
      <c r="BE214" s="1124">
        <f>+Details!L214-Base!L214</f>
        <v>0</v>
      </c>
      <c r="BF214" s="1124">
        <f>+Details!M214-Base!M214</f>
        <v>0</v>
      </c>
      <c r="BG214" s="1124">
        <f>+Details!N214-Base!N214</f>
        <v>0</v>
      </c>
      <c r="BH214" s="1124">
        <f>+Details!O214-Base!O214</f>
        <v>0</v>
      </c>
      <c r="BI214" s="1124">
        <f>+Details!P214-Base!P214</f>
        <v>0</v>
      </c>
      <c r="BJ214" s="1124">
        <f>+Details!Q214-Base!Q214</f>
        <v>0</v>
      </c>
      <c r="BK214" s="1124">
        <f>+Details!R214-Base!R214</f>
        <v>0</v>
      </c>
      <c r="BL214" s="1124">
        <f>+Details!S214-Base!S214</f>
        <v>0</v>
      </c>
      <c r="BM214" s="1124">
        <f>+Details!T214-Base!T214</f>
        <v>0</v>
      </c>
      <c r="BN214" s="1124">
        <f>+Details!U214-Base!U214</f>
        <v>0</v>
      </c>
      <c r="BO214" s="1124">
        <f>+Details!V214-Base!V214</f>
        <v>0</v>
      </c>
      <c r="BP214" s="1124">
        <f>+Details!W214-Base!W214</f>
        <v>0</v>
      </c>
      <c r="BQ214" s="1124">
        <f>+Details!X214-Base!X214</f>
        <v>0</v>
      </c>
      <c r="BR214" s="1124">
        <f>+Details!Y214-Base!Y214</f>
        <v>0</v>
      </c>
      <c r="BS214" s="1124">
        <f>+Details!Z214-Base!Z214</f>
        <v>0</v>
      </c>
      <c r="BT214" s="1124">
        <f>+Details!AA214-Base!AA214</f>
        <v>0</v>
      </c>
      <c r="BU214" s="1124">
        <f>+Details!AB214-Base!AB214</f>
        <v>0</v>
      </c>
      <c r="BV214" s="1124">
        <f>+Details!AC214-Base!AC214</f>
        <v>0</v>
      </c>
      <c r="BW214" s="1124">
        <f>+Details!AD214-Base!AD214</f>
        <v>0</v>
      </c>
      <c r="BX214" s="1124">
        <f>+Details!AE214-Base!AE214</f>
        <v>0</v>
      </c>
      <c r="BY214" s="1124">
        <f>+Details!AF214-Base!AF214</f>
        <v>0</v>
      </c>
      <c r="BZ214" s="1124">
        <f>+Details!AG214-Base!AG214</f>
        <v>0</v>
      </c>
      <c r="CA214" s="1124">
        <f>+Details!AH214-Base!AH214</f>
        <v>0</v>
      </c>
      <c r="CB214" s="1124">
        <f>+Details!AI214-Base!AI214</f>
        <v>0</v>
      </c>
      <c r="CC214" s="1124">
        <f>+Details!AJ214-Base!AJ214</f>
        <v>0</v>
      </c>
      <c r="CD214" s="1124">
        <f>+Details!AK214-Base!AK214</f>
        <v>0</v>
      </c>
      <c r="CE214" s="1124">
        <f>+Details!AL214-Base!AL214</f>
        <v>0</v>
      </c>
      <c r="CF214" s="1124">
        <f>+Details!AM214-Base!AM214</f>
        <v>0</v>
      </c>
      <c r="CG214" s="1124">
        <f>+Details!AN214-Base!AN214</f>
        <v>0</v>
      </c>
      <c r="CH214" s="1124">
        <f>+Details!AO214-Base!AO214</f>
        <v>0</v>
      </c>
      <c r="CI214" s="1124">
        <f>+Details!AP214-Base!AP214</f>
        <v>0</v>
      </c>
      <c r="CJ214" s="1124">
        <f>+Details!AQ214-Base!AQ214</f>
        <v>0</v>
      </c>
      <c r="CK214" s="1124">
        <f>+Details!AR214-Base!AR214</f>
        <v>0</v>
      </c>
      <c r="CL214" s="1124">
        <f>+Details!AS214-Base!AS214</f>
        <v>0</v>
      </c>
      <c r="CM214" s="103"/>
    </row>
    <row r="215" spans="1:91" hidden="1">
      <c r="A215" s="1427" t="s">
        <v>1578</v>
      </c>
      <c r="B215" s="72" t="s">
        <v>1345</v>
      </c>
      <c r="C215" s="425"/>
      <c r="D215" s="968"/>
      <c r="E215" s="102">
        <f>SUM(F215:AS215)</f>
        <v>-381850</v>
      </c>
      <c r="F215" s="88">
        <f>IF(OR(State_Move_Age&gt;F$4,State_Move_Age=0),-'Tax Tables'!F$255,-'Tax Tables'!F$262)</f>
        <v>-10000</v>
      </c>
      <c r="G215" s="1124">
        <f>IF(OR(State_Move_Age&gt;G$4,State_Move_Age=0),-'Tax Tables'!G$255,-'Tax Tables'!G$262)</f>
        <v>-10200</v>
      </c>
      <c r="H215" s="1124">
        <f>IF(OR(State_Move_Age&gt;H$4,State_Move_Age=0),-'Tax Tables'!H$255,-'Tax Tables'!H$262)</f>
        <v>-10400</v>
      </c>
      <c r="I215" s="1124">
        <f>IF(OR(State_Move_Age&gt;I$4,State_Move_Age=0),-'Tax Tables'!I$255,-'Tax Tables'!I$262)</f>
        <v>-10650</v>
      </c>
      <c r="J215" s="1124">
        <f>IF(OR(State_Move_Age&gt;J$4,State_Move_Age=0),-'Tax Tables'!J$255,-'Tax Tables'!J$262)</f>
        <v>-10900</v>
      </c>
      <c r="K215" s="1124">
        <f>IF(OR(State_Move_Age&gt;K$4,State_Move_Age=0),-'Tax Tables'!K$255,-'Tax Tables'!K$262)</f>
        <v>-11150</v>
      </c>
      <c r="L215" s="1124">
        <f>IF(OR(State_Move_Age&gt;L$4,State_Move_Age=0),-'Tax Tables'!L$255,-'Tax Tables'!L$262)</f>
        <v>-11400</v>
      </c>
      <c r="M215" s="1124">
        <f>IF(OR(State_Move_Age&gt;M$4,State_Move_Age=0),-'Tax Tables'!M$255,-'Tax Tables'!M$262)</f>
        <v>-11650</v>
      </c>
      <c r="N215" s="1124">
        <f>IF(OR(State_Move_Age&gt;N$4,State_Move_Age=0),-'Tax Tables'!N$255,-'Tax Tables'!N$262)</f>
        <v>-11900</v>
      </c>
      <c r="O215" s="1124">
        <f>IF(OR(State_Move_Age&gt;O$4,State_Move_Age=0),-'Tax Tables'!O$255,-'Tax Tables'!O$262)</f>
        <v>-12150</v>
      </c>
      <c r="P215" s="1124">
        <f>IF(OR(State_Move_Age&gt;P$4,State_Move_Age=0),-'Tax Tables'!P$255,-'Tax Tables'!P$262)</f>
        <v>-12400</v>
      </c>
      <c r="Q215" s="1124">
        <f>IF(OR(State_Move_Age&gt;Q$4,State_Move_Age=0),-'Tax Tables'!Q$255,-'Tax Tables'!Q$262)</f>
        <v>-12650</v>
      </c>
      <c r="R215" s="1124">
        <f>IF(OR(State_Move_Age&gt;R$4,State_Move_Age=0),-'Tax Tables'!R$255,-'Tax Tables'!R$262)</f>
        <v>-12950</v>
      </c>
      <c r="S215" s="1124">
        <f>IF(OR(State_Move_Age&gt;S$4,State_Move_Age=0),-'Tax Tables'!S$255,-'Tax Tables'!S$262)</f>
        <v>-13250</v>
      </c>
      <c r="T215" s="1124">
        <f>IF(OR(State_Move_Age&gt;T$4,State_Move_Age=0),-'Tax Tables'!T$255,-'Tax Tables'!T$262)</f>
        <v>-13550</v>
      </c>
      <c r="U215" s="1124">
        <f>IF(OR(State_Move_Age&gt;U$4,State_Move_Age=0),-'Tax Tables'!U$255,-'Tax Tables'!U$262)</f>
        <v>-13850</v>
      </c>
      <c r="V215" s="1124">
        <f>IF(OR(State_Move_Age&gt;V$4,State_Move_Age=0),-'Tax Tables'!V$255,-'Tax Tables'!V$262)</f>
        <v>-14150</v>
      </c>
      <c r="W215" s="1124">
        <f>IF(OR(State_Move_Age&gt;W$4,State_Move_Age=0),-'Tax Tables'!W$255,-'Tax Tables'!W$262)</f>
        <v>-14450</v>
      </c>
      <c r="X215" s="1124">
        <f>IF(OR(State_Move_Age&gt;X$4,State_Move_Age=0),-'Tax Tables'!X$255,-'Tax Tables'!X$262)</f>
        <v>-14750</v>
      </c>
      <c r="Y215" s="1124">
        <f>IF(OR(State_Move_Age&gt;Y$4,State_Move_Age=0),-'Tax Tables'!Y$255,-'Tax Tables'!Y$262)</f>
        <v>-15050</v>
      </c>
      <c r="Z215" s="1124">
        <f>IF(OR(State_Move_Age&gt;Z$4,State_Move_Age=0),-'Tax Tables'!Z$255,-'Tax Tables'!Z$262)</f>
        <v>-15400</v>
      </c>
      <c r="AA215" s="1124">
        <f>IF(OR(State_Move_Age&gt;AA$4,State_Move_Age=0),-'Tax Tables'!AA$255,-'Tax Tables'!AA$262)</f>
        <v>-15750</v>
      </c>
      <c r="AB215" s="1124">
        <f>IF(OR(State_Move_Age&gt;AB$4,State_Move_Age=0),-'Tax Tables'!AB$255,-'Tax Tables'!AB$262)</f>
        <v>-19350</v>
      </c>
      <c r="AC215" s="1124">
        <f>IF(OR(State_Move_Age&gt;AC$4,State_Move_Age=0),-'Tax Tables'!AC$255,-'Tax Tables'!AC$262)</f>
        <v>-19800</v>
      </c>
      <c r="AD215" s="1124">
        <f>IF(OR(State_Move_Age&gt;AD$4,State_Move_Age=0),-'Tax Tables'!AD$255,-'Tax Tables'!AD$262)</f>
        <v>-10100</v>
      </c>
      <c r="AE215" s="1124">
        <f>IF(OR(State_Move_Age&gt;AE$4,State_Move_Age=0),-'Tax Tables'!AE$255,-'Tax Tables'!AE$262)</f>
        <v>-10300</v>
      </c>
      <c r="AF215" s="1124">
        <f>IF(OR(State_Move_Age&gt;AF$4,State_Move_Age=0),-'Tax Tables'!AF$255,-'Tax Tables'!AF$262)</f>
        <v>-10550</v>
      </c>
      <c r="AG215" s="1124">
        <f>IF(OR(State_Move_Age&gt;AG$4,State_Move_Age=0),-'Tax Tables'!AG$255,-'Tax Tables'!AG$262)</f>
        <v>-10800</v>
      </c>
      <c r="AH215" s="1124">
        <f>IF(OR(State_Move_Age&gt;AH$4,State_Move_Age=0),-'Tax Tables'!AH$255,-'Tax Tables'!AH$262)</f>
        <v>-11050</v>
      </c>
      <c r="AI215" s="1124">
        <f>IF(OR(State_Move_Age&gt;AI$4,State_Move_Age=0),-'Tax Tables'!AI$255,-'Tax Tables'!AI$262)</f>
        <v>-11300</v>
      </c>
      <c r="AJ215" s="1124">
        <f>IF(OR(State_Move_Age&gt;AJ$4,State_Move_Age=0),-'Tax Tables'!AJ$255,-'Tax Tables'!AJ$262)</f>
        <v>0</v>
      </c>
      <c r="AK215" s="1124">
        <f>IF(OR(State_Move_Age&gt;AK$4,State_Move_Age=0),-'Tax Tables'!AK$255,-'Tax Tables'!AK$262)</f>
        <v>0</v>
      </c>
      <c r="AL215" s="1124">
        <f>IF(OR(State_Move_Age&gt;AL$4,State_Move_Age=0),-'Tax Tables'!AL$255,-'Tax Tables'!AL$262)</f>
        <v>0</v>
      </c>
      <c r="AM215" s="1124">
        <f>IF(OR(State_Move_Age&gt;AM$4,State_Move_Age=0),-'Tax Tables'!AM$255,-'Tax Tables'!AM$262)</f>
        <v>0</v>
      </c>
      <c r="AN215" s="1124">
        <f>IF(OR(State_Move_Age&gt;AN$4,State_Move_Age=0),-'Tax Tables'!AN$255,-'Tax Tables'!AN$262)</f>
        <v>0</v>
      </c>
      <c r="AO215" s="1124">
        <f>IF(OR(State_Move_Age&gt;AO$4,State_Move_Age=0),-'Tax Tables'!AO$255,-'Tax Tables'!AO$262)</f>
        <v>0</v>
      </c>
      <c r="AP215" s="1124">
        <f>IF(OR(State_Move_Age&gt;AP$4,State_Move_Age=0),-'Tax Tables'!AP$255,-'Tax Tables'!AP$262)</f>
        <v>0</v>
      </c>
      <c r="AQ215" s="1124">
        <f>IF(OR(State_Move_Age&gt;AQ$4,State_Move_Age=0),-'Tax Tables'!AQ$255,-'Tax Tables'!AQ$262)</f>
        <v>0</v>
      </c>
      <c r="AR215" s="1124">
        <f>IF(OR(State_Move_Age&gt;AR$4,State_Move_Age=0),-'Tax Tables'!AR$255,-'Tax Tables'!AR$262)</f>
        <v>0</v>
      </c>
      <c r="AS215" s="1124">
        <f>IF(OR(State_Move_Age&gt;AS$4,State_Move_Age=0),-'Tax Tables'!AS$255,-'Tax Tables'!AS$262)</f>
        <v>0</v>
      </c>
      <c r="AT215" s="3"/>
      <c r="AU215" s="102">
        <f>+Details!E215</f>
        <v>-381850</v>
      </c>
      <c r="AV215" s="103">
        <f>+E215-AU215</f>
        <v>0</v>
      </c>
      <c r="AW215" s="102"/>
      <c r="AY215" s="31">
        <f>+Details!F215-Base!F215</f>
        <v>0</v>
      </c>
      <c r="AZ215" s="1124">
        <f>+Details!G215-Base!G215</f>
        <v>0</v>
      </c>
      <c r="BA215" s="1124">
        <f>+Details!H215-Base!H215</f>
        <v>0</v>
      </c>
      <c r="BB215" s="1124">
        <f>+Details!I215-Base!I215</f>
        <v>0</v>
      </c>
      <c r="BC215" s="1124">
        <f>+Details!J215-Base!J215</f>
        <v>0</v>
      </c>
      <c r="BD215" s="1124">
        <f>+Details!K215-Base!K215</f>
        <v>0</v>
      </c>
      <c r="BE215" s="1124">
        <f>+Details!L215-Base!L215</f>
        <v>0</v>
      </c>
      <c r="BF215" s="1124">
        <f>+Details!M215-Base!M215</f>
        <v>0</v>
      </c>
      <c r="BG215" s="1124">
        <f>+Details!N215-Base!N215</f>
        <v>0</v>
      </c>
      <c r="BH215" s="1124">
        <f>+Details!O215-Base!O215</f>
        <v>0</v>
      </c>
      <c r="BI215" s="1124">
        <f>+Details!P215-Base!P215</f>
        <v>0</v>
      </c>
      <c r="BJ215" s="1124">
        <f>+Details!Q215-Base!Q215</f>
        <v>0</v>
      </c>
      <c r="BK215" s="1124">
        <f>+Details!R215-Base!R215</f>
        <v>0</v>
      </c>
      <c r="BL215" s="1124">
        <f>+Details!S215-Base!S215</f>
        <v>0</v>
      </c>
      <c r="BM215" s="1124">
        <f>+Details!T215-Base!T215</f>
        <v>0</v>
      </c>
      <c r="BN215" s="1124">
        <f>+Details!U215-Base!U215</f>
        <v>0</v>
      </c>
      <c r="BO215" s="1124">
        <f>+Details!V215-Base!V215</f>
        <v>0</v>
      </c>
      <c r="BP215" s="1124">
        <f>+Details!W215-Base!W215</f>
        <v>0</v>
      </c>
      <c r="BQ215" s="1124">
        <f>+Details!X215-Base!X215</f>
        <v>0</v>
      </c>
      <c r="BR215" s="1124">
        <f>+Details!Y215-Base!Y215</f>
        <v>0</v>
      </c>
      <c r="BS215" s="1124">
        <f>+Details!Z215-Base!Z215</f>
        <v>0</v>
      </c>
      <c r="BT215" s="1124">
        <f>+Details!AA215-Base!AA215</f>
        <v>0</v>
      </c>
      <c r="BU215" s="1124">
        <f>+Details!AB215-Base!AB215</f>
        <v>0</v>
      </c>
      <c r="BV215" s="1124">
        <f>+Details!AC215-Base!AC215</f>
        <v>0</v>
      </c>
      <c r="BW215" s="1124">
        <f>+Details!AD215-Base!AD215</f>
        <v>0</v>
      </c>
      <c r="BX215" s="1124">
        <f>+Details!AE215-Base!AE215</f>
        <v>0</v>
      </c>
      <c r="BY215" s="1124">
        <f>+Details!AF215-Base!AF215</f>
        <v>0</v>
      </c>
      <c r="BZ215" s="1124">
        <f>+Details!AG215-Base!AG215</f>
        <v>0</v>
      </c>
      <c r="CA215" s="1124">
        <f>+Details!AH215-Base!AH215</f>
        <v>0</v>
      </c>
      <c r="CB215" s="1124">
        <f>+Details!AI215-Base!AI215</f>
        <v>0</v>
      </c>
      <c r="CC215" s="1124">
        <f>+Details!AJ215-Base!AJ215</f>
        <v>0</v>
      </c>
      <c r="CD215" s="1124">
        <f>+Details!AK215-Base!AK215</f>
        <v>0</v>
      </c>
      <c r="CE215" s="1124">
        <f>+Details!AL215-Base!AL215</f>
        <v>0</v>
      </c>
      <c r="CF215" s="1124">
        <f>+Details!AM215-Base!AM215</f>
        <v>0</v>
      </c>
      <c r="CG215" s="1124">
        <f>+Details!AN215-Base!AN215</f>
        <v>0</v>
      </c>
      <c r="CH215" s="1124">
        <f>+Details!AO215-Base!AO215</f>
        <v>0</v>
      </c>
      <c r="CI215" s="1124">
        <f>+Details!AP215-Base!AP215</f>
        <v>0</v>
      </c>
      <c r="CJ215" s="1124">
        <f>+Details!AQ215-Base!AQ215</f>
        <v>0</v>
      </c>
      <c r="CK215" s="1124">
        <f>+Details!AR215-Base!AR215</f>
        <v>0</v>
      </c>
      <c r="CL215" s="1124">
        <f>+Details!AS215-Base!AS215</f>
        <v>0</v>
      </c>
      <c r="CM215" s="103"/>
    </row>
    <row r="216" spans="1:91">
      <c r="B216" s="634" t="s">
        <v>936</v>
      </c>
      <c r="C216" s="3"/>
      <c r="D216" s="1374" t="str">
        <f>IF(State_Deduct="i","State1: Fed","State1 std ded") &amp; IF(State2_Deduct="i","-State2 Fed","-State2: std ded")</f>
        <v>State1: Fed-State2: std ded</v>
      </c>
      <c r="E216" s="102">
        <f>SUM(F216:AS216)</f>
        <v>-510700</v>
      </c>
      <c r="F216" s="88">
        <f>IF(State_Move_Age=0,-'Tax Tables'!F258,IF(AND(State_Move_Age&gt;F$4,State_Move_Age&lt;&gt;0),-'Tax Tables'!F258,-'Tax Tables'!F265))</f>
        <v>-25000</v>
      </c>
      <c r="G216" s="1124">
        <f>IF(State_Move_Age=0,-'Tax Tables'!G258,IF(AND(State_Move_Age&gt;G$4,State_Move_Age&lt;&gt;0),-'Tax Tables'!G258,-'Tax Tables'!G265))</f>
        <v>-26250</v>
      </c>
      <c r="H216" s="1124">
        <f>IF(State_Move_Age=0,-'Tax Tables'!H258,IF(AND(State_Move_Age&gt;H$4,State_Move_Age&lt;&gt;0),-'Tax Tables'!H258,-'Tax Tables'!H265))</f>
        <v>-27550</v>
      </c>
      <c r="I216" s="1124">
        <f>IF(State_Move_Age=0,-'Tax Tables'!I258,IF(AND(State_Move_Age&gt;I$4,State_Move_Age&lt;&gt;0),-'Tax Tables'!I258,-'Tax Tables'!I265))</f>
        <v>-28950</v>
      </c>
      <c r="J216" s="1124">
        <f>IF(State_Move_Age=0,-'Tax Tables'!J258,IF(AND(State_Move_Age&gt;J$4,State_Move_Age&lt;&gt;0),-'Tax Tables'!J258,-'Tax Tables'!J265))</f>
        <v>-30400</v>
      </c>
      <c r="K216" s="1124">
        <f>IF(State_Move_Age=0,-'Tax Tables'!K258,IF(AND(State_Move_Age&gt;K$4,State_Move_Age&lt;&gt;0),-'Tax Tables'!K258,-'Tax Tables'!K265))</f>
        <v>-31900</v>
      </c>
      <c r="L216" s="1124">
        <f>IF(State_Move_Age=0,-'Tax Tables'!L258,IF(AND(State_Move_Age&gt;L$4,State_Move_Age&lt;&gt;0),-'Tax Tables'!L258,-'Tax Tables'!L265))</f>
        <v>-33500</v>
      </c>
      <c r="M216" s="1124">
        <f>IF(State_Move_Age=0,-'Tax Tables'!M258,IF(AND(State_Move_Age&gt;M$4,State_Move_Age&lt;&gt;0),-'Tax Tables'!M258,-'Tax Tables'!M265))</f>
        <v>-11650</v>
      </c>
      <c r="N216" s="1124">
        <f>IF(State_Move_Age=0,-'Tax Tables'!N258,IF(AND(State_Move_Age&gt;N$4,State_Move_Age&lt;&gt;0),-'Tax Tables'!N258,-'Tax Tables'!N265))</f>
        <v>-11900</v>
      </c>
      <c r="O216" s="1124">
        <f>IF(State_Move_Age=0,-'Tax Tables'!O258,IF(AND(State_Move_Age&gt;O$4,State_Move_Age&lt;&gt;0),-'Tax Tables'!O258,-'Tax Tables'!O265))</f>
        <v>-12150</v>
      </c>
      <c r="P216" s="1124">
        <f>IF(State_Move_Age=0,-'Tax Tables'!P258,IF(AND(State_Move_Age&gt;P$4,State_Move_Age&lt;&gt;0),-'Tax Tables'!P258,-'Tax Tables'!P265))</f>
        <v>-12400</v>
      </c>
      <c r="Q216" s="1124">
        <f>IF(State_Move_Age=0,-'Tax Tables'!Q258,IF(AND(State_Move_Age&gt;Q$4,State_Move_Age&lt;&gt;0),-'Tax Tables'!Q258,-'Tax Tables'!Q265))</f>
        <v>-12650</v>
      </c>
      <c r="R216" s="1124">
        <f>IF(State_Move_Age=0,-'Tax Tables'!R258,IF(AND(State_Move_Age&gt;R$4,State_Move_Age&lt;&gt;0),-'Tax Tables'!R258,-'Tax Tables'!R265))</f>
        <v>-12950</v>
      </c>
      <c r="S216" s="1124">
        <f>IF(State_Move_Age=0,-'Tax Tables'!S258,IF(AND(State_Move_Age&gt;S$4,State_Move_Age&lt;&gt;0),-'Tax Tables'!S258,-'Tax Tables'!S265))</f>
        <v>-13250</v>
      </c>
      <c r="T216" s="1124">
        <f>IF(State_Move_Age=0,-'Tax Tables'!T258,IF(AND(State_Move_Age&gt;T$4,State_Move_Age&lt;&gt;0),-'Tax Tables'!T258,-'Tax Tables'!T265))</f>
        <v>-13550</v>
      </c>
      <c r="U216" s="1124">
        <f>IF(State_Move_Age=0,-'Tax Tables'!U258,IF(AND(State_Move_Age&gt;U$4,State_Move_Age&lt;&gt;0),-'Tax Tables'!U258,-'Tax Tables'!U265))</f>
        <v>-13850</v>
      </c>
      <c r="V216" s="1124">
        <f>IF(State_Move_Age=0,-'Tax Tables'!V258,IF(AND(State_Move_Age&gt;V$4,State_Move_Age&lt;&gt;0),-'Tax Tables'!V258,-'Tax Tables'!V265))</f>
        <v>-14150</v>
      </c>
      <c r="W216" s="1124">
        <f>IF(State_Move_Age=0,-'Tax Tables'!W258,IF(AND(State_Move_Age&gt;W$4,State_Move_Age&lt;&gt;0),-'Tax Tables'!W258,-'Tax Tables'!W265))</f>
        <v>-14450</v>
      </c>
      <c r="X216" s="1124">
        <f>IF(State_Move_Age=0,-'Tax Tables'!X258,IF(AND(State_Move_Age&gt;X$4,State_Move_Age&lt;&gt;0),-'Tax Tables'!X258,-'Tax Tables'!X265))</f>
        <v>-14750</v>
      </c>
      <c r="Y216" s="1124">
        <f>IF(State_Move_Age=0,-'Tax Tables'!Y258,IF(AND(State_Move_Age&gt;Y$4,State_Move_Age&lt;&gt;0),-'Tax Tables'!Y258,-'Tax Tables'!Y265))</f>
        <v>-15050</v>
      </c>
      <c r="Z216" s="1124">
        <f>IF(State_Move_Age=0,-'Tax Tables'!Z258,IF(AND(State_Move_Age&gt;Z$4,State_Move_Age&lt;&gt;0),-'Tax Tables'!Z258,-'Tax Tables'!Z265))</f>
        <v>-15400</v>
      </c>
      <c r="AA216" s="1124">
        <f>IF(State_Move_Age=0,-'Tax Tables'!AA258,IF(AND(State_Move_Age&gt;AA$4,State_Move_Age&lt;&gt;0),-'Tax Tables'!AA258,-'Tax Tables'!AA265))</f>
        <v>-15750</v>
      </c>
      <c r="AB216" s="1124">
        <f>IF(State_Move_Age=0,-'Tax Tables'!AB258,IF(AND(State_Move_Age&gt;AB$4,State_Move_Age&lt;&gt;0),-'Tax Tables'!AB258,-'Tax Tables'!AB265))</f>
        <v>-19350</v>
      </c>
      <c r="AC216" s="1124">
        <f>IF(State_Move_Age=0,-'Tax Tables'!AC258,IF(AND(State_Move_Age&gt;AC$4,State_Move_Age&lt;&gt;0),-'Tax Tables'!AC258,-'Tax Tables'!AC265))</f>
        <v>-19800</v>
      </c>
      <c r="AD216" s="1124">
        <f>IF(State_Move_Age=0,-'Tax Tables'!AD258,IF(AND(State_Move_Age&gt;AD$4,State_Move_Age&lt;&gt;0),-'Tax Tables'!AD258,-'Tax Tables'!AD265))</f>
        <v>-10100</v>
      </c>
      <c r="AE216" s="1124">
        <f>IF(State_Move_Age=0,-'Tax Tables'!AE258,IF(AND(State_Move_Age&gt;AE$4,State_Move_Age&lt;&gt;0),-'Tax Tables'!AE258,-'Tax Tables'!AE265))</f>
        <v>-10300</v>
      </c>
      <c r="AF216" s="1124">
        <f>IF(State_Move_Age=0,-'Tax Tables'!AF258,IF(AND(State_Move_Age&gt;AF$4,State_Move_Age&lt;&gt;0),-'Tax Tables'!AF258,-'Tax Tables'!AF265))</f>
        <v>-10550</v>
      </c>
      <c r="AG216" s="1124">
        <f>IF(State_Move_Age=0,-'Tax Tables'!AG258,IF(AND(State_Move_Age&gt;AG$4,State_Move_Age&lt;&gt;0),-'Tax Tables'!AG258,-'Tax Tables'!AG265))</f>
        <v>-10800</v>
      </c>
      <c r="AH216" s="1124">
        <f>IF(State_Move_Age=0,-'Tax Tables'!AH258,IF(AND(State_Move_Age&gt;AH$4,State_Move_Age&lt;&gt;0),-'Tax Tables'!AH258,-'Tax Tables'!AH265))</f>
        <v>-11050</v>
      </c>
      <c r="AI216" s="1124">
        <f>IF(State_Move_Age=0,-'Tax Tables'!AI258,IF(AND(State_Move_Age&gt;AI$4,State_Move_Age&lt;&gt;0),-'Tax Tables'!AI258,-'Tax Tables'!AI265))</f>
        <v>-11300</v>
      </c>
      <c r="AJ216" s="1124">
        <f>IF(State_Move_Age=0,-'Tax Tables'!AJ258,IF(AND(State_Move_Age&gt;AJ$4,State_Move_Age&lt;&gt;0),-'Tax Tables'!AJ258,-'Tax Tables'!AJ265))</f>
        <v>0</v>
      </c>
      <c r="AK216" s="1124">
        <f>IF(State_Move_Age=0,-'Tax Tables'!AK258,IF(AND(State_Move_Age&gt;AK$4,State_Move_Age&lt;&gt;0),-'Tax Tables'!AK258,-'Tax Tables'!AK265))</f>
        <v>0</v>
      </c>
      <c r="AL216" s="1124">
        <f>IF(State_Move_Age=0,-'Tax Tables'!AL258,IF(AND(State_Move_Age&gt;AL$4,State_Move_Age&lt;&gt;0),-'Tax Tables'!AL258,-'Tax Tables'!AL265))</f>
        <v>0</v>
      </c>
      <c r="AM216" s="1124">
        <f>IF(State_Move_Age=0,-'Tax Tables'!AM258,IF(AND(State_Move_Age&gt;AM$4,State_Move_Age&lt;&gt;0),-'Tax Tables'!AM258,-'Tax Tables'!AM265))</f>
        <v>0</v>
      </c>
      <c r="AN216" s="1124">
        <f>IF(State_Move_Age=0,-'Tax Tables'!AN258,IF(AND(State_Move_Age&gt;AN$4,State_Move_Age&lt;&gt;0),-'Tax Tables'!AN258,-'Tax Tables'!AN265))</f>
        <v>0</v>
      </c>
      <c r="AO216" s="1124">
        <f>IF(State_Move_Age=0,-'Tax Tables'!AO258,IF(AND(State_Move_Age&gt;AO$4,State_Move_Age&lt;&gt;0),-'Tax Tables'!AO258,-'Tax Tables'!AO265))</f>
        <v>0</v>
      </c>
      <c r="AP216" s="1124">
        <f>IF(State_Move_Age=0,-'Tax Tables'!AP258,IF(AND(State_Move_Age&gt;AP$4,State_Move_Age&lt;&gt;0),-'Tax Tables'!AP258,-'Tax Tables'!AP265))</f>
        <v>0</v>
      </c>
      <c r="AQ216" s="1124">
        <f>IF(State_Move_Age=0,-'Tax Tables'!AQ258,IF(AND(State_Move_Age&gt;AQ$4,State_Move_Age&lt;&gt;0),-'Tax Tables'!AQ258,-'Tax Tables'!AQ265))</f>
        <v>0</v>
      </c>
      <c r="AR216" s="1124">
        <f>IF(State_Move_Age=0,-'Tax Tables'!AR258,IF(AND(State_Move_Age&gt;AR$4,State_Move_Age&lt;&gt;0),-'Tax Tables'!AR258,-'Tax Tables'!AR265))</f>
        <v>0</v>
      </c>
      <c r="AS216" s="1124">
        <f>IF(State_Move_Age=0,-'Tax Tables'!AS258,IF(AND(State_Move_Age&gt;AS$4,State_Move_Age&lt;&gt;0),-'Tax Tables'!AS258,-'Tax Tables'!AS265))</f>
        <v>0</v>
      </c>
      <c r="AT216" s="3"/>
      <c r="AU216" s="102">
        <f>+Details!E216</f>
        <v>-510700</v>
      </c>
      <c r="AV216" s="103">
        <f t="shared" si="169"/>
        <v>0</v>
      </c>
      <c r="AW216" s="102"/>
      <c r="AY216" s="31">
        <f>+Details!F216-Base!F216</f>
        <v>0</v>
      </c>
      <c r="AZ216" s="1124">
        <f>+Details!G216-Base!G216</f>
        <v>0</v>
      </c>
      <c r="BA216" s="1124">
        <f>+Details!H216-Base!H216</f>
        <v>0</v>
      </c>
      <c r="BB216" s="1124">
        <f>+Details!I216-Base!I216</f>
        <v>0</v>
      </c>
      <c r="BC216" s="1124">
        <f>+Details!J216-Base!J216</f>
        <v>0</v>
      </c>
      <c r="BD216" s="1124">
        <f>+Details!K216-Base!K216</f>
        <v>0</v>
      </c>
      <c r="BE216" s="1124">
        <f>+Details!L216-Base!L216</f>
        <v>0</v>
      </c>
      <c r="BF216" s="1124">
        <f>+Details!M216-Base!M216</f>
        <v>0</v>
      </c>
      <c r="BG216" s="1124">
        <f>+Details!N216-Base!N216</f>
        <v>0</v>
      </c>
      <c r="BH216" s="1124">
        <f>+Details!O216-Base!O216</f>
        <v>0</v>
      </c>
      <c r="BI216" s="1124">
        <f>+Details!P216-Base!P216</f>
        <v>0</v>
      </c>
      <c r="BJ216" s="1124">
        <f>+Details!Q216-Base!Q216</f>
        <v>0</v>
      </c>
      <c r="BK216" s="1124">
        <f>+Details!R216-Base!R216</f>
        <v>0</v>
      </c>
      <c r="BL216" s="1124">
        <f>+Details!S216-Base!S216</f>
        <v>0</v>
      </c>
      <c r="BM216" s="1124">
        <f>+Details!T216-Base!T216</f>
        <v>0</v>
      </c>
      <c r="BN216" s="1124">
        <f>+Details!U216-Base!U216</f>
        <v>0</v>
      </c>
      <c r="BO216" s="1124">
        <f>+Details!V216-Base!V216</f>
        <v>0</v>
      </c>
      <c r="BP216" s="1124">
        <f>+Details!W216-Base!W216</f>
        <v>0</v>
      </c>
      <c r="BQ216" s="1124">
        <f>+Details!X216-Base!X216</f>
        <v>0</v>
      </c>
      <c r="BR216" s="1124">
        <f>+Details!Y216-Base!Y216</f>
        <v>0</v>
      </c>
      <c r="BS216" s="1124">
        <f>+Details!Z216-Base!Z216</f>
        <v>0</v>
      </c>
      <c r="BT216" s="1124">
        <f>+Details!AA216-Base!AA216</f>
        <v>0</v>
      </c>
      <c r="BU216" s="1124">
        <f>+Details!AB216-Base!AB216</f>
        <v>0</v>
      </c>
      <c r="BV216" s="1124">
        <f>+Details!AC216-Base!AC216</f>
        <v>0</v>
      </c>
      <c r="BW216" s="1124">
        <f>+Details!AD216-Base!AD216</f>
        <v>0</v>
      </c>
      <c r="BX216" s="1124">
        <f>+Details!AE216-Base!AE216</f>
        <v>0</v>
      </c>
      <c r="BY216" s="1124">
        <f>+Details!AF216-Base!AF216</f>
        <v>0</v>
      </c>
      <c r="BZ216" s="1124">
        <f>+Details!AG216-Base!AG216</f>
        <v>0</v>
      </c>
      <c r="CA216" s="1124">
        <f>+Details!AH216-Base!AH216</f>
        <v>0</v>
      </c>
      <c r="CB216" s="1124">
        <f>+Details!AI216-Base!AI216</f>
        <v>0</v>
      </c>
      <c r="CC216" s="1124">
        <f>+Details!AJ216-Base!AJ216</f>
        <v>0</v>
      </c>
      <c r="CD216" s="1124">
        <f>+Details!AK216-Base!AK216</f>
        <v>0</v>
      </c>
      <c r="CE216" s="1124">
        <f>+Details!AL216-Base!AL216</f>
        <v>0</v>
      </c>
      <c r="CF216" s="1124">
        <f>+Details!AM216-Base!AM216</f>
        <v>0</v>
      </c>
      <c r="CG216" s="1124">
        <f>+Details!AN216-Base!AN216</f>
        <v>0</v>
      </c>
      <c r="CH216" s="1124">
        <f>+Details!AO216-Base!AO216</f>
        <v>0</v>
      </c>
      <c r="CI216" s="1124">
        <f>+Details!AP216-Base!AP216</f>
        <v>0</v>
      </c>
      <c r="CJ216" s="1124">
        <f>+Details!AQ216-Base!AQ216</f>
        <v>0</v>
      </c>
      <c r="CK216" s="1124">
        <f>+Details!AR216-Base!AR216</f>
        <v>0</v>
      </c>
      <c r="CL216" s="1124">
        <f>+Details!AS216-Base!AS216</f>
        <v>0</v>
      </c>
      <c r="CM216" s="103"/>
    </row>
    <row r="217" spans="1:91">
      <c r="B217" s="72" t="s">
        <v>969</v>
      </c>
      <c r="C217" s="3"/>
      <c r="D217" s="1069" t="str">
        <f>IF(Esc_Fed_Ded="n","Escalation turned off",".")</f>
        <v>.</v>
      </c>
      <c r="E217" s="34">
        <f>SUM(F217:AS217)</f>
        <v>-180550</v>
      </c>
      <c r="F217" s="38">
        <f>IF(OR(State_Move_Age&gt;F$4,State_Move_Age=0),-'Tax Tables'!F254,-'Tax Tables'!F261)</f>
        <v>-4000</v>
      </c>
      <c r="G217" s="1125">
        <f>IF(OR(State_Move_Age&gt;G$4,State_Move_Age=0),-'Tax Tables'!G254,-'Tax Tables'!G261)</f>
        <v>-4100</v>
      </c>
      <c r="H217" s="1125">
        <f>IF(OR(State_Move_Age&gt;H$4,State_Move_Age=0),-'Tax Tables'!H254,-'Tax Tables'!H261)</f>
        <v>-4200</v>
      </c>
      <c r="I217" s="1125">
        <f>IF(OR(State_Move_Age&gt;I$4,State_Move_Age=0),-'Tax Tables'!I254,-'Tax Tables'!I261)</f>
        <v>-4300</v>
      </c>
      <c r="J217" s="1125">
        <f>IF(OR(State_Move_Age&gt;J$4,State_Move_Age=0),-'Tax Tables'!J254,-'Tax Tables'!J261)</f>
        <v>-4400</v>
      </c>
      <c r="K217" s="1125">
        <f>IF(OR(State_Move_Age&gt;K$4,State_Move_Age=0),-'Tax Tables'!K254,-'Tax Tables'!K261)</f>
        <v>-4500</v>
      </c>
      <c r="L217" s="1125">
        <f>IF(OR(State_Move_Age&gt;L$4,State_Move_Age=0),-'Tax Tables'!L254,-'Tax Tables'!L261)</f>
        <v>-4600</v>
      </c>
      <c r="M217" s="1125">
        <f>IF(OR(State_Move_Age&gt;M$4,State_Move_Age=0),-'Tax Tables'!M254,-'Tax Tables'!M261)</f>
        <v>-4700</v>
      </c>
      <c r="N217" s="1125">
        <f>IF(OR(State_Move_Age&gt;N$4,State_Move_Age=0),-'Tax Tables'!N254,-'Tax Tables'!N261)</f>
        <v>-4800</v>
      </c>
      <c r="O217" s="1125">
        <f>IF(OR(State_Move_Age&gt;O$4,State_Move_Age=0),-'Tax Tables'!O254,-'Tax Tables'!O261)</f>
        <v>-4900</v>
      </c>
      <c r="P217" s="1125">
        <f>IF(OR(State_Move_Age&gt;P$4,State_Move_Age=0),-'Tax Tables'!P254,-'Tax Tables'!P261)</f>
        <v>-5000</v>
      </c>
      <c r="Q217" s="1125">
        <f>IF(OR(State_Move_Age&gt;Q$4,State_Move_Age=0),-'Tax Tables'!Q254,-'Tax Tables'!Q261)</f>
        <v>-5100</v>
      </c>
      <c r="R217" s="1125">
        <f>IF(OR(State_Move_Age&gt;R$4,State_Move_Age=0),-'Tax Tables'!R254,-'Tax Tables'!R261)</f>
        <v>-5200</v>
      </c>
      <c r="S217" s="1125">
        <f>IF(OR(State_Move_Age&gt;S$4,State_Move_Age=0),-'Tax Tables'!S254,-'Tax Tables'!S261)</f>
        <v>-5300</v>
      </c>
      <c r="T217" s="1125">
        <f>IF(OR(State_Move_Age&gt;T$4,State_Move_Age=0),-'Tax Tables'!T254,-'Tax Tables'!T261)</f>
        <v>-5400</v>
      </c>
      <c r="U217" s="1125">
        <f>IF(OR(State_Move_Age&gt;U$4,State_Move_Age=0),-'Tax Tables'!U254,-'Tax Tables'!U261)</f>
        <v>-5500</v>
      </c>
      <c r="V217" s="1125">
        <f>IF(OR(State_Move_Age&gt;V$4,State_Move_Age=0),-'Tax Tables'!V254,-'Tax Tables'!V261)</f>
        <v>-5600</v>
      </c>
      <c r="W217" s="1125">
        <f>IF(OR(State_Move_Age&gt;W$4,State_Move_Age=0),-'Tax Tables'!W254,-'Tax Tables'!W261)</f>
        <v>-5700</v>
      </c>
      <c r="X217" s="1125">
        <f>IF(OR(State_Move_Age&gt;X$4,State_Move_Age=0),-'Tax Tables'!X254,-'Tax Tables'!X261)</f>
        <v>-5850</v>
      </c>
      <c r="Y217" s="1125">
        <f>IF(OR(State_Move_Age&gt;Y$4,State_Move_Age=0),-'Tax Tables'!Y254,-'Tax Tables'!Y261)</f>
        <v>-6000</v>
      </c>
      <c r="Z217" s="1125">
        <f>IF(OR(State_Move_Age&gt;Z$4,State_Move_Age=0),-'Tax Tables'!Z254,-'Tax Tables'!Z261)</f>
        <v>-6150</v>
      </c>
      <c r="AA217" s="1125">
        <f>IF(OR(State_Move_Age&gt;AA$4,State_Move_Age=0),-'Tax Tables'!AA254,-'Tax Tables'!AA261)</f>
        <v>-6300</v>
      </c>
      <c r="AB217" s="1125">
        <f>IF(OR(State_Move_Age&gt;AB$4,State_Move_Age=0),-'Tax Tables'!AB254,-'Tax Tables'!AB261)</f>
        <v>-12950</v>
      </c>
      <c r="AC217" s="1125">
        <f>IF(OR(State_Move_Age&gt;AC$4,State_Move_Age=0),-'Tax Tables'!AC254,-'Tax Tables'!AC261)</f>
        <v>-13250</v>
      </c>
      <c r="AD217" s="1125">
        <f>IF(OR(State_Move_Age&gt;AD$4,State_Move_Age=0),-'Tax Tables'!AD254,-'Tax Tables'!AD261)</f>
        <v>-6750</v>
      </c>
      <c r="AE217" s="1125">
        <f>IF(OR(State_Move_Age&gt;AE$4,State_Move_Age=0),-'Tax Tables'!AE254,-'Tax Tables'!AE261)</f>
        <v>-6900</v>
      </c>
      <c r="AF217" s="1125">
        <f>IF(OR(State_Move_Age&gt;AF$4,State_Move_Age=0),-'Tax Tables'!AF254,-'Tax Tables'!AF261)</f>
        <v>-7050</v>
      </c>
      <c r="AG217" s="1125">
        <f>IF(OR(State_Move_Age&gt;AG$4,State_Move_Age=0),-'Tax Tables'!AG254,-'Tax Tables'!AG261)</f>
        <v>-7200</v>
      </c>
      <c r="AH217" s="1125">
        <f>IF(OR(State_Move_Age&gt;AH$4,State_Move_Age=0),-'Tax Tables'!AH254,-'Tax Tables'!AH261)</f>
        <v>-7350</v>
      </c>
      <c r="AI217" s="1125">
        <f>IF(OR(State_Move_Age&gt;AI$4,State_Move_Age=0),-'Tax Tables'!AI254,-'Tax Tables'!AI261)</f>
        <v>-7500</v>
      </c>
      <c r="AJ217" s="1125">
        <f>IF(OR(State_Move_Age&gt;AJ$4,State_Move_Age=0),-'Tax Tables'!AJ254,-'Tax Tables'!AJ261)</f>
        <v>0</v>
      </c>
      <c r="AK217" s="1125">
        <f>IF(OR(State_Move_Age&gt;AK$4,State_Move_Age=0),-'Tax Tables'!AK254,-'Tax Tables'!AK261)</f>
        <v>0</v>
      </c>
      <c r="AL217" s="1125">
        <f>IF(OR(State_Move_Age&gt;AL$4,State_Move_Age=0),-'Tax Tables'!AL254,-'Tax Tables'!AL261)</f>
        <v>0</v>
      </c>
      <c r="AM217" s="1125">
        <f>IF(OR(State_Move_Age&gt;AM$4,State_Move_Age=0),-'Tax Tables'!AM254,-'Tax Tables'!AM261)</f>
        <v>0</v>
      </c>
      <c r="AN217" s="1125">
        <f>IF(OR(State_Move_Age&gt;AN$4,State_Move_Age=0),-'Tax Tables'!AN254,-'Tax Tables'!AN261)</f>
        <v>0</v>
      </c>
      <c r="AO217" s="1125">
        <f>IF(OR(State_Move_Age&gt;AO$4,State_Move_Age=0),-'Tax Tables'!AO254,-'Tax Tables'!AO261)</f>
        <v>0</v>
      </c>
      <c r="AP217" s="1125">
        <f>IF(OR(State_Move_Age&gt;AP$4,State_Move_Age=0),-'Tax Tables'!AP254,-'Tax Tables'!AP261)</f>
        <v>0</v>
      </c>
      <c r="AQ217" s="1125">
        <f>IF(OR(State_Move_Age&gt;AQ$4,State_Move_Age=0),-'Tax Tables'!AQ254,-'Tax Tables'!AQ261)</f>
        <v>0</v>
      </c>
      <c r="AR217" s="1125">
        <f>IF(OR(State_Move_Age&gt;AR$4,State_Move_Age=0),-'Tax Tables'!AR254,-'Tax Tables'!AR261)</f>
        <v>0</v>
      </c>
      <c r="AS217" s="1125">
        <f>IF(OR(State_Move_Age&gt;AS$4,State_Move_Age=0),-'Tax Tables'!AS254,-'Tax Tables'!AS261)</f>
        <v>0</v>
      </c>
      <c r="AT217" s="3"/>
      <c r="AU217" s="34">
        <f>+Details!E217</f>
        <v>-180550</v>
      </c>
      <c r="AV217" s="83">
        <f t="shared" si="169"/>
        <v>0</v>
      </c>
      <c r="AW217" s="102"/>
      <c r="AY217" s="38">
        <f>+Details!F217-Base!F217</f>
        <v>0</v>
      </c>
      <c r="AZ217" s="1125">
        <f>+Details!G217-Base!G217</f>
        <v>0</v>
      </c>
      <c r="BA217" s="1125">
        <f>+Details!H217-Base!H217</f>
        <v>0</v>
      </c>
      <c r="BB217" s="1125">
        <f>+Details!I217-Base!I217</f>
        <v>0</v>
      </c>
      <c r="BC217" s="1125">
        <f>+Details!J217-Base!J217</f>
        <v>0</v>
      </c>
      <c r="BD217" s="1125">
        <f>+Details!K217-Base!K217</f>
        <v>0</v>
      </c>
      <c r="BE217" s="1125">
        <f>+Details!L217-Base!L217</f>
        <v>0</v>
      </c>
      <c r="BF217" s="1125">
        <f>+Details!M217-Base!M217</f>
        <v>0</v>
      </c>
      <c r="BG217" s="1125">
        <f>+Details!N217-Base!N217</f>
        <v>0</v>
      </c>
      <c r="BH217" s="1125">
        <f>+Details!O217-Base!O217</f>
        <v>0</v>
      </c>
      <c r="BI217" s="1125">
        <f>+Details!P217-Base!P217</f>
        <v>0</v>
      </c>
      <c r="BJ217" s="1125">
        <f>+Details!Q217-Base!Q217</f>
        <v>0</v>
      </c>
      <c r="BK217" s="1125">
        <f>+Details!R217-Base!R217</f>
        <v>0</v>
      </c>
      <c r="BL217" s="1125">
        <f>+Details!S217-Base!S217</f>
        <v>0</v>
      </c>
      <c r="BM217" s="1125">
        <f>+Details!T217-Base!T217</f>
        <v>0</v>
      </c>
      <c r="BN217" s="1125">
        <f>+Details!U217-Base!U217</f>
        <v>0</v>
      </c>
      <c r="BO217" s="1125">
        <f>+Details!V217-Base!V217</f>
        <v>0</v>
      </c>
      <c r="BP217" s="1125">
        <f>+Details!W217-Base!W217</f>
        <v>0</v>
      </c>
      <c r="BQ217" s="1125">
        <f>+Details!X217-Base!X217</f>
        <v>0</v>
      </c>
      <c r="BR217" s="1125">
        <f>+Details!Y217-Base!Y217</f>
        <v>0</v>
      </c>
      <c r="BS217" s="1125">
        <f>+Details!Z217-Base!Z217</f>
        <v>0</v>
      </c>
      <c r="BT217" s="1125">
        <f>+Details!AA217-Base!AA217</f>
        <v>0</v>
      </c>
      <c r="BU217" s="1125">
        <f>+Details!AB217-Base!AB217</f>
        <v>0</v>
      </c>
      <c r="BV217" s="1125">
        <f>+Details!AC217-Base!AC217</f>
        <v>0</v>
      </c>
      <c r="BW217" s="1125">
        <f>+Details!AD217-Base!AD217</f>
        <v>0</v>
      </c>
      <c r="BX217" s="1125">
        <f>+Details!AE217-Base!AE217</f>
        <v>0</v>
      </c>
      <c r="BY217" s="1125">
        <f>+Details!AF217-Base!AF217</f>
        <v>0</v>
      </c>
      <c r="BZ217" s="1125">
        <f>+Details!AG217-Base!AG217</f>
        <v>0</v>
      </c>
      <c r="CA217" s="1125">
        <f>+Details!AH217-Base!AH217</f>
        <v>0</v>
      </c>
      <c r="CB217" s="1125">
        <f>+Details!AI217-Base!AI217</f>
        <v>0</v>
      </c>
      <c r="CC217" s="1125">
        <f>+Details!AJ217-Base!AJ217</f>
        <v>0</v>
      </c>
      <c r="CD217" s="1125">
        <f>+Details!AK217-Base!AK217</f>
        <v>0</v>
      </c>
      <c r="CE217" s="1125">
        <f>+Details!AL217-Base!AL217</f>
        <v>0</v>
      </c>
      <c r="CF217" s="1125">
        <f>+Details!AM217-Base!AM217</f>
        <v>0</v>
      </c>
      <c r="CG217" s="1125">
        <f>+Details!AN217-Base!AN217</f>
        <v>0</v>
      </c>
      <c r="CH217" s="1125">
        <f>+Details!AO217-Base!AO217</f>
        <v>0</v>
      </c>
      <c r="CI217" s="1125">
        <f>+Details!AP217-Base!AP217</f>
        <v>0</v>
      </c>
      <c r="CJ217" s="1125">
        <f>+Details!AQ217-Base!AQ217</f>
        <v>0</v>
      </c>
      <c r="CK217" s="1125">
        <f>+Details!AR217-Base!AR217</f>
        <v>0</v>
      </c>
      <c r="CL217" s="1125">
        <f>+Details!AS217-Base!AS217</f>
        <v>0</v>
      </c>
      <c r="CM217" s="103"/>
    </row>
    <row r="218" spans="1:91">
      <c r="B218" s="72" t="s">
        <v>937</v>
      </c>
      <c r="C218" s="3"/>
      <c r="D218" s="29"/>
      <c r="E218" s="102">
        <f>SUM(F218:AS218)</f>
        <v>1957550</v>
      </c>
      <c r="F218" s="1124">
        <f>IF(F212+F216+F217&lt;0,0,F212+F216+F217)</f>
        <v>36600</v>
      </c>
      <c r="G218" s="1124">
        <f>IF(G212+G216+G217&lt;0,0,G212+G216+G217)</f>
        <v>51850</v>
      </c>
      <c r="H218" s="1124">
        <f t="shared" ref="H218:AS218" si="174">IF(H212+H216+H217&lt;0,0,H212+H216+H217)</f>
        <v>37050</v>
      </c>
      <c r="I218" s="1124">
        <f t="shared" si="174"/>
        <v>37150</v>
      </c>
      <c r="J218" s="1124">
        <f t="shared" si="174"/>
        <v>37300</v>
      </c>
      <c r="K218" s="1124">
        <f t="shared" si="174"/>
        <v>37800</v>
      </c>
      <c r="L218" s="1124">
        <f t="shared" si="174"/>
        <v>38600</v>
      </c>
      <c r="M218" s="1124">
        <f t="shared" si="174"/>
        <v>62850</v>
      </c>
      <c r="N218" s="1124">
        <f t="shared" si="174"/>
        <v>24500</v>
      </c>
      <c r="O218" s="1124">
        <f t="shared" si="174"/>
        <v>25250</v>
      </c>
      <c r="P218" s="1124">
        <f t="shared" si="174"/>
        <v>25600</v>
      </c>
      <c r="Q218" s="1124">
        <f t="shared" si="174"/>
        <v>26750</v>
      </c>
      <c r="R218" s="1124">
        <f t="shared" si="174"/>
        <v>32950</v>
      </c>
      <c r="S218" s="1124">
        <f t="shared" si="174"/>
        <v>35050</v>
      </c>
      <c r="T218" s="1124">
        <f t="shared" si="174"/>
        <v>48650</v>
      </c>
      <c r="U218" s="1124">
        <f t="shared" si="174"/>
        <v>56050</v>
      </c>
      <c r="V218" s="1124">
        <f t="shared" si="174"/>
        <v>65450</v>
      </c>
      <c r="W218" s="1124">
        <f t="shared" si="174"/>
        <v>69550</v>
      </c>
      <c r="X218" s="1124">
        <f t="shared" si="174"/>
        <v>64200</v>
      </c>
      <c r="Y218" s="1124">
        <f t="shared" si="174"/>
        <v>66150</v>
      </c>
      <c r="Z218" s="1124">
        <f t="shared" si="174"/>
        <v>69750</v>
      </c>
      <c r="AA218" s="1124">
        <f t="shared" si="174"/>
        <v>73650</v>
      </c>
      <c r="AB218" s="1124">
        <f t="shared" si="174"/>
        <v>107900</v>
      </c>
      <c r="AC218" s="1124">
        <f t="shared" si="174"/>
        <v>117750</v>
      </c>
      <c r="AD218" s="1124">
        <f t="shared" si="174"/>
        <v>116050</v>
      </c>
      <c r="AE218" s="1124">
        <f t="shared" si="174"/>
        <v>120100</v>
      </c>
      <c r="AF218" s="1124">
        <f t="shared" si="174"/>
        <v>122300</v>
      </c>
      <c r="AG218" s="1124">
        <f t="shared" si="174"/>
        <v>115600</v>
      </c>
      <c r="AH218" s="1124">
        <f t="shared" si="174"/>
        <v>116400</v>
      </c>
      <c r="AI218" s="1124">
        <f t="shared" si="174"/>
        <v>118700</v>
      </c>
      <c r="AJ218" s="1124">
        <f t="shared" si="174"/>
        <v>0</v>
      </c>
      <c r="AK218" s="1124">
        <f t="shared" si="174"/>
        <v>0</v>
      </c>
      <c r="AL218" s="1124">
        <f t="shared" si="174"/>
        <v>0</v>
      </c>
      <c r="AM218" s="1124">
        <f t="shared" si="174"/>
        <v>0</v>
      </c>
      <c r="AN218" s="1124">
        <f t="shared" si="174"/>
        <v>0</v>
      </c>
      <c r="AO218" s="1124">
        <f t="shared" si="174"/>
        <v>0</v>
      </c>
      <c r="AP218" s="1124">
        <f t="shared" si="174"/>
        <v>0</v>
      </c>
      <c r="AQ218" s="1124">
        <f t="shared" si="174"/>
        <v>0</v>
      </c>
      <c r="AR218" s="1124">
        <f t="shared" si="174"/>
        <v>0</v>
      </c>
      <c r="AS218" s="1124">
        <f t="shared" si="174"/>
        <v>0</v>
      </c>
      <c r="AT218" s="3"/>
      <c r="AU218" s="102">
        <f>+Details!E218</f>
        <v>1957550</v>
      </c>
      <c r="AV218" s="103">
        <f t="shared" si="169"/>
        <v>0</v>
      </c>
      <c r="AW218" s="102"/>
      <c r="AY218" s="31">
        <f>+Details!F218-Base!F218</f>
        <v>0</v>
      </c>
      <c r="AZ218" s="1124">
        <f>+Details!G218-Base!G218</f>
        <v>0</v>
      </c>
      <c r="BA218" s="1124">
        <f>+Details!H218-Base!H218</f>
        <v>0</v>
      </c>
      <c r="BB218" s="1124">
        <f>+Details!I218-Base!I218</f>
        <v>0</v>
      </c>
      <c r="BC218" s="1124">
        <f>+Details!J218-Base!J218</f>
        <v>0</v>
      </c>
      <c r="BD218" s="1124">
        <f>+Details!K218-Base!K218</f>
        <v>0</v>
      </c>
      <c r="BE218" s="1124">
        <f>+Details!L218-Base!L218</f>
        <v>0</v>
      </c>
      <c r="BF218" s="1124">
        <f>+Details!M218-Base!M218</f>
        <v>0</v>
      </c>
      <c r="BG218" s="1124">
        <f>+Details!N218-Base!N218</f>
        <v>0</v>
      </c>
      <c r="BH218" s="1124">
        <f>+Details!O218-Base!O218</f>
        <v>0</v>
      </c>
      <c r="BI218" s="1124">
        <f>+Details!P218-Base!P218</f>
        <v>0</v>
      </c>
      <c r="BJ218" s="1124">
        <f>+Details!Q218-Base!Q218</f>
        <v>0</v>
      </c>
      <c r="BK218" s="1124">
        <f>+Details!R218-Base!R218</f>
        <v>0</v>
      </c>
      <c r="BL218" s="1124">
        <f>+Details!S218-Base!S218</f>
        <v>0</v>
      </c>
      <c r="BM218" s="1124">
        <f>+Details!T218-Base!T218</f>
        <v>0</v>
      </c>
      <c r="BN218" s="1124">
        <f>+Details!U218-Base!U218</f>
        <v>0</v>
      </c>
      <c r="BO218" s="1124">
        <f>+Details!V218-Base!V218</f>
        <v>0</v>
      </c>
      <c r="BP218" s="1124">
        <f>+Details!W218-Base!W218</f>
        <v>0</v>
      </c>
      <c r="BQ218" s="1124">
        <f>+Details!X218-Base!X218</f>
        <v>0</v>
      </c>
      <c r="BR218" s="1124">
        <f>+Details!Y218-Base!Y218</f>
        <v>0</v>
      </c>
      <c r="BS218" s="1124">
        <f>+Details!Z218-Base!Z218</f>
        <v>0</v>
      </c>
      <c r="BT218" s="1124">
        <f>+Details!AA218-Base!AA218</f>
        <v>0</v>
      </c>
      <c r="BU218" s="1124">
        <f>+Details!AB218-Base!AB218</f>
        <v>0</v>
      </c>
      <c r="BV218" s="1124">
        <f>+Details!AC218-Base!AC218</f>
        <v>0</v>
      </c>
      <c r="BW218" s="1124">
        <f>+Details!AD218-Base!AD218</f>
        <v>0</v>
      </c>
      <c r="BX218" s="1124">
        <f>+Details!AE218-Base!AE218</f>
        <v>0</v>
      </c>
      <c r="BY218" s="1124">
        <f>+Details!AF218-Base!AF218</f>
        <v>0</v>
      </c>
      <c r="BZ218" s="1124">
        <f>+Details!AG218-Base!AG218</f>
        <v>0</v>
      </c>
      <c r="CA218" s="1124">
        <f>+Details!AH218-Base!AH218</f>
        <v>0</v>
      </c>
      <c r="CB218" s="1124">
        <f>+Details!AI218-Base!AI218</f>
        <v>0</v>
      </c>
      <c r="CC218" s="1124">
        <f>+Details!AJ218-Base!AJ218</f>
        <v>0</v>
      </c>
      <c r="CD218" s="1124">
        <f>+Details!AK218-Base!AK218</f>
        <v>0</v>
      </c>
      <c r="CE218" s="1124">
        <f>+Details!AL218-Base!AL218</f>
        <v>0</v>
      </c>
      <c r="CF218" s="1124">
        <f>+Details!AM218-Base!AM218</f>
        <v>0</v>
      </c>
      <c r="CG218" s="1124">
        <f>+Details!AN218-Base!AN218</f>
        <v>0</v>
      </c>
      <c r="CH218" s="1124">
        <f>+Details!AO218-Base!AO218</f>
        <v>0</v>
      </c>
      <c r="CI218" s="1124">
        <f>+Details!AP218-Base!AP218</f>
        <v>0</v>
      </c>
      <c r="CJ218" s="1124">
        <f>+Details!AQ218-Base!AQ218</f>
        <v>0</v>
      </c>
      <c r="CK218" s="1124">
        <f>+Details!AR218-Base!AR218</f>
        <v>0</v>
      </c>
      <c r="CL218" s="1124">
        <f>+Details!AS218-Base!AS218</f>
        <v>0</v>
      </c>
      <c r="CM218" s="103"/>
    </row>
    <row r="219" spans="1:91" ht="15.6" hidden="1">
      <c r="A219" s="1427" t="s">
        <v>1578</v>
      </c>
      <c r="B219" s="827" t="s">
        <v>2161</v>
      </c>
      <c r="C219" s="827" t="str">
        <f>IF(State_Move_Age&gt;0,"state 2"," ")</f>
        <v>state 2</v>
      </c>
      <c r="D219" s="1659" t="str">
        <f>IF(Esc_Fed_Ded="y","escalating","non-escalating")</f>
        <v>escalating</v>
      </c>
      <c r="E219" s="88"/>
      <c r="F219" s="844"/>
      <c r="G219" s="844"/>
      <c r="H219" s="844"/>
      <c r="I219" s="844"/>
      <c r="J219" s="844"/>
      <c r="K219" s="844"/>
      <c r="L219" s="844"/>
      <c r="M219" s="844"/>
      <c r="N219" s="844"/>
      <c r="O219" s="844"/>
      <c r="P219" s="844"/>
      <c r="Q219" s="844"/>
      <c r="R219" s="844"/>
      <c r="S219" s="844"/>
      <c r="T219" s="844"/>
      <c r="U219" s="844"/>
      <c r="V219" s="844"/>
      <c r="W219" s="844"/>
      <c r="X219" s="844"/>
      <c r="Y219" s="844"/>
      <c r="Z219" s="844"/>
      <c r="AA219" s="844"/>
      <c r="AB219" s="844"/>
      <c r="AC219" s="844"/>
      <c r="AD219" s="844"/>
      <c r="AE219" s="844"/>
      <c r="AF219" s="844"/>
      <c r="AG219" s="844"/>
      <c r="AH219" s="844"/>
      <c r="AI219" s="844"/>
      <c r="AJ219" s="844"/>
      <c r="AK219" s="844"/>
      <c r="AL219" s="844"/>
      <c r="AM219" s="844"/>
      <c r="AN219" s="844"/>
      <c r="AO219" s="844"/>
      <c r="AP219" s="844"/>
      <c r="AQ219" s="844"/>
      <c r="AR219" s="844"/>
      <c r="AS219" s="844"/>
      <c r="AT219" s="88"/>
      <c r="AU219" s="102"/>
      <c r="AV219" s="103"/>
      <c r="AW219" s="88"/>
      <c r="AY219" s="88"/>
      <c r="AZ219" s="844"/>
      <c r="BA219" s="844"/>
      <c r="BB219" s="844"/>
      <c r="BC219" s="844"/>
      <c r="BD219" s="844"/>
      <c r="BE219" s="844"/>
      <c r="BF219" s="844"/>
      <c r="BG219" s="844"/>
      <c r="BH219" s="844"/>
      <c r="BI219" s="844"/>
      <c r="BJ219" s="844"/>
      <c r="BK219" s="844"/>
      <c r="BL219" s="844"/>
      <c r="BM219" s="844"/>
      <c r="BN219" s="844"/>
      <c r="BO219" s="844"/>
      <c r="BP219" s="844"/>
      <c r="BQ219" s="844"/>
      <c r="BR219" s="844"/>
      <c r="BS219" s="844"/>
      <c r="BT219" s="844"/>
      <c r="BU219" s="844"/>
      <c r="BV219" s="844"/>
      <c r="BW219" s="844"/>
      <c r="BX219" s="844"/>
      <c r="BY219" s="844"/>
      <c r="BZ219" s="844"/>
      <c r="CA219" s="844"/>
      <c r="CB219" s="844"/>
      <c r="CC219" s="844"/>
      <c r="CD219" s="844"/>
      <c r="CE219" s="844"/>
      <c r="CF219" s="844"/>
      <c r="CG219" s="844"/>
      <c r="CH219" s="844"/>
      <c r="CI219" s="844"/>
      <c r="CJ219" s="844"/>
      <c r="CK219" s="844"/>
      <c r="CL219" s="844"/>
      <c r="CM219" s="103"/>
    </row>
    <row r="220" spans="1:91" hidden="1">
      <c r="A220" s="1427" t="s">
        <v>1578</v>
      </c>
      <c r="B220" s="825" t="str">
        <f>State_Br_Per1*100 &amp; "%" &amp; " for $0-$" &amp; State_Br_Amt1</f>
        <v>2% for $0-$10000</v>
      </c>
      <c r="C220" s="825" t="str">
        <f>IF(State_Move_Age&gt;0,State2_Br_Per1*100 &amp; "%" &amp; " for $0-$" &amp; State2_Br_Amt1," ")</f>
        <v>5% for $0-$25000</v>
      </c>
      <c r="D220" s="67"/>
      <c r="E220" s="102">
        <f t="shared" si="167"/>
        <v>23100</v>
      </c>
      <c r="F220" s="31">
        <f>ROUND(IF(OR(F$4&lt;State_Move_Age,State_Move_Age=""),IF(F$218&gt;'Tax Tables'!F$268,'Tax Tables'!F$270,F$218*'Tax Tables'!F$269),IF(F$218&gt;'Tax Tables'!F$282,'Tax Tables'!F$284,F$218*'Tax Tables'!F$283))/Round_To,0)*Round_To*IF(Exclude_Taxes="n",1,0)</f>
        <v>200</v>
      </c>
      <c r="G220" s="1124">
        <f>ROUND(IF(OR(G$4&lt;State_Move_Age,State_Move_Age=""),IF(G$218&gt;'Tax Tables'!G$268,'Tax Tables'!G$270,G$218*'Tax Tables'!G$269),IF(G$218&gt;'Tax Tables'!G$282,'Tax Tables'!G$284,G$218*'Tax Tables'!G$283))/Round_To,0)*Round_To*IF(Exclude_Taxes="n",1,0)</f>
        <v>200</v>
      </c>
      <c r="H220" s="1124">
        <f>ROUND(IF(OR(H$4&lt;State_Move_Age,State_Move_Age=""),IF(H$218&gt;'Tax Tables'!H$268,'Tax Tables'!H$270,H$218*'Tax Tables'!H$269),IF(H$218&gt;'Tax Tables'!H$282,'Tax Tables'!H$284,H$218*'Tax Tables'!H$283))/Round_To,0)*Round_To*IF(Exclude_Taxes="n",1,0)</f>
        <v>200</v>
      </c>
      <c r="I220" s="1124">
        <f>ROUND(IF(OR(I$4&lt;State_Move_Age,State_Move_Age=""),IF(I$218&gt;'Tax Tables'!I$268,'Tax Tables'!I$270,I$218*'Tax Tables'!I$269),IF(I$218&gt;'Tax Tables'!I$282,'Tax Tables'!I$284,I$218*'Tax Tables'!I$283))/Round_To,0)*Round_To*IF(Exclude_Taxes="n",1,0)</f>
        <v>200</v>
      </c>
      <c r="J220" s="1124">
        <f>ROUND(IF(OR(J$4&lt;State_Move_Age,State_Move_Age=""),IF(J$218&gt;'Tax Tables'!J$268,'Tax Tables'!J$270,J$218*'Tax Tables'!J$269),IF(J$218&gt;'Tax Tables'!J$282,'Tax Tables'!J$284,J$218*'Tax Tables'!J$283))/Round_To,0)*Round_To*IF(Exclude_Taxes="n",1,0)</f>
        <v>200</v>
      </c>
      <c r="K220" s="1124">
        <f>ROUND(IF(OR(K$4&lt;State_Move_Age,State_Move_Age=""),IF(K$218&gt;'Tax Tables'!K$268,'Tax Tables'!K$270,K$218*'Tax Tables'!K$269),IF(K$218&gt;'Tax Tables'!K$282,'Tax Tables'!K$284,K$218*'Tax Tables'!K$283))/Round_To,0)*Round_To*IF(Exclude_Taxes="n",1,0)</f>
        <v>200</v>
      </c>
      <c r="L220" s="1124">
        <f>ROUND(IF(OR(L$4&lt;State_Move_Age,State_Move_Age=""),IF(L$218&gt;'Tax Tables'!L$268,'Tax Tables'!L$270,L$218*'Tax Tables'!L$269),IF(L$218&gt;'Tax Tables'!L$282,'Tax Tables'!L$284,L$218*'Tax Tables'!L$283))/Round_To,0)*Round_To*IF(Exclude_Taxes="n",1,0)</f>
        <v>200</v>
      </c>
      <c r="M220" s="1124">
        <f>ROUND(IF(OR(M$4&lt;State_Move_Age,State_Move_Age=""),IF(M$218&gt;'Tax Tables'!M$268,'Tax Tables'!M$270,M$218*'Tax Tables'!M$269),IF(M$218&gt;'Tax Tables'!M$282,'Tax Tables'!M$284,M$218*'Tax Tables'!M$283))/Round_To,0)*Round_To*IF(Exclude_Taxes="n",1,0)</f>
        <v>200</v>
      </c>
      <c r="N220" s="1124">
        <f>ROUND(IF(OR(N$4&lt;State_Move_Age,State_Move_Age=""),IF(N$218&gt;'Tax Tables'!N$268,'Tax Tables'!N$270,N$218*'Tax Tables'!N$269),IF(N$218&gt;'Tax Tables'!N$282,'Tax Tables'!N$284,N$218*'Tax Tables'!N$283))/Round_To,0)*Round_To*IF(Exclude_Taxes="n",1,0)</f>
        <v>200</v>
      </c>
      <c r="O220" s="1124">
        <f>ROUND(IF(OR(O$4&lt;State_Move_Age,State_Move_Age=""),IF(O$218&gt;'Tax Tables'!O$268,'Tax Tables'!O$270,O$218*'Tax Tables'!O$269),IF(O$218&gt;'Tax Tables'!O$282,'Tax Tables'!O$284,O$218*'Tax Tables'!O$283))/Round_To,0)*Round_To*IF(Exclude_Taxes="n",1,0)</f>
        <v>200</v>
      </c>
      <c r="P220" s="1124">
        <f>ROUND(IF(OR(P$4&lt;State_Move_Age,State_Move_Age=""),IF(P$218&gt;'Tax Tables'!P$268,'Tax Tables'!P$270,P$218*'Tax Tables'!P$269),IF(P$218&gt;'Tax Tables'!P$282,'Tax Tables'!P$284,P$218*'Tax Tables'!P$283))/Round_To,0)*Round_To*IF(Exclude_Taxes="n",1,0)</f>
        <v>200</v>
      </c>
      <c r="Q220" s="1124">
        <f>ROUND(IF(OR(Q$4&lt;State_Move_Age,State_Move_Age=""),IF(Q$218&gt;'Tax Tables'!Q$268,'Tax Tables'!Q$270,Q$218*'Tax Tables'!Q$269),IF(Q$218&gt;'Tax Tables'!Q$282,'Tax Tables'!Q$284,Q$218*'Tax Tables'!Q$283))/Round_To,0)*Round_To*IF(Exclude_Taxes="n",1,0)</f>
        <v>300</v>
      </c>
      <c r="R220" s="1124">
        <f>ROUND(IF(OR(R$4&lt;State_Move_Age,State_Move_Age=""),IF(R$218&gt;'Tax Tables'!R$268,'Tax Tables'!R$270,R$218*'Tax Tables'!R$269),IF(R$218&gt;'Tax Tables'!R$282,'Tax Tables'!R$284,R$218*'Tax Tables'!R$283))/Round_To,0)*Round_To*IF(Exclude_Taxes="n",1,0)</f>
        <v>300</v>
      </c>
      <c r="S220" s="1124">
        <f>ROUND(IF(OR(S$4&lt;State_Move_Age,State_Move_Age=""),IF(S$218&gt;'Tax Tables'!S$268,'Tax Tables'!S$270,S$218*'Tax Tables'!S$269),IF(S$218&gt;'Tax Tables'!S$282,'Tax Tables'!S$284,S$218*'Tax Tables'!S$283))/Round_To,0)*Round_To*IF(Exclude_Taxes="n",1,0)</f>
        <v>300</v>
      </c>
      <c r="T220" s="1124">
        <f>ROUND(IF(OR(T$4&lt;State_Move_Age,State_Move_Age=""),IF(T$218&gt;'Tax Tables'!T$268,'Tax Tables'!T$270,T$218*'Tax Tables'!T$269),IF(T$218&gt;'Tax Tables'!T$282,'Tax Tables'!T$284,T$218*'Tax Tables'!T$283))/Round_To,0)*Round_To*IF(Exclude_Taxes="n",1,0)</f>
        <v>300</v>
      </c>
      <c r="U220" s="1124">
        <f>ROUND(IF(OR(U$4&lt;State_Move_Age,State_Move_Age=""),IF(U$218&gt;'Tax Tables'!U$268,'Tax Tables'!U$270,U$218*'Tax Tables'!U$269),IF(U$218&gt;'Tax Tables'!U$282,'Tax Tables'!U$284,U$218*'Tax Tables'!U$283))/Round_To,0)*Round_To*IF(Exclude_Taxes="n",1,0)</f>
        <v>300</v>
      </c>
      <c r="V220" s="1124">
        <f>ROUND(IF(OR(V$4&lt;State_Move_Age,State_Move_Age=""),IF(V$218&gt;'Tax Tables'!V$268,'Tax Tables'!V$270,V$218*'Tax Tables'!V$269),IF(V$218&gt;'Tax Tables'!V$282,'Tax Tables'!V$284,V$218*'Tax Tables'!V$283))/Round_To,0)*Round_To*IF(Exclude_Taxes="n",1,0)</f>
        <v>300</v>
      </c>
      <c r="W220" s="1124">
        <f>ROUND(IF(OR(W$4&lt;State_Move_Age,State_Move_Age=""),IF(W$218&gt;'Tax Tables'!W$268,'Tax Tables'!W$270,W$218*'Tax Tables'!W$269),IF(W$218&gt;'Tax Tables'!W$282,'Tax Tables'!W$284,W$218*'Tax Tables'!W$283))/Round_To,0)*Round_To*IF(Exclude_Taxes="n",1,0)</f>
        <v>300</v>
      </c>
      <c r="X220" s="1124">
        <f>ROUND(IF(OR(X$4&lt;State_Move_Age,State_Move_Age=""),IF(X$218&gt;'Tax Tables'!X$268,'Tax Tables'!X$270,X$218*'Tax Tables'!X$269),IF(X$218&gt;'Tax Tables'!X$282,'Tax Tables'!X$284,X$218*'Tax Tables'!X$283))/Round_To,0)*Round_To*IF(Exclude_Taxes="n",1,0)</f>
        <v>300</v>
      </c>
      <c r="Y220" s="1124">
        <f>ROUND(IF(OR(Y$4&lt;State_Move_Age,State_Move_Age=""),IF(Y$218&gt;'Tax Tables'!Y$268,'Tax Tables'!Y$270,Y$218*'Tax Tables'!Y$269),IF(Y$218&gt;'Tax Tables'!Y$282,'Tax Tables'!Y$284,Y$218*'Tax Tables'!Y$283))/Round_To,0)*Round_To*IF(Exclude_Taxes="n",1,0)</f>
        <v>300</v>
      </c>
      <c r="Z220" s="1124">
        <f>ROUND(IF(OR(Z$4&lt;State_Move_Age,State_Move_Age=""),IF(Z$218&gt;'Tax Tables'!Z$268,'Tax Tables'!Z$270,Z$218*'Tax Tables'!Z$269),IF(Z$218&gt;'Tax Tables'!Z$282,'Tax Tables'!Z$284,Z$218*'Tax Tables'!Z$283))/Round_To,0)*Round_To*IF(Exclude_Taxes="n",1,0)</f>
        <v>300</v>
      </c>
      <c r="AA220" s="1124">
        <f>ROUND(IF(OR(AA$4&lt;State_Move_Age,State_Move_Age=""),IF(AA$218&gt;'Tax Tables'!AA$268,'Tax Tables'!AA$270,AA$218*'Tax Tables'!AA$269),IF(AA$218&gt;'Tax Tables'!AA$282,'Tax Tables'!AA$284,AA$218*'Tax Tables'!AA$283))/Round_To,0)*Round_To*IF(Exclude_Taxes="n",1,0)</f>
        <v>300</v>
      </c>
      <c r="AB220" s="1124">
        <f>ROUND(IF(OR(AB$4&lt;State_Move_Age,State_Move_Age=""),IF(AB$218&gt;'Tax Tables'!AB$268,'Tax Tables'!AB$270,AB$218*'Tax Tables'!AB$269),IF(AB$218&gt;'Tax Tables'!AB$282,'Tax Tables'!AB$284,AB$218*'Tax Tables'!AB$283))/Round_To,0)*Round_To*IF(Exclude_Taxes="n",1,0)</f>
        <v>2000</v>
      </c>
      <c r="AC220" s="1124">
        <f>ROUND(IF(OR(AC$4&lt;State_Move_Age,State_Move_Age=""),IF(AC$218&gt;'Tax Tables'!AC$268,'Tax Tables'!AC$270,AC$218*'Tax Tables'!AC$269),IF(AC$218&gt;'Tax Tables'!AC$282,'Tax Tables'!AC$284,AC$218*'Tax Tables'!AC$283))/Round_To,0)*Round_To*IF(Exclude_Taxes="n",1,0)</f>
        <v>2100</v>
      </c>
      <c r="AD220" s="1124">
        <f>ROUND(IF(OR(AD$4&lt;State_Move_Age,State_Move_Age=""),IF(AD$218&gt;'Tax Tables'!AD$268,'Tax Tables'!AD$270,AD$218*'Tax Tables'!AD$269),IF(AD$218&gt;'Tax Tables'!AD$282,'Tax Tables'!AD$284,AD$218*'Tax Tables'!AD$283))/Round_To,0)*Round_To*IF(Exclude_Taxes="n",1,0)</f>
        <v>2100</v>
      </c>
      <c r="AE220" s="1124">
        <f>ROUND(IF(OR(AE$4&lt;State_Move_Age,State_Move_Age=""),IF(AE$218&gt;'Tax Tables'!AE$268,'Tax Tables'!AE$270,AE$218*'Tax Tables'!AE$269),IF(AE$218&gt;'Tax Tables'!AE$282,'Tax Tables'!AE$284,AE$218*'Tax Tables'!AE$283))/Round_To,0)*Round_To*IF(Exclude_Taxes="n",1,0)</f>
        <v>2200</v>
      </c>
      <c r="AF220" s="1124">
        <f>ROUND(IF(OR(AF$4&lt;State_Move_Age,State_Move_Age=""),IF(AF$218&gt;'Tax Tables'!AF$268,'Tax Tables'!AF$270,AF$218*'Tax Tables'!AF$269),IF(AF$218&gt;'Tax Tables'!AF$282,'Tax Tables'!AF$284,AF$218*'Tax Tables'!AF$283))/Round_To,0)*Round_To*IF(Exclude_Taxes="n",1,0)</f>
        <v>2200</v>
      </c>
      <c r="AG220" s="1124">
        <f>ROUND(IF(OR(AG$4&lt;State_Move_Age,State_Move_Age=""),IF(AG$218&gt;'Tax Tables'!AG$268,'Tax Tables'!AG$270,AG$218*'Tax Tables'!AG$269),IF(AG$218&gt;'Tax Tables'!AG$282,'Tax Tables'!AG$284,AG$218*'Tax Tables'!AG$283))/Round_To,0)*Round_To*IF(Exclude_Taxes="n",1,0)</f>
        <v>2300</v>
      </c>
      <c r="AH220" s="1124">
        <f>ROUND(IF(OR(AH$4&lt;State_Move_Age,State_Move_Age=""),IF(AH$218&gt;'Tax Tables'!AH$268,'Tax Tables'!AH$270,AH$218*'Tax Tables'!AH$269),IF(AH$218&gt;'Tax Tables'!AH$282,'Tax Tables'!AH$284,AH$218*'Tax Tables'!AH$283))/Round_To,0)*Round_To*IF(Exclude_Taxes="n",1,0)</f>
        <v>2300</v>
      </c>
      <c r="AI220" s="1124">
        <f>ROUND(IF(OR(AI$4&lt;State_Move_Age,State_Move_Age=""),IF(AI$218&gt;'Tax Tables'!AI$268,'Tax Tables'!AI$270,AI$218*'Tax Tables'!AI$269),IF(AI$218&gt;'Tax Tables'!AI$282,'Tax Tables'!AI$284,AI$218*'Tax Tables'!AI$283))/Round_To,0)*Round_To*IF(Exclude_Taxes="n",1,0)</f>
        <v>2400</v>
      </c>
      <c r="AJ220" s="1124">
        <f>ROUND(IF(OR(AJ$4&lt;State_Move_Age,State_Move_Age=""),IF(AJ$218&gt;'Tax Tables'!AJ$268,'Tax Tables'!AJ$270,AJ$218*'Tax Tables'!AJ$269),IF(AJ$218&gt;'Tax Tables'!AJ$282,'Tax Tables'!AJ$284,AJ$218*'Tax Tables'!AJ$283))/Round_To,0)*Round_To*IF(Exclude_Taxes="n",1,0)</f>
        <v>0</v>
      </c>
      <c r="AK220" s="1124">
        <f>ROUND(IF(OR(AK$4&lt;State_Move_Age,State_Move_Age=""),IF(AK$218&gt;'Tax Tables'!AK$268,'Tax Tables'!AK$270,AK$218*'Tax Tables'!AK$269),IF(AK$218&gt;'Tax Tables'!AK$282,'Tax Tables'!AK$284,AK$218*'Tax Tables'!AK$283))/Round_To,0)*Round_To*IF(Exclude_Taxes="n",1,0)</f>
        <v>0</v>
      </c>
      <c r="AL220" s="1124">
        <f>ROUND(IF(OR(AL$4&lt;State_Move_Age,State_Move_Age=""),IF(AL$218&gt;'Tax Tables'!AL$268,'Tax Tables'!AL$270,AL$218*'Tax Tables'!AL$269),IF(AL$218&gt;'Tax Tables'!AL$282,'Tax Tables'!AL$284,AL$218*'Tax Tables'!AL$283))/Round_To,0)*Round_To*IF(Exclude_Taxes="n",1,0)</f>
        <v>0</v>
      </c>
      <c r="AM220" s="1124">
        <f>ROUND(IF(OR(AM$4&lt;State_Move_Age,State_Move_Age=""),IF(AM$218&gt;'Tax Tables'!AM$268,'Tax Tables'!AM$270,AM$218*'Tax Tables'!AM$269),IF(AM$218&gt;'Tax Tables'!AM$282,'Tax Tables'!AM$284,AM$218*'Tax Tables'!AM$283))/Round_To,0)*Round_To*IF(Exclude_Taxes="n",1,0)</f>
        <v>0</v>
      </c>
      <c r="AN220" s="1124">
        <f>ROUND(IF(OR(AN$4&lt;State_Move_Age,State_Move_Age=""),IF(AN$218&gt;'Tax Tables'!AN$268,'Tax Tables'!AN$270,AN$218*'Tax Tables'!AN$269),IF(AN$218&gt;'Tax Tables'!AN$282,'Tax Tables'!AN$284,AN$218*'Tax Tables'!AN$283))/Round_To,0)*Round_To*IF(Exclude_Taxes="n",1,0)</f>
        <v>0</v>
      </c>
      <c r="AO220" s="1124">
        <f>ROUND(IF(OR(AO$4&lt;State_Move_Age,State_Move_Age=""),IF(AO$218&gt;'Tax Tables'!AO$268,'Tax Tables'!AO$270,AO$218*'Tax Tables'!AO$269),IF(AO$218&gt;'Tax Tables'!AO$282,'Tax Tables'!AO$284,AO$218*'Tax Tables'!AO$283))/Round_To,0)*Round_To*IF(Exclude_Taxes="n",1,0)</f>
        <v>0</v>
      </c>
      <c r="AP220" s="1124">
        <f>ROUND(IF(OR(AP$4&lt;State_Move_Age,State_Move_Age=""),IF(AP$218&gt;'Tax Tables'!AP$268,'Tax Tables'!AP$270,AP$218*'Tax Tables'!AP$269),IF(AP$218&gt;'Tax Tables'!AP$282,'Tax Tables'!AP$284,AP$218*'Tax Tables'!AP$283))/Round_To,0)*Round_To*IF(Exclude_Taxes="n",1,0)</f>
        <v>0</v>
      </c>
      <c r="AQ220" s="1124">
        <f>ROUND(IF(OR(AQ$4&lt;State_Move_Age,State_Move_Age=""),IF(AQ$218&gt;'Tax Tables'!AQ$268,'Tax Tables'!AQ$270,AQ$218*'Tax Tables'!AQ$269),IF(AQ$218&gt;'Tax Tables'!AQ$282,'Tax Tables'!AQ$284,AQ$218*'Tax Tables'!AQ$283))/Round_To,0)*Round_To*IF(Exclude_Taxes="n",1,0)</f>
        <v>0</v>
      </c>
      <c r="AR220" s="1124">
        <f>ROUND(IF(OR(AR$4&lt;State_Move_Age,State_Move_Age=""),IF(AR$218&gt;'Tax Tables'!AR$268,'Tax Tables'!AR$270,AR$218*'Tax Tables'!AR$269),IF(AR$218&gt;'Tax Tables'!AR$282,'Tax Tables'!AR$284,AR$218*'Tax Tables'!AR$283))/Round_To,0)*Round_To*IF(Exclude_Taxes="n",1,0)</f>
        <v>0</v>
      </c>
      <c r="AS220" s="1124">
        <f>ROUND(IF(OR(AS$4&lt;State_Move_Age,State_Move_Age=""),IF(AS$218&gt;'Tax Tables'!AS$268,'Tax Tables'!AS$270,AS$218*'Tax Tables'!AS$269),IF(AS$218&gt;'Tax Tables'!AS$282,'Tax Tables'!AS$284,AS$218*'Tax Tables'!AS$283))/Round_To,0)*Round_To*IF(Exclude_Taxes="n",1,0)</f>
        <v>0</v>
      </c>
      <c r="AT220" s="88"/>
      <c r="AU220" s="102">
        <f>+Details!E220</f>
        <v>23100</v>
      </c>
      <c r="AV220" s="103">
        <f t="shared" si="169"/>
        <v>0</v>
      </c>
      <c r="AW220" s="102"/>
      <c r="AY220" s="31">
        <f>+Details!F220-Base!F220</f>
        <v>0</v>
      </c>
      <c r="AZ220" s="1124">
        <f>+Details!G220-Base!G220</f>
        <v>0</v>
      </c>
      <c r="BA220" s="1124">
        <f>+Details!H220-Base!H220</f>
        <v>0</v>
      </c>
      <c r="BB220" s="1124">
        <f>+Details!I220-Base!I220</f>
        <v>0</v>
      </c>
      <c r="BC220" s="1124">
        <f>+Details!J220-Base!J220</f>
        <v>0</v>
      </c>
      <c r="BD220" s="1124">
        <f>+Details!K220-Base!K220</f>
        <v>0</v>
      </c>
      <c r="BE220" s="1124">
        <f>+Details!L220-Base!L220</f>
        <v>0</v>
      </c>
      <c r="BF220" s="1124">
        <f>+Details!M220-Base!M220</f>
        <v>0</v>
      </c>
      <c r="BG220" s="1124">
        <f>+Details!N220-Base!N220</f>
        <v>0</v>
      </c>
      <c r="BH220" s="1124">
        <f>+Details!O220-Base!O220</f>
        <v>0</v>
      </c>
      <c r="BI220" s="1124">
        <f>+Details!P220-Base!P220</f>
        <v>0</v>
      </c>
      <c r="BJ220" s="1124">
        <f>+Details!Q220-Base!Q220</f>
        <v>0</v>
      </c>
      <c r="BK220" s="1124">
        <f>+Details!R220-Base!R220</f>
        <v>0</v>
      </c>
      <c r="BL220" s="1124">
        <f>+Details!S220-Base!S220</f>
        <v>0</v>
      </c>
      <c r="BM220" s="1124">
        <f>+Details!T220-Base!T220</f>
        <v>0</v>
      </c>
      <c r="BN220" s="1124">
        <f>+Details!U220-Base!U220</f>
        <v>0</v>
      </c>
      <c r="BO220" s="1124">
        <f>+Details!V220-Base!V220</f>
        <v>0</v>
      </c>
      <c r="BP220" s="1124">
        <f>+Details!W220-Base!W220</f>
        <v>0</v>
      </c>
      <c r="BQ220" s="1124">
        <f>+Details!X220-Base!X220</f>
        <v>0</v>
      </c>
      <c r="BR220" s="1124">
        <f>+Details!Y220-Base!Y220</f>
        <v>0</v>
      </c>
      <c r="BS220" s="1124">
        <f>+Details!Z220-Base!Z220</f>
        <v>0</v>
      </c>
      <c r="BT220" s="1124">
        <f>+Details!AA220-Base!AA220</f>
        <v>0</v>
      </c>
      <c r="BU220" s="1124">
        <f>+Details!AB220-Base!AB220</f>
        <v>0</v>
      </c>
      <c r="BV220" s="1124">
        <f>+Details!AC220-Base!AC220</f>
        <v>0</v>
      </c>
      <c r="BW220" s="1124">
        <f>+Details!AD220-Base!AD220</f>
        <v>0</v>
      </c>
      <c r="BX220" s="1124">
        <f>+Details!AE220-Base!AE220</f>
        <v>0</v>
      </c>
      <c r="BY220" s="1124">
        <f>+Details!AF220-Base!AF220</f>
        <v>0</v>
      </c>
      <c r="BZ220" s="1124">
        <f>+Details!AG220-Base!AG220</f>
        <v>0</v>
      </c>
      <c r="CA220" s="1124">
        <f>+Details!AH220-Base!AH220</f>
        <v>0</v>
      </c>
      <c r="CB220" s="1124">
        <f>+Details!AI220-Base!AI220</f>
        <v>0</v>
      </c>
      <c r="CC220" s="1124">
        <f>+Details!AJ220-Base!AJ220</f>
        <v>0</v>
      </c>
      <c r="CD220" s="1124">
        <f>+Details!AK220-Base!AK220</f>
        <v>0</v>
      </c>
      <c r="CE220" s="1124">
        <f>+Details!AL220-Base!AL220</f>
        <v>0</v>
      </c>
      <c r="CF220" s="1124">
        <f>+Details!AM220-Base!AM220</f>
        <v>0</v>
      </c>
      <c r="CG220" s="1124">
        <f>+Details!AN220-Base!AN220</f>
        <v>0</v>
      </c>
      <c r="CH220" s="1124">
        <f>+Details!AO220-Base!AO220</f>
        <v>0</v>
      </c>
      <c r="CI220" s="1124">
        <f>+Details!AP220-Base!AP220</f>
        <v>0</v>
      </c>
      <c r="CJ220" s="1124">
        <f>+Details!AQ220-Base!AQ220</f>
        <v>0</v>
      </c>
      <c r="CK220" s="1124">
        <f>+Details!AR220-Base!AR220</f>
        <v>0</v>
      </c>
      <c r="CL220" s="1124">
        <f>+Details!AS220-Base!AS220</f>
        <v>0</v>
      </c>
      <c r="CM220" s="103"/>
    </row>
    <row r="221" spans="1:91" hidden="1">
      <c r="A221" s="1427" t="s">
        <v>1578</v>
      </c>
      <c r="B221" s="825" t="str">
        <f>State_Br_Per2*100 &amp; "%" &amp; " for $" &amp; State_Br_Amt1+1 &amp; "-$" &amp; State_Br_Amt2</f>
        <v>3% for $10001-$30000</v>
      </c>
      <c r="C221" s="825" t="str">
        <f>IF(State_Move_Age&gt;0,State2_Br_Per2*100 &amp; "%" &amp; " for $" &amp; State2_Br_Amt1+1 &amp; "-$" &amp; State2_Br_Amt2,"")</f>
        <v>7% for $25001-$80000</v>
      </c>
      <c r="D221" s="67"/>
      <c r="E221" s="102">
        <f t="shared" si="167"/>
        <v>56100</v>
      </c>
      <c r="F221" s="31">
        <f>ROUND(IF(OR(F$4&lt;State_Move_Age,State_Move_Age=""),
IF(AND(F$218&gt;'Tax Tables'!F$272,F$218&lt;='Tax Tables'!F$273),(F$218-'Tax Tables'!F$272)*'Tax Tables'!F$274,IF(F$218&gt;'Tax Tables'!F$277,
('Tax Tables'!F$277-'Tax Tables'!F$272)*'Tax Tables'!F$274)),
IF(AND(F$218&gt;'Tax Tables'!F$286,F$218&lt;='Tax Tables'!F$287),(F$218-'Tax Tables'!F$286)*'Tax Tables'!F$288,IF(F$218&gt;'Tax Tables'!F$291,
('Tax Tables'!F$291-'Tax Tables'!F$286)*'Tax Tables'!F288))
)/Round_To,0)*Round_To*IF(Exclude_Taxes="n",1,0)</f>
        <v>600</v>
      </c>
      <c r="G221" s="1147">
        <f>ROUND(IF(OR(G$4&lt;State_Move_Age,State_Move_Age=""),
IF(AND(G$218&gt;'Tax Tables'!G$272,G$218&lt;='Tax Tables'!G$273),(G$218-'Tax Tables'!G$272)*'Tax Tables'!G$274,IF(G$218&gt;'Tax Tables'!G$277,
('Tax Tables'!G$277-'Tax Tables'!G$272)*'Tax Tables'!G$274)),
IF(AND(G$218&gt;'Tax Tables'!G$286,G$218&lt;='Tax Tables'!G$287),(G$218-'Tax Tables'!G$286)*'Tax Tables'!G$288,IF(G$218&gt;'Tax Tables'!G$291,
('Tax Tables'!G$291-'Tax Tables'!G$286)*'Tax Tables'!G288))
)/Round_To,0)*Round_To*IF(Exclude_Taxes="n",1,0)</f>
        <v>600</v>
      </c>
      <c r="H221" s="1147">
        <f>ROUND(IF(OR(H$4&lt;State_Move_Age,State_Move_Age=""),
IF(AND(H$218&gt;'Tax Tables'!H$272,H$218&lt;='Tax Tables'!H$273),(H$218-'Tax Tables'!H$272)*'Tax Tables'!H$274,IF(H$218&gt;'Tax Tables'!H$277,
('Tax Tables'!H$277-'Tax Tables'!H$272)*'Tax Tables'!H$274)),
IF(AND(H$218&gt;'Tax Tables'!H$286,H$218&lt;='Tax Tables'!H$287),(H$218-'Tax Tables'!H$286)*'Tax Tables'!H$288,IF(H$218&gt;'Tax Tables'!H$291,
('Tax Tables'!H$291-'Tax Tables'!H$286)*'Tax Tables'!H288))
)/Round_To,0)*Round_To*IF(Exclude_Taxes="n",1,0)</f>
        <v>600</v>
      </c>
      <c r="I221" s="1147">
        <f>ROUND(IF(OR(I$4&lt;State_Move_Age,State_Move_Age=""),
IF(AND(I$218&gt;'Tax Tables'!I$272,I$218&lt;='Tax Tables'!I$273),(I$218-'Tax Tables'!I$272)*'Tax Tables'!I$274,IF(I$218&gt;'Tax Tables'!I$277,
('Tax Tables'!I$277-'Tax Tables'!I$272)*'Tax Tables'!I$274)),
IF(AND(I$218&gt;'Tax Tables'!I$286,I$218&lt;='Tax Tables'!I$287),(I$218-'Tax Tables'!I$286)*'Tax Tables'!I$288,IF(I$218&gt;'Tax Tables'!I$291,
('Tax Tables'!I$291-'Tax Tables'!I$286)*'Tax Tables'!I288))
)/Round_To,0)*Round_To*IF(Exclude_Taxes="n",1,0)</f>
        <v>600</v>
      </c>
      <c r="J221" s="1147">
        <f>ROUND(IF(OR(J$4&lt;State_Move_Age,State_Move_Age=""),
IF(AND(J$218&gt;'Tax Tables'!J$272,J$218&lt;='Tax Tables'!J$273),(J$218-'Tax Tables'!J$272)*'Tax Tables'!J$274,IF(J$218&gt;'Tax Tables'!J$277,
('Tax Tables'!J$277-'Tax Tables'!J$272)*'Tax Tables'!J$274)),
IF(AND(J$218&gt;'Tax Tables'!J$286,J$218&lt;='Tax Tables'!J$287),(J$218-'Tax Tables'!J$286)*'Tax Tables'!J$288,IF(J$218&gt;'Tax Tables'!J$291,
('Tax Tables'!J$291-'Tax Tables'!J$286)*'Tax Tables'!J288))
)/Round_To,0)*Round_To*IF(Exclude_Taxes="n",1,0)</f>
        <v>700</v>
      </c>
      <c r="K221" s="1147">
        <f>ROUND(IF(OR(K$4&lt;State_Move_Age,State_Move_Age=""),
IF(AND(K$218&gt;'Tax Tables'!K$272,K$218&lt;='Tax Tables'!K$273),(K$218-'Tax Tables'!K$272)*'Tax Tables'!K$274,IF(K$218&gt;'Tax Tables'!K$277,
('Tax Tables'!K$277-'Tax Tables'!K$272)*'Tax Tables'!K$274)),
IF(AND(K$218&gt;'Tax Tables'!K$286,K$218&lt;='Tax Tables'!K$287),(K$218-'Tax Tables'!K$286)*'Tax Tables'!K$288,IF(K$218&gt;'Tax Tables'!K$291,
('Tax Tables'!K$291-'Tax Tables'!K$286)*'Tax Tables'!K288))
)/Round_To,0)*Round_To*IF(Exclude_Taxes="n",1,0)</f>
        <v>700</v>
      </c>
      <c r="L221" s="1147">
        <f>ROUND(IF(OR(L$4&lt;State_Move_Age,State_Move_Age=""),
IF(AND(L$218&gt;'Tax Tables'!L$272,L$218&lt;='Tax Tables'!L$273),(L$218-'Tax Tables'!L$272)*'Tax Tables'!L$274,IF(L$218&gt;'Tax Tables'!L$277,
('Tax Tables'!L$277-'Tax Tables'!L$272)*'Tax Tables'!L$274)),
IF(AND(L$218&gt;'Tax Tables'!L$286,L$218&lt;='Tax Tables'!L$287),(L$218-'Tax Tables'!L$286)*'Tax Tables'!L$288,IF(L$218&gt;'Tax Tables'!L$291,
('Tax Tables'!L$291-'Tax Tables'!L$286)*'Tax Tables'!L288))
)/Round_To,0)*Round_To*IF(Exclude_Taxes="n",1,0)</f>
        <v>700</v>
      </c>
      <c r="M221" s="1147">
        <f>ROUND(IF(OR(M$4&lt;State_Move_Age,State_Move_Age=""),
IF(AND(M$218&gt;'Tax Tables'!M$272,M$218&lt;='Tax Tables'!M$273),(M$218-'Tax Tables'!M$272)*'Tax Tables'!M$274,IF(M$218&gt;'Tax Tables'!M$277,
('Tax Tables'!M$277-'Tax Tables'!M$272)*'Tax Tables'!M$274)),
IF(AND(M$218&gt;'Tax Tables'!M$286,M$218&lt;='Tax Tables'!M$287),(M$218-'Tax Tables'!M$286)*'Tax Tables'!M$288,IF(M$218&gt;'Tax Tables'!M$291,
('Tax Tables'!M$291-'Tax Tables'!M$286)*'Tax Tables'!M288))
)/Round_To,0)*Round_To*IF(Exclude_Taxes="n",1,0)</f>
        <v>700</v>
      </c>
      <c r="N221" s="1147">
        <f>ROUND(IF(OR(N$4&lt;State_Move_Age,State_Move_Age=""),
IF(AND(N$218&gt;'Tax Tables'!N$272,N$218&lt;='Tax Tables'!N$273),(N$218-'Tax Tables'!N$272)*'Tax Tables'!N$274,IF(N$218&gt;'Tax Tables'!N$277,
('Tax Tables'!N$277-'Tax Tables'!N$272)*'Tax Tables'!N$274)),
IF(AND(N$218&gt;'Tax Tables'!N$286,N$218&lt;='Tax Tables'!N$287),(N$218-'Tax Tables'!N$286)*'Tax Tables'!N$288,IF(N$218&gt;'Tax Tables'!N$291,
('Tax Tables'!N$291-'Tax Tables'!N$286)*'Tax Tables'!N288))
)/Round_To,0)*Round_To*IF(Exclude_Taxes="n",1,0)</f>
        <v>400</v>
      </c>
      <c r="O221" s="1147">
        <f>ROUND(IF(OR(O$4&lt;State_Move_Age,State_Move_Age=""),
IF(AND(O$218&gt;'Tax Tables'!O$272,O$218&lt;='Tax Tables'!O$273),(O$218-'Tax Tables'!O$272)*'Tax Tables'!O$274,IF(O$218&gt;'Tax Tables'!O$277,
('Tax Tables'!O$277-'Tax Tables'!O$272)*'Tax Tables'!O$274)),
IF(AND(O$218&gt;'Tax Tables'!O$286,O$218&lt;='Tax Tables'!O$287),(O$218-'Tax Tables'!O$286)*'Tax Tables'!O$288,IF(O$218&gt;'Tax Tables'!O$291,
('Tax Tables'!O$291-'Tax Tables'!O$286)*'Tax Tables'!O288))
)/Round_To,0)*Round_To*IF(Exclude_Taxes="n",1,0)</f>
        <v>400</v>
      </c>
      <c r="P221" s="1147">
        <f>ROUND(IF(OR(P$4&lt;State_Move_Age,State_Move_Age=""),
IF(AND(P$218&gt;'Tax Tables'!P$272,P$218&lt;='Tax Tables'!P$273),(P$218-'Tax Tables'!P$272)*'Tax Tables'!P$274,IF(P$218&gt;'Tax Tables'!P$277,
('Tax Tables'!P$277-'Tax Tables'!P$272)*'Tax Tables'!P$274)),
IF(AND(P$218&gt;'Tax Tables'!P$286,P$218&lt;='Tax Tables'!P$287),(P$218-'Tax Tables'!P$286)*'Tax Tables'!P$288,IF(P$218&gt;'Tax Tables'!P$291,
('Tax Tables'!P$291-'Tax Tables'!P$286)*'Tax Tables'!P288))
)/Round_To,0)*Round_To*IF(Exclude_Taxes="n",1,0)</f>
        <v>400</v>
      </c>
      <c r="Q221" s="1147">
        <f>ROUND(IF(OR(Q$4&lt;State_Move_Age,State_Move_Age=""),
IF(AND(Q$218&gt;'Tax Tables'!Q$272,Q$218&lt;='Tax Tables'!Q$273),(Q$218-'Tax Tables'!Q$272)*'Tax Tables'!Q$274,IF(Q$218&gt;'Tax Tables'!Q$277,
('Tax Tables'!Q$277-'Tax Tables'!Q$272)*'Tax Tables'!Q$274)),
IF(AND(Q$218&gt;'Tax Tables'!Q$286,Q$218&lt;='Tax Tables'!Q$287),(Q$218-'Tax Tables'!Q$286)*'Tax Tables'!Q$288,IF(Q$218&gt;'Tax Tables'!Q$291,
('Tax Tables'!Q$291-'Tax Tables'!Q$286)*'Tax Tables'!Q288))
)/Round_To,0)*Round_To*IF(Exclude_Taxes="n",1,0)</f>
        <v>400</v>
      </c>
      <c r="R221" s="1147">
        <f>ROUND(IF(OR(R$4&lt;State_Move_Age,State_Move_Age=""),
IF(AND(R$218&gt;'Tax Tables'!R$272,R$218&lt;='Tax Tables'!R$273),(R$218-'Tax Tables'!R$272)*'Tax Tables'!R$274,IF(R$218&gt;'Tax Tables'!R$277,
('Tax Tables'!R$277-'Tax Tables'!R$272)*'Tax Tables'!R$274)),
IF(AND(R$218&gt;'Tax Tables'!R$286,R$218&lt;='Tax Tables'!R$287),(R$218-'Tax Tables'!R$286)*'Tax Tables'!R$288,IF(R$218&gt;'Tax Tables'!R$291,
('Tax Tables'!R$291-'Tax Tables'!R$286)*'Tax Tables'!R288))
)/Round_To,0)*Round_To*IF(Exclude_Taxes="n",1,0)</f>
        <v>600</v>
      </c>
      <c r="S221" s="1147">
        <f>ROUND(IF(OR(S$4&lt;State_Move_Age,State_Move_Age=""),
IF(AND(S$218&gt;'Tax Tables'!S$272,S$218&lt;='Tax Tables'!S$273),(S$218-'Tax Tables'!S$272)*'Tax Tables'!S$274,IF(S$218&gt;'Tax Tables'!S$277,
('Tax Tables'!S$277-'Tax Tables'!S$272)*'Tax Tables'!S$274)),
IF(AND(S$218&gt;'Tax Tables'!S$286,S$218&lt;='Tax Tables'!S$287),(S$218-'Tax Tables'!S$286)*'Tax Tables'!S$288,IF(S$218&gt;'Tax Tables'!S$291,
('Tax Tables'!S$291-'Tax Tables'!S$286)*'Tax Tables'!S288))
)/Round_To,0)*Round_To*IF(Exclude_Taxes="n",1,0)</f>
        <v>700</v>
      </c>
      <c r="T221" s="1147">
        <f>ROUND(IF(OR(T$4&lt;State_Move_Age,State_Move_Age=""),
IF(AND(T$218&gt;'Tax Tables'!T$272,T$218&lt;='Tax Tables'!T$273),(T$218-'Tax Tables'!T$272)*'Tax Tables'!T$274,IF(T$218&gt;'Tax Tables'!T$277,
('Tax Tables'!T$277-'Tax Tables'!T$272)*'Tax Tables'!T$274)),
IF(AND(T$218&gt;'Tax Tables'!T$286,T$218&lt;='Tax Tables'!T$287),(T$218-'Tax Tables'!T$286)*'Tax Tables'!T$288,IF(T$218&gt;'Tax Tables'!T$291,
('Tax Tables'!T$291-'Tax Tables'!T$286)*'Tax Tables'!T288))
)/Round_To,0)*Round_To*IF(Exclude_Taxes="n",1,0)</f>
        <v>800</v>
      </c>
      <c r="U221" s="1147">
        <f>ROUND(IF(OR(U$4&lt;State_Move_Age,State_Move_Age=""),
IF(AND(U$218&gt;'Tax Tables'!U$272,U$218&lt;='Tax Tables'!U$273),(U$218-'Tax Tables'!U$272)*'Tax Tables'!U$274,IF(U$218&gt;'Tax Tables'!U$277,
('Tax Tables'!U$277-'Tax Tables'!U$272)*'Tax Tables'!U$274)),
IF(AND(U$218&gt;'Tax Tables'!U$286,U$218&lt;='Tax Tables'!U$287),(U$218-'Tax Tables'!U$286)*'Tax Tables'!U$288,IF(U$218&gt;'Tax Tables'!U$291,
('Tax Tables'!U$291-'Tax Tables'!U$286)*'Tax Tables'!U288))
)/Round_To,0)*Round_To*IF(Exclude_Taxes="n",1,0)</f>
        <v>800</v>
      </c>
      <c r="V221" s="1147">
        <f>ROUND(IF(OR(V$4&lt;State_Move_Age,State_Move_Age=""),
IF(AND(V$218&gt;'Tax Tables'!V$272,V$218&lt;='Tax Tables'!V$273),(V$218-'Tax Tables'!V$272)*'Tax Tables'!V$274,IF(V$218&gt;'Tax Tables'!V$277,
('Tax Tables'!V$277-'Tax Tables'!V$272)*'Tax Tables'!V$274)),
IF(AND(V$218&gt;'Tax Tables'!V$286,V$218&lt;='Tax Tables'!V$287),(V$218-'Tax Tables'!V$286)*'Tax Tables'!V$288,IF(V$218&gt;'Tax Tables'!V$291,
('Tax Tables'!V$291-'Tax Tables'!V$286)*'Tax Tables'!V288))
)/Round_To,0)*Round_To*IF(Exclude_Taxes="n",1,0)</f>
        <v>900</v>
      </c>
      <c r="W221" s="1147">
        <f>ROUND(IF(OR(W$4&lt;State_Move_Age,State_Move_Age=""),
IF(AND(W$218&gt;'Tax Tables'!W$272,W$218&lt;='Tax Tables'!W$273),(W$218-'Tax Tables'!W$272)*'Tax Tables'!W$274,IF(W$218&gt;'Tax Tables'!W$277,
('Tax Tables'!W$277-'Tax Tables'!W$272)*'Tax Tables'!W$274)),
IF(AND(W$218&gt;'Tax Tables'!W$286,W$218&lt;='Tax Tables'!W$287),(W$218-'Tax Tables'!W$286)*'Tax Tables'!W$288,IF(W$218&gt;'Tax Tables'!W$291,
('Tax Tables'!W$291-'Tax Tables'!W$286)*'Tax Tables'!W288))
)/Round_To,0)*Round_To*IF(Exclude_Taxes="n",1,0)</f>
        <v>900</v>
      </c>
      <c r="X221" s="1147">
        <f>ROUND(IF(OR(X$4&lt;State_Move_Age,State_Move_Age=""),
IF(AND(X$218&gt;'Tax Tables'!X$272,X$218&lt;='Tax Tables'!X$273),(X$218-'Tax Tables'!X$272)*'Tax Tables'!X$274,IF(X$218&gt;'Tax Tables'!X$277,
('Tax Tables'!X$277-'Tax Tables'!X$272)*'Tax Tables'!X$274)),
IF(AND(X$218&gt;'Tax Tables'!X$286,X$218&lt;='Tax Tables'!X$287),(X$218-'Tax Tables'!X$286)*'Tax Tables'!X$288,IF(X$218&gt;'Tax Tables'!X$291,
('Tax Tables'!X$291-'Tax Tables'!X$286)*'Tax Tables'!X288))
)/Round_To,0)*Round_To*IF(Exclude_Taxes="n",1,0)</f>
        <v>900</v>
      </c>
      <c r="Y221" s="1147">
        <f>ROUND(IF(OR(Y$4&lt;State_Move_Age,State_Move_Age=""),
IF(AND(Y$218&gt;'Tax Tables'!Y$272,Y$218&lt;='Tax Tables'!Y$273),(Y$218-'Tax Tables'!Y$272)*'Tax Tables'!Y$274,IF(Y$218&gt;'Tax Tables'!Y$277,
('Tax Tables'!Y$277-'Tax Tables'!Y$272)*'Tax Tables'!Y$274)),
IF(AND(Y$218&gt;'Tax Tables'!Y$286,Y$218&lt;='Tax Tables'!Y$287),(Y$218-'Tax Tables'!Y$286)*'Tax Tables'!Y$288,IF(Y$218&gt;'Tax Tables'!Y$291,
('Tax Tables'!Y$291-'Tax Tables'!Y$286)*'Tax Tables'!Y288))
)/Round_To,0)*Round_To*IF(Exclude_Taxes="n",1,0)</f>
        <v>900</v>
      </c>
      <c r="Z221" s="1147">
        <f>ROUND(IF(OR(Z$4&lt;State_Move_Age,State_Move_Age=""),
IF(AND(Z$218&gt;'Tax Tables'!Z$272,Z$218&lt;='Tax Tables'!Z$273),(Z$218-'Tax Tables'!Z$272)*'Tax Tables'!Z$274,IF(Z$218&gt;'Tax Tables'!Z$277,
('Tax Tables'!Z$277-'Tax Tables'!Z$272)*'Tax Tables'!Z$274)),
IF(AND(Z$218&gt;'Tax Tables'!Z$286,Z$218&lt;='Tax Tables'!Z$287),(Z$218-'Tax Tables'!Z$286)*'Tax Tables'!Z$288,IF(Z$218&gt;'Tax Tables'!Z$291,
('Tax Tables'!Z$291-'Tax Tables'!Z$286)*'Tax Tables'!Z288))
)/Round_To,0)*Round_To*IF(Exclude_Taxes="n",1,0)</f>
        <v>900</v>
      </c>
      <c r="AA221" s="1147">
        <f>ROUND(IF(OR(AA$4&lt;State_Move_Age,State_Move_Age=""),
IF(AND(AA$218&gt;'Tax Tables'!AA$272,AA$218&lt;='Tax Tables'!AA$273),(AA$218-'Tax Tables'!AA$272)*'Tax Tables'!AA$274,IF(AA$218&gt;'Tax Tables'!AA$277,
('Tax Tables'!AA$277-'Tax Tables'!AA$272)*'Tax Tables'!AA$274)),
IF(AND(AA$218&gt;'Tax Tables'!AA$286,AA$218&lt;='Tax Tables'!AA$287),(AA$218-'Tax Tables'!AA$286)*'Tax Tables'!AA$288,IF(AA$218&gt;'Tax Tables'!AA$291,
('Tax Tables'!AA$291-'Tax Tables'!AA$286)*'Tax Tables'!AA288))
)/Round_To,0)*Round_To*IF(Exclude_Taxes="n",1,0)</f>
        <v>1000</v>
      </c>
      <c r="AB221" s="1147">
        <f>ROUND(IF(OR(AB$4&lt;State_Move_Age,State_Move_Age=""),
IF(AND(AB$218&gt;'Tax Tables'!AB$272,AB$218&lt;='Tax Tables'!AB$273),(AB$218-'Tax Tables'!AB$272)*'Tax Tables'!AB$274,IF(AB$218&gt;'Tax Tables'!AB$277,
('Tax Tables'!AB$277-'Tax Tables'!AB$272)*'Tax Tables'!AB$274)),
IF(AND(AB$218&gt;'Tax Tables'!AB$286,AB$218&lt;='Tax Tables'!AB$287),(AB$218-'Tax Tables'!AB$286)*'Tax Tables'!AB$288,IF(AB$218&gt;'Tax Tables'!AB$291,
('Tax Tables'!AB$291-'Tax Tables'!AB$286)*'Tax Tables'!AB288))
)/Round_To,0)*Round_To*IF(Exclude_Taxes="n",1,0)</f>
        <v>4700</v>
      </c>
      <c r="AC221" s="1147">
        <f>ROUND(IF(OR(AC$4&lt;State_Move_Age,State_Move_Age=""),
IF(AND(AC$218&gt;'Tax Tables'!AC$272,AC$218&lt;='Tax Tables'!AC$273),(AC$218-'Tax Tables'!AC$272)*'Tax Tables'!AC$274,IF(AC$218&gt;'Tax Tables'!AC$277,
('Tax Tables'!AC$277-'Tax Tables'!AC$272)*'Tax Tables'!AC$274)),
IF(AND(AC$218&gt;'Tax Tables'!AC$286,AC$218&lt;='Tax Tables'!AC$287),(AC$218-'Tax Tables'!AC$286)*'Tax Tables'!AC$288,IF(AC$218&gt;'Tax Tables'!AC$291,
('Tax Tables'!AC$291-'Tax Tables'!AC$286)*'Tax Tables'!AC288))
)/Round_To,0)*Round_To*IF(Exclude_Taxes="n",1,0)</f>
        <v>5300</v>
      </c>
      <c r="AD221" s="1147">
        <f>ROUND(IF(OR(AD$4&lt;State_Move_Age,State_Move_Age=""),
IF(AND(AD$218&gt;'Tax Tables'!AD$272,AD$218&lt;='Tax Tables'!AD$273),(AD$218-'Tax Tables'!AD$272)*'Tax Tables'!AD$274,IF(AD$218&gt;'Tax Tables'!AD$277,
('Tax Tables'!AD$277-'Tax Tables'!AD$272)*'Tax Tables'!AD$274)),
IF(AND(AD$218&gt;'Tax Tables'!AD$286,AD$218&lt;='Tax Tables'!AD$287),(AD$218-'Tax Tables'!AD$286)*'Tax Tables'!AD$288,IF(AD$218&gt;'Tax Tables'!AD$291,
('Tax Tables'!AD$291-'Tax Tables'!AD$286)*'Tax Tables'!AD288))
)/Round_To,0)*Round_To*IF(Exclude_Taxes="n",1,0)</f>
        <v>5200</v>
      </c>
      <c r="AE221" s="1147">
        <f>ROUND(IF(OR(AE$4&lt;State_Move_Age,State_Move_Age=""),
IF(AND(AE$218&gt;'Tax Tables'!AE$272,AE$218&lt;='Tax Tables'!AE$273),(AE$218-'Tax Tables'!AE$272)*'Tax Tables'!AE$274,IF(AE$218&gt;'Tax Tables'!AE$277,
('Tax Tables'!AE$277-'Tax Tables'!AE$272)*'Tax Tables'!AE$274)),
IF(AND(AE$218&gt;'Tax Tables'!AE$286,AE$218&lt;='Tax Tables'!AE$287),(AE$218-'Tax Tables'!AE$286)*'Tax Tables'!AE$288,IF(AE$218&gt;'Tax Tables'!AE$291,
('Tax Tables'!AE$291-'Tax Tables'!AE$286)*'Tax Tables'!AE288))
)/Round_To,0)*Round_To*IF(Exclude_Taxes="n",1,0)</f>
        <v>5400</v>
      </c>
      <c r="AF221" s="1147">
        <f>ROUND(IF(OR(AF$4&lt;State_Move_Age,State_Move_Age=""),
IF(AND(AF$218&gt;'Tax Tables'!AF$272,AF$218&lt;='Tax Tables'!AF$273),(AF$218-'Tax Tables'!AF$272)*'Tax Tables'!AF$274,IF(AF$218&gt;'Tax Tables'!AF$277,
('Tax Tables'!AF$277-'Tax Tables'!AF$272)*'Tax Tables'!AF$274)),
IF(AND(AF$218&gt;'Tax Tables'!AF$286,AF$218&lt;='Tax Tables'!AF$287),(AF$218-'Tax Tables'!AF$286)*'Tax Tables'!AF$288,IF(AF$218&gt;'Tax Tables'!AF$291,
('Tax Tables'!AF$291-'Tax Tables'!AF$286)*'Tax Tables'!AF288))
)/Round_To,0)*Round_To*IF(Exclude_Taxes="n",1,0)</f>
        <v>5500</v>
      </c>
      <c r="AG221" s="1147">
        <f>ROUND(IF(OR(AG$4&lt;State_Move_Age,State_Move_Age=""),
IF(AND(AG$218&gt;'Tax Tables'!AG$272,AG$218&lt;='Tax Tables'!AG$273),(AG$218-'Tax Tables'!AG$272)*'Tax Tables'!AG$274,IF(AG$218&gt;'Tax Tables'!AG$277,
('Tax Tables'!AG$277-'Tax Tables'!AG$272)*'Tax Tables'!AG$274)),
IF(AND(AG$218&gt;'Tax Tables'!AG$286,AG$218&lt;='Tax Tables'!AG$287),(AG$218-'Tax Tables'!AG$286)*'Tax Tables'!AG$288,IF(AG$218&gt;'Tax Tables'!AG$291,
('Tax Tables'!AG$291-'Tax Tables'!AG$286)*'Tax Tables'!AG288))
)/Round_To,0)*Round_To*IF(Exclude_Taxes="n",1,0)</f>
        <v>4900</v>
      </c>
      <c r="AH221" s="1147">
        <f>ROUND(IF(OR(AH$4&lt;State_Move_Age,State_Move_Age=""),
IF(AND(AH$218&gt;'Tax Tables'!AH$272,AH$218&lt;='Tax Tables'!AH$273),(AH$218-'Tax Tables'!AH$272)*'Tax Tables'!AH$274,IF(AH$218&gt;'Tax Tables'!AH$277,
('Tax Tables'!AH$277-'Tax Tables'!AH$272)*'Tax Tables'!AH$274)),
IF(AND(AH$218&gt;'Tax Tables'!AH$286,AH$218&lt;='Tax Tables'!AH$287),(AH$218-'Tax Tables'!AH$286)*'Tax Tables'!AH$288,IF(AH$218&gt;'Tax Tables'!AH$291,
('Tax Tables'!AH$291-'Tax Tables'!AH$286)*'Tax Tables'!AH288))
)/Round_To,0)*Round_To*IF(Exclude_Taxes="n",1,0)</f>
        <v>4900</v>
      </c>
      <c r="AI221" s="1147">
        <f>ROUND(IF(OR(AI$4&lt;State_Move_Age,State_Move_Age=""),
IF(AND(AI$218&gt;'Tax Tables'!AI$272,AI$218&lt;='Tax Tables'!AI$273),(AI$218-'Tax Tables'!AI$272)*'Tax Tables'!AI$274,IF(AI$218&gt;'Tax Tables'!AI$277,
('Tax Tables'!AI$277-'Tax Tables'!AI$272)*'Tax Tables'!AI$274)),
IF(AND(AI$218&gt;'Tax Tables'!AI$286,AI$218&lt;='Tax Tables'!AI$287),(AI$218-'Tax Tables'!AI$286)*'Tax Tables'!AI$288,IF(AI$218&gt;'Tax Tables'!AI$291,
('Tax Tables'!AI$291-'Tax Tables'!AI$286)*'Tax Tables'!AI288))
)/Round_To,0)*Round_To*IF(Exclude_Taxes="n",1,0)</f>
        <v>5000</v>
      </c>
      <c r="AJ221" s="1147">
        <f>ROUND(IF(OR(AJ$4&lt;State_Move_Age,State_Move_Age=""),
IF(AND(AJ$218&gt;'Tax Tables'!AJ$272,AJ$218&lt;='Tax Tables'!AJ$273),(AJ$218-'Tax Tables'!AJ$272)*'Tax Tables'!AJ$274,IF(AJ$218&gt;'Tax Tables'!AJ$277,
('Tax Tables'!AJ$277-'Tax Tables'!AJ$272)*'Tax Tables'!AJ$274)),
IF(AND(AJ$218&gt;'Tax Tables'!AJ$286,AJ$218&lt;='Tax Tables'!AJ$287),(AJ$218-'Tax Tables'!AJ$286)*'Tax Tables'!AJ$288,IF(AJ$218&gt;'Tax Tables'!AJ$291,
('Tax Tables'!AJ$291-'Tax Tables'!AJ$286)*'Tax Tables'!AJ288))
)/Round_To,0)*Round_To*IF(Exclude_Taxes="n",1,0)</f>
        <v>0</v>
      </c>
      <c r="AK221" s="1147">
        <f>ROUND(IF(OR(AK$4&lt;State_Move_Age,State_Move_Age=""),
IF(AND(AK$218&gt;'Tax Tables'!AK$272,AK$218&lt;='Tax Tables'!AK$273),(AK$218-'Tax Tables'!AK$272)*'Tax Tables'!AK$274,IF(AK$218&gt;'Tax Tables'!AK$277,
('Tax Tables'!AK$277-'Tax Tables'!AK$272)*'Tax Tables'!AK$274)),
IF(AND(AK$218&gt;'Tax Tables'!AK$286,AK$218&lt;='Tax Tables'!AK$287),(AK$218-'Tax Tables'!AK$286)*'Tax Tables'!AK$288,IF(AK$218&gt;'Tax Tables'!AK$291,
('Tax Tables'!AK$291-'Tax Tables'!AK$286)*'Tax Tables'!AK288))
)/Round_To,0)*Round_To*IF(Exclude_Taxes="n",1,0)</f>
        <v>0</v>
      </c>
      <c r="AL221" s="1147">
        <f>ROUND(IF(OR(AL$4&lt;State_Move_Age,State_Move_Age=""),
IF(AND(AL$218&gt;'Tax Tables'!AL$272,AL$218&lt;='Tax Tables'!AL$273),(AL$218-'Tax Tables'!AL$272)*'Tax Tables'!AL$274,IF(AL$218&gt;'Tax Tables'!AL$277,
('Tax Tables'!AL$277-'Tax Tables'!AL$272)*'Tax Tables'!AL$274)),
IF(AND(AL$218&gt;'Tax Tables'!AL$286,AL$218&lt;='Tax Tables'!AL$287),(AL$218-'Tax Tables'!AL$286)*'Tax Tables'!AL$288,IF(AL$218&gt;'Tax Tables'!AL$291,
('Tax Tables'!AL$291-'Tax Tables'!AL$286)*'Tax Tables'!AL288))
)/Round_To,0)*Round_To*IF(Exclude_Taxes="n",1,0)</f>
        <v>0</v>
      </c>
      <c r="AM221" s="1147">
        <f>ROUND(IF(OR(AM$4&lt;State_Move_Age,State_Move_Age=""),
IF(AND(AM$218&gt;'Tax Tables'!AM$272,AM$218&lt;='Tax Tables'!AM$273),(AM$218-'Tax Tables'!AM$272)*'Tax Tables'!AM$274,IF(AM$218&gt;'Tax Tables'!AM$277,
('Tax Tables'!AM$277-'Tax Tables'!AM$272)*'Tax Tables'!AM$274)),
IF(AND(AM$218&gt;'Tax Tables'!AM$286,AM$218&lt;='Tax Tables'!AM$287),(AM$218-'Tax Tables'!AM$286)*'Tax Tables'!AM$288,IF(AM$218&gt;'Tax Tables'!AM$291,
('Tax Tables'!AM$291-'Tax Tables'!AM$286)*'Tax Tables'!AM288))
)/Round_To,0)*Round_To*IF(Exclude_Taxes="n",1,0)</f>
        <v>0</v>
      </c>
      <c r="AN221" s="1147">
        <f>ROUND(IF(OR(AN$4&lt;State_Move_Age,State_Move_Age=""),
IF(AND(AN$218&gt;'Tax Tables'!AN$272,AN$218&lt;='Tax Tables'!AN$273),(AN$218-'Tax Tables'!AN$272)*'Tax Tables'!AN$274,IF(AN$218&gt;'Tax Tables'!AN$277,
('Tax Tables'!AN$277-'Tax Tables'!AN$272)*'Tax Tables'!AN$274)),
IF(AND(AN$218&gt;'Tax Tables'!AN$286,AN$218&lt;='Tax Tables'!AN$287),(AN$218-'Tax Tables'!AN$286)*'Tax Tables'!AN$288,IF(AN$218&gt;'Tax Tables'!AN$291,
('Tax Tables'!AN$291-'Tax Tables'!AN$286)*'Tax Tables'!AN288))
)/Round_To,0)*Round_To*IF(Exclude_Taxes="n",1,0)</f>
        <v>0</v>
      </c>
      <c r="AO221" s="1147">
        <f>ROUND(IF(OR(AO$4&lt;State_Move_Age,State_Move_Age=""),
IF(AND(AO$218&gt;'Tax Tables'!AO$272,AO$218&lt;='Tax Tables'!AO$273),(AO$218-'Tax Tables'!AO$272)*'Tax Tables'!AO$274,IF(AO$218&gt;'Tax Tables'!AO$277,
('Tax Tables'!AO$277-'Tax Tables'!AO$272)*'Tax Tables'!AO$274)),
IF(AND(AO$218&gt;'Tax Tables'!AO$286,AO$218&lt;='Tax Tables'!AO$287),(AO$218-'Tax Tables'!AO$286)*'Tax Tables'!AO$288,IF(AO$218&gt;'Tax Tables'!AO$291,
('Tax Tables'!AO$291-'Tax Tables'!AO$286)*'Tax Tables'!AO288))
)/Round_To,0)*Round_To*IF(Exclude_Taxes="n",1,0)</f>
        <v>0</v>
      </c>
      <c r="AP221" s="1147">
        <f>ROUND(IF(OR(AP$4&lt;State_Move_Age,State_Move_Age=""),
IF(AND(AP$218&gt;'Tax Tables'!AP$272,AP$218&lt;='Tax Tables'!AP$273),(AP$218-'Tax Tables'!AP$272)*'Tax Tables'!AP$274,IF(AP$218&gt;'Tax Tables'!AP$277,
('Tax Tables'!AP$277-'Tax Tables'!AP$272)*'Tax Tables'!AP$274)),
IF(AND(AP$218&gt;'Tax Tables'!AP$286,AP$218&lt;='Tax Tables'!AP$287),(AP$218-'Tax Tables'!AP$286)*'Tax Tables'!AP$288,IF(AP$218&gt;'Tax Tables'!AP$291,
('Tax Tables'!AP$291-'Tax Tables'!AP$286)*'Tax Tables'!AP288))
)/Round_To,0)*Round_To*IF(Exclude_Taxes="n",1,0)</f>
        <v>0</v>
      </c>
      <c r="AQ221" s="1147">
        <f>ROUND(IF(OR(AQ$4&lt;State_Move_Age,State_Move_Age=""),
IF(AND(AQ$218&gt;'Tax Tables'!AQ$272,AQ$218&lt;='Tax Tables'!AQ$273),(AQ$218-'Tax Tables'!AQ$272)*'Tax Tables'!AQ$274,IF(AQ$218&gt;'Tax Tables'!AQ$277,
('Tax Tables'!AQ$277-'Tax Tables'!AQ$272)*'Tax Tables'!AQ$274)),
IF(AND(AQ$218&gt;'Tax Tables'!AQ$286,AQ$218&lt;='Tax Tables'!AQ$287),(AQ$218-'Tax Tables'!AQ$286)*'Tax Tables'!AQ$288,IF(AQ$218&gt;'Tax Tables'!AQ$291,
('Tax Tables'!AQ$291-'Tax Tables'!AQ$286)*'Tax Tables'!AQ288))
)/Round_To,0)*Round_To*IF(Exclude_Taxes="n",1,0)</f>
        <v>0</v>
      </c>
      <c r="AR221" s="1147">
        <f>ROUND(IF(OR(AR$4&lt;State_Move_Age,State_Move_Age=""),
IF(AND(AR$218&gt;'Tax Tables'!AR$272,AR$218&lt;='Tax Tables'!AR$273),(AR$218-'Tax Tables'!AR$272)*'Tax Tables'!AR$274,IF(AR$218&gt;'Tax Tables'!AR$277,
('Tax Tables'!AR$277-'Tax Tables'!AR$272)*'Tax Tables'!AR$274)),
IF(AND(AR$218&gt;'Tax Tables'!AR$286,AR$218&lt;='Tax Tables'!AR$287),(AR$218-'Tax Tables'!AR$286)*'Tax Tables'!AR$288,IF(AR$218&gt;'Tax Tables'!AR$291,
('Tax Tables'!AR$291-'Tax Tables'!AR$286)*'Tax Tables'!AR288))
)/Round_To,0)*Round_To*IF(Exclude_Taxes="n",1,0)</f>
        <v>0</v>
      </c>
      <c r="AS221" s="1147">
        <f>ROUND(IF(OR(AS$4&lt;State_Move_Age,State_Move_Age=""),
IF(AND(AS$218&gt;'Tax Tables'!AS$272,AS$218&lt;='Tax Tables'!AS$273),(AS$218-'Tax Tables'!AS$272)*'Tax Tables'!AS$274,IF(AS$218&gt;'Tax Tables'!AS$277,
('Tax Tables'!AS$277-'Tax Tables'!AS$272)*'Tax Tables'!AS$274)),
IF(AND(AS$218&gt;'Tax Tables'!AS$286,AS$218&lt;='Tax Tables'!AS$287),(AS$218-'Tax Tables'!AS$286)*'Tax Tables'!AS$288,IF(AS$218&gt;'Tax Tables'!AS$291,
('Tax Tables'!AS$291-'Tax Tables'!AS$286)*'Tax Tables'!AS288))
)/Round_To,0)*Round_To*IF(Exclude_Taxes="n",1,0)</f>
        <v>0</v>
      </c>
      <c r="AT221" s="88"/>
      <c r="AU221" s="102">
        <f>+Details!E221</f>
        <v>56100</v>
      </c>
      <c r="AV221" s="103">
        <f t="shared" si="169"/>
        <v>0</v>
      </c>
      <c r="AW221" s="102"/>
      <c r="AY221" s="31">
        <f>+Details!F221-Base!F221</f>
        <v>0</v>
      </c>
      <c r="AZ221" s="1124">
        <f>+Details!G221-Base!G221</f>
        <v>0</v>
      </c>
      <c r="BA221" s="1124">
        <f>+Details!H221-Base!H221</f>
        <v>0</v>
      </c>
      <c r="BB221" s="1124">
        <f>+Details!I221-Base!I221</f>
        <v>0</v>
      </c>
      <c r="BC221" s="1124">
        <f>+Details!J221-Base!J221</f>
        <v>0</v>
      </c>
      <c r="BD221" s="1124">
        <f>+Details!K221-Base!K221</f>
        <v>0</v>
      </c>
      <c r="BE221" s="1124">
        <f>+Details!L221-Base!L221</f>
        <v>0</v>
      </c>
      <c r="BF221" s="1124">
        <f>+Details!M221-Base!M221</f>
        <v>0</v>
      </c>
      <c r="BG221" s="1124">
        <f>+Details!N221-Base!N221</f>
        <v>0</v>
      </c>
      <c r="BH221" s="1124">
        <f>+Details!O221-Base!O221</f>
        <v>0</v>
      </c>
      <c r="BI221" s="1124">
        <f>+Details!P221-Base!P221</f>
        <v>0</v>
      </c>
      <c r="BJ221" s="1124">
        <f>+Details!Q221-Base!Q221</f>
        <v>0</v>
      </c>
      <c r="BK221" s="1124">
        <f>+Details!R221-Base!R221</f>
        <v>0</v>
      </c>
      <c r="BL221" s="1124">
        <f>+Details!S221-Base!S221</f>
        <v>0</v>
      </c>
      <c r="BM221" s="1124">
        <f>+Details!T221-Base!T221</f>
        <v>0</v>
      </c>
      <c r="BN221" s="1124">
        <f>+Details!U221-Base!U221</f>
        <v>0</v>
      </c>
      <c r="BO221" s="1124">
        <f>+Details!V221-Base!V221</f>
        <v>0</v>
      </c>
      <c r="BP221" s="1124">
        <f>+Details!W221-Base!W221</f>
        <v>0</v>
      </c>
      <c r="BQ221" s="1124">
        <f>+Details!X221-Base!X221</f>
        <v>0</v>
      </c>
      <c r="BR221" s="1124">
        <f>+Details!Y221-Base!Y221</f>
        <v>0</v>
      </c>
      <c r="BS221" s="1124">
        <f>+Details!Z221-Base!Z221</f>
        <v>0</v>
      </c>
      <c r="BT221" s="1124">
        <f>+Details!AA221-Base!AA221</f>
        <v>0</v>
      </c>
      <c r="BU221" s="1124">
        <f>+Details!AB221-Base!AB221</f>
        <v>0</v>
      </c>
      <c r="BV221" s="1124">
        <f>+Details!AC221-Base!AC221</f>
        <v>0</v>
      </c>
      <c r="BW221" s="1124">
        <f>+Details!AD221-Base!AD221</f>
        <v>0</v>
      </c>
      <c r="BX221" s="1124">
        <f>+Details!AE221-Base!AE221</f>
        <v>0</v>
      </c>
      <c r="BY221" s="1124">
        <f>+Details!AF221-Base!AF221</f>
        <v>0</v>
      </c>
      <c r="BZ221" s="1124">
        <f>+Details!AG221-Base!AG221</f>
        <v>0</v>
      </c>
      <c r="CA221" s="1124">
        <f>+Details!AH221-Base!AH221</f>
        <v>0</v>
      </c>
      <c r="CB221" s="1124">
        <f>+Details!AI221-Base!AI221</f>
        <v>0</v>
      </c>
      <c r="CC221" s="1124">
        <f>+Details!AJ221-Base!AJ221</f>
        <v>0</v>
      </c>
      <c r="CD221" s="1124">
        <f>+Details!AK221-Base!AK221</f>
        <v>0</v>
      </c>
      <c r="CE221" s="1124">
        <f>+Details!AL221-Base!AL221</f>
        <v>0</v>
      </c>
      <c r="CF221" s="1124">
        <f>+Details!AM221-Base!AM221</f>
        <v>0</v>
      </c>
      <c r="CG221" s="1124">
        <f>+Details!AN221-Base!AN221</f>
        <v>0</v>
      </c>
      <c r="CH221" s="1124">
        <f>+Details!AO221-Base!AO221</f>
        <v>0</v>
      </c>
      <c r="CI221" s="1124">
        <f>+Details!AP221-Base!AP221</f>
        <v>0</v>
      </c>
      <c r="CJ221" s="1124">
        <f>+Details!AQ221-Base!AQ221</f>
        <v>0</v>
      </c>
      <c r="CK221" s="1124">
        <f>+Details!AR221-Base!AR221</f>
        <v>0</v>
      </c>
      <c r="CL221" s="1124">
        <f>+Details!AS221-Base!AS221</f>
        <v>0</v>
      </c>
      <c r="CM221" s="103"/>
    </row>
    <row r="222" spans="1:91" hidden="1">
      <c r="A222" s="1427" t="s">
        <v>1578</v>
      </c>
      <c r="B222" s="825" t="str">
        <f>State_Br_Per3*100 &amp; "%" &amp; " for over $" &amp; State_Br_Amt2</f>
        <v>4% for over $30000</v>
      </c>
      <c r="C222" s="825" t="str">
        <f>IF(State_Move_Age&gt;0,State2_Br_Per3*100 &amp; "%" &amp; " for over $" &amp; State2_Br_Amt2,"")</f>
        <v>8% for over $80000</v>
      </c>
      <c r="D222" s="67"/>
      <c r="E222" s="34">
        <f t="shared" si="167"/>
        <v>9500</v>
      </c>
      <c r="F222" s="38">
        <f>ROUND(IF(OR(F$4&lt;State_Move_Age,State_Move_Age=""),
IF(F$218&gt;'Tax Tables'!F$277,(F$218-'Tax Tables'!F$277)*'Tax Tables'!F$278,0),
IF(F$218&gt;'Tax Tables'!F$291,(F$218-'Tax Tables'!F$291)*'Tax Tables'!F$292,0))
/Round_To,0)*Round_To*IF(Exclude_Taxes="n",1,0)</f>
        <v>300</v>
      </c>
      <c r="G222" s="1125">
        <f>ROUND(IF(OR(G$4&lt;State_Move_Age,State_Move_Age=""),
IF(G$218&gt;'Tax Tables'!G$277,(G$218-'Tax Tables'!G$277)*'Tax Tables'!G$278,0),
IF(G$218&gt;'Tax Tables'!G$291,(G$218-'Tax Tables'!G$291)*'Tax Tables'!G$292,0))
/Round_To,0)*Round_To*IF(Exclude_Taxes="n",1,0)</f>
        <v>800</v>
      </c>
      <c r="H222" s="1125">
        <f>ROUND(IF(OR(H$4&lt;State_Move_Age,State_Move_Age=""),
IF(H$218&gt;'Tax Tables'!H$277,(H$218-'Tax Tables'!H$277)*'Tax Tables'!H$278,0),
IF(H$218&gt;'Tax Tables'!H$291,(H$218-'Tax Tables'!H$291)*'Tax Tables'!H$292,0))
/Round_To,0)*Round_To*IF(Exclude_Taxes="n",1,0)</f>
        <v>200</v>
      </c>
      <c r="I222" s="1125">
        <f>ROUND(IF(OR(I$4&lt;State_Move_Age,State_Move_Age=""),
IF(I$218&gt;'Tax Tables'!I$277,(I$218-'Tax Tables'!I$277)*'Tax Tables'!I$278,0),
IF(I$218&gt;'Tax Tables'!I$291,(I$218-'Tax Tables'!I$291)*'Tax Tables'!I$292,0))
/Round_To,0)*Round_To*IF(Exclude_Taxes="n",1,0)</f>
        <v>200</v>
      </c>
      <c r="J222" s="1125">
        <f>ROUND(IF(OR(J$4&lt;State_Move_Age,State_Move_Age=""),
IF(J$218&gt;'Tax Tables'!J$277,(J$218-'Tax Tables'!J$277)*'Tax Tables'!J$278,0),
IF(J$218&gt;'Tax Tables'!J$291,(J$218-'Tax Tables'!J$291)*'Tax Tables'!J$292,0))
/Round_To,0)*Round_To*IF(Exclude_Taxes="n",1,0)</f>
        <v>200</v>
      </c>
      <c r="K222" s="1125">
        <f>ROUND(IF(OR(K$4&lt;State_Move_Age,State_Move_Age=""),
IF(K$218&gt;'Tax Tables'!K$277,(K$218-'Tax Tables'!K$277)*'Tax Tables'!K$278,0),
IF(K$218&gt;'Tax Tables'!K$291,(K$218-'Tax Tables'!K$291)*'Tax Tables'!K$292,0))
/Round_To,0)*Round_To*IF(Exclude_Taxes="n",1,0)</f>
        <v>200</v>
      </c>
      <c r="L222" s="1125">
        <f>ROUND(IF(OR(L$4&lt;State_Move_Age,State_Move_Age=""),
IF(L$218&gt;'Tax Tables'!L$277,(L$218-'Tax Tables'!L$277)*'Tax Tables'!L$278,0),
IF(L$218&gt;'Tax Tables'!L$291,(L$218-'Tax Tables'!L$291)*'Tax Tables'!L$292,0))
/Round_To,0)*Round_To*IF(Exclude_Taxes="n",1,0)</f>
        <v>200</v>
      </c>
      <c r="M222" s="1125">
        <f>ROUND(IF(OR(M$4&lt;State_Move_Age,State_Move_Age=""),
IF(M$218&gt;'Tax Tables'!M$277,(M$218-'Tax Tables'!M$277)*'Tax Tables'!M$278,0),
IF(M$218&gt;'Tax Tables'!M$291,(M$218-'Tax Tables'!M$291)*'Tax Tables'!M$292,0))
/Round_To,0)*Round_To*IF(Exclude_Taxes="n",1,0)</f>
        <v>1100</v>
      </c>
      <c r="N222" s="1125">
        <f>ROUND(IF(OR(N$4&lt;State_Move_Age,State_Move_Age=""),
IF(N$218&gt;'Tax Tables'!N$277,(N$218-'Tax Tables'!N$277)*'Tax Tables'!N$278,0),
IF(N$218&gt;'Tax Tables'!N$291,(N$218-'Tax Tables'!N$291)*'Tax Tables'!N$292,0))
/Round_To,0)*Round_To*IF(Exclude_Taxes="n",1,0)</f>
        <v>0</v>
      </c>
      <c r="O222" s="1125">
        <f>ROUND(IF(OR(O$4&lt;State_Move_Age,State_Move_Age=""),
IF(O$218&gt;'Tax Tables'!O$277,(O$218-'Tax Tables'!O$277)*'Tax Tables'!O$278,0),
IF(O$218&gt;'Tax Tables'!O$291,(O$218-'Tax Tables'!O$291)*'Tax Tables'!O$292,0))
/Round_To,0)*Round_To*IF(Exclude_Taxes="n",1,0)</f>
        <v>0</v>
      </c>
      <c r="P222" s="1125">
        <f>ROUND(IF(OR(P$4&lt;State_Move_Age,State_Move_Age=""),
IF(P$218&gt;'Tax Tables'!P$277,(P$218-'Tax Tables'!P$277)*'Tax Tables'!P$278,0),
IF(P$218&gt;'Tax Tables'!P$291,(P$218-'Tax Tables'!P$291)*'Tax Tables'!P$292,0))
/Round_To,0)*Round_To*IF(Exclude_Taxes="n",1,0)</f>
        <v>0</v>
      </c>
      <c r="Q222" s="1125">
        <f>ROUND(IF(OR(Q$4&lt;State_Move_Age,State_Move_Age=""),
IF(Q$218&gt;'Tax Tables'!Q$277,(Q$218-'Tax Tables'!Q$277)*'Tax Tables'!Q$278,0),
IF(Q$218&gt;'Tax Tables'!Q$291,(Q$218-'Tax Tables'!Q$291)*'Tax Tables'!Q$292,0))
/Round_To,0)*Round_To*IF(Exclude_Taxes="n",1,0)</f>
        <v>0</v>
      </c>
      <c r="R222" s="1125">
        <f>ROUND(IF(OR(R$4&lt;State_Move_Age,State_Move_Age=""),
IF(R$218&gt;'Tax Tables'!R$277,(R$218-'Tax Tables'!R$277)*'Tax Tables'!R$278,0),
IF(R$218&gt;'Tax Tables'!R$291,(R$218-'Tax Tables'!R$291)*'Tax Tables'!R$292,0))
/Round_To,0)*Round_To*IF(Exclude_Taxes="n",1,0)</f>
        <v>0</v>
      </c>
      <c r="S222" s="1125">
        <f>ROUND(IF(OR(S$4&lt;State_Move_Age,State_Move_Age=""),
IF(S$218&gt;'Tax Tables'!S$277,(S$218-'Tax Tables'!S$277)*'Tax Tables'!S$278,0),
IF(S$218&gt;'Tax Tables'!S$291,(S$218-'Tax Tables'!S$291)*'Tax Tables'!S$292,0))
/Round_To,0)*Round_To*IF(Exclude_Taxes="n",1,0)</f>
        <v>0</v>
      </c>
      <c r="T222" s="1125">
        <f>ROUND(IF(OR(T$4&lt;State_Move_Age,State_Move_Age=""),
IF(T$218&gt;'Tax Tables'!T$277,(T$218-'Tax Tables'!T$277)*'Tax Tables'!T$278,0),
IF(T$218&gt;'Tax Tables'!T$291,(T$218-'Tax Tables'!T$291)*'Tax Tables'!T$292,0))
/Round_To,0)*Round_To*IF(Exclude_Taxes="n",1,0)</f>
        <v>300</v>
      </c>
      <c r="U222" s="1125">
        <f>ROUND(IF(OR(U$4&lt;State_Move_Age,State_Move_Age=""),
IF(U$218&gt;'Tax Tables'!U$277,(U$218-'Tax Tables'!U$277)*'Tax Tables'!U$278,0),
IF(U$218&gt;'Tax Tables'!U$291,(U$218-'Tax Tables'!U$291)*'Tax Tables'!U$292,0))
/Round_To,0)*Round_To*IF(Exclude_Taxes="n",1,0)</f>
        <v>600</v>
      </c>
      <c r="V222" s="1125">
        <f>ROUND(IF(OR(V$4&lt;State_Move_Age,State_Move_Age=""),
IF(V$218&gt;'Tax Tables'!V$277,(V$218-'Tax Tables'!V$277)*'Tax Tables'!V$278,0),
IF(V$218&gt;'Tax Tables'!V$291,(V$218-'Tax Tables'!V$291)*'Tax Tables'!V$292,0))
/Round_To,0)*Round_To*IF(Exclude_Taxes="n",1,0)</f>
        <v>900</v>
      </c>
      <c r="W222" s="1125">
        <f>ROUND(IF(OR(W$4&lt;State_Move_Age,State_Move_Age=""),
IF(W$218&gt;'Tax Tables'!W$277,(W$218-'Tax Tables'!W$277)*'Tax Tables'!W$278,0),
IF(W$218&gt;'Tax Tables'!W$291,(W$218-'Tax Tables'!W$291)*'Tax Tables'!W$292,0))
/Round_To,0)*Round_To*IF(Exclude_Taxes="n",1,0)</f>
        <v>1000</v>
      </c>
      <c r="X222" s="1125">
        <f>ROUND(IF(OR(X$4&lt;State_Move_Age,State_Move_Age=""),
IF(X$218&gt;'Tax Tables'!X$277,(X$218-'Tax Tables'!X$277)*'Tax Tables'!X$278,0),
IF(X$218&gt;'Tax Tables'!X$291,(X$218-'Tax Tables'!X$291)*'Tax Tables'!X$292,0))
/Round_To,0)*Round_To*IF(Exclude_Taxes="n",1,0)</f>
        <v>800</v>
      </c>
      <c r="Y222" s="1125">
        <f>ROUND(IF(OR(Y$4&lt;State_Move_Age,State_Move_Age=""),
IF(Y$218&gt;'Tax Tables'!Y$277,(Y$218-'Tax Tables'!Y$277)*'Tax Tables'!Y$278,0),
IF(Y$218&gt;'Tax Tables'!Y$291,(Y$218-'Tax Tables'!Y$291)*'Tax Tables'!Y$292,0))
/Round_To,0)*Round_To*IF(Exclude_Taxes="n",1,0)</f>
        <v>800</v>
      </c>
      <c r="Z222" s="1125">
        <f>ROUND(IF(OR(Z$4&lt;State_Move_Age,State_Move_Age=""),
IF(Z$218&gt;'Tax Tables'!Z$277,(Z$218-'Tax Tables'!Z$277)*'Tax Tables'!Z$278,0),
IF(Z$218&gt;'Tax Tables'!Z$291,(Z$218-'Tax Tables'!Z$291)*'Tax Tables'!Z$292,0))
/Round_To,0)*Round_To*IF(Exclude_Taxes="n",1,0)</f>
        <v>900</v>
      </c>
      <c r="AA222" s="1125">
        <f>ROUND(IF(OR(AA$4&lt;State_Move_Age,State_Move_Age=""),
IF(AA$218&gt;'Tax Tables'!AA$277,(AA$218-'Tax Tables'!AA$277)*'Tax Tables'!AA$278,0),
IF(AA$218&gt;'Tax Tables'!AA$291,(AA$218-'Tax Tables'!AA$291)*'Tax Tables'!AA$292,0))
/Round_To,0)*Round_To*IF(Exclude_Taxes="n",1,0)</f>
        <v>1000</v>
      </c>
      <c r="AB222" s="1125">
        <f>ROUND(IF(OR(AB$4&lt;State_Move_Age,State_Move_Age=""),
IF(AB$218&gt;'Tax Tables'!AB$277,(AB$218-'Tax Tables'!AB$277)*'Tax Tables'!AB$278,0),
IF(AB$218&gt;'Tax Tables'!AB$291,(AB$218-'Tax Tables'!AB$291)*'Tax Tables'!AB$292,0))
/Round_To,0)*Round_To*IF(Exclude_Taxes="n",1,0)</f>
        <v>0</v>
      </c>
      <c r="AC222" s="1125">
        <f>ROUND(IF(OR(AC$4&lt;State_Move_Age,State_Move_Age=""),
IF(AC$218&gt;'Tax Tables'!AC$277,(AC$218-'Tax Tables'!AC$277)*'Tax Tables'!AC$278,0),
IF(AC$218&gt;'Tax Tables'!AC$291,(AC$218-'Tax Tables'!AC$291)*'Tax Tables'!AC$292,0))
/Round_To,0)*Round_To*IF(Exclude_Taxes="n",1,0)</f>
        <v>0</v>
      </c>
      <c r="AD222" s="1125">
        <f>ROUND(IF(OR(AD$4&lt;State_Move_Age,State_Move_Age=""),
IF(AD$218&gt;'Tax Tables'!AD$277,(AD$218-'Tax Tables'!AD$277)*'Tax Tables'!AD$278,0),
IF(AD$218&gt;'Tax Tables'!AD$291,(AD$218-'Tax Tables'!AD$291)*'Tax Tables'!AD$292,0))
/Round_To,0)*Round_To*IF(Exclude_Taxes="n",1,0)</f>
        <v>0</v>
      </c>
      <c r="AE222" s="1125">
        <f>ROUND(IF(OR(AE$4&lt;State_Move_Age,State_Move_Age=""),
IF(AE$218&gt;'Tax Tables'!AE$277,(AE$218-'Tax Tables'!AE$277)*'Tax Tables'!AE$278,0),
IF(AE$218&gt;'Tax Tables'!AE$291,(AE$218-'Tax Tables'!AE$291)*'Tax Tables'!AE$292,0))
/Round_To,0)*Round_To*IF(Exclude_Taxes="n",1,0)</f>
        <v>0</v>
      </c>
      <c r="AF222" s="1125">
        <f>ROUND(IF(OR(AF$4&lt;State_Move_Age,State_Move_Age=""),
IF(AF$218&gt;'Tax Tables'!AF$277,(AF$218-'Tax Tables'!AF$277)*'Tax Tables'!AF$278,0),
IF(AF$218&gt;'Tax Tables'!AF$291,(AF$218-'Tax Tables'!AF$291)*'Tax Tables'!AF$292,0))
/Round_To,0)*Round_To*IF(Exclude_Taxes="n",1,0)</f>
        <v>0</v>
      </c>
      <c r="AG222" s="1125">
        <f>ROUND(IF(OR(AG$4&lt;State_Move_Age,State_Move_Age=""),
IF(AG$218&gt;'Tax Tables'!AG$277,(AG$218-'Tax Tables'!AG$277)*'Tax Tables'!AG$278,0),
IF(AG$218&gt;'Tax Tables'!AG$291,(AG$218-'Tax Tables'!AG$291)*'Tax Tables'!AG$292,0))
/Round_To,0)*Round_To*IF(Exclude_Taxes="n",1,0)</f>
        <v>0</v>
      </c>
      <c r="AH222" s="1125">
        <f>ROUND(IF(OR(AH$4&lt;State_Move_Age,State_Move_Age=""),
IF(AH$218&gt;'Tax Tables'!AH$277,(AH$218-'Tax Tables'!AH$277)*'Tax Tables'!AH$278,0),
IF(AH$218&gt;'Tax Tables'!AH$291,(AH$218-'Tax Tables'!AH$291)*'Tax Tables'!AH$292,0))
/Round_To,0)*Round_To*IF(Exclude_Taxes="n",1,0)</f>
        <v>0</v>
      </c>
      <c r="AI222" s="1125">
        <f>ROUND(IF(OR(AI$4&lt;State_Move_Age,State_Move_Age=""),
IF(AI$218&gt;'Tax Tables'!AI$277,(AI$218-'Tax Tables'!AI$277)*'Tax Tables'!AI$278,0),
IF(AI$218&gt;'Tax Tables'!AI$291,(AI$218-'Tax Tables'!AI$291)*'Tax Tables'!AI$292,0))
/Round_To,0)*Round_To*IF(Exclude_Taxes="n",1,0)</f>
        <v>0</v>
      </c>
      <c r="AJ222" s="1125">
        <f>ROUND(IF(OR(AJ$4&lt;State_Move_Age,State_Move_Age=""),
IF(AJ$218&gt;'Tax Tables'!AJ$277,(AJ$218-'Tax Tables'!AJ$277)*'Tax Tables'!AJ$278,0),
IF(AJ$218&gt;'Tax Tables'!AJ$291,(AJ$218-'Tax Tables'!AJ$291)*'Tax Tables'!AJ$292,0))
/Round_To,0)*Round_To*IF(Exclude_Taxes="n",1,0)</f>
        <v>0</v>
      </c>
      <c r="AK222" s="1125">
        <f>ROUND(IF(OR(AK$4&lt;State_Move_Age,State_Move_Age=""),
IF(AK$218&gt;'Tax Tables'!AK$277,(AK$218-'Tax Tables'!AK$277)*'Tax Tables'!AK$278,0),
IF(AK$218&gt;'Tax Tables'!AK$291,(AK$218-'Tax Tables'!AK$291)*'Tax Tables'!AK$292,0))
/Round_To,0)*Round_To*IF(Exclude_Taxes="n",1,0)</f>
        <v>0</v>
      </c>
      <c r="AL222" s="1125">
        <f>ROUND(IF(OR(AL$4&lt;State_Move_Age,State_Move_Age=""),
IF(AL$218&gt;'Tax Tables'!AL$277,(AL$218-'Tax Tables'!AL$277)*'Tax Tables'!AL$278,0),
IF(AL$218&gt;'Tax Tables'!AL$291,(AL$218-'Tax Tables'!AL$291)*'Tax Tables'!AL$292,0))
/Round_To,0)*Round_To*IF(Exclude_Taxes="n",1,0)</f>
        <v>0</v>
      </c>
      <c r="AM222" s="1125">
        <f>ROUND(IF(OR(AM$4&lt;State_Move_Age,State_Move_Age=""),
IF(AM$218&gt;'Tax Tables'!AM$277,(AM$218-'Tax Tables'!AM$277)*'Tax Tables'!AM$278,0),
IF(AM$218&gt;'Tax Tables'!AM$291,(AM$218-'Tax Tables'!AM$291)*'Tax Tables'!AM$292,0))
/Round_To,0)*Round_To*IF(Exclude_Taxes="n",1,0)</f>
        <v>0</v>
      </c>
      <c r="AN222" s="1125">
        <f>ROUND(IF(OR(AN$4&lt;State_Move_Age,State_Move_Age=""),
IF(AN$218&gt;'Tax Tables'!AN$277,(AN$218-'Tax Tables'!AN$277)*'Tax Tables'!AN$278,0),
IF(AN$218&gt;'Tax Tables'!AN$291,(AN$218-'Tax Tables'!AN$291)*'Tax Tables'!AN$292,0))
/Round_To,0)*Round_To*IF(Exclude_Taxes="n",1,0)</f>
        <v>0</v>
      </c>
      <c r="AO222" s="1125">
        <f>ROUND(IF(OR(AO$4&lt;State_Move_Age,State_Move_Age=""),
IF(AO$218&gt;'Tax Tables'!AO$277,(AO$218-'Tax Tables'!AO$277)*'Tax Tables'!AO$278,0),
IF(AO$218&gt;'Tax Tables'!AO$291,(AO$218-'Tax Tables'!AO$291)*'Tax Tables'!AO$292,0))
/Round_To,0)*Round_To*IF(Exclude_Taxes="n",1,0)</f>
        <v>0</v>
      </c>
      <c r="AP222" s="1125">
        <f>ROUND(IF(OR(AP$4&lt;State_Move_Age,State_Move_Age=""),
IF(AP$218&gt;'Tax Tables'!AP$277,(AP$218-'Tax Tables'!AP$277)*'Tax Tables'!AP$278,0),
IF(AP$218&gt;'Tax Tables'!AP$291,(AP$218-'Tax Tables'!AP$291)*'Tax Tables'!AP$292,0))
/Round_To,0)*Round_To*IF(Exclude_Taxes="n",1,0)</f>
        <v>0</v>
      </c>
      <c r="AQ222" s="1125">
        <f>ROUND(IF(OR(AQ$4&lt;State_Move_Age,State_Move_Age=""),
IF(AQ$218&gt;'Tax Tables'!AQ$277,(AQ$218-'Tax Tables'!AQ$277)*'Tax Tables'!AQ$278,0),
IF(AQ$218&gt;'Tax Tables'!AQ$291,(AQ$218-'Tax Tables'!AQ$291)*'Tax Tables'!AQ$292,0))
/Round_To,0)*Round_To*IF(Exclude_Taxes="n",1,0)</f>
        <v>0</v>
      </c>
      <c r="AR222" s="1125">
        <f>ROUND(IF(OR(AR$4&lt;State_Move_Age,State_Move_Age=""),
IF(AR$218&gt;'Tax Tables'!AR$277,(AR$218-'Tax Tables'!AR$277)*'Tax Tables'!AR$278,0),
IF(AR$218&gt;'Tax Tables'!AR$291,(AR$218-'Tax Tables'!AR$291)*'Tax Tables'!AR$292,0))
/Round_To,0)*Round_To*IF(Exclude_Taxes="n",1,0)</f>
        <v>0</v>
      </c>
      <c r="AS222" s="1125">
        <f>ROUND(IF(OR(AS$4&lt;State_Move_Age,State_Move_Age=""),
IF(AS$218&gt;'Tax Tables'!AS$277,(AS$218-'Tax Tables'!AS$277)*'Tax Tables'!AS$278,0),
IF(AS$218&gt;'Tax Tables'!AS$291,(AS$218-'Tax Tables'!AS$291)*'Tax Tables'!AS$292,0))
/Round_To,0)*Round_To*IF(Exclude_Taxes="n",1,0)</f>
        <v>0</v>
      </c>
      <c r="AT222" s="88"/>
      <c r="AU222" s="34">
        <f>+Details!E222</f>
        <v>9500</v>
      </c>
      <c r="AV222" s="83">
        <f t="shared" si="169"/>
        <v>0</v>
      </c>
      <c r="AW222" s="102"/>
      <c r="AY222" s="38">
        <f>+Details!F222-Base!F222</f>
        <v>0</v>
      </c>
      <c r="AZ222" s="1125">
        <f>+Details!G222-Base!G222</f>
        <v>0</v>
      </c>
      <c r="BA222" s="1125">
        <f>+Details!H222-Base!H222</f>
        <v>0</v>
      </c>
      <c r="BB222" s="1125">
        <f>+Details!I222-Base!I222</f>
        <v>0</v>
      </c>
      <c r="BC222" s="1125">
        <f>+Details!J222-Base!J222</f>
        <v>0</v>
      </c>
      <c r="BD222" s="1125">
        <f>+Details!K222-Base!K222</f>
        <v>0</v>
      </c>
      <c r="BE222" s="1125">
        <f>+Details!L222-Base!L222</f>
        <v>0</v>
      </c>
      <c r="BF222" s="1125">
        <f>+Details!M222-Base!M222</f>
        <v>0</v>
      </c>
      <c r="BG222" s="1125">
        <f>+Details!N222-Base!N222</f>
        <v>0</v>
      </c>
      <c r="BH222" s="1125">
        <f>+Details!O222-Base!O222</f>
        <v>0</v>
      </c>
      <c r="BI222" s="1125">
        <f>+Details!P222-Base!P222</f>
        <v>0</v>
      </c>
      <c r="BJ222" s="1125">
        <f>+Details!Q222-Base!Q222</f>
        <v>0</v>
      </c>
      <c r="BK222" s="1125">
        <f>+Details!R222-Base!R222</f>
        <v>0</v>
      </c>
      <c r="BL222" s="1125">
        <f>+Details!S222-Base!S222</f>
        <v>0</v>
      </c>
      <c r="BM222" s="1125">
        <f>+Details!T222-Base!T222</f>
        <v>0</v>
      </c>
      <c r="BN222" s="1125">
        <f>+Details!U222-Base!U222</f>
        <v>0</v>
      </c>
      <c r="BO222" s="1125">
        <f>+Details!V222-Base!V222</f>
        <v>0</v>
      </c>
      <c r="BP222" s="1125">
        <f>+Details!W222-Base!W222</f>
        <v>0</v>
      </c>
      <c r="BQ222" s="1125">
        <f>+Details!X222-Base!X222</f>
        <v>0</v>
      </c>
      <c r="BR222" s="1125">
        <f>+Details!Y222-Base!Y222</f>
        <v>0</v>
      </c>
      <c r="BS222" s="1125">
        <f>+Details!Z222-Base!Z222</f>
        <v>0</v>
      </c>
      <c r="BT222" s="1125">
        <f>+Details!AA222-Base!AA222</f>
        <v>0</v>
      </c>
      <c r="BU222" s="1125">
        <f>+Details!AB222-Base!AB222</f>
        <v>0</v>
      </c>
      <c r="BV222" s="1125">
        <f>+Details!AC222-Base!AC222</f>
        <v>0</v>
      </c>
      <c r="BW222" s="1125">
        <f>+Details!AD222-Base!AD222</f>
        <v>0</v>
      </c>
      <c r="BX222" s="1125">
        <f>+Details!AE222-Base!AE222</f>
        <v>0</v>
      </c>
      <c r="BY222" s="1125">
        <f>+Details!AF222-Base!AF222</f>
        <v>0</v>
      </c>
      <c r="BZ222" s="1125">
        <f>+Details!AG222-Base!AG222</f>
        <v>0</v>
      </c>
      <c r="CA222" s="1125">
        <f>+Details!AH222-Base!AH222</f>
        <v>0</v>
      </c>
      <c r="CB222" s="1125">
        <f>+Details!AI222-Base!AI222</f>
        <v>0</v>
      </c>
      <c r="CC222" s="1125">
        <f>+Details!AJ222-Base!AJ222</f>
        <v>0</v>
      </c>
      <c r="CD222" s="1125">
        <f>+Details!AK222-Base!AK222</f>
        <v>0</v>
      </c>
      <c r="CE222" s="1125">
        <f>+Details!AL222-Base!AL222</f>
        <v>0</v>
      </c>
      <c r="CF222" s="1125">
        <f>+Details!AM222-Base!AM222</f>
        <v>0</v>
      </c>
      <c r="CG222" s="1125">
        <f>+Details!AN222-Base!AN222</f>
        <v>0</v>
      </c>
      <c r="CH222" s="1125">
        <f>+Details!AO222-Base!AO222</f>
        <v>0</v>
      </c>
      <c r="CI222" s="1125">
        <f>+Details!AP222-Base!AP222</f>
        <v>0</v>
      </c>
      <c r="CJ222" s="1125">
        <f>+Details!AQ222-Base!AQ222</f>
        <v>0</v>
      </c>
      <c r="CK222" s="1125">
        <f>+Details!AR222-Base!AR222</f>
        <v>0</v>
      </c>
      <c r="CL222" s="1125">
        <f>+Details!AS222-Base!AS222</f>
        <v>0</v>
      </c>
      <c r="CM222" s="103"/>
    </row>
    <row r="223" spans="1:91" ht="19.95" customHeight="1">
      <c r="B223" s="424" t="s">
        <v>1103</v>
      </c>
      <c r="D223" s="846" t="str">
        <f>IF(State_Method="bracket"," using","")</f>
        <v xml:space="preserve"> using</v>
      </c>
      <c r="E223" s="102">
        <f>+E220+E221+E222</f>
        <v>88700</v>
      </c>
      <c r="F223" s="102">
        <f>IF((+F220+F221+F222)&lt;0,0,+F220+F221+F222)</f>
        <v>1100</v>
      </c>
      <c r="G223" s="1124">
        <f t="shared" ref="G223:AS223" si="175">IF((+G220+G221+G222)&lt;0,0,+G220+G221+G222)</f>
        <v>1600</v>
      </c>
      <c r="H223" s="1124">
        <f t="shared" si="175"/>
        <v>1000</v>
      </c>
      <c r="I223" s="1124">
        <f t="shared" si="175"/>
        <v>1000</v>
      </c>
      <c r="J223" s="1124">
        <f t="shared" si="175"/>
        <v>1100</v>
      </c>
      <c r="K223" s="1124">
        <f t="shared" si="175"/>
        <v>1100</v>
      </c>
      <c r="L223" s="1124">
        <f t="shared" si="175"/>
        <v>1100</v>
      </c>
      <c r="M223" s="1124">
        <f t="shared" si="175"/>
        <v>2000</v>
      </c>
      <c r="N223" s="1124">
        <f t="shared" si="175"/>
        <v>600</v>
      </c>
      <c r="O223" s="1124">
        <f t="shared" si="175"/>
        <v>600</v>
      </c>
      <c r="P223" s="1124">
        <f t="shared" si="175"/>
        <v>600</v>
      </c>
      <c r="Q223" s="1124">
        <f t="shared" si="175"/>
        <v>700</v>
      </c>
      <c r="R223" s="1124">
        <f t="shared" si="175"/>
        <v>900</v>
      </c>
      <c r="S223" s="1124">
        <f t="shared" si="175"/>
        <v>1000</v>
      </c>
      <c r="T223" s="1124">
        <f t="shared" si="175"/>
        <v>1400</v>
      </c>
      <c r="U223" s="1124">
        <f t="shared" si="175"/>
        <v>1700</v>
      </c>
      <c r="V223" s="1124">
        <f t="shared" si="175"/>
        <v>2100</v>
      </c>
      <c r="W223" s="1124">
        <f t="shared" si="175"/>
        <v>2200</v>
      </c>
      <c r="X223" s="1124">
        <f t="shared" si="175"/>
        <v>2000</v>
      </c>
      <c r="Y223" s="1124">
        <f t="shared" si="175"/>
        <v>2000</v>
      </c>
      <c r="Z223" s="1124">
        <f t="shared" si="175"/>
        <v>2100</v>
      </c>
      <c r="AA223" s="1124">
        <f t="shared" si="175"/>
        <v>2300</v>
      </c>
      <c r="AB223" s="1124">
        <f t="shared" si="175"/>
        <v>6700</v>
      </c>
      <c r="AC223" s="1124">
        <f t="shared" si="175"/>
        <v>7400</v>
      </c>
      <c r="AD223" s="1124">
        <f t="shared" si="175"/>
        <v>7300</v>
      </c>
      <c r="AE223" s="1124">
        <f t="shared" si="175"/>
        <v>7600</v>
      </c>
      <c r="AF223" s="1124">
        <f t="shared" si="175"/>
        <v>7700</v>
      </c>
      <c r="AG223" s="1124">
        <f t="shared" si="175"/>
        <v>7200</v>
      </c>
      <c r="AH223" s="1124">
        <f t="shared" si="175"/>
        <v>7200</v>
      </c>
      <c r="AI223" s="1124">
        <f t="shared" si="175"/>
        <v>7400</v>
      </c>
      <c r="AJ223" s="1124">
        <f t="shared" si="175"/>
        <v>0</v>
      </c>
      <c r="AK223" s="1124">
        <f t="shared" si="175"/>
        <v>0</v>
      </c>
      <c r="AL223" s="1124">
        <f t="shared" si="175"/>
        <v>0</v>
      </c>
      <c r="AM223" s="1124">
        <f t="shared" si="175"/>
        <v>0</v>
      </c>
      <c r="AN223" s="1124">
        <f t="shared" si="175"/>
        <v>0</v>
      </c>
      <c r="AO223" s="1124">
        <f t="shared" si="175"/>
        <v>0</v>
      </c>
      <c r="AP223" s="1124">
        <f t="shared" si="175"/>
        <v>0</v>
      </c>
      <c r="AQ223" s="1124">
        <f t="shared" si="175"/>
        <v>0</v>
      </c>
      <c r="AR223" s="1124">
        <f t="shared" si="175"/>
        <v>0</v>
      </c>
      <c r="AS223" s="1124">
        <f t="shared" si="175"/>
        <v>0</v>
      </c>
      <c r="AT223" s="88"/>
      <c r="AU223" s="102">
        <f>+Details!E223</f>
        <v>88700</v>
      </c>
      <c r="AV223" s="103">
        <f t="shared" si="169"/>
        <v>0</v>
      </c>
      <c r="AW223" s="102"/>
      <c r="AY223" s="31">
        <f>+Details!F223-Base!F223</f>
        <v>0</v>
      </c>
      <c r="AZ223" s="1124">
        <f>+Details!G223-Base!G223</f>
        <v>0</v>
      </c>
      <c r="BA223" s="1124">
        <f>+Details!H223-Base!H223</f>
        <v>0</v>
      </c>
      <c r="BB223" s="1124">
        <f>+Details!I223-Base!I223</f>
        <v>0</v>
      </c>
      <c r="BC223" s="1124">
        <f>+Details!J223-Base!J223</f>
        <v>0</v>
      </c>
      <c r="BD223" s="1124">
        <f>+Details!K223-Base!K223</f>
        <v>0</v>
      </c>
      <c r="BE223" s="1124">
        <f>+Details!L223-Base!L223</f>
        <v>0</v>
      </c>
      <c r="BF223" s="1124">
        <f>+Details!M223-Base!M223</f>
        <v>0</v>
      </c>
      <c r="BG223" s="1124">
        <f>+Details!N223-Base!N223</f>
        <v>0</v>
      </c>
      <c r="BH223" s="1124">
        <f>+Details!O223-Base!O223</f>
        <v>0</v>
      </c>
      <c r="BI223" s="1124">
        <f>+Details!P223-Base!P223</f>
        <v>0</v>
      </c>
      <c r="BJ223" s="1124">
        <f>+Details!Q223-Base!Q223</f>
        <v>0</v>
      </c>
      <c r="BK223" s="1124">
        <f>+Details!R223-Base!R223</f>
        <v>0</v>
      </c>
      <c r="BL223" s="1124">
        <f>+Details!S223-Base!S223</f>
        <v>0</v>
      </c>
      <c r="BM223" s="1124">
        <f>+Details!T223-Base!T223</f>
        <v>0</v>
      </c>
      <c r="BN223" s="1124">
        <f>+Details!U223-Base!U223</f>
        <v>0</v>
      </c>
      <c r="BO223" s="1124">
        <f>+Details!V223-Base!V223</f>
        <v>0</v>
      </c>
      <c r="BP223" s="1124">
        <f>+Details!W223-Base!W223</f>
        <v>0</v>
      </c>
      <c r="BQ223" s="1124">
        <f>+Details!X223-Base!X223</f>
        <v>0</v>
      </c>
      <c r="BR223" s="1124">
        <f>+Details!Y223-Base!Y223</f>
        <v>0</v>
      </c>
      <c r="BS223" s="1124">
        <f>+Details!Z223-Base!Z223</f>
        <v>0</v>
      </c>
      <c r="BT223" s="1124">
        <f>+Details!AA223-Base!AA223</f>
        <v>0</v>
      </c>
      <c r="BU223" s="1124">
        <f>+Details!AB223-Base!AB223</f>
        <v>0</v>
      </c>
      <c r="BV223" s="1124">
        <f>+Details!AC223-Base!AC223</f>
        <v>0</v>
      </c>
      <c r="BW223" s="1124">
        <f>+Details!AD223-Base!AD223</f>
        <v>0</v>
      </c>
      <c r="BX223" s="1124">
        <f>+Details!AE223-Base!AE223</f>
        <v>0</v>
      </c>
      <c r="BY223" s="1124">
        <f>+Details!AF223-Base!AF223</f>
        <v>0</v>
      </c>
      <c r="BZ223" s="1124">
        <f>+Details!AG223-Base!AG223</f>
        <v>0</v>
      </c>
      <c r="CA223" s="1124">
        <f>+Details!AH223-Base!AH223</f>
        <v>0</v>
      </c>
      <c r="CB223" s="1124">
        <f>+Details!AI223-Base!AI223</f>
        <v>0</v>
      </c>
      <c r="CC223" s="1124">
        <f>+Details!AJ223-Base!AJ223</f>
        <v>0</v>
      </c>
      <c r="CD223" s="1124">
        <f>+Details!AK223-Base!AK223</f>
        <v>0</v>
      </c>
      <c r="CE223" s="1124">
        <f>+Details!AL223-Base!AL223</f>
        <v>0</v>
      </c>
      <c r="CF223" s="1124">
        <f>+Details!AM223-Base!AM223</f>
        <v>0</v>
      </c>
      <c r="CG223" s="1124">
        <f>+Details!AN223-Base!AN223</f>
        <v>0</v>
      </c>
      <c r="CH223" s="1124">
        <f>+Details!AO223-Base!AO223</f>
        <v>0</v>
      </c>
      <c r="CI223" s="1124">
        <f>+Details!AP223-Base!AP223</f>
        <v>0</v>
      </c>
      <c r="CJ223" s="1124">
        <f>+Details!AQ223-Base!AQ223</f>
        <v>0</v>
      </c>
      <c r="CK223" s="1124">
        <f>+Details!AR223-Base!AR223</f>
        <v>0</v>
      </c>
      <c r="CL223" s="1124">
        <f>+Details!AS223-Base!AS223</f>
        <v>0</v>
      </c>
      <c r="CM223" s="103"/>
    </row>
    <row r="224" spans="1:91" ht="4.95" customHeight="1">
      <c r="B224" s="825"/>
      <c r="D224" s="67"/>
      <c r="E224" s="102"/>
      <c r="F224" s="31"/>
      <c r="G224" s="31"/>
      <c r="H224" s="31"/>
      <c r="I224" s="31"/>
      <c r="J224" s="31"/>
      <c r="K224" s="31"/>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c r="AI224" s="31"/>
      <c r="AJ224" s="31"/>
      <c r="AK224" s="31"/>
      <c r="AL224" s="31"/>
      <c r="AM224" s="31"/>
      <c r="AN224" s="31"/>
      <c r="AO224" s="31"/>
      <c r="AP224" s="31"/>
      <c r="AQ224" s="31"/>
      <c r="AR224" s="31"/>
      <c r="AS224" s="31"/>
      <c r="AT224" s="88"/>
      <c r="AU224" s="102"/>
      <c r="AV224" s="103"/>
      <c r="AW224" s="88"/>
      <c r="AY224" s="88"/>
      <c r="AZ224" s="31"/>
      <c r="BA224" s="31"/>
      <c r="BB224" s="31"/>
      <c r="BC224" s="31"/>
      <c r="BD224" s="31"/>
      <c r="BE224" s="31"/>
      <c r="BF224" s="31"/>
      <c r="BG224" s="31"/>
      <c r="BH224" s="31"/>
      <c r="BI224" s="31"/>
      <c r="BJ224" s="31"/>
      <c r="BK224" s="31"/>
      <c r="BL224" s="31"/>
      <c r="BM224" s="31"/>
      <c r="BN224" s="31"/>
      <c r="BO224" s="31"/>
      <c r="BP224" s="31"/>
      <c r="BQ224" s="31"/>
      <c r="BR224" s="31"/>
      <c r="BS224" s="31"/>
      <c r="BT224" s="31"/>
      <c r="BU224" s="31"/>
      <c r="BV224" s="31"/>
      <c r="BW224" s="31"/>
      <c r="BX224" s="31"/>
      <c r="BY224" s="31"/>
      <c r="BZ224" s="31"/>
      <c r="CA224" s="31"/>
      <c r="CB224" s="31"/>
      <c r="CC224" s="31"/>
      <c r="CD224" s="31"/>
      <c r="CE224" s="31"/>
      <c r="CF224" s="31"/>
      <c r="CG224" s="31"/>
      <c r="CH224" s="31"/>
      <c r="CI224" s="31"/>
      <c r="CJ224" s="31"/>
      <c r="CK224" s="31"/>
      <c r="CL224" s="31"/>
      <c r="CM224" s="103"/>
    </row>
    <row r="225" spans="1:91" ht="15.6">
      <c r="B225" s="827" t="str">
        <f>"State taxes by percent of state AGI - " &amp; State_Rate*100 &amp; "% then " &amp; IF(State_Move_Age&gt;0,State_Rate2*100 &amp; "%","")</f>
        <v>State taxes by percent of state AGI - 1% then 2%</v>
      </c>
      <c r="D225" s="846" t="str">
        <f>IF(State_Method="percent","using","")</f>
        <v/>
      </c>
      <c r="E225" s="102">
        <f>SUM(F225:AS225)</f>
        <v>37600</v>
      </c>
      <c r="F225" s="88">
        <f t="shared" ref="F225:AS225" si="176">ROUND(IF(AND(State_Move_Age&lt;=F$4,State_Move_Age&lt;&gt;0),+F$212*State_Rate2,+F$212*State_Rate)/Round_To,0)*Round_To*IF(Exclude_Taxes="y",0,1)</f>
        <v>700</v>
      </c>
      <c r="G225" s="1124">
        <f t="shared" si="176"/>
        <v>800</v>
      </c>
      <c r="H225" s="1124">
        <f t="shared" si="176"/>
        <v>700</v>
      </c>
      <c r="I225" s="1124">
        <f t="shared" si="176"/>
        <v>700</v>
      </c>
      <c r="J225" s="1124">
        <f t="shared" si="176"/>
        <v>700</v>
      </c>
      <c r="K225" s="1124">
        <f t="shared" si="176"/>
        <v>700</v>
      </c>
      <c r="L225" s="1124">
        <f t="shared" si="176"/>
        <v>800</v>
      </c>
      <c r="M225" s="1124">
        <f t="shared" si="176"/>
        <v>800</v>
      </c>
      <c r="N225" s="1124">
        <f t="shared" si="176"/>
        <v>400</v>
      </c>
      <c r="O225" s="1124">
        <f t="shared" si="176"/>
        <v>400</v>
      </c>
      <c r="P225" s="1124">
        <f t="shared" si="176"/>
        <v>400</v>
      </c>
      <c r="Q225" s="1124">
        <f t="shared" si="176"/>
        <v>400</v>
      </c>
      <c r="R225" s="1124">
        <f t="shared" si="176"/>
        <v>500</v>
      </c>
      <c r="S225" s="1124">
        <f t="shared" si="176"/>
        <v>500</v>
      </c>
      <c r="T225" s="1124">
        <f t="shared" si="176"/>
        <v>700</v>
      </c>
      <c r="U225" s="1124">
        <f t="shared" si="176"/>
        <v>800</v>
      </c>
      <c r="V225" s="1124">
        <f t="shared" si="176"/>
        <v>900</v>
      </c>
      <c r="W225" s="1124">
        <f t="shared" si="176"/>
        <v>900</v>
      </c>
      <c r="X225" s="1124">
        <f t="shared" si="176"/>
        <v>800</v>
      </c>
      <c r="Y225" s="1124">
        <f t="shared" si="176"/>
        <v>900</v>
      </c>
      <c r="Z225" s="1124">
        <f t="shared" si="176"/>
        <v>900</v>
      </c>
      <c r="AA225" s="1124">
        <f t="shared" si="176"/>
        <v>1000</v>
      </c>
      <c r="AB225" s="1124">
        <f t="shared" si="176"/>
        <v>2800</v>
      </c>
      <c r="AC225" s="1124">
        <f t="shared" si="176"/>
        <v>3000</v>
      </c>
      <c r="AD225" s="1124">
        <f t="shared" si="176"/>
        <v>2700</v>
      </c>
      <c r="AE225" s="1124">
        <f t="shared" si="176"/>
        <v>2700</v>
      </c>
      <c r="AF225" s="1124">
        <f t="shared" si="176"/>
        <v>2800</v>
      </c>
      <c r="AG225" s="1124">
        <f t="shared" si="176"/>
        <v>2700</v>
      </c>
      <c r="AH225" s="1124">
        <f t="shared" si="176"/>
        <v>2700</v>
      </c>
      <c r="AI225" s="1124">
        <f t="shared" si="176"/>
        <v>2800</v>
      </c>
      <c r="AJ225" s="1124">
        <f t="shared" si="176"/>
        <v>0</v>
      </c>
      <c r="AK225" s="1124">
        <f t="shared" si="176"/>
        <v>0</v>
      </c>
      <c r="AL225" s="1124">
        <f t="shared" si="176"/>
        <v>0</v>
      </c>
      <c r="AM225" s="1124">
        <f t="shared" si="176"/>
        <v>0</v>
      </c>
      <c r="AN225" s="1124">
        <f t="shared" si="176"/>
        <v>0</v>
      </c>
      <c r="AO225" s="1124">
        <f t="shared" si="176"/>
        <v>0</v>
      </c>
      <c r="AP225" s="1124">
        <f t="shared" si="176"/>
        <v>0</v>
      </c>
      <c r="AQ225" s="1124">
        <f t="shared" si="176"/>
        <v>0</v>
      </c>
      <c r="AR225" s="1124">
        <f t="shared" si="176"/>
        <v>0</v>
      </c>
      <c r="AS225" s="1124">
        <f t="shared" si="176"/>
        <v>0</v>
      </c>
      <c r="AT225" s="88"/>
      <c r="AU225" s="102">
        <f>+Details!E225</f>
        <v>37600</v>
      </c>
      <c r="AV225" s="103">
        <f t="shared" si="169"/>
        <v>0</v>
      </c>
      <c r="AW225" s="102"/>
      <c r="AY225" s="31">
        <f>+Details!F225-Base!F225</f>
        <v>0</v>
      </c>
      <c r="AZ225" s="1124">
        <f>+Details!G225-Base!G225</f>
        <v>0</v>
      </c>
      <c r="BA225" s="1124">
        <f>+Details!H225-Base!H225</f>
        <v>0</v>
      </c>
      <c r="BB225" s="1124">
        <f>+Details!I225-Base!I225</f>
        <v>0</v>
      </c>
      <c r="BC225" s="1124">
        <f>+Details!J225-Base!J225</f>
        <v>0</v>
      </c>
      <c r="BD225" s="1124">
        <f>+Details!K225-Base!K225</f>
        <v>0</v>
      </c>
      <c r="BE225" s="1124">
        <f>+Details!L225-Base!L225</f>
        <v>0</v>
      </c>
      <c r="BF225" s="1124">
        <f>+Details!M225-Base!M225</f>
        <v>0</v>
      </c>
      <c r="BG225" s="1124">
        <f>+Details!N225-Base!N225</f>
        <v>0</v>
      </c>
      <c r="BH225" s="1124">
        <f>+Details!O225-Base!O225</f>
        <v>0</v>
      </c>
      <c r="BI225" s="1124">
        <f>+Details!P225-Base!P225</f>
        <v>0</v>
      </c>
      <c r="BJ225" s="1124">
        <f>+Details!Q225-Base!Q225</f>
        <v>0</v>
      </c>
      <c r="BK225" s="1124">
        <f>+Details!R225-Base!R225</f>
        <v>0</v>
      </c>
      <c r="BL225" s="1124">
        <f>+Details!S225-Base!S225</f>
        <v>0</v>
      </c>
      <c r="BM225" s="1124">
        <f>+Details!T225-Base!T225</f>
        <v>0</v>
      </c>
      <c r="BN225" s="1124">
        <f>+Details!U225-Base!U225</f>
        <v>0</v>
      </c>
      <c r="BO225" s="1124">
        <f>+Details!V225-Base!V225</f>
        <v>0</v>
      </c>
      <c r="BP225" s="1124">
        <f>+Details!W225-Base!W225</f>
        <v>0</v>
      </c>
      <c r="BQ225" s="1124">
        <f>+Details!X225-Base!X225</f>
        <v>0</v>
      </c>
      <c r="BR225" s="1124">
        <f>+Details!Y225-Base!Y225</f>
        <v>0</v>
      </c>
      <c r="BS225" s="1124">
        <f>+Details!Z225-Base!Z225</f>
        <v>0</v>
      </c>
      <c r="BT225" s="1124">
        <f>+Details!AA225-Base!AA225</f>
        <v>0</v>
      </c>
      <c r="BU225" s="1124">
        <f>+Details!AB225-Base!AB225</f>
        <v>0</v>
      </c>
      <c r="BV225" s="1124">
        <f>+Details!AC225-Base!AC225</f>
        <v>0</v>
      </c>
      <c r="BW225" s="1124">
        <f>+Details!AD225-Base!AD225</f>
        <v>0</v>
      </c>
      <c r="BX225" s="1124">
        <f>+Details!AE225-Base!AE225</f>
        <v>0</v>
      </c>
      <c r="BY225" s="1124">
        <f>+Details!AF225-Base!AF225</f>
        <v>0</v>
      </c>
      <c r="BZ225" s="1124">
        <f>+Details!AG225-Base!AG225</f>
        <v>0</v>
      </c>
      <c r="CA225" s="1124">
        <f>+Details!AH225-Base!AH225</f>
        <v>0</v>
      </c>
      <c r="CB225" s="1124">
        <f>+Details!AI225-Base!AI225</f>
        <v>0</v>
      </c>
      <c r="CC225" s="1124">
        <f>+Details!AJ225-Base!AJ225</f>
        <v>0</v>
      </c>
      <c r="CD225" s="1124">
        <f>+Details!AK225-Base!AK225</f>
        <v>0</v>
      </c>
      <c r="CE225" s="1124">
        <f>+Details!AL225-Base!AL225</f>
        <v>0</v>
      </c>
      <c r="CF225" s="1124">
        <f>+Details!AM225-Base!AM225</f>
        <v>0</v>
      </c>
      <c r="CG225" s="1124">
        <f>+Details!AN225-Base!AN225</f>
        <v>0</v>
      </c>
      <c r="CH225" s="1124">
        <f>+Details!AO225-Base!AO225</f>
        <v>0</v>
      </c>
      <c r="CI225" s="1124">
        <f>+Details!AP225-Base!AP225</f>
        <v>0</v>
      </c>
      <c r="CJ225" s="1124">
        <f>+Details!AQ225-Base!AQ225</f>
        <v>0</v>
      </c>
      <c r="CK225" s="1124">
        <f>+Details!AR225-Base!AR225</f>
        <v>0</v>
      </c>
      <c r="CL225" s="1124">
        <f>+Details!AS225-Base!AS225</f>
        <v>0</v>
      </c>
      <c r="CM225" s="103"/>
    </row>
    <row r="226" spans="1:91">
      <c r="B226" s="72"/>
      <c r="D226" s="145"/>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c r="AQ226" s="88"/>
      <c r="AR226" s="88"/>
      <c r="AS226" s="88"/>
      <c r="AT226" s="88"/>
      <c r="AU226" s="88"/>
      <c r="AV226" s="88"/>
      <c r="AW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88"/>
      <c r="BZ226" s="88"/>
      <c r="CA226" s="88"/>
      <c r="CB226" s="88"/>
      <c r="CC226" s="88"/>
      <c r="CD226" s="88"/>
      <c r="CE226" s="88"/>
      <c r="CF226" s="88"/>
      <c r="CG226" s="88"/>
      <c r="CH226" s="88"/>
      <c r="CI226" s="88"/>
      <c r="CJ226" s="88"/>
      <c r="CK226" s="88"/>
      <c r="CL226" s="88"/>
      <c r="CM226" s="88"/>
    </row>
    <row r="227" spans="1:91" ht="17.399999999999999">
      <c r="B227" s="1026" t="s">
        <v>1317</v>
      </c>
      <c r="C227" s="145"/>
      <c r="D227" s="829" t="str">
        <f>"using " &amp; State_Method</f>
        <v>using bracket</v>
      </c>
      <c r="E227" s="102">
        <f>SUM(F227:AS227)</f>
        <v>88700</v>
      </c>
      <c r="F227" s="88">
        <f t="shared" ref="F227:AS227" si="177">IF(State_Method="percent",F225,F223)</f>
        <v>1100</v>
      </c>
      <c r="G227" s="1124">
        <f t="shared" si="177"/>
        <v>1600</v>
      </c>
      <c r="H227" s="1124">
        <f t="shared" si="177"/>
        <v>1000</v>
      </c>
      <c r="I227" s="1124">
        <f t="shared" si="177"/>
        <v>1000</v>
      </c>
      <c r="J227" s="1124">
        <f t="shared" si="177"/>
        <v>1100</v>
      </c>
      <c r="K227" s="1124">
        <f t="shared" si="177"/>
        <v>1100</v>
      </c>
      <c r="L227" s="1124">
        <f t="shared" si="177"/>
        <v>1100</v>
      </c>
      <c r="M227" s="1124">
        <f t="shared" si="177"/>
        <v>2000</v>
      </c>
      <c r="N227" s="1124">
        <f t="shared" si="177"/>
        <v>600</v>
      </c>
      <c r="O227" s="1124">
        <f t="shared" si="177"/>
        <v>600</v>
      </c>
      <c r="P227" s="1124">
        <f t="shared" si="177"/>
        <v>600</v>
      </c>
      <c r="Q227" s="1124">
        <f t="shared" si="177"/>
        <v>700</v>
      </c>
      <c r="R227" s="1124">
        <f t="shared" si="177"/>
        <v>900</v>
      </c>
      <c r="S227" s="1124">
        <f t="shared" si="177"/>
        <v>1000</v>
      </c>
      <c r="T227" s="1124">
        <f t="shared" si="177"/>
        <v>1400</v>
      </c>
      <c r="U227" s="1124">
        <f t="shared" si="177"/>
        <v>1700</v>
      </c>
      <c r="V227" s="1124">
        <f t="shared" si="177"/>
        <v>2100</v>
      </c>
      <c r="W227" s="1124">
        <f t="shared" si="177"/>
        <v>2200</v>
      </c>
      <c r="X227" s="1124">
        <f t="shared" si="177"/>
        <v>2000</v>
      </c>
      <c r="Y227" s="1124">
        <f t="shared" si="177"/>
        <v>2000</v>
      </c>
      <c r="Z227" s="1124">
        <f t="shared" si="177"/>
        <v>2100</v>
      </c>
      <c r="AA227" s="1124">
        <f t="shared" si="177"/>
        <v>2300</v>
      </c>
      <c r="AB227" s="1124">
        <f t="shared" si="177"/>
        <v>6700</v>
      </c>
      <c r="AC227" s="1124">
        <f t="shared" si="177"/>
        <v>7400</v>
      </c>
      <c r="AD227" s="1124">
        <f t="shared" si="177"/>
        <v>7300</v>
      </c>
      <c r="AE227" s="1124">
        <f t="shared" si="177"/>
        <v>7600</v>
      </c>
      <c r="AF227" s="1124">
        <f t="shared" si="177"/>
        <v>7700</v>
      </c>
      <c r="AG227" s="1124">
        <f t="shared" si="177"/>
        <v>7200</v>
      </c>
      <c r="AH227" s="1124">
        <f t="shared" si="177"/>
        <v>7200</v>
      </c>
      <c r="AI227" s="1124">
        <f t="shared" si="177"/>
        <v>7400</v>
      </c>
      <c r="AJ227" s="1124">
        <f t="shared" si="177"/>
        <v>0</v>
      </c>
      <c r="AK227" s="1124">
        <f t="shared" si="177"/>
        <v>0</v>
      </c>
      <c r="AL227" s="1124">
        <f t="shared" si="177"/>
        <v>0</v>
      </c>
      <c r="AM227" s="1124">
        <f t="shared" si="177"/>
        <v>0</v>
      </c>
      <c r="AN227" s="1124">
        <f t="shared" si="177"/>
        <v>0</v>
      </c>
      <c r="AO227" s="1124">
        <f t="shared" si="177"/>
        <v>0</v>
      </c>
      <c r="AP227" s="1124">
        <f t="shared" si="177"/>
        <v>0</v>
      </c>
      <c r="AQ227" s="1124">
        <f t="shared" si="177"/>
        <v>0</v>
      </c>
      <c r="AR227" s="1124">
        <f t="shared" si="177"/>
        <v>0</v>
      </c>
      <c r="AS227" s="1124">
        <f t="shared" si="177"/>
        <v>0</v>
      </c>
      <c r="AT227" s="89"/>
      <c r="AU227" s="102">
        <f>+Details!E227</f>
        <v>88700</v>
      </c>
      <c r="AV227" s="103">
        <f>+E227-AU227</f>
        <v>0</v>
      </c>
      <c r="AW227" s="102"/>
      <c r="AY227" s="88">
        <f>+Details!F227-Base!F227</f>
        <v>0</v>
      </c>
      <c r="AZ227" s="1124">
        <f>+Details!G227-Base!G227</f>
        <v>0</v>
      </c>
      <c r="BA227" s="1124">
        <f>+Details!H227-Base!H227</f>
        <v>0</v>
      </c>
      <c r="BB227" s="1124">
        <f>+Details!I227-Base!I227</f>
        <v>0</v>
      </c>
      <c r="BC227" s="1124">
        <f>+Details!J227-Base!J227</f>
        <v>0</v>
      </c>
      <c r="BD227" s="1124">
        <f>+Details!K227-Base!K227</f>
        <v>0</v>
      </c>
      <c r="BE227" s="1124">
        <f>+Details!L227-Base!L227</f>
        <v>0</v>
      </c>
      <c r="BF227" s="1124">
        <f>+Details!M227-Base!M227</f>
        <v>0</v>
      </c>
      <c r="BG227" s="1124">
        <f>+Details!N227-Base!N227</f>
        <v>0</v>
      </c>
      <c r="BH227" s="1124">
        <f>+Details!O227-Base!O227</f>
        <v>0</v>
      </c>
      <c r="BI227" s="1124">
        <f>+Details!P227-Base!P227</f>
        <v>0</v>
      </c>
      <c r="BJ227" s="1124">
        <f>+Details!Q227-Base!Q227</f>
        <v>0</v>
      </c>
      <c r="BK227" s="1124">
        <f>+Details!R227-Base!R227</f>
        <v>0</v>
      </c>
      <c r="BL227" s="1124">
        <f>+Details!S227-Base!S227</f>
        <v>0</v>
      </c>
      <c r="BM227" s="1124">
        <f>+Details!T227-Base!T227</f>
        <v>0</v>
      </c>
      <c r="BN227" s="1124">
        <f>+Details!U227-Base!U227</f>
        <v>0</v>
      </c>
      <c r="BO227" s="1124">
        <f>+Details!V227-Base!V227</f>
        <v>0</v>
      </c>
      <c r="BP227" s="1124">
        <f>+Details!W227-Base!W227</f>
        <v>0</v>
      </c>
      <c r="BQ227" s="1124">
        <f>+Details!X227-Base!X227</f>
        <v>0</v>
      </c>
      <c r="BR227" s="1124">
        <f>+Details!Y227-Base!Y227</f>
        <v>0</v>
      </c>
      <c r="BS227" s="1124">
        <f>+Details!Z227-Base!Z227</f>
        <v>0</v>
      </c>
      <c r="BT227" s="1124">
        <f>+Details!AA227-Base!AA227</f>
        <v>0</v>
      </c>
      <c r="BU227" s="1124">
        <f>+Details!AB227-Base!AB227</f>
        <v>0</v>
      </c>
      <c r="BV227" s="1124">
        <f>+Details!AC227-Base!AC227</f>
        <v>0</v>
      </c>
      <c r="BW227" s="1124">
        <f>+Details!AD227-Base!AD227</f>
        <v>0</v>
      </c>
      <c r="BX227" s="1124">
        <f>+Details!AE227-Base!AE227</f>
        <v>0</v>
      </c>
      <c r="BY227" s="1124">
        <f>+Details!AF227-Base!AF227</f>
        <v>0</v>
      </c>
      <c r="BZ227" s="1124">
        <f>+Details!AG227-Base!AG227</f>
        <v>0</v>
      </c>
      <c r="CA227" s="1124">
        <f>+Details!AH227-Base!AH227</f>
        <v>0</v>
      </c>
      <c r="CB227" s="1124">
        <f>+Details!AI227-Base!AI227</f>
        <v>0</v>
      </c>
      <c r="CC227" s="1124">
        <f>+Details!AJ227-Base!AJ227</f>
        <v>0</v>
      </c>
      <c r="CD227" s="1124">
        <f>+Details!AK227-Base!AK227</f>
        <v>0</v>
      </c>
      <c r="CE227" s="1124">
        <f>+Details!AL227-Base!AL227</f>
        <v>0</v>
      </c>
      <c r="CF227" s="1124">
        <f>+Details!AM227-Base!AM227</f>
        <v>0</v>
      </c>
      <c r="CG227" s="1124">
        <f>+Details!AN227-Base!AN227</f>
        <v>0</v>
      </c>
      <c r="CH227" s="1124">
        <f>+Details!AO227-Base!AO227</f>
        <v>0</v>
      </c>
      <c r="CI227" s="1124">
        <f>+Details!AP227-Base!AP227</f>
        <v>0</v>
      </c>
      <c r="CJ227" s="1124">
        <f>+Details!AQ227-Base!AQ227</f>
        <v>0</v>
      </c>
      <c r="CK227" s="1124">
        <f>+Details!AR227-Base!AR227</f>
        <v>0</v>
      </c>
      <c r="CL227" s="1124">
        <f>+Details!AS227-Base!AS227</f>
        <v>0</v>
      </c>
      <c r="CM227" s="103"/>
    </row>
    <row r="228" spans="1:91" ht="15.6">
      <c r="B228" s="72" t="s">
        <v>1315</v>
      </c>
      <c r="C228" s="173"/>
      <c r="D228" s="173"/>
      <c r="E228" s="44">
        <f>+E227/E218</f>
        <v>4.5311741717963781E-2</v>
      </c>
      <c r="F228" s="44">
        <f t="shared" ref="F228:AS228" si="178">IF(F218=0,0,+F227/F218)</f>
        <v>3.0054644808743168E-2</v>
      </c>
      <c r="G228" s="44">
        <f t="shared" si="178"/>
        <v>3.0858244937319191E-2</v>
      </c>
      <c r="H228" s="44">
        <f t="shared" si="178"/>
        <v>2.6990553306342781E-2</v>
      </c>
      <c r="I228" s="44">
        <f t="shared" si="178"/>
        <v>2.6917900403768506E-2</v>
      </c>
      <c r="J228" s="44">
        <f t="shared" si="178"/>
        <v>2.9490616621983913E-2</v>
      </c>
      <c r="K228" s="44">
        <f t="shared" si="178"/>
        <v>2.9100529100529099E-2</v>
      </c>
      <c r="L228" s="44">
        <f t="shared" si="178"/>
        <v>2.8497409326424871E-2</v>
      </c>
      <c r="M228" s="44">
        <f t="shared" si="178"/>
        <v>3.1821797931583136E-2</v>
      </c>
      <c r="N228" s="44">
        <f t="shared" si="178"/>
        <v>2.4489795918367346E-2</v>
      </c>
      <c r="O228" s="44">
        <f t="shared" si="178"/>
        <v>2.3762376237623763E-2</v>
      </c>
      <c r="P228" s="44">
        <f t="shared" si="178"/>
        <v>2.34375E-2</v>
      </c>
      <c r="Q228" s="44">
        <f t="shared" si="178"/>
        <v>2.6168224299065422E-2</v>
      </c>
      <c r="R228" s="44">
        <f t="shared" si="178"/>
        <v>2.7314112291350532E-2</v>
      </c>
      <c r="S228" s="44">
        <f t="shared" si="178"/>
        <v>2.8530670470756064E-2</v>
      </c>
      <c r="T228" s="44">
        <f t="shared" si="178"/>
        <v>2.8776978417266189E-2</v>
      </c>
      <c r="U228" s="44">
        <f t="shared" si="178"/>
        <v>3.0330062444246207E-2</v>
      </c>
      <c r="V228" s="44">
        <f t="shared" si="178"/>
        <v>3.2085561497326207E-2</v>
      </c>
      <c r="W228" s="44">
        <f t="shared" si="178"/>
        <v>3.1631919482386771E-2</v>
      </c>
      <c r="X228" s="44">
        <f t="shared" si="178"/>
        <v>3.1152647975077882E-2</v>
      </c>
      <c r="Y228" s="44">
        <f t="shared" si="178"/>
        <v>3.0234315948601664E-2</v>
      </c>
      <c r="Z228" s="44">
        <f t="shared" si="178"/>
        <v>3.0107526881720432E-2</v>
      </c>
      <c r="AA228" s="44">
        <f t="shared" si="178"/>
        <v>3.1228784792939578E-2</v>
      </c>
      <c r="AB228" s="44">
        <f t="shared" si="178"/>
        <v>6.2094531974050043E-2</v>
      </c>
      <c r="AC228" s="44">
        <f t="shared" si="178"/>
        <v>6.2845010615711253E-2</v>
      </c>
      <c r="AD228" s="44">
        <f t="shared" si="178"/>
        <v>6.2903920723825932E-2</v>
      </c>
      <c r="AE228" s="44">
        <f t="shared" si="178"/>
        <v>6.3280599500416326E-2</v>
      </c>
      <c r="AF228" s="44">
        <f t="shared" si="178"/>
        <v>6.2959934587080948E-2</v>
      </c>
      <c r="AG228" s="44">
        <f t="shared" si="178"/>
        <v>6.228373702422145E-2</v>
      </c>
      <c r="AH228" s="44">
        <f t="shared" si="178"/>
        <v>6.1855670103092786E-2</v>
      </c>
      <c r="AI228" s="44">
        <f t="shared" si="178"/>
        <v>6.2342038753159225E-2</v>
      </c>
      <c r="AJ228" s="44">
        <f t="shared" si="178"/>
        <v>0</v>
      </c>
      <c r="AK228" s="44">
        <f t="shared" si="178"/>
        <v>0</v>
      </c>
      <c r="AL228" s="44">
        <f t="shared" si="178"/>
        <v>0</v>
      </c>
      <c r="AM228" s="44">
        <f t="shared" si="178"/>
        <v>0</v>
      </c>
      <c r="AN228" s="44">
        <f t="shared" si="178"/>
        <v>0</v>
      </c>
      <c r="AO228" s="44">
        <f t="shared" si="178"/>
        <v>0</v>
      </c>
      <c r="AP228" s="44">
        <f t="shared" si="178"/>
        <v>0</v>
      </c>
      <c r="AQ228" s="44">
        <f t="shared" si="178"/>
        <v>0</v>
      </c>
      <c r="AR228" s="44">
        <f t="shared" si="178"/>
        <v>0</v>
      </c>
      <c r="AS228" s="44">
        <f t="shared" si="178"/>
        <v>0</v>
      </c>
      <c r="AT228" s="3"/>
      <c r="AU228" s="102"/>
      <c r="AV228" s="103"/>
      <c r="AW228" s="122"/>
      <c r="AY228" s="44">
        <f>+Details!F228-Base!F228</f>
        <v>0</v>
      </c>
      <c r="AZ228" s="44">
        <f>+Details!G228-Base!G228</f>
        <v>0</v>
      </c>
      <c r="BA228" s="44">
        <f>+Details!H228-Base!H228</f>
        <v>0</v>
      </c>
      <c r="BB228" s="44">
        <f>+Details!I228-Base!I228</f>
        <v>0</v>
      </c>
      <c r="BC228" s="44">
        <f>+Details!J228-Base!J228</f>
        <v>0</v>
      </c>
      <c r="BD228" s="44">
        <f>+Details!K228-Base!K228</f>
        <v>0</v>
      </c>
      <c r="BE228" s="44">
        <f>+Details!L228-Base!L228</f>
        <v>0</v>
      </c>
      <c r="BF228" s="44">
        <f>+Details!M228-Base!M228</f>
        <v>0</v>
      </c>
      <c r="BG228" s="44">
        <f>+Details!N228-Base!N228</f>
        <v>0</v>
      </c>
      <c r="BH228" s="44">
        <f>+Details!O228-Base!O228</f>
        <v>0</v>
      </c>
      <c r="BI228" s="44">
        <f>+Details!P228-Base!P228</f>
        <v>0</v>
      </c>
      <c r="BJ228" s="44">
        <f>+Details!Q228-Base!Q228</f>
        <v>0</v>
      </c>
      <c r="BK228" s="44">
        <f>+Details!R228-Base!R228</f>
        <v>0</v>
      </c>
      <c r="BL228" s="44">
        <f>+Details!S228-Base!S228</f>
        <v>0</v>
      </c>
      <c r="BM228" s="44">
        <f>+Details!T228-Base!T228</f>
        <v>0</v>
      </c>
      <c r="BN228" s="44">
        <f>+Details!U228-Base!U228</f>
        <v>0</v>
      </c>
      <c r="BO228" s="44">
        <f>+Details!V228-Base!V228</f>
        <v>0</v>
      </c>
      <c r="BP228" s="44">
        <f>+Details!W228-Base!W228</f>
        <v>0</v>
      </c>
      <c r="BQ228" s="44">
        <f>+Details!X228-Base!X228</f>
        <v>0</v>
      </c>
      <c r="BR228" s="44">
        <f>+Details!Y228-Base!Y228</f>
        <v>0</v>
      </c>
      <c r="BS228" s="44">
        <f>+Details!Z228-Base!Z228</f>
        <v>0</v>
      </c>
      <c r="BT228" s="44">
        <f>+Details!AA228-Base!AA228</f>
        <v>0</v>
      </c>
      <c r="BU228" s="44">
        <f>+Details!AB228-Base!AB228</f>
        <v>0</v>
      </c>
      <c r="BV228" s="44">
        <f>+Details!AC228-Base!AC228</f>
        <v>0</v>
      </c>
      <c r="BW228" s="44">
        <f>+Details!AD228-Base!AD228</f>
        <v>0</v>
      </c>
      <c r="BX228" s="44">
        <f>+Details!AE228-Base!AE228</f>
        <v>0</v>
      </c>
      <c r="BY228" s="44">
        <f>+Details!AF228-Base!AF228</f>
        <v>0</v>
      </c>
      <c r="BZ228" s="44">
        <f>+Details!AG228-Base!AG228</f>
        <v>0</v>
      </c>
      <c r="CA228" s="44">
        <f>+Details!AH228-Base!AH228</f>
        <v>0</v>
      </c>
      <c r="CB228" s="44">
        <f>+Details!AI228-Base!AI228</f>
        <v>0</v>
      </c>
      <c r="CC228" s="44">
        <f>+Details!AJ228-Base!AJ228</f>
        <v>0</v>
      </c>
      <c r="CD228" s="44">
        <f>+Details!AK228-Base!AK228</f>
        <v>0</v>
      </c>
      <c r="CE228" s="44">
        <f>+Details!AL228-Base!AL228</f>
        <v>0</v>
      </c>
      <c r="CF228" s="44">
        <f>+Details!AM228-Base!AM228</f>
        <v>0</v>
      </c>
      <c r="CG228" s="44">
        <f>+Details!AN228-Base!AN228</f>
        <v>0</v>
      </c>
      <c r="CH228" s="44">
        <f>+Details!AO228-Base!AO228</f>
        <v>0</v>
      </c>
      <c r="CI228" s="44">
        <f>+Details!AP228-Base!AP228</f>
        <v>0</v>
      </c>
      <c r="CJ228" s="44">
        <f>+Details!AQ228-Base!AQ228</f>
        <v>0</v>
      </c>
      <c r="CK228" s="44">
        <f>+Details!AR228-Base!AR228</f>
        <v>0</v>
      </c>
      <c r="CL228" s="44">
        <f>+Details!AS228-Base!AS228</f>
        <v>0</v>
      </c>
      <c r="CM228" s="103"/>
    </row>
    <row r="229" spans="1:91" ht="25.2" customHeight="1">
      <c r="B229" s="1027" t="s">
        <v>804</v>
      </c>
      <c r="C229" s="426"/>
      <c r="D229" s="426"/>
      <c r="E229" s="102">
        <f>SUM(F229:AS229)</f>
        <v>4406700</v>
      </c>
      <c r="F229" s="88">
        <f t="shared" ref="F229:AS229" si="179">+F71-F145</f>
        <v>73900</v>
      </c>
      <c r="G229" s="1124">
        <f t="shared" si="179"/>
        <v>87700</v>
      </c>
      <c r="H229" s="1124">
        <f t="shared" si="179"/>
        <v>76200</v>
      </c>
      <c r="I229" s="1124">
        <f t="shared" si="179"/>
        <v>77100</v>
      </c>
      <c r="J229" s="1124">
        <f t="shared" si="179"/>
        <v>77900</v>
      </c>
      <c r="K229" s="1124">
        <f t="shared" si="179"/>
        <v>99000</v>
      </c>
      <c r="L229" s="1124">
        <f t="shared" si="179"/>
        <v>101300</v>
      </c>
      <c r="M229" s="1124">
        <f t="shared" si="179"/>
        <v>102300</v>
      </c>
      <c r="N229" s="1124">
        <f t="shared" si="179"/>
        <v>156900</v>
      </c>
      <c r="O229" s="1124">
        <f t="shared" si="179"/>
        <v>148100</v>
      </c>
      <c r="P229" s="1124">
        <f t="shared" si="179"/>
        <v>150400</v>
      </c>
      <c r="Q229" s="1124">
        <f t="shared" si="179"/>
        <v>153500</v>
      </c>
      <c r="R229" s="1124">
        <f t="shared" si="179"/>
        <v>160600</v>
      </c>
      <c r="S229" s="1124">
        <f t="shared" si="179"/>
        <v>164400</v>
      </c>
      <c r="T229" s="1124">
        <f t="shared" si="179"/>
        <v>173100</v>
      </c>
      <c r="U229" s="1124">
        <f t="shared" si="179"/>
        <v>176500</v>
      </c>
      <c r="V229" s="1124">
        <f t="shared" si="179"/>
        <v>168000</v>
      </c>
      <c r="W229" s="1124">
        <f t="shared" si="179"/>
        <v>172800</v>
      </c>
      <c r="X229" s="1124">
        <f t="shared" si="179"/>
        <v>164800</v>
      </c>
      <c r="Y229" s="1124">
        <f t="shared" si="179"/>
        <v>167900</v>
      </c>
      <c r="Z229" s="1124">
        <f t="shared" si="179"/>
        <v>171000</v>
      </c>
      <c r="AA229" s="1124">
        <f t="shared" si="179"/>
        <v>173700</v>
      </c>
      <c r="AB229" s="1124">
        <f t="shared" si="179"/>
        <v>180500</v>
      </c>
      <c r="AC229" s="1124">
        <f t="shared" si="179"/>
        <v>190900</v>
      </c>
      <c r="AD229" s="1124">
        <f t="shared" si="179"/>
        <v>164900</v>
      </c>
      <c r="AE229" s="1124">
        <f t="shared" si="179"/>
        <v>168700</v>
      </c>
      <c r="AF229" s="1124">
        <f t="shared" si="179"/>
        <v>170500</v>
      </c>
      <c r="AG229" s="1124">
        <f t="shared" si="179"/>
        <v>175300</v>
      </c>
      <c r="AH229" s="1124">
        <f t="shared" si="179"/>
        <v>178300</v>
      </c>
      <c r="AI229" s="1124">
        <f t="shared" si="179"/>
        <v>180500</v>
      </c>
      <c r="AJ229" s="1124">
        <f t="shared" si="179"/>
        <v>0</v>
      </c>
      <c r="AK229" s="1124">
        <f t="shared" si="179"/>
        <v>0</v>
      </c>
      <c r="AL229" s="1124">
        <f t="shared" si="179"/>
        <v>0</v>
      </c>
      <c r="AM229" s="1124">
        <f t="shared" si="179"/>
        <v>0</v>
      </c>
      <c r="AN229" s="1124">
        <f t="shared" si="179"/>
        <v>0</v>
      </c>
      <c r="AO229" s="1124">
        <f t="shared" si="179"/>
        <v>0</v>
      </c>
      <c r="AP229" s="1124">
        <f t="shared" si="179"/>
        <v>0</v>
      </c>
      <c r="AQ229" s="1124">
        <f t="shared" si="179"/>
        <v>0</v>
      </c>
      <c r="AR229" s="1124">
        <f t="shared" si="179"/>
        <v>0</v>
      </c>
      <c r="AS229" s="1124">
        <f t="shared" si="179"/>
        <v>0</v>
      </c>
      <c r="AT229" s="89"/>
      <c r="AU229" s="29">
        <f>+Details!E229</f>
        <v>4406700</v>
      </c>
      <c r="AV229" s="81">
        <f>+E229-AU229</f>
        <v>0</v>
      </c>
      <c r="AW229" s="102"/>
      <c r="AY229" s="31">
        <f>+Details!F229-Base!F229</f>
        <v>0</v>
      </c>
      <c r="AZ229" s="1124">
        <f>+Details!G229-Base!G229</f>
        <v>0</v>
      </c>
      <c r="BA229" s="1124">
        <f>+Details!H229-Base!H229</f>
        <v>0</v>
      </c>
      <c r="BB229" s="1124">
        <f>+Details!I229-Base!I229</f>
        <v>0</v>
      </c>
      <c r="BC229" s="1124">
        <f>+Details!J229-Base!J229</f>
        <v>0</v>
      </c>
      <c r="BD229" s="1124">
        <f>+Details!K229-Base!K229</f>
        <v>0</v>
      </c>
      <c r="BE229" s="1124">
        <f>+Details!L229-Base!L229</f>
        <v>0</v>
      </c>
      <c r="BF229" s="1124">
        <f>+Details!M229-Base!M229</f>
        <v>0</v>
      </c>
      <c r="BG229" s="1124">
        <f>+Details!N229-Base!N229</f>
        <v>0</v>
      </c>
      <c r="BH229" s="1124">
        <f>+Details!O229-Base!O229</f>
        <v>0</v>
      </c>
      <c r="BI229" s="1124">
        <f>+Details!P229-Base!P229</f>
        <v>0</v>
      </c>
      <c r="BJ229" s="1124">
        <f>+Details!Q229-Base!Q229</f>
        <v>0</v>
      </c>
      <c r="BK229" s="1124">
        <f>+Details!R229-Base!R229</f>
        <v>0</v>
      </c>
      <c r="BL229" s="1124">
        <f>+Details!S229-Base!S229</f>
        <v>0</v>
      </c>
      <c r="BM229" s="1124">
        <f>+Details!T229-Base!T229</f>
        <v>0</v>
      </c>
      <c r="BN229" s="1124">
        <f>+Details!U229-Base!U229</f>
        <v>0</v>
      </c>
      <c r="BO229" s="1124">
        <f>+Details!V229-Base!V229</f>
        <v>0</v>
      </c>
      <c r="BP229" s="1124">
        <f>+Details!W229-Base!W229</f>
        <v>0</v>
      </c>
      <c r="BQ229" s="1124">
        <f>+Details!X229-Base!X229</f>
        <v>0</v>
      </c>
      <c r="BR229" s="1124">
        <f>+Details!Y229-Base!Y229</f>
        <v>0</v>
      </c>
      <c r="BS229" s="1124">
        <f>+Details!Z229-Base!Z229</f>
        <v>0</v>
      </c>
      <c r="BT229" s="1124">
        <f>+Details!AA229-Base!AA229</f>
        <v>0</v>
      </c>
      <c r="BU229" s="1124">
        <f>+Details!AB229-Base!AB229</f>
        <v>0</v>
      </c>
      <c r="BV229" s="1124">
        <f>+Details!AC229-Base!AC229</f>
        <v>0</v>
      </c>
      <c r="BW229" s="1124">
        <f>+Details!AD229-Base!AD229</f>
        <v>0</v>
      </c>
      <c r="BX229" s="1124">
        <f>+Details!AE229-Base!AE229</f>
        <v>0</v>
      </c>
      <c r="BY229" s="1124">
        <f>+Details!AF229-Base!AF229</f>
        <v>0</v>
      </c>
      <c r="BZ229" s="1124">
        <f>+Details!AG229-Base!AG229</f>
        <v>0</v>
      </c>
      <c r="CA229" s="1124">
        <f>+Details!AH229-Base!AH229</f>
        <v>0</v>
      </c>
      <c r="CB229" s="1124">
        <f>+Details!AI229-Base!AI229</f>
        <v>0</v>
      </c>
      <c r="CC229" s="1124">
        <f>+Details!AJ229-Base!AJ229</f>
        <v>0</v>
      </c>
      <c r="CD229" s="1124">
        <f>+Details!AK229-Base!AK229</f>
        <v>0</v>
      </c>
      <c r="CE229" s="1124">
        <f>+Details!AL229-Base!AL229</f>
        <v>0</v>
      </c>
      <c r="CF229" s="1124">
        <f>+Details!AM229-Base!AM229</f>
        <v>0</v>
      </c>
      <c r="CG229" s="1124">
        <f>+Details!AN229-Base!AN229</f>
        <v>0</v>
      </c>
      <c r="CH229" s="1124">
        <f>+Details!AO229-Base!AO229</f>
        <v>0</v>
      </c>
      <c r="CI229" s="1124">
        <f>+Details!AP229-Base!AP229</f>
        <v>0</v>
      </c>
      <c r="CJ229" s="1124">
        <f>+Details!AQ229-Base!AQ229</f>
        <v>0</v>
      </c>
      <c r="CK229" s="1124">
        <f>+Details!AR229-Base!AR229</f>
        <v>0</v>
      </c>
      <c r="CL229" s="1124">
        <f>+Details!AS229-Base!AS229</f>
        <v>0</v>
      </c>
      <c r="CM229" s="81"/>
    </row>
    <row r="230" spans="1:91">
      <c r="C230" s="10"/>
      <c r="D230" s="39"/>
      <c r="E230" s="29"/>
      <c r="F230" s="841"/>
      <c r="G230" s="841"/>
      <c r="H230" s="841"/>
      <c r="I230" s="841"/>
      <c r="J230" s="841"/>
      <c r="K230" s="841"/>
      <c r="L230" s="841"/>
      <c r="M230" s="841"/>
      <c r="N230" s="841"/>
      <c r="O230" s="841"/>
      <c r="P230" s="841"/>
      <c r="Q230" s="841"/>
      <c r="R230" s="841"/>
      <c r="S230" s="841"/>
      <c r="T230" s="841"/>
      <c r="U230" s="841"/>
      <c r="V230" s="841"/>
      <c r="W230" s="841"/>
      <c r="X230" s="841"/>
      <c r="Y230" s="841"/>
      <c r="Z230" s="841"/>
      <c r="AA230" s="841"/>
      <c r="AB230" s="841"/>
      <c r="AC230" s="841"/>
      <c r="AD230" s="841"/>
      <c r="AE230" s="841"/>
      <c r="AF230" s="841"/>
      <c r="AG230" s="841"/>
      <c r="AH230" s="841"/>
      <c r="AI230" s="841"/>
      <c r="AJ230" s="841"/>
      <c r="AK230" s="841"/>
      <c r="AT230" s="3"/>
      <c r="AW230" s="102"/>
      <c r="AZ230" s="841"/>
      <c r="BA230" s="841"/>
      <c r="BB230" s="841"/>
      <c r="BC230" s="841"/>
      <c r="BD230" s="841"/>
      <c r="BE230" s="841"/>
      <c r="BF230" s="841"/>
      <c r="BG230" s="841"/>
      <c r="BH230" s="841"/>
      <c r="BI230" s="841"/>
      <c r="BJ230" s="841"/>
      <c r="BK230" s="841"/>
      <c r="BL230" s="841"/>
      <c r="BM230" s="841"/>
      <c r="BN230" s="841"/>
      <c r="BO230" s="841"/>
      <c r="BP230" s="841"/>
      <c r="BQ230" s="841"/>
      <c r="BR230" s="841"/>
      <c r="BS230" s="841"/>
      <c r="BT230" s="841"/>
      <c r="BU230" s="841"/>
      <c r="BV230" s="841"/>
      <c r="BW230" s="841"/>
      <c r="BX230" s="841"/>
      <c r="BY230" s="841"/>
      <c r="BZ230" s="841"/>
      <c r="CA230" s="841"/>
      <c r="CB230" s="841"/>
      <c r="CC230" s="841"/>
      <c r="CD230" s="841"/>
    </row>
    <row r="231" spans="1:91" ht="17.399999999999999">
      <c r="B231" s="133" t="s">
        <v>805</v>
      </c>
      <c r="C231" s="9"/>
      <c r="D231" s="1"/>
      <c r="E231" s="14"/>
      <c r="F231" s="14"/>
      <c r="G231" s="2"/>
      <c r="H231" s="4"/>
      <c r="I231" s="1"/>
      <c r="J231" s="14"/>
      <c r="K231" s="14"/>
      <c r="L231" s="2"/>
      <c r="M231" s="4"/>
      <c r="N231" s="1"/>
      <c r="AT231" s="3"/>
      <c r="AV231" s="589" t="s">
        <v>495</v>
      </c>
      <c r="AZ231" s="2"/>
      <c r="BA231" s="4"/>
      <c r="BB231" s="1"/>
      <c r="BC231" s="14"/>
      <c r="BD231" s="14"/>
      <c r="BE231" s="2"/>
      <c r="BF231" s="4"/>
      <c r="BG231" s="1"/>
    </row>
    <row r="232" spans="1:91" ht="15.6">
      <c r="B232" s="28" t="s">
        <v>230</v>
      </c>
      <c r="E232" s="33">
        <f ca="1">INDIRECT(ADDRESS(ROW(),Total_Years+5))</f>
        <v>2670800</v>
      </c>
      <c r="F232" s="31">
        <f t="shared" ref="F232:AS232" si="180">+F19</f>
        <v>1000000</v>
      </c>
      <c r="G232" s="1124">
        <f t="shared" si="180"/>
        <v>1003900</v>
      </c>
      <c r="H232" s="1124">
        <f t="shared" si="180"/>
        <v>1020200</v>
      </c>
      <c r="I232" s="1124">
        <f t="shared" si="180"/>
        <v>1023600</v>
      </c>
      <c r="J232" s="1124">
        <f t="shared" si="180"/>
        <v>1026400</v>
      </c>
      <c r="K232" s="1124">
        <f t="shared" si="180"/>
        <v>1028500</v>
      </c>
      <c r="L232" s="1124">
        <f t="shared" si="180"/>
        <v>1050200</v>
      </c>
      <c r="M232" s="1124">
        <f t="shared" si="180"/>
        <v>1072700</v>
      </c>
      <c r="N232" s="1124">
        <f t="shared" si="180"/>
        <v>1094600</v>
      </c>
      <c r="O232" s="1124">
        <f t="shared" si="180"/>
        <v>1169500</v>
      </c>
      <c r="P232" s="1124">
        <f t="shared" si="180"/>
        <v>1219000</v>
      </c>
      <c r="Q232" s="1124">
        <f t="shared" si="180"/>
        <v>1189100</v>
      </c>
      <c r="R232" s="1124">
        <f t="shared" si="180"/>
        <v>1340600</v>
      </c>
      <c r="S232" s="1124">
        <f t="shared" si="180"/>
        <v>1377500</v>
      </c>
      <c r="T232" s="1124">
        <f t="shared" si="180"/>
        <v>1436400</v>
      </c>
      <c r="U232" s="1124">
        <f t="shared" si="180"/>
        <v>1417200</v>
      </c>
      <c r="V232" s="1124">
        <f t="shared" si="180"/>
        <v>1599600</v>
      </c>
      <c r="W232" s="1124">
        <f t="shared" si="180"/>
        <v>1671600</v>
      </c>
      <c r="X232" s="1124">
        <f t="shared" si="180"/>
        <v>1746500</v>
      </c>
      <c r="Y232" s="1124">
        <f t="shared" si="180"/>
        <v>1786500</v>
      </c>
      <c r="Z232" s="1124">
        <f t="shared" si="180"/>
        <v>1827200</v>
      </c>
      <c r="AA232" s="1124">
        <f t="shared" si="180"/>
        <v>1868600</v>
      </c>
      <c r="AB232" s="1124">
        <f t="shared" si="180"/>
        <v>1910200</v>
      </c>
      <c r="AC232" s="1124">
        <f t="shared" si="180"/>
        <v>2356100</v>
      </c>
      <c r="AD232" s="1124">
        <f t="shared" si="180"/>
        <v>2414800</v>
      </c>
      <c r="AE232" s="1124">
        <f t="shared" si="180"/>
        <v>2544900</v>
      </c>
      <c r="AF232" s="1124">
        <f t="shared" si="180"/>
        <v>2576100</v>
      </c>
      <c r="AG232" s="1124">
        <f t="shared" si="180"/>
        <v>2606300</v>
      </c>
      <c r="AH232" s="1124">
        <f t="shared" si="180"/>
        <v>2638500</v>
      </c>
      <c r="AI232" s="1124">
        <f t="shared" si="180"/>
        <v>2670800</v>
      </c>
      <c r="AJ232" s="1124">
        <f t="shared" si="180"/>
        <v>0</v>
      </c>
      <c r="AK232" s="1124">
        <f t="shared" si="180"/>
        <v>0</v>
      </c>
      <c r="AL232" s="1124">
        <f t="shared" si="180"/>
        <v>0</v>
      </c>
      <c r="AM232" s="1124">
        <f t="shared" si="180"/>
        <v>0</v>
      </c>
      <c r="AN232" s="1124">
        <f t="shared" si="180"/>
        <v>0</v>
      </c>
      <c r="AO232" s="1124">
        <f t="shared" si="180"/>
        <v>0</v>
      </c>
      <c r="AP232" s="1124">
        <f t="shared" si="180"/>
        <v>0</v>
      </c>
      <c r="AQ232" s="1124">
        <f t="shared" si="180"/>
        <v>0</v>
      </c>
      <c r="AR232" s="1124">
        <f t="shared" si="180"/>
        <v>0</v>
      </c>
      <c r="AS232" s="1124">
        <f t="shared" si="180"/>
        <v>0</v>
      </c>
      <c r="AT232" s="3"/>
      <c r="AU232" s="33">
        <f ca="1">+Details!E232</f>
        <v>2670800</v>
      </c>
      <c r="AV232" s="81">
        <f ca="1">+E232-AU232</f>
        <v>0</v>
      </c>
      <c r="AW232" s="110"/>
      <c r="AY232" s="31">
        <f>+Details!F232-Base!F232</f>
        <v>0</v>
      </c>
      <c r="AZ232" s="1124">
        <f>+Details!G232-Base!G232</f>
        <v>0</v>
      </c>
      <c r="BA232" s="1124">
        <f>+Details!H232-Base!H232</f>
        <v>0</v>
      </c>
      <c r="BB232" s="1124">
        <f>+Details!I232-Base!I232</f>
        <v>0</v>
      </c>
      <c r="BC232" s="1124">
        <f>+Details!J232-Base!J232</f>
        <v>0</v>
      </c>
      <c r="BD232" s="1124">
        <f>+Details!K232-Base!K232</f>
        <v>0</v>
      </c>
      <c r="BE232" s="1124">
        <f>+Details!L232-Base!L232</f>
        <v>0</v>
      </c>
      <c r="BF232" s="1124">
        <f>+Details!M232-Base!M232</f>
        <v>0</v>
      </c>
      <c r="BG232" s="1124">
        <f>+Details!N232-Base!N232</f>
        <v>0</v>
      </c>
      <c r="BH232" s="1124">
        <f>+Details!O232-Base!O232</f>
        <v>0</v>
      </c>
      <c r="BI232" s="1124">
        <f>+Details!P232-Base!P232</f>
        <v>0</v>
      </c>
      <c r="BJ232" s="1124">
        <f>+Details!Q232-Base!Q232</f>
        <v>0</v>
      </c>
      <c r="BK232" s="1124">
        <f>+Details!R232-Base!R232</f>
        <v>0</v>
      </c>
      <c r="BL232" s="1124">
        <f>+Details!S232-Base!S232</f>
        <v>0</v>
      </c>
      <c r="BM232" s="1124">
        <f>+Details!T232-Base!T232</f>
        <v>0</v>
      </c>
      <c r="BN232" s="1124">
        <f>+Details!U232-Base!U232</f>
        <v>0</v>
      </c>
      <c r="BO232" s="1124">
        <f>+Details!V232-Base!V232</f>
        <v>0</v>
      </c>
      <c r="BP232" s="1124">
        <f>+Details!W232-Base!W232</f>
        <v>0</v>
      </c>
      <c r="BQ232" s="1124">
        <f>+Details!X232-Base!X232</f>
        <v>0</v>
      </c>
      <c r="BR232" s="1124">
        <f>+Details!Y232-Base!Y232</f>
        <v>0</v>
      </c>
      <c r="BS232" s="1124">
        <f>+Details!Z232-Base!Z232</f>
        <v>0</v>
      </c>
      <c r="BT232" s="1124">
        <f>+Details!AA232-Base!AA232</f>
        <v>0</v>
      </c>
      <c r="BU232" s="1124">
        <f>+Details!AB232-Base!AB232</f>
        <v>0</v>
      </c>
      <c r="BV232" s="1124">
        <f>+Details!AC232-Base!AC232</f>
        <v>0</v>
      </c>
      <c r="BW232" s="1124">
        <f>+Details!AD232-Base!AD232</f>
        <v>0</v>
      </c>
      <c r="BX232" s="1124">
        <f>+Details!AE232-Base!AE232</f>
        <v>0</v>
      </c>
      <c r="BY232" s="1124">
        <f>+Details!AF232-Base!AF232</f>
        <v>0</v>
      </c>
      <c r="BZ232" s="1124">
        <f>+Details!AG232-Base!AG232</f>
        <v>0</v>
      </c>
      <c r="CA232" s="1124">
        <f>+Details!AH232-Base!AH232</f>
        <v>0</v>
      </c>
      <c r="CB232" s="1124">
        <f>+Details!AI232-Base!AI232</f>
        <v>0</v>
      </c>
      <c r="CC232" s="1124">
        <f>+Details!AJ232-Base!AJ232</f>
        <v>0</v>
      </c>
      <c r="CD232" s="1124">
        <f>+Details!AK232-Base!AK232</f>
        <v>0</v>
      </c>
      <c r="CE232" s="1124">
        <f>+Details!AL232-Base!AL232</f>
        <v>0</v>
      </c>
      <c r="CF232" s="1124">
        <f>+Details!AM232-Base!AM232</f>
        <v>0</v>
      </c>
      <c r="CG232" s="1124">
        <f>+Details!AN232-Base!AN232</f>
        <v>0</v>
      </c>
      <c r="CH232" s="1124">
        <f>+Details!AO232-Base!AO232</f>
        <v>0</v>
      </c>
      <c r="CI232" s="1124">
        <f>+Details!AP232-Base!AP232</f>
        <v>0</v>
      </c>
      <c r="CJ232" s="1124">
        <f>+Details!AQ232-Base!AQ232</f>
        <v>0</v>
      </c>
      <c r="CK232" s="1124">
        <f>+Details!AR232-Base!AR232</f>
        <v>0</v>
      </c>
      <c r="CL232" s="1124">
        <f>+Details!AS232-Base!AS232</f>
        <v>0</v>
      </c>
      <c r="CM232" s="81"/>
    </row>
    <row r="233" spans="1:91" ht="15.6">
      <c r="B233" s="28" t="s">
        <v>568</v>
      </c>
      <c r="E233" s="97"/>
      <c r="F233" s="31"/>
      <c r="G233" s="31"/>
      <c r="H233" s="31"/>
      <c r="I233" s="31"/>
      <c r="J233" s="31"/>
      <c r="K233" s="31"/>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c r="AI233" s="31"/>
      <c r="AJ233" s="31"/>
      <c r="AK233" s="31"/>
      <c r="AL233" s="31"/>
      <c r="AM233" s="31"/>
      <c r="AN233" s="31"/>
      <c r="AO233" s="31"/>
      <c r="AP233" s="31"/>
      <c r="AQ233" s="31"/>
      <c r="AR233" s="31"/>
      <c r="AS233" s="31"/>
      <c r="AT233" s="3"/>
      <c r="AU233" s="97"/>
      <c r="AV233" s="81"/>
      <c r="AW233" s="91"/>
      <c r="AY233" s="31"/>
      <c r="AZ233" s="31"/>
      <c r="BA233" s="31"/>
      <c r="BB233" s="31"/>
      <c r="BC233" s="31"/>
      <c r="BD233" s="31"/>
      <c r="BE233" s="31"/>
      <c r="BF233" s="31"/>
      <c r="BG233" s="31"/>
      <c r="BH233" s="31"/>
      <c r="BI233" s="31"/>
      <c r="BJ233" s="31"/>
      <c r="BK233" s="31"/>
      <c r="BL233" s="31"/>
      <c r="BM233" s="31"/>
      <c r="BN233" s="31"/>
      <c r="BO233" s="31"/>
      <c r="BP233" s="31"/>
      <c r="BQ233" s="31"/>
      <c r="BR233" s="31"/>
      <c r="BS233" s="31"/>
      <c r="BT233" s="31"/>
      <c r="BU233" s="31"/>
      <c r="BV233" s="31"/>
      <c r="BW233" s="31"/>
      <c r="BX233" s="31"/>
      <c r="BY233" s="31"/>
      <c r="BZ233" s="31"/>
      <c r="CA233" s="31"/>
      <c r="CB233" s="31"/>
      <c r="CC233" s="31"/>
      <c r="CD233" s="31"/>
      <c r="CE233" s="31"/>
      <c r="CF233" s="31"/>
      <c r="CG233" s="31"/>
      <c r="CH233" s="31"/>
      <c r="CI233" s="31"/>
      <c r="CJ233" s="31"/>
      <c r="CK233" s="31"/>
      <c r="CL233" s="31"/>
      <c r="CM233" s="81"/>
    </row>
    <row r="234" spans="1:91">
      <c r="B234" s="175" t="s">
        <v>806</v>
      </c>
      <c r="E234" s="29">
        <f t="shared" ref="E234:E239" si="181">SUM(F234:AS234)</f>
        <v>100000</v>
      </c>
      <c r="F234" s="31">
        <f t="shared" ref="F234:AS234" si="182">+F78+F79</f>
        <v>0</v>
      </c>
      <c r="G234" s="1124">
        <f t="shared" si="182"/>
        <v>0</v>
      </c>
      <c r="H234" s="1124">
        <f t="shared" si="182"/>
        <v>0</v>
      </c>
      <c r="I234" s="1124">
        <f t="shared" si="182"/>
        <v>0</v>
      </c>
      <c r="J234" s="1124">
        <f t="shared" si="182"/>
        <v>0</v>
      </c>
      <c r="K234" s="1124">
        <f t="shared" si="182"/>
        <v>0</v>
      </c>
      <c r="L234" s="1124">
        <f t="shared" si="182"/>
        <v>0</v>
      </c>
      <c r="M234" s="1124">
        <f t="shared" si="182"/>
        <v>0</v>
      </c>
      <c r="N234" s="1124">
        <f t="shared" si="182"/>
        <v>0</v>
      </c>
      <c r="O234" s="1124">
        <f t="shared" si="182"/>
        <v>0</v>
      </c>
      <c r="P234" s="1124">
        <f t="shared" si="182"/>
        <v>0</v>
      </c>
      <c r="Q234" s="1124">
        <f t="shared" si="182"/>
        <v>40000</v>
      </c>
      <c r="R234" s="1124">
        <f t="shared" si="182"/>
        <v>0</v>
      </c>
      <c r="S234" s="1124">
        <f t="shared" si="182"/>
        <v>0</v>
      </c>
      <c r="T234" s="1124">
        <f t="shared" si="182"/>
        <v>0</v>
      </c>
      <c r="U234" s="1124">
        <f t="shared" si="182"/>
        <v>60000</v>
      </c>
      <c r="V234" s="1124">
        <f t="shared" si="182"/>
        <v>0</v>
      </c>
      <c r="W234" s="1124">
        <f t="shared" si="182"/>
        <v>0</v>
      </c>
      <c r="X234" s="1124">
        <f t="shared" si="182"/>
        <v>0</v>
      </c>
      <c r="Y234" s="1124">
        <f t="shared" si="182"/>
        <v>0</v>
      </c>
      <c r="Z234" s="1124">
        <f t="shared" si="182"/>
        <v>0</v>
      </c>
      <c r="AA234" s="1124">
        <f t="shared" si="182"/>
        <v>0</v>
      </c>
      <c r="AB234" s="1124">
        <f t="shared" si="182"/>
        <v>0</v>
      </c>
      <c r="AC234" s="1124">
        <f t="shared" si="182"/>
        <v>0</v>
      </c>
      <c r="AD234" s="1124">
        <f t="shared" si="182"/>
        <v>0</v>
      </c>
      <c r="AE234" s="1124">
        <f t="shared" si="182"/>
        <v>0</v>
      </c>
      <c r="AF234" s="1124">
        <f t="shared" si="182"/>
        <v>0</v>
      </c>
      <c r="AG234" s="1124">
        <f t="shared" si="182"/>
        <v>0</v>
      </c>
      <c r="AH234" s="1124">
        <f t="shared" si="182"/>
        <v>0</v>
      </c>
      <c r="AI234" s="1124">
        <f t="shared" si="182"/>
        <v>0</v>
      </c>
      <c r="AJ234" s="1124">
        <f t="shared" si="182"/>
        <v>0</v>
      </c>
      <c r="AK234" s="1124">
        <f t="shared" si="182"/>
        <v>0</v>
      </c>
      <c r="AL234" s="1124">
        <f t="shared" si="182"/>
        <v>0</v>
      </c>
      <c r="AM234" s="1124">
        <f t="shared" si="182"/>
        <v>0</v>
      </c>
      <c r="AN234" s="1124">
        <f t="shared" si="182"/>
        <v>0</v>
      </c>
      <c r="AO234" s="1124">
        <f t="shared" si="182"/>
        <v>0</v>
      </c>
      <c r="AP234" s="1124">
        <f t="shared" si="182"/>
        <v>0</v>
      </c>
      <c r="AQ234" s="1124">
        <f t="shared" si="182"/>
        <v>0</v>
      </c>
      <c r="AR234" s="1124">
        <f t="shared" si="182"/>
        <v>0</v>
      </c>
      <c r="AS234" s="1124">
        <f t="shared" si="182"/>
        <v>0</v>
      </c>
      <c r="AT234" s="3"/>
      <c r="AU234" s="29">
        <f>+Details!E234</f>
        <v>100000</v>
      </c>
      <c r="AV234" s="81">
        <f t="shared" ref="AV234:AV239" si="183">+E234-AU234</f>
        <v>0</v>
      </c>
      <c r="AW234" s="102"/>
      <c r="AY234" s="31">
        <f>+Details!F234-Base!F234</f>
        <v>0</v>
      </c>
      <c r="AZ234" s="1124">
        <f>+Details!G234-Base!G234</f>
        <v>0</v>
      </c>
      <c r="BA234" s="1124">
        <f>+Details!H234-Base!H234</f>
        <v>0</v>
      </c>
      <c r="BB234" s="1124">
        <f>+Details!I234-Base!I234</f>
        <v>0</v>
      </c>
      <c r="BC234" s="1124">
        <f>+Details!J234-Base!J234</f>
        <v>0</v>
      </c>
      <c r="BD234" s="1124">
        <f>+Details!K234-Base!K234</f>
        <v>0</v>
      </c>
      <c r="BE234" s="1124">
        <f>+Details!L234-Base!L234</f>
        <v>0</v>
      </c>
      <c r="BF234" s="1124">
        <f>+Details!M234-Base!M234</f>
        <v>0</v>
      </c>
      <c r="BG234" s="1124">
        <f>+Details!N234-Base!N234</f>
        <v>0</v>
      </c>
      <c r="BH234" s="1124">
        <f>+Details!O234-Base!O234</f>
        <v>0</v>
      </c>
      <c r="BI234" s="1124">
        <f>+Details!P234-Base!P234</f>
        <v>0</v>
      </c>
      <c r="BJ234" s="1124">
        <f>+Details!Q234-Base!Q234</f>
        <v>0</v>
      </c>
      <c r="BK234" s="1124">
        <f>+Details!R234-Base!R234</f>
        <v>0</v>
      </c>
      <c r="BL234" s="1124">
        <f>+Details!S234-Base!S234</f>
        <v>0</v>
      </c>
      <c r="BM234" s="1124">
        <f>+Details!T234-Base!T234</f>
        <v>0</v>
      </c>
      <c r="BN234" s="1124">
        <f>+Details!U234-Base!U234</f>
        <v>0</v>
      </c>
      <c r="BO234" s="1124">
        <f>+Details!V234-Base!V234</f>
        <v>0</v>
      </c>
      <c r="BP234" s="1124">
        <f>+Details!W234-Base!W234</f>
        <v>0</v>
      </c>
      <c r="BQ234" s="1124">
        <f>+Details!X234-Base!X234</f>
        <v>0</v>
      </c>
      <c r="BR234" s="1124">
        <f>+Details!Y234-Base!Y234</f>
        <v>0</v>
      </c>
      <c r="BS234" s="1124">
        <f>+Details!Z234-Base!Z234</f>
        <v>0</v>
      </c>
      <c r="BT234" s="1124">
        <f>+Details!AA234-Base!AA234</f>
        <v>0</v>
      </c>
      <c r="BU234" s="1124">
        <f>+Details!AB234-Base!AB234</f>
        <v>0</v>
      </c>
      <c r="BV234" s="1124">
        <f>+Details!AC234-Base!AC234</f>
        <v>0</v>
      </c>
      <c r="BW234" s="1124">
        <f>+Details!AD234-Base!AD234</f>
        <v>0</v>
      </c>
      <c r="BX234" s="1124">
        <f>+Details!AE234-Base!AE234</f>
        <v>0</v>
      </c>
      <c r="BY234" s="1124">
        <f>+Details!AF234-Base!AF234</f>
        <v>0</v>
      </c>
      <c r="BZ234" s="1124">
        <f>+Details!AG234-Base!AG234</f>
        <v>0</v>
      </c>
      <c r="CA234" s="1124">
        <f>+Details!AH234-Base!AH234</f>
        <v>0</v>
      </c>
      <c r="CB234" s="1124">
        <f>+Details!AI234-Base!AI234</f>
        <v>0</v>
      </c>
      <c r="CC234" s="1124">
        <f>+Details!AJ234-Base!AJ234</f>
        <v>0</v>
      </c>
      <c r="CD234" s="1124">
        <f>+Details!AK234-Base!AK234</f>
        <v>0</v>
      </c>
      <c r="CE234" s="1124">
        <f>+Details!AL234-Base!AL234</f>
        <v>0</v>
      </c>
      <c r="CF234" s="1124">
        <f>+Details!AM234-Base!AM234</f>
        <v>0</v>
      </c>
      <c r="CG234" s="1124">
        <f>+Details!AN234-Base!AN234</f>
        <v>0</v>
      </c>
      <c r="CH234" s="1124">
        <f>+Details!AO234-Base!AO234</f>
        <v>0</v>
      </c>
      <c r="CI234" s="1124">
        <f>+Details!AP234-Base!AP234</f>
        <v>0</v>
      </c>
      <c r="CJ234" s="1124">
        <f>+Details!AQ234-Base!AQ234</f>
        <v>0</v>
      </c>
      <c r="CK234" s="1124">
        <f>+Details!AR234-Base!AR234</f>
        <v>0</v>
      </c>
      <c r="CL234" s="1124">
        <f>+Details!AS234-Base!AS234</f>
        <v>0</v>
      </c>
      <c r="CM234" s="81"/>
    </row>
    <row r="235" spans="1:91">
      <c r="B235" s="175" t="s">
        <v>170</v>
      </c>
      <c r="E235" s="29">
        <f t="shared" si="181"/>
        <v>100000</v>
      </c>
      <c r="F235" s="31">
        <f t="shared" ref="F235:L235" si="184">+F107</f>
        <v>0</v>
      </c>
      <c r="G235" s="1124">
        <f t="shared" si="184"/>
        <v>0</v>
      </c>
      <c r="H235" s="1124">
        <f t="shared" si="184"/>
        <v>0</v>
      </c>
      <c r="I235" s="1124">
        <f t="shared" si="184"/>
        <v>0</v>
      </c>
      <c r="J235" s="1124">
        <f t="shared" si="184"/>
        <v>0</v>
      </c>
      <c r="K235" s="1124">
        <f t="shared" si="184"/>
        <v>0</v>
      </c>
      <c r="L235" s="1124">
        <f t="shared" si="184"/>
        <v>0</v>
      </c>
      <c r="M235" s="1124">
        <f>+M107</f>
        <v>0</v>
      </c>
      <c r="N235" s="1124">
        <f t="shared" ref="N235:AS235" si="185">+N107</f>
        <v>0</v>
      </c>
      <c r="O235" s="1124">
        <f t="shared" si="185"/>
        <v>0</v>
      </c>
      <c r="P235" s="1124">
        <f t="shared" si="185"/>
        <v>0</v>
      </c>
      <c r="Q235" s="1124">
        <f t="shared" si="185"/>
        <v>60000</v>
      </c>
      <c r="R235" s="1124">
        <f t="shared" si="185"/>
        <v>0</v>
      </c>
      <c r="S235" s="1124">
        <f t="shared" si="185"/>
        <v>0</v>
      </c>
      <c r="T235" s="1124">
        <f t="shared" si="185"/>
        <v>0</v>
      </c>
      <c r="U235" s="1124">
        <f t="shared" si="185"/>
        <v>40000</v>
      </c>
      <c r="V235" s="1124">
        <f t="shared" si="185"/>
        <v>0</v>
      </c>
      <c r="W235" s="1124">
        <f t="shared" si="185"/>
        <v>0</v>
      </c>
      <c r="X235" s="1124">
        <f t="shared" si="185"/>
        <v>0</v>
      </c>
      <c r="Y235" s="1124">
        <f t="shared" si="185"/>
        <v>0</v>
      </c>
      <c r="Z235" s="1124">
        <f t="shared" si="185"/>
        <v>0</v>
      </c>
      <c r="AA235" s="1124">
        <f t="shared" si="185"/>
        <v>0</v>
      </c>
      <c r="AB235" s="1124">
        <f t="shared" si="185"/>
        <v>0</v>
      </c>
      <c r="AC235" s="1124">
        <f t="shared" si="185"/>
        <v>0</v>
      </c>
      <c r="AD235" s="1124">
        <f t="shared" si="185"/>
        <v>0</v>
      </c>
      <c r="AE235" s="1124">
        <f t="shared" si="185"/>
        <v>0</v>
      </c>
      <c r="AF235" s="1124">
        <f t="shared" si="185"/>
        <v>0</v>
      </c>
      <c r="AG235" s="1124">
        <f t="shared" si="185"/>
        <v>0</v>
      </c>
      <c r="AH235" s="1124">
        <f t="shared" si="185"/>
        <v>0</v>
      </c>
      <c r="AI235" s="1124">
        <f t="shared" si="185"/>
        <v>0</v>
      </c>
      <c r="AJ235" s="1124">
        <f t="shared" si="185"/>
        <v>0</v>
      </c>
      <c r="AK235" s="1124">
        <f t="shared" si="185"/>
        <v>0</v>
      </c>
      <c r="AL235" s="1124">
        <f t="shared" si="185"/>
        <v>0</v>
      </c>
      <c r="AM235" s="1124">
        <f t="shared" si="185"/>
        <v>0</v>
      </c>
      <c r="AN235" s="1124">
        <f t="shared" si="185"/>
        <v>0</v>
      </c>
      <c r="AO235" s="1124">
        <f t="shared" si="185"/>
        <v>0</v>
      </c>
      <c r="AP235" s="1124">
        <f t="shared" si="185"/>
        <v>0</v>
      </c>
      <c r="AQ235" s="1124">
        <f t="shared" si="185"/>
        <v>0</v>
      </c>
      <c r="AR235" s="1124">
        <f t="shared" si="185"/>
        <v>0</v>
      </c>
      <c r="AS235" s="1124">
        <f t="shared" si="185"/>
        <v>0</v>
      </c>
      <c r="AT235" s="3"/>
      <c r="AU235" s="29">
        <f>+Details!E235</f>
        <v>100000</v>
      </c>
      <c r="AV235" s="81">
        <f t="shared" si="183"/>
        <v>0</v>
      </c>
      <c r="AW235" s="102"/>
      <c r="AY235" s="31">
        <f>+Details!F235-Base!F235</f>
        <v>0</v>
      </c>
      <c r="AZ235" s="1124">
        <f>+Details!G235-Base!G235</f>
        <v>0</v>
      </c>
      <c r="BA235" s="1124">
        <f>+Details!H235-Base!H235</f>
        <v>0</v>
      </c>
      <c r="BB235" s="1124">
        <f>+Details!I235-Base!I235</f>
        <v>0</v>
      </c>
      <c r="BC235" s="1124">
        <f>+Details!J235-Base!J235</f>
        <v>0</v>
      </c>
      <c r="BD235" s="1124">
        <f>+Details!K235-Base!K235</f>
        <v>0</v>
      </c>
      <c r="BE235" s="1124">
        <f>+Details!L235-Base!L235</f>
        <v>0</v>
      </c>
      <c r="BF235" s="1124">
        <f>+Details!M235-Base!M235</f>
        <v>0</v>
      </c>
      <c r="BG235" s="1124">
        <f>+Details!N235-Base!N235</f>
        <v>0</v>
      </c>
      <c r="BH235" s="1124">
        <f>+Details!O235-Base!O235</f>
        <v>0</v>
      </c>
      <c r="BI235" s="1124">
        <f>+Details!P235-Base!P235</f>
        <v>0</v>
      </c>
      <c r="BJ235" s="1124">
        <f>+Details!Q235-Base!Q235</f>
        <v>0</v>
      </c>
      <c r="BK235" s="1124">
        <f>+Details!R235-Base!R235</f>
        <v>0</v>
      </c>
      <c r="BL235" s="1124">
        <f>+Details!S235-Base!S235</f>
        <v>0</v>
      </c>
      <c r="BM235" s="1124">
        <f>+Details!T235-Base!T235</f>
        <v>0</v>
      </c>
      <c r="BN235" s="1124">
        <f>+Details!U235-Base!U235</f>
        <v>0</v>
      </c>
      <c r="BO235" s="1124">
        <f>+Details!V235-Base!V235</f>
        <v>0</v>
      </c>
      <c r="BP235" s="1124">
        <f>+Details!W235-Base!W235</f>
        <v>0</v>
      </c>
      <c r="BQ235" s="1124">
        <f>+Details!X235-Base!X235</f>
        <v>0</v>
      </c>
      <c r="BR235" s="1124">
        <f>+Details!Y235-Base!Y235</f>
        <v>0</v>
      </c>
      <c r="BS235" s="1124">
        <f>+Details!Z235-Base!Z235</f>
        <v>0</v>
      </c>
      <c r="BT235" s="1124">
        <f>+Details!AA235-Base!AA235</f>
        <v>0</v>
      </c>
      <c r="BU235" s="1124">
        <f>+Details!AB235-Base!AB235</f>
        <v>0</v>
      </c>
      <c r="BV235" s="1124">
        <f>+Details!AC235-Base!AC235</f>
        <v>0</v>
      </c>
      <c r="BW235" s="1124">
        <f>+Details!AD235-Base!AD235</f>
        <v>0</v>
      </c>
      <c r="BX235" s="1124">
        <f>+Details!AE235-Base!AE235</f>
        <v>0</v>
      </c>
      <c r="BY235" s="1124">
        <f>+Details!AF235-Base!AF235</f>
        <v>0</v>
      </c>
      <c r="BZ235" s="1124">
        <f>+Details!AG235-Base!AG235</f>
        <v>0</v>
      </c>
      <c r="CA235" s="1124">
        <f>+Details!AH235-Base!AH235</f>
        <v>0</v>
      </c>
      <c r="CB235" s="1124">
        <f>+Details!AI235-Base!AI235</f>
        <v>0</v>
      </c>
      <c r="CC235" s="1124">
        <f>+Details!AJ235-Base!AJ235</f>
        <v>0</v>
      </c>
      <c r="CD235" s="1124">
        <f>+Details!AK235-Base!AK235</f>
        <v>0</v>
      </c>
      <c r="CE235" s="1124">
        <f>+Details!AL235-Base!AL235</f>
        <v>0</v>
      </c>
      <c r="CF235" s="1124">
        <f>+Details!AM235-Base!AM235</f>
        <v>0</v>
      </c>
      <c r="CG235" s="1124">
        <f>+Details!AN235-Base!AN235</f>
        <v>0</v>
      </c>
      <c r="CH235" s="1124">
        <f>+Details!AO235-Base!AO235</f>
        <v>0</v>
      </c>
      <c r="CI235" s="1124">
        <f>+Details!AP235-Base!AP235</f>
        <v>0</v>
      </c>
      <c r="CJ235" s="1124">
        <f>+Details!AQ235-Base!AQ235</f>
        <v>0</v>
      </c>
      <c r="CK235" s="1124">
        <f>+Details!AR235-Base!AR235</f>
        <v>0</v>
      </c>
      <c r="CL235" s="1124">
        <f>+Details!AS235-Base!AS235</f>
        <v>0</v>
      </c>
      <c r="CM235" s="81"/>
    </row>
    <row r="236" spans="1:91" ht="15" customHeight="1">
      <c r="B236" s="175" t="s">
        <v>1322</v>
      </c>
      <c r="E236" s="29">
        <f t="shared" si="181"/>
        <v>500000</v>
      </c>
      <c r="F236" s="31">
        <f t="shared" ref="F236:AS236" si="186">+F80+F81</f>
        <v>0</v>
      </c>
      <c r="G236" s="1124">
        <f t="shared" si="186"/>
        <v>0</v>
      </c>
      <c r="H236" s="1124">
        <f t="shared" si="186"/>
        <v>0</v>
      </c>
      <c r="I236" s="1124">
        <f t="shared" si="186"/>
        <v>0</v>
      </c>
      <c r="J236" s="1124">
        <f t="shared" si="186"/>
        <v>0</v>
      </c>
      <c r="K236" s="1124">
        <f t="shared" si="186"/>
        <v>0</v>
      </c>
      <c r="L236" s="1124">
        <f t="shared" si="186"/>
        <v>0</v>
      </c>
      <c r="M236" s="1124">
        <f t="shared" si="186"/>
        <v>0</v>
      </c>
      <c r="N236" s="1124">
        <f t="shared" si="186"/>
        <v>0</v>
      </c>
      <c r="O236" s="1124">
        <f t="shared" si="186"/>
        <v>0</v>
      </c>
      <c r="P236" s="1124">
        <f t="shared" si="186"/>
        <v>0</v>
      </c>
      <c r="Q236" s="1124">
        <f t="shared" si="186"/>
        <v>0</v>
      </c>
      <c r="R236" s="1124">
        <f t="shared" si="186"/>
        <v>0</v>
      </c>
      <c r="S236" s="1124">
        <f t="shared" si="186"/>
        <v>0</v>
      </c>
      <c r="T236" s="1124">
        <f t="shared" si="186"/>
        <v>0</v>
      </c>
      <c r="U236" s="1124">
        <f t="shared" si="186"/>
        <v>0</v>
      </c>
      <c r="V236" s="1124">
        <f t="shared" si="186"/>
        <v>0</v>
      </c>
      <c r="W236" s="1124">
        <f t="shared" si="186"/>
        <v>0</v>
      </c>
      <c r="X236" s="1124">
        <f t="shared" si="186"/>
        <v>0</v>
      </c>
      <c r="Y236" s="1124">
        <f t="shared" si="186"/>
        <v>0</v>
      </c>
      <c r="Z236" s="1124">
        <f t="shared" si="186"/>
        <v>0</v>
      </c>
      <c r="AA236" s="1124">
        <f t="shared" si="186"/>
        <v>0</v>
      </c>
      <c r="AB236" s="1124">
        <f t="shared" si="186"/>
        <v>400000</v>
      </c>
      <c r="AC236" s="1124">
        <f t="shared" si="186"/>
        <v>0</v>
      </c>
      <c r="AD236" s="1124">
        <f t="shared" si="186"/>
        <v>100000</v>
      </c>
      <c r="AE236" s="1124">
        <f t="shared" si="186"/>
        <v>0</v>
      </c>
      <c r="AF236" s="1124">
        <f t="shared" si="186"/>
        <v>0</v>
      </c>
      <c r="AG236" s="1124">
        <f t="shared" si="186"/>
        <v>0</v>
      </c>
      <c r="AH236" s="1124">
        <f t="shared" si="186"/>
        <v>0</v>
      </c>
      <c r="AI236" s="1124">
        <f t="shared" si="186"/>
        <v>0</v>
      </c>
      <c r="AJ236" s="1124">
        <f t="shared" si="186"/>
        <v>0</v>
      </c>
      <c r="AK236" s="1124">
        <f t="shared" si="186"/>
        <v>0</v>
      </c>
      <c r="AL236" s="1124">
        <f t="shared" si="186"/>
        <v>0</v>
      </c>
      <c r="AM236" s="1124">
        <f t="shared" si="186"/>
        <v>0</v>
      </c>
      <c r="AN236" s="1124">
        <f t="shared" si="186"/>
        <v>0</v>
      </c>
      <c r="AO236" s="1124">
        <f t="shared" si="186"/>
        <v>0</v>
      </c>
      <c r="AP236" s="1124">
        <f t="shared" si="186"/>
        <v>0</v>
      </c>
      <c r="AQ236" s="1124">
        <f t="shared" si="186"/>
        <v>0</v>
      </c>
      <c r="AR236" s="1124">
        <f t="shared" si="186"/>
        <v>0</v>
      </c>
      <c r="AS236" s="1124">
        <f t="shared" si="186"/>
        <v>0</v>
      </c>
      <c r="AT236" s="3"/>
      <c r="AU236" s="29">
        <f>+Details!E236</f>
        <v>500000</v>
      </c>
      <c r="AV236" s="81">
        <f t="shared" si="183"/>
        <v>0</v>
      </c>
      <c r="AW236" s="102"/>
      <c r="AY236" s="31">
        <f>+Details!F236-Base!F236</f>
        <v>0</v>
      </c>
      <c r="AZ236" s="1124">
        <f>+Details!G236-Base!G236</f>
        <v>0</v>
      </c>
      <c r="BA236" s="1124">
        <f>+Details!H236-Base!H236</f>
        <v>0</v>
      </c>
      <c r="BB236" s="1124">
        <f>+Details!I236-Base!I236</f>
        <v>0</v>
      </c>
      <c r="BC236" s="1124">
        <f>+Details!J236-Base!J236</f>
        <v>0</v>
      </c>
      <c r="BD236" s="1124">
        <f>+Details!K236-Base!K236</f>
        <v>0</v>
      </c>
      <c r="BE236" s="1124">
        <f>+Details!L236-Base!L236</f>
        <v>0</v>
      </c>
      <c r="BF236" s="1124">
        <f>+Details!M236-Base!M236</f>
        <v>0</v>
      </c>
      <c r="BG236" s="1124">
        <f>+Details!N236-Base!N236</f>
        <v>0</v>
      </c>
      <c r="BH236" s="1124">
        <f>+Details!O236-Base!O236</f>
        <v>0</v>
      </c>
      <c r="BI236" s="1124">
        <f>+Details!P236-Base!P236</f>
        <v>0</v>
      </c>
      <c r="BJ236" s="1124">
        <f>+Details!Q236-Base!Q236</f>
        <v>0</v>
      </c>
      <c r="BK236" s="1124">
        <f>+Details!R236-Base!R236</f>
        <v>0</v>
      </c>
      <c r="BL236" s="1124">
        <f>+Details!S236-Base!S236</f>
        <v>0</v>
      </c>
      <c r="BM236" s="1124">
        <f>+Details!T236-Base!T236</f>
        <v>0</v>
      </c>
      <c r="BN236" s="1124">
        <f>+Details!U236-Base!U236</f>
        <v>0</v>
      </c>
      <c r="BO236" s="1124">
        <f>+Details!V236-Base!V236</f>
        <v>0</v>
      </c>
      <c r="BP236" s="1124">
        <f>+Details!W236-Base!W236</f>
        <v>0</v>
      </c>
      <c r="BQ236" s="1124">
        <f>+Details!X236-Base!X236</f>
        <v>0</v>
      </c>
      <c r="BR236" s="1124">
        <f>+Details!Y236-Base!Y236</f>
        <v>0</v>
      </c>
      <c r="BS236" s="1124">
        <f>+Details!Z236-Base!Z236</f>
        <v>0</v>
      </c>
      <c r="BT236" s="1124">
        <f>+Details!AA236-Base!AA236</f>
        <v>0</v>
      </c>
      <c r="BU236" s="1124">
        <f>+Details!AB236-Base!AB236</f>
        <v>0</v>
      </c>
      <c r="BV236" s="1124">
        <f>+Details!AC236-Base!AC236</f>
        <v>0</v>
      </c>
      <c r="BW236" s="1124">
        <f>+Details!AD236-Base!AD236</f>
        <v>0</v>
      </c>
      <c r="BX236" s="1124">
        <f>+Details!AE236-Base!AE236</f>
        <v>0</v>
      </c>
      <c r="BY236" s="1124">
        <f>+Details!AF236-Base!AF236</f>
        <v>0</v>
      </c>
      <c r="BZ236" s="1124">
        <f>+Details!AG236-Base!AG236</f>
        <v>0</v>
      </c>
      <c r="CA236" s="1124">
        <f>+Details!AH236-Base!AH236</f>
        <v>0</v>
      </c>
      <c r="CB236" s="1124">
        <f>+Details!AI236-Base!AI236</f>
        <v>0</v>
      </c>
      <c r="CC236" s="1124">
        <f>+Details!AJ236-Base!AJ236</f>
        <v>0</v>
      </c>
      <c r="CD236" s="1124">
        <f>+Details!AK236-Base!AK236</f>
        <v>0</v>
      </c>
      <c r="CE236" s="1124">
        <f>+Details!AL236-Base!AL236</f>
        <v>0</v>
      </c>
      <c r="CF236" s="1124">
        <f>+Details!AM236-Base!AM236</f>
        <v>0</v>
      </c>
      <c r="CG236" s="1124">
        <f>+Details!AN236-Base!AN236</f>
        <v>0</v>
      </c>
      <c r="CH236" s="1124">
        <f>+Details!AO236-Base!AO236</f>
        <v>0</v>
      </c>
      <c r="CI236" s="1124">
        <f>+Details!AP236-Base!AP236</f>
        <v>0</v>
      </c>
      <c r="CJ236" s="1124">
        <f>+Details!AQ236-Base!AQ236</f>
        <v>0</v>
      </c>
      <c r="CK236" s="1124">
        <f>+Details!AR236-Base!AR236</f>
        <v>0</v>
      </c>
      <c r="CL236" s="1124">
        <f>+Details!AS236-Base!AS236</f>
        <v>0</v>
      </c>
      <c r="CM236" s="81"/>
    </row>
    <row r="237" spans="1:91" ht="15" customHeight="1">
      <c r="B237" s="175" t="s">
        <v>511</v>
      </c>
      <c r="E237" s="29">
        <f t="shared" si="181"/>
        <v>-100000</v>
      </c>
      <c r="F237" s="31">
        <f t="shared" ref="F237:AS237" si="187">+F82+F83</f>
        <v>0</v>
      </c>
      <c r="G237" s="1124">
        <f t="shared" si="187"/>
        <v>0</v>
      </c>
      <c r="H237" s="1124">
        <f t="shared" si="187"/>
        <v>0</v>
      </c>
      <c r="I237" s="1124">
        <f t="shared" si="187"/>
        <v>0</v>
      </c>
      <c r="J237" s="1124">
        <f t="shared" si="187"/>
        <v>0</v>
      </c>
      <c r="K237" s="1124">
        <f t="shared" si="187"/>
        <v>0</v>
      </c>
      <c r="L237" s="1124">
        <f t="shared" si="187"/>
        <v>0</v>
      </c>
      <c r="M237" s="1124">
        <f t="shared" si="187"/>
        <v>0</v>
      </c>
      <c r="N237" s="1124">
        <f t="shared" si="187"/>
        <v>0</v>
      </c>
      <c r="O237" s="1124">
        <f t="shared" si="187"/>
        <v>0</v>
      </c>
      <c r="P237" s="1124">
        <f t="shared" si="187"/>
        <v>-80000</v>
      </c>
      <c r="Q237" s="1124">
        <f t="shared" si="187"/>
        <v>0</v>
      </c>
      <c r="R237" s="1124">
        <f t="shared" si="187"/>
        <v>-20000</v>
      </c>
      <c r="S237" s="1124">
        <f t="shared" si="187"/>
        <v>0</v>
      </c>
      <c r="T237" s="1124">
        <f t="shared" si="187"/>
        <v>0</v>
      </c>
      <c r="U237" s="1124">
        <f t="shared" si="187"/>
        <v>0</v>
      </c>
      <c r="V237" s="1124">
        <f t="shared" si="187"/>
        <v>0</v>
      </c>
      <c r="W237" s="1124">
        <f t="shared" si="187"/>
        <v>0</v>
      </c>
      <c r="X237" s="1124">
        <f t="shared" si="187"/>
        <v>0</v>
      </c>
      <c r="Y237" s="1124">
        <f t="shared" si="187"/>
        <v>0</v>
      </c>
      <c r="Z237" s="1124">
        <f t="shared" si="187"/>
        <v>0</v>
      </c>
      <c r="AA237" s="1124">
        <f t="shared" si="187"/>
        <v>0</v>
      </c>
      <c r="AB237" s="1124">
        <f t="shared" si="187"/>
        <v>0</v>
      </c>
      <c r="AC237" s="1124">
        <f t="shared" si="187"/>
        <v>0</v>
      </c>
      <c r="AD237" s="1124">
        <f t="shared" si="187"/>
        <v>0</v>
      </c>
      <c r="AE237" s="1124">
        <f t="shared" si="187"/>
        <v>0</v>
      </c>
      <c r="AF237" s="1124">
        <f t="shared" si="187"/>
        <v>0</v>
      </c>
      <c r="AG237" s="1124">
        <f t="shared" si="187"/>
        <v>0</v>
      </c>
      <c r="AH237" s="1124">
        <f t="shared" si="187"/>
        <v>0</v>
      </c>
      <c r="AI237" s="1124">
        <f t="shared" si="187"/>
        <v>0</v>
      </c>
      <c r="AJ237" s="1124">
        <f t="shared" si="187"/>
        <v>0</v>
      </c>
      <c r="AK237" s="1124">
        <f t="shared" si="187"/>
        <v>0</v>
      </c>
      <c r="AL237" s="1124">
        <f t="shared" si="187"/>
        <v>0</v>
      </c>
      <c r="AM237" s="1124">
        <f t="shared" si="187"/>
        <v>0</v>
      </c>
      <c r="AN237" s="1124">
        <f t="shared" si="187"/>
        <v>0</v>
      </c>
      <c r="AO237" s="1124">
        <f t="shared" si="187"/>
        <v>0</v>
      </c>
      <c r="AP237" s="1124">
        <f t="shared" si="187"/>
        <v>0</v>
      </c>
      <c r="AQ237" s="1124">
        <f t="shared" si="187"/>
        <v>0</v>
      </c>
      <c r="AR237" s="1124">
        <f t="shared" si="187"/>
        <v>0</v>
      </c>
      <c r="AS237" s="1124">
        <f t="shared" si="187"/>
        <v>0</v>
      </c>
      <c r="AT237" s="3"/>
      <c r="AU237" s="29">
        <f>+Details!E237</f>
        <v>-100000</v>
      </c>
      <c r="AV237" s="81">
        <f t="shared" si="183"/>
        <v>0</v>
      </c>
      <c r="AW237" s="102"/>
      <c r="AY237" s="31">
        <f>+Details!F237-Base!F237</f>
        <v>0</v>
      </c>
      <c r="AZ237" s="1124">
        <f>+Details!G237-Base!G237</f>
        <v>0</v>
      </c>
      <c r="BA237" s="1124">
        <f>+Details!H237-Base!H237</f>
        <v>0</v>
      </c>
      <c r="BB237" s="1124">
        <f>+Details!I237-Base!I237</f>
        <v>0</v>
      </c>
      <c r="BC237" s="1124">
        <f>+Details!J237-Base!J237</f>
        <v>0</v>
      </c>
      <c r="BD237" s="1124">
        <f>+Details!K237-Base!K237</f>
        <v>0</v>
      </c>
      <c r="BE237" s="1124">
        <f>+Details!L237-Base!L237</f>
        <v>0</v>
      </c>
      <c r="BF237" s="1124">
        <f>+Details!M237-Base!M237</f>
        <v>0</v>
      </c>
      <c r="BG237" s="1124">
        <f>+Details!N237-Base!N237</f>
        <v>0</v>
      </c>
      <c r="BH237" s="1124">
        <f>+Details!O237-Base!O237</f>
        <v>0</v>
      </c>
      <c r="BI237" s="1124">
        <f>+Details!P237-Base!P237</f>
        <v>0</v>
      </c>
      <c r="BJ237" s="1124">
        <f>+Details!Q237-Base!Q237</f>
        <v>0</v>
      </c>
      <c r="BK237" s="1124">
        <f>+Details!R237-Base!R237</f>
        <v>0</v>
      </c>
      <c r="BL237" s="1124">
        <f>+Details!S237-Base!S237</f>
        <v>0</v>
      </c>
      <c r="BM237" s="1124">
        <f>+Details!T237-Base!T237</f>
        <v>0</v>
      </c>
      <c r="BN237" s="1124">
        <f>+Details!U237-Base!U237</f>
        <v>0</v>
      </c>
      <c r="BO237" s="1124">
        <f>+Details!V237-Base!V237</f>
        <v>0</v>
      </c>
      <c r="BP237" s="1124">
        <f>+Details!W237-Base!W237</f>
        <v>0</v>
      </c>
      <c r="BQ237" s="1124">
        <f>+Details!X237-Base!X237</f>
        <v>0</v>
      </c>
      <c r="BR237" s="1124">
        <f>+Details!Y237-Base!Y237</f>
        <v>0</v>
      </c>
      <c r="BS237" s="1124">
        <f>+Details!Z237-Base!Z237</f>
        <v>0</v>
      </c>
      <c r="BT237" s="1124">
        <f>+Details!AA237-Base!AA237</f>
        <v>0</v>
      </c>
      <c r="BU237" s="1124">
        <f>+Details!AB237-Base!AB237</f>
        <v>0</v>
      </c>
      <c r="BV237" s="1124">
        <f>+Details!AC237-Base!AC237</f>
        <v>0</v>
      </c>
      <c r="BW237" s="1124">
        <f>+Details!AD237-Base!AD237</f>
        <v>0</v>
      </c>
      <c r="BX237" s="1124">
        <f>+Details!AE237-Base!AE237</f>
        <v>0</v>
      </c>
      <c r="BY237" s="1124">
        <f>+Details!AF237-Base!AF237</f>
        <v>0</v>
      </c>
      <c r="BZ237" s="1124">
        <f>+Details!AG237-Base!AG237</f>
        <v>0</v>
      </c>
      <c r="CA237" s="1124">
        <f>+Details!AH237-Base!AH237</f>
        <v>0</v>
      </c>
      <c r="CB237" s="1124">
        <f>+Details!AI237-Base!AI237</f>
        <v>0</v>
      </c>
      <c r="CC237" s="1124">
        <f>+Details!AJ237-Base!AJ237</f>
        <v>0</v>
      </c>
      <c r="CD237" s="1124">
        <f>+Details!AK237-Base!AK237</f>
        <v>0</v>
      </c>
      <c r="CE237" s="1124">
        <f>+Details!AL237-Base!AL237</f>
        <v>0</v>
      </c>
      <c r="CF237" s="1124">
        <f>+Details!AM237-Base!AM237</f>
        <v>0</v>
      </c>
      <c r="CG237" s="1124">
        <f>+Details!AN237-Base!AN237</f>
        <v>0</v>
      </c>
      <c r="CH237" s="1124">
        <f>+Details!AO237-Base!AO237</f>
        <v>0</v>
      </c>
      <c r="CI237" s="1124">
        <f>+Details!AP237-Base!AP237</f>
        <v>0</v>
      </c>
      <c r="CJ237" s="1124">
        <f>+Details!AQ237-Base!AQ237</f>
        <v>0</v>
      </c>
      <c r="CK237" s="1124">
        <f>+Details!AR237-Base!AR237</f>
        <v>0</v>
      </c>
      <c r="CL237" s="1124">
        <f>+Details!AS237-Base!AS237</f>
        <v>0</v>
      </c>
      <c r="CM237" s="81"/>
    </row>
    <row r="238" spans="1:91" ht="15" customHeight="1">
      <c r="A238" s="1426"/>
      <c r="B238" s="1048" t="s">
        <v>1128</v>
      </c>
      <c r="E238" s="102">
        <f t="shared" si="181"/>
        <v>-100000</v>
      </c>
      <c r="F238" s="88">
        <f t="shared" ref="F238:AS238" si="188">+F84</f>
        <v>0</v>
      </c>
      <c r="G238" s="1124">
        <f t="shared" si="188"/>
        <v>0</v>
      </c>
      <c r="H238" s="1124">
        <f t="shared" si="188"/>
        <v>0</v>
      </c>
      <c r="I238" s="1124">
        <f t="shared" si="188"/>
        <v>0</v>
      </c>
      <c r="J238" s="1124">
        <f t="shared" si="188"/>
        <v>0</v>
      </c>
      <c r="K238" s="1124">
        <f t="shared" si="188"/>
        <v>0</v>
      </c>
      <c r="L238" s="1124">
        <f t="shared" si="188"/>
        <v>0</v>
      </c>
      <c r="M238" s="1124">
        <f t="shared" si="188"/>
        <v>0</v>
      </c>
      <c r="N238" s="1124">
        <f t="shared" si="188"/>
        <v>0</v>
      </c>
      <c r="O238" s="1124">
        <f t="shared" si="188"/>
        <v>0</v>
      </c>
      <c r="P238" s="1124">
        <f t="shared" si="188"/>
        <v>0</v>
      </c>
      <c r="Q238" s="1124">
        <f t="shared" si="188"/>
        <v>0</v>
      </c>
      <c r="R238" s="1124">
        <f t="shared" si="188"/>
        <v>0</v>
      </c>
      <c r="S238" s="1124">
        <f t="shared" si="188"/>
        <v>0</v>
      </c>
      <c r="T238" s="1124">
        <f t="shared" si="188"/>
        <v>-100000</v>
      </c>
      <c r="U238" s="1124">
        <f t="shared" si="188"/>
        <v>0</v>
      </c>
      <c r="V238" s="1124">
        <f t="shared" si="188"/>
        <v>0</v>
      </c>
      <c r="W238" s="1124">
        <f t="shared" si="188"/>
        <v>0</v>
      </c>
      <c r="X238" s="1124">
        <f t="shared" si="188"/>
        <v>0</v>
      </c>
      <c r="Y238" s="1124">
        <f t="shared" si="188"/>
        <v>0</v>
      </c>
      <c r="Z238" s="1124">
        <f t="shared" si="188"/>
        <v>0</v>
      </c>
      <c r="AA238" s="1124">
        <f t="shared" si="188"/>
        <v>0</v>
      </c>
      <c r="AB238" s="1124">
        <f t="shared" si="188"/>
        <v>0</v>
      </c>
      <c r="AC238" s="1124">
        <f t="shared" si="188"/>
        <v>0</v>
      </c>
      <c r="AD238" s="1124">
        <f t="shared" si="188"/>
        <v>0</v>
      </c>
      <c r="AE238" s="1124">
        <f t="shared" si="188"/>
        <v>0</v>
      </c>
      <c r="AF238" s="1124">
        <f t="shared" si="188"/>
        <v>0</v>
      </c>
      <c r="AG238" s="1124">
        <f t="shared" si="188"/>
        <v>0</v>
      </c>
      <c r="AH238" s="1124">
        <f t="shared" si="188"/>
        <v>0</v>
      </c>
      <c r="AI238" s="1124">
        <f t="shared" si="188"/>
        <v>0</v>
      </c>
      <c r="AJ238" s="1124">
        <f t="shared" si="188"/>
        <v>0</v>
      </c>
      <c r="AK238" s="1124">
        <f t="shared" si="188"/>
        <v>0</v>
      </c>
      <c r="AL238" s="1124">
        <f t="shared" si="188"/>
        <v>0</v>
      </c>
      <c r="AM238" s="1124">
        <f t="shared" si="188"/>
        <v>0</v>
      </c>
      <c r="AN238" s="1124">
        <f t="shared" si="188"/>
        <v>0</v>
      </c>
      <c r="AO238" s="1124">
        <f t="shared" si="188"/>
        <v>0</v>
      </c>
      <c r="AP238" s="1124">
        <f t="shared" si="188"/>
        <v>0</v>
      </c>
      <c r="AQ238" s="1124">
        <f t="shared" si="188"/>
        <v>0</v>
      </c>
      <c r="AR238" s="1124">
        <f t="shared" si="188"/>
        <v>0</v>
      </c>
      <c r="AS238" s="1124">
        <f t="shared" si="188"/>
        <v>0</v>
      </c>
      <c r="AT238" s="89"/>
      <c r="AU238" s="102">
        <f>+Details!E238</f>
        <v>-100000</v>
      </c>
      <c r="AV238" s="103">
        <f t="shared" si="183"/>
        <v>0</v>
      </c>
      <c r="AW238" s="102"/>
      <c r="AY238" s="88">
        <f>+Details!F238-Base!F238</f>
        <v>0</v>
      </c>
      <c r="AZ238" s="1124">
        <f>+Details!G238-Base!G238</f>
        <v>0</v>
      </c>
      <c r="BA238" s="1124">
        <f>+Details!H238-Base!H238</f>
        <v>0</v>
      </c>
      <c r="BB238" s="1124">
        <f>+Details!I238-Base!I238</f>
        <v>0</v>
      </c>
      <c r="BC238" s="1124">
        <f>+Details!J238-Base!J238</f>
        <v>0</v>
      </c>
      <c r="BD238" s="1124">
        <f>+Details!K238-Base!K238</f>
        <v>0</v>
      </c>
      <c r="BE238" s="1124">
        <f>+Details!L238-Base!L238</f>
        <v>0</v>
      </c>
      <c r="BF238" s="1124">
        <f>+Details!M238-Base!M238</f>
        <v>0</v>
      </c>
      <c r="BG238" s="1124">
        <f>+Details!N238-Base!N238</f>
        <v>0</v>
      </c>
      <c r="BH238" s="1124">
        <f>+Details!O238-Base!O238</f>
        <v>0</v>
      </c>
      <c r="BI238" s="1124">
        <f>+Details!P238-Base!P238</f>
        <v>0</v>
      </c>
      <c r="BJ238" s="1124">
        <f>+Details!Q238-Base!Q238</f>
        <v>0</v>
      </c>
      <c r="BK238" s="1124">
        <f>+Details!R238-Base!R238</f>
        <v>0</v>
      </c>
      <c r="BL238" s="1124">
        <f>+Details!S238-Base!S238</f>
        <v>0</v>
      </c>
      <c r="BM238" s="1124">
        <f>+Details!T238-Base!T238</f>
        <v>0</v>
      </c>
      <c r="BN238" s="1124">
        <f>+Details!U238-Base!U238</f>
        <v>0</v>
      </c>
      <c r="BO238" s="1124">
        <f>+Details!V238-Base!V238</f>
        <v>0</v>
      </c>
      <c r="BP238" s="1124">
        <f>+Details!W238-Base!W238</f>
        <v>0</v>
      </c>
      <c r="BQ238" s="1124">
        <f>+Details!X238-Base!X238</f>
        <v>0</v>
      </c>
      <c r="BR238" s="1124">
        <f>+Details!Y238-Base!Y238</f>
        <v>0</v>
      </c>
      <c r="BS238" s="1124">
        <f>+Details!Z238-Base!Z238</f>
        <v>0</v>
      </c>
      <c r="BT238" s="1124">
        <f>+Details!AA238-Base!AA238</f>
        <v>0</v>
      </c>
      <c r="BU238" s="1124">
        <f>+Details!AB238-Base!AB238</f>
        <v>0</v>
      </c>
      <c r="BV238" s="1124">
        <f>+Details!AC238-Base!AC238</f>
        <v>0</v>
      </c>
      <c r="BW238" s="1124">
        <f>+Details!AD238-Base!AD238</f>
        <v>0</v>
      </c>
      <c r="BX238" s="1124">
        <f>+Details!AE238-Base!AE238</f>
        <v>0</v>
      </c>
      <c r="BY238" s="1124">
        <f>+Details!AF238-Base!AF238</f>
        <v>0</v>
      </c>
      <c r="BZ238" s="1124">
        <f>+Details!AG238-Base!AG238</f>
        <v>0</v>
      </c>
      <c r="CA238" s="1124">
        <f>+Details!AH238-Base!AH238</f>
        <v>0</v>
      </c>
      <c r="CB238" s="1124">
        <f>+Details!AI238-Base!AI238</f>
        <v>0</v>
      </c>
      <c r="CC238" s="1124">
        <f>+Details!AJ238-Base!AJ238</f>
        <v>0</v>
      </c>
      <c r="CD238" s="1124">
        <f>+Details!AK238-Base!AK238</f>
        <v>0</v>
      </c>
      <c r="CE238" s="1124">
        <f>+Details!AL238-Base!AL238</f>
        <v>0</v>
      </c>
      <c r="CF238" s="1124">
        <f>+Details!AM238-Base!AM238</f>
        <v>0</v>
      </c>
      <c r="CG238" s="1124">
        <f>+Details!AN238-Base!AN238</f>
        <v>0</v>
      </c>
      <c r="CH238" s="1124">
        <f>+Details!AO238-Base!AO238</f>
        <v>0</v>
      </c>
      <c r="CI238" s="1124">
        <f>+Details!AP238-Base!AP238</f>
        <v>0</v>
      </c>
      <c r="CJ238" s="1124">
        <f>+Details!AQ238-Base!AQ238</f>
        <v>0</v>
      </c>
      <c r="CK238" s="1124">
        <f>+Details!AR238-Base!AR238</f>
        <v>0</v>
      </c>
      <c r="CL238" s="1124">
        <f>+Details!AS238-Base!AS238</f>
        <v>0</v>
      </c>
      <c r="CM238" s="103"/>
    </row>
    <row r="239" spans="1:91" ht="15" customHeight="1">
      <c r="B239" s="175" t="s">
        <v>1205</v>
      </c>
      <c r="C239" s="190"/>
      <c r="E239" s="34">
        <f t="shared" si="181"/>
        <v>-100000</v>
      </c>
      <c r="F239" s="38">
        <f>F137</f>
        <v>0</v>
      </c>
      <c r="G239" s="1125">
        <f>G137</f>
        <v>0</v>
      </c>
      <c r="H239" s="1125">
        <f t="shared" ref="H239:AS239" si="189">H137</f>
        <v>0</v>
      </c>
      <c r="I239" s="1125">
        <f t="shared" si="189"/>
        <v>0</v>
      </c>
      <c r="J239" s="1125">
        <f t="shared" si="189"/>
        <v>0</v>
      </c>
      <c r="K239" s="1125">
        <f t="shared" si="189"/>
        <v>0</v>
      </c>
      <c r="L239" s="1125">
        <f t="shared" si="189"/>
        <v>0</v>
      </c>
      <c r="M239" s="1125">
        <f t="shared" si="189"/>
        <v>0</v>
      </c>
      <c r="N239" s="1125">
        <f t="shared" si="189"/>
        <v>0</v>
      </c>
      <c r="O239" s="1125">
        <f t="shared" si="189"/>
        <v>-15000</v>
      </c>
      <c r="P239" s="1125">
        <f t="shared" si="189"/>
        <v>-15000</v>
      </c>
      <c r="Q239" s="1125">
        <f t="shared" si="189"/>
        <v>-15000</v>
      </c>
      <c r="R239" s="1125">
        <f t="shared" si="189"/>
        <v>-15000</v>
      </c>
      <c r="S239" s="1125">
        <f t="shared" si="189"/>
        <v>-15000</v>
      </c>
      <c r="T239" s="1125">
        <f t="shared" si="189"/>
        <v>0</v>
      </c>
      <c r="U239" s="1125">
        <f t="shared" si="189"/>
        <v>0</v>
      </c>
      <c r="V239" s="1125">
        <f t="shared" si="189"/>
        <v>0</v>
      </c>
      <c r="W239" s="1125">
        <f t="shared" si="189"/>
        <v>0</v>
      </c>
      <c r="X239" s="1125">
        <f t="shared" si="189"/>
        <v>-5000</v>
      </c>
      <c r="Y239" s="1125">
        <f t="shared" si="189"/>
        <v>-5000</v>
      </c>
      <c r="Z239" s="1125">
        <f t="shared" si="189"/>
        <v>-5000</v>
      </c>
      <c r="AA239" s="1125">
        <f t="shared" si="189"/>
        <v>-5000</v>
      </c>
      <c r="AB239" s="1125">
        <f t="shared" si="189"/>
        <v>-5000</v>
      </c>
      <c r="AC239" s="1125">
        <f t="shared" si="189"/>
        <v>0</v>
      </c>
      <c r="AD239" s="1125">
        <f t="shared" si="189"/>
        <v>0</v>
      </c>
      <c r="AE239" s="1125">
        <f t="shared" si="189"/>
        <v>0</v>
      </c>
      <c r="AF239" s="1125">
        <f t="shared" si="189"/>
        <v>0</v>
      </c>
      <c r="AG239" s="1125">
        <f t="shared" si="189"/>
        <v>0</v>
      </c>
      <c r="AH239" s="1125">
        <f t="shared" si="189"/>
        <v>0</v>
      </c>
      <c r="AI239" s="1125">
        <f t="shared" si="189"/>
        <v>0</v>
      </c>
      <c r="AJ239" s="1125">
        <f t="shared" si="189"/>
        <v>0</v>
      </c>
      <c r="AK239" s="1125">
        <f t="shared" si="189"/>
        <v>0</v>
      </c>
      <c r="AL239" s="1125">
        <f t="shared" si="189"/>
        <v>0</v>
      </c>
      <c r="AM239" s="1125">
        <f t="shared" si="189"/>
        <v>0</v>
      </c>
      <c r="AN239" s="1125">
        <f t="shared" si="189"/>
        <v>0</v>
      </c>
      <c r="AO239" s="1125">
        <f t="shared" si="189"/>
        <v>0</v>
      </c>
      <c r="AP239" s="1125">
        <f t="shared" si="189"/>
        <v>0</v>
      </c>
      <c r="AQ239" s="1125">
        <f t="shared" si="189"/>
        <v>0</v>
      </c>
      <c r="AR239" s="1125">
        <f t="shared" si="189"/>
        <v>0</v>
      </c>
      <c r="AS239" s="1125">
        <f t="shared" si="189"/>
        <v>0</v>
      </c>
      <c r="AT239" s="3"/>
      <c r="AU239" s="34">
        <f>+Details!E239</f>
        <v>-100000</v>
      </c>
      <c r="AV239" s="83">
        <f t="shared" si="183"/>
        <v>0</v>
      </c>
      <c r="AW239" s="102"/>
      <c r="AY239" s="38">
        <f>+Details!F239-Base!F239</f>
        <v>0</v>
      </c>
      <c r="AZ239" s="1125">
        <f>+Details!G239-Base!G239</f>
        <v>0</v>
      </c>
      <c r="BA239" s="1125">
        <f>+Details!H239-Base!H239</f>
        <v>0</v>
      </c>
      <c r="BB239" s="1125">
        <f>+Details!I239-Base!I239</f>
        <v>0</v>
      </c>
      <c r="BC239" s="1125">
        <f>+Details!J239-Base!J239</f>
        <v>0</v>
      </c>
      <c r="BD239" s="1125">
        <f>+Details!K239-Base!K239</f>
        <v>0</v>
      </c>
      <c r="BE239" s="1125">
        <f>+Details!L239-Base!L239</f>
        <v>0</v>
      </c>
      <c r="BF239" s="1125">
        <f>+Details!M239-Base!M239</f>
        <v>0</v>
      </c>
      <c r="BG239" s="1125">
        <f>+Details!N239-Base!N239</f>
        <v>0</v>
      </c>
      <c r="BH239" s="1125">
        <f>+Details!O239-Base!O239</f>
        <v>0</v>
      </c>
      <c r="BI239" s="1125">
        <f>+Details!P239-Base!P239</f>
        <v>0</v>
      </c>
      <c r="BJ239" s="1125">
        <f>+Details!Q239-Base!Q239</f>
        <v>0</v>
      </c>
      <c r="BK239" s="1125">
        <f>+Details!R239-Base!R239</f>
        <v>0</v>
      </c>
      <c r="BL239" s="1125">
        <f>+Details!S239-Base!S239</f>
        <v>0</v>
      </c>
      <c r="BM239" s="1125">
        <f>+Details!T239-Base!T239</f>
        <v>0</v>
      </c>
      <c r="BN239" s="1125">
        <f>+Details!U239-Base!U239</f>
        <v>0</v>
      </c>
      <c r="BO239" s="1125">
        <f>+Details!V239-Base!V239</f>
        <v>0</v>
      </c>
      <c r="BP239" s="1125">
        <f>+Details!W239-Base!W239</f>
        <v>0</v>
      </c>
      <c r="BQ239" s="1125">
        <f>+Details!X239-Base!X239</f>
        <v>0</v>
      </c>
      <c r="BR239" s="1125">
        <f>+Details!Y239-Base!Y239</f>
        <v>0</v>
      </c>
      <c r="BS239" s="1125">
        <f>+Details!Z239-Base!Z239</f>
        <v>0</v>
      </c>
      <c r="BT239" s="1125">
        <f>+Details!AA239-Base!AA239</f>
        <v>0</v>
      </c>
      <c r="BU239" s="1125">
        <f>+Details!AB239-Base!AB239</f>
        <v>0</v>
      </c>
      <c r="BV239" s="1125">
        <f>+Details!AC239-Base!AC239</f>
        <v>0</v>
      </c>
      <c r="BW239" s="1125">
        <f>+Details!AD239-Base!AD239</f>
        <v>0</v>
      </c>
      <c r="BX239" s="1125">
        <f>+Details!AE239-Base!AE239</f>
        <v>0</v>
      </c>
      <c r="BY239" s="1125">
        <f>+Details!AF239-Base!AF239</f>
        <v>0</v>
      </c>
      <c r="BZ239" s="1125">
        <f>+Details!AG239-Base!AG239</f>
        <v>0</v>
      </c>
      <c r="CA239" s="1125">
        <f>+Details!AH239-Base!AH239</f>
        <v>0</v>
      </c>
      <c r="CB239" s="1125">
        <f>+Details!AI239-Base!AI239</f>
        <v>0</v>
      </c>
      <c r="CC239" s="1125">
        <f>+Details!AJ239-Base!AJ239</f>
        <v>0</v>
      </c>
      <c r="CD239" s="1125">
        <f>+Details!AK239-Base!AK239</f>
        <v>0</v>
      </c>
      <c r="CE239" s="1125">
        <f>+Details!AL239-Base!AL239</f>
        <v>0</v>
      </c>
      <c r="CF239" s="1125">
        <f>+Details!AM239-Base!AM239</f>
        <v>0</v>
      </c>
      <c r="CG239" s="1125">
        <f>+Details!AN239-Base!AN239</f>
        <v>0</v>
      </c>
      <c r="CH239" s="1125">
        <f>+Details!AO239-Base!AO239</f>
        <v>0</v>
      </c>
      <c r="CI239" s="1125">
        <f>+Details!AP239-Base!AP239</f>
        <v>0</v>
      </c>
      <c r="CJ239" s="1125">
        <f>+Details!AQ239-Base!AQ239</f>
        <v>0</v>
      </c>
      <c r="CK239" s="1125">
        <f>+Details!AR239-Base!AR239</f>
        <v>0</v>
      </c>
      <c r="CL239" s="1125">
        <f>+Details!AS239-Base!AS239</f>
        <v>0</v>
      </c>
      <c r="CM239" s="103"/>
    </row>
    <row r="240" spans="1:91" ht="15" customHeight="1">
      <c r="B240" s="426" t="s">
        <v>567</v>
      </c>
      <c r="C240" s="175"/>
      <c r="E240" s="29">
        <f t="shared" ref="E240:E245" si="190">SUM(F240:AS240)</f>
        <v>400000</v>
      </c>
      <c r="F240" s="31">
        <f>SUM(F234:F239)</f>
        <v>0</v>
      </c>
      <c r="G240" s="1124">
        <f t="shared" ref="G240:AS240" si="191">SUM(G234:G239)</f>
        <v>0</v>
      </c>
      <c r="H240" s="1124">
        <f t="shared" si="191"/>
        <v>0</v>
      </c>
      <c r="I240" s="1124">
        <f t="shared" si="191"/>
        <v>0</v>
      </c>
      <c r="J240" s="1124">
        <f t="shared" si="191"/>
        <v>0</v>
      </c>
      <c r="K240" s="1124">
        <f t="shared" si="191"/>
        <v>0</v>
      </c>
      <c r="L240" s="1124">
        <f t="shared" si="191"/>
        <v>0</v>
      </c>
      <c r="M240" s="1124">
        <f t="shared" si="191"/>
        <v>0</v>
      </c>
      <c r="N240" s="1124">
        <f t="shared" si="191"/>
        <v>0</v>
      </c>
      <c r="O240" s="1124">
        <f t="shared" si="191"/>
        <v>-15000</v>
      </c>
      <c r="P240" s="1124">
        <f t="shared" si="191"/>
        <v>-95000</v>
      </c>
      <c r="Q240" s="1124">
        <f t="shared" si="191"/>
        <v>85000</v>
      </c>
      <c r="R240" s="1124">
        <f t="shared" si="191"/>
        <v>-35000</v>
      </c>
      <c r="S240" s="1124">
        <f t="shared" si="191"/>
        <v>-15000</v>
      </c>
      <c r="T240" s="1124">
        <f t="shared" si="191"/>
        <v>-100000</v>
      </c>
      <c r="U240" s="1124">
        <f t="shared" si="191"/>
        <v>100000</v>
      </c>
      <c r="V240" s="1124">
        <f t="shared" si="191"/>
        <v>0</v>
      </c>
      <c r="W240" s="1124">
        <f t="shared" si="191"/>
        <v>0</v>
      </c>
      <c r="X240" s="1124">
        <f t="shared" si="191"/>
        <v>-5000</v>
      </c>
      <c r="Y240" s="1124">
        <f t="shared" si="191"/>
        <v>-5000</v>
      </c>
      <c r="Z240" s="1124">
        <f t="shared" si="191"/>
        <v>-5000</v>
      </c>
      <c r="AA240" s="1124">
        <f t="shared" si="191"/>
        <v>-5000</v>
      </c>
      <c r="AB240" s="1124">
        <f t="shared" si="191"/>
        <v>395000</v>
      </c>
      <c r="AC240" s="1124">
        <f t="shared" si="191"/>
        <v>0</v>
      </c>
      <c r="AD240" s="1124">
        <f t="shared" si="191"/>
        <v>100000</v>
      </c>
      <c r="AE240" s="1124">
        <f t="shared" si="191"/>
        <v>0</v>
      </c>
      <c r="AF240" s="1124">
        <f t="shared" si="191"/>
        <v>0</v>
      </c>
      <c r="AG240" s="1124">
        <f t="shared" si="191"/>
        <v>0</v>
      </c>
      <c r="AH240" s="1124">
        <f t="shared" si="191"/>
        <v>0</v>
      </c>
      <c r="AI240" s="1124">
        <f t="shared" si="191"/>
        <v>0</v>
      </c>
      <c r="AJ240" s="1124">
        <f t="shared" si="191"/>
        <v>0</v>
      </c>
      <c r="AK240" s="1124">
        <f t="shared" si="191"/>
        <v>0</v>
      </c>
      <c r="AL240" s="1124">
        <f t="shared" si="191"/>
        <v>0</v>
      </c>
      <c r="AM240" s="1124">
        <f t="shared" si="191"/>
        <v>0</v>
      </c>
      <c r="AN240" s="1124">
        <f t="shared" si="191"/>
        <v>0</v>
      </c>
      <c r="AO240" s="1124">
        <f t="shared" si="191"/>
        <v>0</v>
      </c>
      <c r="AP240" s="1124">
        <f t="shared" si="191"/>
        <v>0</v>
      </c>
      <c r="AQ240" s="1124">
        <f t="shared" si="191"/>
        <v>0</v>
      </c>
      <c r="AR240" s="1124">
        <f t="shared" si="191"/>
        <v>0</v>
      </c>
      <c r="AS240" s="1124">
        <f t="shared" si="191"/>
        <v>0</v>
      </c>
      <c r="AT240" s="3"/>
      <c r="AU240" s="29">
        <f>+Details!E240</f>
        <v>400000</v>
      </c>
      <c r="AV240" s="81">
        <f t="shared" ref="AV240:AV245" si="192">+E240-AU240</f>
        <v>0</v>
      </c>
      <c r="AW240" s="102"/>
      <c r="AY240" s="31">
        <f>+Details!F240-Base!F240</f>
        <v>0</v>
      </c>
      <c r="AZ240" s="1124">
        <f>+Details!G240-Base!G240</f>
        <v>0</v>
      </c>
      <c r="BA240" s="1124">
        <f>+Details!H240-Base!H240</f>
        <v>0</v>
      </c>
      <c r="BB240" s="1124">
        <f>+Details!I240-Base!I240</f>
        <v>0</v>
      </c>
      <c r="BC240" s="1124">
        <f>+Details!J240-Base!J240</f>
        <v>0</v>
      </c>
      <c r="BD240" s="1124">
        <f>+Details!K240-Base!K240</f>
        <v>0</v>
      </c>
      <c r="BE240" s="1124">
        <f>+Details!L240-Base!L240</f>
        <v>0</v>
      </c>
      <c r="BF240" s="1124">
        <f>+Details!M240-Base!M240</f>
        <v>0</v>
      </c>
      <c r="BG240" s="1124">
        <f>+Details!N240-Base!N240</f>
        <v>0</v>
      </c>
      <c r="BH240" s="1124">
        <f>+Details!O240-Base!O240</f>
        <v>0</v>
      </c>
      <c r="BI240" s="1124">
        <f>+Details!P240-Base!P240</f>
        <v>0</v>
      </c>
      <c r="BJ240" s="1124">
        <f>+Details!Q240-Base!Q240</f>
        <v>0</v>
      </c>
      <c r="BK240" s="1124">
        <f>+Details!R240-Base!R240</f>
        <v>0</v>
      </c>
      <c r="BL240" s="1124">
        <f>+Details!S240-Base!S240</f>
        <v>0</v>
      </c>
      <c r="BM240" s="1124">
        <f>+Details!T240-Base!T240</f>
        <v>0</v>
      </c>
      <c r="BN240" s="1124">
        <f>+Details!U240-Base!U240</f>
        <v>0</v>
      </c>
      <c r="BO240" s="1124">
        <f>+Details!V240-Base!V240</f>
        <v>0</v>
      </c>
      <c r="BP240" s="1124">
        <f>+Details!W240-Base!W240</f>
        <v>0</v>
      </c>
      <c r="BQ240" s="1124">
        <f>+Details!X240-Base!X240</f>
        <v>0</v>
      </c>
      <c r="BR240" s="1124">
        <f>+Details!Y240-Base!Y240</f>
        <v>0</v>
      </c>
      <c r="BS240" s="1124">
        <f>+Details!Z240-Base!Z240</f>
        <v>0</v>
      </c>
      <c r="BT240" s="1124">
        <f>+Details!AA240-Base!AA240</f>
        <v>0</v>
      </c>
      <c r="BU240" s="1124">
        <f>+Details!AB240-Base!AB240</f>
        <v>0</v>
      </c>
      <c r="BV240" s="1124">
        <f>+Details!AC240-Base!AC240</f>
        <v>0</v>
      </c>
      <c r="BW240" s="1124">
        <f>+Details!AD240-Base!AD240</f>
        <v>0</v>
      </c>
      <c r="BX240" s="1124">
        <f>+Details!AE240-Base!AE240</f>
        <v>0</v>
      </c>
      <c r="BY240" s="1124">
        <f>+Details!AF240-Base!AF240</f>
        <v>0</v>
      </c>
      <c r="BZ240" s="1124">
        <f>+Details!AG240-Base!AG240</f>
        <v>0</v>
      </c>
      <c r="CA240" s="1124">
        <f>+Details!AH240-Base!AH240</f>
        <v>0</v>
      </c>
      <c r="CB240" s="1124">
        <f>+Details!AI240-Base!AI240</f>
        <v>0</v>
      </c>
      <c r="CC240" s="1124">
        <f>+Details!AJ240-Base!AJ240</f>
        <v>0</v>
      </c>
      <c r="CD240" s="1124">
        <f>+Details!AK240-Base!AK240</f>
        <v>0</v>
      </c>
      <c r="CE240" s="1124">
        <f>+Details!AL240-Base!AL240</f>
        <v>0</v>
      </c>
      <c r="CF240" s="1124">
        <f>+Details!AM240-Base!AM240</f>
        <v>0</v>
      </c>
      <c r="CG240" s="1124">
        <f>+Details!AN240-Base!AN240</f>
        <v>0</v>
      </c>
      <c r="CH240" s="1124">
        <f>+Details!AO240-Base!AO240</f>
        <v>0</v>
      </c>
      <c r="CI240" s="1124">
        <f>+Details!AP240-Base!AP240</f>
        <v>0</v>
      </c>
      <c r="CJ240" s="1124">
        <f>+Details!AQ240-Base!AQ240</f>
        <v>0</v>
      </c>
      <c r="CK240" s="1124">
        <f>+Details!AR240-Base!AR240</f>
        <v>0</v>
      </c>
      <c r="CL240" s="1124">
        <f>+Details!AS240-Base!AS240</f>
        <v>0</v>
      </c>
      <c r="CM240" s="81"/>
    </row>
    <row r="241" spans="1:91" ht="15" customHeight="1">
      <c r="B241" s="175" t="s">
        <v>50</v>
      </c>
      <c r="C241" s="175"/>
      <c r="D241" s="175"/>
      <c r="E241" s="29">
        <f t="shared" si="190"/>
        <v>3258100</v>
      </c>
      <c r="F241" s="31">
        <f t="shared" ref="F241:AS241" si="193">F28+F31+F34+F37+F38+F62+F63+F64+F70</f>
        <v>78900</v>
      </c>
      <c r="G241" s="1124">
        <f t="shared" si="193"/>
        <v>95100</v>
      </c>
      <c r="H241" s="1124">
        <f t="shared" si="193"/>
        <v>81200</v>
      </c>
      <c r="I241" s="1124">
        <f t="shared" si="193"/>
        <v>82200</v>
      </c>
      <c r="J241" s="1124">
        <f t="shared" si="193"/>
        <v>83100</v>
      </c>
      <c r="K241" s="1124">
        <f t="shared" si="193"/>
        <v>84500</v>
      </c>
      <c r="L241" s="1124">
        <f t="shared" si="193"/>
        <v>86400</v>
      </c>
      <c r="M241" s="1124">
        <f t="shared" si="193"/>
        <v>88400</v>
      </c>
      <c r="N241" s="1124">
        <f t="shared" si="193"/>
        <v>91700</v>
      </c>
      <c r="O241" s="1124">
        <f t="shared" si="193"/>
        <v>81600</v>
      </c>
      <c r="P241" s="1124">
        <f t="shared" si="193"/>
        <v>82600</v>
      </c>
      <c r="Q241" s="1124">
        <f t="shared" si="193"/>
        <v>84600</v>
      </c>
      <c r="R241" s="1124">
        <f t="shared" si="193"/>
        <v>91700</v>
      </c>
      <c r="S241" s="1124">
        <f t="shared" si="193"/>
        <v>94500</v>
      </c>
      <c r="T241" s="1124">
        <f t="shared" si="193"/>
        <v>105100</v>
      </c>
      <c r="U241" s="1124">
        <f t="shared" si="193"/>
        <v>108900</v>
      </c>
      <c r="V241" s="1124">
        <f t="shared" si="193"/>
        <v>117300</v>
      </c>
      <c r="W241" s="1124">
        <f t="shared" si="193"/>
        <v>121300</v>
      </c>
      <c r="X241" s="1124">
        <f t="shared" si="193"/>
        <v>111000</v>
      </c>
      <c r="Y241" s="1124">
        <f t="shared" si="193"/>
        <v>113000</v>
      </c>
      <c r="Z241" s="1124">
        <f t="shared" si="193"/>
        <v>115300</v>
      </c>
      <c r="AA241" s="1124">
        <f t="shared" si="193"/>
        <v>117300</v>
      </c>
      <c r="AB241" s="1124">
        <f t="shared" si="193"/>
        <v>127500</v>
      </c>
      <c r="AC241" s="1124">
        <f t="shared" si="193"/>
        <v>138200</v>
      </c>
      <c r="AD241" s="1124">
        <f t="shared" si="193"/>
        <v>140400</v>
      </c>
      <c r="AE241" s="1124">
        <f t="shared" si="193"/>
        <v>144200</v>
      </c>
      <c r="AF241" s="1124">
        <f t="shared" si="193"/>
        <v>145400</v>
      </c>
      <c r="AG241" s="1124">
        <f t="shared" si="193"/>
        <v>147100</v>
      </c>
      <c r="AH241" s="1124">
        <f t="shared" si="193"/>
        <v>149000</v>
      </c>
      <c r="AI241" s="1124">
        <f t="shared" si="193"/>
        <v>150600</v>
      </c>
      <c r="AJ241" s="1124">
        <f t="shared" si="193"/>
        <v>0</v>
      </c>
      <c r="AK241" s="1124">
        <f t="shared" si="193"/>
        <v>0</v>
      </c>
      <c r="AL241" s="1124">
        <f t="shared" si="193"/>
        <v>0</v>
      </c>
      <c r="AM241" s="1124">
        <f t="shared" si="193"/>
        <v>0</v>
      </c>
      <c r="AN241" s="1124">
        <f t="shared" si="193"/>
        <v>0</v>
      </c>
      <c r="AO241" s="1124">
        <f t="shared" si="193"/>
        <v>0</v>
      </c>
      <c r="AP241" s="1124">
        <f t="shared" si="193"/>
        <v>0</v>
      </c>
      <c r="AQ241" s="1124">
        <f t="shared" si="193"/>
        <v>0</v>
      </c>
      <c r="AR241" s="1124">
        <f t="shared" si="193"/>
        <v>0</v>
      </c>
      <c r="AS241" s="1124">
        <f t="shared" si="193"/>
        <v>0</v>
      </c>
      <c r="AU241" s="29">
        <f>+Details!E241</f>
        <v>3258100</v>
      </c>
      <c r="AV241" s="81">
        <f t="shared" si="192"/>
        <v>0</v>
      </c>
      <c r="AW241" s="102"/>
      <c r="AY241" s="31">
        <f>+Details!F241-Base!F241</f>
        <v>0</v>
      </c>
      <c r="AZ241" s="1124">
        <f>+Details!G241-Base!G241</f>
        <v>0</v>
      </c>
      <c r="BA241" s="1124">
        <f>+Details!H241-Base!H241</f>
        <v>0</v>
      </c>
      <c r="BB241" s="1124">
        <f>+Details!I241-Base!I241</f>
        <v>0</v>
      </c>
      <c r="BC241" s="1124">
        <f>+Details!J241-Base!J241</f>
        <v>0</v>
      </c>
      <c r="BD241" s="1124">
        <f>+Details!K241-Base!K241</f>
        <v>0</v>
      </c>
      <c r="BE241" s="1124">
        <f>+Details!L241-Base!L241</f>
        <v>0</v>
      </c>
      <c r="BF241" s="1124">
        <f>+Details!M241-Base!M241</f>
        <v>0</v>
      </c>
      <c r="BG241" s="1124">
        <f>+Details!N241-Base!N241</f>
        <v>0</v>
      </c>
      <c r="BH241" s="1124">
        <f>+Details!O241-Base!O241</f>
        <v>0</v>
      </c>
      <c r="BI241" s="1124">
        <f>+Details!P241-Base!P241</f>
        <v>0</v>
      </c>
      <c r="BJ241" s="1124">
        <f>+Details!Q241-Base!Q241</f>
        <v>0</v>
      </c>
      <c r="BK241" s="1124">
        <f>+Details!R241-Base!R241</f>
        <v>0</v>
      </c>
      <c r="BL241" s="1124">
        <f>+Details!S241-Base!S241</f>
        <v>0</v>
      </c>
      <c r="BM241" s="1124">
        <f>+Details!T241-Base!T241</f>
        <v>0</v>
      </c>
      <c r="BN241" s="1124">
        <f>+Details!U241-Base!U241</f>
        <v>0</v>
      </c>
      <c r="BO241" s="1124">
        <f>+Details!V241-Base!V241</f>
        <v>0</v>
      </c>
      <c r="BP241" s="1124">
        <f>+Details!W241-Base!W241</f>
        <v>0</v>
      </c>
      <c r="BQ241" s="1124">
        <f>+Details!X241-Base!X241</f>
        <v>0</v>
      </c>
      <c r="BR241" s="1124">
        <f>+Details!Y241-Base!Y241</f>
        <v>0</v>
      </c>
      <c r="BS241" s="1124">
        <f>+Details!Z241-Base!Z241</f>
        <v>0</v>
      </c>
      <c r="BT241" s="1124">
        <f>+Details!AA241-Base!AA241</f>
        <v>0</v>
      </c>
      <c r="BU241" s="1124">
        <f>+Details!AB241-Base!AB241</f>
        <v>0</v>
      </c>
      <c r="BV241" s="1124">
        <f>+Details!AC241-Base!AC241</f>
        <v>0</v>
      </c>
      <c r="BW241" s="1124">
        <f>+Details!AD241-Base!AD241</f>
        <v>0</v>
      </c>
      <c r="BX241" s="1124">
        <f>+Details!AE241-Base!AE241</f>
        <v>0</v>
      </c>
      <c r="BY241" s="1124">
        <f>+Details!AF241-Base!AF241</f>
        <v>0</v>
      </c>
      <c r="BZ241" s="1124">
        <f>+Details!AG241-Base!AG241</f>
        <v>0</v>
      </c>
      <c r="CA241" s="1124">
        <f>+Details!AH241-Base!AH241</f>
        <v>0</v>
      </c>
      <c r="CB241" s="1124">
        <f>+Details!AI241-Base!AI241</f>
        <v>0</v>
      </c>
      <c r="CC241" s="1124">
        <f>+Details!AJ241-Base!AJ241</f>
        <v>0</v>
      </c>
      <c r="CD241" s="1124">
        <f>+Details!AK241-Base!AK241</f>
        <v>0</v>
      </c>
      <c r="CE241" s="1124">
        <f>+Details!AL241-Base!AL241</f>
        <v>0</v>
      </c>
      <c r="CF241" s="1124">
        <f>+Details!AM241-Base!AM241</f>
        <v>0</v>
      </c>
      <c r="CG241" s="1124">
        <f>+Details!AN241-Base!AN241</f>
        <v>0</v>
      </c>
      <c r="CH241" s="1124">
        <f>+Details!AO241-Base!AO241</f>
        <v>0</v>
      </c>
      <c r="CI241" s="1124">
        <f>+Details!AP241-Base!AP241</f>
        <v>0</v>
      </c>
      <c r="CJ241" s="1124">
        <f>+Details!AQ241-Base!AQ241</f>
        <v>0</v>
      </c>
      <c r="CK241" s="1124">
        <f>+Details!AR241-Base!AR241</f>
        <v>0</v>
      </c>
      <c r="CL241" s="1124">
        <f>+Details!AS241-Base!AS241</f>
        <v>0</v>
      </c>
      <c r="CM241" s="81"/>
    </row>
    <row r="242" spans="1:91">
      <c r="B242" s="72" t="s">
        <v>1318</v>
      </c>
      <c r="E242" s="29">
        <f t="shared" si="190"/>
        <v>1516900</v>
      </c>
      <c r="F242" s="31">
        <f t="shared" ref="F242:AS242" si="194">+F61</f>
        <v>0</v>
      </c>
      <c r="G242" s="1124">
        <f t="shared" si="194"/>
        <v>0</v>
      </c>
      <c r="H242" s="1124">
        <f t="shared" si="194"/>
        <v>0</v>
      </c>
      <c r="I242" s="1124">
        <f t="shared" si="194"/>
        <v>0</v>
      </c>
      <c r="J242" s="1124">
        <f t="shared" si="194"/>
        <v>0</v>
      </c>
      <c r="K242" s="1124">
        <f t="shared" si="194"/>
        <v>22100</v>
      </c>
      <c r="L242" s="1124">
        <f t="shared" si="194"/>
        <v>22500</v>
      </c>
      <c r="M242" s="1124">
        <f t="shared" si="194"/>
        <v>23000</v>
      </c>
      <c r="N242" s="1124">
        <f t="shared" si="194"/>
        <v>69900</v>
      </c>
      <c r="O242" s="1124">
        <f t="shared" si="194"/>
        <v>71300</v>
      </c>
      <c r="P242" s="1124">
        <f t="shared" si="194"/>
        <v>72700</v>
      </c>
      <c r="Q242" s="1124">
        <f t="shared" si="194"/>
        <v>74200</v>
      </c>
      <c r="R242" s="1124">
        <f t="shared" si="194"/>
        <v>75700</v>
      </c>
      <c r="S242" s="1124">
        <f t="shared" si="194"/>
        <v>77200</v>
      </c>
      <c r="T242" s="1124">
        <f t="shared" si="194"/>
        <v>78700</v>
      </c>
      <c r="U242" s="1124">
        <f t="shared" si="194"/>
        <v>80200</v>
      </c>
      <c r="V242" s="1124">
        <f t="shared" si="194"/>
        <v>63000</v>
      </c>
      <c r="W242" s="1124">
        <f t="shared" si="194"/>
        <v>64200</v>
      </c>
      <c r="X242" s="1124">
        <f t="shared" si="194"/>
        <v>65500</v>
      </c>
      <c r="Y242" s="1124">
        <f t="shared" si="194"/>
        <v>66800</v>
      </c>
      <c r="Z242" s="1124">
        <f t="shared" si="194"/>
        <v>68100</v>
      </c>
      <c r="AA242" s="1124">
        <f t="shared" si="194"/>
        <v>69500</v>
      </c>
      <c r="AB242" s="1124">
        <f t="shared" si="194"/>
        <v>70900</v>
      </c>
      <c r="AC242" s="1124">
        <f t="shared" si="194"/>
        <v>72300</v>
      </c>
      <c r="AD242" s="1124">
        <f t="shared" si="194"/>
        <v>49000</v>
      </c>
      <c r="AE242" s="1124">
        <f t="shared" si="194"/>
        <v>50000</v>
      </c>
      <c r="AF242" s="1124">
        <f t="shared" si="194"/>
        <v>51000</v>
      </c>
      <c r="AG242" s="1124">
        <f t="shared" si="194"/>
        <v>52000</v>
      </c>
      <c r="AH242" s="1124">
        <f t="shared" si="194"/>
        <v>53000</v>
      </c>
      <c r="AI242" s="1124">
        <f t="shared" si="194"/>
        <v>54100</v>
      </c>
      <c r="AJ242" s="1124">
        <f t="shared" si="194"/>
        <v>0</v>
      </c>
      <c r="AK242" s="1124">
        <f t="shared" si="194"/>
        <v>0</v>
      </c>
      <c r="AL242" s="1124">
        <f t="shared" si="194"/>
        <v>0</v>
      </c>
      <c r="AM242" s="1124">
        <f t="shared" si="194"/>
        <v>0</v>
      </c>
      <c r="AN242" s="1124">
        <f t="shared" si="194"/>
        <v>0</v>
      </c>
      <c r="AO242" s="1124">
        <f t="shared" si="194"/>
        <v>0</v>
      </c>
      <c r="AP242" s="1124">
        <f t="shared" si="194"/>
        <v>0</v>
      </c>
      <c r="AQ242" s="1124">
        <f t="shared" si="194"/>
        <v>0</v>
      </c>
      <c r="AR242" s="1124">
        <f t="shared" si="194"/>
        <v>0</v>
      </c>
      <c r="AS242" s="1124">
        <f t="shared" si="194"/>
        <v>0</v>
      </c>
      <c r="AU242" s="29">
        <f>+Details!E242</f>
        <v>1516900</v>
      </c>
      <c r="AV242" s="81">
        <f t="shared" si="192"/>
        <v>0</v>
      </c>
      <c r="AW242" s="102"/>
      <c r="AY242" s="31">
        <f>+Details!F242-Base!F242</f>
        <v>0</v>
      </c>
      <c r="AZ242" s="1124">
        <f>+Details!G242-Base!G242</f>
        <v>0</v>
      </c>
      <c r="BA242" s="1124">
        <f>+Details!H242-Base!H242</f>
        <v>0</v>
      </c>
      <c r="BB242" s="1124">
        <f>+Details!I242-Base!I242</f>
        <v>0</v>
      </c>
      <c r="BC242" s="1124">
        <f>+Details!J242-Base!J242</f>
        <v>0</v>
      </c>
      <c r="BD242" s="1124">
        <f>+Details!K242-Base!K242</f>
        <v>0</v>
      </c>
      <c r="BE242" s="1124">
        <f>+Details!L242-Base!L242</f>
        <v>0</v>
      </c>
      <c r="BF242" s="1124">
        <f>+Details!M242-Base!M242</f>
        <v>0</v>
      </c>
      <c r="BG242" s="1124">
        <f>+Details!N242-Base!N242</f>
        <v>0</v>
      </c>
      <c r="BH242" s="1124">
        <f>+Details!O242-Base!O242</f>
        <v>0</v>
      </c>
      <c r="BI242" s="1124">
        <f>+Details!P242-Base!P242</f>
        <v>0</v>
      </c>
      <c r="BJ242" s="1124">
        <f>+Details!Q242-Base!Q242</f>
        <v>0</v>
      </c>
      <c r="BK242" s="1124">
        <f>+Details!R242-Base!R242</f>
        <v>0</v>
      </c>
      <c r="BL242" s="1124">
        <f>+Details!S242-Base!S242</f>
        <v>0</v>
      </c>
      <c r="BM242" s="1124">
        <f>+Details!T242-Base!T242</f>
        <v>0</v>
      </c>
      <c r="BN242" s="1124">
        <f>+Details!U242-Base!U242</f>
        <v>0</v>
      </c>
      <c r="BO242" s="1124">
        <f>+Details!V242-Base!V242</f>
        <v>0</v>
      </c>
      <c r="BP242" s="1124">
        <f>+Details!W242-Base!W242</f>
        <v>0</v>
      </c>
      <c r="BQ242" s="1124">
        <f>+Details!X242-Base!X242</f>
        <v>0</v>
      </c>
      <c r="BR242" s="1124">
        <f>+Details!Y242-Base!Y242</f>
        <v>0</v>
      </c>
      <c r="BS242" s="1124">
        <f>+Details!Z242-Base!Z242</f>
        <v>0</v>
      </c>
      <c r="BT242" s="1124">
        <f>+Details!AA242-Base!AA242</f>
        <v>0</v>
      </c>
      <c r="BU242" s="1124">
        <f>+Details!AB242-Base!AB242</f>
        <v>0</v>
      </c>
      <c r="BV242" s="1124">
        <f>+Details!AC242-Base!AC242</f>
        <v>0</v>
      </c>
      <c r="BW242" s="1124">
        <f>+Details!AD242-Base!AD242</f>
        <v>0</v>
      </c>
      <c r="BX242" s="1124">
        <f>+Details!AE242-Base!AE242</f>
        <v>0</v>
      </c>
      <c r="BY242" s="1124">
        <f>+Details!AF242-Base!AF242</f>
        <v>0</v>
      </c>
      <c r="BZ242" s="1124">
        <f>+Details!AG242-Base!AG242</f>
        <v>0</v>
      </c>
      <c r="CA242" s="1124">
        <f>+Details!AH242-Base!AH242</f>
        <v>0</v>
      </c>
      <c r="CB242" s="1124">
        <f>+Details!AI242-Base!AI242</f>
        <v>0</v>
      </c>
      <c r="CC242" s="1124">
        <f>+Details!AJ242-Base!AJ242</f>
        <v>0</v>
      </c>
      <c r="CD242" s="1124">
        <f>+Details!AK242-Base!AK242</f>
        <v>0</v>
      </c>
      <c r="CE242" s="1124">
        <f>+Details!AL242-Base!AL242</f>
        <v>0</v>
      </c>
      <c r="CF242" s="1124">
        <f>+Details!AM242-Base!AM242</f>
        <v>0</v>
      </c>
      <c r="CG242" s="1124">
        <f>+Details!AN242-Base!AN242</f>
        <v>0</v>
      </c>
      <c r="CH242" s="1124">
        <f>+Details!AO242-Base!AO242</f>
        <v>0</v>
      </c>
      <c r="CI242" s="1124">
        <f>+Details!AP242-Base!AP242</f>
        <v>0</v>
      </c>
      <c r="CJ242" s="1124">
        <f>+Details!AQ242-Base!AQ242</f>
        <v>0</v>
      </c>
      <c r="CK242" s="1124">
        <f>+Details!AR242-Base!AR242</f>
        <v>0</v>
      </c>
      <c r="CL242" s="1124">
        <f>+Details!AS242-Base!AS242</f>
        <v>0</v>
      </c>
      <c r="CM242" s="81"/>
    </row>
    <row r="243" spans="1:91">
      <c r="B243" s="72" t="s">
        <v>1319</v>
      </c>
      <c r="E243" s="29">
        <f t="shared" si="190"/>
        <v>-3104300</v>
      </c>
      <c r="F243" s="190">
        <f t="shared" ref="F243:AS243" si="195">-F144</f>
        <v>-70000</v>
      </c>
      <c r="G243" s="1124">
        <f t="shared" si="195"/>
        <v>-71400</v>
      </c>
      <c r="H243" s="1124">
        <f t="shared" si="195"/>
        <v>-72800</v>
      </c>
      <c r="I243" s="1124">
        <f t="shared" si="195"/>
        <v>-74300</v>
      </c>
      <c r="J243" s="1124">
        <f t="shared" si="195"/>
        <v>-75800</v>
      </c>
      <c r="K243" s="1124">
        <f t="shared" si="195"/>
        <v>-77300</v>
      </c>
      <c r="L243" s="1124">
        <f t="shared" si="195"/>
        <v>-78800</v>
      </c>
      <c r="M243" s="1124">
        <f t="shared" si="195"/>
        <v>-80400</v>
      </c>
      <c r="N243" s="1124">
        <f t="shared" si="195"/>
        <v>-82000</v>
      </c>
      <c r="O243" s="1124">
        <f t="shared" si="195"/>
        <v>-83600</v>
      </c>
      <c r="P243" s="1124">
        <f t="shared" si="195"/>
        <v>-85300</v>
      </c>
      <c r="Q243" s="1124">
        <f t="shared" si="195"/>
        <v>-87000</v>
      </c>
      <c r="R243" s="1124">
        <f t="shared" si="195"/>
        <v>-88700</v>
      </c>
      <c r="S243" s="1124">
        <f t="shared" si="195"/>
        <v>-90500</v>
      </c>
      <c r="T243" s="1124">
        <f t="shared" si="195"/>
        <v>-92300</v>
      </c>
      <c r="U243" s="1124">
        <f t="shared" si="195"/>
        <v>-94100</v>
      </c>
      <c r="V243" s="1124">
        <f t="shared" si="195"/>
        <v>-96000</v>
      </c>
      <c r="W243" s="1124">
        <f t="shared" si="195"/>
        <v>-97900</v>
      </c>
      <c r="X243" s="1124">
        <f t="shared" si="195"/>
        <v>-119800</v>
      </c>
      <c r="Y243" s="1124">
        <f t="shared" si="195"/>
        <v>-122200</v>
      </c>
      <c r="Z243" s="1124">
        <f t="shared" si="195"/>
        <v>-124600</v>
      </c>
      <c r="AA243" s="1124">
        <f t="shared" si="195"/>
        <v>-127100</v>
      </c>
      <c r="AB243" s="1124">
        <f t="shared" si="195"/>
        <v>-129600</v>
      </c>
      <c r="AC243" s="1124">
        <f t="shared" si="195"/>
        <v>-132200</v>
      </c>
      <c r="AD243" s="1124">
        <f t="shared" si="195"/>
        <v>-134800</v>
      </c>
      <c r="AE243" s="1124">
        <f t="shared" si="195"/>
        <v>-137500</v>
      </c>
      <c r="AF243" s="1124">
        <f t="shared" si="195"/>
        <v>-140300</v>
      </c>
      <c r="AG243" s="1124">
        <f t="shared" si="195"/>
        <v>-143100</v>
      </c>
      <c r="AH243" s="1124">
        <f t="shared" si="195"/>
        <v>-146000</v>
      </c>
      <c r="AI243" s="1124">
        <f t="shared" si="195"/>
        <v>-148900</v>
      </c>
      <c r="AJ243" s="1124">
        <f t="shared" si="195"/>
        <v>0</v>
      </c>
      <c r="AK243" s="1124">
        <f t="shared" si="195"/>
        <v>0</v>
      </c>
      <c r="AL243" s="1124">
        <f t="shared" si="195"/>
        <v>0</v>
      </c>
      <c r="AM243" s="1124">
        <f t="shared" si="195"/>
        <v>0</v>
      </c>
      <c r="AN243" s="1124">
        <f t="shared" si="195"/>
        <v>0</v>
      </c>
      <c r="AO243" s="1124">
        <f t="shared" si="195"/>
        <v>0</v>
      </c>
      <c r="AP243" s="1124">
        <f t="shared" si="195"/>
        <v>0</v>
      </c>
      <c r="AQ243" s="1124">
        <f t="shared" si="195"/>
        <v>0</v>
      </c>
      <c r="AR243" s="1124">
        <f t="shared" si="195"/>
        <v>0</v>
      </c>
      <c r="AS243" s="1124">
        <f t="shared" si="195"/>
        <v>0</v>
      </c>
      <c r="AU243" s="29">
        <f>+Details!E243</f>
        <v>-3104300</v>
      </c>
      <c r="AV243" s="81">
        <f t="shared" si="192"/>
        <v>0</v>
      </c>
      <c r="AW243" s="102"/>
      <c r="AY243" s="31">
        <f>+Details!F243-Base!F243</f>
        <v>0</v>
      </c>
      <c r="AZ243" s="1124">
        <f>+Details!G243-Base!G243</f>
        <v>0</v>
      </c>
      <c r="BA243" s="1124">
        <f>+Details!H243-Base!H243</f>
        <v>0</v>
      </c>
      <c r="BB243" s="1124">
        <f>+Details!I243-Base!I243</f>
        <v>0</v>
      </c>
      <c r="BC243" s="1124">
        <f>+Details!J243-Base!J243</f>
        <v>0</v>
      </c>
      <c r="BD243" s="1124">
        <f>+Details!K243-Base!K243</f>
        <v>0</v>
      </c>
      <c r="BE243" s="1124">
        <f>+Details!L243-Base!L243</f>
        <v>0</v>
      </c>
      <c r="BF243" s="1124">
        <f>+Details!M243-Base!M243</f>
        <v>0</v>
      </c>
      <c r="BG243" s="1124">
        <f>+Details!N243-Base!N243</f>
        <v>0</v>
      </c>
      <c r="BH243" s="1124">
        <f>+Details!O243-Base!O243</f>
        <v>0</v>
      </c>
      <c r="BI243" s="1124">
        <f>+Details!P243-Base!P243</f>
        <v>0</v>
      </c>
      <c r="BJ243" s="1124">
        <f>+Details!Q243-Base!Q243</f>
        <v>0</v>
      </c>
      <c r="BK243" s="1124">
        <f>+Details!R243-Base!R243</f>
        <v>0</v>
      </c>
      <c r="BL243" s="1124">
        <f>+Details!S243-Base!S243</f>
        <v>0</v>
      </c>
      <c r="BM243" s="1124">
        <f>+Details!T243-Base!T243</f>
        <v>0</v>
      </c>
      <c r="BN243" s="1124">
        <f>+Details!U243-Base!U243</f>
        <v>0</v>
      </c>
      <c r="BO243" s="1124">
        <f>+Details!V243-Base!V243</f>
        <v>0</v>
      </c>
      <c r="BP243" s="1124">
        <f>+Details!W243-Base!W243</f>
        <v>0</v>
      </c>
      <c r="BQ243" s="1124">
        <f>+Details!X243-Base!X243</f>
        <v>0</v>
      </c>
      <c r="BR243" s="1124">
        <f>+Details!Y243-Base!Y243</f>
        <v>0</v>
      </c>
      <c r="BS243" s="1124">
        <f>+Details!Z243-Base!Z243</f>
        <v>0</v>
      </c>
      <c r="BT243" s="1124">
        <f>+Details!AA243-Base!AA243</f>
        <v>0</v>
      </c>
      <c r="BU243" s="1124">
        <f>+Details!AB243-Base!AB243</f>
        <v>0</v>
      </c>
      <c r="BV243" s="1124">
        <f>+Details!AC243-Base!AC243</f>
        <v>0</v>
      </c>
      <c r="BW243" s="1124">
        <f>+Details!AD243-Base!AD243</f>
        <v>0</v>
      </c>
      <c r="BX243" s="1124">
        <f>+Details!AE243-Base!AE243</f>
        <v>0</v>
      </c>
      <c r="BY243" s="1124">
        <f>+Details!AF243-Base!AF243</f>
        <v>0</v>
      </c>
      <c r="BZ243" s="1124">
        <f>+Details!AG243-Base!AG243</f>
        <v>0</v>
      </c>
      <c r="CA243" s="1124">
        <f>+Details!AH243-Base!AH243</f>
        <v>0</v>
      </c>
      <c r="CB243" s="1124">
        <f>+Details!AI243-Base!AI243</f>
        <v>0</v>
      </c>
      <c r="CC243" s="1124">
        <f>+Details!AJ243-Base!AJ243</f>
        <v>0</v>
      </c>
      <c r="CD243" s="1124">
        <f>+Details!AK243-Base!AK243</f>
        <v>0</v>
      </c>
      <c r="CE243" s="1124">
        <f>+Details!AL243-Base!AL243</f>
        <v>0</v>
      </c>
      <c r="CF243" s="1124">
        <f>+Details!AM243-Base!AM243</f>
        <v>0</v>
      </c>
      <c r="CG243" s="1124">
        <f>+Details!AN243-Base!AN243</f>
        <v>0</v>
      </c>
      <c r="CH243" s="1124">
        <f>+Details!AO243-Base!AO243</f>
        <v>0</v>
      </c>
      <c r="CI243" s="1124">
        <f>+Details!AP243-Base!AP243</f>
        <v>0</v>
      </c>
      <c r="CJ243" s="1124">
        <f>+Details!AQ243-Base!AQ243</f>
        <v>0</v>
      </c>
      <c r="CK243" s="1124">
        <f>+Details!AR243-Base!AR243</f>
        <v>0</v>
      </c>
      <c r="CL243" s="1124">
        <f>+Details!AS243-Base!AS243</f>
        <v>0</v>
      </c>
      <c r="CM243" s="81"/>
    </row>
    <row r="244" spans="1:91">
      <c r="B244" s="72" t="s">
        <v>468</v>
      </c>
      <c r="E244" s="34">
        <f t="shared" si="190"/>
        <v>-368300</v>
      </c>
      <c r="F244" s="193">
        <f t="shared" ref="F244:AS244" si="196">-F145</f>
        <v>-5000</v>
      </c>
      <c r="G244" s="1125">
        <f t="shared" si="196"/>
        <v>-7400</v>
      </c>
      <c r="H244" s="1125">
        <f t="shared" si="196"/>
        <v>-5000</v>
      </c>
      <c r="I244" s="1125">
        <f t="shared" si="196"/>
        <v>-5100</v>
      </c>
      <c r="J244" s="1125">
        <f t="shared" si="196"/>
        <v>-5200</v>
      </c>
      <c r="K244" s="1125">
        <f t="shared" si="196"/>
        <v>-7600</v>
      </c>
      <c r="L244" s="1125">
        <f t="shared" si="196"/>
        <v>-7600</v>
      </c>
      <c r="M244" s="1125">
        <f t="shared" si="196"/>
        <v>-9100</v>
      </c>
      <c r="N244" s="1125">
        <f t="shared" si="196"/>
        <v>-4700</v>
      </c>
      <c r="O244" s="1125">
        <f t="shared" si="196"/>
        <v>-4800</v>
      </c>
      <c r="P244" s="1125">
        <f t="shared" si="196"/>
        <v>-4900</v>
      </c>
      <c r="Q244" s="1125">
        <f t="shared" si="196"/>
        <v>-5300</v>
      </c>
      <c r="R244" s="1125">
        <f t="shared" si="196"/>
        <v>-6800</v>
      </c>
      <c r="S244" s="1125">
        <f t="shared" si="196"/>
        <v>-7300</v>
      </c>
      <c r="T244" s="1125">
        <f t="shared" si="196"/>
        <v>-10700</v>
      </c>
      <c r="U244" s="1125">
        <f t="shared" si="196"/>
        <v>-12600</v>
      </c>
      <c r="V244" s="1125">
        <f t="shared" si="196"/>
        <v>-12300</v>
      </c>
      <c r="W244" s="1125">
        <f t="shared" si="196"/>
        <v>-12700</v>
      </c>
      <c r="X244" s="1125">
        <f t="shared" si="196"/>
        <v>-11700</v>
      </c>
      <c r="Y244" s="1125">
        <f t="shared" si="196"/>
        <v>-11900</v>
      </c>
      <c r="Z244" s="1125">
        <f t="shared" si="196"/>
        <v>-12400</v>
      </c>
      <c r="AA244" s="1125">
        <f t="shared" si="196"/>
        <v>-13100</v>
      </c>
      <c r="AB244" s="1125">
        <f t="shared" si="196"/>
        <v>-17900</v>
      </c>
      <c r="AC244" s="1125">
        <f t="shared" si="196"/>
        <v>-19600</v>
      </c>
      <c r="AD244" s="1125">
        <f t="shared" si="196"/>
        <v>-24500</v>
      </c>
      <c r="AE244" s="1125">
        <f t="shared" si="196"/>
        <v>-25500</v>
      </c>
      <c r="AF244" s="1125">
        <f t="shared" si="196"/>
        <v>-25900</v>
      </c>
      <c r="AG244" s="1125">
        <f t="shared" si="196"/>
        <v>-23800</v>
      </c>
      <c r="AH244" s="1125">
        <f t="shared" si="196"/>
        <v>-23700</v>
      </c>
      <c r="AI244" s="1125">
        <f t="shared" si="196"/>
        <v>-24200</v>
      </c>
      <c r="AJ244" s="1125">
        <f t="shared" si="196"/>
        <v>0</v>
      </c>
      <c r="AK244" s="1125">
        <f t="shared" si="196"/>
        <v>0</v>
      </c>
      <c r="AL244" s="1125">
        <f t="shared" si="196"/>
        <v>0</v>
      </c>
      <c r="AM244" s="1125">
        <f t="shared" si="196"/>
        <v>0</v>
      </c>
      <c r="AN244" s="1125">
        <f t="shared" si="196"/>
        <v>0</v>
      </c>
      <c r="AO244" s="1125">
        <f t="shared" si="196"/>
        <v>0</v>
      </c>
      <c r="AP244" s="1125">
        <f t="shared" si="196"/>
        <v>0</v>
      </c>
      <c r="AQ244" s="1125">
        <f t="shared" si="196"/>
        <v>0</v>
      </c>
      <c r="AR244" s="1125">
        <f t="shared" si="196"/>
        <v>0</v>
      </c>
      <c r="AS244" s="1125">
        <f t="shared" si="196"/>
        <v>0</v>
      </c>
      <c r="AU244" s="34">
        <f>+Details!E244</f>
        <v>-368300</v>
      </c>
      <c r="AV244" s="83">
        <f t="shared" si="192"/>
        <v>0</v>
      </c>
      <c r="AW244" s="102"/>
      <c r="AY244" s="38">
        <f>+Details!F244-Base!F244</f>
        <v>0</v>
      </c>
      <c r="AZ244" s="1125">
        <f>+Details!G244-Base!G244</f>
        <v>0</v>
      </c>
      <c r="BA244" s="1125">
        <f>+Details!H244-Base!H244</f>
        <v>0</v>
      </c>
      <c r="BB244" s="1125">
        <f>+Details!I244-Base!I244</f>
        <v>0</v>
      </c>
      <c r="BC244" s="1125">
        <f>+Details!J244-Base!J244</f>
        <v>0</v>
      </c>
      <c r="BD244" s="1125">
        <f>+Details!K244-Base!K244</f>
        <v>0</v>
      </c>
      <c r="BE244" s="1125">
        <f>+Details!L244-Base!L244</f>
        <v>0</v>
      </c>
      <c r="BF244" s="1125">
        <f>+Details!M244-Base!M244</f>
        <v>0</v>
      </c>
      <c r="BG244" s="1125">
        <f>+Details!N244-Base!N244</f>
        <v>0</v>
      </c>
      <c r="BH244" s="1125">
        <f>+Details!O244-Base!O244</f>
        <v>0</v>
      </c>
      <c r="BI244" s="1125">
        <f>+Details!P244-Base!P244</f>
        <v>0</v>
      </c>
      <c r="BJ244" s="1125">
        <f>+Details!Q244-Base!Q244</f>
        <v>0</v>
      </c>
      <c r="BK244" s="1125">
        <f>+Details!R244-Base!R244</f>
        <v>0</v>
      </c>
      <c r="BL244" s="1125">
        <f>+Details!S244-Base!S244</f>
        <v>0</v>
      </c>
      <c r="BM244" s="1125">
        <f>+Details!T244-Base!T244</f>
        <v>0</v>
      </c>
      <c r="BN244" s="1125">
        <f>+Details!U244-Base!U244</f>
        <v>0</v>
      </c>
      <c r="BO244" s="1125">
        <f>+Details!V244-Base!V244</f>
        <v>0</v>
      </c>
      <c r="BP244" s="1125">
        <f>+Details!W244-Base!W244</f>
        <v>0</v>
      </c>
      <c r="BQ244" s="1125">
        <f>+Details!X244-Base!X244</f>
        <v>0</v>
      </c>
      <c r="BR244" s="1125">
        <f>+Details!Y244-Base!Y244</f>
        <v>0</v>
      </c>
      <c r="BS244" s="1125">
        <f>+Details!Z244-Base!Z244</f>
        <v>0</v>
      </c>
      <c r="BT244" s="1125">
        <f>+Details!AA244-Base!AA244</f>
        <v>0</v>
      </c>
      <c r="BU244" s="1125">
        <f>+Details!AB244-Base!AB244</f>
        <v>0</v>
      </c>
      <c r="BV244" s="1125">
        <f>+Details!AC244-Base!AC244</f>
        <v>0</v>
      </c>
      <c r="BW244" s="1125">
        <f>+Details!AD244-Base!AD244</f>
        <v>0</v>
      </c>
      <c r="BX244" s="1125">
        <f>+Details!AE244-Base!AE244</f>
        <v>0</v>
      </c>
      <c r="BY244" s="1125">
        <f>+Details!AF244-Base!AF244</f>
        <v>0</v>
      </c>
      <c r="BZ244" s="1125">
        <f>+Details!AG244-Base!AG244</f>
        <v>0</v>
      </c>
      <c r="CA244" s="1125">
        <f>+Details!AH244-Base!AH244</f>
        <v>0</v>
      </c>
      <c r="CB244" s="1125">
        <f>+Details!AI244-Base!AI244</f>
        <v>0</v>
      </c>
      <c r="CC244" s="1125">
        <f>+Details!AJ244-Base!AJ244</f>
        <v>0</v>
      </c>
      <c r="CD244" s="1125">
        <f>+Details!AK244-Base!AK244</f>
        <v>0</v>
      </c>
      <c r="CE244" s="1125">
        <f>+Details!AL244-Base!AL244</f>
        <v>0</v>
      </c>
      <c r="CF244" s="1125">
        <f>+Details!AM244-Base!AM244</f>
        <v>0</v>
      </c>
      <c r="CG244" s="1125">
        <f>+Details!AN244-Base!AN244</f>
        <v>0</v>
      </c>
      <c r="CH244" s="1125">
        <f>+Details!AO244-Base!AO244</f>
        <v>0</v>
      </c>
      <c r="CI244" s="1125">
        <f>+Details!AP244-Base!AP244</f>
        <v>0</v>
      </c>
      <c r="CJ244" s="1125">
        <f>+Details!AQ244-Base!AQ244</f>
        <v>0</v>
      </c>
      <c r="CK244" s="1125">
        <f>+Details!AR244-Base!AR244</f>
        <v>0</v>
      </c>
      <c r="CL244" s="1125">
        <f>+Details!AS244-Base!AS244</f>
        <v>0</v>
      </c>
      <c r="CM244" s="103"/>
    </row>
    <row r="245" spans="1:91">
      <c r="B245" s="72" t="s">
        <v>149</v>
      </c>
      <c r="E245" s="29">
        <f t="shared" si="190"/>
        <v>1702400</v>
      </c>
      <c r="F245" s="31">
        <f t="shared" ref="F245:M245" si="197">+F240+SUM(F241:F244)</f>
        <v>3900</v>
      </c>
      <c r="G245" s="1124">
        <f t="shared" si="197"/>
        <v>16300</v>
      </c>
      <c r="H245" s="1124">
        <f t="shared" si="197"/>
        <v>3400</v>
      </c>
      <c r="I245" s="1124">
        <f t="shared" si="197"/>
        <v>2800</v>
      </c>
      <c r="J245" s="1124">
        <f t="shared" si="197"/>
        <v>2100</v>
      </c>
      <c r="K245" s="1124">
        <f t="shared" si="197"/>
        <v>21700</v>
      </c>
      <c r="L245" s="1124">
        <f t="shared" si="197"/>
        <v>22500</v>
      </c>
      <c r="M245" s="1124">
        <f t="shared" si="197"/>
        <v>21900</v>
      </c>
      <c r="N245" s="1124">
        <f>+N240+SUM(N241:N244)</f>
        <v>74900</v>
      </c>
      <c r="O245" s="1124">
        <f t="shared" ref="O245:AS245" si="198">+O240+SUM(O241:O244)</f>
        <v>49500</v>
      </c>
      <c r="P245" s="1124">
        <f t="shared" si="198"/>
        <v>-29900</v>
      </c>
      <c r="Q245" s="1124">
        <f t="shared" si="198"/>
        <v>151500</v>
      </c>
      <c r="R245" s="1124">
        <f t="shared" si="198"/>
        <v>36900</v>
      </c>
      <c r="S245" s="1124">
        <f t="shared" si="198"/>
        <v>58900</v>
      </c>
      <c r="T245" s="1124">
        <f t="shared" si="198"/>
        <v>-19200</v>
      </c>
      <c r="U245" s="1124">
        <f t="shared" si="198"/>
        <v>182400</v>
      </c>
      <c r="V245" s="1124">
        <f t="shared" si="198"/>
        <v>72000</v>
      </c>
      <c r="W245" s="1124">
        <f t="shared" si="198"/>
        <v>74900</v>
      </c>
      <c r="X245" s="1124">
        <f t="shared" si="198"/>
        <v>40000</v>
      </c>
      <c r="Y245" s="1124">
        <f t="shared" si="198"/>
        <v>40700</v>
      </c>
      <c r="Z245" s="1124">
        <f t="shared" si="198"/>
        <v>41400</v>
      </c>
      <c r="AA245" s="1124">
        <f t="shared" si="198"/>
        <v>41600</v>
      </c>
      <c r="AB245" s="1124">
        <f t="shared" si="198"/>
        <v>445900</v>
      </c>
      <c r="AC245" s="1124">
        <f t="shared" si="198"/>
        <v>58700</v>
      </c>
      <c r="AD245" s="1124">
        <f t="shared" si="198"/>
        <v>130100</v>
      </c>
      <c r="AE245" s="1124">
        <f t="shared" si="198"/>
        <v>31200</v>
      </c>
      <c r="AF245" s="1124">
        <f t="shared" si="198"/>
        <v>30200</v>
      </c>
      <c r="AG245" s="1124">
        <f t="shared" si="198"/>
        <v>32200</v>
      </c>
      <c r="AH245" s="1124">
        <f t="shared" si="198"/>
        <v>32300</v>
      </c>
      <c r="AI245" s="1124">
        <f t="shared" si="198"/>
        <v>31600</v>
      </c>
      <c r="AJ245" s="1124">
        <f t="shared" si="198"/>
        <v>0</v>
      </c>
      <c r="AK245" s="1124">
        <f t="shared" si="198"/>
        <v>0</v>
      </c>
      <c r="AL245" s="1124">
        <f t="shared" si="198"/>
        <v>0</v>
      </c>
      <c r="AM245" s="1124">
        <f t="shared" si="198"/>
        <v>0</v>
      </c>
      <c r="AN245" s="1124">
        <f t="shared" si="198"/>
        <v>0</v>
      </c>
      <c r="AO245" s="1124">
        <f t="shared" si="198"/>
        <v>0</v>
      </c>
      <c r="AP245" s="1124">
        <f t="shared" si="198"/>
        <v>0</v>
      </c>
      <c r="AQ245" s="1124">
        <f t="shared" si="198"/>
        <v>0</v>
      </c>
      <c r="AR245" s="1124">
        <f t="shared" si="198"/>
        <v>0</v>
      </c>
      <c r="AS245" s="1124">
        <f t="shared" si="198"/>
        <v>0</v>
      </c>
      <c r="AU245" s="29">
        <f>+Details!E245</f>
        <v>1702400</v>
      </c>
      <c r="AV245" s="81">
        <f t="shared" si="192"/>
        <v>0</v>
      </c>
      <c r="AW245" s="102"/>
      <c r="AY245" s="31">
        <f>+Details!F245-Base!F245</f>
        <v>0</v>
      </c>
      <c r="AZ245" s="1124">
        <f>+Details!G245-Base!G245</f>
        <v>0</v>
      </c>
      <c r="BA245" s="1124">
        <f>+Details!H245-Base!H245</f>
        <v>0</v>
      </c>
      <c r="BB245" s="1124">
        <f>+Details!I245-Base!I245</f>
        <v>0</v>
      </c>
      <c r="BC245" s="1124">
        <f>+Details!J245-Base!J245</f>
        <v>0</v>
      </c>
      <c r="BD245" s="1124">
        <f>+Details!K245-Base!K245</f>
        <v>0</v>
      </c>
      <c r="BE245" s="1124">
        <f>+Details!L245-Base!L245</f>
        <v>0</v>
      </c>
      <c r="BF245" s="1124">
        <f>+Details!M245-Base!M245</f>
        <v>0</v>
      </c>
      <c r="BG245" s="1124">
        <f>+Details!N245-Base!N245</f>
        <v>0</v>
      </c>
      <c r="BH245" s="1124">
        <f>+Details!O245-Base!O245</f>
        <v>0</v>
      </c>
      <c r="BI245" s="1124">
        <f>+Details!P245-Base!P245</f>
        <v>0</v>
      </c>
      <c r="BJ245" s="1124">
        <f>+Details!Q245-Base!Q245</f>
        <v>0</v>
      </c>
      <c r="BK245" s="1124">
        <f>+Details!R245-Base!R245</f>
        <v>0</v>
      </c>
      <c r="BL245" s="1124">
        <f>+Details!S245-Base!S245</f>
        <v>0</v>
      </c>
      <c r="BM245" s="1124">
        <f>+Details!T245-Base!T245</f>
        <v>0</v>
      </c>
      <c r="BN245" s="1124">
        <f>+Details!U245-Base!U245</f>
        <v>0</v>
      </c>
      <c r="BO245" s="1124">
        <f>+Details!V245-Base!V245</f>
        <v>0</v>
      </c>
      <c r="BP245" s="1124">
        <f>+Details!W245-Base!W245</f>
        <v>0</v>
      </c>
      <c r="BQ245" s="1124">
        <f>+Details!X245-Base!X245</f>
        <v>0</v>
      </c>
      <c r="BR245" s="1124">
        <f>+Details!Y245-Base!Y245</f>
        <v>0</v>
      </c>
      <c r="BS245" s="1124">
        <f>+Details!Z245-Base!Z245</f>
        <v>0</v>
      </c>
      <c r="BT245" s="1124">
        <f>+Details!AA245-Base!AA245</f>
        <v>0</v>
      </c>
      <c r="BU245" s="1124">
        <f>+Details!AB245-Base!AB245</f>
        <v>0</v>
      </c>
      <c r="BV245" s="1124">
        <f>+Details!AC245-Base!AC245</f>
        <v>0</v>
      </c>
      <c r="BW245" s="1124">
        <f>+Details!AD245-Base!AD245</f>
        <v>0</v>
      </c>
      <c r="BX245" s="1124">
        <f>+Details!AE245-Base!AE245</f>
        <v>0</v>
      </c>
      <c r="BY245" s="1124">
        <f>+Details!AF245-Base!AF245</f>
        <v>0</v>
      </c>
      <c r="BZ245" s="1124">
        <f>+Details!AG245-Base!AG245</f>
        <v>0</v>
      </c>
      <c r="CA245" s="1124">
        <f>+Details!AH245-Base!AH245</f>
        <v>0</v>
      </c>
      <c r="CB245" s="1124">
        <f>+Details!AI245-Base!AI245</f>
        <v>0</v>
      </c>
      <c r="CC245" s="1124">
        <f>+Details!AJ245-Base!AJ245</f>
        <v>0</v>
      </c>
      <c r="CD245" s="1124">
        <f>+Details!AK245-Base!AK245</f>
        <v>0</v>
      </c>
      <c r="CE245" s="1124">
        <f>+Details!AL245-Base!AL245</f>
        <v>0</v>
      </c>
      <c r="CF245" s="1124">
        <f>+Details!AM245-Base!AM245</f>
        <v>0</v>
      </c>
      <c r="CG245" s="1124">
        <f>+Details!AN245-Base!AN245</f>
        <v>0</v>
      </c>
      <c r="CH245" s="1124">
        <f>+Details!AO245-Base!AO245</f>
        <v>0</v>
      </c>
      <c r="CI245" s="1124">
        <f>+Details!AP245-Base!AP245</f>
        <v>0</v>
      </c>
      <c r="CJ245" s="1124">
        <f>+Details!AQ245-Base!AQ245</f>
        <v>0</v>
      </c>
      <c r="CK245" s="1124">
        <f>+Details!AR245-Base!AR245</f>
        <v>0</v>
      </c>
      <c r="CL245" s="1124">
        <f>+Details!AS245-Base!AS245</f>
        <v>0</v>
      </c>
      <c r="CM245" s="81"/>
    </row>
    <row r="246" spans="1:91" ht="7.95" customHeight="1">
      <c r="B246" s="72"/>
      <c r="E246" s="29"/>
      <c r="F246" s="31"/>
      <c r="G246" s="31"/>
      <c r="H246" s="31"/>
      <c r="I246" s="31"/>
      <c r="J246" s="31"/>
      <c r="K246" s="31"/>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c r="AI246" s="31"/>
      <c r="AJ246" s="31"/>
      <c r="AK246" s="31"/>
      <c r="AL246" s="31"/>
      <c r="AM246" s="31"/>
      <c r="AN246" s="31"/>
      <c r="AO246" s="31"/>
      <c r="AP246" s="31"/>
      <c r="AQ246" s="31"/>
      <c r="AR246" s="31"/>
      <c r="AS246" s="31"/>
      <c r="AU246" s="29"/>
      <c r="AV246" s="81"/>
      <c r="AW246" s="102"/>
      <c r="AZ246" s="31"/>
      <c r="BA246" s="31"/>
      <c r="BB246" s="31"/>
      <c r="BC246" s="31"/>
      <c r="BD246" s="31"/>
      <c r="BE246" s="31"/>
      <c r="BF246" s="31"/>
      <c r="BG246" s="31"/>
      <c r="BH246" s="31"/>
      <c r="BI246" s="31"/>
      <c r="BJ246" s="31"/>
      <c r="BK246" s="31"/>
      <c r="BL246" s="31"/>
      <c r="BM246" s="31"/>
      <c r="BN246" s="31"/>
      <c r="BO246" s="31"/>
      <c r="BP246" s="31"/>
      <c r="BQ246" s="31"/>
      <c r="BR246" s="31"/>
      <c r="BS246" s="31"/>
      <c r="BT246" s="31"/>
      <c r="BU246" s="31"/>
      <c r="BV246" s="31"/>
      <c r="BW246" s="31"/>
      <c r="BX246" s="31"/>
      <c r="BY246" s="31"/>
      <c r="BZ246" s="31"/>
      <c r="CA246" s="31"/>
      <c r="CB246" s="31"/>
      <c r="CC246" s="31"/>
      <c r="CD246" s="31"/>
      <c r="CE246" s="31"/>
      <c r="CF246" s="31"/>
      <c r="CG246" s="31"/>
      <c r="CH246" s="31"/>
      <c r="CI246" s="31"/>
      <c r="CJ246" s="31"/>
      <c r="CK246" s="31"/>
      <c r="CL246" s="31"/>
      <c r="CM246" s="81"/>
    </row>
    <row r="247" spans="1:91" ht="15.6">
      <c r="B247" s="25" t="s">
        <v>638</v>
      </c>
      <c r="E247" s="29"/>
      <c r="F247" s="31"/>
      <c r="G247" s="31"/>
      <c r="H247" s="31"/>
      <c r="I247" s="31"/>
      <c r="J247" s="31"/>
      <c r="K247" s="31"/>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c r="AI247" s="31"/>
      <c r="AJ247" s="31"/>
      <c r="AK247" s="31"/>
      <c r="AL247" s="31"/>
      <c r="AM247" s="31"/>
      <c r="AN247" s="31"/>
      <c r="AO247" s="31"/>
      <c r="AP247" s="31"/>
      <c r="AQ247" s="31"/>
      <c r="AR247" s="31"/>
      <c r="AS247" s="31"/>
      <c r="AU247" s="29"/>
      <c r="AV247" s="81"/>
      <c r="AW247" s="102"/>
      <c r="AZ247" s="31"/>
      <c r="BA247" s="31"/>
      <c r="BB247" s="31"/>
      <c r="BC247" s="31"/>
      <c r="BD247" s="31"/>
      <c r="BE247" s="31"/>
      <c r="BF247" s="31"/>
      <c r="BG247" s="31"/>
      <c r="BH247" s="31"/>
      <c r="BI247" s="31"/>
      <c r="BJ247" s="31"/>
      <c r="BK247" s="31"/>
      <c r="BL247" s="31"/>
      <c r="BM247" s="31"/>
      <c r="BN247" s="31"/>
      <c r="BO247" s="31"/>
      <c r="BP247" s="31"/>
      <c r="BQ247" s="31"/>
      <c r="BR247" s="31"/>
      <c r="BS247" s="31"/>
      <c r="BT247" s="31"/>
      <c r="BU247" s="31"/>
      <c r="BV247" s="31"/>
      <c r="BW247" s="31"/>
      <c r="BX247" s="31"/>
      <c r="BY247" s="31"/>
      <c r="BZ247" s="31"/>
      <c r="CA247" s="31"/>
      <c r="CB247" s="31"/>
      <c r="CC247" s="31"/>
      <c r="CD247" s="31"/>
      <c r="CE247" s="31"/>
      <c r="CF247" s="31"/>
      <c r="CG247" s="31"/>
      <c r="CH247" s="31"/>
      <c r="CI247" s="31"/>
      <c r="CJ247" s="31"/>
      <c r="CK247" s="31"/>
      <c r="CL247" s="31"/>
      <c r="CM247" s="81"/>
    </row>
    <row r="248" spans="1:91">
      <c r="B248" s="72" t="s">
        <v>979</v>
      </c>
      <c r="E248" s="33">
        <f t="shared" ref="E248:E259" ca="1" si="199">INDIRECT(ADDRESS(ROW(),Total_Years+5))</f>
        <v>1538900</v>
      </c>
      <c r="F248" s="31">
        <f t="shared" ref="F248:AS248" si="200">ROUND(F8+F148,0)</f>
        <v>187100</v>
      </c>
      <c r="G248" s="1124">
        <f t="shared" si="200"/>
        <v>186800</v>
      </c>
      <c r="H248" s="1124">
        <f t="shared" si="200"/>
        <v>173800</v>
      </c>
      <c r="I248" s="1124">
        <f t="shared" si="200"/>
        <v>160500</v>
      </c>
      <c r="J248" s="1124">
        <f t="shared" si="200"/>
        <v>148300</v>
      </c>
      <c r="K248" s="1124">
        <f t="shared" si="200"/>
        <v>156400</v>
      </c>
      <c r="L248" s="1124">
        <f t="shared" si="200"/>
        <v>166100</v>
      </c>
      <c r="M248" s="1124">
        <f t="shared" si="200"/>
        <v>175900</v>
      </c>
      <c r="N248" s="1124">
        <f t="shared" si="200"/>
        <v>202800</v>
      </c>
      <c r="O248" s="1124">
        <f t="shared" si="200"/>
        <v>238100</v>
      </c>
      <c r="P248" s="1124">
        <f t="shared" si="200"/>
        <v>194200</v>
      </c>
      <c r="Q248" s="1124">
        <f t="shared" si="200"/>
        <v>272100</v>
      </c>
      <c r="R248" s="1124">
        <f t="shared" si="200"/>
        <v>296700</v>
      </c>
      <c r="S248" s="1124">
        <f t="shared" si="200"/>
        <v>344500</v>
      </c>
      <c r="T248" s="1124">
        <f t="shared" si="200"/>
        <v>301300</v>
      </c>
      <c r="U248" s="1124">
        <f t="shared" si="200"/>
        <v>424600</v>
      </c>
      <c r="V248" s="1124">
        <f t="shared" si="200"/>
        <v>480700</v>
      </c>
      <c r="W248" s="1124">
        <f t="shared" si="200"/>
        <v>541400</v>
      </c>
      <c r="X248" s="1124">
        <f t="shared" si="200"/>
        <v>574700</v>
      </c>
      <c r="Y248" s="1124">
        <f t="shared" si="200"/>
        <v>609500</v>
      </c>
      <c r="Z248" s="1124">
        <f t="shared" si="200"/>
        <v>647200</v>
      </c>
      <c r="AA248" s="1124">
        <f t="shared" si="200"/>
        <v>688000</v>
      </c>
      <c r="AB248" s="1124">
        <f t="shared" si="200"/>
        <v>1136000</v>
      </c>
      <c r="AC248" s="1124">
        <f t="shared" si="200"/>
        <v>1199500</v>
      </c>
      <c r="AD248" s="1124">
        <f t="shared" si="200"/>
        <v>1337600</v>
      </c>
      <c r="AE248" s="1124">
        <f t="shared" si="200"/>
        <v>1379900</v>
      </c>
      <c r="AF248" s="1124">
        <f t="shared" si="200"/>
        <v>1423300</v>
      </c>
      <c r="AG248" s="1124">
        <f t="shared" si="200"/>
        <v>1461500</v>
      </c>
      <c r="AH248" s="1124">
        <f t="shared" si="200"/>
        <v>1499700</v>
      </c>
      <c r="AI248" s="1124">
        <f t="shared" si="200"/>
        <v>1538900</v>
      </c>
      <c r="AJ248" s="1124">
        <f t="shared" si="200"/>
        <v>0</v>
      </c>
      <c r="AK248" s="1124">
        <f t="shared" si="200"/>
        <v>0</v>
      </c>
      <c r="AL248" s="1124">
        <f t="shared" si="200"/>
        <v>0</v>
      </c>
      <c r="AM248" s="1124">
        <f t="shared" si="200"/>
        <v>0</v>
      </c>
      <c r="AN248" s="1124">
        <f t="shared" si="200"/>
        <v>0</v>
      </c>
      <c r="AO248" s="1124">
        <f t="shared" si="200"/>
        <v>0</v>
      </c>
      <c r="AP248" s="1124">
        <f t="shared" si="200"/>
        <v>0</v>
      </c>
      <c r="AQ248" s="1124">
        <f t="shared" si="200"/>
        <v>0</v>
      </c>
      <c r="AR248" s="1124">
        <f t="shared" si="200"/>
        <v>0</v>
      </c>
      <c r="AS248" s="1124">
        <f t="shared" si="200"/>
        <v>0</v>
      </c>
      <c r="AU248" s="33">
        <f ca="1">+Details!E248</f>
        <v>1538900</v>
      </c>
      <c r="AV248" s="81">
        <f t="shared" ref="AV248:AV259" ca="1" si="201">+E248-AU248</f>
        <v>0</v>
      </c>
      <c r="AW248" s="110"/>
      <c r="AY248" s="31">
        <f>+Details!F248-Base!F248</f>
        <v>0</v>
      </c>
      <c r="AZ248" s="1124">
        <f>+Details!G248-Base!G248</f>
        <v>0</v>
      </c>
      <c r="BA248" s="1124">
        <f>+Details!H248-Base!H248</f>
        <v>0</v>
      </c>
      <c r="BB248" s="1124">
        <f>+Details!I248-Base!I248</f>
        <v>0</v>
      </c>
      <c r="BC248" s="1124">
        <f>+Details!J248-Base!J248</f>
        <v>0</v>
      </c>
      <c r="BD248" s="1124">
        <f>+Details!K248-Base!K248</f>
        <v>0</v>
      </c>
      <c r="BE248" s="1124">
        <f>+Details!L248-Base!L248</f>
        <v>0</v>
      </c>
      <c r="BF248" s="1124">
        <f>+Details!M248-Base!M248</f>
        <v>0</v>
      </c>
      <c r="BG248" s="1124">
        <f>+Details!N248-Base!N248</f>
        <v>0</v>
      </c>
      <c r="BH248" s="1124">
        <f>+Details!O248-Base!O248</f>
        <v>0</v>
      </c>
      <c r="BI248" s="1124">
        <f>+Details!P248-Base!P248</f>
        <v>0</v>
      </c>
      <c r="BJ248" s="1124">
        <f>+Details!Q248-Base!Q248</f>
        <v>0</v>
      </c>
      <c r="BK248" s="1124">
        <f>+Details!R248-Base!R248</f>
        <v>0</v>
      </c>
      <c r="BL248" s="1124">
        <f>+Details!S248-Base!S248</f>
        <v>0</v>
      </c>
      <c r="BM248" s="1124">
        <f>+Details!T248-Base!T248</f>
        <v>0</v>
      </c>
      <c r="BN248" s="1124">
        <f>+Details!U248-Base!U248</f>
        <v>0</v>
      </c>
      <c r="BO248" s="1124">
        <f>+Details!V248-Base!V248</f>
        <v>0</v>
      </c>
      <c r="BP248" s="1124">
        <f>+Details!W248-Base!W248</f>
        <v>0</v>
      </c>
      <c r="BQ248" s="1124">
        <f>+Details!X248-Base!X248</f>
        <v>0</v>
      </c>
      <c r="BR248" s="1124">
        <f>+Details!Y248-Base!Y248</f>
        <v>0</v>
      </c>
      <c r="BS248" s="1124">
        <f>+Details!Z248-Base!Z248</f>
        <v>0</v>
      </c>
      <c r="BT248" s="1124">
        <f>+Details!AA248-Base!AA248</f>
        <v>0</v>
      </c>
      <c r="BU248" s="1124">
        <f>+Details!AB248-Base!AB248</f>
        <v>0</v>
      </c>
      <c r="BV248" s="1124">
        <f>+Details!AC248-Base!AC248</f>
        <v>0</v>
      </c>
      <c r="BW248" s="1124">
        <f>+Details!AD248-Base!AD248</f>
        <v>0</v>
      </c>
      <c r="BX248" s="1124">
        <f>+Details!AE248-Base!AE248</f>
        <v>0</v>
      </c>
      <c r="BY248" s="1124">
        <f>+Details!AF248-Base!AF248</f>
        <v>0</v>
      </c>
      <c r="BZ248" s="1124">
        <f>+Details!AG248-Base!AG248</f>
        <v>0</v>
      </c>
      <c r="CA248" s="1124">
        <f>+Details!AH248-Base!AH248</f>
        <v>0</v>
      </c>
      <c r="CB248" s="1124">
        <f>+Details!AI248-Base!AI248</f>
        <v>0</v>
      </c>
      <c r="CC248" s="1124">
        <f>+Details!AJ248-Base!AJ248</f>
        <v>0</v>
      </c>
      <c r="CD248" s="1124">
        <f>+Details!AK248-Base!AK248</f>
        <v>0</v>
      </c>
      <c r="CE248" s="1124">
        <f>+Details!AL248-Base!AL248</f>
        <v>0</v>
      </c>
      <c r="CF248" s="1124">
        <f>+Details!AM248-Base!AM248</f>
        <v>0</v>
      </c>
      <c r="CG248" s="1124">
        <f>+Details!AN248-Base!AN248</f>
        <v>0</v>
      </c>
      <c r="CH248" s="1124">
        <f>+Details!AO248-Base!AO248</f>
        <v>0</v>
      </c>
      <c r="CI248" s="1124">
        <f>+Details!AP248-Base!AP248</f>
        <v>0</v>
      </c>
      <c r="CJ248" s="1124">
        <f>+Details!AQ248-Base!AQ248</f>
        <v>0</v>
      </c>
      <c r="CK248" s="1124">
        <f>+Details!AR248-Base!AR248</f>
        <v>0</v>
      </c>
      <c r="CL248" s="1124">
        <f>+Details!AS248-Base!AS248</f>
        <v>0</v>
      </c>
      <c r="CM248" s="81"/>
    </row>
    <row r="249" spans="1:91" hidden="1">
      <c r="A249" s="1427" t="s">
        <v>1578</v>
      </c>
      <c r="B249" s="72" t="s">
        <v>1535</v>
      </c>
      <c r="C249" s="3"/>
      <c r="E249" s="433">
        <f t="shared" ca="1" si="199"/>
        <v>337700</v>
      </c>
      <c r="F249" s="447">
        <f>ROUND(+F9+F29+F63+F87+F91+F94+F95+F96-F133,0)</f>
        <v>491200</v>
      </c>
      <c r="G249" s="1124">
        <f>ROUND(+G9+G29+G63+G87+G91+G94+G95+G96-G133,0)</f>
        <v>480600</v>
      </c>
      <c r="H249" s="1124">
        <f t="shared" ref="H249:AS249" si="202">ROUND(+H9+H29+H63+H87+H91+H94+H95+H96-H133,0)</f>
        <v>468100</v>
      </c>
      <c r="I249" s="1124">
        <f t="shared" si="202"/>
        <v>453400</v>
      </c>
      <c r="J249" s="1124">
        <f t="shared" si="202"/>
        <v>436400</v>
      </c>
      <c r="K249" s="1124">
        <f t="shared" si="202"/>
        <v>416900</v>
      </c>
      <c r="L249" s="1124">
        <f t="shared" si="202"/>
        <v>394600</v>
      </c>
      <c r="M249" s="1124">
        <f t="shared" si="202"/>
        <v>369500</v>
      </c>
      <c r="N249" s="1124">
        <f t="shared" si="202"/>
        <v>383200</v>
      </c>
      <c r="O249" s="1124">
        <f t="shared" si="202"/>
        <v>383800</v>
      </c>
      <c r="P249" s="1124">
        <f t="shared" si="202"/>
        <v>384900</v>
      </c>
      <c r="Q249" s="1124">
        <f t="shared" si="202"/>
        <v>386300</v>
      </c>
      <c r="R249" s="1124">
        <f t="shared" si="202"/>
        <v>387900</v>
      </c>
      <c r="S249" s="1124">
        <f t="shared" si="202"/>
        <v>389600</v>
      </c>
      <c r="T249" s="1124">
        <f t="shared" si="202"/>
        <v>396600</v>
      </c>
      <c r="U249" s="1124">
        <f t="shared" si="202"/>
        <v>403100</v>
      </c>
      <c r="V249" s="1124">
        <f t="shared" si="202"/>
        <v>408800</v>
      </c>
      <c r="W249" s="1124">
        <f t="shared" si="202"/>
        <v>413700</v>
      </c>
      <c r="X249" s="1124">
        <f t="shared" si="202"/>
        <v>414100</v>
      </c>
      <c r="Y249" s="1124">
        <f t="shared" si="202"/>
        <v>413500</v>
      </c>
      <c r="Z249" s="1124">
        <f t="shared" si="202"/>
        <v>411800</v>
      </c>
      <c r="AA249" s="1124">
        <f t="shared" si="202"/>
        <v>408900</v>
      </c>
      <c r="AB249" s="1124">
        <f t="shared" si="202"/>
        <v>404700</v>
      </c>
      <c r="AC249" s="1124">
        <f t="shared" si="202"/>
        <v>399300</v>
      </c>
      <c r="AD249" s="1124">
        <f t="shared" si="202"/>
        <v>392600</v>
      </c>
      <c r="AE249" s="1124">
        <f t="shared" si="202"/>
        <v>384500</v>
      </c>
      <c r="AF249" s="1124">
        <f t="shared" si="202"/>
        <v>374900</v>
      </c>
      <c r="AG249" s="1124">
        <f t="shared" si="202"/>
        <v>363800</v>
      </c>
      <c r="AH249" s="1124">
        <f t="shared" si="202"/>
        <v>351400</v>
      </c>
      <c r="AI249" s="1124">
        <f t="shared" si="202"/>
        <v>337700</v>
      </c>
      <c r="AJ249" s="1124">
        <f t="shared" si="202"/>
        <v>0</v>
      </c>
      <c r="AK249" s="1124">
        <f t="shared" si="202"/>
        <v>0</v>
      </c>
      <c r="AL249" s="1124">
        <f t="shared" si="202"/>
        <v>0</v>
      </c>
      <c r="AM249" s="1124">
        <f t="shared" si="202"/>
        <v>0</v>
      </c>
      <c r="AN249" s="1124">
        <f t="shared" si="202"/>
        <v>0</v>
      </c>
      <c r="AO249" s="1124">
        <f t="shared" si="202"/>
        <v>0</v>
      </c>
      <c r="AP249" s="1124">
        <f t="shared" si="202"/>
        <v>0</v>
      </c>
      <c r="AQ249" s="1124">
        <f t="shared" si="202"/>
        <v>0</v>
      </c>
      <c r="AR249" s="1124">
        <f t="shared" si="202"/>
        <v>0</v>
      </c>
      <c r="AS249" s="1124">
        <f t="shared" si="202"/>
        <v>0</v>
      </c>
      <c r="AU249" s="33">
        <f ca="1">+Details!E249</f>
        <v>337700</v>
      </c>
      <c r="AV249" s="81">
        <f t="shared" ca="1" si="201"/>
        <v>0</v>
      </c>
      <c r="AW249" s="110"/>
      <c r="AY249" s="31">
        <f>+Details!F249-Base!F249</f>
        <v>0</v>
      </c>
      <c r="AZ249" s="1124">
        <f>+Details!G249-Base!G249</f>
        <v>0</v>
      </c>
      <c r="BA249" s="1124">
        <f>+Details!H249-Base!H249</f>
        <v>0</v>
      </c>
      <c r="BB249" s="1124">
        <f>+Details!I249-Base!I249</f>
        <v>0</v>
      </c>
      <c r="BC249" s="1124">
        <f>+Details!J249-Base!J249</f>
        <v>0</v>
      </c>
      <c r="BD249" s="1124">
        <f>+Details!K249-Base!K249</f>
        <v>0</v>
      </c>
      <c r="BE249" s="1124">
        <f>+Details!L249-Base!L249</f>
        <v>0</v>
      </c>
      <c r="BF249" s="1124">
        <f>+Details!M249-Base!M249</f>
        <v>0</v>
      </c>
      <c r="BG249" s="1124">
        <f>+Details!N249-Base!N249</f>
        <v>0</v>
      </c>
      <c r="BH249" s="1124">
        <f>+Details!O249-Base!O249</f>
        <v>0</v>
      </c>
      <c r="BI249" s="1124">
        <f>+Details!P249-Base!P249</f>
        <v>0</v>
      </c>
      <c r="BJ249" s="1124">
        <f>+Details!Q249-Base!Q249</f>
        <v>0</v>
      </c>
      <c r="BK249" s="1124">
        <f>+Details!R249-Base!R249</f>
        <v>0</v>
      </c>
      <c r="BL249" s="1124">
        <f>+Details!S249-Base!S249</f>
        <v>0</v>
      </c>
      <c r="BM249" s="1124">
        <f>+Details!T249-Base!T249</f>
        <v>0</v>
      </c>
      <c r="BN249" s="1124">
        <f>+Details!U249-Base!U249</f>
        <v>0</v>
      </c>
      <c r="BO249" s="1124">
        <f>+Details!V249-Base!V249</f>
        <v>0</v>
      </c>
      <c r="BP249" s="1124">
        <f>+Details!W249-Base!W249</f>
        <v>0</v>
      </c>
      <c r="BQ249" s="1124">
        <f>+Details!X249-Base!X249</f>
        <v>0</v>
      </c>
      <c r="BR249" s="1124">
        <f>+Details!Y249-Base!Y249</f>
        <v>0</v>
      </c>
      <c r="BS249" s="1124">
        <f>+Details!Z249-Base!Z249</f>
        <v>0</v>
      </c>
      <c r="BT249" s="1124">
        <f>+Details!AA249-Base!AA249</f>
        <v>0</v>
      </c>
      <c r="BU249" s="1124">
        <f>+Details!AB249-Base!AB249</f>
        <v>0</v>
      </c>
      <c r="BV249" s="1124">
        <f>+Details!AC249-Base!AC249</f>
        <v>0</v>
      </c>
      <c r="BW249" s="1124">
        <f>+Details!AD249-Base!AD249</f>
        <v>0</v>
      </c>
      <c r="BX249" s="1124">
        <f>+Details!AE249-Base!AE249</f>
        <v>0</v>
      </c>
      <c r="BY249" s="1124">
        <f>+Details!AF249-Base!AF249</f>
        <v>0</v>
      </c>
      <c r="BZ249" s="1124">
        <f>+Details!AG249-Base!AG249</f>
        <v>0</v>
      </c>
      <c r="CA249" s="1124">
        <f>+Details!AH249-Base!AH249</f>
        <v>0</v>
      </c>
      <c r="CB249" s="1124">
        <f>+Details!AI249-Base!AI249</f>
        <v>0</v>
      </c>
      <c r="CC249" s="1124">
        <f>+Details!AJ249-Base!AJ249</f>
        <v>0</v>
      </c>
      <c r="CD249" s="1124">
        <f>+Details!AK249-Base!AK249</f>
        <v>0</v>
      </c>
      <c r="CE249" s="1124">
        <f>+Details!AL249-Base!AL249</f>
        <v>0</v>
      </c>
      <c r="CF249" s="1124">
        <f>+Details!AM249-Base!AM249</f>
        <v>0</v>
      </c>
      <c r="CG249" s="1124">
        <f>+Details!AN249-Base!AN249</f>
        <v>0</v>
      </c>
      <c r="CH249" s="1124">
        <f>+Details!AO249-Base!AO249</f>
        <v>0</v>
      </c>
      <c r="CI249" s="1124">
        <f>+Details!AP249-Base!AP249</f>
        <v>0</v>
      </c>
      <c r="CJ249" s="1124">
        <f>+Details!AQ249-Base!AQ249</f>
        <v>0</v>
      </c>
      <c r="CK249" s="1124">
        <f>+Details!AR249-Base!AR249</f>
        <v>0</v>
      </c>
      <c r="CL249" s="1124">
        <f>+Details!AS249-Base!AS249</f>
        <v>0</v>
      </c>
      <c r="CM249" s="81"/>
    </row>
    <row r="250" spans="1:91" hidden="1">
      <c r="A250" s="1427" t="s">
        <v>1578</v>
      </c>
      <c r="B250" s="72" t="s">
        <v>1536</v>
      </c>
      <c r="C250" s="3"/>
      <c r="E250" s="1301">
        <f t="shared" ca="1" si="199"/>
        <v>388100</v>
      </c>
      <c r="F250" s="127">
        <f>ROUND(+F10+F30+F98+F99+F102+F103,0)</f>
        <v>218500</v>
      </c>
      <c r="G250" s="1125">
        <f>ROUND(+G10+G30+G98+G99+G102+G103,0)</f>
        <v>238100</v>
      </c>
      <c r="H250" s="1125">
        <f t="shared" ref="H250:AS250" si="203">ROUND(+H10+H30+H98+H99+H102+H103,0)</f>
        <v>258800</v>
      </c>
      <c r="I250" s="1125">
        <f t="shared" si="203"/>
        <v>280800</v>
      </c>
      <c r="J250" s="1125">
        <f t="shared" si="203"/>
        <v>304100</v>
      </c>
      <c r="K250" s="1125">
        <f t="shared" si="203"/>
        <v>328700</v>
      </c>
      <c r="L250" s="1125">
        <f t="shared" si="203"/>
        <v>354800</v>
      </c>
      <c r="M250" s="1125">
        <f t="shared" si="203"/>
        <v>382400</v>
      </c>
      <c r="N250" s="1125">
        <f t="shared" si="203"/>
        <v>411700</v>
      </c>
      <c r="O250" s="1125">
        <f t="shared" si="203"/>
        <v>420500</v>
      </c>
      <c r="P250" s="1125">
        <f t="shared" si="203"/>
        <v>428900</v>
      </c>
      <c r="Q250" s="1125">
        <f t="shared" si="203"/>
        <v>436900</v>
      </c>
      <c r="R250" s="1125">
        <f t="shared" si="203"/>
        <v>444500</v>
      </c>
      <c r="S250" s="1125">
        <f t="shared" si="203"/>
        <v>451500</v>
      </c>
      <c r="T250" s="1125">
        <f t="shared" si="203"/>
        <v>457900</v>
      </c>
      <c r="U250" s="1125">
        <f t="shared" si="203"/>
        <v>463500</v>
      </c>
      <c r="V250" s="1125">
        <f t="shared" si="203"/>
        <v>468300</v>
      </c>
      <c r="W250" s="1125">
        <f t="shared" si="203"/>
        <v>472100</v>
      </c>
      <c r="X250" s="1125">
        <f t="shared" si="203"/>
        <v>472300</v>
      </c>
      <c r="Y250" s="1125">
        <f t="shared" si="203"/>
        <v>471400</v>
      </c>
      <c r="Z250" s="1125">
        <f t="shared" si="203"/>
        <v>469400</v>
      </c>
      <c r="AA250" s="1125">
        <f t="shared" si="203"/>
        <v>466000</v>
      </c>
      <c r="AB250" s="1125">
        <f t="shared" si="203"/>
        <v>461300</v>
      </c>
      <c r="AC250" s="1125">
        <f t="shared" si="203"/>
        <v>455200</v>
      </c>
      <c r="AD250" s="1125">
        <f t="shared" si="203"/>
        <v>447700</v>
      </c>
      <c r="AE250" s="1125">
        <f t="shared" si="203"/>
        <v>438800</v>
      </c>
      <c r="AF250" s="1125">
        <f t="shared" si="203"/>
        <v>428500</v>
      </c>
      <c r="AG250" s="1125">
        <f t="shared" si="203"/>
        <v>416600</v>
      </c>
      <c r="AH250" s="1125">
        <f t="shared" si="203"/>
        <v>403100</v>
      </c>
      <c r="AI250" s="1125">
        <f t="shared" si="203"/>
        <v>388100</v>
      </c>
      <c r="AJ250" s="1125">
        <f t="shared" si="203"/>
        <v>0</v>
      </c>
      <c r="AK250" s="1125">
        <f t="shared" si="203"/>
        <v>0</v>
      </c>
      <c r="AL250" s="1125">
        <f t="shared" si="203"/>
        <v>0</v>
      </c>
      <c r="AM250" s="1125">
        <f t="shared" si="203"/>
        <v>0</v>
      </c>
      <c r="AN250" s="1125">
        <f t="shared" si="203"/>
        <v>0</v>
      </c>
      <c r="AO250" s="1125">
        <f t="shared" si="203"/>
        <v>0</v>
      </c>
      <c r="AP250" s="1125">
        <f t="shared" si="203"/>
        <v>0</v>
      </c>
      <c r="AQ250" s="1125">
        <f t="shared" si="203"/>
        <v>0</v>
      </c>
      <c r="AR250" s="1125">
        <f t="shared" si="203"/>
        <v>0</v>
      </c>
      <c r="AS250" s="1125">
        <f t="shared" si="203"/>
        <v>0</v>
      </c>
      <c r="AU250" s="35">
        <f ca="1">+Details!E250</f>
        <v>388100</v>
      </c>
      <c r="AV250" s="83">
        <f t="shared" ca="1" si="201"/>
        <v>0</v>
      </c>
      <c r="AW250" s="110"/>
      <c r="AY250" s="38">
        <f>+Details!F250-Base!F250</f>
        <v>0</v>
      </c>
      <c r="AZ250" s="1125">
        <f>+Details!G250-Base!G250</f>
        <v>0</v>
      </c>
      <c r="BA250" s="1125">
        <f>+Details!H250-Base!H250</f>
        <v>0</v>
      </c>
      <c r="BB250" s="1125">
        <f>+Details!I250-Base!I250</f>
        <v>0</v>
      </c>
      <c r="BC250" s="1125">
        <f>+Details!J250-Base!J250</f>
        <v>0</v>
      </c>
      <c r="BD250" s="1125">
        <f>+Details!K250-Base!K250</f>
        <v>0</v>
      </c>
      <c r="BE250" s="1125">
        <f>+Details!L250-Base!L250</f>
        <v>0</v>
      </c>
      <c r="BF250" s="1125">
        <f>+Details!M250-Base!M250</f>
        <v>0</v>
      </c>
      <c r="BG250" s="1125">
        <f>+Details!N250-Base!N250</f>
        <v>0</v>
      </c>
      <c r="BH250" s="1125">
        <f>+Details!O250-Base!O250</f>
        <v>0</v>
      </c>
      <c r="BI250" s="1125">
        <f>+Details!P250-Base!P250</f>
        <v>0</v>
      </c>
      <c r="BJ250" s="1125">
        <f>+Details!Q250-Base!Q250</f>
        <v>0</v>
      </c>
      <c r="BK250" s="1125">
        <f>+Details!R250-Base!R250</f>
        <v>0</v>
      </c>
      <c r="BL250" s="1125">
        <f>+Details!S250-Base!S250</f>
        <v>0</v>
      </c>
      <c r="BM250" s="1125">
        <f>+Details!T250-Base!T250</f>
        <v>0</v>
      </c>
      <c r="BN250" s="1125">
        <f>+Details!U250-Base!U250</f>
        <v>0</v>
      </c>
      <c r="BO250" s="1125">
        <f>+Details!V250-Base!V250</f>
        <v>0</v>
      </c>
      <c r="BP250" s="1125">
        <f>+Details!W250-Base!W250</f>
        <v>0</v>
      </c>
      <c r="BQ250" s="1125">
        <f>+Details!X250-Base!X250</f>
        <v>0</v>
      </c>
      <c r="BR250" s="1125">
        <f>+Details!Y250-Base!Y250</f>
        <v>0</v>
      </c>
      <c r="BS250" s="1125">
        <f>+Details!Z250-Base!Z250</f>
        <v>0</v>
      </c>
      <c r="BT250" s="1125">
        <f>+Details!AA250-Base!AA250</f>
        <v>0</v>
      </c>
      <c r="BU250" s="1125">
        <f>+Details!AB250-Base!AB250</f>
        <v>0</v>
      </c>
      <c r="BV250" s="1125">
        <f>+Details!AC250-Base!AC250</f>
        <v>0</v>
      </c>
      <c r="BW250" s="1125">
        <f>+Details!AD250-Base!AD250</f>
        <v>0</v>
      </c>
      <c r="BX250" s="1125">
        <f>+Details!AE250-Base!AE250</f>
        <v>0</v>
      </c>
      <c r="BY250" s="1125">
        <f>+Details!AF250-Base!AF250</f>
        <v>0</v>
      </c>
      <c r="BZ250" s="1125">
        <f>+Details!AG250-Base!AG250</f>
        <v>0</v>
      </c>
      <c r="CA250" s="1125">
        <f>+Details!AH250-Base!AH250</f>
        <v>0</v>
      </c>
      <c r="CB250" s="1125">
        <f>+Details!AI250-Base!AI250</f>
        <v>0</v>
      </c>
      <c r="CC250" s="1125">
        <f>+Details!AJ250-Base!AJ250</f>
        <v>0</v>
      </c>
      <c r="CD250" s="1125">
        <f>+Details!AK250-Base!AK250</f>
        <v>0</v>
      </c>
      <c r="CE250" s="1125">
        <f>+Details!AL250-Base!AL250</f>
        <v>0</v>
      </c>
      <c r="CF250" s="1125">
        <f>+Details!AM250-Base!AM250</f>
        <v>0</v>
      </c>
      <c r="CG250" s="1125">
        <f>+Details!AN250-Base!AN250</f>
        <v>0</v>
      </c>
      <c r="CH250" s="1125">
        <f>+Details!AO250-Base!AO250</f>
        <v>0</v>
      </c>
      <c r="CI250" s="1125">
        <f>+Details!AP250-Base!AP250</f>
        <v>0</v>
      </c>
      <c r="CJ250" s="1125">
        <f>+Details!AQ250-Base!AQ250</f>
        <v>0</v>
      </c>
      <c r="CK250" s="1125">
        <f>+Details!AR250-Base!AR250</f>
        <v>0</v>
      </c>
      <c r="CL250" s="1125">
        <f>+Details!AS250-Base!AS250</f>
        <v>0</v>
      </c>
      <c r="CM250" s="103"/>
    </row>
    <row r="251" spans="1:91">
      <c r="B251" s="72" t="s">
        <v>927</v>
      </c>
      <c r="C251" s="3"/>
      <c r="E251" s="433">
        <f t="shared" ca="1" si="199"/>
        <v>725800</v>
      </c>
      <c r="F251" s="447">
        <f>+F249+F250</f>
        <v>709700</v>
      </c>
      <c r="G251" s="1124">
        <f t="shared" ref="G251:AS251" si="204">+G249+G250</f>
        <v>718700</v>
      </c>
      <c r="H251" s="1124">
        <f t="shared" si="204"/>
        <v>726900</v>
      </c>
      <c r="I251" s="1124">
        <f t="shared" si="204"/>
        <v>734200</v>
      </c>
      <c r="J251" s="1124">
        <f t="shared" si="204"/>
        <v>740500</v>
      </c>
      <c r="K251" s="1124">
        <f t="shared" si="204"/>
        <v>745600</v>
      </c>
      <c r="L251" s="1124">
        <f t="shared" si="204"/>
        <v>749400</v>
      </c>
      <c r="M251" s="1124">
        <f t="shared" si="204"/>
        <v>751900</v>
      </c>
      <c r="N251" s="1124">
        <f t="shared" si="204"/>
        <v>794900</v>
      </c>
      <c r="O251" s="1124">
        <f t="shared" si="204"/>
        <v>804300</v>
      </c>
      <c r="P251" s="1124">
        <f t="shared" si="204"/>
        <v>813800</v>
      </c>
      <c r="Q251" s="1124">
        <f t="shared" si="204"/>
        <v>823200</v>
      </c>
      <c r="R251" s="1124">
        <f t="shared" si="204"/>
        <v>832400</v>
      </c>
      <c r="S251" s="1124">
        <f t="shared" si="204"/>
        <v>841100</v>
      </c>
      <c r="T251" s="1124">
        <f t="shared" si="204"/>
        <v>854500</v>
      </c>
      <c r="U251" s="1124">
        <f t="shared" si="204"/>
        <v>866600</v>
      </c>
      <c r="V251" s="1124">
        <f t="shared" si="204"/>
        <v>877100</v>
      </c>
      <c r="W251" s="1124">
        <f t="shared" si="204"/>
        <v>885800</v>
      </c>
      <c r="X251" s="1124">
        <f t="shared" si="204"/>
        <v>886400</v>
      </c>
      <c r="Y251" s="1124">
        <f t="shared" si="204"/>
        <v>884900</v>
      </c>
      <c r="Z251" s="1124">
        <f t="shared" si="204"/>
        <v>881200</v>
      </c>
      <c r="AA251" s="1124">
        <f t="shared" si="204"/>
        <v>874900</v>
      </c>
      <c r="AB251" s="1124">
        <f t="shared" si="204"/>
        <v>866000</v>
      </c>
      <c r="AC251" s="1124">
        <f t="shared" si="204"/>
        <v>854500</v>
      </c>
      <c r="AD251" s="1124">
        <f t="shared" si="204"/>
        <v>840300</v>
      </c>
      <c r="AE251" s="1124">
        <f t="shared" si="204"/>
        <v>823300</v>
      </c>
      <c r="AF251" s="1124">
        <f t="shared" si="204"/>
        <v>803400</v>
      </c>
      <c r="AG251" s="1124">
        <f t="shared" si="204"/>
        <v>780400</v>
      </c>
      <c r="AH251" s="1124">
        <f t="shared" si="204"/>
        <v>754500</v>
      </c>
      <c r="AI251" s="1124">
        <f t="shared" si="204"/>
        <v>725800</v>
      </c>
      <c r="AJ251" s="1124">
        <f t="shared" si="204"/>
        <v>0</v>
      </c>
      <c r="AK251" s="1124">
        <f t="shared" si="204"/>
        <v>0</v>
      </c>
      <c r="AL251" s="1124">
        <f t="shared" si="204"/>
        <v>0</v>
      </c>
      <c r="AM251" s="1124">
        <f t="shared" si="204"/>
        <v>0</v>
      </c>
      <c r="AN251" s="1124">
        <f t="shared" si="204"/>
        <v>0</v>
      </c>
      <c r="AO251" s="1124">
        <f t="shared" si="204"/>
        <v>0</v>
      </c>
      <c r="AP251" s="1124">
        <f t="shared" si="204"/>
        <v>0</v>
      </c>
      <c r="AQ251" s="1124">
        <f t="shared" si="204"/>
        <v>0</v>
      </c>
      <c r="AR251" s="1124">
        <f t="shared" si="204"/>
        <v>0</v>
      </c>
      <c r="AS251" s="1124">
        <f t="shared" si="204"/>
        <v>0</v>
      </c>
      <c r="AU251" s="33">
        <f ca="1">+Details!E251</f>
        <v>725800</v>
      </c>
      <c r="AV251" s="81">
        <f t="shared" ca="1" si="201"/>
        <v>0</v>
      </c>
      <c r="AW251" s="110"/>
      <c r="AY251" s="31">
        <f>+Details!F251-Base!F251</f>
        <v>0</v>
      </c>
      <c r="AZ251" s="1124">
        <f>+Details!G251-Base!G251</f>
        <v>0</v>
      </c>
      <c r="BA251" s="1124">
        <f>+Details!H251-Base!H251</f>
        <v>0</v>
      </c>
      <c r="BB251" s="1124">
        <f>+Details!I251-Base!I251</f>
        <v>0</v>
      </c>
      <c r="BC251" s="1124">
        <f>+Details!J251-Base!J251</f>
        <v>0</v>
      </c>
      <c r="BD251" s="1124">
        <f>+Details!K251-Base!K251</f>
        <v>0</v>
      </c>
      <c r="BE251" s="1124">
        <f>+Details!L251-Base!L251</f>
        <v>0</v>
      </c>
      <c r="BF251" s="1124">
        <f>+Details!M251-Base!M251</f>
        <v>0</v>
      </c>
      <c r="BG251" s="1124">
        <f>+Details!N251-Base!N251</f>
        <v>0</v>
      </c>
      <c r="BH251" s="1124">
        <f>+Details!O251-Base!O251</f>
        <v>0</v>
      </c>
      <c r="BI251" s="1124">
        <f>+Details!P251-Base!P251</f>
        <v>0</v>
      </c>
      <c r="BJ251" s="1124">
        <f>+Details!Q251-Base!Q251</f>
        <v>0</v>
      </c>
      <c r="BK251" s="1124">
        <f>+Details!R251-Base!R251</f>
        <v>0</v>
      </c>
      <c r="BL251" s="1124">
        <f>+Details!S251-Base!S251</f>
        <v>0</v>
      </c>
      <c r="BM251" s="1124">
        <f>+Details!T251-Base!T251</f>
        <v>0</v>
      </c>
      <c r="BN251" s="1124">
        <f>+Details!U251-Base!U251</f>
        <v>0</v>
      </c>
      <c r="BO251" s="1124">
        <f>+Details!V251-Base!V251</f>
        <v>0</v>
      </c>
      <c r="BP251" s="1124">
        <f>+Details!W251-Base!W251</f>
        <v>0</v>
      </c>
      <c r="BQ251" s="1124">
        <f>+Details!X251-Base!X251</f>
        <v>0</v>
      </c>
      <c r="BR251" s="1124">
        <f>+Details!Y251-Base!Y251</f>
        <v>0</v>
      </c>
      <c r="BS251" s="1124">
        <f>+Details!Z251-Base!Z251</f>
        <v>0</v>
      </c>
      <c r="BT251" s="1124">
        <f>+Details!AA251-Base!AA251</f>
        <v>0</v>
      </c>
      <c r="BU251" s="1124">
        <f>+Details!AB251-Base!AB251</f>
        <v>0</v>
      </c>
      <c r="BV251" s="1124">
        <f>+Details!AC251-Base!AC251</f>
        <v>0</v>
      </c>
      <c r="BW251" s="1124">
        <f>+Details!AD251-Base!AD251</f>
        <v>0</v>
      </c>
      <c r="BX251" s="1124">
        <f>+Details!AE251-Base!AE251</f>
        <v>0</v>
      </c>
      <c r="BY251" s="1124">
        <f>+Details!AF251-Base!AF251</f>
        <v>0</v>
      </c>
      <c r="BZ251" s="1124">
        <f>+Details!AG251-Base!AG251</f>
        <v>0</v>
      </c>
      <c r="CA251" s="1124">
        <f>+Details!AH251-Base!AH251</f>
        <v>0</v>
      </c>
      <c r="CB251" s="1124">
        <f>+Details!AI251-Base!AI251</f>
        <v>0</v>
      </c>
      <c r="CC251" s="1124">
        <f>+Details!AJ251-Base!AJ251</f>
        <v>0</v>
      </c>
      <c r="CD251" s="1124">
        <f>+Details!AK251-Base!AK251</f>
        <v>0</v>
      </c>
      <c r="CE251" s="1124">
        <f>+Details!AL251-Base!AL251</f>
        <v>0</v>
      </c>
      <c r="CF251" s="1124">
        <f>+Details!AM251-Base!AM251</f>
        <v>0</v>
      </c>
      <c r="CG251" s="1124">
        <f>+Details!AN251-Base!AN251</f>
        <v>0</v>
      </c>
      <c r="CH251" s="1124">
        <f>+Details!AO251-Base!AO251</f>
        <v>0</v>
      </c>
      <c r="CI251" s="1124">
        <f>+Details!AP251-Base!AP251</f>
        <v>0</v>
      </c>
      <c r="CJ251" s="1124">
        <f>+Details!AQ251-Base!AQ251</f>
        <v>0</v>
      </c>
      <c r="CK251" s="1124">
        <f>+Details!AR251-Base!AR251</f>
        <v>0</v>
      </c>
      <c r="CL251" s="1124">
        <f>+Details!AS251-Base!AS251</f>
        <v>0</v>
      </c>
      <c r="CM251" s="81"/>
    </row>
    <row r="252" spans="1:91" hidden="1">
      <c r="A252" s="1427" t="s">
        <v>1578</v>
      </c>
      <c r="B252" s="234" t="s">
        <v>1118</v>
      </c>
      <c r="C252" s="3"/>
      <c r="E252" s="433">
        <f t="shared" ca="1" si="199"/>
        <v>0</v>
      </c>
      <c r="F252" s="447">
        <f t="shared" ref="F252:AS252" si="205">ROUND(+F12+F32+F105+F110+F113+F116,0)</f>
        <v>0</v>
      </c>
      <c r="G252" s="1124">
        <f t="shared" si="205"/>
        <v>0</v>
      </c>
      <c r="H252" s="1124">
        <f t="shared" si="205"/>
        <v>0</v>
      </c>
      <c r="I252" s="1124">
        <f t="shared" si="205"/>
        <v>0</v>
      </c>
      <c r="J252" s="1124">
        <f t="shared" si="205"/>
        <v>0</v>
      </c>
      <c r="K252" s="1124">
        <f t="shared" si="205"/>
        <v>0</v>
      </c>
      <c r="L252" s="1124">
        <f t="shared" si="205"/>
        <v>0</v>
      </c>
      <c r="M252" s="1124">
        <f t="shared" si="205"/>
        <v>0</v>
      </c>
      <c r="N252" s="1124">
        <f t="shared" si="205"/>
        <v>0</v>
      </c>
      <c r="O252" s="1124">
        <f t="shared" si="205"/>
        <v>0</v>
      </c>
      <c r="P252" s="1124">
        <f t="shared" si="205"/>
        <v>0</v>
      </c>
      <c r="Q252" s="1124">
        <f t="shared" si="205"/>
        <v>0</v>
      </c>
      <c r="R252" s="1124">
        <f t="shared" si="205"/>
        <v>0</v>
      </c>
      <c r="S252" s="1124">
        <f t="shared" si="205"/>
        <v>0</v>
      </c>
      <c r="T252" s="1124">
        <f t="shared" si="205"/>
        <v>0</v>
      </c>
      <c r="U252" s="1124">
        <f t="shared" si="205"/>
        <v>36000</v>
      </c>
      <c r="V252" s="1124">
        <f t="shared" si="205"/>
        <v>31000</v>
      </c>
      <c r="W252" s="1124">
        <f t="shared" si="205"/>
        <v>25900</v>
      </c>
      <c r="X252" s="1124">
        <f t="shared" si="205"/>
        <v>24500</v>
      </c>
      <c r="Y252" s="1124">
        <f t="shared" si="205"/>
        <v>22900</v>
      </c>
      <c r="Z252" s="1124">
        <f t="shared" si="205"/>
        <v>21000</v>
      </c>
      <c r="AA252" s="1124">
        <f t="shared" si="205"/>
        <v>18800</v>
      </c>
      <c r="AB252" s="1124">
        <f t="shared" si="205"/>
        <v>16300</v>
      </c>
      <c r="AC252" s="1124">
        <f t="shared" si="205"/>
        <v>13400</v>
      </c>
      <c r="AD252" s="1124">
        <f t="shared" si="205"/>
        <v>10100</v>
      </c>
      <c r="AE252" s="1124">
        <f t="shared" si="205"/>
        <v>6300</v>
      </c>
      <c r="AF252" s="1124">
        <f t="shared" si="205"/>
        <v>2000</v>
      </c>
      <c r="AG252" s="1124">
        <f t="shared" si="205"/>
        <v>0</v>
      </c>
      <c r="AH252" s="1124">
        <f t="shared" si="205"/>
        <v>0</v>
      </c>
      <c r="AI252" s="1124">
        <f t="shared" si="205"/>
        <v>0</v>
      </c>
      <c r="AJ252" s="1124">
        <f t="shared" si="205"/>
        <v>0</v>
      </c>
      <c r="AK252" s="1124">
        <f t="shared" si="205"/>
        <v>0</v>
      </c>
      <c r="AL252" s="1124">
        <f t="shared" si="205"/>
        <v>0</v>
      </c>
      <c r="AM252" s="1124">
        <f t="shared" si="205"/>
        <v>0</v>
      </c>
      <c r="AN252" s="1124">
        <f t="shared" si="205"/>
        <v>0</v>
      </c>
      <c r="AO252" s="1124">
        <f t="shared" si="205"/>
        <v>0</v>
      </c>
      <c r="AP252" s="1124">
        <f t="shared" si="205"/>
        <v>0</v>
      </c>
      <c r="AQ252" s="1124">
        <f t="shared" si="205"/>
        <v>0</v>
      </c>
      <c r="AR252" s="1124">
        <f t="shared" si="205"/>
        <v>0</v>
      </c>
      <c r="AS252" s="1124">
        <f t="shared" si="205"/>
        <v>0</v>
      </c>
      <c r="AU252" s="33">
        <f ca="1">+Details!E252</f>
        <v>0</v>
      </c>
      <c r="AV252" s="81">
        <f t="shared" ca="1" si="201"/>
        <v>0</v>
      </c>
      <c r="AW252" s="110"/>
      <c r="AY252" s="31">
        <f>+Details!F252-Base!F252</f>
        <v>0</v>
      </c>
      <c r="AZ252" s="1124">
        <f>+Details!G252-Base!G252</f>
        <v>0</v>
      </c>
      <c r="BA252" s="1124">
        <f>+Details!H252-Base!H252</f>
        <v>0</v>
      </c>
      <c r="BB252" s="1124">
        <f>+Details!I252-Base!I252</f>
        <v>0</v>
      </c>
      <c r="BC252" s="1124">
        <f>+Details!J252-Base!J252</f>
        <v>0</v>
      </c>
      <c r="BD252" s="1124">
        <f>+Details!K252-Base!K252</f>
        <v>0</v>
      </c>
      <c r="BE252" s="1124">
        <f>+Details!L252-Base!L252</f>
        <v>0</v>
      </c>
      <c r="BF252" s="1124">
        <f>+Details!M252-Base!M252</f>
        <v>0</v>
      </c>
      <c r="BG252" s="1124">
        <f>+Details!N252-Base!N252</f>
        <v>0</v>
      </c>
      <c r="BH252" s="1124">
        <f>+Details!O252-Base!O252</f>
        <v>0</v>
      </c>
      <c r="BI252" s="1124">
        <f>+Details!P252-Base!P252</f>
        <v>0</v>
      </c>
      <c r="BJ252" s="1124">
        <f>+Details!Q252-Base!Q252</f>
        <v>0</v>
      </c>
      <c r="BK252" s="1124">
        <f>+Details!R252-Base!R252</f>
        <v>0</v>
      </c>
      <c r="BL252" s="1124">
        <f>+Details!S252-Base!S252</f>
        <v>0</v>
      </c>
      <c r="BM252" s="1124">
        <f>+Details!T252-Base!T252</f>
        <v>0</v>
      </c>
      <c r="BN252" s="1124">
        <f>+Details!U252-Base!U252</f>
        <v>0</v>
      </c>
      <c r="BO252" s="1124">
        <f>+Details!V252-Base!V252</f>
        <v>0</v>
      </c>
      <c r="BP252" s="1124">
        <f>+Details!W252-Base!W252</f>
        <v>0</v>
      </c>
      <c r="BQ252" s="1124">
        <f>+Details!X252-Base!X252</f>
        <v>0</v>
      </c>
      <c r="BR252" s="1124">
        <f>+Details!Y252-Base!Y252</f>
        <v>0</v>
      </c>
      <c r="BS252" s="1124">
        <f>+Details!Z252-Base!Z252</f>
        <v>0</v>
      </c>
      <c r="BT252" s="1124">
        <f>+Details!AA252-Base!AA252</f>
        <v>0</v>
      </c>
      <c r="BU252" s="1124">
        <f>+Details!AB252-Base!AB252</f>
        <v>0</v>
      </c>
      <c r="BV252" s="1124">
        <f>+Details!AC252-Base!AC252</f>
        <v>0</v>
      </c>
      <c r="BW252" s="1124">
        <f>+Details!AD252-Base!AD252</f>
        <v>0</v>
      </c>
      <c r="BX252" s="1124">
        <f>+Details!AE252-Base!AE252</f>
        <v>0</v>
      </c>
      <c r="BY252" s="1124">
        <f>+Details!AF252-Base!AF252</f>
        <v>0</v>
      </c>
      <c r="BZ252" s="1124">
        <f>+Details!AG252-Base!AG252</f>
        <v>0</v>
      </c>
      <c r="CA252" s="1124">
        <f>+Details!AH252-Base!AH252</f>
        <v>0</v>
      </c>
      <c r="CB252" s="1124">
        <f>+Details!AI252-Base!AI252</f>
        <v>0</v>
      </c>
      <c r="CC252" s="1124">
        <f>+Details!AJ252-Base!AJ252</f>
        <v>0</v>
      </c>
      <c r="CD252" s="1124">
        <f>+Details!AK252-Base!AK252</f>
        <v>0</v>
      </c>
      <c r="CE252" s="1124">
        <f>+Details!AL252-Base!AL252</f>
        <v>0</v>
      </c>
      <c r="CF252" s="1124">
        <f>+Details!AM252-Base!AM252</f>
        <v>0</v>
      </c>
      <c r="CG252" s="1124">
        <f>+Details!AN252-Base!AN252</f>
        <v>0</v>
      </c>
      <c r="CH252" s="1124">
        <f>+Details!AO252-Base!AO252</f>
        <v>0</v>
      </c>
      <c r="CI252" s="1124">
        <f>+Details!AP252-Base!AP252</f>
        <v>0</v>
      </c>
      <c r="CJ252" s="1124">
        <f>+Details!AQ252-Base!AQ252</f>
        <v>0</v>
      </c>
      <c r="CK252" s="1124">
        <f>+Details!AR252-Base!AR252</f>
        <v>0</v>
      </c>
      <c r="CL252" s="1124">
        <f>+Details!AS252-Base!AS252</f>
        <v>0</v>
      </c>
      <c r="CM252" s="81"/>
    </row>
    <row r="253" spans="1:91" hidden="1">
      <c r="A253" s="1427" t="s">
        <v>1578</v>
      </c>
      <c r="B253" s="234" t="s">
        <v>1119</v>
      </c>
      <c r="C253" s="3"/>
      <c r="E253" s="1301">
        <f t="shared" ca="1" si="199"/>
        <v>0</v>
      </c>
      <c r="F253" s="127">
        <f t="shared" ref="F253:AS253" si="206">ROUND(+F13+F33+F106+F111+F114+F117,0)</f>
        <v>0</v>
      </c>
      <c r="G253" s="1125">
        <f t="shared" si="206"/>
        <v>0</v>
      </c>
      <c r="H253" s="1125">
        <f t="shared" si="206"/>
        <v>0</v>
      </c>
      <c r="I253" s="1125">
        <f t="shared" si="206"/>
        <v>0</v>
      </c>
      <c r="J253" s="1125">
        <f t="shared" si="206"/>
        <v>0</v>
      </c>
      <c r="K253" s="1125">
        <f t="shared" si="206"/>
        <v>0</v>
      </c>
      <c r="L253" s="1125">
        <f t="shared" si="206"/>
        <v>0</v>
      </c>
      <c r="M253" s="1125">
        <f t="shared" si="206"/>
        <v>0</v>
      </c>
      <c r="N253" s="1125">
        <f t="shared" si="206"/>
        <v>0</v>
      </c>
      <c r="O253" s="1125">
        <f t="shared" si="206"/>
        <v>0</v>
      </c>
      <c r="P253" s="1125">
        <f t="shared" si="206"/>
        <v>0</v>
      </c>
      <c r="Q253" s="1125">
        <f t="shared" si="206"/>
        <v>60000</v>
      </c>
      <c r="R253" s="1125">
        <f t="shared" si="206"/>
        <v>59300</v>
      </c>
      <c r="S253" s="1125">
        <f t="shared" si="206"/>
        <v>58400</v>
      </c>
      <c r="T253" s="1125">
        <f t="shared" si="206"/>
        <v>57100</v>
      </c>
      <c r="U253" s="1125">
        <f t="shared" si="206"/>
        <v>55500</v>
      </c>
      <c r="V253" s="1125">
        <f t="shared" si="206"/>
        <v>52500</v>
      </c>
      <c r="W253" s="1125">
        <f t="shared" si="206"/>
        <v>48900</v>
      </c>
      <c r="X253" s="1125">
        <f t="shared" si="206"/>
        <v>44500</v>
      </c>
      <c r="Y253" s="1125">
        <f t="shared" si="206"/>
        <v>41000</v>
      </c>
      <c r="Z253" s="1125">
        <f t="shared" si="206"/>
        <v>37000</v>
      </c>
      <c r="AA253" s="1125">
        <f t="shared" si="206"/>
        <v>32400</v>
      </c>
      <c r="AB253" s="1125">
        <f t="shared" si="206"/>
        <v>27100</v>
      </c>
      <c r="AC253" s="1125">
        <f t="shared" si="206"/>
        <v>21200</v>
      </c>
      <c r="AD253" s="1125">
        <f t="shared" si="206"/>
        <v>14500</v>
      </c>
      <c r="AE253" s="1125">
        <f t="shared" si="206"/>
        <v>7000</v>
      </c>
      <c r="AF253" s="1125">
        <f t="shared" si="206"/>
        <v>0</v>
      </c>
      <c r="AG253" s="1125">
        <f t="shared" si="206"/>
        <v>0</v>
      </c>
      <c r="AH253" s="1125">
        <f t="shared" si="206"/>
        <v>0</v>
      </c>
      <c r="AI253" s="1125">
        <f t="shared" si="206"/>
        <v>0</v>
      </c>
      <c r="AJ253" s="1125">
        <f t="shared" si="206"/>
        <v>0</v>
      </c>
      <c r="AK253" s="1125">
        <f t="shared" si="206"/>
        <v>0</v>
      </c>
      <c r="AL253" s="1125">
        <f t="shared" si="206"/>
        <v>0</v>
      </c>
      <c r="AM253" s="1125">
        <f t="shared" si="206"/>
        <v>0</v>
      </c>
      <c r="AN253" s="1125">
        <f t="shared" si="206"/>
        <v>0</v>
      </c>
      <c r="AO253" s="1125">
        <f t="shared" si="206"/>
        <v>0</v>
      </c>
      <c r="AP253" s="1125">
        <f t="shared" si="206"/>
        <v>0</v>
      </c>
      <c r="AQ253" s="1125">
        <f t="shared" si="206"/>
        <v>0</v>
      </c>
      <c r="AR253" s="1125">
        <f t="shared" si="206"/>
        <v>0</v>
      </c>
      <c r="AS253" s="1125">
        <f t="shared" si="206"/>
        <v>0</v>
      </c>
      <c r="AU253" s="35">
        <f ca="1">+Details!E253</f>
        <v>0</v>
      </c>
      <c r="AV253" s="83">
        <f t="shared" ca="1" si="201"/>
        <v>0</v>
      </c>
      <c r="AW253" s="110"/>
      <c r="AY253" s="38">
        <f>+Details!F253-Base!F253</f>
        <v>0</v>
      </c>
      <c r="AZ253" s="1125">
        <f>+Details!G253-Base!G253</f>
        <v>0</v>
      </c>
      <c r="BA253" s="1125">
        <f>+Details!H253-Base!H253</f>
        <v>0</v>
      </c>
      <c r="BB253" s="1125">
        <f>+Details!I253-Base!I253</f>
        <v>0</v>
      </c>
      <c r="BC253" s="1125">
        <f>+Details!J253-Base!J253</f>
        <v>0</v>
      </c>
      <c r="BD253" s="1125">
        <f>+Details!K253-Base!K253</f>
        <v>0</v>
      </c>
      <c r="BE253" s="1125">
        <f>+Details!L253-Base!L253</f>
        <v>0</v>
      </c>
      <c r="BF253" s="1125">
        <f>+Details!M253-Base!M253</f>
        <v>0</v>
      </c>
      <c r="BG253" s="1125">
        <f>+Details!N253-Base!N253</f>
        <v>0</v>
      </c>
      <c r="BH253" s="1125">
        <f>+Details!O253-Base!O253</f>
        <v>0</v>
      </c>
      <c r="BI253" s="1125">
        <f>+Details!P253-Base!P253</f>
        <v>0</v>
      </c>
      <c r="BJ253" s="1125">
        <f>+Details!Q253-Base!Q253</f>
        <v>0</v>
      </c>
      <c r="BK253" s="1125">
        <f>+Details!R253-Base!R253</f>
        <v>0</v>
      </c>
      <c r="BL253" s="1125">
        <f>+Details!S253-Base!S253</f>
        <v>0</v>
      </c>
      <c r="BM253" s="1125">
        <f>+Details!T253-Base!T253</f>
        <v>0</v>
      </c>
      <c r="BN253" s="1125">
        <f>+Details!U253-Base!U253</f>
        <v>0</v>
      </c>
      <c r="BO253" s="1125">
        <f>+Details!V253-Base!V253</f>
        <v>0</v>
      </c>
      <c r="BP253" s="1125">
        <f>+Details!W253-Base!W253</f>
        <v>0</v>
      </c>
      <c r="BQ253" s="1125">
        <f>+Details!X253-Base!X253</f>
        <v>0</v>
      </c>
      <c r="BR253" s="1125">
        <f>+Details!Y253-Base!Y253</f>
        <v>0</v>
      </c>
      <c r="BS253" s="1125">
        <f>+Details!Z253-Base!Z253</f>
        <v>0</v>
      </c>
      <c r="BT253" s="1125">
        <f>+Details!AA253-Base!AA253</f>
        <v>0</v>
      </c>
      <c r="BU253" s="1125">
        <f>+Details!AB253-Base!AB253</f>
        <v>0</v>
      </c>
      <c r="BV253" s="1125">
        <f>+Details!AC253-Base!AC253</f>
        <v>0</v>
      </c>
      <c r="BW253" s="1125">
        <f>+Details!AD253-Base!AD253</f>
        <v>0</v>
      </c>
      <c r="BX253" s="1125">
        <f>+Details!AE253-Base!AE253</f>
        <v>0</v>
      </c>
      <c r="BY253" s="1125">
        <f>+Details!AF253-Base!AF253</f>
        <v>0</v>
      </c>
      <c r="BZ253" s="1125">
        <f>+Details!AG253-Base!AG253</f>
        <v>0</v>
      </c>
      <c r="CA253" s="1125">
        <f>+Details!AH253-Base!AH253</f>
        <v>0</v>
      </c>
      <c r="CB253" s="1125">
        <f>+Details!AI253-Base!AI253</f>
        <v>0</v>
      </c>
      <c r="CC253" s="1125">
        <f>+Details!AJ253-Base!AJ253</f>
        <v>0</v>
      </c>
      <c r="CD253" s="1125">
        <f>+Details!AK253-Base!AK253</f>
        <v>0</v>
      </c>
      <c r="CE253" s="1125">
        <f>+Details!AL253-Base!AL253</f>
        <v>0</v>
      </c>
      <c r="CF253" s="1125">
        <f>+Details!AM253-Base!AM253</f>
        <v>0</v>
      </c>
      <c r="CG253" s="1125">
        <f>+Details!AN253-Base!AN253</f>
        <v>0</v>
      </c>
      <c r="CH253" s="1125">
        <f>+Details!AO253-Base!AO253</f>
        <v>0</v>
      </c>
      <c r="CI253" s="1125">
        <f>+Details!AP253-Base!AP253</f>
        <v>0</v>
      </c>
      <c r="CJ253" s="1125">
        <f>+Details!AQ253-Base!AQ253</f>
        <v>0</v>
      </c>
      <c r="CK253" s="1125">
        <f>+Details!AR253-Base!AR253</f>
        <v>0</v>
      </c>
      <c r="CL253" s="1125">
        <f>+Details!AS253-Base!AS253</f>
        <v>0</v>
      </c>
      <c r="CM253" s="103"/>
    </row>
    <row r="254" spans="1:91">
      <c r="B254" s="72" t="s">
        <v>807</v>
      </c>
      <c r="C254" s="3"/>
      <c r="E254" s="433">
        <f t="shared" ca="1" si="199"/>
        <v>0</v>
      </c>
      <c r="F254" s="447">
        <f>+F252+F253</f>
        <v>0</v>
      </c>
      <c r="G254" s="1124">
        <f t="shared" ref="G254:AS254" si="207">+G252+G253</f>
        <v>0</v>
      </c>
      <c r="H254" s="1124">
        <f t="shared" si="207"/>
        <v>0</v>
      </c>
      <c r="I254" s="1124">
        <f t="shared" si="207"/>
        <v>0</v>
      </c>
      <c r="J254" s="1124">
        <f t="shared" si="207"/>
        <v>0</v>
      </c>
      <c r="K254" s="1124">
        <f t="shared" si="207"/>
        <v>0</v>
      </c>
      <c r="L254" s="1124">
        <f t="shared" si="207"/>
        <v>0</v>
      </c>
      <c r="M254" s="1124">
        <f t="shared" si="207"/>
        <v>0</v>
      </c>
      <c r="N254" s="1124">
        <f t="shared" si="207"/>
        <v>0</v>
      </c>
      <c r="O254" s="1124">
        <f t="shared" si="207"/>
        <v>0</v>
      </c>
      <c r="P254" s="1124">
        <f t="shared" si="207"/>
        <v>0</v>
      </c>
      <c r="Q254" s="1124">
        <f t="shared" si="207"/>
        <v>60000</v>
      </c>
      <c r="R254" s="1124">
        <f t="shared" si="207"/>
        <v>59300</v>
      </c>
      <c r="S254" s="1124">
        <f t="shared" si="207"/>
        <v>58400</v>
      </c>
      <c r="T254" s="1124">
        <f t="shared" si="207"/>
        <v>57100</v>
      </c>
      <c r="U254" s="1124">
        <f t="shared" si="207"/>
        <v>91500</v>
      </c>
      <c r="V254" s="1124">
        <f t="shared" si="207"/>
        <v>83500</v>
      </c>
      <c r="W254" s="1124">
        <f t="shared" si="207"/>
        <v>74800</v>
      </c>
      <c r="X254" s="1124">
        <f t="shared" si="207"/>
        <v>69000</v>
      </c>
      <c r="Y254" s="1124">
        <f t="shared" si="207"/>
        <v>63900</v>
      </c>
      <c r="Z254" s="1124">
        <f t="shared" si="207"/>
        <v>58000</v>
      </c>
      <c r="AA254" s="1124">
        <f t="shared" si="207"/>
        <v>51200</v>
      </c>
      <c r="AB254" s="1124">
        <f t="shared" si="207"/>
        <v>43400</v>
      </c>
      <c r="AC254" s="1124">
        <f t="shared" si="207"/>
        <v>34600</v>
      </c>
      <c r="AD254" s="1124">
        <f t="shared" si="207"/>
        <v>24600</v>
      </c>
      <c r="AE254" s="1124">
        <f t="shared" si="207"/>
        <v>13300</v>
      </c>
      <c r="AF254" s="1124">
        <f t="shared" si="207"/>
        <v>2000</v>
      </c>
      <c r="AG254" s="1124">
        <f t="shared" si="207"/>
        <v>0</v>
      </c>
      <c r="AH254" s="1124">
        <f t="shared" si="207"/>
        <v>0</v>
      </c>
      <c r="AI254" s="1124">
        <f t="shared" si="207"/>
        <v>0</v>
      </c>
      <c r="AJ254" s="1124">
        <f t="shared" si="207"/>
        <v>0</v>
      </c>
      <c r="AK254" s="1124">
        <f t="shared" si="207"/>
        <v>0</v>
      </c>
      <c r="AL254" s="1124">
        <f t="shared" si="207"/>
        <v>0</v>
      </c>
      <c r="AM254" s="1124">
        <f t="shared" si="207"/>
        <v>0</v>
      </c>
      <c r="AN254" s="1124">
        <f t="shared" si="207"/>
        <v>0</v>
      </c>
      <c r="AO254" s="1124">
        <f t="shared" si="207"/>
        <v>0</v>
      </c>
      <c r="AP254" s="1124">
        <f t="shared" si="207"/>
        <v>0</v>
      </c>
      <c r="AQ254" s="1124">
        <f t="shared" si="207"/>
        <v>0</v>
      </c>
      <c r="AR254" s="1124">
        <f t="shared" si="207"/>
        <v>0</v>
      </c>
      <c r="AS254" s="1124">
        <f t="shared" si="207"/>
        <v>0</v>
      </c>
      <c r="AU254" s="33">
        <f ca="1">+Details!E254</f>
        <v>0</v>
      </c>
      <c r="AV254" s="81">
        <f t="shared" ca="1" si="201"/>
        <v>0</v>
      </c>
      <c r="AW254" s="110"/>
      <c r="AY254" s="31">
        <f>+Details!F254-Base!F254</f>
        <v>0</v>
      </c>
      <c r="AZ254" s="1124">
        <f>+Details!G254-Base!G254</f>
        <v>0</v>
      </c>
      <c r="BA254" s="1124">
        <f>+Details!H254-Base!H254</f>
        <v>0</v>
      </c>
      <c r="BB254" s="1124">
        <f>+Details!I254-Base!I254</f>
        <v>0</v>
      </c>
      <c r="BC254" s="1124">
        <f>+Details!J254-Base!J254</f>
        <v>0</v>
      </c>
      <c r="BD254" s="1124">
        <f>+Details!K254-Base!K254</f>
        <v>0</v>
      </c>
      <c r="BE254" s="1124">
        <f>+Details!L254-Base!L254</f>
        <v>0</v>
      </c>
      <c r="BF254" s="1124">
        <f>+Details!M254-Base!M254</f>
        <v>0</v>
      </c>
      <c r="BG254" s="1124">
        <f>+Details!N254-Base!N254</f>
        <v>0</v>
      </c>
      <c r="BH254" s="1124">
        <f>+Details!O254-Base!O254</f>
        <v>0</v>
      </c>
      <c r="BI254" s="1124">
        <f>+Details!P254-Base!P254</f>
        <v>0</v>
      </c>
      <c r="BJ254" s="1124">
        <f>+Details!Q254-Base!Q254</f>
        <v>0</v>
      </c>
      <c r="BK254" s="1124">
        <f>+Details!R254-Base!R254</f>
        <v>0</v>
      </c>
      <c r="BL254" s="1124">
        <f>+Details!S254-Base!S254</f>
        <v>0</v>
      </c>
      <c r="BM254" s="1124">
        <f>+Details!T254-Base!T254</f>
        <v>0</v>
      </c>
      <c r="BN254" s="1124">
        <f>+Details!U254-Base!U254</f>
        <v>0</v>
      </c>
      <c r="BO254" s="1124">
        <f>+Details!V254-Base!V254</f>
        <v>0</v>
      </c>
      <c r="BP254" s="1124">
        <f>+Details!W254-Base!W254</f>
        <v>0</v>
      </c>
      <c r="BQ254" s="1124">
        <f>+Details!X254-Base!X254</f>
        <v>0</v>
      </c>
      <c r="BR254" s="1124">
        <f>+Details!Y254-Base!Y254</f>
        <v>0</v>
      </c>
      <c r="BS254" s="1124">
        <f>+Details!Z254-Base!Z254</f>
        <v>0</v>
      </c>
      <c r="BT254" s="1124">
        <f>+Details!AA254-Base!AA254</f>
        <v>0</v>
      </c>
      <c r="BU254" s="1124">
        <f>+Details!AB254-Base!AB254</f>
        <v>0</v>
      </c>
      <c r="BV254" s="1124">
        <f>+Details!AC254-Base!AC254</f>
        <v>0</v>
      </c>
      <c r="BW254" s="1124">
        <f>+Details!AD254-Base!AD254</f>
        <v>0</v>
      </c>
      <c r="BX254" s="1124">
        <f>+Details!AE254-Base!AE254</f>
        <v>0</v>
      </c>
      <c r="BY254" s="1124">
        <f>+Details!AF254-Base!AF254</f>
        <v>0</v>
      </c>
      <c r="BZ254" s="1124">
        <f>+Details!AG254-Base!AG254</f>
        <v>0</v>
      </c>
      <c r="CA254" s="1124">
        <f>+Details!AH254-Base!AH254</f>
        <v>0</v>
      </c>
      <c r="CB254" s="1124">
        <f>+Details!AI254-Base!AI254</f>
        <v>0</v>
      </c>
      <c r="CC254" s="1124">
        <f>+Details!AJ254-Base!AJ254</f>
        <v>0</v>
      </c>
      <c r="CD254" s="1124">
        <f>+Details!AK254-Base!AK254</f>
        <v>0</v>
      </c>
      <c r="CE254" s="1124">
        <f>+Details!AL254-Base!AL254</f>
        <v>0</v>
      </c>
      <c r="CF254" s="1124">
        <f>+Details!AM254-Base!AM254</f>
        <v>0</v>
      </c>
      <c r="CG254" s="1124">
        <f>+Details!AN254-Base!AN254</f>
        <v>0</v>
      </c>
      <c r="CH254" s="1124">
        <f>+Details!AO254-Base!AO254</f>
        <v>0</v>
      </c>
      <c r="CI254" s="1124">
        <f>+Details!AP254-Base!AP254</f>
        <v>0</v>
      </c>
      <c r="CJ254" s="1124">
        <f>+Details!AQ254-Base!AQ254</f>
        <v>0</v>
      </c>
      <c r="CK254" s="1124">
        <f>+Details!AR254-Base!AR254</f>
        <v>0</v>
      </c>
      <c r="CL254" s="1124">
        <f>+Details!AS254-Base!AS254</f>
        <v>0</v>
      </c>
      <c r="CM254" s="81"/>
    </row>
    <row r="255" spans="1:91">
      <c r="B255" s="72" t="s">
        <v>760</v>
      </c>
      <c r="C255" s="3"/>
      <c r="E255" s="33">
        <f t="shared" ca="1" si="199"/>
        <v>416600</v>
      </c>
      <c r="F255" s="447">
        <f>ROUND(+F15+F35+F64+F120+F123+F126+F127,0)</f>
        <v>80700</v>
      </c>
      <c r="G255" s="1124">
        <f t="shared" ref="G255:AS255" si="208">ROUND(+G15+G35+G64+G120+G123+G126+G127,0)</f>
        <v>86800</v>
      </c>
      <c r="H255" s="1124">
        <f t="shared" si="208"/>
        <v>93400</v>
      </c>
      <c r="I255" s="1124">
        <f t="shared" si="208"/>
        <v>100500</v>
      </c>
      <c r="J255" s="1124">
        <f t="shared" si="208"/>
        <v>106700</v>
      </c>
      <c r="K255" s="1124">
        <f t="shared" si="208"/>
        <v>113300</v>
      </c>
      <c r="L255" s="1124">
        <f t="shared" si="208"/>
        <v>120300</v>
      </c>
      <c r="M255" s="1124">
        <f t="shared" si="208"/>
        <v>127800</v>
      </c>
      <c r="N255" s="1124">
        <f t="shared" si="208"/>
        <v>135700</v>
      </c>
      <c r="O255" s="1124">
        <f t="shared" si="208"/>
        <v>144100</v>
      </c>
      <c r="P255" s="1124">
        <f t="shared" si="208"/>
        <v>153000</v>
      </c>
      <c r="Q255" s="1124">
        <f t="shared" si="208"/>
        <v>162500</v>
      </c>
      <c r="R255" s="1124">
        <f t="shared" si="208"/>
        <v>172600</v>
      </c>
      <c r="S255" s="1124">
        <f t="shared" si="208"/>
        <v>183300</v>
      </c>
      <c r="T255" s="1124">
        <f t="shared" si="208"/>
        <v>194700</v>
      </c>
      <c r="U255" s="1124">
        <f t="shared" si="208"/>
        <v>206800</v>
      </c>
      <c r="V255" s="1124">
        <f t="shared" si="208"/>
        <v>219600</v>
      </c>
      <c r="W255" s="1124">
        <f t="shared" si="208"/>
        <v>233200</v>
      </c>
      <c r="X255" s="1124">
        <f t="shared" si="208"/>
        <v>244500</v>
      </c>
      <c r="Y255" s="1124">
        <f t="shared" si="208"/>
        <v>256400</v>
      </c>
      <c r="Z255" s="1124">
        <f t="shared" si="208"/>
        <v>269000</v>
      </c>
      <c r="AA255" s="1124">
        <f t="shared" si="208"/>
        <v>282200</v>
      </c>
      <c r="AB255" s="1124">
        <f t="shared" si="208"/>
        <v>296100</v>
      </c>
      <c r="AC255" s="1124">
        <f t="shared" si="208"/>
        <v>310800</v>
      </c>
      <c r="AD255" s="1124">
        <f t="shared" si="208"/>
        <v>326200</v>
      </c>
      <c r="AE255" s="1124">
        <f t="shared" si="208"/>
        <v>342500</v>
      </c>
      <c r="AF255" s="1124">
        <f t="shared" si="208"/>
        <v>359600</v>
      </c>
      <c r="AG255" s="1124">
        <f t="shared" si="208"/>
        <v>377600</v>
      </c>
      <c r="AH255" s="1124">
        <f t="shared" si="208"/>
        <v>396600</v>
      </c>
      <c r="AI255" s="1124">
        <f t="shared" si="208"/>
        <v>416600</v>
      </c>
      <c r="AJ255" s="1124">
        <f t="shared" si="208"/>
        <v>0</v>
      </c>
      <c r="AK255" s="1124">
        <f t="shared" si="208"/>
        <v>0</v>
      </c>
      <c r="AL255" s="1124">
        <f t="shared" si="208"/>
        <v>0</v>
      </c>
      <c r="AM255" s="1124">
        <f t="shared" si="208"/>
        <v>0</v>
      </c>
      <c r="AN255" s="1124">
        <f t="shared" si="208"/>
        <v>0</v>
      </c>
      <c r="AO255" s="1124">
        <f t="shared" si="208"/>
        <v>0</v>
      </c>
      <c r="AP255" s="1124">
        <f t="shared" si="208"/>
        <v>0</v>
      </c>
      <c r="AQ255" s="1124">
        <f t="shared" si="208"/>
        <v>0</v>
      </c>
      <c r="AR255" s="1124">
        <f t="shared" si="208"/>
        <v>0</v>
      </c>
      <c r="AS255" s="1124">
        <f t="shared" si="208"/>
        <v>0</v>
      </c>
      <c r="AU255" s="33">
        <f ca="1">+Details!E255</f>
        <v>416600</v>
      </c>
      <c r="AV255" s="81">
        <f t="shared" ca="1" si="201"/>
        <v>0</v>
      </c>
      <c r="AW255" s="110"/>
      <c r="AY255" s="31">
        <f>+Details!F255-Base!F255</f>
        <v>0</v>
      </c>
      <c r="AZ255" s="1124">
        <f>+Details!G255-Base!G255</f>
        <v>0</v>
      </c>
      <c r="BA255" s="1124">
        <f>+Details!H255-Base!H255</f>
        <v>0</v>
      </c>
      <c r="BB255" s="1124">
        <f>+Details!I255-Base!I255</f>
        <v>0</v>
      </c>
      <c r="BC255" s="1124">
        <f>+Details!J255-Base!J255</f>
        <v>0</v>
      </c>
      <c r="BD255" s="1124">
        <f>+Details!K255-Base!K255</f>
        <v>0</v>
      </c>
      <c r="BE255" s="1124">
        <f>+Details!L255-Base!L255</f>
        <v>0</v>
      </c>
      <c r="BF255" s="1124">
        <f>+Details!M255-Base!M255</f>
        <v>0</v>
      </c>
      <c r="BG255" s="1124">
        <f>+Details!N255-Base!N255</f>
        <v>0</v>
      </c>
      <c r="BH255" s="1124">
        <f>+Details!O255-Base!O255</f>
        <v>0</v>
      </c>
      <c r="BI255" s="1124">
        <f>+Details!P255-Base!P255</f>
        <v>0</v>
      </c>
      <c r="BJ255" s="1124">
        <f>+Details!Q255-Base!Q255</f>
        <v>0</v>
      </c>
      <c r="BK255" s="1124">
        <f>+Details!R255-Base!R255</f>
        <v>0</v>
      </c>
      <c r="BL255" s="1124">
        <f>+Details!S255-Base!S255</f>
        <v>0</v>
      </c>
      <c r="BM255" s="1124">
        <f>+Details!T255-Base!T255</f>
        <v>0</v>
      </c>
      <c r="BN255" s="1124">
        <f>+Details!U255-Base!U255</f>
        <v>0</v>
      </c>
      <c r="BO255" s="1124">
        <f>+Details!V255-Base!V255</f>
        <v>0</v>
      </c>
      <c r="BP255" s="1124">
        <f>+Details!W255-Base!W255</f>
        <v>0</v>
      </c>
      <c r="BQ255" s="1124">
        <f>+Details!X255-Base!X255</f>
        <v>0</v>
      </c>
      <c r="BR255" s="1124">
        <f>+Details!Y255-Base!Y255</f>
        <v>0</v>
      </c>
      <c r="BS255" s="1124">
        <f>+Details!Z255-Base!Z255</f>
        <v>0</v>
      </c>
      <c r="BT255" s="1124">
        <f>+Details!AA255-Base!AA255</f>
        <v>0</v>
      </c>
      <c r="BU255" s="1124">
        <f>+Details!AB255-Base!AB255</f>
        <v>0</v>
      </c>
      <c r="BV255" s="1124">
        <f>+Details!AC255-Base!AC255</f>
        <v>0</v>
      </c>
      <c r="BW255" s="1124">
        <f>+Details!AD255-Base!AD255</f>
        <v>0</v>
      </c>
      <c r="BX255" s="1124">
        <f>+Details!AE255-Base!AE255</f>
        <v>0</v>
      </c>
      <c r="BY255" s="1124">
        <f>+Details!AF255-Base!AF255</f>
        <v>0</v>
      </c>
      <c r="BZ255" s="1124">
        <f>+Details!AG255-Base!AG255</f>
        <v>0</v>
      </c>
      <c r="CA255" s="1124">
        <f>+Details!AH255-Base!AH255</f>
        <v>0</v>
      </c>
      <c r="CB255" s="1124">
        <f>+Details!AI255-Base!AI255</f>
        <v>0</v>
      </c>
      <c r="CC255" s="1124">
        <f>+Details!AJ255-Base!AJ255</f>
        <v>0</v>
      </c>
      <c r="CD255" s="1124">
        <f>+Details!AK255-Base!AK255</f>
        <v>0</v>
      </c>
      <c r="CE255" s="1124">
        <f>+Details!AL255-Base!AL255</f>
        <v>0</v>
      </c>
      <c r="CF255" s="1124">
        <f>+Details!AM255-Base!AM255</f>
        <v>0</v>
      </c>
      <c r="CG255" s="1124">
        <f>+Details!AN255-Base!AN255</f>
        <v>0</v>
      </c>
      <c r="CH255" s="1124">
        <f>+Details!AO255-Base!AO255</f>
        <v>0</v>
      </c>
      <c r="CI255" s="1124">
        <f>+Details!AP255-Base!AP255</f>
        <v>0</v>
      </c>
      <c r="CJ255" s="1124">
        <f>+Details!AQ255-Base!AQ255</f>
        <v>0</v>
      </c>
      <c r="CK255" s="1124">
        <f>+Details!AR255-Base!AR255</f>
        <v>0</v>
      </c>
      <c r="CL255" s="1124">
        <f>+Details!AS255-Base!AS255</f>
        <v>0</v>
      </c>
      <c r="CM255" s="81"/>
    </row>
    <row r="256" spans="1:91">
      <c r="B256" s="72" t="s">
        <v>761</v>
      </c>
      <c r="C256" s="3"/>
      <c r="E256" s="35">
        <f t="shared" ca="1" si="199"/>
        <v>21100</v>
      </c>
      <c r="F256" s="127">
        <f t="shared" ref="F256:AS256" si="209">ROUND(+F16+F36+F124,0)</f>
        <v>26400</v>
      </c>
      <c r="G256" s="1125">
        <f t="shared" si="209"/>
        <v>27900</v>
      </c>
      <c r="H256" s="1125">
        <f t="shared" si="209"/>
        <v>29500</v>
      </c>
      <c r="I256" s="1125">
        <f t="shared" si="209"/>
        <v>31200</v>
      </c>
      <c r="J256" s="1125">
        <f t="shared" si="209"/>
        <v>33000</v>
      </c>
      <c r="K256" s="1125">
        <f t="shared" si="209"/>
        <v>34900</v>
      </c>
      <c r="L256" s="1125">
        <f t="shared" si="209"/>
        <v>36900</v>
      </c>
      <c r="M256" s="1125">
        <f t="shared" si="209"/>
        <v>39000</v>
      </c>
      <c r="N256" s="1125">
        <f t="shared" si="209"/>
        <v>36100</v>
      </c>
      <c r="O256" s="1125">
        <f t="shared" si="209"/>
        <v>32500</v>
      </c>
      <c r="P256" s="1125">
        <f t="shared" si="209"/>
        <v>28100</v>
      </c>
      <c r="Q256" s="1125">
        <f t="shared" si="209"/>
        <v>22800</v>
      </c>
      <c r="R256" s="1125">
        <f t="shared" si="209"/>
        <v>16500</v>
      </c>
      <c r="S256" s="1125">
        <f t="shared" si="209"/>
        <v>9100</v>
      </c>
      <c r="T256" s="1125">
        <f t="shared" si="209"/>
        <v>9600</v>
      </c>
      <c r="U256" s="1125">
        <f t="shared" si="209"/>
        <v>10100</v>
      </c>
      <c r="V256" s="1125">
        <f t="shared" si="209"/>
        <v>10700</v>
      </c>
      <c r="W256" s="1125">
        <f t="shared" si="209"/>
        <v>11300</v>
      </c>
      <c r="X256" s="1125">
        <f t="shared" si="209"/>
        <v>11900</v>
      </c>
      <c r="Y256" s="1125">
        <f t="shared" si="209"/>
        <v>12500</v>
      </c>
      <c r="Z256" s="1125">
        <f t="shared" si="209"/>
        <v>13200</v>
      </c>
      <c r="AA256" s="1125">
        <f t="shared" si="209"/>
        <v>13900</v>
      </c>
      <c r="AB256" s="1125">
        <f t="shared" si="209"/>
        <v>14600</v>
      </c>
      <c r="AC256" s="1125">
        <f t="shared" si="209"/>
        <v>15400</v>
      </c>
      <c r="AD256" s="1125">
        <f t="shared" si="209"/>
        <v>16200</v>
      </c>
      <c r="AE256" s="1125">
        <f t="shared" si="209"/>
        <v>17100</v>
      </c>
      <c r="AF256" s="1125">
        <f t="shared" si="209"/>
        <v>18000</v>
      </c>
      <c r="AG256" s="1125">
        <f t="shared" si="209"/>
        <v>19000</v>
      </c>
      <c r="AH256" s="1125">
        <f t="shared" si="209"/>
        <v>20000</v>
      </c>
      <c r="AI256" s="1125">
        <f t="shared" si="209"/>
        <v>21100</v>
      </c>
      <c r="AJ256" s="1125">
        <f t="shared" si="209"/>
        <v>0</v>
      </c>
      <c r="AK256" s="1125">
        <f t="shared" si="209"/>
        <v>0</v>
      </c>
      <c r="AL256" s="1125">
        <f t="shared" si="209"/>
        <v>0</v>
      </c>
      <c r="AM256" s="1125">
        <f t="shared" si="209"/>
        <v>0</v>
      </c>
      <c r="AN256" s="1125">
        <f t="shared" si="209"/>
        <v>0</v>
      </c>
      <c r="AO256" s="1125">
        <f t="shared" si="209"/>
        <v>0</v>
      </c>
      <c r="AP256" s="1125">
        <f t="shared" si="209"/>
        <v>0</v>
      </c>
      <c r="AQ256" s="1125">
        <f t="shared" si="209"/>
        <v>0</v>
      </c>
      <c r="AR256" s="1125">
        <f t="shared" si="209"/>
        <v>0</v>
      </c>
      <c r="AS256" s="1125">
        <f t="shared" si="209"/>
        <v>0</v>
      </c>
      <c r="AU256" s="35">
        <f ca="1">+Details!E256</f>
        <v>21100</v>
      </c>
      <c r="AV256" s="83">
        <f t="shared" ca="1" si="201"/>
        <v>0</v>
      </c>
      <c r="AW256" s="110"/>
      <c r="AY256" s="38">
        <f>+Details!F256-Base!F256</f>
        <v>0</v>
      </c>
      <c r="AZ256" s="1125">
        <f>+Details!G256-Base!G256</f>
        <v>0</v>
      </c>
      <c r="BA256" s="1125">
        <f>+Details!H256-Base!H256</f>
        <v>0</v>
      </c>
      <c r="BB256" s="1125">
        <f>+Details!I256-Base!I256</f>
        <v>0</v>
      </c>
      <c r="BC256" s="1125">
        <f>+Details!J256-Base!J256</f>
        <v>0</v>
      </c>
      <c r="BD256" s="1125">
        <f>+Details!K256-Base!K256</f>
        <v>0</v>
      </c>
      <c r="BE256" s="1125">
        <f>+Details!L256-Base!L256</f>
        <v>0</v>
      </c>
      <c r="BF256" s="1125">
        <f>+Details!M256-Base!M256</f>
        <v>0</v>
      </c>
      <c r="BG256" s="1125">
        <f>+Details!N256-Base!N256</f>
        <v>0</v>
      </c>
      <c r="BH256" s="1125">
        <f>+Details!O256-Base!O256</f>
        <v>0</v>
      </c>
      <c r="BI256" s="1125">
        <f>+Details!P256-Base!P256</f>
        <v>0</v>
      </c>
      <c r="BJ256" s="1125">
        <f>+Details!Q256-Base!Q256</f>
        <v>0</v>
      </c>
      <c r="BK256" s="1125">
        <f>+Details!R256-Base!R256</f>
        <v>0</v>
      </c>
      <c r="BL256" s="1125">
        <f>+Details!S256-Base!S256</f>
        <v>0</v>
      </c>
      <c r="BM256" s="1125">
        <f>+Details!T256-Base!T256</f>
        <v>0</v>
      </c>
      <c r="BN256" s="1125">
        <f>+Details!U256-Base!U256</f>
        <v>0</v>
      </c>
      <c r="BO256" s="1125">
        <f>+Details!V256-Base!V256</f>
        <v>0</v>
      </c>
      <c r="BP256" s="1125">
        <f>+Details!W256-Base!W256</f>
        <v>0</v>
      </c>
      <c r="BQ256" s="1125">
        <f>+Details!X256-Base!X256</f>
        <v>0</v>
      </c>
      <c r="BR256" s="1125">
        <f>+Details!Y256-Base!Y256</f>
        <v>0</v>
      </c>
      <c r="BS256" s="1125">
        <f>+Details!Z256-Base!Z256</f>
        <v>0</v>
      </c>
      <c r="BT256" s="1125">
        <f>+Details!AA256-Base!AA256</f>
        <v>0</v>
      </c>
      <c r="BU256" s="1125">
        <f>+Details!AB256-Base!AB256</f>
        <v>0</v>
      </c>
      <c r="BV256" s="1125">
        <f>+Details!AC256-Base!AC256</f>
        <v>0</v>
      </c>
      <c r="BW256" s="1125">
        <f>+Details!AD256-Base!AD256</f>
        <v>0</v>
      </c>
      <c r="BX256" s="1125">
        <f>+Details!AE256-Base!AE256</f>
        <v>0</v>
      </c>
      <c r="BY256" s="1125">
        <f>+Details!AF256-Base!AF256</f>
        <v>0</v>
      </c>
      <c r="BZ256" s="1125">
        <f>+Details!AG256-Base!AG256</f>
        <v>0</v>
      </c>
      <c r="CA256" s="1125">
        <f>+Details!AH256-Base!AH256</f>
        <v>0</v>
      </c>
      <c r="CB256" s="1125">
        <f>+Details!AI256-Base!AI256</f>
        <v>0</v>
      </c>
      <c r="CC256" s="1125">
        <f>+Details!AJ256-Base!AJ256</f>
        <v>0</v>
      </c>
      <c r="CD256" s="1125">
        <f>+Details!AK256-Base!AK256</f>
        <v>0</v>
      </c>
      <c r="CE256" s="1125">
        <f>+Details!AL256-Base!AL256</f>
        <v>0</v>
      </c>
      <c r="CF256" s="1125">
        <f>+Details!AM256-Base!AM256</f>
        <v>0</v>
      </c>
      <c r="CG256" s="1125">
        <f>+Details!AN256-Base!AN256</f>
        <v>0</v>
      </c>
      <c r="CH256" s="1125">
        <f>+Details!AO256-Base!AO256</f>
        <v>0</v>
      </c>
      <c r="CI256" s="1125">
        <f>+Details!AP256-Base!AP256</f>
        <v>0</v>
      </c>
      <c r="CJ256" s="1125">
        <f>+Details!AQ256-Base!AQ256</f>
        <v>0</v>
      </c>
      <c r="CK256" s="1125">
        <f>+Details!AR256-Base!AR256</f>
        <v>0</v>
      </c>
      <c r="CL256" s="1125">
        <f>+Details!AS256-Base!AS256</f>
        <v>0</v>
      </c>
      <c r="CM256" s="81"/>
    </row>
    <row r="257" spans="1:91">
      <c r="B257" s="72" t="s">
        <v>938</v>
      </c>
      <c r="C257" s="3"/>
      <c r="E257" s="33">
        <f t="shared" ca="1" si="199"/>
        <v>437700</v>
      </c>
      <c r="F257" s="31">
        <f>+F255+F256</f>
        <v>107100</v>
      </c>
      <c r="G257" s="1124">
        <f t="shared" ref="G257:AS257" si="210">+G255+G256</f>
        <v>114700</v>
      </c>
      <c r="H257" s="1124">
        <f t="shared" si="210"/>
        <v>122900</v>
      </c>
      <c r="I257" s="1124">
        <f t="shared" si="210"/>
        <v>131700</v>
      </c>
      <c r="J257" s="1124">
        <f t="shared" si="210"/>
        <v>139700</v>
      </c>
      <c r="K257" s="1124">
        <f t="shared" si="210"/>
        <v>148200</v>
      </c>
      <c r="L257" s="1124">
        <f t="shared" si="210"/>
        <v>157200</v>
      </c>
      <c r="M257" s="1124">
        <f t="shared" si="210"/>
        <v>166800</v>
      </c>
      <c r="N257" s="1124">
        <f t="shared" si="210"/>
        <v>171800</v>
      </c>
      <c r="O257" s="1124">
        <f t="shared" si="210"/>
        <v>176600</v>
      </c>
      <c r="P257" s="1124">
        <f t="shared" si="210"/>
        <v>181100</v>
      </c>
      <c r="Q257" s="1124">
        <f t="shared" si="210"/>
        <v>185300</v>
      </c>
      <c r="R257" s="1124">
        <f t="shared" si="210"/>
        <v>189100</v>
      </c>
      <c r="S257" s="1124">
        <f t="shared" si="210"/>
        <v>192400</v>
      </c>
      <c r="T257" s="1124">
        <f t="shared" si="210"/>
        <v>204300</v>
      </c>
      <c r="U257" s="1124">
        <f t="shared" si="210"/>
        <v>216900</v>
      </c>
      <c r="V257" s="1124">
        <f t="shared" si="210"/>
        <v>230300</v>
      </c>
      <c r="W257" s="1124">
        <f t="shared" si="210"/>
        <v>244500</v>
      </c>
      <c r="X257" s="1124">
        <f t="shared" si="210"/>
        <v>256400</v>
      </c>
      <c r="Y257" s="1124">
        <f t="shared" si="210"/>
        <v>268900</v>
      </c>
      <c r="Z257" s="1124">
        <f t="shared" si="210"/>
        <v>282200</v>
      </c>
      <c r="AA257" s="1124">
        <f t="shared" si="210"/>
        <v>296100</v>
      </c>
      <c r="AB257" s="1124">
        <f t="shared" si="210"/>
        <v>310700</v>
      </c>
      <c r="AC257" s="1124">
        <f t="shared" si="210"/>
        <v>326200</v>
      </c>
      <c r="AD257" s="1124">
        <f t="shared" si="210"/>
        <v>342400</v>
      </c>
      <c r="AE257" s="1124">
        <f t="shared" si="210"/>
        <v>359600</v>
      </c>
      <c r="AF257" s="1124">
        <f t="shared" si="210"/>
        <v>377600</v>
      </c>
      <c r="AG257" s="1124">
        <f t="shared" si="210"/>
        <v>396600</v>
      </c>
      <c r="AH257" s="1124">
        <f t="shared" si="210"/>
        <v>416600</v>
      </c>
      <c r="AI257" s="1124">
        <f t="shared" si="210"/>
        <v>437700</v>
      </c>
      <c r="AJ257" s="1124">
        <f t="shared" si="210"/>
        <v>0</v>
      </c>
      <c r="AK257" s="1124">
        <f t="shared" si="210"/>
        <v>0</v>
      </c>
      <c r="AL257" s="1124">
        <f t="shared" si="210"/>
        <v>0</v>
      </c>
      <c r="AM257" s="1124">
        <f t="shared" si="210"/>
        <v>0</v>
      </c>
      <c r="AN257" s="1124">
        <f t="shared" si="210"/>
        <v>0</v>
      </c>
      <c r="AO257" s="1124">
        <f t="shared" si="210"/>
        <v>0</v>
      </c>
      <c r="AP257" s="1124">
        <f t="shared" si="210"/>
        <v>0</v>
      </c>
      <c r="AQ257" s="1124">
        <f t="shared" si="210"/>
        <v>0</v>
      </c>
      <c r="AR257" s="1124">
        <f t="shared" si="210"/>
        <v>0</v>
      </c>
      <c r="AS257" s="1124">
        <f t="shared" si="210"/>
        <v>0</v>
      </c>
      <c r="AU257" s="33">
        <f ca="1">+Details!E257</f>
        <v>437700</v>
      </c>
      <c r="AV257" s="81">
        <f t="shared" ca="1" si="201"/>
        <v>0</v>
      </c>
      <c r="AW257" s="110"/>
      <c r="AY257" s="31">
        <f>+Details!F257-Base!F257</f>
        <v>0</v>
      </c>
      <c r="AZ257" s="1124">
        <f>+Details!G257-Base!G257</f>
        <v>0</v>
      </c>
      <c r="BA257" s="1124">
        <f>+Details!H257-Base!H257</f>
        <v>0</v>
      </c>
      <c r="BB257" s="1124">
        <f>+Details!I257-Base!I257</f>
        <v>0</v>
      </c>
      <c r="BC257" s="1124">
        <f>+Details!J257-Base!J257</f>
        <v>0</v>
      </c>
      <c r="BD257" s="1124">
        <f>+Details!K257-Base!K257</f>
        <v>0</v>
      </c>
      <c r="BE257" s="1124">
        <f>+Details!L257-Base!L257</f>
        <v>0</v>
      </c>
      <c r="BF257" s="1124">
        <f>+Details!M257-Base!M257</f>
        <v>0</v>
      </c>
      <c r="BG257" s="1124">
        <f>+Details!N257-Base!N257</f>
        <v>0</v>
      </c>
      <c r="BH257" s="1124">
        <f>+Details!O257-Base!O257</f>
        <v>0</v>
      </c>
      <c r="BI257" s="1124">
        <f>+Details!P257-Base!P257</f>
        <v>0</v>
      </c>
      <c r="BJ257" s="1124">
        <f>+Details!Q257-Base!Q257</f>
        <v>0</v>
      </c>
      <c r="BK257" s="1124">
        <f>+Details!R257-Base!R257</f>
        <v>0</v>
      </c>
      <c r="BL257" s="1124">
        <f>+Details!S257-Base!S257</f>
        <v>0</v>
      </c>
      <c r="BM257" s="1124">
        <f>+Details!T257-Base!T257</f>
        <v>0</v>
      </c>
      <c r="BN257" s="1124">
        <f>+Details!U257-Base!U257</f>
        <v>0</v>
      </c>
      <c r="BO257" s="1124">
        <f>+Details!V257-Base!V257</f>
        <v>0</v>
      </c>
      <c r="BP257" s="1124">
        <f>+Details!W257-Base!W257</f>
        <v>0</v>
      </c>
      <c r="BQ257" s="1124">
        <f>+Details!X257-Base!X257</f>
        <v>0</v>
      </c>
      <c r="BR257" s="1124">
        <f>+Details!Y257-Base!Y257</f>
        <v>0</v>
      </c>
      <c r="BS257" s="1124">
        <f>+Details!Z257-Base!Z257</f>
        <v>0</v>
      </c>
      <c r="BT257" s="1124">
        <f>+Details!AA257-Base!AA257</f>
        <v>0</v>
      </c>
      <c r="BU257" s="1124">
        <f>+Details!AB257-Base!AB257</f>
        <v>0</v>
      </c>
      <c r="BV257" s="1124">
        <f>+Details!AC257-Base!AC257</f>
        <v>0</v>
      </c>
      <c r="BW257" s="1124">
        <f>+Details!AD257-Base!AD257</f>
        <v>0</v>
      </c>
      <c r="BX257" s="1124">
        <f>+Details!AE257-Base!AE257</f>
        <v>0</v>
      </c>
      <c r="BY257" s="1124">
        <f>+Details!AF257-Base!AF257</f>
        <v>0</v>
      </c>
      <c r="BZ257" s="1124">
        <f>+Details!AG257-Base!AG257</f>
        <v>0</v>
      </c>
      <c r="CA257" s="1124">
        <f>+Details!AH257-Base!AH257</f>
        <v>0</v>
      </c>
      <c r="CB257" s="1124">
        <f>+Details!AI257-Base!AI257</f>
        <v>0</v>
      </c>
      <c r="CC257" s="1124">
        <f>+Details!AJ257-Base!AJ257</f>
        <v>0</v>
      </c>
      <c r="CD257" s="1124">
        <f>+Details!AK257-Base!AK257</f>
        <v>0</v>
      </c>
      <c r="CE257" s="1124">
        <f>+Details!AL257-Base!AL257</f>
        <v>0</v>
      </c>
      <c r="CF257" s="1124">
        <f>+Details!AM257-Base!AM257</f>
        <v>0</v>
      </c>
      <c r="CG257" s="1124">
        <f>+Details!AN257-Base!AN257</f>
        <v>0</v>
      </c>
      <c r="CH257" s="1124">
        <f>+Details!AO257-Base!AO257</f>
        <v>0</v>
      </c>
      <c r="CI257" s="1124">
        <f>+Details!AP257-Base!AP257</f>
        <v>0</v>
      </c>
      <c r="CJ257" s="1124">
        <f>+Details!AQ257-Base!AQ257</f>
        <v>0</v>
      </c>
      <c r="CK257" s="1124">
        <f>+Details!AR257-Base!AR257</f>
        <v>0</v>
      </c>
      <c r="CL257" s="1124">
        <f>+Details!AS257-Base!AS257</f>
        <v>0</v>
      </c>
      <c r="CM257" s="81"/>
    </row>
    <row r="258" spans="1:91">
      <c r="B258" s="72" t="s">
        <v>939</v>
      </c>
      <c r="C258" s="3"/>
      <c r="E258" s="35">
        <f t="shared" ca="1" si="199"/>
        <v>0</v>
      </c>
      <c r="F258" s="38">
        <f t="shared" ref="F258:AS258" si="211">ROUND(+F18+F38+F133+F134+F135,0)</f>
        <v>0</v>
      </c>
      <c r="G258" s="1125">
        <f t="shared" si="211"/>
        <v>0</v>
      </c>
      <c r="H258" s="1125">
        <f t="shared" si="211"/>
        <v>0</v>
      </c>
      <c r="I258" s="1125">
        <f t="shared" si="211"/>
        <v>0</v>
      </c>
      <c r="J258" s="1125">
        <f t="shared" si="211"/>
        <v>0</v>
      </c>
      <c r="K258" s="1125">
        <f t="shared" si="211"/>
        <v>0</v>
      </c>
      <c r="L258" s="1125">
        <f t="shared" si="211"/>
        <v>0</v>
      </c>
      <c r="M258" s="1125">
        <f t="shared" si="211"/>
        <v>0</v>
      </c>
      <c r="N258" s="1125">
        <f t="shared" si="211"/>
        <v>0</v>
      </c>
      <c r="O258" s="1125">
        <f t="shared" si="211"/>
        <v>0</v>
      </c>
      <c r="P258" s="1125">
        <f t="shared" si="211"/>
        <v>0</v>
      </c>
      <c r="Q258" s="1125">
        <f t="shared" si="211"/>
        <v>0</v>
      </c>
      <c r="R258" s="1125">
        <f t="shared" si="211"/>
        <v>0</v>
      </c>
      <c r="S258" s="1125">
        <f t="shared" si="211"/>
        <v>0</v>
      </c>
      <c r="T258" s="1125">
        <f t="shared" si="211"/>
        <v>0</v>
      </c>
      <c r="U258" s="1125">
        <f t="shared" si="211"/>
        <v>0</v>
      </c>
      <c r="V258" s="1125">
        <f t="shared" si="211"/>
        <v>0</v>
      </c>
      <c r="W258" s="1125">
        <f t="shared" si="211"/>
        <v>0</v>
      </c>
      <c r="X258" s="1125">
        <f t="shared" si="211"/>
        <v>0</v>
      </c>
      <c r="Y258" s="1125">
        <f t="shared" si="211"/>
        <v>0</v>
      </c>
      <c r="Z258" s="1125">
        <f t="shared" si="211"/>
        <v>0</v>
      </c>
      <c r="AA258" s="1125">
        <f t="shared" si="211"/>
        <v>0</v>
      </c>
      <c r="AB258" s="1125">
        <f t="shared" si="211"/>
        <v>0</v>
      </c>
      <c r="AC258" s="1125">
        <f t="shared" si="211"/>
        <v>0</v>
      </c>
      <c r="AD258" s="1125">
        <f t="shared" si="211"/>
        <v>0</v>
      </c>
      <c r="AE258" s="1125">
        <f t="shared" si="211"/>
        <v>0</v>
      </c>
      <c r="AF258" s="1125">
        <f t="shared" si="211"/>
        <v>0</v>
      </c>
      <c r="AG258" s="1125">
        <f t="shared" si="211"/>
        <v>0</v>
      </c>
      <c r="AH258" s="1125">
        <f t="shared" si="211"/>
        <v>0</v>
      </c>
      <c r="AI258" s="1125">
        <f t="shared" si="211"/>
        <v>0</v>
      </c>
      <c r="AJ258" s="1125">
        <f t="shared" si="211"/>
        <v>0</v>
      </c>
      <c r="AK258" s="1125">
        <f t="shared" si="211"/>
        <v>0</v>
      </c>
      <c r="AL258" s="1125">
        <f t="shared" si="211"/>
        <v>0</v>
      </c>
      <c r="AM258" s="1125">
        <f t="shared" si="211"/>
        <v>0</v>
      </c>
      <c r="AN258" s="1125">
        <f t="shared" si="211"/>
        <v>0</v>
      </c>
      <c r="AO258" s="1125">
        <f t="shared" si="211"/>
        <v>0</v>
      </c>
      <c r="AP258" s="1125">
        <f t="shared" si="211"/>
        <v>0</v>
      </c>
      <c r="AQ258" s="1125">
        <f t="shared" si="211"/>
        <v>0</v>
      </c>
      <c r="AR258" s="1125">
        <f t="shared" si="211"/>
        <v>0</v>
      </c>
      <c r="AS258" s="1125">
        <f t="shared" si="211"/>
        <v>0</v>
      </c>
      <c r="AU258" s="35">
        <f ca="1">+Details!E258</f>
        <v>0</v>
      </c>
      <c r="AV258" s="83">
        <f t="shared" ca="1" si="201"/>
        <v>0</v>
      </c>
      <c r="AW258" s="110"/>
      <c r="AY258" s="38">
        <f>+Details!F258-Base!F258</f>
        <v>0</v>
      </c>
      <c r="AZ258" s="1125">
        <f>+Details!G258-Base!G258</f>
        <v>0</v>
      </c>
      <c r="BA258" s="1125">
        <f>+Details!H258-Base!H258</f>
        <v>0</v>
      </c>
      <c r="BB258" s="1125">
        <f>+Details!I258-Base!I258</f>
        <v>0</v>
      </c>
      <c r="BC258" s="1125">
        <f>+Details!J258-Base!J258</f>
        <v>0</v>
      </c>
      <c r="BD258" s="1125">
        <f>+Details!K258-Base!K258</f>
        <v>0</v>
      </c>
      <c r="BE258" s="1125">
        <f>+Details!L258-Base!L258</f>
        <v>0</v>
      </c>
      <c r="BF258" s="1125">
        <f>+Details!M258-Base!M258</f>
        <v>0</v>
      </c>
      <c r="BG258" s="1125">
        <f>+Details!N258-Base!N258</f>
        <v>0</v>
      </c>
      <c r="BH258" s="1125">
        <f>+Details!O258-Base!O258</f>
        <v>0</v>
      </c>
      <c r="BI258" s="1125">
        <f>+Details!P258-Base!P258</f>
        <v>0</v>
      </c>
      <c r="BJ258" s="1125">
        <f>+Details!Q258-Base!Q258</f>
        <v>0</v>
      </c>
      <c r="BK258" s="1125">
        <f>+Details!R258-Base!R258</f>
        <v>0</v>
      </c>
      <c r="BL258" s="1125">
        <f>+Details!S258-Base!S258</f>
        <v>0</v>
      </c>
      <c r="BM258" s="1125">
        <f>+Details!T258-Base!T258</f>
        <v>0</v>
      </c>
      <c r="BN258" s="1125">
        <f>+Details!U258-Base!U258</f>
        <v>0</v>
      </c>
      <c r="BO258" s="1125">
        <f>+Details!V258-Base!V258</f>
        <v>0</v>
      </c>
      <c r="BP258" s="1125">
        <f>+Details!W258-Base!W258</f>
        <v>0</v>
      </c>
      <c r="BQ258" s="1125">
        <f>+Details!X258-Base!X258</f>
        <v>0</v>
      </c>
      <c r="BR258" s="1125">
        <f>+Details!Y258-Base!Y258</f>
        <v>0</v>
      </c>
      <c r="BS258" s="1125">
        <f>+Details!Z258-Base!Z258</f>
        <v>0</v>
      </c>
      <c r="BT258" s="1125">
        <f>+Details!AA258-Base!AA258</f>
        <v>0</v>
      </c>
      <c r="BU258" s="1125">
        <f>+Details!AB258-Base!AB258</f>
        <v>0</v>
      </c>
      <c r="BV258" s="1125">
        <f>+Details!AC258-Base!AC258</f>
        <v>0</v>
      </c>
      <c r="BW258" s="1125">
        <f>+Details!AD258-Base!AD258</f>
        <v>0</v>
      </c>
      <c r="BX258" s="1125">
        <f>+Details!AE258-Base!AE258</f>
        <v>0</v>
      </c>
      <c r="BY258" s="1125">
        <f>+Details!AF258-Base!AF258</f>
        <v>0</v>
      </c>
      <c r="BZ258" s="1125">
        <f>+Details!AG258-Base!AG258</f>
        <v>0</v>
      </c>
      <c r="CA258" s="1125">
        <f>+Details!AH258-Base!AH258</f>
        <v>0</v>
      </c>
      <c r="CB258" s="1125">
        <f>+Details!AI258-Base!AI258</f>
        <v>0</v>
      </c>
      <c r="CC258" s="1125">
        <f>+Details!AJ258-Base!AJ258</f>
        <v>0</v>
      </c>
      <c r="CD258" s="1125">
        <f>+Details!AK258-Base!AK258</f>
        <v>0</v>
      </c>
      <c r="CE258" s="1125">
        <f>+Details!AL258-Base!AL258</f>
        <v>0</v>
      </c>
      <c r="CF258" s="1125">
        <f>+Details!AM258-Base!AM258</f>
        <v>0</v>
      </c>
      <c r="CG258" s="1125">
        <f>+Details!AN258-Base!AN258</f>
        <v>0</v>
      </c>
      <c r="CH258" s="1125">
        <f>+Details!AO258-Base!AO258</f>
        <v>0</v>
      </c>
      <c r="CI258" s="1125">
        <f>+Details!AP258-Base!AP258</f>
        <v>0</v>
      </c>
      <c r="CJ258" s="1125">
        <f>+Details!AQ258-Base!AQ258</f>
        <v>0</v>
      </c>
      <c r="CK258" s="1125">
        <f>+Details!AR258-Base!AR258</f>
        <v>0</v>
      </c>
      <c r="CL258" s="1125">
        <f>+Details!AS258-Base!AS258</f>
        <v>0</v>
      </c>
      <c r="CM258" s="103"/>
    </row>
    <row r="259" spans="1:91" ht="15.6">
      <c r="B259" s="72" t="s">
        <v>635</v>
      </c>
      <c r="C259" s="3"/>
      <c r="D259" s="1260" t="str">
        <f ca="1">IF((F232+E245)&lt;&gt;E259,"Error: " &amp; (F232+E245)-E259,".")</f>
        <v>.</v>
      </c>
      <c r="E259" s="33">
        <f t="shared" ca="1" si="199"/>
        <v>2702400</v>
      </c>
      <c r="F259" s="31">
        <f t="shared" ref="F259:R259" si="212">+F248+F251+F254+F257+F258</f>
        <v>1003900</v>
      </c>
      <c r="G259" s="1124">
        <f t="shared" si="212"/>
        <v>1020200</v>
      </c>
      <c r="H259" s="1124">
        <f t="shared" si="212"/>
        <v>1023600</v>
      </c>
      <c r="I259" s="1124">
        <f t="shared" si="212"/>
        <v>1026400</v>
      </c>
      <c r="J259" s="1124">
        <f t="shared" si="212"/>
        <v>1028500</v>
      </c>
      <c r="K259" s="1124">
        <f t="shared" si="212"/>
        <v>1050200</v>
      </c>
      <c r="L259" s="1124">
        <f t="shared" si="212"/>
        <v>1072700</v>
      </c>
      <c r="M259" s="1124">
        <f t="shared" si="212"/>
        <v>1094600</v>
      </c>
      <c r="N259" s="1124">
        <f t="shared" si="212"/>
        <v>1169500</v>
      </c>
      <c r="O259" s="1124">
        <f t="shared" si="212"/>
        <v>1219000</v>
      </c>
      <c r="P259" s="1124">
        <f t="shared" si="212"/>
        <v>1189100</v>
      </c>
      <c r="Q259" s="1124">
        <f t="shared" si="212"/>
        <v>1340600</v>
      </c>
      <c r="R259" s="1124">
        <f t="shared" si="212"/>
        <v>1377500</v>
      </c>
      <c r="S259" s="1124">
        <f>+S248+S251+S254+S257+S258</f>
        <v>1436400</v>
      </c>
      <c r="T259" s="1124">
        <f t="shared" ref="T259:AS259" si="213">+T248+T251+T254+T257+T258</f>
        <v>1417200</v>
      </c>
      <c r="U259" s="1124">
        <f t="shared" si="213"/>
        <v>1599600</v>
      </c>
      <c r="V259" s="1124">
        <f t="shared" si="213"/>
        <v>1671600</v>
      </c>
      <c r="W259" s="1124">
        <f t="shared" si="213"/>
        <v>1746500</v>
      </c>
      <c r="X259" s="1124">
        <f t="shared" si="213"/>
        <v>1786500</v>
      </c>
      <c r="Y259" s="1124">
        <f t="shared" si="213"/>
        <v>1827200</v>
      </c>
      <c r="Z259" s="1124">
        <f t="shared" si="213"/>
        <v>1868600</v>
      </c>
      <c r="AA259" s="1124">
        <f t="shared" si="213"/>
        <v>1910200</v>
      </c>
      <c r="AB259" s="1124">
        <f t="shared" si="213"/>
        <v>2356100</v>
      </c>
      <c r="AC259" s="1124">
        <f t="shared" si="213"/>
        <v>2414800</v>
      </c>
      <c r="AD259" s="1124">
        <f t="shared" si="213"/>
        <v>2544900</v>
      </c>
      <c r="AE259" s="1124">
        <f t="shared" si="213"/>
        <v>2576100</v>
      </c>
      <c r="AF259" s="1124">
        <f t="shared" si="213"/>
        <v>2606300</v>
      </c>
      <c r="AG259" s="1124">
        <f t="shared" si="213"/>
        <v>2638500</v>
      </c>
      <c r="AH259" s="1124">
        <f t="shared" si="213"/>
        <v>2670800</v>
      </c>
      <c r="AI259" s="1124">
        <f t="shared" si="213"/>
        <v>2702400</v>
      </c>
      <c r="AJ259" s="1124">
        <f t="shared" si="213"/>
        <v>0</v>
      </c>
      <c r="AK259" s="1124">
        <f t="shared" si="213"/>
        <v>0</v>
      </c>
      <c r="AL259" s="1124">
        <f t="shared" si="213"/>
        <v>0</v>
      </c>
      <c r="AM259" s="1124">
        <f t="shared" si="213"/>
        <v>0</v>
      </c>
      <c r="AN259" s="1124">
        <f t="shared" si="213"/>
        <v>0</v>
      </c>
      <c r="AO259" s="1124">
        <f t="shared" si="213"/>
        <v>0</v>
      </c>
      <c r="AP259" s="1124">
        <f t="shared" si="213"/>
        <v>0</v>
      </c>
      <c r="AQ259" s="1124">
        <f t="shared" si="213"/>
        <v>0</v>
      </c>
      <c r="AR259" s="1124">
        <f t="shared" si="213"/>
        <v>0</v>
      </c>
      <c r="AS259" s="1124">
        <f t="shared" si="213"/>
        <v>0</v>
      </c>
      <c r="AU259" s="33">
        <f ca="1">+Details!E259</f>
        <v>2702400</v>
      </c>
      <c r="AV259" s="81">
        <f t="shared" ca="1" si="201"/>
        <v>0</v>
      </c>
      <c r="AW259" s="110"/>
      <c r="AY259" s="31">
        <f>+Details!F259-Base!F259</f>
        <v>0</v>
      </c>
      <c r="AZ259" s="1124">
        <f>+Details!G259-Base!G259</f>
        <v>0</v>
      </c>
      <c r="BA259" s="1124">
        <f>+Details!H259-Base!H259</f>
        <v>0</v>
      </c>
      <c r="BB259" s="1124">
        <f>+Details!I259-Base!I259</f>
        <v>0</v>
      </c>
      <c r="BC259" s="1124">
        <f>+Details!J259-Base!J259</f>
        <v>0</v>
      </c>
      <c r="BD259" s="1124">
        <f>+Details!K259-Base!K259</f>
        <v>0</v>
      </c>
      <c r="BE259" s="1124">
        <f>+Details!L259-Base!L259</f>
        <v>0</v>
      </c>
      <c r="BF259" s="1124">
        <f>+Details!M259-Base!M259</f>
        <v>0</v>
      </c>
      <c r="BG259" s="1124">
        <f>+Details!N259-Base!N259</f>
        <v>0</v>
      </c>
      <c r="BH259" s="1124">
        <f>+Details!O259-Base!O259</f>
        <v>0</v>
      </c>
      <c r="BI259" s="1124">
        <f>+Details!P259-Base!P259</f>
        <v>0</v>
      </c>
      <c r="BJ259" s="1124">
        <f>+Details!Q259-Base!Q259</f>
        <v>0</v>
      </c>
      <c r="BK259" s="1124">
        <f>+Details!R259-Base!R259</f>
        <v>0</v>
      </c>
      <c r="BL259" s="1124">
        <f>+Details!S259-Base!S259</f>
        <v>0</v>
      </c>
      <c r="BM259" s="1124">
        <f>+Details!T259-Base!T259</f>
        <v>0</v>
      </c>
      <c r="BN259" s="1124">
        <f>+Details!U259-Base!U259</f>
        <v>0</v>
      </c>
      <c r="BO259" s="1124">
        <f>+Details!V259-Base!V259</f>
        <v>0</v>
      </c>
      <c r="BP259" s="1124">
        <f>+Details!W259-Base!W259</f>
        <v>0</v>
      </c>
      <c r="BQ259" s="1124">
        <f>+Details!X259-Base!X259</f>
        <v>0</v>
      </c>
      <c r="BR259" s="1124">
        <f>+Details!Y259-Base!Y259</f>
        <v>0</v>
      </c>
      <c r="BS259" s="1124">
        <f>+Details!Z259-Base!Z259</f>
        <v>0</v>
      </c>
      <c r="BT259" s="1124">
        <f>+Details!AA259-Base!AA259</f>
        <v>0</v>
      </c>
      <c r="BU259" s="1124">
        <f>+Details!AB259-Base!AB259</f>
        <v>0</v>
      </c>
      <c r="BV259" s="1124">
        <f>+Details!AC259-Base!AC259</f>
        <v>0</v>
      </c>
      <c r="BW259" s="1124">
        <f>+Details!AD259-Base!AD259</f>
        <v>0</v>
      </c>
      <c r="BX259" s="1124">
        <f>+Details!AE259-Base!AE259</f>
        <v>0</v>
      </c>
      <c r="BY259" s="1124">
        <f>+Details!AF259-Base!AF259</f>
        <v>0</v>
      </c>
      <c r="BZ259" s="1124">
        <f>+Details!AG259-Base!AG259</f>
        <v>0</v>
      </c>
      <c r="CA259" s="1124">
        <f>+Details!AH259-Base!AH259</f>
        <v>0</v>
      </c>
      <c r="CB259" s="1124">
        <f>+Details!AI259-Base!AI259</f>
        <v>0</v>
      </c>
      <c r="CC259" s="1124">
        <f>+Details!AJ259-Base!AJ259</f>
        <v>0</v>
      </c>
      <c r="CD259" s="1124">
        <f>+Details!AK259-Base!AK259</f>
        <v>0</v>
      </c>
      <c r="CE259" s="1124">
        <f>+Details!AL259-Base!AL259</f>
        <v>0</v>
      </c>
      <c r="CF259" s="1124">
        <f>+Details!AM259-Base!AM259</f>
        <v>0</v>
      </c>
      <c r="CG259" s="1124">
        <f>+Details!AN259-Base!AN259</f>
        <v>0</v>
      </c>
      <c r="CH259" s="1124">
        <f>+Details!AO259-Base!AO259</f>
        <v>0</v>
      </c>
      <c r="CI259" s="1124">
        <f>+Details!AP259-Base!AP259</f>
        <v>0</v>
      </c>
      <c r="CJ259" s="1124">
        <f>+Details!AQ259-Base!AQ259</f>
        <v>0</v>
      </c>
      <c r="CK259" s="1124">
        <f>+Details!AR259-Base!AR259</f>
        <v>0</v>
      </c>
      <c r="CL259" s="1124">
        <f>+Details!AS259-Base!AS259</f>
        <v>0</v>
      </c>
      <c r="CM259" s="81"/>
    </row>
    <row r="260" spans="1:91" hidden="1">
      <c r="A260" s="1427" t="s">
        <v>1578</v>
      </c>
      <c r="B260" s="72" t="s">
        <v>521</v>
      </c>
      <c r="C260" s="3"/>
      <c r="D260" s="8" t="s">
        <v>895</v>
      </c>
      <c r="E260" s="29">
        <f ca="1">SUM(F260:AS260)-E259</f>
        <v>47687100</v>
      </c>
      <c r="F260" s="31">
        <f t="shared" ref="F260:AR260" si="214">+F232+F245</f>
        <v>1003900</v>
      </c>
      <c r="G260" s="1124">
        <f t="shared" si="214"/>
        <v>1020200</v>
      </c>
      <c r="H260" s="1124">
        <f t="shared" si="214"/>
        <v>1023600</v>
      </c>
      <c r="I260" s="1124">
        <f t="shared" si="214"/>
        <v>1026400</v>
      </c>
      <c r="J260" s="1124">
        <f t="shared" si="214"/>
        <v>1028500</v>
      </c>
      <c r="K260" s="1124">
        <f t="shared" si="214"/>
        <v>1050200</v>
      </c>
      <c r="L260" s="1124">
        <f t="shared" si="214"/>
        <v>1072700</v>
      </c>
      <c r="M260" s="1124">
        <f t="shared" si="214"/>
        <v>1094600</v>
      </c>
      <c r="N260" s="1124">
        <f t="shared" si="214"/>
        <v>1169500</v>
      </c>
      <c r="O260" s="1124">
        <f t="shared" si="214"/>
        <v>1219000</v>
      </c>
      <c r="P260" s="1124">
        <f t="shared" si="214"/>
        <v>1189100</v>
      </c>
      <c r="Q260" s="1124">
        <f t="shared" si="214"/>
        <v>1340600</v>
      </c>
      <c r="R260" s="1124">
        <f t="shared" si="214"/>
        <v>1377500</v>
      </c>
      <c r="S260" s="1124">
        <f t="shared" si="214"/>
        <v>1436400</v>
      </c>
      <c r="T260" s="1124">
        <f t="shared" si="214"/>
        <v>1417200</v>
      </c>
      <c r="U260" s="1124">
        <f t="shared" si="214"/>
        <v>1599600</v>
      </c>
      <c r="V260" s="1124">
        <f t="shared" si="214"/>
        <v>1671600</v>
      </c>
      <c r="W260" s="1124">
        <f t="shared" si="214"/>
        <v>1746500</v>
      </c>
      <c r="X260" s="1124">
        <f t="shared" si="214"/>
        <v>1786500</v>
      </c>
      <c r="Y260" s="1124">
        <f t="shared" si="214"/>
        <v>1827200</v>
      </c>
      <c r="Z260" s="1124">
        <f t="shared" si="214"/>
        <v>1868600</v>
      </c>
      <c r="AA260" s="1124">
        <f t="shared" si="214"/>
        <v>1910200</v>
      </c>
      <c r="AB260" s="1124">
        <f t="shared" si="214"/>
        <v>2356100</v>
      </c>
      <c r="AC260" s="1124">
        <f t="shared" si="214"/>
        <v>2414800</v>
      </c>
      <c r="AD260" s="1124">
        <f t="shared" si="214"/>
        <v>2544900</v>
      </c>
      <c r="AE260" s="1124">
        <f t="shared" si="214"/>
        <v>2576100</v>
      </c>
      <c r="AF260" s="1124">
        <f t="shared" si="214"/>
        <v>2606300</v>
      </c>
      <c r="AG260" s="1124">
        <f t="shared" si="214"/>
        <v>2638500</v>
      </c>
      <c r="AH260" s="1124">
        <f t="shared" si="214"/>
        <v>2670800</v>
      </c>
      <c r="AI260" s="1124">
        <f t="shared" si="214"/>
        <v>2702400</v>
      </c>
      <c r="AJ260" s="1124">
        <f t="shared" si="214"/>
        <v>0</v>
      </c>
      <c r="AK260" s="1124">
        <f t="shared" si="214"/>
        <v>0</v>
      </c>
      <c r="AL260" s="1124">
        <f t="shared" si="214"/>
        <v>0</v>
      </c>
      <c r="AM260" s="1124">
        <f t="shared" si="214"/>
        <v>0</v>
      </c>
      <c r="AN260" s="1124">
        <f t="shared" si="214"/>
        <v>0</v>
      </c>
      <c r="AO260" s="1124">
        <f t="shared" si="214"/>
        <v>0</v>
      </c>
      <c r="AP260" s="1124">
        <f t="shared" si="214"/>
        <v>0</v>
      </c>
      <c r="AQ260" s="1124">
        <f t="shared" si="214"/>
        <v>0</v>
      </c>
      <c r="AR260" s="1124">
        <f t="shared" si="214"/>
        <v>0</v>
      </c>
      <c r="AS260" s="1124"/>
      <c r="AU260" s="97"/>
      <c r="AV260" s="81"/>
      <c r="AW260" s="102"/>
      <c r="AY260" s="31">
        <f>+Details!F260-Base!F260</f>
        <v>0</v>
      </c>
      <c r="AZ260" s="1124">
        <f>+Details!G260-Base!G260</f>
        <v>0</v>
      </c>
      <c r="BA260" s="1124">
        <f>+Details!H260-Base!H260</f>
        <v>0</v>
      </c>
      <c r="BB260" s="1124">
        <f>+Details!I260-Base!I260</f>
        <v>0</v>
      </c>
      <c r="BC260" s="1124">
        <f>+Details!J260-Base!J260</f>
        <v>0</v>
      </c>
      <c r="BD260" s="1124">
        <f>+Details!K260-Base!K260</f>
        <v>0</v>
      </c>
      <c r="BE260" s="1124">
        <f>+Details!L260-Base!L260</f>
        <v>0</v>
      </c>
      <c r="BF260" s="1124">
        <f>+Details!M260-Base!M260</f>
        <v>0</v>
      </c>
      <c r="BG260" s="1124">
        <f>+Details!N260-Base!N260</f>
        <v>0</v>
      </c>
      <c r="BH260" s="1124">
        <f>+Details!O260-Base!O260</f>
        <v>0</v>
      </c>
      <c r="BI260" s="1124">
        <f>+Details!P260-Base!P260</f>
        <v>0</v>
      </c>
      <c r="BJ260" s="1124">
        <f>+Details!Q260-Base!Q260</f>
        <v>0</v>
      </c>
      <c r="BK260" s="1124">
        <f>+Details!R260-Base!R260</f>
        <v>0</v>
      </c>
      <c r="BL260" s="1124">
        <f>+Details!S260-Base!S260</f>
        <v>0</v>
      </c>
      <c r="BM260" s="1124">
        <f>+Details!T260-Base!T260</f>
        <v>0</v>
      </c>
      <c r="BN260" s="1124">
        <f>+Details!U260-Base!U260</f>
        <v>0</v>
      </c>
      <c r="BO260" s="1124">
        <f>+Details!V260-Base!V260</f>
        <v>0</v>
      </c>
      <c r="BP260" s="1124">
        <f>+Details!W260-Base!W260</f>
        <v>0</v>
      </c>
      <c r="BQ260" s="1124">
        <f>+Details!X260-Base!X260</f>
        <v>0</v>
      </c>
      <c r="BR260" s="1124">
        <f>+Details!Y260-Base!Y260</f>
        <v>0</v>
      </c>
      <c r="BS260" s="1124">
        <f>+Details!Z260-Base!Z260</f>
        <v>0</v>
      </c>
      <c r="BT260" s="1124">
        <f>+Details!AA260-Base!AA260</f>
        <v>0</v>
      </c>
      <c r="BU260" s="1124">
        <f>+Details!AB260-Base!AB260</f>
        <v>0</v>
      </c>
      <c r="BV260" s="1124">
        <f>+Details!AC260-Base!AC260</f>
        <v>0</v>
      </c>
      <c r="BW260" s="1124">
        <f>+Details!AD260-Base!AD260</f>
        <v>0</v>
      </c>
      <c r="BX260" s="1124">
        <f>+Details!AE260-Base!AE260</f>
        <v>0</v>
      </c>
      <c r="BY260" s="1124">
        <f>+Details!AF260-Base!AF260</f>
        <v>0</v>
      </c>
      <c r="BZ260" s="1124">
        <f>+Details!AG260-Base!AG260</f>
        <v>0</v>
      </c>
      <c r="CA260" s="1124">
        <f>+Details!AH260-Base!AH260</f>
        <v>0</v>
      </c>
      <c r="CB260" s="1124">
        <f>+Details!AI260-Base!AI260</f>
        <v>0</v>
      </c>
      <c r="CC260" s="1124">
        <f>+Details!AJ260-Base!AJ260</f>
        <v>0</v>
      </c>
      <c r="CD260" s="1124">
        <f>+Details!AK260-Base!AK260</f>
        <v>0</v>
      </c>
      <c r="CE260" s="1124">
        <f>+Details!AL260-Base!AL260</f>
        <v>0</v>
      </c>
      <c r="CF260" s="1124">
        <f>+Details!AM260-Base!AM260</f>
        <v>0</v>
      </c>
      <c r="CG260" s="1124">
        <f>+Details!AN260-Base!AN260</f>
        <v>0</v>
      </c>
      <c r="CH260" s="1124">
        <f>+Details!AO260-Base!AO260</f>
        <v>0</v>
      </c>
      <c r="CI260" s="1124">
        <f>+Details!AP260-Base!AP260</f>
        <v>0</v>
      </c>
      <c r="CJ260" s="1124">
        <f>+Details!AQ260-Base!AQ260</f>
        <v>0</v>
      </c>
      <c r="CK260" s="1124">
        <f>+Details!AR260-Base!AR260</f>
        <v>0</v>
      </c>
      <c r="CL260" s="1124">
        <f>+Details!AS260-Base!AS260</f>
        <v>0</v>
      </c>
      <c r="CM260" s="81"/>
    </row>
    <row r="261" spans="1:91">
      <c r="A261" s="1427" t="s">
        <v>1578</v>
      </c>
      <c r="B261" s="72" t="s">
        <v>69</v>
      </c>
      <c r="C261" s="3"/>
      <c r="D261" s="8" t="s">
        <v>896</v>
      </c>
      <c r="E261" s="29">
        <f>SUM(F261:AS261)</f>
        <v>47687100</v>
      </c>
      <c r="F261" s="31">
        <f t="shared" ref="F261:AJ261" si="215">+G19</f>
        <v>1003900</v>
      </c>
      <c r="G261" s="1124">
        <f t="shared" si="215"/>
        <v>1020200</v>
      </c>
      <c r="H261" s="1124">
        <f t="shared" si="215"/>
        <v>1023600</v>
      </c>
      <c r="I261" s="1124">
        <f t="shared" si="215"/>
        <v>1026400</v>
      </c>
      <c r="J261" s="1124">
        <f t="shared" si="215"/>
        <v>1028500</v>
      </c>
      <c r="K261" s="1124">
        <f t="shared" si="215"/>
        <v>1050200</v>
      </c>
      <c r="L261" s="1124">
        <f t="shared" si="215"/>
        <v>1072700</v>
      </c>
      <c r="M261" s="1124">
        <f t="shared" si="215"/>
        <v>1094600</v>
      </c>
      <c r="N261" s="1124">
        <f t="shared" si="215"/>
        <v>1169500</v>
      </c>
      <c r="O261" s="1124">
        <f t="shared" si="215"/>
        <v>1219000</v>
      </c>
      <c r="P261" s="1124">
        <f t="shared" si="215"/>
        <v>1189100</v>
      </c>
      <c r="Q261" s="1124">
        <f t="shared" si="215"/>
        <v>1340600</v>
      </c>
      <c r="R261" s="1124">
        <f t="shared" si="215"/>
        <v>1377500</v>
      </c>
      <c r="S261" s="1124">
        <f t="shared" si="215"/>
        <v>1436400</v>
      </c>
      <c r="T261" s="1124">
        <f t="shared" si="215"/>
        <v>1417200</v>
      </c>
      <c r="U261" s="1124">
        <f t="shared" si="215"/>
        <v>1599600</v>
      </c>
      <c r="V261" s="1124">
        <f t="shared" si="215"/>
        <v>1671600</v>
      </c>
      <c r="W261" s="1124">
        <f t="shared" si="215"/>
        <v>1746500</v>
      </c>
      <c r="X261" s="1124">
        <f t="shared" si="215"/>
        <v>1786500</v>
      </c>
      <c r="Y261" s="1124">
        <f t="shared" si="215"/>
        <v>1827200</v>
      </c>
      <c r="Z261" s="1124">
        <f t="shared" si="215"/>
        <v>1868600</v>
      </c>
      <c r="AA261" s="1124">
        <f t="shared" si="215"/>
        <v>1910200</v>
      </c>
      <c r="AB261" s="1124">
        <f t="shared" si="215"/>
        <v>2356100</v>
      </c>
      <c r="AC261" s="1124">
        <f t="shared" si="215"/>
        <v>2414800</v>
      </c>
      <c r="AD261" s="1124">
        <f t="shared" si="215"/>
        <v>2544900</v>
      </c>
      <c r="AE261" s="1124">
        <f t="shared" si="215"/>
        <v>2576100</v>
      </c>
      <c r="AF261" s="1124">
        <f t="shared" si="215"/>
        <v>2606300</v>
      </c>
      <c r="AG261" s="1124">
        <f t="shared" si="215"/>
        <v>2638500</v>
      </c>
      <c r="AH261" s="1124">
        <f t="shared" si="215"/>
        <v>2670800</v>
      </c>
      <c r="AI261" s="1124">
        <f t="shared" si="215"/>
        <v>0</v>
      </c>
      <c r="AJ261" s="1124">
        <f t="shared" si="215"/>
        <v>0</v>
      </c>
      <c r="AK261" s="1124">
        <f t="shared" ref="AK261:AS261" si="216">+AK259-AK260</f>
        <v>0</v>
      </c>
      <c r="AL261" s="1124">
        <f t="shared" si="216"/>
        <v>0</v>
      </c>
      <c r="AM261" s="1124">
        <f t="shared" si="216"/>
        <v>0</v>
      </c>
      <c r="AN261" s="1124">
        <f t="shared" si="216"/>
        <v>0</v>
      </c>
      <c r="AO261" s="1124">
        <f t="shared" si="216"/>
        <v>0</v>
      </c>
      <c r="AP261" s="1124">
        <f t="shared" si="216"/>
        <v>0</v>
      </c>
      <c r="AQ261" s="1124">
        <f t="shared" si="216"/>
        <v>0</v>
      </c>
      <c r="AR261" s="1124">
        <f t="shared" si="216"/>
        <v>0</v>
      </c>
      <c r="AS261" s="1124">
        <f t="shared" si="216"/>
        <v>0</v>
      </c>
      <c r="AU261" s="97"/>
      <c r="AV261" s="81"/>
      <c r="AW261" s="102"/>
      <c r="AY261" s="31">
        <f>+Details!F261-Base!F261</f>
        <v>0</v>
      </c>
      <c r="AZ261" s="1124">
        <f>+Details!G261-Base!G261</f>
        <v>0</v>
      </c>
      <c r="BA261" s="1124">
        <f>+Details!H261-Base!H261</f>
        <v>0</v>
      </c>
      <c r="BB261" s="1124">
        <f>+Details!I261-Base!I261</f>
        <v>0</v>
      </c>
      <c r="BC261" s="1124">
        <f>+Details!J261-Base!J261</f>
        <v>0</v>
      </c>
      <c r="BD261" s="1124">
        <f>+Details!K261-Base!K261</f>
        <v>0</v>
      </c>
      <c r="BE261" s="1124">
        <f>+Details!L261-Base!L261</f>
        <v>0</v>
      </c>
      <c r="BF261" s="1124">
        <f>+Details!M261-Base!M261</f>
        <v>0</v>
      </c>
      <c r="BG261" s="1124">
        <f>+Details!N261-Base!N261</f>
        <v>0</v>
      </c>
      <c r="BH261" s="1124">
        <f>+Details!O261-Base!O261</f>
        <v>0</v>
      </c>
      <c r="BI261" s="1124">
        <f>+Details!P261-Base!P261</f>
        <v>0</v>
      </c>
      <c r="BJ261" s="1124">
        <f>+Details!Q261-Base!Q261</f>
        <v>0</v>
      </c>
      <c r="BK261" s="1124">
        <f>+Details!R261-Base!R261</f>
        <v>0</v>
      </c>
      <c r="BL261" s="1124">
        <f>+Details!S261-Base!S261</f>
        <v>0</v>
      </c>
      <c r="BM261" s="1124">
        <f>+Details!T261-Base!T261</f>
        <v>0</v>
      </c>
      <c r="BN261" s="1124">
        <f>+Details!U261-Base!U261</f>
        <v>0</v>
      </c>
      <c r="BO261" s="1124">
        <f>+Details!V261-Base!V261</f>
        <v>0</v>
      </c>
      <c r="BP261" s="1124">
        <f>+Details!W261-Base!W261</f>
        <v>0</v>
      </c>
      <c r="BQ261" s="1124">
        <f>+Details!X261-Base!X261</f>
        <v>0</v>
      </c>
      <c r="BR261" s="1124">
        <f>+Details!Y261-Base!Y261</f>
        <v>0</v>
      </c>
      <c r="BS261" s="1124">
        <f>+Details!Z261-Base!Z261</f>
        <v>0</v>
      </c>
      <c r="BT261" s="1124">
        <f>+Details!AA261-Base!AA261</f>
        <v>0</v>
      </c>
      <c r="BU261" s="1124">
        <f>+Details!AB261-Base!AB261</f>
        <v>0</v>
      </c>
      <c r="BV261" s="1124">
        <f>+Details!AC261-Base!AC261</f>
        <v>0</v>
      </c>
      <c r="BW261" s="1124">
        <f>+Details!AD261-Base!AD261</f>
        <v>0</v>
      </c>
      <c r="BX261" s="1124">
        <f>+Details!AE261-Base!AE261</f>
        <v>0</v>
      </c>
      <c r="BY261" s="1124">
        <f>+Details!AF261-Base!AF261</f>
        <v>0</v>
      </c>
      <c r="BZ261" s="1124">
        <f>+Details!AG261-Base!AG261</f>
        <v>0</v>
      </c>
      <c r="CA261" s="1124">
        <f>+Details!AH261-Base!AH261</f>
        <v>0</v>
      </c>
      <c r="CB261" s="1124">
        <f>+Details!AI261-Base!AI261</f>
        <v>0</v>
      </c>
      <c r="CC261" s="1124">
        <f>+Details!AJ261-Base!AJ261</f>
        <v>0</v>
      </c>
      <c r="CD261" s="1124">
        <f>+Details!AK261-Base!AK261</f>
        <v>0</v>
      </c>
      <c r="CE261" s="1124">
        <f>+Details!AL261-Base!AL261</f>
        <v>0</v>
      </c>
      <c r="CF261" s="1124">
        <f>+Details!AM261-Base!AM261</f>
        <v>0</v>
      </c>
      <c r="CG261" s="1124">
        <f>+Details!AN261-Base!AN261</f>
        <v>0</v>
      </c>
      <c r="CH261" s="1124">
        <f>+Details!AO261-Base!AO261</f>
        <v>0</v>
      </c>
      <c r="CI261" s="1124">
        <f>+Details!AP261-Base!AP261</f>
        <v>0</v>
      </c>
      <c r="CJ261" s="1124">
        <f>+Details!AQ261-Base!AQ261</f>
        <v>0</v>
      </c>
      <c r="CK261" s="1124">
        <f>+Details!AR261-Base!AR261</f>
        <v>0</v>
      </c>
      <c r="CL261" s="1124">
        <f>+Details!AS261-Base!AS261</f>
        <v>0</v>
      </c>
      <c r="CM261" s="81"/>
    </row>
    <row r="262" spans="1:91">
      <c r="D262" s="8" t="s">
        <v>792</v>
      </c>
      <c r="E262" s="29">
        <f>SUM(F262:AS262)</f>
        <v>0</v>
      </c>
      <c r="F262" s="31">
        <f>+F260-F261</f>
        <v>0</v>
      </c>
      <c r="G262" s="1124">
        <f t="shared" ref="G262:AH262" si="217">+G260-G261</f>
        <v>0</v>
      </c>
      <c r="H262" s="1124">
        <f t="shared" si="217"/>
        <v>0</v>
      </c>
      <c r="I262" s="1124">
        <f t="shared" si="217"/>
        <v>0</v>
      </c>
      <c r="J262" s="1124">
        <f t="shared" si="217"/>
        <v>0</v>
      </c>
      <c r="K262" s="1124">
        <f t="shared" si="217"/>
        <v>0</v>
      </c>
      <c r="L262" s="1124">
        <f t="shared" si="217"/>
        <v>0</v>
      </c>
      <c r="M262" s="1124">
        <f t="shared" si="217"/>
        <v>0</v>
      </c>
      <c r="N262" s="1124">
        <f t="shared" si="217"/>
        <v>0</v>
      </c>
      <c r="O262" s="1124">
        <f t="shared" si="217"/>
        <v>0</v>
      </c>
      <c r="P262" s="1124">
        <f t="shared" si="217"/>
        <v>0</v>
      </c>
      <c r="Q262" s="1124">
        <f t="shared" si="217"/>
        <v>0</v>
      </c>
      <c r="R262" s="1124">
        <f t="shared" si="217"/>
        <v>0</v>
      </c>
      <c r="S262" s="1124">
        <f t="shared" si="217"/>
        <v>0</v>
      </c>
      <c r="T262" s="1124">
        <f t="shared" si="217"/>
        <v>0</v>
      </c>
      <c r="U262" s="1124">
        <f t="shared" si="217"/>
        <v>0</v>
      </c>
      <c r="V262" s="1124">
        <f t="shared" si="217"/>
        <v>0</v>
      </c>
      <c r="W262" s="1124">
        <f t="shared" si="217"/>
        <v>0</v>
      </c>
      <c r="X262" s="1124">
        <f t="shared" si="217"/>
        <v>0</v>
      </c>
      <c r="Y262" s="1124">
        <f t="shared" si="217"/>
        <v>0</v>
      </c>
      <c r="Z262" s="1124">
        <f t="shared" si="217"/>
        <v>0</v>
      </c>
      <c r="AA262" s="1124">
        <f t="shared" si="217"/>
        <v>0</v>
      </c>
      <c r="AB262" s="1124">
        <f t="shared" si="217"/>
        <v>0</v>
      </c>
      <c r="AC262" s="1124">
        <f t="shared" si="217"/>
        <v>0</v>
      </c>
      <c r="AD262" s="1124">
        <f t="shared" si="217"/>
        <v>0</v>
      </c>
      <c r="AE262" s="1124">
        <f t="shared" si="217"/>
        <v>0</v>
      </c>
      <c r="AF262" s="1124">
        <f t="shared" si="217"/>
        <v>0</v>
      </c>
      <c r="AG262" s="1124">
        <f t="shared" si="217"/>
        <v>0</v>
      </c>
      <c r="AH262" s="1124">
        <f t="shared" si="217"/>
        <v>0</v>
      </c>
      <c r="AI262" s="1124"/>
      <c r="AJ262" s="1124"/>
      <c r="AK262" s="1124"/>
      <c r="AL262" s="1124"/>
      <c r="AM262" s="1124"/>
      <c r="AN262" s="1124"/>
      <c r="AO262" s="1124"/>
      <c r="AP262" s="1124"/>
      <c r="AQ262" s="1124"/>
      <c r="AR262" s="1124"/>
      <c r="AS262" s="1124"/>
      <c r="AU262" s="97"/>
      <c r="AV262" s="81"/>
      <c r="AW262" s="562"/>
      <c r="AY262" s="81"/>
      <c r="AZ262" s="81"/>
      <c r="BA262" s="81"/>
      <c r="BB262" s="81"/>
      <c r="BC262" s="81"/>
      <c r="BD262" s="81"/>
      <c r="BE262" s="81"/>
      <c r="BF262" s="81"/>
      <c r="BG262" s="81"/>
      <c r="BH262" s="81"/>
      <c r="BI262" s="81"/>
      <c r="BJ262" s="81"/>
      <c r="BK262" s="81"/>
      <c r="BL262" s="81"/>
      <c r="BM262" s="81"/>
      <c r="BN262" s="81"/>
      <c r="BO262" s="81"/>
      <c r="BP262" s="81"/>
      <c r="BQ262" s="81"/>
      <c r="BR262" s="81"/>
      <c r="BS262" s="81"/>
      <c r="BT262" s="81"/>
      <c r="BU262" s="81"/>
      <c r="BV262" s="81"/>
      <c r="BW262" s="81"/>
      <c r="BX262" s="81"/>
      <c r="BY262" s="81"/>
      <c r="BZ262" s="81"/>
      <c r="CA262" s="81"/>
      <c r="CB262" s="81"/>
      <c r="CC262" s="81"/>
      <c r="CD262" s="81"/>
      <c r="CE262" s="81"/>
      <c r="CF262" s="81"/>
      <c r="CG262" s="81"/>
      <c r="CH262" s="81"/>
      <c r="CI262" s="81"/>
      <c r="CJ262" s="81"/>
      <c r="CK262" s="81"/>
      <c r="CL262" s="81"/>
      <c r="CM262" s="81"/>
    </row>
    <row r="263" spans="1:91" ht="17.399999999999999">
      <c r="B263" s="596" t="s">
        <v>1035</v>
      </c>
      <c r="C263" s="595"/>
      <c r="D263" s="595"/>
      <c r="E263" s="595"/>
      <c r="F263" s="31"/>
      <c r="G263" s="31"/>
      <c r="H263" s="31"/>
      <c r="I263" s="31"/>
      <c r="J263" s="31"/>
      <c r="K263" s="31"/>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c r="AI263" s="31"/>
      <c r="AJ263" s="31"/>
      <c r="AK263" s="31"/>
      <c r="AL263" s="31"/>
      <c r="AM263" s="31"/>
      <c r="AN263" s="31"/>
      <c r="AO263" s="31"/>
      <c r="AP263" s="31"/>
      <c r="AQ263" s="31"/>
      <c r="AR263" s="31"/>
      <c r="AS263" s="31"/>
      <c r="AU263" s="97"/>
      <c r="AV263" s="81"/>
      <c r="AW263" s="1734"/>
      <c r="AY263" s="81"/>
      <c r="AZ263" s="81"/>
      <c r="BA263" s="81"/>
      <c r="BB263" s="81"/>
      <c r="BC263" s="81"/>
      <c r="BD263" s="81"/>
      <c r="BE263" s="81"/>
      <c r="BF263" s="81"/>
      <c r="BG263" s="81"/>
      <c r="BH263" s="81"/>
      <c r="BI263" s="81"/>
      <c r="BJ263" s="81"/>
      <c r="BK263" s="81"/>
      <c r="BL263" s="81"/>
      <c r="BM263" s="81"/>
      <c r="BN263" s="81"/>
      <c r="BO263" s="81"/>
      <c r="BP263" s="81"/>
      <c r="BQ263" s="81"/>
      <c r="BR263" s="81"/>
      <c r="BS263" s="81"/>
      <c r="BT263" s="81"/>
      <c r="BU263" s="81"/>
      <c r="BV263" s="81"/>
      <c r="BW263" s="81"/>
      <c r="BX263" s="81"/>
      <c r="BY263" s="81"/>
      <c r="BZ263" s="81"/>
      <c r="CA263" s="81"/>
      <c r="CB263" s="81"/>
      <c r="CC263" s="81"/>
      <c r="CD263" s="81"/>
      <c r="CE263" s="81"/>
      <c r="CF263" s="81"/>
      <c r="CG263" s="81"/>
      <c r="CH263" s="81"/>
      <c r="CI263" s="81"/>
      <c r="CJ263" s="81"/>
      <c r="CK263" s="81"/>
      <c r="CL263" s="81"/>
      <c r="CM263" s="81"/>
    </row>
    <row r="264" spans="1:91">
      <c r="E264" s="1440" t="s">
        <v>1820</v>
      </c>
      <c r="F264" s="62">
        <f t="shared" ref="F264:AS264" si="218">IF(F$7-$F7&lt;=Total_Years-1,1,0)</f>
        <v>1</v>
      </c>
      <c r="G264" s="62">
        <f t="shared" si="218"/>
        <v>1</v>
      </c>
      <c r="H264" s="62">
        <f t="shared" si="218"/>
        <v>1</v>
      </c>
      <c r="I264" s="62">
        <f t="shared" si="218"/>
        <v>1</v>
      </c>
      <c r="J264" s="62">
        <f t="shared" si="218"/>
        <v>1</v>
      </c>
      <c r="K264" s="62">
        <f t="shared" si="218"/>
        <v>1</v>
      </c>
      <c r="L264" s="62">
        <f t="shared" si="218"/>
        <v>1</v>
      </c>
      <c r="M264" s="62">
        <f t="shared" si="218"/>
        <v>1</v>
      </c>
      <c r="N264" s="62">
        <f t="shared" si="218"/>
        <v>1</v>
      </c>
      <c r="O264" s="62">
        <f t="shared" si="218"/>
        <v>1</v>
      </c>
      <c r="P264" s="62">
        <f t="shared" si="218"/>
        <v>1</v>
      </c>
      <c r="Q264" s="62">
        <f t="shared" si="218"/>
        <v>1</v>
      </c>
      <c r="R264" s="62">
        <f t="shared" si="218"/>
        <v>1</v>
      </c>
      <c r="S264" s="62">
        <f t="shared" si="218"/>
        <v>1</v>
      </c>
      <c r="T264" s="62">
        <f t="shared" si="218"/>
        <v>1</v>
      </c>
      <c r="U264" s="62">
        <f t="shared" si="218"/>
        <v>1</v>
      </c>
      <c r="V264" s="62">
        <f t="shared" si="218"/>
        <v>1</v>
      </c>
      <c r="W264" s="62">
        <f t="shared" si="218"/>
        <v>1</v>
      </c>
      <c r="X264" s="62">
        <f t="shared" si="218"/>
        <v>1</v>
      </c>
      <c r="Y264" s="62">
        <f t="shared" si="218"/>
        <v>1</v>
      </c>
      <c r="Z264" s="62">
        <f t="shared" si="218"/>
        <v>1</v>
      </c>
      <c r="AA264" s="62">
        <f t="shared" si="218"/>
        <v>1</v>
      </c>
      <c r="AB264" s="62">
        <f t="shared" si="218"/>
        <v>1</v>
      </c>
      <c r="AC264" s="62">
        <f t="shared" si="218"/>
        <v>1</v>
      </c>
      <c r="AD264" s="62">
        <f t="shared" si="218"/>
        <v>1</v>
      </c>
      <c r="AE264" s="62">
        <f t="shared" si="218"/>
        <v>1</v>
      </c>
      <c r="AF264" s="62">
        <f t="shared" si="218"/>
        <v>1</v>
      </c>
      <c r="AG264" s="62">
        <f t="shared" si="218"/>
        <v>1</v>
      </c>
      <c r="AH264" s="62">
        <f t="shared" si="218"/>
        <v>1</v>
      </c>
      <c r="AI264" s="62">
        <f t="shared" si="218"/>
        <v>1</v>
      </c>
      <c r="AJ264" s="62">
        <f t="shared" si="218"/>
        <v>0</v>
      </c>
      <c r="AK264" s="62">
        <f t="shared" si="218"/>
        <v>0</v>
      </c>
      <c r="AL264" s="62">
        <f t="shared" si="218"/>
        <v>0</v>
      </c>
      <c r="AM264" s="62">
        <f t="shared" si="218"/>
        <v>0</v>
      </c>
      <c r="AN264" s="62">
        <f t="shared" si="218"/>
        <v>0</v>
      </c>
      <c r="AO264" s="62">
        <f t="shared" si="218"/>
        <v>0</v>
      </c>
      <c r="AP264" s="62">
        <f t="shared" si="218"/>
        <v>0</v>
      </c>
      <c r="AQ264" s="62">
        <f t="shared" si="218"/>
        <v>0</v>
      </c>
      <c r="AR264" s="62">
        <f t="shared" si="218"/>
        <v>0</v>
      </c>
      <c r="AS264" s="62">
        <f t="shared" si="218"/>
        <v>0</v>
      </c>
      <c r="AU264" s="97"/>
      <c r="AV264" s="81"/>
      <c r="AW264" s="562"/>
      <c r="AY264" s="81"/>
      <c r="AZ264" s="81"/>
      <c r="BA264" s="81"/>
      <c r="BB264" s="81"/>
      <c r="BC264" s="81"/>
      <c r="BD264" s="81"/>
      <c r="BE264" s="81"/>
      <c r="BF264" s="81"/>
      <c r="BG264" s="81"/>
      <c r="BH264" s="81"/>
      <c r="BI264" s="81"/>
      <c r="BJ264" s="81"/>
      <c r="BK264" s="81"/>
      <c r="BL264" s="81"/>
      <c r="BM264" s="81"/>
      <c r="BN264" s="81"/>
      <c r="BO264" s="81"/>
      <c r="BP264" s="81"/>
      <c r="BQ264" s="81"/>
      <c r="BR264" s="81"/>
      <c r="BS264" s="81"/>
      <c r="BT264" s="81"/>
      <c r="BU264" s="81"/>
      <c r="BV264" s="81"/>
      <c r="BW264" s="81"/>
      <c r="BX264" s="81"/>
      <c r="BY264" s="81"/>
      <c r="BZ264" s="81"/>
      <c r="CA264" s="81"/>
      <c r="CB264" s="81"/>
      <c r="CC264" s="81"/>
      <c r="CD264" s="81"/>
      <c r="CE264" s="81"/>
      <c r="CF264" s="81"/>
      <c r="CG264" s="81"/>
      <c r="CH264" s="81"/>
      <c r="CI264" s="81"/>
      <c r="CJ264" s="81"/>
      <c r="CK264" s="81"/>
      <c r="CL264" s="81"/>
      <c r="CM264" s="81"/>
    </row>
    <row r="265" spans="1:91" ht="15.6">
      <c r="B265" s="25" t="s">
        <v>22</v>
      </c>
      <c r="C265" s="632"/>
      <c r="E265" s="97"/>
      <c r="F265" s="31"/>
      <c r="G265" s="31"/>
      <c r="H265" s="31"/>
      <c r="I265" s="31"/>
      <c r="J265" s="31"/>
      <c r="K265" s="31"/>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c r="AI265" s="31"/>
      <c r="AJ265" s="31"/>
      <c r="AK265" s="31"/>
      <c r="AL265" s="31"/>
      <c r="AM265" s="31"/>
      <c r="AN265" s="31"/>
      <c r="AO265" s="31"/>
      <c r="AP265" s="31"/>
      <c r="AQ265" s="31"/>
      <c r="AR265" s="31"/>
      <c r="AS265" s="31"/>
      <c r="AU265" s="97"/>
      <c r="AV265" s="81"/>
      <c r="AW265" s="562"/>
      <c r="AY265" s="81"/>
      <c r="AZ265" s="81"/>
      <c r="BA265" s="81"/>
      <c r="BB265" s="81"/>
      <c r="BC265" s="81"/>
      <c r="BD265" s="81"/>
      <c r="BE265" s="81"/>
      <c r="BF265" s="81"/>
      <c r="BG265" s="81"/>
      <c r="BH265" s="81"/>
      <c r="BI265" s="81"/>
      <c r="BJ265" s="81"/>
      <c r="BK265" s="81"/>
      <c r="BL265" s="81"/>
      <c r="BM265" s="81"/>
      <c r="BN265" s="81"/>
      <c r="BO265" s="81"/>
      <c r="BP265" s="81"/>
      <c r="BQ265" s="81"/>
      <c r="BR265" s="81"/>
      <c r="BS265" s="81"/>
      <c r="BT265" s="81"/>
      <c r="BU265" s="81"/>
      <c r="BV265" s="81"/>
      <c r="BW265" s="81"/>
      <c r="BX265" s="81"/>
      <c r="BY265" s="81"/>
      <c r="BZ265" s="81"/>
      <c r="CA265" s="81"/>
      <c r="CB265" s="81"/>
      <c r="CC265" s="81"/>
      <c r="CD265" s="81"/>
      <c r="CE265" s="81"/>
      <c r="CF265" s="81"/>
      <c r="CG265" s="81"/>
      <c r="CH265" s="81"/>
      <c r="CI265" s="81"/>
      <c r="CJ265" s="81"/>
      <c r="CK265" s="81"/>
      <c r="CL265" s="81"/>
      <c r="CM265" s="81"/>
    </row>
    <row r="266" spans="1:91">
      <c r="B266" s="1492" t="s">
        <v>1040</v>
      </c>
      <c r="C266" s="3" t="s">
        <v>23</v>
      </c>
      <c r="E266" s="29">
        <f>SUM(F266:AS266)</f>
        <v>3354900</v>
      </c>
      <c r="F266" s="31">
        <f>+F184</f>
        <v>62700</v>
      </c>
      <c r="G266" s="1124">
        <f t="shared" ref="G266:AS266" si="219">+G184</f>
        <v>79400</v>
      </c>
      <c r="H266" s="1124">
        <f t="shared" si="219"/>
        <v>66100</v>
      </c>
      <c r="I266" s="1124">
        <f t="shared" si="219"/>
        <v>67900</v>
      </c>
      <c r="J266" s="1124">
        <f t="shared" si="219"/>
        <v>69800</v>
      </c>
      <c r="K266" s="1124">
        <f t="shared" si="219"/>
        <v>90700</v>
      </c>
      <c r="L266" s="1124">
        <f t="shared" si="219"/>
        <v>93400</v>
      </c>
      <c r="M266" s="1124">
        <f t="shared" si="219"/>
        <v>96200</v>
      </c>
      <c r="N266" s="1124">
        <f t="shared" si="219"/>
        <v>71800</v>
      </c>
      <c r="O266" s="1124">
        <f t="shared" si="219"/>
        <v>73900</v>
      </c>
      <c r="P266" s="1124">
        <f t="shared" si="219"/>
        <v>75900</v>
      </c>
      <c r="Q266" s="1124">
        <f t="shared" si="219"/>
        <v>79000</v>
      </c>
      <c r="R266" s="1124">
        <f t="shared" si="219"/>
        <v>91200</v>
      </c>
      <c r="S266" s="1124">
        <f t="shared" si="219"/>
        <v>95900</v>
      </c>
      <c r="T266" s="1124">
        <f t="shared" si="219"/>
        <v>122400</v>
      </c>
      <c r="U266" s="1124">
        <f t="shared" si="219"/>
        <v>136800</v>
      </c>
      <c r="V266" s="1124">
        <f t="shared" si="219"/>
        <v>132100</v>
      </c>
      <c r="W266" s="1124">
        <f t="shared" si="219"/>
        <v>136700</v>
      </c>
      <c r="X266" s="1124">
        <f t="shared" si="219"/>
        <v>129000</v>
      </c>
      <c r="Y266" s="1124">
        <f t="shared" si="219"/>
        <v>131800</v>
      </c>
      <c r="Z266" s="1124">
        <f t="shared" si="219"/>
        <v>136200</v>
      </c>
      <c r="AA266" s="1124">
        <f t="shared" si="219"/>
        <v>141000</v>
      </c>
      <c r="AB266" s="1124">
        <f t="shared" si="219"/>
        <v>147800</v>
      </c>
      <c r="AC266" s="1124">
        <f t="shared" si="219"/>
        <v>158700</v>
      </c>
      <c r="AD266" s="1124">
        <f t="shared" si="219"/>
        <v>141000</v>
      </c>
      <c r="AE266" s="1124">
        <f t="shared" si="219"/>
        <v>145700</v>
      </c>
      <c r="AF266" s="1124">
        <f t="shared" si="219"/>
        <v>148500</v>
      </c>
      <c r="AG266" s="1124">
        <f t="shared" si="219"/>
        <v>142500</v>
      </c>
      <c r="AH266" s="1124">
        <f t="shared" si="219"/>
        <v>143900</v>
      </c>
      <c r="AI266" s="1124">
        <f t="shared" si="219"/>
        <v>146900</v>
      </c>
      <c r="AJ266" s="1124">
        <f t="shared" si="219"/>
        <v>0</v>
      </c>
      <c r="AK266" s="1124">
        <f t="shared" si="219"/>
        <v>0</v>
      </c>
      <c r="AL266" s="1124">
        <f t="shared" si="219"/>
        <v>0</v>
      </c>
      <c r="AM266" s="1124">
        <f t="shared" si="219"/>
        <v>0</v>
      </c>
      <c r="AN266" s="1124">
        <f t="shared" si="219"/>
        <v>0</v>
      </c>
      <c r="AO266" s="1124">
        <f t="shared" si="219"/>
        <v>0</v>
      </c>
      <c r="AP266" s="1124">
        <f t="shared" si="219"/>
        <v>0</v>
      </c>
      <c r="AQ266" s="1124">
        <f t="shared" si="219"/>
        <v>0</v>
      </c>
      <c r="AR266" s="1124">
        <f t="shared" si="219"/>
        <v>0</v>
      </c>
      <c r="AS266" s="1124">
        <f t="shared" si="219"/>
        <v>0</v>
      </c>
      <c r="AU266" s="29">
        <f>+Details!E266</f>
        <v>3354900</v>
      </c>
      <c r="AV266" s="81">
        <f>+E266-AU266</f>
        <v>0</v>
      </c>
      <c r="AW266" s="102"/>
      <c r="AY266" s="31">
        <f>+Details!F266-Base!F266</f>
        <v>0</v>
      </c>
      <c r="AZ266" s="1124">
        <f>+Details!G266-Base!G266</f>
        <v>0</v>
      </c>
      <c r="BA266" s="1124">
        <f>+Details!H266-Base!H266</f>
        <v>0</v>
      </c>
      <c r="BB266" s="1124">
        <f>+Details!I266-Base!I266</f>
        <v>0</v>
      </c>
      <c r="BC266" s="1124">
        <f>+Details!J266-Base!J266</f>
        <v>0</v>
      </c>
      <c r="BD266" s="1124">
        <f>+Details!K266-Base!K266</f>
        <v>0</v>
      </c>
      <c r="BE266" s="1124">
        <f>+Details!L266-Base!L266</f>
        <v>0</v>
      </c>
      <c r="BF266" s="1124">
        <f>+Details!M266-Base!M266</f>
        <v>0</v>
      </c>
      <c r="BG266" s="1124">
        <f>+Details!N266-Base!N266</f>
        <v>0</v>
      </c>
      <c r="BH266" s="1124">
        <f>+Details!O266-Base!O266</f>
        <v>0</v>
      </c>
      <c r="BI266" s="1124">
        <f>+Details!P266-Base!P266</f>
        <v>0</v>
      </c>
      <c r="BJ266" s="1124">
        <f>+Details!Q266-Base!Q266</f>
        <v>0</v>
      </c>
      <c r="BK266" s="1124">
        <f>+Details!R266-Base!R266</f>
        <v>0</v>
      </c>
      <c r="BL266" s="1124">
        <f>+Details!S266-Base!S266</f>
        <v>0</v>
      </c>
      <c r="BM266" s="1124">
        <f>+Details!T266-Base!T266</f>
        <v>0</v>
      </c>
      <c r="BN266" s="1124">
        <f>+Details!U266-Base!U266</f>
        <v>0</v>
      </c>
      <c r="BO266" s="1124">
        <f>+Details!V266-Base!V266</f>
        <v>0</v>
      </c>
      <c r="BP266" s="1124">
        <f>+Details!W266-Base!W266</f>
        <v>0</v>
      </c>
      <c r="BQ266" s="1124">
        <f>+Details!X266-Base!X266</f>
        <v>0</v>
      </c>
      <c r="BR266" s="1124">
        <f>+Details!Y266-Base!Y266</f>
        <v>0</v>
      </c>
      <c r="BS266" s="1124">
        <f>+Details!Z266-Base!Z266</f>
        <v>0</v>
      </c>
      <c r="BT266" s="1124">
        <f>+Details!AA266-Base!AA266</f>
        <v>0</v>
      </c>
      <c r="BU266" s="1124">
        <f>+Details!AB266-Base!AB266</f>
        <v>0</v>
      </c>
      <c r="BV266" s="1124">
        <f>+Details!AC266-Base!AC266</f>
        <v>0</v>
      </c>
      <c r="BW266" s="1124">
        <f>+Details!AD266-Base!AD266</f>
        <v>0</v>
      </c>
      <c r="BX266" s="1124">
        <f>+Details!AE266-Base!AE266</f>
        <v>0</v>
      </c>
      <c r="BY266" s="1124">
        <f>+Details!AF266-Base!AF266</f>
        <v>0</v>
      </c>
      <c r="BZ266" s="1124">
        <f>+Details!AG266-Base!AG266</f>
        <v>0</v>
      </c>
      <c r="CA266" s="1124">
        <f>+Details!AH266-Base!AH266</f>
        <v>0</v>
      </c>
      <c r="CB266" s="1124">
        <f>+Details!AI266-Base!AI266</f>
        <v>0</v>
      </c>
      <c r="CC266" s="1124">
        <f>+Details!AJ266-Base!AJ266</f>
        <v>0</v>
      </c>
      <c r="CD266" s="1124">
        <f>+Details!AK266-Base!AK266</f>
        <v>0</v>
      </c>
      <c r="CE266" s="1124">
        <f>+Details!AL266-Base!AL266</f>
        <v>0</v>
      </c>
      <c r="CF266" s="1124">
        <f>+Details!AM266-Base!AM266</f>
        <v>0</v>
      </c>
      <c r="CG266" s="1124">
        <f>+Details!AN266-Base!AN266</f>
        <v>0</v>
      </c>
      <c r="CH266" s="1124">
        <f>+Details!AO266-Base!AO266</f>
        <v>0</v>
      </c>
      <c r="CI266" s="1124">
        <f>+Details!AP266-Base!AP266</f>
        <v>0</v>
      </c>
      <c r="CJ266" s="1124">
        <f>+Details!AQ266-Base!AQ266</f>
        <v>0</v>
      </c>
      <c r="CK266" s="1124">
        <f>+Details!AR266-Base!AR266</f>
        <v>0</v>
      </c>
      <c r="CL266" s="1124">
        <f>+Details!AS266-Base!AS266</f>
        <v>0</v>
      </c>
      <c r="CM266" s="81"/>
    </row>
    <row r="267" spans="1:91" ht="15.6">
      <c r="B267" s="175" t="s">
        <v>1593</v>
      </c>
      <c r="C267" s="3"/>
      <c r="D267" s="1418" t="s">
        <v>2339</v>
      </c>
      <c r="E267" s="29">
        <f>SUM(F267:AS267)</f>
        <v>376900</v>
      </c>
      <c r="F267" s="31">
        <f>+F151-F165</f>
        <v>0</v>
      </c>
      <c r="G267" s="1124">
        <f>+G151-G165</f>
        <v>0</v>
      </c>
      <c r="H267" s="1124">
        <f t="shared" ref="H267:AS267" si="220">+H151-H165</f>
        <v>0</v>
      </c>
      <c r="I267" s="1124">
        <f t="shared" si="220"/>
        <v>0</v>
      </c>
      <c r="J267" s="1124">
        <f t="shared" si="220"/>
        <v>0</v>
      </c>
      <c r="K267" s="1124">
        <f t="shared" si="220"/>
        <v>3300</v>
      </c>
      <c r="L267" s="1124">
        <f t="shared" si="220"/>
        <v>3400</v>
      </c>
      <c r="M267" s="1124">
        <f t="shared" si="220"/>
        <v>3400</v>
      </c>
      <c r="N267" s="1124">
        <f t="shared" si="220"/>
        <v>36500</v>
      </c>
      <c r="O267" s="1124">
        <f t="shared" si="220"/>
        <v>36400</v>
      </c>
      <c r="P267" s="1124">
        <f t="shared" si="220"/>
        <v>36600</v>
      </c>
      <c r="Q267" s="1124">
        <f t="shared" si="220"/>
        <v>36200</v>
      </c>
      <c r="R267" s="1124">
        <f t="shared" si="220"/>
        <v>31400</v>
      </c>
      <c r="S267" s="1124">
        <f t="shared" si="220"/>
        <v>30200</v>
      </c>
      <c r="T267" s="1124">
        <f t="shared" si="220"/>
        <v>19100</v>
      </c>
      <c r="U267" s="1124">
        <f t="shared" si="220"/>
        <v>13400</v>
      </c>
      <c r="V267" s="1124">
        <f t="shared" si="220"/>
        <v>9400</v>
      </c>
      <c r="W267" s="1124">
        <f t="shared" si="220"/>
        <v>9600</v>
      </c>
      <c r="X267" s="1124">
        <f t="shared" si="220"/>
        <v>9800</v>
      </c>
      <c r="Y267" s="1124">
        <f t="shared" si="220"/>
        <v>10000</v>
      </c>
      <c r="Z267" s="1124">
        <f t="shared" si="220"/>
        <v>10200</v>
      </c>
      <c r="AA267" s="1124">
        <f t="shared" si="220"/>
        <v>10400</v>
      </c>
      <c r="AB267" s="1124">
        <f t="shared" si="220"/>
        <v>10600</v>
      </c>
      <c r="AC267" s="1124">
        <f t="shared" si="220"/>
        <v>10800</v>
      </c>
      <c r="AD267" s="1124">
        <f t="shared" si="220"/>
        <v>7300</v>
      </c>
      <c r="AE267" s="1124">
        <f t="shared" si="220"/>
        <v>7500</v>
      </c>
      <c r="AF267" s="1124">
        <f t="shared" si="220"/>
        <v>7600</v>
      </c>
      <c r="AG267" s="1124">
        <f t="shared" si="220"/>
        <v>7800</v>
      </c>
      <c r="AH267" s="1124">
        <f t="shared" si="220"/>
        <v>7900</v>
      </c>
      <c r="AI267" s="1124">
        <f t="shared" si="220"/>
        <v>8100</v>
      </c>
      <c r="AJ267" s="1124">
        <f t="shared" si="220"/>
        <v>0</v>
      </c>
      <c r="AK267" s="1124">
        <f t="shared" si="220"/>
        <v>0</v>
      </c>
      <c r="AL267" s="1124">
        <f t="shared" si="220"/>
        <v>0</v>
      </c>
      <c r="AM267" s="1124">
        <f t="shared" si="220"/>
        <v>0</v>
      </c>
      <c r="AN267" s="1124">
        <f t="shared" si="220"/>
        <v>0</v>
      </c>
      <c r="AO267" s="1124">
        <f t="shared" si="220"/>
        <v>0</v>
      </c>
      <c r="AP267" s="1124">
        <f t="shared" si="220"/>
        <v>0</v>
      </c>
      <c r="AQ267" s="1124">
        <f t="shared" si="220"/>
        <v>0</v>
      </c>
      <c r="AR267" s="1124">
        <f t="shared" si="220"/>
        <v>0</v>
      </c>
      <c r="AS267" s="1124">
        <f t="shared" si="220"/>
        <v>0</v>
      </c>
      <c r="AU267" s="29">
        <f>+Details!E267</f>
        <v>376900</v>
      </c>
      <c r="AV267" s="81">
        <f>+E267-AU267</f>
        <v>0</v>
      </c>
      <c r="AW267" s="102"/>
      <c r="AY267" s="31">
        <f>+Details!F267-Base!F267</f>
        <v>0</v>
      </c>
      <c r="AZ267" s="1124">
        <f>+Details!G267-Base!G267</f>
        <v>0</v>
      </c>
      <c r="BA267" s="1124">
        <f>+Details!H267-Base!H267</f>
        <v>0</v>
      </c>
      <c r="BB267" s="1124">
        <f>+Details!I267-Base!I267</f>
        <v>0</v>
      </c>
      <c r="BC267" s="1124">
        <f>+Details!J267-Base!J267</f>
        <v>0</v>
      </c>
      <c r="BD267" s="1124">
        <f>+Details!K267-Base!K267</f>
        <v>0</v>
      </c>
      <c r="BE267" s="1124">
        <f>+Details!L267-Base!L267</f>
        <v>0</v>
      </c>
      <c r="BF267" s="1124">
        <f>+Details!M267-Base!M267</f>
        <v>0</v>
      </c>
      <c r="BG267" s="1124">
        <f>+Details!N267-Base!N267</f>
        <v>0</v>
      </c>
      <c r="BH267" s="1124">
        <f>+Details!O267-Base!O267</f>
        <v>0</v>
      </c>
      <c r="BI267" s="1124">
        <f>+Details!P267-Base!P267</f>
        <v>0</v>
      </c>
      <c r="BJ267" s="1124">
        <f>+Details!Q267-Base!Q267</f>
        <v>0</v>
      </c>
      <c r="BK267" s="1124">
        <f>+Details!R267-Base!R267</f>
        <v>0</v>
      </c>
      <c r="BL267" s="1124">
        <f>+Details!S267-Base!S267</f>
        <v>0</v>
      </c>
      <c r="BM267" s="1124">
        <f>+Details!T267-Base!T267</f>
        <v>0</v>
      </c>
      <c r="BN267" s="1124">
        <f>+Details!U267-Base!U267</f>
        <v>0</v>
      </c>
      <c r="BO267" s="1124">
        <f>+Details!V267-Base!V267</f>
        <v>0</v>
      </c>
      <c r="BP267" s="1124">
        <f>+Details!W267-Base!W267</f>
        <v>0</v>
      </c>
      <c r="BQ267" s="1124">
        <f>+Details!X267-Base!X267</f>
        <v>0</v>
      </c>
      <c r="BR267" s="1124">
        <f>+Details!Y267-Base!Y267</f>
        <v>0</v>
      </c>
      <c r="BS267" s="1124">
        <f>+Details!Z267-Base!Z267</f>
        <v>0</v>
      </c>
      <c r="BT267" s="1124">
        <f>+Details!AA267-Base!AA267</f>
        <v>0</v>
      </c>
      <c r="BU267" s="1124">
        <f>+Details!AB267-Base!AB267</f>
        <v>0</v>
      </c>
      <c r="BV267" s="1124">
        <f>+Details!AC267-Base!AC267</f>
        <v>0</v>
      </c>
      <c r="BW267" s="1124">
        <f>+Details!AD267-Base!AD267</f>
        <v>0</v>
      </c>
      <c r="BX267" s="1124">
        <f>+Details!AE267-Base!AE267</f>
        <v>0</v>
      </c>
      <c r="BY267" s="1124">
        <f>+Details!AF267-Base!AF267</f>
        <v>0</v>
      </c>
      <c r="BZ267" s="1124">
        <f>+Details!AG267-Base!AG267</f>
        <v>0</v>
      </c>
      <c r="CA267" s="1124">
        <f>+Details!AH267-Base!AH267</f>
        <v>0</v>
      </c>
      <c r="CB267" s="1124">
        <f>+Details!AI267-Base!AI267</f>
        <v>0</v>
      </c>
      <c r="CC267" s="1124">
        <f>+Details!AJ267-Base!AJ267</f>
        <v>0</v>
      </c>
      <c r="CD267" s="1124">
        <f>+Details!AK267-Base!AK267</f>
        <v>0</v>
      </c>
      <c r="CE267" s="1124">
        <f>+Details!AL267-Base!AL267</f>
        <v>0</v>
      </c>
      <c r="CF267" s="1124">
        <f>+Details!AM267-Base!AM267</f>
        <v>0</v>
      </c>
      <c r="CG267" s="1124">
        <f>+Details!AN267-Base!AN267</f>
        <v>0</v>
      </c>
      <c r="CH267" s="1124">
        <f>+Details!AO267-Base!AO267</f>
        <v>0</v>
      </c>
      <c r="CI267" s="1124">
        <f>+Details!AP267-Base!AP267</f>
        <v>0</v>
      </c>
      <c r="CJ267" s="1124">
        <f>+Details!AQ267-Base!AQ267</f>
        <v>0</v>
      </c>
      <c r="CK267" s="1124">
        <f>+Details!AR267-Base!AR267</f>
        <v>0</v>
      </c>
      <c r="CL267" s="1124">
        <f>+Details!AS267-Base!AS267</f>
        <v>0</v>
      </c>
      <c r="CM267" s="81"/>
    </row>
    <row r="268" spans="1:91">
      <c r="B268" s="175" t="s">
        <v>20</v>
      </c>
      <c r="C268" s="3" t="s">
        <v>24</v>
      </c>
      <c r="E268" s="29">
        <f>SUM(F268:AS268)</f>
        <v>334400</v>
      </c>
      <c r="F268" s="31">
        <f>-F170</f>
        <v>2900</v>
      </c>
      <c r="G268" s="1124">
        <f t="shared" ref="G268:AS268" si="221">-G170</f>
        <v>2800</v>
      </c>
      <c r="H268" s="1124">
        <f t="shared" si="221"/>
        <v>2700</v>
      </c>
      <c r="I268" s="1124">
        <f t="shared" si="221"/>
        <v>2500</v>
      </c>
      <c r="J268" s="1124">
        <f t="shared" si="221"/>
        <v>2300</v>
      </c>
      <c r="K268" s="1124">
        <f t="shared" si="221"/>
        <v>2300</v>
      </c>
      <c r="L268" s="1124">
        <f t="shared" si="221"/>
        <v>2400</v>
      </c>
      <c r="M268" s="1124">
        <f t="shared" si="221"/>
        <v>2600</v>
      </c>
      <c r="N268" s="1124">
        <f t="shared" si="221"/>
        <v>2800</v>
      </c>
      <c r="O268" s="1124">
        <f t="shared" si="221"/>
        <v>3300</v>
      </c>
      <c r="P268" s="1124">
        <f t="shared" si="221"/>
        <v>3200</v>
      </c>
      <c r="Q268" s="1124">
        <f t="shared" si="221"/>
        <v>3500</v>
      </c>
      <c r="R268" s="1124">
        <f t="shared" si="221"/>
        <v>4200</v>
      </c>
      <c r="S268" s="1124">
        <f t="shared" si="221"/>
        <v>4700</v>
      </c>
      <c r="T268" s="1124">
        <f t="shared" si="221"/>
        <v>4800</v>
      </c>
      <c r="U268" s="1124">
        <f t="shared" si="221"/>
        <v>5400</v>
      </c>
      <c r="V268" s="1124">
        <f t="shared" si="221"/>
        <v>6700</v>
      </c>
      <c r="W268" s="1124">
        <f t="shared" si="221"/>
        <v>7600</v>
      </c>
      <c r="X268" s="1124">
        <f t="shared" si="221"/>
        <v>11500</v>
      </c>
      <c r="Y268" s="1124">
        <f t="shared" si="221"/>
        <v>12200</v>
      </c>
      <c r="Z268" s="1124">
        <f t="shared" si="221"/>
        <v>13000</v>
      </c>
      <c r="AA268" s="1124">
        <f t="shared" si="221"/>
        <v>13800</v>
      </c>
      <c r="AB268" s="1124">
        <f t="shared" si="221"/>
        <v>17700</v>
      </c>
      <c r="AC268" s="1124">
        <f t="shared" si="221"/>
        <v>24100</v>
      </c>
      <c r="AD268" s="1124">
        <f t="shared" si="221"/>
        <v>26000</v>
      </c>
      <c r="AE268" s="1124">
        <f t="shared" si="221"/>
        <v>28200</v>
      </c>
      <c r="AF268" s="1124">
        <f t="shared" si="221"/>
        <v>29100</v>
      </c>
      <c r="AG268" s="1124">
        <f t="shared" si="221"/>
        <v>29900</v>
      </c>
      <c r="AH268" s="1124">
        <f t="shared" si="221"/>
        <v>30700</v>
      </c>
      <c r="AI268" s="1124">
        <f t="shared" si="221"/>
        <v>31500</v>
      </c>
      <c r="AJ268" s="1124">
        <f t="shared" si="221"/>
        <v>0</v>
      </c>
      <c r="AK268" s="1124">
        <f t="shared" si="221"/>
        <v>0</v>
      </c>
      <c r="AL268" s="1124">
        <f t="shared" si="221"/>
        <v>0</v>
      </c>
      <c r="AM268" s="1124">
        <f t="shared" si="221"/>
        <v>0</v>
      </c>
      <c r="AN268" s="1124">
        <f t="shared" si="221"/>
        <v>0</v>
      </c>
      <c r="AO268" s="1124">
        <f t="shared" si="221"/>
        <v>0</v>
      </c>
      <c r="AP268" s="1124">
        <f t="shared" si="221"/>
        <v>0</v>
      </c>
      <c r="AQ268" s="1124">
        <f t="shared" si="221"/>
        <v>0</v>
      </c>
      <c r="AR268" s="1124">
        <f t="shared" si="221"/>
        <v>0</v>
      </c>
      <c r="AS268" s="1124">
        <f t="shared" si="221"/>
        <v>0</v>
      </c>
      <c r="AU268" s="29">
        <f>+Details!E268</f>
        <v>334400</v>
      </c>
      <c r="AV268" s="81">
        <f>+E268-AU268</f>
        <v>0</v>
      </c>
      <c r="AW268" s="102"/>
      <c r="AY268" s="31">
        <f>+Details!F268-Base!F268</f>
        <v>0</v>
      </c>
      <c r="AZ268" s="1124">
        <f>+Details!G268-Base!G268</f>
        <v>0</v>
      </c>
      <c r="BA268" s="1124">
        <f>+Details!H268-Base!H268</f>
        <v>0</v>
      </c>
      <c r="BB268" s="1124">
        <f>+Details!I268-Base!I268</f>
        <v>0</v>
      </c>
      <c r="BC268" s="1124">
        <f>+Details!J268-Base!J268</f>
        <v>0</v>
      </c>
      <c r="BD268" s="1124">
        <f>+Details!K268-Base!K268</f>
        <v>0</v>
      </c>
      <c r="BE268" s="1124">
        <f>+Details!L268-Base!L268</f>
        <v>0</v>
      </c>
      <c r="BF268" s="1124">
        <f>+Details!M268-Base!M268</f>
        <v>0</v>
      </c>
      <c r="BG268" s="1124">
        <f>+Details!N268-Base!N268</f>
        <v>0</v>
      </c>
      <c r="BH268" s="1124">
        <f>+Details!O268-Base!O268</f>
        <v>0</v>
      </c>
      <c r="BI268" s="1124">
        <f>+Details!P268-Base!P268</f>
        <v>0</v>
      </c>
      <c r="BJ268" s="1124">
        <f>+Details!Q268-Base!Q268</f>
        <v>0</v>
      </c>
      <c r="BK268" s="1124">
        <f>+Details!R268-Base!R268</f>
        <v>0</v>
      </c>
      <c r="BL268" s="1124">
        <f>+Details!S268-Base!S268</f>
        <v>0</v>
      </c>
      <c r="BM268" s="1124">
        <f>+Details!T268-Base!T268</f>
        <v>0</v>
      </c>
      <c r="BN268" s="1124">
        <f>+Details!U268-Base!U268</f>
        <v>0</v>
      </c>
      <c r="BO268" s="1124">
        <f>+Details!V268-Base!V268</f>
        <v>0</v>
      </c>
      <c r="BP268" s="1124">
        <f>+Details!W268-Base!W268</f>
        <v>0</v>
      </c>
      <c r="BQ268" s="1124">
        <f>+Details!X268-Base!X268</f>
        <v>0</v>
      </c>
      <c r="BR268" s="1124">
        <f>+Details!Y268-Base!Y268</f>
        <v>0</v>
      </c>
      <c r="BS268" s="1124">
        <f>+Details!Z268-Base!Z268</f>
        <v>0</v>
      </c>
      <c r="BT268" s="1124">
        <f>+Details!AA268-Base!AA268</f>
        <v>0</v>
      </c>
      <c r="BU268" s="1124">
        <f>+Details!AB268-Base!AB268</f>
        <v>0</v>
      </c>
      <c r="BV268" s="1124">
        <f>+Details!AC268-Base!AC268</f>
        <v>0</v>
      </c>
      <c r="BW268" s="1124">
        <f>+Details!AD268-Base!AD268</f>
        <v>0</v>
      </c>
      <c r="BX268" s="1124">
        <f>+Details!AE268-Base!AE268</f>
        <v>0</v>
      </c>
      <c r="BY268" s="1124">
        <f>+Details!AF268-Base!AF268</f>
        <v>0</v>
      </c>
      <c r="BZ268" s="1124">
        <f>+Details!AG268-Base!AG268</f>
        <v>0</v>
      </c>
      <c r="CA268" s="1124">
        <f>+Details!AH268-Base!AH268</f>
        <v>0</v>
      </c>
      <c r="CB268" s="1124">
        <f>+Details!AI268-Base!AI268</f>
        <v>0</v>
      </c>
      <c r="CC268" s="1124">
        <f>+Details!AJ268-Base!AJ268</f>
        <v>0</v>
      </c>
      <c r="CD268" s="1124">
        <f>+Details!AK268-Base!AK268</f>
        <v>0</v>
      </c>
      <c r="CE268" s="1124">
        <f>+Details!AL268-Base!AL268</f>
        <v>0</v>
      </c>
      <c r="CF268" s="1124">
        <f>+Details!AM268-Base!AM268</f>
        <v>0</v>
      </c>
      <c r="CG268" s="1124">
        <f>+Details!AN268-Base!AN268</f>
        <v>0</v>
      </c>
      <c r="CH268" s="1124">
        <f>+Details!AO268-Base!AO268</f>
        <v>0</v>
      </c>
      <c r="CI268" s="1124">
        <f>+Details!AP268-Base!AP268</f>
        <v>0</v>
      </c>
      <c r="CJ268" s="1124">
        <f>+Details!AQ268-Base!AQ268</f>
        <v>0</v>
      </c>
      <c r="CK268" s="1124">
        <f>+Details!AR268-Base!AR268</f>
        <v>0</v>
      </c>
      <c r="CL268" s="1124">
        <f>+Details!AS268-Base!AS268</f>
        <v>0</v>
      </c>
      <c r="CM268" s="81"/>
    </row>
    <row r="269" spans="1:91" ht="15.6">
      <c r="B269" s="175" t="s">
        <v>21</v>
      </c>
      <c r="C269" s="3" t="s">
        <v>1308</v>
      </c>
      <c r="D269" s="17" t="s">
        <v>1309</v>
      </c>
      <c r="E269" s="102">
        <f>SUM(F269:AS269)</f>
        <v>0</v>
      </c>
      <c r="F269" s="806">
        <f>+Details!F269</f>
        <v>0</v>
      </c>
      <c r="G269" s="1147">
        <f>+Details!G269</f>
        <v>0</v>
      </c>
      <c r="H269" s="1147">
        <f>+Details!H269</f>
        <v>0</v>
      </c>
      <c r="I269" s="1147">
        <f>+Details!I269</f>
        <v>0</v>
      </c>
      <c r="J269" s="1147">
        <f>+Details!J269</f>
        <v>0</v>
      </c>
      <c r="K269" s="1147">
        <f>+Details!K269</f>
        <v>0</v>
      </c>
      <c r="L269" s="1147">
        <f>+Details!L269</f>
        <v>0</v>
      </c>
      <c r="M269" s="1147">
        <f>+Details!M269</f>
        <v>0</v>
      </c>
      <c r="N269" s="1147">
        <f>+Details!N269</f>
        <v>0</v>
      </c>
      <c r="O269" s="1147">
        <f>+Details!O269</f>
        <v>0</v>
      </c>
      <c r="P269" s="1147">
        <f>+Details!P269</f>
        <v>0</v>
      </c>
      <c r="Q269" s="1147">
        <f>+Details!Q269</f>
        <v>0</v>
      </c>
      <c r="R269" s="1147">
        <f>+Details!R269</f>
        <v>0</v>
      </c>
      <c r="S269" s="1147">
        <f>+Details!S269</f>
        <v>0</v>
      </c>
      <c r="T269" s="1147">
        <f>+Details!T269</f>
        <v>0</v>
      </c>
      <c r="U269" s="1147">
        <f>+Details!U269</f>
        <v>0</v>
      </c>
      <c r="V269" s="1147">
        <f>+Details!V269</f>
        <v>0</v>
      </c>
      <c r="W269" s="1147">
        <f>+Details!W269</f>
        <v>0</v>
      </c>
      <c r="X269" s="1147">
        <f>+Details!X269</f>
        <v>0</v>
      </c>
      <c r="Y269" s="1147">
        <f>+Details!Y269</f>
        <v>0</v>
      </c>
      <c r="Z269" s="1147">
        <f>+Details!Z269</f>
        <v>0</v>
      </c>
      <c r="AA269" s="1147">
        <f>+Details!AA269</f>
        <v>0</v>
      </c>
      <c r="AB269" s="1147">
        <f>+Details!AB269</f>
        <v>0</v>
      </c>
      <c r="AC269" s="1147">
        <f>+Details!AC269</f>
        <v>0</v>
      </c>
      <c r="AD269" s="1147">
        <f>+Details!AD269</f>
        <v>0</v>
      </c>
      <c r="AE269" s="1147">
        <f>+Details!AE269</f>
        <v>0</v>
      </c>
      <c r="AF269" s="1147">
        <f>+Details!AF269</f>
        <v>0</v>
      </c>
      <c r="AG269" s="1147">
        <f>+Details!AG269</f>
        <v>0</v>
      </c>
      <c r="AH269" s="1147">
        <f>+Details!AH269</f>
        <v>0</v>
      </c>
      <c r="AI269" s="1147">
        <f>+Details!AI269</f>
        <v>0</v>
      </c>
      <c r="AJ269" s="1147">
        <f>+Details!AJ269</f>
        <v>0</v>
      </c>
      <c r="AK269" s="1147">
        <f>+Details!AK269</f>
        <v>0</v>
      </c>
      <c r="AL269" s="1147">
        <f>+Details!AL269</f>
        <v>0</v>
      </c>
      <c r="AM269" s="1147">
        <f>+Details!AM269</f>
        <v>0</v>
      </c>
      <c r="AN269" s="1147">
        <f>+Details!AN269</f>
        <v>0</v>
      </c>
      <c r="AO269" s="1147">
        <f>+Details!AO269</f>
        <v>0</v>
      </c>
      <c r="AP269" s="1147">
        <f>+Details!AP269</f>
        <v>0</v>
      </c>
      <c r="AQ269" s="1147">
        <f>+Details!AQ269</f>
        <v>0</v>
      </c>
      <c r="AR269" s="1147">
        <f>+Details!AR269</f>
        <v>0</v>
      </c>
      <c r="AS269" s="1147">
        <f>+Details!AS269</f>
        <v>0</v>
      </c>
      <c r="AT269" s="1"/>
      <c r="AU269" s="102">
        <f>+Details!E269</f>
        <v>0</v>
      </c>
      <c r="AV269" s="103">
        <f>+E269-AU269</f>
        <v>0</v>
      </c>
      <c r="AW269" s="102"/>
      <c r="AX269" s="1"/>
      <c r="AY269" s="88">
        <f>+Details!F269-Base!F269</f>
        <v>0</v>
      </c>
      <c r="AZ269" s="1147">
        <f>+Details!G269-Base!G269</f>
        <v>0</v>
      </c>
      <c r="BA269" s="1147">
        <f>+Details!H269-Base!H269</f>
        <v>0</v>
      </c>
      <c r="BB269" s="1147">
        <f>+Details!I269-Base!I269</f>
        <v>0</v>
      </c>
      <c r="BC269" s="1147">
        <f>+Details!J269-Base!J269</f>
        <v>0</v>
      </c>
      <c r="BD269" s="1147">
        <f>+Details!K269-Base!K269</f>
        <v>0</v>
      </c>
      <c r="BE269" s="1147">
        <f>+Details!L269-Base!L269</f>
        <v>0</v>
      </c>
      <c r="BF269" s="1147">
        <f>+Details!M269-Base!M269</f>
        <v>0</v>
      </c>
      <c r="BG269" s="1147">
        <f>+Details!N269-Base!N269</f>
        <v>0</v>
      </c>
      <c r="BH269" s="1147">
        <f>+Details!O269-Base!O269</f>
        <v>0</v>
      </c>
      <c r="BI269" s="1147">
        <f>+Details!P269-Base!P269</f>
        <v>0</v>
      </c>
      <c r="BJ269" s="1147">
        <f>+Details!Q269-Base!Q269</f>
        <v>0</v>
      </c>
      <c r="BK269" s="1147">
        <f>+Details!R269-Base!R269</f>
        <v>0</v>
      </c>
      <c r="BL269" s="1147">
        <f>+Details!S269-Base!S269</f>
        <v>0</v>
      </c>
      <c r="BM269" s="1147">
        <f>+Details!T269-Base!T269</f>
        <v>0</v>
      </c>
      <c r="BN269" s="1147">
        <f>+Details!U269-Base!U269</f>
        <v>0</v>
      </c>
      <c r="BO269" s="1147">
        <f>+Details!V269-Base!V269</f>
        <v>0</v>
      </c>
      <c r="BP269" s="1147">
        <f>+Details!W269-Base!W269</f>
        <v>0</v>
      </c>
      <c r="BQ269" s="1147">
        <f>+Details!X269-Base!X269</f>
        <v>0</v>
      </c>
      <c r="BR269" s="1147">
        <f>+Details!Y269-Base!Y269</f>
        <v>0</v>
      </c>
      <c r="BS269" s="1147">
        <f>+Details!Z269-Base!Z269</f>
        <v>0</v>
      </c>
      <c r="BT269" s="1147">
        <f>+Details!AA269-Base!AA269</f>
        <v>0</v>
      </c>
      <c r="BU269" s="1147">
        <f>+Details!AB269-Base!AB269</f>
        <v>0</v>
      </c>
      <c r="BV269" s="1147">
        <f>+Details!AC269-Base!AC269</f>
        <v>0</v>
      </c>
      <c r="BW269" s="1147">
        <f>+Details!AD269-Base!AD269</f>
        <v>0</v>
      </c>
      <c r="BX269" s="1147">
        <f>+Details!AE269-Base!AE269</f>
        <v>0</v>
      </c>
      <c r="BY269" s="1147">
        <f>+Details!AF269-Base!AF269</f>
        <v>0</v>
      </c>
      <c r="BZ269" s="1147">
        <f>+Details!AG269-Base!AG269</f>
        <v>0</v>
      </c>
      <c r="CA269" s="1147">
        <f>+Details!AH269-Base!AH269</f>
        <v>0</v>
      </c>
      <c r="CB269" s="1147">
        <f>+Details!AI269-Base!AI269</f>
        <v>0</v>
      </c>
      <c r="CC269" s="1147">
        <f>+Details!AJ269-Base!AJ269</f>
        <v>0</v>
      </c>
      <c r="CD269" s="1147">
        <f>+Details!AK269-Base!AK269</f>
        <v>0</v>
      </c>
      <c r="CE269" s="1147">
        <f>+Details!AL269-Base!AL269</f>
        <v>0</v>
      </c>
      <c r="CF269" s="1147">
        <f>+Details!AM269-Base!AM269</f>
        <v>0</v>
      </c>
      <c r="CG269" s="1147">
        <f>+Details!AN269-Base!AN269</f>
        <v>0</v>
      </c>
      <c r="CH269" s="1147">
        <f>+Details!AO269-Base!AO269</f>
        <v>0</v>
      </c>
      <c r="CI269" s="1147">
        <f>+Details!AP269-Base!AP269</f>
        <v>0</v>
      </c>
      <c r="CJ269" s="1147">
        <f>+Details!AQ269-Base!AQ269</f>
        <v>0</v>
      </c>
      <c r="CK269" s="1147">
        <f>+Details!AR269-Base!AR269</f>
        <v>0</v>
      </c>
      <c r="CL269" s="1147">
        <f>+Details!AS269-Base!AS269</f>
        <v>0</v>
      </c>
      <c r="CM269" s="103"/>
    </row>
    <row r="270" spans="1:91" ht="15.6">
      <c r="B270" s="28" t="s">
        <v>2337</v>
      </c>
      <c r="C270" s="3"/>
      <c r="E270" s="29">
        <f>SUM(F270:AS270)</f>
        <v>3689300</v>
      </c>
      <c r="F270" s="31">
        <f>+F266+F268+F269</f>
        <v>65600</v>
      </c>
      <c r="G270" s="1124">
        <f>+G266+G268+G269</f>
        <v>82200</v>
      </c>
      <c r="H270" s="1124">
        <f t="shared" ref="H270:AS270" si="222">+H266+H268+H269</f>
        <v>68800</v>
      </c>
      <c r="I270" s="1124">
        <f t="shared" si="222"/>
        <v>70400</v>
      </c>
      <c r="J270" s="1124">
        <f t="shared" si="222"/>
        <v>72100</v>
      </c>
      <c r="K270" s="1124">
        <f t="shared" si="222"/>
        <v>93000</v>
      </c>
      <c r="L270" s="1124">
        <f t="shared" si="222"/>
        <v>95800</v>
      </c>
      <c r="M270" s="1124">
        <f t="shared" si="222"/>
        <v>98800</v>
      </c>
      <c r="N270" s="1124">
        <f t="shared" si="222"/>
        <v>74600</v>
      </c>
      <c r="O270" s="1124">
        <f t="shared" si="222"/>
        <v>77200</v>
      </c>
      <c r="P270" s="1124">
        <f t="shared" si="222"/>
        <v>79100</v>
      </c>
      <c r="Q270" s="1124">
        <f t="shared" si="222"/>
        <v>82500</v>
      </c>
      <c r="R270" s="1124">
        <f t="shared" si="222"/>
        <v>95400</v>
      </c>
      <c r="S270" s="1124">
        <f t="shared" si="222"/>
        <v>100600</v>
      </c>
      <c r="T270" s="1124">
        <f t="shared" si="222"/>
        <v>127200</v>
      </c>
      <c r="U270" s="1124">
        <f t="shared" si="222"/>
        <v>142200</v>
      </c>
      <c r="V270" s="1124">
        <f t="shared" si="222"/>
        <v>138800</v>
      </c>
      <c r="W270" s="1124">
        <f t="shared" si="222"/>
        <v>144300</v>
      </c>
      <c r="X270" s="1124">
        <f t="shared" si="222"/>
        <v>140500</v>
      </c>
      <c r="Y270" s="1124">
        <f t="shared" si="222"/>
        <v>144000</v>
      </c>
      <c r="Z270" s="1124">
        <f t="shared" si="222"/>
        <v>149200</v>
      </c>
      <c r="AA270" s="1124">
        <f t="shared" si="222"/>
        <v>154800</v>
      </c>
      <c r="AB270" s="1124">
        <f t="shared" si="222"/>
        <v>165500</v>
      </c>
      <c r="AC270" s="1124">
        <f t="shared" si="222"/>
        <v>182800</v>
      </c>
      <c r="AD270" s="1124">
        <f t="shared" si="222"/>
        <v>167000</v>
      </c>
      <c r="AE270" s="1124">
        <f t="shared" si="222"/>
        <v>173900</v>
      </c>
      <c r="AF270" s="1124">
        <f t="shared" si="222"/>
        <v>177600</v>
      </c>
      <c r="AG270" s="1124">
        <f t="shared" si="222"/>
        <v>172400</v>
      </c>
      <c r="AH270" s="1124">
        <f t="shared" si="222"/>
        <v>174600</v>
      </c>
      <c r="AI270" s="1124">
        <f t="shared" si="222"/>
        <v>178400</v>
      </c>
      <c r="AJ270" s="1124">
        <f t="shared" si="222"/>
        <v>0</v>
      </c>
      <c r="AK270" s="1124">
        <f t="shared" si="222"/>
        <v>0</v>
      </c>
      <c r="AL270" s="1124">
        <f t="shared" si="222"/>
        <v>0</v>
      </c>
      <c r="AM270" s="1124">
        <f t="shared" si="222"/>
        <v>0</v>
      </c>
      <c r="AN270" s="1124">
        <f t="shared" si="222"/>
        <v>0</v>
      </c>
      <c r="AO270" s="1124">
        <f t="shared" si="222"/>
        <v>0</v>
      </c>
      <c r="AP270" s="1124">
        <f t="shared" si="222"/>
        <v>0</v>
      </c>
      <c r="AQ270" s="1124">
        <f t="shared" si="222"/>
        <v>0</v>
      </c>
      <c r="AR270" s="1124">
        <f t="shared" si="222"/>
        <v>0</v>
      </c>
      <c r="AS270" s="1124">
        <f t="shared" si="222"/>
        <v>0</v>
      </c>
      <c r="AU270" s="29">
        <f>+Details!E270</f>
        <v>3689300</v>
      </c>
      <c r="AV270" s="81">
        <f>+E270-AU270</f>
        <v>0</v>
      </c>
      <c r="AW270" s="102"/>
      <c r="AY270" s="31">
        <f>+Details!F270-Base!F270</f>
        <v>0</v>
      </c>
      <c r="AZ270" s="1124">
        <f>+Details!G270-Base!G270</f>
        <v>0</v>
      </c>
      <c r="BA270" s="1124">
        <f>+Details!H270-Base!H270</f>
        <v>0</v>
      </c>
      <c r="BB270" s="1124">
        <f>+Details!I270-Base!I270</f>
        <v>0</v>
      </c>
      <c r="BC270" s="1124">
        <f>+Details!J270-Base!J270</f>
        <v>0</v>
      </c>
      <c r="BD270" s="1124">
        <f>+Details!K270-Base!K270</f>
        <v>0</v>
      </c>
      <c r="BE270" s="1124">
        <f>+Details!L270-Base!L270</f>
        <v>0</v>
      </c>
      <c r="BF270" s="1124">
        <f>+Details!M270-Base!M270</f>
        <v>0</v>
      </c>
      <c r="BG270" s="1124">
        <f>+Details!N270-Base!N270</f>
        <v>0</v>
      </c>
      <c r="BH270" s="1124">
        <f>+Details!O270-Base!O270</f>
        <v>0</v>
      </c>
      <c r="BI270" s="1124">
        <f>+Details!P270-Base!P270</f>
        <v>0</v>
      </c>
      <c r="BJ270" s="1124">
        <f>+Details!Q270-Base!Q270</f>
        <v>0</v>
      </c>
      <c r="BK270" s="1124">
        <f>+Details!R270-Base!R270</f>
        <v>0</v>
      </c>
      <c r="BL270" s="1124">
        <f>+Details!S270-Base!S270</f>
        <v>0</v>
      </c>
      <c r="BM270" s="1124">
        <f>+Details!T270-Base!T270</f>
        <v>0</v>
      </c>
      <c r="BN270" s="1124">
        <f>+Details!U270-Base!U270</f>
        <v>0</v>
      </c>
      <c r="BO270" s="1124">
        <f>+Details!V270-Base!V270</f>
        <v>0</v>
      </c>
      <c r="BP270" s="1124">
        <f>+Details!W270-Base!W270</f>
        <v>0</v>
      </c>
      <c r="BQ270" s="1124">
        <f>+Details!X270-Base!X270</f>
        <v>0</v>
      </c>
      <c r="BR270" s="1124">
        <f>+Details!Y270-Base!Y270</f>
        <v>0</v>
      </c>
      <c r="BS270" s="1124">
        <f>+Details!Z270-Base!Z270</f>
        <v>0</v>
      </c>
      <c r="BT270" s="1124">
        <f>+Details!AA270-Base!AA270</f>
        <v>0</v>
      </c>
      <c r="BU270" s="1124">
        <f>+Details!AB270-Base!AB270</f>
        <v>0</v>
      </c>
      <c r="BV270" s="1124">
        <f>+Details!AC270-Base!AC270</f>
        <v>0</v>
      </c>
      <c r="BW270" s="1124">
        <f>+Details!AD270-Base!AD270</f>
        <v>0</v>
      </c>
      <c r="BX270" s="1124">
        <f>+Details!AE270-Base!AE270</f>
        <v>0</v>
      </c>
      <c r="BY270" s="1124">
        <f>+Details!AF270-Base!AF270</f>
        <v>0</v>
      </c>
      <c r="BZ270" s="1124">
        <f>+Details!AG270-Base!AG270</f>
        <v>0</v>
      </c>
      <c r="CA270" s="1124">
        <f>+Details!AH270-Base!AH270</f>
        <v>0</v>
      </c>
      <c r="CB270" s="1124">
        <f>+Details!AI270-Base!AI270</f>
        <v>0</v>
      </c>
      <c r="CC270" s="1124">
        <f>+Details!AJ270-Base!AJ270</f>
        <v>0</v>
      </c>
      <c r="CD270" s="1124">
        <f>+Details!AK270-Base!AK270</f>
        <v>0</v>
      </c>
      <c r="CE270" s="1124">
        <f>+Details!AL270-Base!AL270</f>
        <v>0</v>
      </c>
      <c r="CF270" s="1124">
        <f>+Details!AM270-Base!AM270</f>
        <v>0</v>
      </c>
      <c r="CG270" s="1124">
        <f>+Details!AN270-Base!AN270</f>
        <v>0</v>
      </c>
      <c r="CH270" s="1124">
        <f>+Details!AO270-Base!AO270</f>
        <v>0</v>
      </c>
      <c r="CI270" s="1124">
        <f>+Details!AP270-Base!AP270</f>
        <v>0</v>
      </c>
      <c r="CJ270" s="1124">
        <f>+Details!AQ270-Base!AQ270</f>
        <v>0</v>
      </c>
      <c r="CK270" s="1124">
        <f>+Details!AR270-Base!AR270</f>
        <v>0</v>
      </c>
      <c r="CL270" s="1124">
        <f>+Details!AS270-Base!AS270</f>
        <v>0</v>
      </c>
      <c r="CM270" s="81"/>
    </row>
    <row r="271" spans="1:91" ht="16.2" customHeight="1">
      <c r="B271" s="28" t="s">
        <v>2342</v>
      </c>
    </row>
    <row r="272" spans="1:91" ht="15.6">
      <c r="B272" s="1477" t="s">
        <v>1903</v>
      </c>
      <c r="C272" s="3"/>
      <c r="D272" s="434" t="str">
        <f>+'Tax Tables'!C72 &amp; " years"</f>
        <v>4 years</v>
      </c>
      <c r="E272" s="29">
        <f>SUM(F272:AS272)</f>
        <v>5376</v>
      </c>
      <c r="F272" s="31">
        <f>('Tax Tables'!F72*12)*('Tax Tables'!F75)</f>
        <v>0</v>
      </c>
      <c r="G272" s="1124">
        <f>('Tax Tables'!G72*12)*('Tax Tables'!G75)</f>
        <v>0</v>
      </c>
      <c r="H272" s="1124">
        <f>('Tax Tables'!H72*12)*('Tax Tables'!H75)</f>
        <v>0</v>
      </c>
      <c r="I272" s="1124">
        <f>('Tax Tables'!I72*12)*('Tax Tables'!I75)</f>
        <v>0</v>
      </c>
      <c r="J272" s="1124">
        <f>('Tax Tables'!J72*12)*('Tax Tables'!J75)</f>
        <v>0</v>
      </c>
      <c r="K272" s="1124">
        <f>('Tax Tables'!K72*12)*('Tax Tables'!K75)</f>
        <v>0</v>
      </c>
      <c r="L272" s="1124">
        <f>('Tax Tables'!L72*12)*('Tax Tables'!L75)</f>
        <v>0</v>
      </c>
      <c r="M272" s="1124">
        <f>('Tax Tables'!M72*12)*('Tax Tables'!M75)</f>
        <v>0</v>
      </c>
      <c r="N272" s="1124">
        <f>('Tax Tables'!N72*12)*('Tax Tables'!N75)</f>
        <v>0</v>
      </c>
      <c r="O272" s="1124">
        <f>('Tax Tables'!O72*12)*('Tax Tables'!O75)</f>
        <v>0</v>
      </c>
      <c r="P272" s="1124">
        <f>('Tax Tables'!P72*12)*('Tax Tables'!P75)</f>
        <v>0</v>
      </c>
      <c r="Q272" s="1124">
        <f>('Tax Tables'!Q72*12)*('Tax Tables'!Q75)</f>
        <v>0</v>
      </c>
      <c r="R272" s="1124">
        <f>('Tax Tables'!R72*12)*('Tax Tables'!R75)</f>
        <v>0</v>
      </c>
      <c r="S272" s="1124">
        <f>('Tax Tables'!S72*12)*('Tax Tables'!S75)</f>
        <v>0</v>
      </c>
      <c r="T272" s="1124">
        <f>('Tax Tables'!T72*12)*('Tax Tables'!T75)</f>
        <v>0</v>
      </c>
      <c r="U272" s="1124">
        <f>('Tax Tables'!U72*12)*('Tax Tables'!U75)</f>
        <v>0</v>
      </c>
      <c r="V272" s="1124">
        <f>('Tax Tables'!V72*12)*('Tax Tables'!V75)</f>
        <v>0</v>
      </c>
      <c r="W272" s="1124">
        <f>('Tax Tables'!W72*12)*('Tax Tables'!W75)</f>
        <v>0</v>
      </c>
      <c r="X272" s="1124">
        <f>('Tax Tables'!X72*12)*('Tax Tables'!X75)</f>
        <v>0</v>
      </c>
      <c r="Y272" s="1124">
        <f>('Tax Tables'!Y72*12)*('Tax Tables'!Y75)</f>
        <v>0</v>
      </c>
      <c r="Z272" s="1124">
        <f>('Tax Tables'!Z72*12)*('Tax Tables'!Z75)</f>
        <v>0</v>
      </c>
      <c r="AA272" s="1124">
        <f>('Tax Tables'!AA72*12)*('Tax Tables'!AA75)</f>
        <v>0</v>
      </c>
      <c r="AB272" s="1124">
        <f>('Tax Tables'!AB72*12)*('Tax Tables'!AB75)</f>
        <v>0</v>
      </c>
      <c r="AC272" s="1124">
        <f>('Tax Tables'!AC72*12)*('Tax Tables'!AC75)</f>
        <v>0</v>
      </c>
      <c r="AD272" s="1124">
        <f>('Tax Tables'!AD72*12)*('Tax Tables'!AD75)</f>
        <v>0</v>
      </c>
      <c r="AE272" s="1124">
        <f>('Tax Tables'!AE72*12)*('Tax Tables'!AE75)</f>
        <v>0</v>
      </c>
      <c r="AF272" s="1124">
        <f>('Tax Tables'!AF72*12)*('Tax Tables'!AF75)</f>
        <v>1308</v>
      </c>
      <c r="AG272" s="1124">
        <f>('Tax Tables'!AG72*12)*('Tax Tables'!AG75)</f>
        <v>1332</v>
      </c>
      <c r="AH272" s="1124">
        <f>('Tax Tables'!AH72*12)*('Tax Tables'!AH75)</f>
        <v>1356</v>
      </c>
      <c r="AI272" s="1124">
        <f>('Tax Tables'!AI72*12)*('Tax Tables'!AI75)</f>
        <v>1380</v>
      </c>
      <c r="AJ272" s="1124">
        <f>('Tax Tables'!AJ72*12)*('Tax Tables'!AJ75)</f>
        <v>0</v>
      </c>
      <c r="AK272" s="1124">
        <f>('Tax Tables'!AK72*12)*('Tax Tables'!AK75)</f>
        <v>0</v>
      </c>
      <c r="AL272" s="1124">
        <f>('Tax Tables'!AL72*12)*('Tax Tables'!AL75)</f>
        <v>0</v>
      </c>
      <c r="AM272" s="1124">
        <f>('Tax Tables'!AM72*12)*('Tax Tables'!AM75)</f>
        <v>0</v>
      </c>
      <c r="AN272" s="1124">
        <f>('Tax Tables'!AN72*12)*('Tax Tables'!AN75)</f>
        <v>0</v>
      </c>
      <c r="AO272" s="1124">
        <f>('Tax Tables'!AO72*12)*('Tax Tables'!AO75)</f>
        <v>0</v>
      </c>
      <c r="AP272" s="1124">
        <f>('Tax Tables'!AP72*12)*('Tax Tables'!AP75)</f>
        <v>0</v>
      </c>
      <c r="AQ272" s="1124">
        <f>('Tax Tables'!AQ72*12)*('Tax Tables'!AQ75)</f>
        <v>0</v>
      </c>
      <c r="AR272" s="1124">
        <f>('Tax Tables'!AR72*12)*('Tax Tables'!AR75)</f>
        <v>0</v>
      </c>
      <c r="AS272" s="1124">
        <f>('Tax Tables'!AS72*12)*('Tax Tables'!AS75)</f>
        <v>0</v>
      </c>
      <c r="AU272" s="29">
        <f>+Details!E272</f>
        <v>5376</v>
      </c>
      <c r="AV272" s="81"/>
      <c r="AW272" s="102"/>
      <c r="AY272" s="31"/>
      <c r="AZ272" s="1124"/>
      <c r="BA272" s="1124"/>
      <c r="BB272" s="1124"/>
      <c r="BC272" s="1124"/>
      <c r="BD272" s="1124"/>
      <c r="BE272" s="1124"/>
      <c r="BF272" s="1124"/>
      <c r="BG272" s="1124"/>
      <c r="BH272" s="1124"/>
      <c r="BI272" s="1124"/>
      <c r="BJ272" s="1124"/>
      <c r="BK272" s="1124"/>
      <c r="BL272" s="1124"/>
      <c r="BM272" s="1124"/>
      <c r="BN272" s="1124"/>
      <c r="BO272" s="1124"/>
      <c r="BP272" s="1124"/>
      <c r="BQ272" s="1124"/>
      <c r="BR272" s="1124"/>
      <c r="BS272" s="1124"/>
      <c r="BT272" s="1124"/>
      <c r="BU272" s="1124"/>
      <c r="BV272" s="1124"/>
      <c r="BW272" s="1124"/>
      <c r="BX272" s="1124"/>
      <c r="BY272" s="1124"/>
      <c r="BZ272" s="1124"/>
      <c r="CA272" s="1124"/>
      <c r="CB272" s="1124"/>
      <c r="CC272" s="1124"/>
      <c r="CD272" s="1124"/>
      <c r="CE272" s="1124"/>
      <c r="CF272" s="1124"/>
      <c r="CG272" s="1124"/>
      <c r="CH272" s="1124"/>
      <c r="CI272" s="1124"/>
      <c r="CJ272" s="1124"/>
      <c r="CK272" s="1124"/>
      <c r="CL272" s="1124"/>
      <c r="CM272" s="81"/>
    </row>
    <row r="273" spans="1:91" ht="15.6">
      <c r="B273" s="28" t="s">
        <v>2004</v>
      </c>
      <c r="C273" s="524" t="s">
        <v>538</v>
      </c>
      <c r="D273" s="1618" t="s">
        <v>2006</v>
      </c>
      <c r="E273" s="29">
        <f>SUM(F273:AS273)</f>
        <v>0</v>
      </c>
      <c r="F273" s="31"/>
      <c r="G273" s="1124"/>
      <c r="H273" s="1124"/>
      <c r="I273" s="1124"/>
      <c r="J273" s="1124"/>
      <c r="K273" s="1124"/>
      <c r="L273" s="1124"/>
      <c r="M273" s="1124"/>
      <c r="N273" s="1124"/>
      <c r="O273" s="1124"/>
      <c r="P273" s="1124"/>
      <c r="Q273" s="1124"/>
      <c r="R273" s="1124"/>
      <c r="S273" s="1124"/>
      <c r="T273" s="1124"/>
      <c r="U273" s="1124"/>
      <c r="V273" s="1124"/>
      <c r="W273" s="1124"/>
      <c r="X273" s="1124"/>
      <c r="Y273" s="1124"/>
      <c r="Z273" s="1124"/>
      <c r="AA273" s="1124"/>
      <c r="AB273" s="1124"/>
      <c r="AC273" s="1124"/>
      <c r="AD273" s="1124"/>
      <c r="AE273" s="1124"/>
      <c r="AF273" s="1124"/>
      <c r="AG273" s="1124"/>
      <c r="AH273" s="1124"/>
      <c r="AI273" s="1124"/>
      <c r="AJ273" s="1124"/>
      <c r="AK273" s="1124"/>
      <c r="AL273" s="1124"/>
      <c r="AM273" s="1124"/>
      <c r="AN273" s="1124"/>
      <c r="AO273" s="1124"/>
      <c r="AP273" s="1124"/>
      <c r="AQ273" s="1124"/>
      <c r="AR273" s="1124"/>
      <c r="AS273" s="1124"/>
      <c r="AU273" s="29"/>
      <c r="AV273" s="81"/>
      <c r="AW273" s="102"/>
      <c r="AY273" s="31"/>
      <c r="AZ273" s="1124"/>
      <c r="BA273" s="1124"/>
      <c r="BB273" s="1124"/>
      <c r="BC273" s="1124"/>
      <c r="BD273" s="1124"/>
      <c r="BE273" s="1124"/>
      <c r="BF273" s="1124"/>
      <c r="BG273" s="1124"/>
      <c r="BH273" s="1124"/>
      <c r="BI273" s="1124"/>
      <c r="BJ273" s="1124"/>
      <c r="BK273" s="1124"/>
      <c r="BL273" s="1124"/>
      <c r="BM273" s="1124"/>
      <c r="BN273" s="1124"/>
      <c r="BO273" s="1124"/>
      <c r="BP273" s="1124"/>
      <c r="BQ273" s="1124"/>
      <c r="BR273" s="1124"/>
      <c r="BS273" s="1124"/>
      <c r="BT273" s="1124"/>
      <c r="BU273" s="1124"/>
      <c r="BV273" s="1124"/>
      <c r="BW273" s="1124"/>
      <c r="BX273" s="1124"/>
      <c r="BY273" s="1124"/>
      <c r="BZ273" s="1124"/>
      <c r="CA273" s="1124"/>
      <c r="CB273" s="1124"/>
      <c r="CC273" s="1124"/>
      <c r="CD273" s="1124"/>
      <c r="CE273" s="1124"/>
      <c r="CF273" s="1124"/>
      <c r="CG273" s="1124"/>
      <c r="CH273" s="1124"/>
      <c r="CI273" s="1124"/>
      <c r="CJ273" s="1124"/>
      <c r="CK273" s="1124"/>
      <c r="CL273" s="1124"/>
      <c r="CM273" s="81"/>
    </row>
    <row r="274" spans="1:91">
      <c r="C274" s="539" t="s">
        <v>643</v>
      </c>
      <c r="D274" s="1618" t="s">
        <v>2006</v>
      </c>
      <c r="E274" s="29">
        <f>SUM(F274:AS274)</f>
        <v>0</v>
      </c>
      <c r="F274" s="31"/>
      <c r="G274" s="1124"/>
      <c r="H274" s="1124"/>
      <c r="I274" s="1124"/>
      <c r="J274" s="1124"/>
      <c r="K274" s="1124"/>
      <c r="L274" s="1124"/>
      <c r="M274" s="1124"/>
      <c r="N274" s="1124"/>
      <c r="O274" s="1124"/>
      <c r="P274" s="1124"/>
      <c r="Q274" s="1124"/>
      <c r="R274" s="1124"/>
      <c r="S274" s="1124"/>
      <c r="T274" s="1124"/>
      <c r="U274" s="1124"/>
      <c r="V274" s="1124"/>
      <c r="W274" s="1124"/>
      <c r="X274" s="1124"/>
      <c r="Y274" s="1124"/>
      <c r="Z274" s="1124"/>
      <c r="AA274" s="1124"/>
      <c r="AB274" s="1124"/>
      <c r="AC274" s="1124"/>
      <c r="AD274" s="1124"/>
      <c r="AE274" s="1124"/>
      <c r="AF274" s="1124"/>
      <c r="AG274" s="1124"/>
      <c r="AH274" s="1124"/>
      <c r="AI274" s="1124"/>
      <c r="AJ274" s="1124"/>
      <c r="AK274" s="1124"/>
      <c r="AL274" s="1124"/>
      <c r="AM274" s="1124"/>
      <c r="AN274" s="1124"/>
      <c r="AO274" s="1124"/>
      <c r="AP274" s="1124"/>
      <c r="AQ274" s="1124"/>
      <c r="AR274" s="1124"/>
      <c r="AS274" s="1124"/>
      <c r="AU274" s="29"/>
      <c r="AV274" s="81"/>
      <c r="AW274" s="102"/>
      <c r="AY274" s="31"/>
      <c r="AZ274" s="1124"/>
      <c r="BA274" s="1124"/>
      <c r="BB274" s="1124"/>
      <c r="BC274" s="1124"/>
      <c r="BD274" s="1124"/>
      <c r="BE274" s="1124"/>
      <c r="BF274" s="1124"/>
      <c r="BG274" s="1124"/>
      <c r="BH274" s="1124"/>
      <c r="BI274" s="1124"/>
      <c r="BJ274" s="1124"/>
      <c r="BK274" s="1124"/>
      <c r="BL274" s="1124"/>
      <c r="BM274" s="1124"/>
      <c r="BN274" s="1124"/>
      <c r="BO274" s="1124"/>
      <c r="BP274" s="1124"/>
      <c r="BQ274" s="1124"/>
      <c r="BR274" s="1124"/>
      <c r="BS274" s="1124"/>
      <c r="BT274" s="1124"/>
      <c r="BU274" s="1124"/>
      <c r="BV274" s="1124"/>
      <c r="BW274" s="1124"/>
      <c r="BX274" s="1124"/>
      <c r="BY274" s="1124"/>
      <c r="BZ274" s="1124"/>
      <c r="CA274" s="1124"/>
      <c r="CB274" s="1124"/>
      <c r="CC274" s="1124"/>
      <c r="CD274" s="1124"/>
      <c r="CE274" s="1124"/>
      <c r="CF274" s="1124"/>
      <c r="CG274" s="1124"/>
      <c r="CH274" s="1124"/>
      <c r="CI274" s="1124"/>
      <c r="CJ274" s="1124"/>
      <c r="CK274" s="1124"/>
      <c r="CL274" s="1124"/>
      <c r="CM274" s="81"/>
    </row>
    <row r="275" spans="1:91">
      <c r="B275" s="72"/>
      <c r="C275" s="3"/>
      <c r="E275" s="29"/>
      <c r="F275" s="31"/>
      <c r="G275" s="31"/>
      <c r="H275" s="31"/>
      <c r="I275" s="31"/>
      <c r="J275" s="31"/>
      <c r="K275" s="31"/>
      <c r="L275" s="31"/>
      <c r="M275" s="31"/>
      <c r="N275" s="31"/>
      <c r="O275" s="31"/>
      <c r="P275" s="31"/>
      <c r="Q275" s="31"/>
      <c r="R275" s="31"/>
      <c r="S275" s="31"/>
      <c r="T275" s="31"/>
      <c r="U275" s="31"/>
      <c r="V275" s="31"/>
      <c r="W275" s="31"/>
      <c r="X275" s="31"/>
      <c r="Y275" s="31"/>
      <c r="Z275" s="31"/>
      <c r="AA275" s="31"/>
      <c r="AB275" s="31"/>
      <c r="AC275" s="31"/>
      <c r="AD275" s="31"/>
      <c r="AE275" s="31"/>
      <c r="AF275" s="31"/>
      <c r="AG275" s="31"/>
      <c r="AH275" s="31"/>
      <c r="AI275" s="31"/>
      <c r="AJ275" s="31"/>
      <c r="AK275" s="31"/>
      <c r="AL275" s="31"/>
      <c r="AM275" s="31"/>
      <c r="AN275" s="31"/>
      <c r="AO275" s="31"/>
      <c r="AP275" s="31"/>
      <c r="AQ275" s="31"/>
      <c r="AR275" s="31"/>
      <c r="AS275" s="31"/>
      <c r="AU275" s="97"/>
      <c r="AV275" s="81"/>
      <c r="AW275" s="102"/>
      <c r="AY275" s="31"/>
      <c r="AZ275" s="31"/>
      <c r="BA275" s="31"/>
      <c r="BB275" s="31"/>
      <c r="BC275" s="31"/>
      <c r="BD275" s="31"/>
      <c r="BE275" s="31"/>
      <c r="BF275" s="31"/>
      <c r="BG275" s="31"/>
      <c r="BH275" s="31"/>
      <c r="BI275" s="31"/>
      <c r="BJ275" s="31"/>
      <c r="BK275" s="31"/>
      <c r="BL275" s="31"/>
      <c r="BM275" s="31"/>
      <c r="BN275" s="31"/>
      <c r="BO275" s="31"/>
      <c r="BP275" s="31"/>
      <c r="BQ275" s="31"/>
      <c r="BR275" s="31"/>
      <c r="BS275" s="31"/>
      <c r="BT275" s="31"/>
      <c r="BU275" s="31"/>
      <c r="BV275" s="31"/>
      <c r="BW275" s="31"/>
      <c r="BX275" s="31"/>
      <c r="BY275" s="31"/>
      <c r="BZ275" s="31"/>
      <c r="CA275" s="31"/>
      <c r="CB275" s="31"/>
      <c r="CC275" s="31"/>
      <c r="CD275" s="31"/>
      <c r="CE275" s="31"/>
      <c r="CF275" s="31"/>
      <c r="CG275" s="31"/>
      <c r="CH275" s="31"/>
      <c r="CI275" s="31"/>
      <c r="CJ275" s="31"/>
      <c r="CK275" s="31"/>
      <c r="CL275" s="31"/>
      <c r="CM275" s="81"/>
    </row>
    <row r="276" spans="1:91" ht="15.6">
      <c r="B276" s="717" t="s">
        <v>1580</v>
      </c>
      <c r="C276" s="3"/>
      <c r="D276" s="897"/>
      <c r="E276" s="97"/>
      <c r="F276" s="1171" t="s">
        <v>577</v>
      </c>
      <c r="G276" s="31"/>
      <c r="H276" s="31"/>
      <c r="I276" s="31"/>
      <c r="J276" s="31"/>
      <c r="K276" s="31"/>
      <c r="L276" s="31"/>
      <c r="M276" s="31"/>
      <c r="N276" s="31"/>
      <c r="O276" s="31"/>
      <c r="P276" s="31"/>
      <c r="Q276" s="31"/>
      <c r="R276" s="31"/>
      <c r="S276" s="31"/>
      <c r="T276" s="31"/>
      <c r="U276" s="31"/>
      <c r="V276" s="31"/>
      <c r="W276" s="31"/>
      <c r="X276" s="31"/>
      <c r="Y276" s="31"/>
      <c r="Z276" s="31"/>
      <c r="AA276" s="31"/>
      <c r="AB276" s="31"/>
      <c r="AC276" s="31"/>
      <c r="AD276" s="31"/>
      <c r="AE276" s="31"/>
      <c r="AF276" s="31"/>
      <c r="AG276" s="31"/>
      <c r="AH276" s="31"/>
      <c r="AI276" s="31"/>
      <c r="AJ276" s="31"/>
      <c r="AK276" s="31"/>
      <c r="AL276" s="31"/>
      <c r="AM276" s="31"/>
      <c r="AN276" s="31"/>
      <c r="AO276" s="31"/>
      <c r="AP276" s="31"/>
      <c r="AQ276" s="31"/>
      <c r="AR276" s="31"/>
      <c r="AS276" s="31"/>
      <c r="AU276" s="97"/>
      <c r="AV276" s="81"/>
      <c r="AW276" s="562"/>
      <c r="AY276" s="31"/>
      <c r="AZ276" s="31"/>
      <c r="BA276" s="31"/>
      <c r="BB276" s="31"/>
      <c r="BC276" s="31"/>
      <c r="BD276" s="31"/>
      <c r="BE276" s="31"/>
      <c r="BF276" s="31"/>
      <c r="BG276" s="31"/>
      <c r="BH276" s="31"/>
      <c r="BI276" s="31"/>
      <c r="BJ276" s="31"/>
      <c r="BK276" s="31"/>
      <c r="BL276" s="31"/>
      <c r="BM276" s="31"/>
      <c r="BN276" s="31"/>
      <c r="BO276" s="31"/>
      <c r="BP276" s="31"/>
      <c r="BQ276" s="31"/>
      <c r="BR276" s="31"/>
      <c r="BS276" s="31"/>
      <c r="BT276" s="31"/>
      <c r="BU276" s="31"/>
      <c r="BV276" s="31"/>
      <c r="BW276" s="31"/>
      <c r="BX276" s="31"/>
      <c r="BY276" s="31"/>
      <c r="BZ276" s="31"/>
      <c r="CA276" s="31"/>
      <c r="CB276" s="31"/>
      <c r="CC276" s="31"/>
      <c r="CD276" s="31"/>
      <c r="CE276" s="31"/>
      <c r="CF276" s="31"/>
      <c r="CG276" s="31"/>
      <c r="CH276" s="31"/>
      <c r="CI276" s="31"/>
      <c r="CJ276" s="31"/>
      <c r="CK276" s="31"/>
      <c r="CL276" s="31"/>
      <c r="CM276" s="81"/>
    </row>
    <row r="277" spans="1:91" ht="15.6" hidden="1">
      <c r="A277" s="1432" t="s">
        <v>639</v>
      </c>
      <c r="B277" s="25" t="s">
        <v>1592</v>
      </c>
      <c r="C277" s="632"/>
      <c r="D277" s="139"/>
      <c r="E277" s="97"/>
      <c r="F277" s="31"/>
      <c r="G277" s="31"/>
      <c r="H277" s="31"/>
      <c r="I277" s="31"/>
      <c r="J277" s="31"/>
      <c r="K277" s="31"/>
      <c r="L277" s="31"/>
      <c r="M277" s="31"/>
      <c r="N277" s="31"/>
      <c r="O277" s="31"/>
      <c r="P277" s="31"/>
      <c r="Q277" s="31"/>
      <c r="R277" s="31"/>
      <c r="S277" s="31"/>
      <c r="T277" s="31"/>
      <c r="U277" s="31"/>
      <c r="V277" s="31"/>
      <c r="W277" s="31"/>
      <c r="X277" s="31"/>
      <c r="Y277" s="31"/>
      <c r="Z277" s="31"/>
      <c r="AA277" s="31"/>
      <c r="AB277" s="31"/>
      <c r="AC277" s="31"/>
      <c r="AD277" s="31"/>
      <c r="AE277" s="31"/>
      <c r="AF277" s="31"/>
      <c r="AG277" s="31"/>
      <c r="AH277" s="31"/>
      <c r="AI277" s="31"/>
      <c r="AJ277" s="31"/>
      <c r="AK277" s="31"/>
      <c r="AL277" s="31"/>
      <c r="AM277" s="31"/>
      <c r="AN277" s="31"/>
      <c r="AO277" s="31"/>
      <c r="AP277" s="31"/>
      <c r="AQ277" s="31"/>
      <c r="AR277" s="31"/>
      <c r="AS277" s="31"/>
      <c r="AU277" s="97"/>
      <c r="AV277" s="81"/>
      <c r="AW277" s="562"/>
      <c r="AY277" s="31"/>
      <c r="AZ277" s="31"/>
      <c r="BA277" s="31"/>
      <c r="BB277" s="31"/>
      <c r="BC277" s="31"/>
      <c r="BD277" s="31"/>
      <c r="BE277" s="31"/>
      <c r="BF277" s="31"/>
      <c r="BG277" s="31"/>
      <c r="BH277" s="31"/>
      <c r="BI277" s="31"/>
      <c r="BJ277" s="31"/>
      <c r="BK277" s="31"/>
      <c r="BL277" s="31"/>
      <c r="BM277" s="31"/>
      <c r="BN277" s="31"/>
      <c r="BO277" s="31"/>
      <c r="BP277" s="31"/>
      <c r="BQ277" s="31"/>
      <c r="BR277" s="31"/>
      <c r="BS277" s="31"/>
      <c r="BT277" s="31"/>
      <c r="BU277" s="31"/>
      <c r="BV277" s="31"/>
      <c r="BW277" s="31"/>
      <c r="BX277" s="31"/>
      <c r="BY277" s="31"/>
      <c r="BZ277" s="31"/>
      <c r="CA277" s="31"/>
      <c r="CB277" s="31"/>
      <c r="CC277" s="31"/>
      <c r="CD277" s="31"/>
      <c r="CE277" s="31"/>
      <c r="CF277" s="31"/>
      <c r="CG277" s="31"/>
      <c r="CH277" s="31"/>
      <c r="CI277" s="31"/>
      <c r="CJ277" s="31"/>
      <c r="CK277" s="31"/>
      <c r="CL277" s="31"/>
      <c r="CM277" s="81"/>
    </row>
    <row r="278" spans="1:91" hidden="1">
      <c r="A278" s="1432" t="s">
        <v>639</v>
      </c>
      <c r="B278" s="234" t="s">
        <v>1583</v>
      </c>
      <c r="C278" s="3"/>
      <c r="E278" s="29">
        <f t="shared" ref="E278:E283" si="223">SUM(F278:AS278)</f>
        <v>549600</v>
      </c>
      <c r="F278" s="31">
        <f t="shared" ref="F278:AS278" si="224">+F172</f>
        <v>20000</v>
      </c>
      <c r="G278" s="1124">
        <f t="shared" si="224"/>
        <v>35600</v>
      </c>
      <c r="H278" s="1124">
        <f t="shared" si="224"/>
        <v>21200</v>
      </c>
      <c r="I278" s="1124">
        <f t="shared" si="224"/>
        <v>21900</v>
      </c>
      <c r="J278" s="1124">
        <f t="shared" si="224"/>
        <v>22600</v>
      </c>
      <c r="K278" s="1124">
        <f t="shared" si="224"/>
        <v>23400</v>
      </c>
      <c r="L278" s="1124">
        <f t="shared" si="224"/>
        <v>24200</v>
      </c>
      <c r="M278" s="1124">
        <f t="shared" si="224"/>
        <v>25000</v>
      </c>
      <c r="N278" s="1124">
        <f t="shared" si="224"/>
        <v>25800</v>
      </c>
      <c r="O278" s="1124">
        <f t="shared" si="224"/>
        <v>12500</v>
      </c>
      <c r="P278" s="1124">
        <f t="shared" si="224"/>
        <v>12800</v>
      </c>
      <c r="Q278" s="1124">
        <f t="shared" si="224"/>
        <v>13100</v>
      </c>
      <c r="R278" s="1124">
        <f t="shared" si="224"/>
        <v>13400</v>
      </c>
      <c r="S278" s="1124">
        <f t="shared" si="224"/>
        <v>13700</v>
      </c>
      <c r="T278" s="1124">
        <f t="shared" si="224"/>
        <v>14100</v>
      </c>
      <c r="U278" s="1124">
        <f t="shared" si="224"/>
        <v>14500</v>
      </c>
      <c r="V278" s="1124">
        <f t="shared" si="224"/>
        <v>14900</v>
      </c>
      <c r="W278" s="1124">
        <f t="shared" si="224"/>
        <v>15300</v>
      </c>
      <c r="X278" s="1124">
        <f t="shared" si="224"/>
        <v>15700</v>
      </c>
      <c r="Y278" s="1124">
        <f t="shared" si="224"/>
        <v>16100</v>
      </c>
      <c r="Z278" s="1124">
        <f t="shared" si="224"/>
        <v>16500</v>
      </c>
      <c r="AA278" s="1124">
        <f t="shared" si="224"/>
        <v>16900</v>
      </c>
      <c r="AB278" s="1124">
        <f t="shared" si="224"/>
        <v>17300</v>
      </c>
      <c r="AC278" s="1124">
        <f t="shared" si="224"/>
        <v>17800</v>
      </c>
      <c r="AD278" s="1124">
        <f t="shared" si="224"/>
        <v>16300</v>
      </c>
      <c r="AE278" s="1124">
        <f t="shared" si="224"/>
        <v>16800</v>
      </c>
      <c r="AF278" s="1124">
        <f t="shared" si="224"/>
        <v>17300</v>
      </c>
      <c r="AG278" s="1124">
        <f t="shared" si="224"/>
        <v>17800</v>
      </c>
      <c r="AH278" s="1124">
        <f t="shared" si="224"/>
        <v>18300</v>
      </c>
      <c r="AI278" s="1124">
        <f t="shared" si="224"/>
        <v>18800</v>
      </c>
      <c r="AJ278" s="1124">
        <f t="shared" si="224"/>
        <v>0</v>
      </c>
      <c r="AK278" s="1124">
        <f t="shared" si="224"/>
        <v>0</v>
      </c>
      <c r="AL278" s="1124">
        <f t="shared" si="224"/>
        <v>0</v>
      </c>
      <c r="AM278" s="1124">
        <f t="shared" si="224"/>
        <v>0</v>
      </c>
      <c r="AN278" s="1124">
        <f t="shared" si="224"/>
        <v>0</v>
      </c>
      <c r="AO278" s="1124">
        <f t="shared" si="224"/>
        <v>0</v>
      </c>
      <c r="AP278" s="1124">
        <f t="shared" si="224"/>
        <v>0</v>
      </c>
      <c r="AQ278" s="1124">
        <f t="shared" si="224"/>
        <v>0</v>
      </c>
      <c r="AR278" s="1124">
        <f t="shared" si="224"/>
        <v>0</v>
      </c>
      <c r="AS278" s="1124">
        <f t="shared" si="224"/>
        <v>0</v>
      </c>
      <c r="AU278" s="29">
        <f>+Details!E278</f>
        <v>549600</v>
      </c>
      <c r="AV278" s="81">
        <f t="shared" ref="AV278:AV283" si="225">+E278-AU278</f>
        <v>0</v>
      </c>
      <c r="AW278" s="102"/>
      <c r="AY278" s="31">
        <f>+Details!F278-Base!F278</f>
        <v>0</v>
      </c>
      <c r="AZ278" s="1124">
        <f>+Details!G278-Base!G278</f>
        <v>0</v>
      </c>
      <c r="BA278" s="1124">
        <f>+Details!H278-Base!H278</f>
        <v>0</v>
      </c>
      <c r="BB278" s="1124">
        <f>+Details!I278-Base!I278</f>
        <v>0</v>
      </c>
      <c r="BC278" s="1124">
        <f>+Details!J278-Base!J278</f>
        <v>0</v>
      </c>
      <c r="BD278" s="1124">
        <f>+Details!K278-Base!K278</f>
        <v>0</v>
      </c>
      <c r="BE278" s="1124">
        <f>+Details!L278-Base!L278</f>
        <v>0</v>
      </c>
      <c r="BF278" s="1124">
        <f>+Details!M278-Base!M278</f>
        <v>0</v>
      </c>
      <c r="BG278" s="1124">
        <f>+Details!N278-Base!N278</f>
        <v>0</v>
      </c>
      <c r="BH278" s="1124">
        <f>+Details!O278-Base!O278</f>
        <v>0</v>
      </c>
      <c r="BI278" s="1124">
        <f>+Details!P278-Base!P278</f>
        <v>0</v>
      </c>
      <c r="BJ278" s="1124">
        <f>+Details!Q278-Base!Q278</f>
        <v>0</v>
      </c>
      <c r="BK278" s="1124">
        <f>+Details!R278-Base!R278</f>
        <v>0</v>
      </c>
      <c r="BL278" s="1124">
        <f>+Details!S278-Base!S278</f>
        <v>0</v>
      </c>
      <c r="BM278" s="1124">
        <f>+Details!T278-Base!T278</f>
        <v>0</v>
      </c>
      <c r="BN278" s="1124">
        <f>+Details!U278-Base!U278</f>
        <v>0</v>
      </c>
      <c r="BO278" s="1124">
        <f>+Details!V278-Base!V278</f>
        <v>0</v>
      </c>
      <c r="BP278" s="1124">
        <f>+Details!W278-Base!W278</f>
        <v>0</v>
      </c>
      <c r="BQ278" s="1124">
        <f>+Details!X278-Base!X278</f>
        <v>0</v>
      </c>
      <c r="BR278" s="1124">
        <f>+Details!Y278-Base!Y278</f>
        <v>0</v>
      </c>
      <c r="BS278" s="1124">
        <f>+Details!Z278-Base!Z278</f>
        <v>0</v>
      </c>
      <c r="BT278" s="1124">
        <f>+Details!AA278-Base!AA278</f>
        <v>0</v>
      </c>
      <c r="BU278" s="1124">
        <f>+Details!AB278-Base!AB278</f>
        <v>0</v>
      </c>
      <c r="BV278" s="1124">
        <f>+Details!AC278-Base!AC278</f>
        <v>0</v>
      </c>
      <c r="BW278" s="1124">
        <f>+Details!AD278-Base!AD278</f>
        <v>0</v>
      </c>
      <c r="BX278" s="1124">
        <f>+Details!AE278-Base!AE278</f>
        <v>0</v>
      </c>
      <c r="BY278" s="1124">
        <f>+Details!AF278-Base!AF278</f>
        <v>0</v>
      </c>
      <c r="BZ278" s="1124">
        <f>+Details!AG278-Base!AG278</f>
        <v>0</v>
      </c>
      <c r="CA278" s="1124">
        <f>+Details!AH278-Base!AH278</f>
        <v>0</v>
      </c>
      <c r="CB278" s="1124">
        <f>+Details!AI278-Base!AI278</f>
        <v>0</v>
      </c>
      <c r="CC278" s="1124">
        <f>+Details!AJ278-Base!AJ278</f>
        <v>0</v>
      </c>
      <c r="CD278" s="1124">
        <f>+Details!AK278-Base!AK278</f>
        <v>0</v>
      </c>
      <c r="CE278" s="1124">
        <f>+Details!AL278-Base!AL278</f>
        <v>0</v>
      </c>
      <c r="CF278" s="1124">
        <f>+Details!AM278-Base!AM278</f>
        <v>0</v>
      </c>
      <c r="CG278" s="1124">
        <f>+Details!AN278-Base!AN278</f>
        <v>0</v>
      </c>
      <c r="CH278" s="1124">
        <f>+Details!AO278-Base!AO278</f>
        <v>0</v>
      </c>
      <c r="CI278" s="1124">
        <f>+Details!AP278-Base!AP278</f>
        <v>0</v>
      </c>
      <c r="CJ278" s="1124">
        <f>+Details!AQ278-Base!AQ278</f>
        <v>0</v>
      </c>
      <c r="CK278" s="1124">
        <f>+Details!AR278-Base!AR278</f>
        <v>0</v>
      </c>
      <c r="CL278" s="1124">
        <f>+Details!AS278-Base!AS278</f>
        <v>0</v>
      </c>
      <c r="CM278" s="81"/>
    </row>
    <row r="279" spans="1:91" hidden="1">
      <c r="A279" s="1432" t="s">
        <v>639</v>
      </c>
      <c r="B279" s="275" t="s">
        <v>808</v>
      </c>
      <c r="C279" s="3"/>
      <c r="E279" s="29">
        <f t="shared" si="223"/>
        <v>144000</v>
      </c>
      <c r="F279" s="31">
        <f>+F173</f>
        <v>0</v>
      </c>
      <c r="G279" s="1124">
        <f t="shared" ref="G279:U279" si="226">+G173</f>
        <v>0</v>
      </c>
      <c r="H279" s="1124">
        <f t="shared" si="226"/>
        <v>0</v>
      </c>
      <c r="I279" s="1124">
        <f t="shared" si="226"/>
        <v>0</v>
      </c>
      <c r="J279" s="1124">
        <f t="shared" si="226"/>
        <v>0</v>
      </c>
      <c r="K279" s="1124">
        <f t="shared" si="226"/>
        <v>0</v>
      </c>
      <c r="L279" s="1124">
        <f t="shared" si="226"/>
        <v>0</v>
      </c>
      <c r="M279" s="1124">
        <f t="shared" si="226"/>
        <v>0</v>
      </c>
      <c r="N279" s="1124">
        <f t="shared" si="226"/>
        <v>0</v>
      </c>
      <c r="O279" s="1124">
        <f t="shared" si="226"/>
        <v>0</v>
      </c>
      <c r="P279" s="1124">
        <f t="shared" si="226"/>
        <v>0</v>
      </c>
      <c r="Q279" s="1124">
        <f t="shared" si="226"/>
        <v>0</v>
      </c>
      <c r="R279" s="1124">
        <f t="shared" si="226"/>
        <v>0</v>
      </c>
      <c r="S279" s="1124">
        <f t="shared" si="226"/>
        <v>0</v>
      </c>
      <c r="T279" s="1124">
        <f t="shared" si="226"/>
        <v>9000</v>
      </c>
      <c r="U279" s="1124">
        <f t="shared" si="226"/>
        <v>9000</v>
      </c>
      <c r="V279" s="1124">
        <f t="shared" ref="V279:AS279" si="227">+V173</f>
        <v>9000</v>
      </c>
      <c r="W279" s="1124">
        <f t="shared" si="227"/>
        <v>9000</v>
      </c>
      <c r="X279" s="1124">
        <f t="shared" si="227"/>
        <v>9000</v>
      </c>
      <c r="Y279" s="1124">
        <f t="shared" si="227"/>
        <v>9000</v>
      </c>
      <c r="Z279" s="1124">
        <f t="shared" si="227"/>
        <v>9000</v>
      </c>
      <c r="AA279" s="1124">
        <f t="shared" si="227"/>
        <v>9000</v>
      </c>
      <c r="AB279" s="1124">
        <f t="shared" si="227"/>
        <v>9000</v>
      </c>
      <c r="AC279" s="1124">
        <f t="shared" si="227"/>
        <v>9000</v>
      </c>
      <c r="AD279" s="1124">
        <f t="shared" si="227"/>
        <v>9000</v>
      </c>
      <c r="AE279" s="1124">
        <f t="shared" si="227"/>
        <v>9000</v>
      </c>
      <c r="AF279" s="1124">
        <f t="shared" si="227"/>
        <v>9000</v>
      </c>
      <c r="AG279" s="1124">
        <f t="shared" si="227"/>
        <v>9000</v>
      </c>
      <c r="AH279" s="1124">
        <f t="shared" si="227"/>
        <v>9000</v>
      </c>
      <c r="AI279" s="1124">
        <f t="shared" si="227"/>
        <v>9000</v>
      </c>
      <c r="AJ279" s="1124">
        <f t="shared" si="227"/>
        <v>0</v>
      </c>
      <c r="AK279" s="1124">
        <f t="shared" si="227"/>
        <v>0</v>
      </c>
      <c r="AL279" s="1124">
        <f t="shared" si="227"/>
        <v>0</v>
      </c>
      <c r="AM279" s="1124">
        <f t="shared" si="227"/>
        <v>0</v>
      </c>
      <c r="AN279" s="1124">
        <f t="shared" si="227"/>
        <v>0</v>
      </c>
      <c r="AO279" s="1124">
        <f t="shared" si="227"/>
        <v>0</v>
      </c>
      <c r="AP279" s="1124">
        <f t="shared" si="227"/>
        <v>0</v>
      </c>
      <c r="AQ279" s="1124">
        <f t="shared" si="227"/>
        <v>0</v>
      </c>
      <c r="AR279" s="1124">
        <f t="shared" si="227"/>
        <v>0</v>
      </c>
      <c r="AS279" s="1124">
        <f t="shared" si="227"/>
        <v>0</v>
      </c>
      <c r="AU279" s="29">
        <f>+Details!E279</f>
        <v>144000</v>
      </c>
      <c r="AV279" s="81">
        <f t="shared" si="225"/>
        <v>0</v>
      </c>
      <c r="AW279" s="102"/>
      <c r="AY279" s="31">
        <f>+Details!F279-Base!F279</f>
        <v>0</v>
      </c>
      <c r="AZ279" s="1124">
        <f>+Details!G279-Base!G279</f>
        <v>0</v>
      </c>
      <c r="BA279" s="1124">
        <f>+Details!H279-Base!H279</f>
        <v>0</v>
      </c>
      <c r="BB279" s="1124">
        <f>+Details!I279-Base!I279</f>
        <v>0</v>
      </c>
      <c r="BC279" s="1124">
        <f>+Details!J279-Base!J279</f>
        <v>0</v>
      </c>
      <c r="BD279" s="1124">
        <f>+Details!K279-Base!K279</f>
        <v>0</v>
      </c>
      <c r="BE279" s="1124">
        <f>+Details!L279-Base!L279</f>
        <v>0</v>
      </c>
      <c r="BF279" s="1124">
        <f>+Details!M279-Base!M279</f>
        <v>0</v>
      </c>
      <c r="BG279" s="1124">
        <f>+Details!N279-Base!N279</f>
        <v>0</v>
      </c>
      <c r="BH279" s="1124">
        <f>+Details!O279-Base!O279</f>
        <v>0</v>
      </c>
      <c r="BI279" s="1124">
        <f>+Details!P279-Base!P279</f>
        <v>0</v>
      </c>
      <c r="BJ279" s="1124">
        <f>+Details!Q279-Base!Q279</f>
        <v>0</v>
      </c>
      <c r="BK279" s="1124">
        <f>+Details!R279-Base!R279</f>
        <v>0</v>
      </c>
      <c r="BL279" s="1124">
        <f>+Details!S279-Base!S279</f>
        <v>0</v>
      </c>
      <c r="BM279" s="1124">
        <f>+Details!T279-Base!T279</f>
        <v>0</v>
      </c>
      <c r="BN279" s="1124">
        <f>+Details!U279-Base!U279</f>
        <v>0</v>
      </c>
      <c r="BO279" s="1124">
        <f>+Details!V279-Base!V279</f>
        <v>0</v>
      </c>
      <c r="BP279" s="1124">
        <f>+Details!W279-Base!W279</f>
        <v>0</v>
      </c>
      <c r="BQ279" s="1124">
        <f>+Details!X279-Base!X279</f>
        <v>0</v>
      </c>
      <c r="BR279" s="1124">
        <f>+Details!Y279-Base!Y279</f>
        <v>0</v>
      </c>
      <c r="BS279" s="1124">
        <f>+Details!Z279-Base!Z279</f>
        <v>0</v>
      </c>
      <c r="BT279" s="1124">
        <f>+Details!AA279-Base!AA279</f>
        <v>0</v>
      </c>
      <c r="BU279" s="1124">
        <f>+Details!AB279-Base!AB279</f>
        <v>0</v>
      </c>
      <c r="BV279" s="1124">
        <f>+Details!AC279-Base!AC279</f>
        <v>0</v>
      </c>
      <c r="BW279" s="1124">
        <f>+Details!AD279-Base!AD279</f>
        <v>0</v>
      </c>
      <c r="BX279" s="1124">
        <f>+Details!AE279-Base!AE279</f>
        <v>0</v>
      </c>
      <c r="BY279" s="1124">
        <f>+Details!AF279-Base!AF279</f>
        <v>0</v>
      </c>
      <c r="BZ279" s="1124">
        <f>+Details!AG279-Base!AG279</f>
        <v>0</v>
      </c>
      <c r="CA279" s="1124">
        <f>+Details!AH279-Base!AH279</f>
        <v>0</v>
      </c>
      <c r="CB279" s="1124">
        <f>+Details!AI279-Base!AI279</f>
        <v>0</v>
      </c>
      <c r="CC279" s="1124">
        <f>+Details!AJ279-Base!AJ279</f>
        <v>0</v>
      </c>
      <c r="CD279" s="1124">
        <f>+Details!AK279-Base!AK279</f>
        <v>0</v>
      </c>
      <c r="CE279" s="1124">
        <f>+Details!AL279-Base!AL279</f>
        <v>0</v>
      </c>
      <c r="CF279" s="1124">
        <f>+Details!AM279-Base!AM279</f>
        <v>0</v>
      </c>
      <c r="CG279" s="1124">
        <f>+Details!AN279-Base!AN279</f>
        <v>0</v>
      </c>
      <c r="CH279" s="1124">
        <f>+Details!AO279-Base!AO279</f>
        <v>0</v>
      </c>
      <c r="CI279" s="1124">
        <f>+Details!AP279-Base!AP279</f>
        <v>0</v>
      </c>
      <c r="CJ279" s="1124">
        <f>+Details!AQ279-Base!AQ279</f>
        <v>0</v>
      </c>
      <c r="CK279" s="1124">
        <f>+Details!AR279-Base!AR279</f>
        <v>0</v>
      </c>
      <c r="CL279" s="1124">
        <f>+Details!AS279-Base!AS279</f>
        <v>0</v>
      </c>
      <c r="CM279" s="81"/>
    </row>
    <row r="280" spans="1:91" hidden="1">
      <c r="A280" s="1432" t="s">
        <v>639</v>
      </c>
      <c r="B280" s="234" t="s">
        <v>1711</v>
      </c>
      <c r="C280" s="3"/>
      <c r="E280" s="29">
        <f t="shared" si="223"/>
        <v>-108800</v>
      </c>
      <c r="F280" s="31">
        <f>+F174</f>
        <v>0</v>
      </c>
      <c r="G280" s="1124">
        <f t="shared" ref="G280:U280" si="228">+G174</f>
        <v>0</v>
      </c>
      <c r="H280" s="1124">
        <f t="shared" si="228"/>
        <v>0</v>
      </c>
      <c r="I280" s="1124">
        <f t="shared" si="228"/>
        <v>0</v>
      </c>
      <c r="J280" s="1124">
        <f t="shared" si="228"/>
        <v>0</v>
      </c>
      <c r="K280" s="1124">
        <f t="shared" si="228"/>
        <v>0</v>
      </c>
      <c r="L280" s="1124">
        <f t="shared" si="228"/>
        <v>0</v>
      </c>
      <c r="M280" s="1124">
        <f t="shared" si="228"/>
        <v>0</v>
      </c>
      <c r="N280" s="1124">
        <f t="shared" si="228"/>
        <v>0</v>
      </c>
      <c r="O280" s="1124">
        <f t="shared" si="228"/>
        <v>0</v>
      </c>
      <c r="P280" s="1124">
        <f t="shared" si="228"/>
        <v>0</v>
      </c>
      <c r="Q280" s="1124">
        <f t="shared" si="228"/>
        <v>0</v>
      </c>
      <c r="R280" s="1124">
        <f t="shared" si="228"/>
        <v>0</v>
      </c>
      <c r="S280" s="1124">
        <f t="shared" si="228"/>
        <v>0</v>
      </c>
      <c r="T280" s="1124">
        <f t="shared" si="228"/>
        <v>-6800</v>
      </c>
      <c r="U280" s="1124">
        <f t="shared" si="228"/>
        <v>-6800</v>
      </c>
      <c r="V280" s="1124">
        <f t="shared" ref="V280:AS280" si="229">+V174</f>
        <v>-6800</v>
      </c>
      <c r="W280" s="1124">
        <f t="shared" si="229"/>
        <v>-6800</v>
      </c>
      <c r="X280" s="1124">
        <f t="shared" si="229"/>
        <v>-6800</v>
      </c>
      <c r="Y280" s="1124">
        <f t="shared" si="229"/>
        <v>-6800</v>
      </c>
      <c r="Z280" s="1124">
        <f t="shared" si="229"/>
        <v>-6800</v>
      </c>
      <c r="AA280" s="1124">
        <f t="shared" si="229"/>
        <v>-6800</v>
      </c>
      <c r="AB280" s="1124">
        <f t="shared" si="229"/>
        <v>-6800</v>
      </c>
      <c r="AC280" s="1124">
        <f t="shared" si="229"/>
        <v>-6800</v>
      </c>
      <c r="AD280" s="1124">
        <f t="shared" si="229"/>
        <v>-6800</v>
      </c>
      <c r="AE280" s="1124">
        <f t="shared" si="229"/>
        <v>-6800</v>
      </c>
      <c r="AF280" s="1124">
        <f t="shared" si="229"/>
        <v>-6800</v>
      </c>
      <c r="AG280" s="1124">
        <f t="shared" si="229"/>
        <v>-6800</v>
      </c>
      <c r="AH280" s="1124">
        <f t="shared" si="229"/>
        <v>-6800</v>
      </c>
      <c r="AI280" s="1124">
        <f t="shared" si="229"/>
        <v>-6800</v>
      </c>
      <c r="AJ280" s="1124">
        <f t="shared" si="229"/>
        <v>0</v>
      </c>
      <c r="AK280" s="1124">
        <f t="shared" si="229"/>
        <v>0</v>
      </c>
      <c r="AL280" s="1124">
        <f t="shared" si="229"/>
        <v>0</v>
      </c>
      <c r="AM280" s="1124">
        <f t="shared" si="229"/>
        <v>0</v>
      </c>
      <c r="AN280" s="1124">
        <f t="shared" si="229"/>
        <v>0</v>
      </c>
      <c r="AO280" s="1124">
        <f t="shared" si="229"/>
        <v>0</v>
      </c>
      <c r="AP280" s="1124">
        <f t="shared" si="229"/>
        <v>0</v>
      </c>
      <c r="AQ280" s="1124">
        <f t="shared" si="229"/>
        <v>0</v>
      </c>
      <c r="AR280" s="1124">
        <f t="shared" si="229"/>
        <v>0</v>
      </c>
      <c r="AS280" s="1124">
        <f t="shared" si="229"/>
        <v>0</v>
      </c>
      <c r="AU280" s="29">
        <f>+Details!E280</f>
        <v>-108800</v>
      </c>
      <c r="AV280" s="81">
        <f t="shared" si="225"/>
        <v>0</v>
      </c>
      <c r="AW280" s="102"/>
      <c r="AY280" s="31">
        <f>+Details!F280-Base!F280</f>
        <v>0</v>
      </c>
      <c r="AZ280" s="1124">
        <f>+Details!G280-Base!G280</f>
        <v>0</v>
      </c>
      <c r="BA280" s="1124">
        <f>+Details!H280-Base!H280</f>
        <v>0</v>
      </c>
      <c r="BB280" s="1124">
        <f>+Details!I280-Base!I280</f>
        <v>0</v>
      </c>
      <c r="BC280" s="1124">
        <f>+Details!J280-Base!J280</f>
        <v>0</v>
      </c>
      <c r="BD280" s="1124">
        <f>+Details!K280-Base!K280</f>
        <v>0</v>
      </c>
      <c r="BE280" s="1124">
        <f>+Details!L280-Base!L280</f>
        <v>0</v>
      </c>
      <c r="BF280" s="1124">
        <f>+Details!M280-Base!M280</f>
        <v>0</v>
      </c>
      <c r="BG280" s="1124">
        <f>+Details!N280-Base!N280</f>
        <v>0</v>
      </c>
      <c r="BH280" s="1124">
        <f>+Details!O280-Base!O280</f>
        <v>0</v>
      </c>
      <c r="BI280" s="1124">
        <f>+Details!P280-Base!P280</f>
        <v>0</v>
      </c>
      <c r="BJ280" s="1124">
        <f>+Details!Q280-Base!Q280</f>
        <v>0</v>
      </c>
      <c r="BK280" s="1124">
        <f>+Details!R280-Base!R280</f>
        <v>0</v>
      </c>
      <c r="BL280" s="1124">
        <f>+Details!S280-Base!S280</f>
        <v>0</v>
      </c>
      <c r="BM280" s="1124">
        <f>+Details!T280-Base!T280</f>
        <v>0</v>
      </c>
      <c r="BN280" s="1124">
        <f>+Details!U280-Base!U280</f>
        <v>0</v>
      </c>
      <c r="BO280" s="1124">
        <f>+Details!V280-Base!V280</f>
        <v>0</v>
      </c>
      <c r="BP280" s="1124">
        <f>+Details!W280-Base!W280</f>
        <v>0</v>
      </c>
      <c r="BQ280" s="1124">
        <f>+Details!X280-Base!X280</f>
        <v>0</v>
      </c>
      <c r="BR280" s="1124">
        <f>+Details!Y280-Base!Y280</f>
        <v>0</v>
      </c>
      <c r="BS280" s="1124">
        <f>+Details!Z280-Base!Z280</f>
        <v>0</v>
      </c>
      <c r="BT280" s="1124">
        <f>+Details!AA280-Base!AA280</f>
        <v>0</v>
      </c>
      <c r="BU280" s="1124">
        <f>+Details!AB280-Base!AB280</f>
        <v>0</v>
      </c>
      <c r="BV280" s="1124">
        <f>+Details!AC280-Base!AC280</f>
        <v>0</v>
      </c>
      <c r="BW280" s="1124">
        <f>+Details!AD280-Base!AD280</f>
        <v>0</v>
      </c>
      <c r="BX280" s="1124">
        <f>+Details!AE280-Base!AE280</f>
        <v>0</v>
      </c>
      <c r="BY280" s="1124">
        <f>+Details!AF280-Base!AF280</f>
        <v>0</v>
      </c>
      <c r="BZ280" s="1124">
        <f>+Details!AG280-Base!AG280</f>
        <v>0</v>
      </c>
      <c r="CA280" s="1124">
        <f>+Details!AH280-Base!AH280</f>
        <v>0</v>
      </c>
      <c r="CB280" s="1124">
        <f>+Details!AI280-Base!AI280</f>
        <v>0</v>
      </c>
      <c r="CC280" s="1124">
        <f>+Details!AJ280-Base!AJ280</f>
        <v>0</v>
      </c>
      <c r="CD280" s="1124">
        <f>+Details!AK280-Base!AK280</f>
        <v>0</v>
      </c>
      <c r="CE280" s="1124">
        <f>+Details!AL280-Base!AL280</f>
        <v>0</v>
      </c>
      <c r="CF280" s="1124">
        <f>+Details!AM280-Base!AM280</f>
        <v>0</v>
      </c>
      <c r="CG280" s="1124">
        <f>+Details!AN280-Base!AN280</f>
        <v>0</v>
      </c>
      <c r="CH280" s="1124">
        <f>+Details!AO280-Base!AO280</f>
        <v>0</v>
      </c>
      <c r="CI280" s="1124">
        <f>+Details!AP280-Base!AP280</f>
        <v>0</v>
      </c>
      <c r="CJ280" s="1124">
        <f>+Details!AQ280-Base!AQ280</f>
        <v>0</v>
      </c>
      <c r="CK280" s="1124">
        <f>+Details!AR280-Base!AR280</f>
        <v>0</v>
      </c>
      <c r="CL280" s="1124">
        <f>+Details!AS280-Base!AS280</f>
        <v>0</v>
      </c>
      <c r="CM280" s="81"/>
    </row>
    <row r="281" spans="1:91" hidden="1">
      <c r="A281" s="1432" t="s">
        <v>639</v>
      </c>
      <c r="B281" s="234" t="s">
        <v>422</v>
      </c>
      <c r="C281" s="3"/>
      <c r="E281" s="29">
        <f t="shared" si="223"/>
        <v>402600</v>
      </c>
      <c r="F281" s="31">
        <f>+F175</f>
        <v>40000</v>
      </c>
      <c r="G281" s="1124">
        <f t="shared" ref="G281:U281" si="230">+G175</f>
        <v>41200</v>
      </c>
      <c r="H281" s="1124">
        <f t="shared" si="230"/>
        <v>42400</v>
      </c>
      <c r="I281" s="1124">
        <f t="shared" si="230"/>
        <v>43700</v>
      </c>
      <c r="J281" s="1124">
        <f t="shared" si="230"/>
        <v>45000</v>
      </c>
      <c r="K281" s="1124">
        <f t="shared" si="230"/>
        <v>46400</v>
      </c>
      <c r="L281" s="1124">
        <f t="shared" si="230"/>
        <v>47800</v>
      </c>
      <c r="M281" s="1124">
        <f t="shared" si="230"/>
        <v>49200</v>
      </c>
      <c r="N281" s="1124">
        <f t="shared" si="230"/>
        <v>10000</v>
      </c>
      <c r="O281" s="1124">
        <f t="shared" si="230"/>
        <v>9000</v>
      </c>
      <c r="P281" s="1124">
        <f t="shared" si="230"/>
        <v>8100</v>
      </c>
      <c r="Q281" s="1124">
        <f t="shared" si="230"/>
        <v>7300</v>
      </c>
      <c r="R281" s="1124">
        <f t="shared" si="230"/>
        <v>6600</v>
      </c>
      <c r="S281" s="1124">
        <f t="shared" si="230"/>
        <v>5900</v>
      </c>
      <c r="T281" s="1124">
        <f t="shared" si="230"/>
        <v>0</v>
      </c>
      <c r="U281" s="1124">
        <f t="shared" si="230"/>
        <v>0</v>
      </c>
      <c r="V281" s="1124">
        <f t="shared" ref="V281:AS281" si="231">+V175</f>
        <v>0</v>
      </c>
      <c r="W281" s="1124">
        <f t="shared" si="231"/>
        <v>0</v>
      </c>
      <c r="X281" s="1124">
        <f t="shared" si="231"/>
        <v>0</v>
      </c>
      <c r="Y281" s="1124">
        <f t="shared" si="231"/>
        <v>0</v>
      </c>
      <c r="Z281" s="1124">
        <f t="shared" si="231"/>
        <v>0</v>
      </c>
      <c r="AA281" s="1124">
        <f t="shared" si="231"/>
        <v>0</v>
      </c>
      <c r="AB281" s="1124">
        <f t="shared" si="231"/>
        <v>0</v>
      </c>
      <c r="AC281" s="1124">
        <f t="shared" si="231"/>
        <v>0</v>
      </c>
      <c r="AD281" s="1124">
        <f t="shared" si="231"/>
        <v>0</v>
      </c>
      <c r="AE281" s="1124">
        <f t="shared" si="231"/>
        <v>0</v>
      </c>
      <c r="AF281" s="1124">
        <f t="shared" si="231"/>
        <v>0</v>
      </c>
      <c r="AG281" s="1124">
        <f t="shared" si="231"/>
        <v>0</v>
      </c>
      <c r="AH281" s="1124">
        <f t="shared" si="231"/>
        <v>0</v>
      </c>
      <c r="AI281" s="1124">
        <f t="shared" si="231"/>
        <v>0</v>
      </c>
      <c r="AJ281" s="1124">
        <f t="shared" si="231"/>
        <v>0</v>
      </c>
      <c r="AK281" s="1124">
        <f t="shared" si="231"/>
        <v>0</v>
      </c>
      <c r="AL281" s="1124">
        <f t="shared" si="231"/>
        <v>0</v>
      </c>
      <c r="AM281" s="1124">
        <f t="shared" si="231"/>
        <v>0</v>
      </c>
      <c r="AN281" s="1124">
        <f t="shared" si="231"/>
        <v>0</v>
      </c>
      <c r="AO281" s="1124">
        <f t="shared" si="231"/>
        <v>0</v>
      </c>
      <c r="AP281" s="1124">
        <f t="shared" si="231"/>
        <v>0</v>
      </c>
      <c r="AQ281" s="1124">
        <f t="shared" si="231"/>
        <v>0</v>
      </c>
      <c r="AR281" s="1124">
        <f t="shared" si="231"/>
        <v>0</v>
      </c>
      <c r="AS281" s="1124">
        <f t="shared" si="231"/>
        <v>0</v>
      </c>
      <c r="AU281" s="29">
        <f>+Details!E281</f>
        <v>402600</v>
      </c>
      <c r="AV281" s="81">
        <f t="shared" si="225"/>
        <v>0</v>
      </c>
      <c r="AW281" s="102"/>
      <c r="AY281" s="31">
        <f>+Details!F281-Base!F281</f>
        <v>0</v>
      </c>
      <c r="AZ281" s="1124">
        <f>+Details!G281-Base!G281</f>
        <v>0</v>
      </c>
      <c r="BA281" s="1124">
        <f>+Details!H281-Base!H281</f>
        <v>0</v>
      </c>
      <c r="BB281" s="1124">
        <f>+Details!I281-Base!I281</f>
        <v>0</v>
      </c>
      <c r="BC281" s="1124">
        <f>+Details!J281-Base!J281</f>
        <v>0</v>
      </c>
      <c r="BD281" s="1124">
        <f>+Details!K281-Base!K281</f>
        <v>0</v>
      </c>
      <c r="BE281" s="1124">
        <f>+Details!L281-Base!L281</f>
        <v>0</v>
      </c>
      <c r="BF281" s="1124">
        <f>+Details!M281-Base!M281</f>
        <v>0</v>
      </c>
      <c r="BG281" s="1124">
        <f>+Details!N281-Base!N281</f>
        <v>0</v>
      </c>
      <c r="BH281" s="1124">
        <f>+Details!O281-Base!O281</f>
        <v>0</v>
      </c>
      <c r="BI281" s="1124">
        <f>+Details!P281-Base!P281</f>
        <v>0</v>
      </c>
      <c r="BJ281" s="1124">
        <f>+Details!Q281-Base!Q281</f>
        <v>0</v>
      </c>
      <c r="BK281" s="1124">
        <f>+Details!R281-Base!R281</f>
        <v>0</v>
      </c>
      <c r="BL281" s="1124">
        <f>+Details!S281-Base!S281</f>
        <v>0</v>
      </c>
      <c r="BM281" s="1124">
        <f>+Details!T281-Base!T281</f>
        <v>0</v>
      </c>
      <c r="BN281" s="1124">
        <f>+Details!U281-Base!U281</f>
        <v>0</v>
      </c>
      <c r="BO281" s="1124">
        <f>+Details!V281-Base!V281</f>
        <v>0</v>
      </c>
      <c r="BP281" s="1124">
        <f>+Details!W281-Base!W281</f>
        <v>0</v>
      </c>
      <c r="BQ281" s="1124">
        <f>+Details!X281-Base!X281</f>
        <v>0</v>
      </c>
      <c r="BR281" s="1124">
        <f>+Details!Y281-Base!Y281</f>
        <v>0</v>
      </c>
      <c r="BS281" s="1124">
        <f>+Details!Z281-Base!Z281</f>
        <v>0</v>
      </c>
      <c r="BT281" s="1124">
        <f>+Details!AA281-Base!AA281</f>
        <v>0</v>
      </c>
      <c r="BU281" s="1124">
        <f>+Details!AB281-Base!AB281</f>
        <v>0</v>
      </c>
      <c r="BV281" s="1124">
        <f>+Details!AC281-Base!AC281</f>
        <v>0</v>
      </c>
      <c r="BW281" s="1124">
        <f>+Details!AD281-Base!AD281</f>
        <v>0</v>
      </c>
      <c r="BX281" s="1124">
        <f>+Details!AE281-Base!AE281</f>
        <v>0</v>
      </c>
      <c r="BY281" s="1124">
        <f>+Details!AF281-Base!AF281</f>
        <v>0</v>
      </c>
      <c r="BZ281" s="1124">
        <f>+Details!AG281-Base!AG281</f>
        <v>0</v>
      </c>
      <c r="CA281" s="1124">
        <f>+Details!AH281-Base!AH281</f>
        <v>0</v>
      </c>
      <c r="CB281" s="1124">
        <f>+Details!AI281-Base!AI281</f>
        <v>0</v>
      </c>
      <c r="CC281" s="1124">
        <f>+Details!AJ281-Base!AJ281</f>
        <v>0</v>
      </c>
      <c r="CD281" s="1124">
        <f>+Details!AK281-Base!AK281</f>
        <v>0</v>
      </c>
      <c r="CE281" s="1124">
        <f>+Details!AL281-Base!AL281</f>
        <v>0</v>
      </c>
      <c r="CF281" s="1124">
        <f>+Details!AM281-Base!AM281</f>
        <v>0</v>
      </c>
      <c r="CG281" s="1124">
        <f>+Details!AN281-Base!AN281</f>
        <v>0</v>
      </c>
      <c r="CH281" s="1124">
        <f>+Details!AO281-Base!AO281</f>
        <v>0</v>
      </c>
      <c r="CI281" s="1124">
        <f>+Details!AP281-Base!AP281</f>
        <v>0</v>
      </c>
      <c r="CJ281" s="1124">
        <f>+Details!AQ281-Base!AQ281</f>
        <v>0</v>
      </c>
      <c r="CK281" s="1124">
        <f>+Details!AR281-Base!AR281</f>
        <v>0</v>
      </c>
      <c r="CL281" s="1124">
        <f>+Details!AS281-Base!AS281</f>
        <v>0</v>
      </c>
      <c r="CM281" s="81"/>
    </row>
    <row r="282" spans="1:91" hidden="1">
      <c r="A282" s="1432" t="s">
        <v>639</v>
      </c>
      <c r="B282" s="234" t="s">
        <v>1272</v>
      </c>
      <c r="C282" s="3"/>
      <c r="E282" s="29">
        <f t="shared" si="223"/>
        <v>15300</v>
      </c>
      <c r="F282" s="31">
        <f t="shared" ref="F282:AS282" si="232">+F177</f>
        <v>0</v>
      </c>
      <c r="G282" s="1124">
        <f t="shared" si="232"/>
        <v>0</v>
      </c>
      <c r="H282" s="1124">
        <f t="shared" si="232"/>
        <v>0</v>
      </c>
      <c r="I282" s="1124">
        <f t="shared" si="232"/>
        <v>0</v>
      </c>
      <c r="J282" s="1124">
        <f t="shared" si="232"/>
        <v>0</v>
      </c>
      <c r="K282" s="1124">
        <f t="shared" si="232"/>
        <v>0</v>
      </c>
      <c r="L282" s="1124">
        <f t="shared" si="232"/>
        <v>0</v>
      </c>
      <c r="M282" s="1124">
        <f t="shared" si="232"/>
        <v>0</v>
      </c>
      <c r="N282" s="1124">
        <f t="shared" si="232"/>
        <v>0</v>
      </c>
      <c r="O282" s="1124">
        <f t="shared" si="232"/>
        <v>0</v>
      </c>
      <c r="P282" s="1124">
        <f t="shared" si="232"/>
        <v>0</v>
      </c>
      <c r="Q282" s="1124">
        <f t="shared" si="232"/>
        <v>0</v>
      </c>
      <c r="R282" s="1124">
        <f t="shared" si="232"/>
        <v>0</v>
      </c>
      <c r="S282" s="1124">
        <f t="shared" si="232"/>
        <v>0</v>
      </c>
      <c r="T282" s="1124">
        <f t="shared" si="232"/>
        <v>0</v>
      </c>
      <c r="U282" s="1124">
        <f t="shared" si="232"/>
        <v>4000</v>
      </c>
      <c r="V282" s="1124">
        <f t="shared" si="232"/>
        <v>5000</v>
      </c>
      <c r="W282" s="1124">
        <f t="shared" si="232"/>
        <v>5100</v>
      </c>
      <c r="X282" s="1124">
        <f t="shared" si="232"/>
        <v>1200</v>
      </c>
      <c r="Y282" s="1124">
        <f t="shared" si="232"/>
        <v>0</v>
      </c>
      <c r="Z282" s="1124">
        <f t="shared" si="232"/>
        <v>0</v>
      </c>
      <c r="AA282" s="1124">
        <f t="shared" si="232"/>
        <v>0</v>
      </c>
      <c r="AB282" s="1124">
        <f t="shared" si="232"/>
        <v>0</v>
      </c>
      <c r="AC282" s="1124">
        <f t="shared" si="232"/>
        <v>0</v>
      </c>
      <c r="AD282" s="1124">
        <f t="shared" si="232"/>
        <v>0</v>
      </c>
      <c r="AE282" s="1124">
        <f t="shared" si="232"/>
        <v>0</v>
      </c>
      <c r="AF282" s="1124">
        <f t="shared" si="232"/>
        <v>0</v>
      </c>
      <c r="AG282" s="1124">
        <f t="shared" si="232"/>
        <v>0</v>
      </c>
      <c r="AH282" s="1124">
        <f t="shared" si="232"/>
        <v>0</v>
      </c>
      <c r="AI282" s="1124">
        <f t="shared" si="232"/>
        <v>0</v>
      </c>
      <c r="AJ282" s="1124">
        <f t="shared" si="232"/>
        <v>0</v>
      </c>
      <c r="AK282" s="1124">
        <f t="shared" si="232"/>
        <v>0</v>
      </c>
      <c r="AL282" s="1124">
        <f t="shared" si="232"/>
        <v>0</v>
      </c>
      <c r="AM282" s="1124">
        <f t="shared" si="232"/>
        <v>0</v>
      </c>
      <c r="AN282" s="1124">
        <f t="shared" si="232"/>
        <v>0</v>
      </c>
      <c r="AO282" s="1124">
        <f t="shared" si="232"/>
        <v>0</v>
      </c>
      <c r="AP282" s="1124">
        <f t="shared" si="232"/>
        <v>0</v>
      </c>
      <c r="AQ282" s="1124">
        <f t="shared" si="232"/>
        <v>0</v>
      </c>
      <c r="AR282" s="1124">
        <f t="shared" si="232"/>
        <v>0</v>
      </c>
      <c r="AS282" s="1124">
        <f t="shared" si="232"/>
        <v>0</v>
      </c>
      <c r="AU282" s="29">
        <f>+Details!E282</f>
        <v>15300</v>
      </c>
      <c r="AV282" s="81">
        <f t="shared" si="225"/>
        <v>0</v>
      </c>
      <c r="AW282" s="102"/>
      <c r="AY282" s="31">
        <f>+Details!F282-Base!F282</f>
        <v>0</v>
      </c>
      <c r="AZ282" s="1124">
        <f>+Details!G282-Base!G282</f>
        <v>0</v>
      </c>
      <c r="BA282" s="1124">
        <f>+Details!H282-Base!H282</f>
        <v>0</v>
      </c>
      <c r="BB282" s="1124">
        <f>+Details!I282-Base!I282</f>
        <v>0</v>
      </c>
      <c r="BC282" s="1124">
        <f>+Details!J282-Base!J282</f>
        <v>0</v>
      </c>
      <c r="BD282" s="1124">
        <f>+Details!K282-Base!K282</f>
        <v>0</v>
      </c>
      <c r="BE282" s="1124">
        <f>+Details!L282-Base!L282</f>
        <v>0</v>
      </c>
      <c r="BF282" s="1124">
        <f>+Details!M282-Base!M282</f>
        <v>0</v>
      </c>
      <c r="BG282" s="1124">
        <f>+Details!N282-Base!N282</f>
        <v>0</v>
      </c>
      <c r="BH282" s="1124">
        <f>+Details!O282-Base!O282</f>
        <v>0</v>
      </c>
      <c r="BI282" s="1124">
        <f>+Details!P282-Base!P282</f>
        <v>0</v>
      </c>
      <c r="BJ282" s="1124">
        <f>+Details!Q282-Base!Q282</f>
        <v>0</v>
      </c>
      <c r="BK282" s="1124">
        <f>+Details!R282-Base!R282</f>
        <v>0</v>
      </c>
      <c r="BL282" s="1124">
        <f>+Details!S282-Base!S282</f>
        <v>0</v>
      </c>
      <c r="BM282" s="1124">
        <f>+Details!T282-Base!T282</f>
        <v>0</v>
      </c>
      <c r="BN282" s="1124">
        <f>+Details!U282-Base!U282</f>
        <v>0</v>
      </c>
      <c r="BO282" s="1124">
        <f>+Details!V282-Base!V282</f>
        <v>0</v>
      </c>
      <c r="BP282" s="1124">
        <f>+Details!W282-Base!W282</f>
        <v>0</v>
      </c>
      <c r="BQ282" s="1124">
        <f>+Details!X282-Base!X282</f>
        <v>0</v>
      </c>
      <c r="BR282" s="1124">
        <f>+Details!Y282-Base!Y282</f>
        <v>0</v>
      </c>
      <c r="BS282" s="1124">
        <f>+Details!Z282-Base!Z282</f>
        <v>0</v>
      </c>
      <c r="BT282" s="1124">
        <f>+Details!AA282-Base!AA282</f>
        <v>0</v>
      </c>
      <c r="BU282" s="1124">
        <f>+Details!AB282-Base!AB282</f>
        <v>0</v>
      </c>
      <c r="BV282" s="1124">
        <f>+Details!AC282-Base!AC282</f>
        <v>0</v>
      </c>
      <c r="BW282" s="1124">
        <f>+Details!AD282-Base!AD282</f>
        <v>0</v>
      </c>
      <c r="BX282" s="1124">
        <f>+Details!AE282-Base!AE282</f>
        <v>0</v>
      </c>
      <c r="BY282" s="1124">
        <f>+Details!AF282-Base!AF282</f>
        <v>0</v>
      </c>
      <c r="BZ282" s="1124">
        <f>+Details!AG282-Base!AG282</f>
        <v>0</v>
      </c>
      <c r="CA282" s="1124">
        <f>+Details!AH282-Base!AH282</f>
        <v>0</v>
      </c>
      <c r="CB282" s="1124">
        <f>+Details!AI282-Base!AI282</f>
        <v>0</v>
      </c>
      <c r="CC282" s="1124">
        <f>+Details!AJ282-Base!AJ282</f>
        <v>0</v>
      </c>
      <c r="CD282" s="1124">
        <f>+Details!AK282-Base!AK282</f>
        <v>0</v>
      </c>
      <c r="CE282" s="1124">
        <f>+Details!AL282-Base!AL282</f>
        <v>0</v>
      </c>
      <c r="CF282" s="1124">
        <f>+Details!AM282-Base!AM282</f>
        <v>0</v>
      </c>
      <c r="CG282" s="1124">
        <f>+Details!AN282-Base!AN282</f>
        <v>0</v>
      </c>
      <c r="CH282" s="1124">
        <f>+Details!AO282-Base!AO282</f>
        <v>0</v>
      </c>
      <c r="CI282" s="1124">
        <f>+Details!AP282-Base!AP282</f>
        <v>0</v>
      </c>
      <c r="CJ282" s="1124">
        <f>+Details!AQ282-Base!AQ282</f>
        <v>0</v>
      </c>
      <c r="CK282" s="1124">
        <f>+Details!AR282-Base!AR282</f>
        <v>0</v>
      </c>
      <c r="CL282" s="1124">
        <f>+Details!AS282-Base!AS282</f>
        <v>0</v>
      </c>
      <c r="CM282" s="81"/>
    </row>
    <row r="283" spans="1:91" hidden="1">
      <c r="A283" s="1432" t="s">
        <v>639</v>
      </c>
      <c r="B283" s="234" t="s">
        <v>1504</v>
      </c>
      <c r="C283" s="3"/>
      <c r="E283" s="34">
        <f t="shared" si="223"/>
        <v>0</v>
      </c>
      <c r="F283" s="38">
        <f t="shared" ref="F283:AS283" si="233">+F180</f>
        <v>0</v>
      </c>
      <c r="G283" s="1125">
        <f t="shared" si="233"/>
        <v>0</v>
      </c>
      <c r="H283" s="1125">
        <f t="shared" si="233"/>
        <v>0</v>
      </c>
      <c r="I283" s="1125">
        <f t="shared" si="233"/>
        <v>0</v>
      </c>
      <c r="J283" s="1125">
        <f t="shared" si="233"/>
        <v>0</v>
      </c>
      <c r="K283" s="1125">
        <f t="shared" si="233"/>
        <v>0</v>
      </c>
      <c r="L283" s="1125">
        <f t="shared" si="233"/>
        <v>0</v>
      </c>
      <c r="M283" s="1125">
        <f t="shared" si="233"/>
        <v>0</v>
      </c>
      <c r="N283" s="1125">
        <f t="shared" si="233"/>
        <v>0</v>
      </c>
      <c r="O283" s="1125">
        <f t="shared" si="233"/>
        <v>0</v>
      </c>
      <c r="P283" s="1125">
        <f t="shared" si="233"/>
        <v>0</v>
      </c>
      <c r="Q283" s="1125">
        <f t="shared" si="233"/>
        <v>0</v>
      </c>
      <c r="R283" s="1125">
        <f t="shared" si="233"/>
        <v>0</v>
      </c>
      <c r="S283" s="1125">
        <f t="shared" si="233"/>
        <v>0</v>
      </c>
      <c r="T283" s="1125">
        <f t="shared" si="233"/>
        <v>0</v>
      </c>
      <c r="U283" s="1125">
        <f t="shared" si="233"/>
        <v>0</v>
      </c>
      <c r="V283" s="1125">
        <f t="shared" si="233"/>
        <v>0</v>
      </c>
      <c r="W283" s="1125">
        <f t="shared" si="233"/>
        <v>0</v>
      </c>
      <c r="X283" s="1125">
        <f t="shared" si="233"/>
        <v>0</v>
      </c>
      <c r="Y283" s="1125">
        <f t="shared" si="233"/>
        <v>0</v>
      </c>
      <c r="Z283" s="1125">
        <f t="shared" si="233"/>
        <v>0</v>
      </c>
      <c r="AA283" s="1125">
        <f t="shared" si="233"/>
        <v>0</v>
      </c>
      <c r="AB283" s="1125">
        <f t="shared" si="233"/>
        <v>0</v>
      </c>
      <c r="AC283" s="1125">
        <f t="shared" si="233"/>
        <v>0</v>
      </c>
      <c r="AD283" s="1125">
        <f t="shared" si="233"/>
        <v>0</v>
      </c>
      <c r="AE283" s="1125">
        <f t="shared" si="233"/>
        <v>0</v>
      </c>
      <c r="AF283" s="1125">
        <f t="shared" si="233"/>
        <v>0</v>
      </c>
      <c r="AG283" s="1125">
        <f t="shared" si="233"/>
        <v>0</v>
      </c>
      <c r="AH283" s="1125">
        <f t="shared" si="233"/>
        <v>0</v>
      </c>
      <c r="AI283" s="1125">
        <f t="shared" si="233"/>
        <v>0</v>
      </c>
      <c r="AJ283" s="1125">
        <f t="shared" si="233"/>
        <v>0</v>
      </c>
      <c r="AK283" s="1125">
        <f t="shared" si="233"/>
        <v>0</v>
      </c>
      <c r="AL283" s="1125">
        <f t="shared" si="233"/>
        <v>0</v>
      </c>
      <c r="AM283" s="1125">
        <f t="shared" si="233"/>
        <v>0</v>
      </c>
      <c r="AN283" s="1125">
        <f t="shared" si="233"/>
        <v>0</v>
      </c>
      <c r="AO283" s="1125">
        <f t="shared" si="233"/>
        <v>0</v>
      </c>
      <c r="AP283" s="1125">
        <f t="shared" si="233"/>
        <v>0</v>
      </c>
      <c r="AQ283" s="1125">
        <f t="shared" si="233"/>
        <v>0</v>
      </c>
      <c r="AR283" s="1125">
        <f t="shared" si="233"/>
        <v>0</v>
      </c>
      <c r="AS283" s="1125">
        <f t="shared" si="233"/>
        <v>0</v>
      </c>
      <c r="AU283" s="34">
        <f>+Details!E283</f>
        <v>0</v>
      </c>
      <c r="AV283" s="83">
        <f t="shared" si="225"/>
        <v>0</v>
      </c>
      <c r="AW283" s="102"/>
      <c r="AY283" s="38">
        <f>+Details!F283-Base!F283</f>
        <v>0</v>
      </c>
      <c r="AZ283" s="1125">
        <f>+Details!G283-Base!G283</f>
        <v>0</v>
      </c>
      <c r="BA283" s="1125">
        <f>+Details!H283-Base!H283</f>
        <v>0</v>
      </c>
      <c r="BB283" s="1125">
        <f>+Details!I283-Base!I283</f>
        <v>0</v>
      </c>
      <c r="BC283" s="1125">
        <f>+Details!J283-Base!J283</f>
        <v>0</v>
      </c>
      <c r="BD283" s="1125">
        <f>+Details!K283-Base!K283</f>
        <v>0</v>
      </c>
      <c r="BE283" s="1125">
        <f>+Details!L283-Base!L283</f>
        <v>0</v>
      </c>
      <c r="BF283" s="1125">
        <f>+Details!M283-Base!M283</f>
        <v>0</v>
      </c>
      <c r="BG283" s="1125">
        <f>+Details!N283-Base!N283</f>
        <v>0</v>
      </c>
      <c r="BH283" s="1125">
        <f>+Details!O283-Base!O283</f>
        <v>0</v>
      </c>
      <c r="BI283" s="1125">
        <f>+Details!P283-Base!P283</f>
        <v>0</v>
      </c>
      <c r="BJ283" s="1125">
        <f>+Details!Q283-Base!Q283</f>
        <v>0</v>
      </c>
      <c r="BK283" s="1125">
        <f>+Details!R283-Base!R283</f>
        <v>0</v>
      </c>
      <c r="BL283" s="1125">
        <f>+Details!S283-Base!S283</f>
        <v>0</v>
      </c>
      <c r="BM283" s="1125">
        <f>+Details!T283-Base!T283</f>
        <v>0</v>
      </c>
      <c r="BN283" s="1125">
        <f>+Details!U283-Base!U283</f>
        <v>0</v>
      </c>
      <c r="BO283" s="1125">
        <f>+Details!V283-Base!V283</f>
        <v>0</v>
      </c>
      <c r="BP283" s="1125">
        <f>+Details!W283-Base!W283</f>
        <v>0</v>
      </c>
      <c r="BQ283" s="1125">
        <f>+Details!X283-Base!X283</f>
        <v>0</v>
      </c>
      <c r="BR283" s="1125">
        <f>+Details!Y283-Base!Y283</f>
        <v>0</v>
      </c>
      <c r="BS283" s="1125">
        <f>+Details!Z283-Base!Z283</f>
        <v>0</v>
      </c>
      <c r="BT283" s="1125">
        <f>+Details!AA283-Base!AA283</f>
        <v>0</v>
      </c>
      <c r="BU283" s="1125">
        <f>+Details!AB283-Base!AB283</f>
        <v>0</v>
      </c>
      <c r="BV283" s="1125">
        <f>+Details!AC283-Base!AC283</f>
        <v>0</v>
      </c>
      <c r="BW283" s="1125">
        <f>+Details!AD283-Base!AD283</f>
        <v>0</v>
      </c>
      <c r="BX283" s="1125">
        <f>+Details!AE283-Base!AE283</f>
        <v>0</v>
      </c>
      <c r="BY283" s="1125">
        <f>+Details!AF283-Base!AF283</f>
        <v>0</v>
      </c>
      <c r="BZ283" s="1125">
        <f>+Details!AG283-Base!AG283</f>
        <v>0</v>
      </c>
      <c r="CA283" s="1125">
        <f>+Details!AH283-Base!AH283</f>
        <v>0</v>
      </c>
      <c r="CB283" s="1125">
        <f>+Details!AI283-Base!AI283</f>
        <v>0</v>
      </c>
      <c r="CC283" s="1125">
        <f>+Details!AJ283-Base!AJ283</f>
        <v>0</v>
      </c>
      <c r="CD283" s="1125">
        <f>+Details!AK283-Base!AK283</f>
        <v>0</v>
      </c>
      <c r="CE283" s="1125">
        <f>+Details!AL283-Base!AL283</f>
        <v>0</v>
      </c>
      <c r="CF283" s="1125">
        <f>+Details!AM283-Base!AM283</f>
        <v>0</v>
      </c>
      <c r="CG283" s="1125">
        <f>+Details!AN283-Base!AN283</f>
        <v>0</v>
      </c>
      <c r="CH283" s="1125">
        <f>+Details!AO283-Base!AO283</f>
        <v>0</v>
      </c>
      <c r="CI283" s="1125">
        <f>+Details!AP283-Base!AP283</f>
        <v>0</v>
      </c>
      <c r="CJ283" s="1125">
        <f>+Details!AQ283-Base!AQ283</f>
        <v>0</v>
      </c>
      <c r="CK283" s="1125">
        <f>+Details!AR283-Base!AR283</f>
        <v>0</v>
      </c>
      <c r="CL283" s="1125">
        <f>+Details!AS283-Base!AS283</f>
        <v>0</v>
      </c>
      <c r="CM283" s="103"/>
    </row>
    <row r="284" spans="1:91" hidden="1">
      <c r="A284" s="1432" t="s">
        <v>639</v>
      </c>
      <c r="B284" s="234" t="s">
        <v>635</v>
      </c>
      <c r="C284" s="3"/>
      <c r="E284" s="29">
        <f>SUM(F284:AS284)</f>
        <v>1002700</v>
      </c>
      <c r="F284" s="447">
        <f>SUM(F278:F283)</f>
        <v>60000</v>
      </c>
      <c r="G284" s="1124">
        <f t="shared" ref="G284:AS284" si="234">SUM(G278:G283)</f>
        <v>76800</v>
      </c>
      <c r="H284" s="1124">
        <f t="shared" si="234"/>
        <v>63600</v>
      </c>
      <c r="I284" s="1124">
        <f t="shared" si="234"/>
        <v>65600</v>
      </c>
      <c r="J284" s="1124">
        <f t="shared" si="234"/>
        <v>67600</v>
      </c>
      <c r="K284" s="1124">
        <f t="shared" si="234"/>
        <v>69800</v>
      </c>
      <c r="L284" s="1124">
        <f t="shared" si="234"/>
        <v>72000</v>
      </c>
      <c r="M284" s="1124">
        <f t="shared" si="234"/>
        <v>74200</v>
      </c>
      <c r="N284" s="1124">
        <f t="shared" si="234"/>
        <v>35800</v>
      </c>
      <c r="O284" s="1124">
        <f t="shared" si="234"/>
        <v>21500</v>
      </c>
      <c r="P284" s="1124">
        <f t="shared" si="234"/>
        <v>20900</v>
      </c>
      <c r="Q284" s="1124">
        <f t="shared" si="234"/>
        <v>20400</v>
      </c>
      <c r="R284" s="1124">
        <f t="shared" si="234"/>
        <v>20000</v>
      </c>
      <c r="S284" s="1124">
        <f t="shared" si="234"/>
        <v>19600</v>
      </c>
      <c r="T284" s="1124">
        <f t="shared" si="234"/>
        <v>16300</v>
      </c>
      <c r="U284" s="1124">
        <f t="shared" si="234"/>
        <v>20700</v>
      </c>
      <c r="V284" s="1124">
        <f t="shared" si="234"/>
        <v>22100</v>
      </c>
      <c r="W284" s="1124">
        <f t="shared" si="234"/>
        <v>22600</v>
      </c>
      <c r="X284" s="1124">
        <f t="shared" si="234"/>
        <v>19100</v>
      </c>
      <c r="Y284" s="1124">
        <f t="shared" si="234"/>
        <v>18300</v>
      </c>
      <c r="Z284" s="1124">
        <f t="shared" si="234"/>
        <v>18700</v>
      </c>
      <c r="AA284" s="1124">
        <f t="shared" si="234"/>
        <v>19100</v>
      </c>
      <c r="AB284" s="1124">
        <f t="shared" si="234"/>
        <v>19500</v>
      </c>
      <c r="AC284" s="1124">
        <f t="shared" si="234"/>
        <v>20000</v>
      </c>
      <c r="AD284" s="1124">
        <f t="shared" si="234"/>
        <v>18500</v>
      </c>
      <c r="AE284" s="1124">
        <f t="shared" si="234"/>
        <v>19000</v>
      </c>
      <c r="AF284" s="1124">
        <f t="shared" si="234"/>
        <v>19500</v>
      </c>
      <c r="AG284" s="1124">
        <f t="shared" si="234"/>
        <v>20000</v>
      </c>
      <c r="AH284" s="1124">
        <f t="shared" si="234"/>
        <v>20500</v>
      </c>
      <c r="AI284" s="1124">
        <f t="shared" si="234"/>
        <v>21000</v>
      </c>
      <c r="AJ284" s="1124">
        <f t="shared" si="234"/>
        <v>0</v>
      </c>
      <c r="AK284" s="1124">
        <f t="shared" si="234"/>
        <v>0</v>
      </c>
      <c r="AL284" s="1124">
        <f t="shared" si="234"/>
        <v>0</v>
      </c>
      <c r="AM284" s="1124">
        <f t="shared" si="234"/>
        <v>0</v>
      </c>
      <c r="AN284" s="1124">
        <f t="shared" si="234"/>
        <v>0</v>
      </c>
      <c r="AO284" s="1124">
        <f t="shared" si="234"/>
        <v>0</v>
      </c>
      <c r="AP284" s="1124">
        <f t="shared" si="234"/>
        <v>0</v>
      </c>
      <c r="AQ284" s="1124">
        <f t="shared" si="234"/>
        <v>0</v>
      </c>
      <c r="AR284" s="1124">
        <f t="shared" si="234"/>
        <v>0</v>
      </c>
      <c r="AS284" s="1124">
        <f t="shared" si="234"/>
        <v>0</v>
      </c>
      <c r="AU284" s="29">
        <f>+Details!E284</f>
        <v>1002700</v>
      </c>
      <c r="AV284" s="81">
        <f>+E284-AU284</f>
        <v>0</v>
      </c>
      <c r="AW284" s="102"/>
      <c r="AY284" s="31">
        <f>+Details!F284-Base!F284</f>
        <v>0</v>
      </c>
      <c r="AZ284" s="1124">
        <f>+Details!G284-Base!G284</f>
        <v>0</v>
      </c>
      <c r="BA284" s="1124">
        <f>+Details!H284-Base!H284</f>
        <v>0</v>
      </c>
      <c r="BB284" s="1124">
        <f>+Details!I284-Base!I284</f>
        <v>0</v>
      </c>
      <c r="BC284" s="1124">
        <f>+Details!J284-Base!J284</f>
        <v>0</v>
      </c>
      <c r="BD284" s="1124">
        <f>+Details!K284-Base!K284</f>
        <v>0</v>
      </c>
      <c r="BE284" s="1124">
        <f>+Details!L284-Base!L284</f>
        <v>0</v>
      </c>
      <c r="BF284" s="1124">
        <f>+Details!M284-Base!M284</f>
        <v>0</v>
      </c>
      <c r="BG284" s="1124">
        <f>+Details!N284-Base!N284</f>
        <v>0</v>
      </c>
      <c r="BH284" s="1124">
        <f>+Details!O284-Base!O284</f>
        <v>0</v>
      </c>
      <c r="BI284" s="1124">
        <f>+Details!P284-Base!P284</f>
        <v>0</v>
      </c>
      <c r="BJ284" s="1124">
        <f>+Details!Q284-Base!Q284</f>
        <v>0</v>
      </c>
      <c r="BK284" s="1124">
        <f>+Details!R284-Base!R284</f>
        <v>0</v>
      </c>
      <c r="BL284" s="1124">
        <f>+Details!S284-Base!S284</f>
        <v>0</v>
      </c>
      <c r="BM284" s="1124">
        <f>+Details!T284-Base!T284</f>
        <v>0</v>
      </c>
      <c r="BN284" s="1124">
        <f>+Details!U284-Base!U284</f>
        <v>0</v>
      </c>
      <c r="BO284" s="1124">
        <f>+Details!V284-Base!V284</f>
        <v>0</v>
      </c>
      <c r="BP284" s="1124">
        <f>+Details!W284-Base!W284</f>
        <v>0</v>
      </c>
      <c r="BQ284" s="1124">
        <f>+Details!X284-Base!X284</f>
        <v>0</v>
      </c>
      <c r="BR284" s="1124">
        <f>+Details!Y284-Base!Y284</f>
        <v>0</v>
      </c>
      <c r="BS284" s="1124">
        <f>+Details!Z284-Base!Z284</f>
        <v>0</v>
      </c>
      <c r="BT284" s="1124">
        <f>+Details!AA284-Base!AA284</f>
        <v>0</v>
      </c>
      <c r="BU284" s="1124">
        <f>+Details!AB284-Base!AB284</f>
        <v>0</v>
      </c>
      <c r="BV284" s="1124">
        <f>+Details!AC284-Base!AC284</f>
        <v>0</v>
      </c>
      <c r="BW284" s="1124">
        <f>+Details!AD284-Base!AD284</f>
        <v>0</v>
      </c>
      <c r="BX284" s="1124">
        <f>+Details!AE284-Base!AE284</f>
        <v>0</v>
      </c>
      <c r="BY284" s="1124">
        <f>+Details!AF284-Base!AF284</f>
        <v>0</v>
      </c>
      <c r="BZ284" s="1124">
        <f>+Details!AG284-Base!AG284</f>
        <v>0</v>
      </c>
      <c r="CA284" s="1124">
        <f>+Details!AH284-Base!AH284</f>
        <v>0</v>
      </c>
      <c r="CB284" s="1124">
        <f>+Details!AI284-Base!AI284</f>
        <v>0</v>
      </c>
      <c r="CC284" s="1124">
        <f>+Details!AJ284-Base!AJ284</f>
        <v>0</v>
      </c>
      <c r="CD284" s="1124">
        <f>+Details!AK284-Base!AK284</f>
        <v>0</v>
      </c>
      <c r="CE284" s="1124">
        <f>+Details!AL284-Base!AL284</f>
        <v>0</v>
      </c>
      <c r="CF284" s="1124">
        <f>+Details!AM284-Base!AM284</f>
        <v>0</v>
      </c>
      <c r="CG284" s="1124">
        <f>+Details!AN284-Base!AN284</f>
        <v>0</v>
      </c>
      <c r="CH284" s="1124">
        <f>+Details!AO284-Base!AO284</f>
        <v>0</v>
      </c>
      <c r="CI284" s="1124">
        <f>+Details!AP284-Base!AP284</f>
        <v>0</v>
      </c>
      <c r="CJ284" s="1124">
        <f>+Details!AQ284-Base!AQ284</f>
        <v>0</v>
      </c>
      <c r="CK284" s="1124">
        <f>+Details!AR284-Base!AR284</f>
        <v>0</v>
      </c>
      <c r="CL284" s="1124">
        <f>+Details!AS284-Base!AS284</f>
        <v>0</v>
      </c>
      <c r="CM284" s="81"/>
    </row>
    <row r="285" spans="1:91" hidden="1">
      <c r="A285" s="1432" t="s">
        <v>639</v>
      </c>
      <c r="B285" s="72"/>
      <c r="C285" s="3"/>
      <c r="E285" s="29"/>
      <c r="F285" s="447"/>
      <c r="G285" s="447"/>
      <c r="H285" s="447"/>
      <c r="I285" s="447"/>
      <c r="J285" s="447"/>
      <c r="K285" s="447"/>
      <c r="L285" s="447"/>
      <c r="M285" s="447"/>
      <c r="N285" s="447"/>
      <c r="O285" s="447"/>
      <c r="P285" s="447"/>
      <c r="Q285" s="447"/>
      <c r="R285" s="447"/>
      <c r="S285" s="447"/>
      <c r="T285" s="447"/>
      <c r="U285" s="447"/>
      <c r="V285" s="447"/>
      <c r="W285" s="447"/>
      <c r="X285" s="447"/>
      <c r="Y285" s="447"/>
      <c r="Z285" s="447"/>
      <c r="AA285" s="447"/>
      <c r="AB285" s="447"/>
      <c r="AC285" s="447"/>
      <c r="AD285" s="447"/>
      <c r="AE285" s="447"/>
      <c r="AF285" s="447"/>
      <c r="AG285" s="447"/>
      <c r="AH285" s="447"/>
      <c r="AI285" s="447"/>
      <c r="AJ285" s="447"/>
      <c r="AK285" s="447"/>
      <c r="AL285" s="447"/>
      <c r="AM285" s="447"/>
      <c r="AN285" s="447"/>
      <c r="AO285" s="447"/>
      <c r="AP285" s="447"/>
      <c r="AQ285" s="447"/>
      <c r="AR285" s="447"/>
      <c r="AS285" s="447"/>
      <c r="AU285" s="29"/>
      <c r="AV285" s="81"/>
      <c r="AW285" s="102"/>
      <c r="AY285" s="31"/>
      <c r="AZ285" s="447"/>
      <c r="BA285" s="447"/>
      <c r="BB285" s="447"/>
      <c r="BC285" s="447"/>
      <c r="BD285" s="447"/>
      <c r="BE285" s="447"/>
      <c r="BF285" s="447"/>
      <c r="BG285" s="447"/>
      <c r="BH285" s="447"/>
      <c r="BI285" s="447"/>
      <c r="BJ285" s="447"/>
      <c r="BK285" s="447"/>
      <c r="BL285" s="447"/>
      <c r="BM285" s="447"/>
      <c r="BN285" s="447"/>
      <c r="BO285" s="447"/>
      <c r="BP285" s="447"/>
      <c r="BQ285" s="447"/>
      <c r="BR285" s="447"/>
      <c r="BS285" s="447"/>
      <c r="BT285" s="447"/>
      <c r="BU285" s="447"/>
      <c r="BV285" s="447"/>
      <c r="BW285" s="447"/>
      <c r="BX285" s="447"/>
      <c r="BY285" s="447"/>
      <c r="BZ285" s="447"/>
      <c r="CA285" s="447"/>
      <c r="CB285" s="447"/>
      <c r="CC285" s="447"/>
      <c r="CD285" s="447"/>
      <c r="CE285" s="447"/>
      <c r="CF285" s="447"/>
      <c r="CG285" s="447"/>
      <c r="CH285" s="447"/>
      <c r="CI285" s="447"/>
      <c r="CJ285" s="447"/>
      <c r="CK285" s="447"/>
      <c r="CL285" s="447"/>
      <c r="CM285" s="81"/>
    </row>
    <row r="286" spans="1:91" ht="15.6" hidden="1">
      <c r="A286" s="1432" t="s">
        <v>639</v>
      </c>
      <c r="B286" s="424" t="s">
        <v>1437</v>
      </c>
      <c r="C286" s="3"/>
      <c r="E286" s="29"/>
      <c r="F286" s="447"/>
      <c r="G286" s="31"/>
      <c r="H286" s="31"/>
      <c r="I286" s="31"/>
      <c r="J286" s="31"/>
      <c r="K286" s="31"/>
      <c r="L286" s="31"/>
      <c r="M286" s="31"/>
      <c r="N286" s="31"/>
      <c r="O286" s="31"/>
      <c r="P286" s="31"/>
      <c r="Q286" s="31"/>
      <c r="R286" s="31"/>
      <c r="S286" s="31"/>
      <c r="T286" s="31"/>
      <c r="U286" s="31"/>
      <c r="V286" s="31"/>
      <c r="W286" s="31"/>
      <c r="X286" s="31"/>
      <c r="Y286" s="31"/>
      <c r="Z286" s="31"/>
      <c r="AA286" s="31"/>
      <c r="AB286" s="31"/>
      <c r="AC286" s="31"/>
      <c r="AD286" s="31"/>
      <c r="AE286" s="31"/>
      <c r="AF286" s="31"/>
      <c r="AG286" s="31"/>
      <c r="AH286" s="31"/>
      <c r="AI286" s="31"/>
      <c r="AJ286" s="31"/>
      <c r="AK286" s="31"/>
      <c r="AL286" s="31"/>
      <c r="AM286" s="31"/>
      <c r="AN286" s="31"/>
      <c r="AO286" s="31"/>
      <c r="AP286" s="31"/>
      <c r="AQ286" s="31"/>
      <c r="AR286" s="31"/>
      <c r="AS286" s="31"/>
      <c r="AU286" s="97"/>
      <c r="AV286" s="81"/>
      <c r="AW286" s="102"/>
      <c r="AY286" s="31"/>
      <c r="AZ286" s="31"/>
      <c r="BA286" s="31"/>
      <c r="BB286" s="31"/>
      <c r="BC286" s="31"/>
      <c r="BD286" s="31"/>
      <c r="BE286" s="31"/>
      <c r="BF286" s="31"/>
      <c r="BG286" s="31"/>
      <c r="BH286" s="31"/>
      <c r="BI286" s="31"/>
      <c r="BJ286" s="31"/>
      <c r="BK286" s="31"/>
      <c r="BL286" s="31"/>
      <c r="BM286" s="31"/>
      <c r="BN286" s="31"/>
      <c r="BO286" s="31"/>
      <c r="BP286" s="31"/>
      <c r="BQ286" s="31"/>
      <c r="BR286" s="31"/>
      <c r="BS286" s="31"/>
      <c r="BT286" s="31"/>
      <c r="BU286" s="31"/>
      <c r="BV286" s="31"/>
      <c r="BW286" s="31"/>
      <c r="BX286" s="31"/>
      <c r="BY286" s="31"/>
      <c r="BZ286" s="31"/>
      <c r="CA286" s="31"/>
      <c r="CB286" s="31"/>
      <c r="CC286" s="31"/>
      <c r="CD286" s="31"/>
      <c r="CE286" s="31"/>
      <c r="CF286" s="31"/>
      <c r="CG286" s="31"/>
      <c r="CH286" s="31"/>
      <c r="CI286" s="31"/>
      <c r="CJ286" s="31"/>
      <c r="CK286" s="31"/>
      <c r="CL286" s="31"/>
      <c r="CM286" s="81"/>
    </row>
    <row r="287" spans="1:91" hidden="1">
      <c r="A287" s="1432" t="s">
        <v>639</v>
      </c>
      <c r="B287" s="354" t="s">
        <v>1160</v>
      </c>
      <c r="E287" s="65">
        <f t="shared" ref="E287:E302" si="235">SUM(F287:AS287)</f>
        <v>750300</v>
      </c>
      <c r="F287" s="447">
        <f t="shared" ref="F287:AS287" si="236">ROUND(IF((F8+F61+F62+F70+F85-F91-F94-F99-F102-F112-F115-F125-F134-F137-F144)&lt;=0,0,(+F8+(F8+F61+F62+F70+F85-F91-F94-F99-F102-F112-F115-F125-F134+F137-F144))/2*F22)/Round_To,0)*Round_To</f>
        <v>9800</v>
      </c>
      <c r="G287" s="1124">
        <f t="shared" si="236"/>
        <v>9500</v>
      </c>
      <c r="H287" s="1124">
        <f t="shared" si="236"/>
        <v>9100</v>
      </c>
      <c r="I287" s="1124">
        <f t="shared" si="236"/>
        <v>8500</v>
      </c>
      <c r="J287" s="1124">
        <f t="shared" si="236"/>
        <v>7800</v>
      </c>
      <c r="K287" s="1124">
        <f t="shared" si="236"/>
        <v>7800</v>
      </c>
      <c r="L287" s="1124">
        <f t="shared" si="236"/>
        <v>8200</v>
      </c>
      <c r="M287" s="1124">
        <f t="shared" si="236"/>
        <v>8700</v>
      </c>
      <c r="N287" s="1124">
        <f t="shared" si="236"/>
        <v>9500</v>
      </c>
      <c r="O287" s="1124">
        <f t="shared" si="236"/>
        <v>10900</v>
      </c>
      <c r="P287" s="1124">
        <f t="shared" si="236"/>
        <v>10700</v>
      </c>
      <c r="Q287" s="1124">
        <f t="shared" si="236"/>
        <v>11500</v>
      </c>
      <c r="R287" s="1124">
        <f t="shared" si="236"/>
        <v>14000</v>
      </c>
      <c r="S287" s="1124">
        <f t="shared" si="236"/>
        <v>15800</v>
      </c>
      <c r="T287" s="1124">
        <f t="shared" si="236"/>
        <v>16000</v>
      </c>
      <c r="U287" s="1124">
        <f t="shared" si="236"/>
        <v>18000</v>
      </c>
      <c r="V287" s="1124">
        <f t="shared" si="236"/>
        <v>22400</v>
      </c>
      <c r="W287" s="1124">
        <f t="shared" si="236"/>
        <v>25200</v>
      </c>
      <c r="X287" s="1124">
        <f t="shared" si="236"/>
        <v>22700</v>
      </c>
      <c r="Y287" s="1124">
        <f t="shared" si="236"/>
        <v>24000</v>
      </c>
      <c r="Z287" s="1124">
        <f t="shared" si="236"/>
        <v>25500</v>
      </c>
      <c r="AA287" s="1124">
        <f t="shared" si="236"/>
        <v>27100</v>
      </c>
      <c r="AB287" s="1124">
        <f t="shared" si="236"/>
        <v>37000</v>
      </c>
      <c r="AC287" s="1124">
        <f t="shared" si="236"/>
        <v>47300</v>
      </c>
      <c r="AD287" s="1124">
        <f t="shared" si="236"/>
        <v>51500</v>
      </c>
      <c r="AE287" s="1124">
        <f t="shared" si="236"/>
        <v>55100</v>
      </c>
      <c r="AF287" s="1124">
        <f t="shared" si="236"/>
        <v>56800</v>
      </c>
      <c r="AG287" s="1124">
        <f t="shared" si="236"/>
        <v>58400</v>
      </c>
      <c r="AH287" s="1124">
        <f t="shared" si="236"/>
        <v>60000</v>
      </c>
      <c r="AI287" s="1124">
        <f t="shared" si="236"/>
        <v>61500</v>
      </c>
      <c r="AJ287" s="1124">
        <f t="shared" si="236"/>
        <v>0</v>
      </c>
      <c r="AK287" s="1124">
        <f t="shared" si="236"/>
        <v>0</v>
      </c>
      <c r="AL287" s="1124">
        <f t="shared" si="236"/>
        <v>0</v>
      </c>
      <c r="AM287" s="1124">
        <f t="shared" si="236"/>
        <v>0</v>
      </c>
      <c r="AN287" s="1124">
        <f t="shared" si="236"/>
        <v>0</v>
      </c>
      <c r="AO287" s="1124">
        <f t="shared" si="236"/>
        <v>0</v>
      </c>
      <c r="AP287" s="1124">
        <f t="shared" si="236"/>
        <v>0</v>
      </c>
      <c r="AQ287" s="1124">
        <f t="shared" si="236"/>
        <v>0</v>
      </c>
      <c r="AR287" s="1124">
        <f t="shared" si="236"/>
        <v>0</v>
      </c>
      <c r="AS287" s="1124">
        <f t="shared" si="236"/>
        <v>0</v>
      </c>
      <c r="AU287" s="29">
        <f>+Details!E287</f>
        <v>750300</v>
      </c>
      <c r="AV287" s="81">
        <f t="shared" ref="AV287:AV302" si="237">+E287-AU287</f>
        <v>0</v>
      </c>
      <c r="AW287" s="191"/>
      <c r="AY287" s="31">
        <f>+Details!F287-Base!F287</f>
        <v>0</v>
      </c>
      <c r="AZ287" s="1124">
        <f>+Details!G287-Base!G287</f>
        <v>0</v>
      </c>
      <c r="BA287" s="1124">
        <f>+Details!H287-Base!H287</f>
        <v>0</v>
      </c>
      <c r="BB287" s="1124">
        <f>+Details!I287-Base!I287</f>
        <v>0</v>
      </c>
      <c r="BC287" s="1124">
        <f>+Details!J287-Base!J287</f>
        <v>0</v>
      </c>
      <c r="BD287" s="1124">
        <f>+Details!K287-Base!K287</f>
        <v>0</v>
      </c>
      <c r="BE287" s="1124">
        <f>+Details!L287-Base!L287</f>
        <v>0</v>
      </c>
      <c r="BF287" s="1124">
        <f>+Details!M287-Base!M287</f>
        <v>0</v>
      </c>
      <c r="BG287" s="1124">
        <f>+Details!N287-Base!N287</f>
        <v>0</v>
      </c>
      <c r="BH287" s="1124">
        <f>+Details!O287-Base!O287</f>
        <v>0</v>
      </c>
      <c r="BI287" s="1124">
        <f>+Details!P287-Base!P287</f>
        <v>0</v>
      </c>
      <c r="BJ287" s="1124">
        <f>+Details!Q287-Base!Q287</f>
        <v>0</v>
      </c>
      <c r="BK287" s="1124">
        <f>+Details!R287-Base!R287</f>
        <v>0</v>
      </c>
      <c r="BL287" s="1124">
        <f>+Details!S287-Base!S287</f>
        <v>0</v>
      </c>
      <c r="BM287" s="1124">
        <f>+Details!T287-Base!T287</f>
        <v>0</v>
      </c>
      <c r="BN287" s="1124">
        <f>+Details!U287-Base!U287</f>
        <v>0</v>
      </c>
      <c r="BO287" s="1124">
        <f>+Details!V287-Base!V287</f>
        <v>0</v>
      </c>
      <c r="BP287" s="1124">
        <f>+Details!W287-Base!W287</f>
        <v>0</v>
      </c>
      <c r="BQ287" s="1124">
        <f>+Details!X287-Base!X287</f>
        <v>0</v>
      </c>
      <c r="BR287" s="1124">
        <f>+Details!Y287-Base!Y287</f>
        <v>0</v>
      </c>
      <c r="BS287" s="1124">
        <f>+Details!Z287-Base!Z287</f>
        <v>0</v>
      </c>
      <c r="BT287" s="1124">
        <f>+Details!AA287-Base!AA287</f>
        <v>0</v>
      </c>
      <c r="BU287" s="1124">
        <f>+Details!AB287-Base!AB287</f>
        <v>0</v>
      </c>
      <c r="BV287" s="1124">
        <f>+Details!AC287-Base!AC287</f>
        <v>0</v>
      </c>
      <c r="BW287" s="1124">
        <f>+Details!AD287-Base!AD287</f>
        <v>0</v>
      </c>
      <c r="BX287" s="1124">
        <f>+Details!AE287-Base!AE287</f>
        <v>0</v>
      </c>
      <c r="BY287" s="1124">
        <f>+Details!AF287-Base!AF287</f>
        <v>0</v>
      </c>
      <c r="BZ287" s="1124">
        <f>+Details!AG287-Base!AG287</f>
        <v>0</v>
      </c>
      <c r="CA287" s="1124">
        <f>+Details!AH287-Base!AH287</f>
        <v>0</v>
      </c>
      <c r="CB287" s="1124">
        <f>+Details!AI287-Base!AI287</f>
        <v>0</v>
      </c>
      <c r="CC287" s="1124">
        <f>+Details!AJ287-Base!AJ287</f>
        <v>0</v>
      </c>
      <c r="CD287" s="1124">
        <f>+Details!AK287-Base!AK287</f>
        <v>0</v>
      </c>
      <c r="CE287" s="1124">
        <f>+Details!AL287-Base!AL287</f>
        <v>0</v>
      </c>
      <c r="CF287" s="1124">
        <f>+Details!AM287-Base!AM287</f>
        <v>0</v>
      </c>
      <c r="CG287" s="1124">
        <f>+Details!AN287-Base!AN287</f>
        <v>0</v>
      </c>
      <c r="CH287" s="1124">
        <f>+Details!AO287-Base!AO287</f>
        <v>0</v>
      </c>
      <c r="CI287" s="1124">
        <f>+Details!AP287-Base!AP287</f>
        <v>0</v>
      </c>
      <c r="CJ287" s="1124">
        <f>+Details!AQ287-Base!AQ287</f>
        <v>0</v>
      </c>
      <c r="CK287" s="1124">
        <f>+Details!AR287-Base!AR287</f>
        <v>0</v>
      </c>
      <c r="CL287" s="1124">
        <f>+Details!AS287-Base!AS287</f>
        <v>0</v>
      </c>
      <c r="CM287" s="81"/>
    </row>
    <row r="288" spans="1:91" hidden="1">
      <c r="A288" s="1432" t="s">
        <v>639</v>
      </c>
      <c r="B288" s="354" t="s">
        <v>195</v>
      </c>
      <c r="C288" s="3"/>
      <c r="E288" s="65">
        <f t="shared" si="235"/>
        <v>1516900</v>
      </c>
      <c r="F288" s="31">
        <f t="shared" ref="F288:AS288" si="238">+F61</f>
        <v>0</v>
      </c>
      <c r="G288" s="1124">
        <f t="shared" si="238"/>
        <v>0</v>
      </c>
      <c r="H288" s="1124">
        <f t="shared" si="238"/>
        <v>0</v>
      </c>
      <c r="I288" s="1124">
        <f t="shared" si="238"/>
        <v>0</v>
      </c>
      <c r="J288" s="1124">
        <f t="shared" si="238"/>
        <v>0</v>
      </c>
      <c r="K288" s="1124">
        <f t="shared" si="238"/>
        <v>22100</v>
      </c>
      <c r="L288" s="1124">
        <f t="shared" si="238"/>
        <v>22500</v>
      </c>
      <c r="M288" s="1124">
        <f t="shared" si="238"/>
        <v>23000</v>
      </c>
      <c r="N288" s="1124">
        <f t="shared" si="238"/>
        <v>69900</v>
      </c>
      <c r="O288" s="1124">
        <f t="shared" si="238"/>
        <v>71300</v>
      </c>
      <c r="P288" s="1124">
        <f t="shared" si="238"/>
        <v>72700</v>
      </c>
      <c r="Q288" s="1124">
        <f t="shared" si="238"/>
        <v>74200</v>
      </c>
      <c r="R288" s="1124">
        <f t="shared" si="238"/>
        <v>75700</v>
      </c>
      <c r="S288" s="1124">
        <f t="shared" si="238"/>
        <v>77200</v>
      </c>
      <c r="T288" s="1124">
        <f t="shared" si="238"/>
        <v>78700</v>
      </c>
      <c r="U288" s="1124">
        <f t="shared" si="238"/>
        <v>80200</v>
      </c>
      <c r="V288" s="1124">
        <f t="shared" si="238"/>
        <v>63000</v>
      </c>
      <c r="W288" s="1124">
        <f t="shared" si="238"/>
        <v>64200</v>
      </c>
      <c r="X288" s="1124">
        <f t="shared" si="238"/>
        <v>65500</v>
      </c>
      <c r="Y288" s="1124">
        <f t="shared" si="238"/>
        <v>66800</v>
      </c>
      <c r="Z288" s="1124">
        <f t="shared" si="238"/>
        <v>68100</v>
      </c>
      <c r="AA288" s="1124">
        <f t="shared" si="238"/>
        <v>69500</v>
      </c>
      <c r="AB288" s="1124">
        <f t="shared" si="238"/>
        <v>70900</v>
      </c>
      <c r="AC288" s="1124">
        <f t="shared" si="238"/>
        <v>72300</v>
      </c>
      <c r="AD288" s="1124">
        <f t="shared" si="238"/>
        <v>49000</v>
      </c>
      <c r="AE288" s="1124">
        <f t="shared" si="238"/>
        <v>50000</v>
      </c>
      <c r="AF288" s="1124">
        <f t="shared" si="238"/>
        <v>51000</v>
      </c>
      <c r="AG288" s="1124">
        <f t="shared" si="238"/>
        <v>52000</v>
      </c>
      <c r="AH288" s="1124">
        <f t="shared" si="238"/>
        <v>53000</v>
      </c>
      <c r="AI288" s="1124">
        <f t="shared" si="238"/>
        <v>54100</v>
      </c>
      <c r="AJ288" s="1124">
        <f t="shared" si="238"/>
        <v>0</v>
      </c>
      <c r="AK288" s="1124">
        <f t="shared" si="238"/>
        <v>0</v>
      </c>
      <c r="AL288" s="1124">
        <f t="shared" si="238"/>
        <v>0</v>
      </c>
      <c r="AM288" s="1124">
        <f t="shared" si="238"/>
        <v>0</v>
      </c>
      <c r="AN288" s="1124">
        <f t="shared" si="238"/>
        <v>0</v>
      </c>
      <c r="AO288" s="1124">
        <f t="shared" si="238"/>
        <v>0</v>
      </c>
      <c r="AP288" s="1124">
        <f t="shared" si="238"/>
        <v>0</v>
      </c>
      <c r="AQ288" s="1124">
        <f t="shared" si="238"/>
        <v>0</v>
      </c>
      <c r="AR288" s="1124">
        <f t="shared" si="238"/>
        <v>0</v>
      </c>
      <c r="AS288" s="1124">
        <f t="shared" si="238"/>
        <v>0</v>
      </c>
      <c r="AU288" s="29">
        <f>+Details!E288</f>
        <v>1516900</v>
      </c>
      <c r="AV288" s="81">
        <f t="shared" si="237"/>
        <v>0</v>
      </c>
      <c r="AW288" s="191"/>
      <c r="AY288" s="31">
        <f>+Details!F288-Base!F288</f>
        <v>0</v>
      </c>
      <c r="AZ288" s="1124">
        <f>+Details!G288-Base!G288</f>
        <v>0</v>
      </c>
      <c r="BA288" s="1124">
        <f>+Details!H288-Base!H288</f>
        <v>0</v>
      </c>
      <c r="BB288" s="1124">
        <f>+Details!I288-Base!I288</f>
        <v>0</v>
      </c>
      <c r="BC288" s="1124">
        <f>+Details!J288-Base!J288</f>
        <v>0</v>
      </c>
      <c r="BD288" s="1124">
        <f>+Details!K288-Base!K288</f>
        <v>0</v>
      </c>
      <c r="BE288" s="1124">
        <f>+Details!L288-Base!L288</f>
        <v>0</v>
      </c>
      <c r="BF288" s="1124">
        <f>+Details!M288-Base!M288</f>
        <v>0</v>
      </c>
      <c r="BG288" s="1124">
        <f>+Details!N288-Base!N288</f>
        <v>0</v>
      </c>
      <c r="BH288" s="1124">
        <f>+Details!O288-Base!O288</f>
        <v>0</v>
      </c>
      <c r="BI288" s="1124">
        <f>+Details!P288-Base!P288</f>
        <v>0</v>
      </c>
      <c r="BJ288" s="1124">
        <f>+Details!Q288-Base!Q288</f>
        <v>0</v>
      </c>
      <c r="BK288" s="1124">
        <f>+Details!R288-Base!R288</f>
        <v>0</v>
      </c>
      <c r="BL288" s="1124">
        <f>+Details!S288-Base!S288</f>
        <v>0</v>
      </c>
      <c r="BM288" s="1124">
        <f>+Details!T288-Base!T288</f>
        <v>0</v>
      </c>
      <c r="BN288" s="1124">
        <f>+Details!U288-Base!U288</f>
        <v>0</v>
      </c>
      <c r="BO288" s="1124">
        <f>+Details!V288-Base!V288</f>
        <v>0</v>
      </c>
      <c r="BP288" s="1124">
        <f>+Details!W288-Base!W288</f>
        <v>0</v>
      </c>
      <c r="BQ288" s="1124">
        <f>+Details!X288-Base!X288</f>
        <v>0</v>
      </c>
      <c r="BR288" s="1124">
        <f>+Details!Y288-Base!Y288</f>
        <v>0</v>
      </c>
      <c r="BS288" s="1124">
        <f>+Details!Z288-Base!Z288</f>
        <v>0</v>
      </c>
      <c r="BT288" s="1124">
        <f>+Details!AA288-Base!AA288</f>
        <v>0</v>
      </c>
      <c r="BU288" s="1124">
        <f>+Details!AB288-Base!AB288</f>
        <v>0</v>
      </c>
      <c r="BV288" s="1124">
        <f>+Details!AC288-Base!AC288</f>
        <v>0</v>
      </c>
      <c r="BW288" s="1124">
        <f>+Details!AD288-Base!AD288</f>
        <v>0</v>
      </c>
      <c r="BX288" s="1124">
        <f>+Details!AE288-Base!AE288</f>
        <v>0</v>
      </c>
      <c r="BY288" s="1124">
        <f>+Details!AF288-Base!AF288</f>
        <v>0</v>
      </c>
      <c r="BZ288" s="1124">
        <f>+Details!AG288-Base!AG288</f>
        <v>0</v>
      </c>
      <c r="CA288" s="1124">
        <f>+Details!AH288-Base!AH288</f>
        <v>0</v>
      </c>
      <c r="CB288" s="1124">
        <f>+Details!AI288-Base!AI288</f>
        <v>0</v>
      </c>
      <c r="CC288" s="1124">
        <f>+Details!AJ288-Base!AJ288</f>
        <v>0</v>
      </c>
      <c r="CD288" s="1124">
        <f>+Details!AK288-Base!AK288</f>
        <v>0</v>
      </c>
      <c r="CE288" s="1124">
        <f>+Details!AL288-Base!AL288</f>
        <v>0</v>
      </c>
      <c r="CF288" s="1124">
        <f>+Details!AM288-Base!AM288</f>
        <v>0</v>
      </c>
      <c r="CG288" s="1124">
        <f>+Details!AN288-Base!AN288</f>
        <v>0</v>
      </c>
      <c r="CH288" s="1124">
        <f>+Details!AO288-Base!AO288</f>
        <v>0</v>
      </c>
      <c r="CI288" s="1124">
        <f>+Details!AP288-Base!AP288</f>
        <v>0</v>
      </c>
      <c r="CJ288" s="1124">
        <f>+Details!AQ288-Base!AQ288</f>
        <v>0</v>
      </c>
      <c r="CK288" s="1124">
        <f>+Details!AR288-Base!AR288</f>
        <v>0</v>
      </c>
      <c r="CL288" s="1124">
        <f>+Details!AS288-Base!AS288</f>
        <v>0</v>
      </c>
      <c r="CM288" s="81"/>
    </row>
    <row r="289" spans="1:91" hidden="1">
      <c r="A289" s="1432" t="s">
        <v>639</v>
      </c>
      <c r="B289" s="354" t="s">
        <v>1509</v>
      </c>
      <c r="C289" s="3"/>
      <c r="E289" s="65">
        <f t="shared" si="235"/>
        <v>549600</v>
      </c>
      <c r="F289" s="31">
        <f t="shared" ref="F289:AS289" si="239">+F70</f>
        <v>20000</v>
      </c>
      <c r="G289" s="1124">
        <f t="shared" si="239"/>
        <v>35600</v>
      </c>
      <c r="H289" s="1124">
        <f t="shared" si="239"/>
        <v>21200</v>
      </c>
      <c r="I289" s="1124">
        <f t="shared" si="239"/>
        <v>21900</v>
      </c>
      <c r="J289" s="1124">
        <f t="shared" si="239"/>
        <v>22600</v>
      </c>
      <c r="K289" s="1124">
        <f t="shared" si="239"/>
        <v>23400</v>
      </c>
      <c r="L289" s="1124">
        <f t="shared" si="239"/>
        <v>24200</v>
      </c>
      <c r="M289" s="1124">
        <f t="shared" si="239"/>
        <v>25000</v>
      </c>
      <c r="N289" s="1124">
        <f t="shared" si="239"/>
        <v>25800</v>
      </c>
      <c r="O289" s="1124">
        <f t="shared" si="239"/>
        <v>12500</v>
      </c>
      <c r="P289" s="1124">
        <f t="shared" si="239"/>
        <v>12800</v>
      </c>
      <c r="Q289" s="1124">
        <f t="shared" si="239"/>
        <v>13100</v>
      </c>
      <c r="R289" s="1124">
        <f t="shared" si="239"/>
        <v>13400</v>
      </c>
      <c r="S289" s="1124">
        <f t="shared" si="239"/>
        <v>13700</v>
      </c>
      <c r="T289" s="1124">
        <f t="shared" si="239"/>
        <v>14100</v>
      </c>
      <c r="U289" s="1124">
        <f t="shared" si="239"/>
        <v>14500</v>
      </c>
      <c r="V289" s="1124">
        <f t="shared" si="239"/>
        <v>14900</v>
      </c>
      <c r="W289" s="1124">
        <f t="shared" si="239"/>
        <v>15300</v>
      </c>
      <c r="X289" s="1124">
        <f t="shared" si="239"/>
        <v>15700</v>
      </c>
      <c r="Y289" s="1124">
        <f t="shared" si="239"/>
        <v>16100</v>
      </c>
      <c r="Z289" s="1124">
        <f t="shared" si="239"/>
        <v>16500</v>
      </c>
      <c r="AA289" s="1124">
        <f t="shared" si="239"/>
        <v>16900</v>
      </c>
      <c r="AB289" s="1124">
        <f t="shared" si="239"/>
        <v>17300</v>
      </c>
      <c r="AC289" s="1124">
        <f t="shared" si="239"/>
        <v>17800</v>
      </c>
      <c r="AD289" s="1124">
        <f t="shared" si="239"/>
        <v>16300</v>
      </c>
      <c r="AE289" s="1124">
        <f t="shared" si="239"/>
        <v>16800</v>
      </c>
      <c r="AF289" s="1124">
        <f t="shared" si="239"/>
        <v>17300</v>
      </c>
      <c r="AG289" s="1124">
        <f t="shared" si="239"/>
        <v>17800</v>
      </c>
      <c r="AH289" s="1124">
        <f t="shared" si="239"/>
        <v>18300</v>
      </c>
      <c r="AI289" s="1124">
        <f t="shared" si="239"/>
        <v>18800</v>
      </c>
      <c r="AJ289" s="1124">
        <f t="shared" si="239"/>
        <v>0</v>
      </c>
      <c r="AK289" s="1124">
        <f t="shared" si="239"/>
        <v>0</v>
      </c>
      <c r="AL289" s="1124">
        <f t="shared" si="239"/>
        <v>0</v>
      </c>
      <c r="AM289" s="1124">
        <f t="shared" si="239"/>
        <v>0</v>
      </c>
      <c r="AN289" s="1124">
        <f t="shared" si="239"/>
        <v>0</v>
      </c>
      <c r="AO289" s="1124">
        <f t="shared" si="239"/>
        <v>0</v>
      </c>
      <c r="AP289" s="1124">
        <f t="shared" si="239"/>
        <v>0</v>
      </c>
      <c r="AQ289" s="1124">
        <f t="shared" si="239"/>
        <v>0</v>
      </c>
      <c r="AR289" s="1124">
        <f t="shared" si="239"/>
        <v>0</v>
      </c>
      <c r="AS289" s="1124">
        <f t="shared" si="239"/>
        <v>0</v>
      </c>
      <c r="AU289" s="29">
        <f>+Details!E289</f>
        <v>549600</v>
      </c>
      <c r="AV289" s="81">
        <f t="shared" si="237"/>
        <v>0</v>
      </c>
      <c r="AW289" s="191"/>
      <c r="AY289" s="31">
        <f>+Details!F289-Base!F289</f>
        <v>0</v>
      </c>
      <c r="AZ289" s="1124">
        <f>+Details!G289-Base!G289</f>
        <v>0</v>
      </c>
      <c r="BA289" s="1124">
        <f>+Details!H289-Base!H289</f>
        <v>0</v>
      </c>
      <c r="BB289" s="1124">
        <f>+Details!I289-Base!I289</f>
        <v>0</v>
      </c>
      <c r="BC289" s="1124">
        <f>+Details!J289-Base!J289</f>
        <v>0</v>
      </c>
      <c r="BD289" s="1124">
        <f>+Details!K289-Base!K289</f>
        <v>0</v>
      </c>
      <c r="BE289" s="1124">
        <f>+Details!L289-Base!L289</f>
        <v>0</v>
      </c>
      <c r="BF289" s="1124">
        <f>+Details!M289-Base!M289</f>
        <v>0</v>
      </c>
      <c r="BG289" s="1124">
        <f>+Details!N289-Base!N289</f>
        <v>0</v>
      </c>
      <c r="BH289" s="1124">
        <f>+Details!O289-Base!O289</f>
        <v>0</v>
      </c>
      <c r="BI289" s="1124">
        <f>+Details!P289-Base!P289</f>
        <v>0</v>
      </c>
      <c r="BJ289" s="1124">
        <f>+Details!Q289-Base!Q289</f>
        <v>0</v>
      </c>
      <c r="BK289" s="1124">
        <f>+Details!R289-Base!R289</f>
        <v>0</v>
      </c>
      <c r="BL289" s="1124">
        <f>+Details!S289-Base!S289</f>
        <v>0</v>
      </c>
      <c r="BM289" s="1124">
        <f>+Details!T289-Base!T289</f>
        <v>0</v>
      </c>
      <c r="BN289" s="1124">
        <f>+Details!U289-Base!U289</f>
        <v>0</v>
      </c>
      <c r="BO289" s="1124">
        <f>+Details!V289-Base!V289</f>
        <v>0</v>
      </c>
      <c r="BP289" s="1124">
        <f>+Details!W289-Base!W289</f>
        <v>0</v>
      </c>
      <c r="BQ289" s="1124">
        <f>+Details!X289-Base!X289</f>
        <v>0</v>
      </c>
      <c r="BR289" s="1124">
        <f>+Details!Y289-Base!Y289</f>
        <v>0</v>
      </c>
      <c r="BS289" s="1124">
        <f>+Details!Z289-Base!Z289</f>
        <v>0</v>
      </c>
      <c r="BT289" s="1124">
        <f>+Details!AA289-Base!AA289</f>
        <v>0</v>
      </c>
      <c r="BU289" s="1124">
        <f>+Details!AB289-Base!AB289</f>
        <v>0</v>
      </c>
      <c r="BV289" s="1124">
        <f>+Details!AC289-Base!AC289</f>
        <v>0</v>
      </c>
      <c r="BW289" s="1124">
        <f>+Details!AD289-Base!AD289</f>
        <v>0</v>
      </c>
      <c r="BX289" s="1124">
        <f>+Details!AE289-Base!AE289</f>
        <v>0</v>
      </c>
      <c r="BY289" s="1124">
        <f>+Details!AF289-Base!AF289</f>
        <v>0</v>
      </c>
      <c r="BZ289" s="1124">
        <f>+Details!AG289-Base!AG289</f>
        <v>0</v>
      </c>
      <c r="CA289" s="1124">
        <f>+Details!AH289-Base!AH289</f>
        <v>0</v>
      </c>
      <c r="CB289" s="1124">
        <f>+Details!AI289-Base!AI289</f>
        <v>0</v>
      </c>
      <c r="CC289" s="1124">
        <f>+Details!AJ289-Base!AJ289</f>
        <v>0</v>
      </c>
      <c r="CD289" s="1124">
        <f>+Details!AK289-Base!AK289</f>
        <v>0</v>
      </c>
      <c r="CE289" s="1124">
        <f>+Details!AL289-Base!AL289</f>
        <v>0</v>
      </c>
      <c r="CF289" s="1124">
        <f>+Details!AM289-Base!AM289</f>
        <v>0</v>
      </c>
      <c r="CG289" s="1124">
        <f>+Details!AN289-Base!AN289</f>
        <v>0</v>
      </c>
      <c r="CH289" s="1124">
        <f>+Details!AO289-Base!AO289</f>
        <v>0</v>
      </c>
      <c r="CI289" s="1124">
        <f>+Details!AP289-Base!AP289</f>
        <v>0</v>
      </c>
      <c r="CJ289" s="1124">
        <f>+Details!AQ289-Base!AQ289</f>
        <v>0</v>
      </c>
      <c r="CK289" s="1124">
        <f>+Details!AR289-Base!AR289</f>
        <v>0</v>
      </c>
      <c r="CL289" s="1124">
        <f>+Details!AS289-Base!AS289</f>
        <v>0</v>
      </c>
      <c r="CM289" s="81"/>
    </row>
    <row r="290" spans="1:91" hidden="1">
      <c r="A290" s="1432" t="s">
        <v>639</v>
      </c>
      <c r="B290" s="354" t="s">
        <v>536</v>
      </c>
      <c r="C290" s="3"/>
      <c r="E290" s="65">
        <f t="shared" si="235"/>
        <v>300000</v>
      </c>
      <c r="F290" s="31">
        <f t="shared" ref="F290:AS290" si="240">+F85+F137</f>
        <v>0</v>
      </c>
      <c r="G290" s="1124">
        <f t="shared" si="240"/>
        <v>0</v>
      </c>
      <c r="H290" s="1124">
        <f t="shared" si="240"/>
        <v>0</v>
      </c>
      <c r="I290" s="1124">
        <f t="shared" si="240"/>
        <v>0</v>
      </c>
      <c r="J290" s="1124">
        <f t="shared" si="240"/>
        <v>0</v>
      </c>
      <c r="K290" s="1124">
        <f t="shared" si="240"/>
        <v>0</v>
      </c>
      <c r="L290" s="1124">
        <f t="shared" si="240"/>
        <v>0</v>
      </c>
      <c r="M290" s="1124">
        <f t="shared" si="240"/>
        <v>0</v>
      </c>
      <c r="N290" s="1124">
        <f t="shared" si="240"/>
        <v>0</v>
      </c>
      <c r="O290" s="1124">
        <f t="shared" si="240"/>
        <v>-15000</v>
      </c>
      <c r="P290" s="1124">
        <f t="shared" si="240"/>
        <v>-95000</v>
      </c>
      <c r="Q290" s="1124">
        <f t="shared" si="240"/>
        <v>25000</v>
      </c>
      <c r="R290" s="1124">
        <f t="shared" si="240"/>
        <v>-35000</v>
      </c>
      <c r="S290" s="1124">
        <f t="shared" si="240"/>
        <v>-15000</v>
      </c>
      <c r="T290" s="1124">
        <f t="shared" si="240"/>
        <v>-100000</v>
      </c>
      <c r="U290" s="1124">
        <f t="shared" si="240"/>
        <v>60000</v>
      </c>
      <c r="V290" s="1124">
        <f t="shared" si="240"/>
        <v>0</v>
      </c>
      <c r="W290" s="1124">
        <f t="shared" si="240"/>
        <v>0</v>
      </c>
      <c r="X290" s="1124">
        <f t="shared" si="240"/>
        <v>-5000</v>
      </c>
      <c r="Y290" s="1124">
        <f t="shared" si="240"/>
        <v>-5000</v>
      </c>
      <c r="Z290" s="1124">
        <f t="shared" si="240"/>
        <v>-5000</v>
      </c>
      <c r="AA290" s="1124">
        <f t="shared" si="240"/>
        <v>-5000</v>
      </c>
      <c r="AB290" s="1124">
        <f t="shared" si="240"/>
        <v>395000</v>
      </c>
      <c r="AC290" s="1124">
        <f t="shared" si="240"/>
        <v>0</v>
      </c>
      <c r="AD290" s="1124">
        <f t="shared" si="240"/>
        <v>100000</v>
      </c>
      <c r="AE290" s="1124">
        <f t="shared" si="240"/>
        <v>0</v>
      </c>
      <c r="AF290" s="1124">
        <f t="shared" si="240"/>
        <v>0</v>
      </c>
      <c r="AG290" s="1124">
        <f t="shared" si="240"/>
        <v>0</v>
      </c>
      <c r="AH290" s="1124">
        <f t="shared" si="240"/>
        <v>0</v>
      </c>
      <c r="AI290" s="1124">
        <f t="shared" si="240"/>
        <v>0</v>
      </c>
      <c r="AJ290" s="1124">
        <f t="shared" si="240"/>
        <v>0</v>
      </c>
      <c r="AK290" s="1124">
        <f t="shared" si="240"/>
        <v>0</v>
      </c>
      <c r="AL290" s="1124">
        <f t="shared" si="240"/>
        <v>0</v>
      </c>
      <c r="AM290" s="1124">
        <f t="shared" si="240"/>
        <v>0</v>
      </c>
      <c r="AN290" s="1124">
        <f t="shared" si="240"/>
        <v>0</v>
      </c>
      <c r="AO290" s="1124">
        <f t="shared" si="240"/>
        <v>0</v>
      </c>
      <c r="AP290" s="1124">
        <f t="shared" si="240"/>
        <v>0</v>
      </c>
      <c r="AQ290" s="1124">
        <f t="shared" si="240"/>
        <v>0</v>
      </c>
      <c r="AR290" s="1124">
        <f t="shared" si="240"/>
        <v>0</v>
      </c>
      <c r="AS290" s="1124">
        <f t="shared" si="240"/>
        <v>0</v>
      </c>
      <c r="AU290" s="29">
        <f>+Details!E290</f>
        <v>300000</v>
      </c>
      <c r="AV290" s="81">
        <f t="shared" si="237"/>
        <v>0</v>
      </c>
      <c r="AW290" s="191"/>
      <c r="AY290" s="31">
        <f>+Details!F290-Base!F290</f>
        <v>0</v>
      </c>
      <c r="AZ290" s="1124">
        <f>+Details!G290-Base!G290</f>
        <v>0</v>
      </c>
      <c r="BA290" s="1124">
        <f>+Details!H290-Base!H290</f>
        <v>0</v>
      </c>
      <c r="BB290" s="1124">
        <f>+Details!I290-Base!I290</f>
        <v>0</v>
      </c>
      <c r="BC290" s="1124">
        <f>+Details!J290-Base!J290</f>
        <v>0</v>
      </c>
      <c r="BD290" s="1124">
        <f>+Details!K290-Base!K290</f>
        <v>0</v>
      </c>
      <c r="BE290" s="1124">
        <f>+Details!L290-Base!L290</f>
        <v>0</v>
      </c>
      <c r="BF290" s="1124">
        <f>+Details!M290-Base!M290</f>
        <v>0</v>
      </c>
      <c r="BG290" s="1124">
        <f>+Details!N290-Base!N290</f>
        <v>0</v>
      </c>
      <c r="BH290" s="1124">
        <f>+Details!O290-Base!O290</f>
        <v>0</v>
      </c>
      <c r="BI290" s="1124">
        <f>+Details!P290-Base!P290</f>
        <v>0</v>
      </c>
      <c r="BJ290" s="1124">
        <f>+Details!Q290-Base!Q290</f>
        <v>0</v>
      </c>
      <c r="BK290" s="1124">
        <f>+Details!R290-Base!R290</f>
        <v>0</v>
      </c>
      <c r="BL290" s="1124">
        <f>+Details!S290-Base!S290</f>
        <v>0</v>
      </c>
      <c r="BM290" s="1124">
        <f>+Details!T290-Base!T290</f>
        <v>0</v>
      </c>
      <c r="BN290" s="1124">
        <f>+Details!U290-Base!U290</f>
        <v>0</v>
      </c>
      <c r="BO290" s="1124">
        <f>+Details!V290-Base!V290</f>
        <v>0</v>
      </c>
      <c r="BP290" s="1124">
        <f>+Details!W290-Base!W290</f>
        <v>0</v>
      </c>
      <c r="BQ290" s="1124">
        <f>+Details!X290-Base!X290</f>
        <v>0</v>
      </c>
      <c r="BR290" s="1124">
        <f>+Details!Y290-Base!Y290</f>
        <v>0</v>
      </c>
      <c r="BS290" s="1124">
        <f>+Details!Z290-Base!Z290</f>
        <v>0</v>
      </c>
      <c r="BT290" s="1124">
        <f>+Details!AA290-Base!AA290</f>
        <v>0</v>
      </c>
      <c r="BU290" s="1124">
        <f>+Details!AB290-Base!AB290</f>
        <v>0</v>
      </c>
      <c r="BV290" s="1124">
        <f>+Details!AC290-Base!AC290</f>
        <v>0</v>
      </c>
      <c r="BW290" s="1124">
        <f>+Details!AD290-Base!AD290</f>
        <v>0</v>
      </c>
      <c r="BX290" s="1124">
        <f>+Details!AE290-Base!AE290</f>
        <v>0</v>
      </c>
      <c r="BY290" s="1124">
        <f>+Details!AF290-Base!AF290</f>
        <v>0</v>
      </c>
      <c r="BZ290" s="1124">
        <f>+Details!AG290-Base!AG290</f>
        <v>0</v>
      </c>
      <c r="CA290" s="1124">
        <f>+Details!AH290-Base!AH290</f>
        <v>0</v>
      </c>
      <c r="CB290" s="1124">
        <f>+Details!AI290-Base!AI290</f>
        <v>0</v>
      </c>
      <c r="CC290" s="1124">
        <f>+Details!AJ290-Base!AJ290</f>
        <v>0</v>
      </c>
      <c r="CD290" s="1124">
        <f>+Details!AK290-Base!AK290</f>
        <v>0</v>
      </c>
      <c r="CE290" s="1124">
        <f>+Details!AL290-Base!AL290</f>
        <v>0</v>
      </c>
      <c r="CF290" s="1124">
        <f>+Details!AM290-Base!AM290</f>
        <v>0</v>
      </c>
      <c r="CG290" s="1124">
        <f>+Details!AN290-Base!AN290</f>
        <v>0</v>
      </c>
      <c r="CH290" s="1124">
        <f>+Details!AO290-Base!AO290</f>
        <v>0</v>
      </c>
      <c r="CI290" s="1124">
        <f>+Details!AP290-Base!AP290</f>
        <v>0</v>
      </c>
      <c r="CJ290" s="1124">
        <f>+Details!AQ290-Base!AQ290</f>
        <v>0</v>
      </c>
      <c r="CK290" s="1124">
        <f>+Details!AR290-Base!AR290</f>
        <v>0</v>
      </c>
      <c r="CL290" s="1124">
        <f>+Details!AS290-Base!AS290</f>
        <v>0</v>
      </c>
      <c r="CM290" s="81"/>
    </row>
    <row r="291" spans="1:91" hidden="1">
      <c r="A291" s="1432" t="s">
        <v>639</v>
      </c>
      <c r="B291" s="1018" t="s">
        <v>1829</v>
      </c>
      <c r="C291" s="3"/>
      <c r="E291" s="65">
        <f t="shared" si="235"/>
        <v>0</v>
      </c>
      <c r="F291" s="31">
        <f>+F74</f>
        <v>0</v>
      </c>
      <c r="G291" s="1124">
        <f>+G74</f>
        <v>0</v>
      </c>
      <c r="H291" s="1124">
        <f t="shared" ref="H291:AS291" si="241">+H74</f>
        <v>0</v>
      </c>
      <c r="I291" s="1124">
        <f t="shared" si="241"/>
        <v>0</v>
      </c>
      <c r="J291" s="1124">
        <f t="shared" si="241"/>
        <v>0</v>
      </c>
      <c r="K291" s="1124">
        <f t="shared" si="241"/>
        <v>0</v>
      </c>
      <c r="L291" s="1124">
        <f t="shared" si="241"/>
        <v>0</v>
      </c>
      <c r="M291" s="1124">
        <f t="shared" si="241"/>
        <v>0</v>
      </c>
      <c r="N291" s="1124">
        <f t="shared" si="241"/>
        <v>0</v>
      </c>
      <c r="O291" s="1124">
        <f t="shared" si="241"/>
        <v>0</v>
      </c>
      <c r="P291" s="1124">
        <f t="shared" si="241"/>
        <v>0</v>
      </c>
      <c r="Q291" s="1124">
        <f t="shared" si="241"/>
        <v>0</v>
      </c>
      <c r="R291" s="1124">
        <f t="shared" si="241"/>
        <v>0</v>
      </c>
      <c r="S291" s="1124">
        <f t="shared" si="241"/>
        <v>0</v>
      </c>
      <c r="T291" s="1124">
        <f t="shared" si="241"/>
        <v>0</v>
      </c>
      <c r="U291" s="1124">
        <f t="shared" si="241"/>
        <v>0</v>
      </c>
      <c r="V291" s="1124">
        <f t="shared" si="241"/>
        <v>0</v>
      </c>
      <c r="W291" s="1124">
        <f t="shared" si="241"/>
        <v>0</v>
      </c>
      <c r="X291" s="1124">
        <f t="shared" si="241"/>
        <v>0</v>
      </c>
      <c r="Y291" s="1124">
        <f t="shared" si="241"/>
        <v>0</v>
      </c>
      <c r="Z291" s="1124">
        <f t="shared" si="241"/>
        <v>0</v>
      </c>
      <c r="AA291" s="1124">
        <f t="shared" si="241"/>
        <v>0</v>
      </c>
      <c r="AB291" s="1124">
        <f t="shared" si="241"/>
        <v>0</v>
      </c>
      <c r="AC291" s="1124">
        <f t="shared" si="241"/>
        <v>0</v>
      </c>
      <c r="AD291" s="1124">
        <f t="shared" si="241"/>
        <v>0</v>
      </c>
      <c r="AE291" s="1124">
        <f t="shared" si="241"/>
        <v>0</v>
      </c>
      <c r="AF291" s="1124">
        <f t="shared" si="241"/>
        <v>0</v>
      </c>
      <c r="AG291" s="1124">
        <f t="shared" si="241"/>
        <v>0</v>
      </c>
      <c r="AH291" s="1124">
        <f t="shared" si="241"/>
        <v>0</v>
      </c>
      <c r="AI291" s="1124">
        <f t="shared" si="241"/>
        <v>0</v>
      </c>
      <c r="AJ291" s="1124">
        <f t="shared" si="241"/>
        <v>0</v>
      </c>
      <c r="AK291" s="1124">
        <f t="shared" si="241"/>
        <v>0</v>
      </c>
      <c r="AL291" s="1124">
        <f t="shared" si="241"/>
        <v>0</v>
      </c>
      <c r="AM291" s="1124">
        <f t="shared" si="241"/>
        <v>0</v>
      </c>
      <c r="AN291" s="1124">
        <f t="shared" si="241"/>
        <v>0</v>
      </c>
      <c r="AO291" s="1124">
        <f t="shared" si="241"/>
        <v>0</v>
      </c>
      <c r="AP291" s="1124">
        <f t="shared" si="241"/>
        <v>0</v>
      </c>
      <c r="AQ291" s="1124">
        <f t="shared" si="241"/>
        <v>0</v>
      </c>
      <c r="AR291" s="1124">
        <f t="shared" si="241"/>
        <v>0</v>
      </c>
      <c r="AS291" s="1124">
        <f t="shared" si="241"/>
        <v>0</v>
      </c>
      <c r="AU291" s="29">
        <f>+Details!E291</f>
        <v>0</v>
      </c>
      <c r="AV291" s="81">
        <f>+E291-AU291</f>
        <v>0</v>
      </c>
      <c r="AW291" s="191"/>
      <c r="AY291" s="31">
        <f>+Details!F291-Base!F291</f>
        <v>0</v>
      </c>
      <c r="AZ291" s="1124">
        <f>+Details!G291-Base!G291</f>
        <v>0</v>
      </c>
      <c r="BA291" s="1124">
        <f>+Details!H291-Base!H291</f>
        <v>0</v>
      </c>
      <c r="BB291" s="1124">
        <f>+Details!I291-Base!I291</f>
        <v>0</v>
      </c>
      <c r="BC291" s="1124">
        <f>+Details!J291-Base!J291</f>
        <v>0</v>
      </c>
      <c r="BD291" s="1124">
        <f>+Details!K291-Base!K291</f>
        <v>0</v>
      </c>
      <c r="BE291" s="1124">
        <f>+Details!L291-Base!L291</f>
        <v>0</v>
      </c>
      <c r="BF291" s="1124">
        <f>+Details!M291-Base!M291</f>
        <v>0</v>
      </c>
      <c r="BG291" s="1124">
        <f>+Details!N291-Base!N291</f>
        <v>0</v>
      </c>
      <c r="BH291" s="1124">
        <f>+Details!O291-Base!O291</f>
        <v>0</v>
      </c>
      <c r="BI291" s="1124">
        <f>+Details!P291-Base!P291</f>
        <v>0</v>
      </c>
      <c r="BJ291" s="1124">
        <f>+Details!Q291-Base!Q291</f>
        <v>0</v>
      </c>
      <c r="BK291" s="1124">
        <f>+Details!R291-Base!R291</f>
        <v>0</v>
      </c>
      <c r="BL291" s="1124">
        <f>+Details!S291-Base!S291</f>
        <v>0</v>
      </c>
      <c r="BM291" s="1124">
        <f>+Details!T291-Base!T291</f>
        <v>0</v>
      </c>
      <c r="BN291" s="1124">
        <f>+Details!U291-Base!U291</f>
        <v>0</v>
      </c>
      <c r="BO291" s="1124">
        <f>+Details!V291-Base!V291</f>
        <v>0</v>
      </c>
      <c r="BP291" s="1124">
        <f>+Details!W291-Base!W291</f>
        <v>0</v>
      </c>
      <c r="BQ291" s="1124">
        <f>+Details!X291-Base!X291</f>
        <v>0</v>
      </c>
      <c r="BR291" s="1124">
        <f>+Details!Y291-Base!Y291</f>
        <v>0</v>
      </c>
      <c r="BS291" s="1124">
        <f>+Details!Z291-Base!Z291</f>
        <v>0</v>
      </c>
      <c r="BT291" s="1124">
        <f>+Details!AA291-Base!AA291</f>
        <v>0</v>
      </c>
      <c r="BU291" s="1124">
        <f>+Details!AB291-Base!AB291</f>
        <v>0</v>
      </c>
      <c r="BV291" s="1124">
        <f>+Details!AC291-Base!AC291</f>
        <v>0</v>
      </c>
      <c r="BW291" s="1124">
        <f>+Details!AD291-Base!AD291</f>
        <v>0</v>
      </c>
      <c r="BX291" s="1124">
        <f>+Details!AE291-Base!AE291</f>
        <v>0</v>
      </c>
      <c r="BY291" s="1124">
        <f>+Details!AF291-Base!AF291</f>
        <v>0</v>
      </c>
      <c r="BZ291" s="1124">
        <f>+Details!AG291-Base!AG291</f>
        <v>0</v>
      </c>
      <c r="CA291" s="1124">
        <f>+Details!AH291-Base!AH291</f>
        <v>0</v>
      </c>
      <c r="CB291" s="1124">
        <f>+Details!AI291-Base!AI291</f>
        <v>0</v>
      </c>
      <c r="CC291" s="1124">
        <f>+Details!AJ291-Base!AJ291</f>
        <v>0</v>
      </c>
      <c r="CD291" s="1124">
        <f>+Details!AK291-Base!AK291</f>
        <v>0</v>
      </c>
      <c r="CE291" s="1124">
        <f>+Details!AL291-Base!AL291</f>
        <v>0</v>
      </c>
      <c r="CF291" s="1124">
        <f>+Details!AM291-Base!AM291</f>
        <v>0</v>
      </c>
      <c r="CG291" s="1124">
        <f>+Details!AN291-Base!AN291</f>
        <v>0</v>
      </c>
      <c r="CH291" s="1124">
        <f>+Details!AO291-Base!AO291</f>
        <v>0</v>
      </c>
      <c r="CI291" s="1124">
        <f>+Details!AP291-Base!AP291</f>
        <v>0</v>
      </c>
      <c r="CJ291" s="1124">
        <f>+Details!AQ291-Base!AQ291</f>
        <v>0</v>
      </c>
      <c r="CK291" s="1124">
        <f>+Details!AR291-Base!AR291</f>
        <v>0</v>
      </c>
      <c r="CL291" s="1124">
        <f>+Details!AS291-Base!AS291</f>
        <v>0</v>
      </c>
      <c r="CM291" s="81"/>
    </row>
    <row r="292" spans="1:91" hidden="1">
      <c r="A292" s="1432" t="s">
        <v>639</v>
      </c>
      <c r="B292" s="633" t="s">
        <v>745</v>
      </c>
      <c r="C292" s="3"/>
      <c r="E292" s="65">
        <f t="shared" si="235"/>
        <v>402600</v>
      </c>
      <c r="F292" s="31">
        <f t="shared" ref="F292:AS292" si="242">-F91</f>
        <v>40000</v>
      </c>
      <c r="G292" s="1124">
        <f t="shared" si="242"/>
        <v>41200</v>
      </c>
      <c r="H292" s="1124">
        <f t="shared" si="242"/>
        <v>42400</v>
      </c>
      <c r="I292" s="1124">
        <f t="shared" si="242"/>
        <v>43700</v>
      </c>
      <c r="J292" s="1124">
        <f t="shared" si="242"/>
        <v>45000</v>
      </c>
      <c r="K292" s="1124">
        <f t="shared" si="242"/>
        <v>46400</v>
      </c>
      <c r="L292" s="1124">
        <f t="shared" si="242"/>
        <v>47800</v>
      </c>
      <c r="M292" s="1124">
        <f t="shared" si="242"/>
        <v>49200</v>
      </c>
      <c r="N292" s="1124">
        <f t="shared" si="242"/>
        <v>10000</v>
      </c>
      <c r="O292" s="1124">
        <f t="shared" si="242"/>
        <v>9000</v>
      </c>
      <c r="P292" s="1124">
        <f t="shared" si="242"/>
        <v>8100</v>
      </c>
      <c r="Q292" s="1124">
        <f t="shared" si="242"/>
        <v>7300</v>
      </c>
      <c r="R292" s="1124">
        <f t="shared" si="242"/>
        <v>6600</v>
      </c>
      <c r="S292" s="1124">
        <f t="shared" si="242"/>
        <v>5900</v>
      </c>
      <c r="T292" s="1124">
        <f t="shared" si="242"/>
        <v>0</v>
      </c>
      <c r="U292" s="1124">
        <f t="shared" si="242"/>
        <v>0</v>
      </c>
      <c r="V292" s="1124">
        <f t="shared" si="242"/>
        <v>0</v>
      </c>
      <c r="W292" s="1124">
        <f t="shared" si="242"/>
        <v>0</v>
      </c>
      <c r="X292" s="1124">
        <f t="shared" si="242"/>
        <v>0</v>
      </c>
      <c r="Y292" s="1124">
        <f t="shared" si="242"/>
        <v>0</v>
      </c>
      <c r="Z292" s="1124">
        <f t="shared" si="242"/>
        <v>0</v>
      </c>
      <c r="AA292" s="1124">
        <f t="shared" si="242"/>
        <v>0</v>
      </c>
      <c r="AB292" s="1124">
        <f t="shared" si="242"/>
        <v>0</v>
      </c>
      <c r="AC292" s="1124">
        <f t="shared" si="242"/>
        <v>0</v>
      </c>
      <c r="AD292" s="1124">
        <f t="shared" si="242"/>
        <v>0</v>
      </c>
      <c r="AE292" s="1124">
        <f t="shared" si="242"/>
        <v>0</v>
      </c>
      <c r="AF292" s="1124">
        <f t="shared" si="242"/>
        <v>0</v>
      </c>
      <c r="AG292" s="1124">
        <f t="shared" si="242"/>
        <v>0</v>
      </c>
      <c r="AH292" s="1124">
        <f t="shared" si="242"/>
        <v>0</v>
      </c>
      <c r="AI292" s="1124">
        <f t="shared" si="242"/>
        <v>0</v>
      </c>
      <c r="AJ292" s="1124">
        <f t="shared" si="242"/>
        <v>0</v>
      </c>
      <c r="AK292" s="1124">
        <f t="shared" si="242"/>
        <v>0</v>
      </c>
      <c r="AL292" s="1124">
        <f t="shared" si="242"/>
        <v>0</v>
      </c>
      <c r="AM292" s="1124">
        <f t="shared" si="242"/>
        <v>0</v>
      </c>
      <c r="AN292" s="1124">
        <f t="shared" si="242"/>
        <v>0</v>
      </c>
      <c r="AO292" s="1124">
        <f t="shared" si="242"/>
        <v>0</v>
      </c>
      <c r="AP292" s="1124">
        <f t="shared" si="242"/>
        <v>0</v>
      </c>
      <c r="AQ292" s="1124">
        <f t="shared" si="242"/>
        <v>0</v>
      </c>
      <c r="AR292" s="1124">
        <f t="shared" si="242"/>
        <v>0</v>
      </c>
      <c r="AS292" s="1124">
        <f t="shared" si="242"/>
        <v>0</v>
      </c>
      <c r="AU292" s="29">
        <f>+Details!E292</f>
        <v>402600</v>
      </c>
      <c r="AV292" s="81">
        <f t="shared" si="237"/>
        <v>0</v>
      </c>
      <c r="AW292" s="191"/>
      <c r="AY292" s="31">
        <f>+Details!F292-Base!F292</f>
        <v>0</v>
      </c>
      <c r="AZ292" s="1124">
        <f>+Details!G292-Base!G292</f>
        <v>0</v>
      </c>
      <c r="BA292" s="1124">
        <f>+Details!H292-Base!H292</f>
        <v>0</v>
      </c>
      <c r="BB292" s="1124">
        <f>+Details!I292-Base!I292</f>
        <v>0</v>
      </c>
      <c r="BC292" s="1124">
        <f>+Details!J292-Base!J292</f>
        <v>0</v>
      </c>
      <c r="BD292" s="1124">
        <f>+Details!K292-Base!K292</f>
        <v>0</v>
      </c>
      <c r="BE292" s="1124">
        <f>+Details!L292-Base!L292</f>
        <v>0</v>
      </c>
      <c r="BF292" s="1124">
        <f>+Details!M292-Base!M292</f>
        <v>0</v>
      </c>
      <c r="BG292" s="1124">
        <f>+Details!N292-Base!N292</f>
        <v>0</v>
      </c>
      <c r="BH292" s="1124">
        <f>+Details!O292-Base!O292</f>
        <v>0</v>
      </c>
      <c r="BI292" s="1124">
        <f>+Details!P292-Base!P292</f>
        <v>0</v>
      </c>
      <c r="BJ292" s="1124">
        <f>+Details!Q292-Base!Q292</f>
        <v>0</v>
      </c>
      <c r="BK292" s="1124">
        <f>+Details!R292-Base!R292</f>
        <v>0</v>
      </c>
      <c r="BL292" s="1124">
        <f>+Details!S292-Base!S292</f>
        <v>0</v>
      </c>
      <c r="BM292" s="1124">
        <f>+Details!T292-Base!T292</f>
        <v>0</v>
      </c>
      <c r="BN292" s="1124">
        <f>+Details!U292-Base!U292</f>
        <v>0</v>
      </c>
      <c r="BO292" s="1124">
        <f>+Details!V292-Base!V292</f>
        <v>0</v>
      </c>
      <c r="BP292" s="1124">
        <f>+Details!W292-Base!W292</f>
        <v>0</v>
      </c>
      <c r="BQ292" s="1124">
        <f>+Details!X292-Base!X292</f>
        <v>0</v>
      </c>
      <c r="BR292" s="1124">
        <f>+Details!Y292-Base!Y292</f>
        <v>0</v>
      </c>
      <c r="BS292" s="1124">
        <f>+Details!Z292-Base!Z292</f>
        <v>0</v>
      </c>
      <c r="BT292" s="1124">
        <f>+Details!AA292-Base!AA292</f>
        <v>0</v>
      </c>
      <c r="BU292" s="1124">
        <f>+Details!AB292-Base!AB292</f>
        <v>0</v>
      </c>
      <c r="BV292" s="1124">
        <f>+Details!AC292-Base!AC292</f>
        <v>0</v>
      </c>
      <c r="BW292" s="1124">
        <f>+Details!AD292-Base!AD292</f>
        <v>0</v>
      </c>
      <c r="BX292" s="1124">
        <f>+Details!AE292-Base!AE292</f>
        <v>0</v>
      </c>
      <c r="BY292" s="1124">
        <f>+Details!AF292-Base!AF292</f>
        <v>0</v>
      </c>
      <c r="BZ292" s="1124">
        <f>+Details!AG292-Base!AG292</f>
        <v>0</v>
      </c>
      <c r="CA292" s="1124">
        <f>+Details!AH292-Base!AH292</f>
        <v>0</v>
      </c>
      <c r="CB292" s="1124">
        <f>+Details!AI292-Base!AI292</f>
        <v>0</v>
      </c>
      <c r="CC292" s="1124">
        <f>+Details!AJ292-Base!AJ292</f>
        <v>0</v>
      </c>
      <c r="CD292" s="1124">
        <f>+Details!AK292-Base!AK292</f>
        <v>0</v>
      </c>
      <c r="CE292" s="1124">
        <f>+Details!AL292-Base!AL292</f>
        <v>0</v>
      </c>
      <c r="CF292" s="1124">
        <f>+Details!AM292-Base!AM292</f>
        <v>0</v>
      </c>
      <c r="CG292" s="1124">
        <f>+Details!AN292-Base!AN292</f>
        <v>0</v>
      </c>
      <c r="CH292" s="1124">
        <f>+Details!AO292-Base!AO292</f>
        <v>0</v>
      </c>
      <c r="CI292" s="1124">
        <f>+Details!AP292-Base!AP292</f>
        <v>0</v>
      </c>
      <c r="CJ292" s="1124">
        <f>+Details!AQ292-Base!AQ292</f>
        <v>0</v>
      </c>
      <c r="CK292" s="1124">
        <f>+Details!AR292-Base!AR292</f>
        <v>0</v>
      </c>
      <c r="CL292" s="1124">
        <f>+Details!AS292-Base!AS292</f>
        <v>0</v>
      </c>
      <c r="CM292" s="81"/>
    </row>
    <row r="293" spans="1:91" hidden="1">
      <c r="A293" s="1432" t="s">
        <v>639</v>
      </c>
      <c r="B293" s="633" t="s">
        <v>1641</v>
      </c>
      <c r="C293" s="3"/>
      <c r="E293" s="65">
        <f t="shared" si="235"/>
        <v>487400</v>
      </c>
      <c r="F293" s="31">
        <f t="shared" ref="F293:AS293" si="243">-F94</f>
        <v>0</v>
      </c>
      <c r="G293" s="1124">
        <f t="shared" si="243"/>
        <v>0</v>
      </c>
      <c r="H293" s="1124">
        <f t="shared" si="243"/>
        <v>0</v>
      </c>
      <c r="I293" s="1124">
        <f t="shared" si="243"/>
        <v>0</v>
      </c>
      <c r="J293" s="1124">
        <f t="shared" si="243"/>
        <v>0</v>
      </c>
      <c r="K293" s="1124">
        <f t="shared" si="243"/>
        <v>0</v>
      </c>
      <c r="L293" s="1124">
        <f t="shared" si="243"/>
        <v>0</v>
      </c>
      <c r="M293" s="1124">
        <f t="shared" si="243"/>
        <v>0</v>
      </c>
      <c r="N293" s="1124">
        <f t="shared" si="243"/>
        <v>0</v>
      </c>
      <c r="O293" s="1124">
        <f t="shared" si="243"/>
        <v>14500</v>
      </c>
      <c r="P293" s="1124">
        <f t="shared" si="243"/>
        <v>15000</v>
      </c>
      <c r="Q293" s="1124">
        <f t="shared" si="243"/>
        <v>15600</v>
      </c>
      <c r="R293" s="1124">
        <f t="shared" si="243"/>
        <v>16200</v>
      </c>
      <c r="S293" s="1124">
        <f t="shared" si="243"/>
        <v>16900</v>
      </c>
      <c r="T293" s="1124">
        <f t="shared" si="243"/>
        <v>17700</v>
      </c>
      <c r="U293" s="1124">
        <f t="shared" si="243"/>
        <v>18700</v>
      </c>
      <c r="V293" s="1124">
        <f t="shared" si="243"/>
        <v>19900</v>
      </c>
      <c r="W293" s="1124">
        <f t="shared" si="243"/>
        <v>21000</v>
      </c>
      <c r="X293" s="1124">
        <f t="shared" si="243"/>
        <v>22100</v>
      </c>
      <c r="Y293" s="1124">
        <f t="shared" si="243"/>
        <v>23100</v>
      </c>
      <c r="Z293" s="1124">
        <f t="shared" si="243"/>
        <v>24200</v>
      </c>
      <c r="AA293" s="1124">
        <f t="shared" si="243"/>
        <v>25300</v>
      </c>
      <c r="AB293" s="1124">
        <f t="shared" si="243"/>
        <v>26400</v>
      </c>
      <c r="AC293" s="1124">
        <f t="shared" si="243"/>
        <v>27300</v>
      </c>
      <c r="AD293" s="1124">
        <f t="shared" si="243"/>
        <v>28300</v>
      </c>
      <c r="AE293" s="1124">
        <f t="shared" si="243"/>
        <v>29300</v>
      </c>
      <c r="AF293" s="1124">
        <f t="shared" si="243"/>
        <v>30300</v>
      </c>
      <c r="AG293" s="1124">
        <f t="shared" si="243"/>
        <v>31200</v>
      </c>
      <c r="AH293" s="1124">
        <f t="shared" si="243"/>
        <v>31900</v>
      </c>
      <c r="AI293" s="1124">
        <f t="shared" si="243"/>
        <v>32500</v>
      </c>
      <c r="AJ293" s="1124">
        <f t="shared" si="243"/>
        <v>0</v>
      </c>
      <c r="AK293" s="1124">
        <f t="shared" si="243"/>
        <v>0</v>
      </c>
      <c r="AL293" s="1124">
        <f t="shared" si="243"/>
        <v>0</v>
      </c>
      <c r="AM293" s="1124">
        <f t="shared" si="243"/>
        <v>0</v>
      </c>
      <c r="AN293" s="1124">
        <f t="shared" si="243"/>
        <v>0</v>
      </c>
      <c r="AO293" s="1124">
        <f t="shared" si="243"/>
        <v>0</v>
      </c>
      <c r="AP293" s="1124">
        <f t="shared" si="243"/>
        <v>0</v>
      </c>
      <c r="AQ293" s="1124">
        <f t="shared" si="243"/>
        <v>0</v>
      </c>
      <c r="AR293" s="1124">
        <f t="shared" si="243"/>
        <v>0</v>
      </c>
      <c r="AS293" s="1124">
        <f t="shared" si="243"/>
        <v>0</v>
      </c>
      <c r="AU293" s="29">
        <f>+Details!E293</f>
        <v>487400</v>
      </c>
      <c r="AV293" s="81">
        <f t="shared" si="237"/>
        <v>0</v>
      </c>
      <c r="AW293" s="191"/>
      <c r="AY293" s="31">
        <f>+Details!F293-Base!F293</f>
        <v>0</v>
      </c>
      <c r="AZ293" s="1124">
        <f>+Details!G293-Base!G293</f>
        <v>0</v>
      </c>
      <c r="BA293" s="1124">
        <f>+Details!H293-Base!H293</f>
        <v>0</v>
      </c>
      <c r="BB293" s="1124">
        <f>+Details!I293-Base!I293</f>
        <v>0</v>
      </c>
      <c r="BC293" s="1124">
        <f>+Details!J293-Base!J293</f>
        <v>0</v>
      </c>
      <c r="BD293" s="1124">
        <f>+Details!K293-Base!K293</f>
        <v>0</v>
      </c>
      <c r="BE293" s="1124">
        <f>+Details!L293-Base!L293</f>
        <v>0</v>
      </c>
      <c r="BF293" s="1124">
        <f>+Details!M293-Base!M293</f>
        <v>0</v>
      </c>
      <c r="BG293" s="1124">
        <f>+Details!N293-Base!N293</f>
        <v>0</v>
      </c>
      <c r="BH293" s="1124">
        <f>+Details!O293-Base!O293</f>
        <v>0</v>
      </c>
      <c r="BI293" s="1124">
        <f>+Details!P293-Base!P293</f>
        <v>0</v>
      </c>
      <c r="BJ293" s="1124">
        <f>+Details!Q293-Base!Q293</f>
        <v>0</v>
      </c>
      <c r="BK293" s="1124">
        <f>+Details!R293-Base!R293</f>
        <v>0</v>
      </c>
      <c r="BL293" s="1124">
        <f>+Details!S293-Base!S293</f>
        <v>0</v>
      </c>
      <c r="BM293" s="1124">
        <f>+Details!T293-Base!T293</f>
        <v>0</v>
      </c>
      <c r="BN293" s="1124">
        <f>+Details!U293-Base!U293</f>
        <v>0</v>
      </c>
      <c r="BO293" s="1124">
        <f>+Details!V293-Base!V293</f>
        <v>0</v>
      </c>
      <c r="BP293" s="1124">
        <f>+Details!W293-Base!W293</f>
        <v>0</v>
      </c>
      <c r="BQ293" s="1124">
        <f>+Details!X293-Base!X293</f>
        <v>0</v>
      </c>
      <c r="BR293" s="1124">
        <f>+Details!Y293-Base!Y293</f>
        <v>0</v>
      </c>
      <c r="BS293" s="1124">
        <f>+Details!Z293-Base!Z293</f>
        <v>0</v>
      </c>
      <c r="BT293" s="1124">
        <f>+Details!AA293-Base!AA293</f>
        <v>0</v>
      </c>
      <c r="BU293" s="1124">
        <f>+Details!AB293-Base!AB293</f>
        <v>0</v>
      </c>
      <c r="BV293" s="1124">
        <f>+Details!AC293-Base!AC293</f>
        <v>0</v>
      </c>
      <c r="BW293" s="1124">
        <f>+Details!AD293-Base!AD293</f>
        <v>0</v>
      </c>
      <c r="BX293" s="1124">
        <f>+Details!AE293-Base!AE293</f>
        <v>0</v>
      </c>
      <c r="BY293" s="1124">
        <f>+Details!AF293-Base!AF293</f>
        <v>0</v>
      </c>
      <c r="BZ293" s="1124">
        <f>+Details!AG293-Base!AG293</f>
        <v>0</v>
      </c>
      <c r="CA293" s="1124">
        <f>+Details!AH293-Base!AH293</f>
        <v>0</v>
      </c>
      <c r="CB293" s="1124">
        <f>+Details!AI293-Base!AI293</f>
        <v>0</v>
      </c>
      <c r="CC293" s="1124">
        <f>+Details!AJ293-Base!AJ293</f>
        <v>0</v>
      </c>
      <c r="CD293" s="1124">
        <f>+Details!AK293-Base!AK293</f>
        <v>0</v>
      </c>
      <c r="CE293" s="1124">
        <f>+Details!AL293-Base!AL293</f>
        <v>0</v>
      </c>
      <c r="CF293" s="1124">
        <f>+Details!AM293-Base!AM293</f>
        <v>0</v>
      </c>
      <c r="CG293" s="1124">
        <f>+Details!AN293-Base!AN293</f>
        <v>0</v>
      </c>
      <c r="CH293" s="1124">
        <f>+Details!AO293-Base!AO293</f>
        <v>0</v>
      </c>
      <c r="CI293" s="1124">
        <f>+Details!AP293-Base!AP293</f>
        <v>0</v>
      </c>
      <c r="CJ293" s="1124">
        <f>+Details!AQ293-Base!AQ293</f>
        <v>0</v>
      </c>
      <c r="CK293" s="1124">
        <f>+Details!AR293-Base!AR293</f>
        <v>0</v>
      </c>
      <c r="CL293" s="1124">
        <f>+Details!AS293-Base!AS293</f>
        <v>0</v>
      </c>
      <c r="CM293" s="81"/>
    </row>
    <row r="294" spans="1:91" hidden="1">
      <c r="A294" s="1432" t="s">
        <v>639</v>
      </c>
      <c r="B294" s="1018" t="s">
        <v>1830</v>
      </c>
      <c r="C294" s="3"/>
      <c r="E294" s="65">
        <f t="shared" si="235"/>
        <v>-58500</v>
      </c>
      <c r="F294" s="31">
        <f>+F75</f>
        <v>-6500</v>
      </c>
      <c r="G294" s="1124">
        <f>+G75</f>
        <v>-6500</v>
      </c>
      <c r="H294" s="1124">
        <f t="shared" ref="H294:AS294" si="244">+H75</f>
        <v>-6500</v>
      </c>
      <c r="I294" s="1124">
        <f t="shared" si="244"/>
        <v>-6500</v>
      </c>
      <c r="J294" s="1124">
        <f t="shared" si="244"/>
        <v>-6500</v>
      </c>
      <c r="K294" s="1124">
        <f t="shared" si="244"/>
        <v>-6500</v>
      </c>
      <c r="L294" s="1124">
        <f t="shared" si="244"/>
        <v>-6500</v>
      </c>
      <c r="M294" s="1124">
        <f t="shared" si="244"/>
        <v>-6500</v>
      </c>
      <c r="N294" s="1124">
        <f t="shared" si="244"/>
        <v>-6500</v>
      </c>
      <c r="O294" s="1124">
        <f t="shared" si="244"/>
        <v>0</v>
      </c>
      <c r="P294" s="1124">
        <f t="shared" si="244"/>
        <v>0</v>
      </c>
      <c r="Q294" s="1124">
        <f t="shared" si="244"/>
        <v>0</v>
      </c>
      <c r="R294" s="1124">
        <f t="shared" si="244"/>
        <v>0</v>
      </c>
      <c r="S294" s="1124">
        <f t="shared" si="244"/>
        <v>0</v>
      </c>
      <c r="T294" s="1124">
        <f t="shared" si="244"/>
        <v>0</v>
      </c>
      <c r="U294" s="1124">
        <f t="shared" si="244"/>
        <v>0</v>
      </c>
      <c r="V294" s="1124">
        <f t="shared" si="244"/>
        <v>0</v>
      </c>
      <c r="W294" s="1124">
        <f t="shared" si="244"/>
        <v>0</v>
      </c>
      <c r="X294" s="1124">
        <f t="shared" si="244"/>
        <v>0</v>
      </c>
      <c r="Y294" s="1124">
        <f t="shared" si="244"/>
        <v>0</v>
      </c>
      <c r="Z294" s="1124">
        <f t="shared" si="244"/>
        <v>0</v>
      </c>
      <c r="AA294" s="1124">
        <f t="shared" si="244"/>
        <v>0</v>
      </c>
      <c r="AB294" s="1124">
        <f t="shared" si="244"/>
        <v>0</v>
      </c>
      <c r="AC294" s="1124">
        <f t="shared" si="244"/>
        <v>0</v>
      </c>
      <c r="AD294" s="1124">
        <f t="shared" si="244"/>
        <v>0</v>
      </c>
      <c r="AE294" s="1124">
        <f t="shared" si="244"/>
        <v>0</v>
      </c>
      <c r="AF294" s="1124">
        <f t="shared" si="244"/>
        <v>0</v>
      </c>
      <c r="AG294" s="1124">
        <f t="shared" si="244"/>
        <v>0</v>
      </c>
      <c r="AH294" s="1124">
        <f t="shared" si="244"/>
        <v>0</v>
      </c>
      <c r="AI294" s="1124">
        <f t="shared" si="244"/>
        <v>0</v>
      </c>
      <c r="AJ294" s="1124">
        <f t="shared" si="244"/>
        <v>0</v>
      </c>
      <c r="AK294" s="1124">
        <f t="shared" si="244"/>
        <v>0</v>
      </c>
      <c r="AL294" s="1124">
        <f t="shared" si="244"/>
        <v>0</v>
      </c>
      <c r="AM294" s="1124">
        <f t="shared" si="244"/>
        <v>0</v>
      </c>
      <c r="AN294" s="1124">
        <f t="shared" si="244"/>
        <v>0</v>
      </c>
      <c r="AO294" s="1124">
        <f t="shared" si="244"/>
        <v>0</v>
      </c>
      <c r="AP294" s="1124">
        <f t="shared" si="244"/>
        <v>0</v>
      </c>
      <c r="AQ294" s="1124">
        <f t="shared" si="244"/>
        <v>0</v>
      </c>
      <c r="AR294" s="1124">
        <f t="shared" si="244"/>
        <v>0</v>
      </c>
      <c r="AS294" s="1124">
        <f t="shared" si="244"/>
        <v>0</v>
      </c>
      <c r="AU294" s="29">
        <f>+Details!E294</f>
        <v>-58500</v>
      </c>
      <c r="AV294" s="81">
        <f>+E294-AU294</f>
        <v>0</v>
      </c>
      <c r="AW294" s="191"/>
      <c r="AY294" s="31">
        <f>+Details!F294-Base!F294</f>
        <v>0</v>
      </c>
      <c r="AZ294" s="1124">
        <f>+Details!G294-Base!G294</f>
        <v>0</v>
      </c>
      <c r="BA294" s="1124">
        <f>+Details!H294-Base!H294</f>
        <v>0</v>
      </c>
      <c r="BB294" s="1124">
        <f>+Details!I294-Base!I294</f>
        <v>0</v>
      </c>
      <c r="BC294" s="1124">
        <f>+Details!J294-Base!J294</f>
        <v>0</v>
      </c>
      <c r="BD294" s="1124">
        <f>+Details!K294-Base!K294</f>
        <v>0</v>
      </c>
      <c r="BE294" s="1124">
        <f>+Details!L294-Base!L294</f>
        <v>0</v>
      </c>
      <c r="BF294" s="1124">
        <f>+Details!M294-Base!M294</f>
        <v>0</v>
      </c>
      <c r="BG294" s="1124">
        <f>+Details!N294-Base!N294</f>
        <v>0</v>
      </c>
      <c r="BH294" s="1124">
        <f>+Details!O294-Base!O294</f>
        <v>0</v>
      </c>
      <c r="BI294" s="1124">
        <f>+Details!P294-Base!P294</f>
        <v>0</v>
      </c>
      <c r="BJ294" s="1124">
        <f>+Details!Q294-Base!Q294</f>
        <v>0</v>
      </c>
      <c r="BK294" s="1124">
        <f>+Details!R294-Base!R294</f>
        <v>0</v>
      </c>
      <c r="BL294" s="1124">
        <f>+Details!S294-Base!S294</f>
        <v>0</v>
      </c>
      <c r="BM294" s="1124">
        <f>+Details!T294-Base!T294</f>
        <v>0</v>
      </c>
      <c r="BN294" s="1124">
        <f>+Details!U294-Base!U294</f>
        <v>0</v>
      </c>
      <c r="BO294" s="1124">
        <f>+Details!V294-Base!V294</f>
        <v>0</v>
      </c>
      <c r="BP294" s="1124">
        <f>+Details!W294-Base!W294</f>
        <v>0</v>
      </c>
      <c r="BQ294" s="1124">
        <f>+Details!X294-Base!X294</f>
        <v>0</v>
      </c>
      <c r="BR294" s="1124">
        <f>+Details!Y294-Base!Y294</f>
        <v>0</v>
      </c>
      <c r="BS294" s="1124">
        <f>+Details!Z294-Base!Z294</f>
        <v>0</v>
      </c>
      <c r="BT294" s="1124">
        <f>+Details!AA294-Base!AA294</f>
        <v>0</v>
      </c>
      <c r="BU294" s="1124">
        <f>+Details!AB294-Base!AB294</f>
        <v>0</v>
      </c>
      <c r="BV294" s="1124">
        <f>+Details!AC294-Base!AC294</f>
        <v>0</v>
      </c>
      <c r="BW294" s="1124">
        <f>+Details!AD294-Base!AD294</f>
        <v>0</v>
      </c>
      <c r="BX294" s="1124">
        <f>+Details!AE294-Base!AE294</f>
        <v>0</v>
      </c>
      <c r="BY294" s="1124">
        <f>+Details!AF294-Base!AF294</f>
        <v>0</v>
      </c>
      <c r="BZ294" s="1124">
        <f>+Details!AG294-Base!AG294</f>
        <v>0</v>
      </c>
      <c r="CA294" s="1124">
        <f>+Details!AH294-Base!AH294</f>
        <v>0</v>
      </c>
      <c r="CB294" s="1124">
        <f>+Details!AI294-Base!AI294</f>
        <v>0</v>
      </c>
      <c r="CC294" s="1124">
        <f>+Details!AJ294-Base!AJ294</f>
        <v>0</v>
      </c>
      <c r="CD294" s="1124">
        <f>+Details!AK294-Base!AK294</f>
        <v>0</v>
      </c>
      <c r="CE294" s="1124">
        <f>+Details!AL294-Base!AL294</f>
        <v>0</v>
      </c>
      <c r="CF294" s="1124">
        <f>+Details!AM294-Base!AM294</f>
        <v>0</v>
      </c>
      <c r="CG294" s="1124">
        <f>+Details!AN294-Base!AN294</f>
        <v>0</v>
      </c>
      <c r="CH294" s="1124">
        <f>+Details!AO294-Base!AO294</f>
        <v>0</v>
      </c>
      <c r="CI294" s="1124">
        <f>+Details!AP294-Base!AP294</f>
        <v>0</v>
      </c>
      <c r="CJ294" s="1124">
        <f>+Details!AQ294-Base!AQ294</f>
        <v>0</v>
      </c>
      <c r="CK294" s="1124">
        <f>+Details!AR294-Base!AR294</f>
        <v>0</v>
      </c>
      <c r="CL294" s="1124">
        <f>+Details!AS294-Base!AS294</f>
        <v>0</v>
      </c>
      <c r="CM294" s="81"/>
    </row>
    <row r="295" spans="1:91" hidden="1">
      <c r="A295" s="1432" t="s">
        <v>639</v>
      </c>
      <c r="B295" s="634" t="s">
        <v>746</v>
      </c>
      <c r="C295" s="3"/>
      <c r="E295" s="65">
        <f t="shared" si="235"/>
        <v>0</v>
      </c>
      <c r="F295" s="31">
        <f>-F99</f>
        <v>0</v>
      </c>
      <c r="G295" s="1124">
        <f t="shared" ref="G295:AS295" si="245">-G99</f>
        <v>0</v>
      </c>
      <c r="H295" s="1124">
        <f t="shared" si="245"/>
        <v>0</v>
      </c>
      <c r="I295" s="1124">
        <f t="shared" si="245"/>
        <v>0</v>
      </c>
      <c r="J295" s="1124">
        <f t="shared" si="245"/>
        <v>0</v>
      </c>
      <c r="K295" s="1124">
        <f t="shared" si="245"/>
        <v>0</v>
      </c>
      <c r="L295" s="1124">
        <f t="shared" si="245"/>
        <v>0</v>
      </c>
      <c r="M295" s="1124">
        <f t="shared" si="245"/>
        <v>0</v>
      </c>
      <c r="N295" s="1124">
        <f t="shared" si="245"/>
        <v>0</v>
      </c>
      <c r="O295" s="1124">
        <f t="shared" si="245"/>
        <v>0</v>
      </c>
      <c r="P295" s="1124">
        <f t="shared" si="245"/>
        <v>0</v>
      </c>
      <c r="Q295" s="1124">
        <f t="shared" si="245"/>
        <v>0</v>
      </c>
      <c r="R295" s="1124">
        <f t="shared" si="245"/>
        <v>0</v>
      </c>
      <c r="S295" s="1124">
        <f t="shared" si="245"/>
        <v>0</v>
      </c>
      <c r="T295" s="1124">
        <f t="shared" si="245"/>
        <v>0</v>
      </c>
      <c r="U295" s="1124">
        <f t="shared" si="245"/>
        <v>0</v>
      </c>
      <c r="V295" s="1124">
        <f t="shared" si="245"/>
        <v>0</v>
      </c>
      <c r="W295" s="1124">
        <f t="shared" si="245"/>
        <v>0</v>
      </c>
      <c r="X295" s="1124">
        <f t="shared" si="245"/>
        <v>0</v>
      </c>
      <c r="Y295" s="1124">
        <f t="shared" si="245"/>
        <v>0</v>
      </c>
      <c r="Z295" s="1124">
        <f t="shared" si="245"/>
        <v>0</v>
      </c>
      <c r="AA295" s="1124">
        <f t="shared" si="245"/>
        <v>0</v>
      </c>
      <c r="AB295" s="1124">
        <f t="shared" si="245"/>
        <v>0</v>
      </c>
      <c r="AC295" s="1124">
        <f t="shared" si="245"/>
        <v>0</v>
      </c>
      <c r="AD295" s="1124">
        <f t="shared" si="245"/>
        <v>0</v>
      </c>
      <c r="AE295" s="1124">
        <f t="shared" si="245"/>
        <v>0</v>
      </c>
      <c r="AF295" s="1124">
        <f t="shared" si="245"/>
        <v>0</v>
      </c>
      <c r="AG295" s="1124">
        <f t="shared" si="245"/>
        <v>0</v>
      </c>
      <c r="AH295" s="1124">
        <f t="shared" si="245"/>
        <v>0</v>
      </c>
      <c r="AI295" s="1124">
        <f t="shared" si="245"/>
        <v>0</v>
      </c>
      <c r="AJ295" s="1124">
        <f t="shared" si="245"/>
        <v>0</v>
      </c>
      <c r="AK295" s="1124">
        <f t="shared" si="245"/>
        <v>0</v>
      </c>
      <c r="AL295" s="1124">
        <f t="shared" si="245"/>
        <v>0</v>
      </c>
      <c r="AM295" s="1124">
        <f t="shared" si="245"/>
        <v>0</v>
      </c>
      <c r="AN295" s="1124">
        <f t="shared" si="245"/>
        <v>0</v>
      </c>
      <c r="AO295" s="1124">
        <f t="shared" si="245"/>
        <v>0</v>
      </c>
      <c r="AP295" s="1124">
        <f t="shared" si="245"/>
        <v>0</v>
      </c>
      <c r="AQ295" s="1124">
        <f t="shared" si="245"/>
        <v>0</v>
      </c>
      <c r="AR295" s="1124">
        <f t="shared" si="245"/>
        <v>0</v>
      </c>
      <c r="AS295" s="1124">
        <f t="shared" si="245"/>
        <v>0</v>
      </c>
      <c r="AU295" s="29">
        <f>+Details!E295</f>
        <v>0</v>
      </c>
      <c r="AV295" s="81">
        <f t="shared" si="237"/>
        <v>0</v>
      </c>
      <c r="AW295" s="191"/>
      <c r="AY295" s="31">
        <f>+Details!F295-Base!F295</f>
        <v>0</v>
      </c>
      <c r="AZ295" s="1124">
        <f>+Details!G295-Base!G295</f>
        <v>0</v>
      </c>
      <c r="BA295" s="1124">
        <f>+Details!H295-Base!H295</f>
        <v>0</v>
      </c>
      <c r="BB295" s="1124">
        <f>+Details!I295-Base!I295</f>
        <v>0</v>
      </c>
      <c r="BC295" s="1124">
        <f>+Details!J295-Base!J295</f>
        <v>0</v>
      </c>
      <c r="BD295" s="1124">
        <f>+Details!K295-Base!K295</f>
        <v>0</v>
      </c>
      <c r="BE295" s="1124">
        <f>+Details!L295-Base!L295</f>
        <v>0</v>
      </c>
      <c r="BF295" s="1124">
        <f>+Details!M295-Base!M295</f>
        <v>0</v>
      </c>
      <c r="BG295" s="1124">
        <f>+Details!N295-Base!N295</f>
        <v>0</v>
      </c>
      <c r="BH295" s="1124">
        <f>+Details!O295-Base!O295</f>
        <v>0</v>
      </c>
      <c r="BI295" s="1124">
        <f>+Details!P295-Base!P295</f>
        <v>0</v>
      </c>
      <c r="BJ295" s="1124">
        <f>+Details!Q295-Base!Q295</f>
        <v>0</v>
      </c>
      <c r="BK295" s="1124">
        <f>+Details!R295-Base!R295</f>
        <v>0</v>
      </c>
      <c r="BL295" s="1124">
        <f>+Details!S295-Base!S295</f>
        <v>0</v>
      </c>
      <c r="BM295" s="1124">
        <f>+Details!T295-Base!T295</f>
        <v>0</v>
      </c>
      <c r="BN295" s="1124">
        <f>+Details!U295-Base!U295</f>
        <v>0</v>
      </c>
      <c r="BO295" s="1124">
        <f>+Details!V295-Base!V295</f>
        <v>0</v>
      </c>
      <c r="BP295" s="1124">
        <f>+Details!W295-Base!W295</f>
        <v>0</v>
      </c>
      <c r="BQ295" s="1124">
        <f>+Details!X295-Base!X295</f>
        <v>0</v>
      </c>
      <c r="BR295" s="1124">
        <f>+Details!Y295-Base!Y295</f>
        <v>0</v>
      </c>
      <c r="BS295" s="1124">
        <f>+Details!Z295-Base!Z295</f>
        <v>0</v>
      </c>
      <c r="BT295" s="1124">
        <f>+Details!AA295-Base!AA295</f>
        <v>0</v>
      </c>
      <c r="BU295" s="1124">
        <f>+Details!AB295-Base!AB295</f>
        <v>0</v>
      </c>
      <c r="BV295" s="1124">
        <f>+Details!AC295-Base!AC295</f>
        <v>0</v>
      </c>
      <c r="BW295" s="1124">
        <f>+Details!AD295-Base!AD295</f>
        <v>0</v>
      </c>
      <c r="BX295" s="1124">
        <f>+Details!AE295-Base!AE295</f>
        <v>0</v>
      </c>
      <c r="BY295" s="1124">
        <f>+Details!AF295-Base!AF295</f>
        <v>0</v>
      </c>
      <c r="BZ295" s="1124">
        <f>+Details!AG295-Base!AG295</f>
        <v>0</v>
      </c>
      <c r="CA295" s="1124">
        <f>+Details!AH295-Base!AH295</f>
        <v>0</v>
      </c>
      <c r="CB295" s="1124">
        <f>+Details!AI295-Base!AI295</f>
        <v>0</v>
      </c>
      <c r="CC295" s="1124">
        <f>+Details!AJ295-Base!AJ295</f>
        <v>0</v>
      </c>
      <c r="CD295" s="1124">
        <f>+Details!AK295-Base!AK295</f>
        <v>0</v>
      </c>
      <c r="CE295" s="1124">
        <f>+Details!AL295-Base!AL295</f>
        <v>0</v>
      </c>
      <c r="CF295" s="1124">
        <f>+Details!AM295-Base!AM295</f>
        <v>0</v>
      </c>
      <c r="CG295" s="1124">
        <f>+Details!AN295-Base!AN295</f>
        <v>0</v>
      </c>
      <c r="CH295" s="1124">
        <f>+Details!AO295-Base!AO295</f>
        <v>0</v>
      </c>
      <c r="CI295" s="1124">
        <f>+Details!AP295-Base!AP295</f>
        <v>0</v>
      </c>
      <c r="CJ295" s="1124">
        <f>+Details!AQ295-Base!AQ295</f>
        <v>0</v>
      </c>
      <c r="CK295" s="1124">
        <f>+Details!AR295-Base!AR295</f>
        <v>0</v>
      </c>
      <c r="CL295" s="1124">
        <f>+Details!AS295-Base!AS295</f>
        <v>0</v>
      </c>
      <c r="CM295" s="81"/>
    </row>
    <row r="296" spans="1:91" hidden="1">
      <c r="A296" s="1432" t="s">
        <v>639</v>
      </c>
      <c r="B296" s="633" t="s">
        <v>349</v>
      </c>
      <c r="C296" s="3"/>
      <c r="E296" s="65">
        <f t="shared" si="235"/>
        <v>530400</v>
      </c>
      <c r="F296" s="31">
        <f>-F102</f>
        <v>0</v>
      </c>
      <c r="G296" s="1124">
        <f t="shared" ref="G296:AS296" si="246">-G102</f>
        <v>0</v>
      </c>
      <c r="H296" s="1124">
        <f t="shared" si="246"/>
        <v>0</v>
      </c>
      <c r="I296" s="1124">
        <f t="shared" si="246"/>
        <v>0</v>
      </c>
      <c r="J296" s="1124">
        <f t="shared" si="246"/>
        <v>0</v>
      </c>
      <c r="K296" s="1124">
        <f t="shared" si="246"/>
        <v>0</v>
      </c>
      <c r="L296" s="1124">
        <f t="shared" si="246"/>
        <v>0</v>
      </c>
      <c r="M296" s="1124">
        <f t="shared" si="246"/>
        <v>0</v>
      </c>
      <c r="N296" s="1124">
        <f t="shared" si="246"/>
        <v>0</v>
      </c>
      <c r="O296" s="1124">
        <f t="shared" si="246"/>
        <v>15000</v>
      </c>
      <c r="P296" s="1124">
        <f t="shared" si="246"/>
        <v>15900</v>
      </c>
      <c r="Q296" s="1124">
        <f t="shared" si="246"/>
        <v>16800</v>
      </c>
      <c r="R296" s="1124">
        <f t="shared" si="246"/>
        <v>17700</v>
      </c>
      <c r="S296" s="1124">
        <f t="shared" si="246"/>
        <v>18700</v>
      </c>
      <c r="T296" s="1124">
        <f t="shared" si="246"/>
        <v>19700</v>
      </c>
      <c r="U296" s="1124">
        <f t="shared" si="246"/>
        <v>20800</v>
      </c>
      <c r="V296" s="1124">
        <f t="shared" si="246"/>
        <v>21900</v>
      </c>
      <c r="W296" s="1124">
        <f t="shared" si="246"/>
        <v>23100</v>
      </c>
      <c r="X296" s="1124">
        <f t="shared" si="246"/>
        <v>24200</v>
      </c>
      <c r="Y296" s="1124">
        <f t="shared" si="246"/>
        <v>25300</v>
      </c>
      <c r="Z296" s="1124">
        <f t="shared" si="246"/>
        <v>26300</v>
      </c>
      <c r="AA296" s="1124">
        <f t="shared" si="246"/>
        <v>27500</v>
      </c>
      <c r="AB296" s="1124">
        <f t="shared" si="246"/>
        <v>28600</v>
      </c>
      <c r="AC296" s="1124">
        <f t="shared" si="246"/>
        <v>29800</v>
      </c>
      <c r="AD296" s="1124">
        <f t="shared" si="246"/>
        <v>30800</v>
      </c>
      <c r="AE296" s="1124">
        <f t="shared" si="246"/>
        <v>31800</v>
      </c>
      <c r="AF296" s="1124">
        <f t="shared" si="246"/>
        <v>32700</v>
      </c>
      <c r="AG296" s="1124">
        <f t="shared" si="246"/>
        <v>33700</v>
      </c>
      <c r="AH296" s="1124">
        <f t="shared" si="246"/>
        <v>34700</v>
      </c>
      <c r="AI296" s="1124">
        <f t="shared" si="246"/>
        <v>35400</v>
      </c>
      <c r="AJ296" s="1124">
        <f t="shared" si="246"/>
        <v>0</v>
      </c>
      <c r="AK296" s="1124">
        <f t="shared" si="246"/>
        <v>0</v>
      </c>
      <c r="AL296" s="1124">
        <f t="shared" si="246"/>
        <v>0</v>
      </c>
      <c r="AM296" s="1124">
        <f t="shared" si="246"/>
        <v>0</v>
      </c>
      <c r="AN296" s="1124">
        <f t="shared" si="246"/>
        <v>0</v>
      </c>
      <c r="AO296" s="1124">
        <f t="shared" si="246"/>
        <v>0</v>
      </c>
      <c r="AP296" s="1124">
        <f t="shared" si="246"/>
        <v>0</v>
      </c>
      <c r="AQ296" s="1124">
        <f t="shared" si="246"/>
        <v>0</v>
      </c>
      <c r="AR296" s="1124">
        <f t="shared" si="246"/>
        <v>0</v>
      </c>
      <c r="AS296" s="1124">
        <f t="shared" si="246"/>
        <v>0</v>
      </c>
      <c r="AU296" s="29">
        <f>+Details!E296</f>
        <v>530400</v>
      </c>
      <c r="AV296" s="81">
        <f t="shared" si="237"/>
        <v>0</v>
      </c>
      <c r="AW296" s="191"/>
      <c r="AY296" s="31">
        <f>+Details!F296-Base!F296</f>
        <v>0</v>
      </c>
      <c r="AZ296" s="1124">
        <f>+Details!G296-Base!G296</f>
        <v>0</v>
      </c>
      <c r="BA296" s="1124">
        <f>+Details!H296-Base!H296</f>
        <v>0</v>
      </c>
      <c r="BB296" s="1124">
        <f>+Details!I296-Base!I296</f>
        <v>0</v>
      </c>
      <c r="BC296" s="1124">
        <f>+Details!J296-Base!J296</f>
        <v>0</v>
      </c>
      <c r="BD296" s="1124">
        <f>+Details!K296-Base!K296</f>
        <v>0</v>
      </c>
      <c r="BE296" s="1124">
        <f>+Details!L296-Base!L296</f>
        <v>0</v>
      </c>
      <c r="BF296" s="1124">
        <f>+Details!M296-Base!M296</f>
        <v>0</v>
      </c>
      <c r="BG296" s="1124">
        <f>+Details!N296-Base!N296</f>
        <v>0</v>
      </c>
      <c r="BH296" s="1124">
        <f>+Details!O296-Base!O296</f>
        <v>0</v>
      </c>
      <c r="BI296" s="1124">
        <f>+Details!P296-Base!P296</f>
        <v>0</v>
      </c>
      <c r="BJ296" s="1124">
        <f>+Details!Q296-Base!Q296</f>
        <v>0</v>
      </c>
      <c r="BK296" s="1124">
        <f>+Details!R296-Base!R296</f>
        <v>0</v>
      </c>
      <c r="BL296" s="1124">
        <f>+Details!S296-Base!S296</f>
        <v>0</v>
      </c>
      <c r="BM296" s="1124">
        <f>+Details!T296-Base!T296</f>
        <v>0</v>
      </c>
      <c r="BN296" s="1124">
        <f>+Details!U296-Base!U296</f>
        <v>0</v>
      </c>
      <c r="BO296" s="1124">
        <f>+Details!V296-Base!V296</f>
        <v>0</v>
      </c>
      <c r="BP296" s="1124">
        <f>+Details!W296-Base!W296</f>
        <v>0</v>
      </c>
      <c r="BQ296" s="1124">
        <f>+Details!X296-Base!X296</f>
        <v>0</v>
      </c>
      <c r="BR296" s="1124">
        <f>+Details!Y296-Base!Y296</f>
        <v>0</v>
      </c>
      <c r="BS296" s="1124">
        <f>+Details!Z296-Base!Z296</f>
        <v>0</v>
      </c>
      <c r="BT296" s="1124">
        <f>+Details!AA296-Base!AA296</f>
        <v>0</v>
      </c>
      <c r="BU296" s="1124">
        <f>+Details!AB296-Base!AB296</f>
        <v>0</v>
      </c>
      <c r="BV296" s="1124">
        <f>+Details!AC296-Base!AC296</f>
        <v>0</v>
      </c>
      <c r="BW296" s="1124">
        <f>+Details!AD296-Base!AD296</f>
        <v>0</v>
      </c>
      <c r="BX296" s="1124">
        <f>+Details!AE296-Base!AE296</f>
        <v>0</v>
      </c>
      <c r="BY296" s="1124">
        <f>+Details!AF296-Base!AF296</f>
        <v>0</v>
      </c>
      <c r="BZ296" s="1124">
        <f>+Details!AG296-Base!AG296</f>
        <v>0</v>
      </c>
      <c r="CA296" s="1124">
        <f>+Details!AH296-Base!AH296</f>
        <v>0</v>
      </c>
      <c r="CB296" s="1124">
        <f>+Details!AI296-Base!AI296</f>
        <v>0</v>
      </c>
      <c r="CC296" s="1124">
        <f>+Details!AJ296-Base!AJ296</f>
        <v>0</v>
      </c>
      <c r="CD296" s="1124">
        <f>+Details!AK296-Base!AK296</f>
        <v>0</v>
      </c>
      <c r="CE296" s="1124">
        <f>+Details!AL296-Base!AL296</f>
        <v>0</v>
      </c>
      <c r="CF296" s="1124">
        <f>+Details!AM296-Base!AM296</f>
        <v>0</v>
      </c>
      <c r="CG296" s="1124">
        <f>+Details!AN296-Base!AN296</f>
        <v>0</v>
      </c>
      <c r="CH296" s="1124">
        <f>+Details!AO296-Base!AO296</f>
        <v>0</v>
      </c>
      <c r="CI296" s="1124">
        <f>+Details!AP296-Base!AP296</f>
        <v>0</v>
      </c>
      <c r="CJ296" s="1124">
        <f>+Details!AQ296-Base!AQ296</f>
        <v>0</v>
      </c>
      <c r="CK296" s="1124">
        <f>+Details!AR296-Base!AR296</f>
        <v>0</v>
      </c>
      <c r="CL296" s="1124">
        <f>+Details!AS296-Base!AS296</f>
        <v>0</v>
      </c>
      <c r="CM296" s="81"/>
    </row>
    <row r="297" spans="1:91" hidden="1">
      <c r="A297" s="1432" t="s">
        <v>639</v>
      </c>
      <c r="B297" s="634" t="s">
        <v>1181</v>
      </c>
      <c r="C297" s="3"/>
      <c r="E297" s="65">
        <f t="shared" si="235"/>
        <v>128700</v>
      </c>
      <c r="F297" s="31">
        <f>-F112</f>
        <v>0</v>
      </c>
      <c r="G297" s="1124">
        <f t="shared" ref="G297:AS297" si="247">-G112</f>
        <v>0</v>
      </c>
      <c r="H297" s="1124">
        <f t="shared" si="247"/>
        <v>0</v>
      </c>
      <c r="I297" s="1124">
        <f t="shared" si="247"/>
        <v>0</v>
      </c>
      <c r="J297" s="1124">
        <f t="shared" si="247"/>
        <v>0</v>
      </c>
      <c r="K297" s="1124">
        <f t="shared" si="247"/>
        <v>0</v>
      </c>
      <c r="L297" s="1124">
        <f t="shared" si="247"/>
        <v>0</v>
      </c>
      <c r="M297" s="1124">
        <f t="shared" si="247"/>
        <v>0</v>
      </c>
      <c r="N297" s="1124">
        <f t="shared" si="247"/>
        <v>0</v>
      </c>
      <c r="O297" s="1124">
        <f t="shared" si="247"/>
        <v>0</v>
      </c>
      <c r="P297" s="1124">
        <f t="shared" si="247"/>
        <v>0</v>
      </c>
      <c r="Q297" s="1124">
        <f t="shared" si="247"/>
        <v>0</v>
      </c>
      <c r="R297" s="1124">
        <f t="shared" si="247"/>
        <v>4100</v>
      </c>
      <c r="S297" s="1124">
        <f t="shared" si="247"/>
        <v>4300</v>
      </c>
      <c r="T297" s="1124">
        <f t="shared" si="247"/>
        <v>4600</v>
      </c>
      <c r="U297" s="1124">
        <f t="shared" si="247"/>
        <v>4800</v>
      </c>
      <c r="V297" s="1124">
        <f t="shared" si="247"/>
        <v>8300</v>
      </c>
      <c r="W297" s="1124">
        <f t="shared" si="247"/>
        <v>8400</v>
      </c>
      <c r="X297" s="1124">
        <f t="shared" si="247"/>
        <v>8400</v>
      </c>
      <c r="Y297" s="1124">
        <f t="shared" si="247"/>
        <v>8600</v>
      </c>
      <c r="Z297" s="1124">
        <f t="shared" si="247"/>
        <v>9100</v>
      </c>
      <c r="AA297" s="1124">
        <f t="shared" si="247"/>
        <v>9700</v>
      </c>
      <c r="AB297" s="1124">
        <f t="shared" si="247"/>
        <v>10300</v>
      </c>
      <c r="AC297" s="1124">
        <f t="shared" si="247"/>
        <v>10800</v>
      </c>
      <c r="AD297" s="1124">
        <f t="shared" si="247"/>
        <v>11500</v>
      </c>
      <c r="AE297" s="1124">
        <f t="shared" si="247"/>
        <v>12300</v>
      </c>
      <c r="AF297" s="1124">
        <f t="shared" si="247"/>
        <v>11500</v>
      </c>
      <c r="AG297" s="1124">
        <f t="shared" si="247"/>
        <v>2000</v>
      </c>
      <c r="AH297" s="1124">
        <f t="shared" si="247"/>
        <v>0</v>
      </c>
      <c r="AI297" s="1124">
        <f t="shared" si="247"/>
        <v>0</v>
      </c>
      <c r="AJ297" s="1124">
        <f t="shared" si="247"/>
        <v>0</v>
      </c>
      <c r="AK297" s="1124">
        <f t="shared" si="247"/>
        <v>0</v>
      </c>
      <c r="AL297" s="1124">
        <f t="shared" si="247"/>
        <v>0</v>
      </c>
      <c r="AM297" s="1124">
        <f t="shared" si="247"/>
        <v>0</v>
      </c>
      <c r="AN297" s="1124">
        <f t="shared" si="247"/>
        <v>0</v>
      </c>
      <c r="AO297" s="1124">
        <f t="shared" si="247"/>
        <v>0</v>
      </c>
      <c r="AP297" s="1124">
        <f t="shared" si="247"/>
        <v>0</v>
      </c>
      <c r="AQ297" s="1124">
        <f t="shared" si="247"/>
        <v>0</v>
      </c>
      <c r="AR297" s="1124">
        <f t="shared" si="247"/>
        <v>0</v>
      </c>
      <c r="AS297" s="1124">
        <f t="shared" si="247"/>
        <v>0</v>
      </c>
      <c r="AU297" s="29">
        <f>+Details!E297</f>
        <v>128700</v>
      </c>
      <c r="AV297" s="81">
        <f t="shared" si="237"/>
        <v>0</v>
      </c>
      <c r="AW297" s="191"/>
      <c r="AY297" s="31">
        <f>+Details!F297-Base!F297</f>
        <v>0</v>
      </c>
      <c r="AZ297" s="1124">
        <f>+Details!G297-Base!G297</f>
        <v>0</v>
      </c>
      <c r="BA297" s="1124">
        <f>+Details!H297-Base!H297</f>
        <v>0</v>
      </c>
      <c r="BB297" s="1124">
        <f>+Details!I297-Base!I297</f>
        <v>0</v>
      </c>
      <c r="BC297" s="1124">
        <f>+Details!J297-Base!J297</f>
        <v>0</v>
      </c>
      <c r="BD297" s="1124">
        <f>+Details!K297-Base!K297</f>
        <v>0</v>
      </c>
      <c r="BE297" s="1124">
        <f>+Details!L297-Base!L297</f>
        <v>0</v>
      </c>
      <c r="BF297" s="1124">
        <f>+Details!M297-Base!M297</f>
        <v>0</v>
      </c>
      <c r="BG297" s="1124">
        <f>+Details!N297-Base!N297</f>
        <v>0</v>
      </c>
      <c r="BH297" s="1124">
        <f>+Details!O297-Base!O297</f>
        <v>0</v>
      </c>
      <c r="BI297" s="1124">
        <f>+Details!P297-Base!P297</f>
        <v>0</v>
      </c>
      <c r="BJ297" s="1124">
        <f>+Details!Q297-Base!Q297</f>
        <v>0</v>
      </c>
      <c r="BK297" s="1124">
        <f>+Details!R297-Base!R297</f>
        <v>0</v>
      </c>
      <c r="BL297" s="1124">
        <f>+Details!S297-Base!S297</f>
        <v>0</v>
      </c>
      <c r="BM297" s="1124">
        <f>+Details!T297-Base!T297</f>
        <v>0</v>
      </c>
      <c r="BN297" s="1124">
        <f>+Details!U297-Base!U297</f>
        <v>0</v>
      </c>
      <c r="BO297" s="1124">
        <f>+Details!V297-Base!V297</f>
        <v>0</v>
      </c>
      <c r="BP297" s="1124">
        <f>+Details!W297-Base!W297</f>
        <v>0</v>
      </c>
      <c r="BQ297" s="1124">
        <f>+Details!X297-Base!X297</f>
        <v>0</v>
      </c>
      <c r="BR297" s="1124">
        <f>+Details!Y297-Base!Y297</f>
        <v>0</v>
      </c>
      <c r="BS297" s="1124">
        <f>+Details!Z297-Base!Z297</f>
        <v>0</v>
      </c>
      <c r="BT297" s="1124">
        <f>+Details!AA297-Base!AA297</f>
        <v>0</v>
      </c>
      <c r="BU297" s="1124">
        <f>+Details!AB297-Base!AB297</f>
        <v>0</v>
      </c>
      <c r="BV297" s="1124">
        <f>+Details!AC297-Base!AC297</f>
        <v>0</v>
      </c>
      <c r="BW297" s="1124">
        <f>+Details!AD297-Base!AD297</f>
        <v>0</v>
      </c>
      <c r="BX297" s="1124">
        <f>+Details!AE297-Base!AE297</f>
        <v>0</v>
      </c>
      <c r="BY297" s="1124">
        <f>+Details!AF297-Base!AF297</f>
        <v>0</v>
      </c>
      <c r="BZ297" s="1124">
        <f>+Details!AG297-Base!AG297</f>
        <v>0</v>
      </c>
      <c r="CA297" s="1124">
        <f>+Details!AH297-Base!AH297</f>
        <v>0</v>
      </c>
      <c r="CB297" s="1124">
        <f>+Details!AI297-Base!AI297</f>
        <v>0</v>
      </c>
      <c r="CC297" s="1124">
        <f>+Details!AJ297-Base!AJ297</f>
        <v>0</v>
      </c>
      <c r="CD297" s="1124">
        <f>+Details!AK297-Base!AK297</f>
        <v>0</v>
      </c>
      <c r="CE297" s="1124">
        <f>+Details!AL297-Base!AL297</f>
        <v>0</v>
      </c>
      <c r="CF297" s="1124">
        <f>+Details!AM297-Base!AM297</f>
        <v>0</v>
      </c>
      <c r="CG297" s="1124">
        <f>+Details!AN297-Base!AN297</f>
        <v>0</v>
      </c>
      <c r="CH297" s="1124">
        <f>+Details!AO297-Base!AO297</f>
        <v>0</v>
      </c>
      <c r="CI297" s="1124">
        <f>+Details!AP297-Base!AP297</f>
        <v>0</v>
      </c>
      <c r="CJ297" s="1124">
        <f>+Details!AQ297-Base!AQ297</f>
        <v>0</v>
      </c>
      <c r="CK297" s="1124">
        <f>+Details!AR297-Base!AR297</f>
        <v>0</v>
      </c>
      <c r="CL297" s="1124">
        <f>+Details!AS297-Base!AS297</f>
        <v>0</v>
      </c>
      <c r="CM297" s="81"/>
    </row>
    <row r="298" spans="1:91" hidden="1">
      <c r="A298" s="1432" t="s">
        <v>639</v>
      </c>
      <c r="B298" s="634" t="s">
        <v>259</v>
      </c>
      <c r="C298" s="3"/>
      <c r="E298" s="65">
        <f t="shared" si="235"/>
        <v>15300</v>
      </c>
      <c r="F298" s="31">
        <f>-F115</f>
        <v>0</v>
      </c>
      <c r="G298" s="1124">
        <f t="shared" ref="G298:AS298" si="248">-G115</f>
        <v>0</v>
      </c>
      <c r="H298" s="1124">
        <f t="shared" si="248"/>
        <v>0</v>
      </c>
      <c r="I298" s="1124">
        <f t="shared" si="248"/>
        <v>0</v>
      </c>
      <c r="J298" s="1124">
        <f t="shared" si="248"/>
        <v>0</v>
      </c>
      <c r="K298" s="1124">
        <f t="shared" si="248"/>
        <v>0</v>
      </c>
      <c r="L298" s="1124">
        <f t="shared" si="248"/>
        <v>0</v>
      </c>
      <c r="M298" s="1124">
        <f t="shared" si="248"/>
        <v>0</v>
      </c>
      <c r="N298" s="1124">
        <f t="shared" si="248"/>
        <v>0</v>
      </c>
      <c r="O298" s="1124">
        <f t="shared" si="248"/>
        <v>0</v>
      </c>
      <c r="P298" s="1124">
        <f t="shared" si="248"/>
        <v>0</v>
      </c>
      <c r="Q298" s="1124">
        <f t="shared" si="248"/>
        <v>0</v>
      </c>
      <c r="R298" s="1124">
        <f t="shared" si="248"/>
        <v>0</v>
      </c>
      <c r="S298" s="1124">
        <f t="shared" si="248"/>
        <v>0</v>
      </c>
      <c r="T298" s="1124">
        <f t="shared" si="248"/>
        <v>0</v>
      </c>
      <c r="U298" s="1124">
        <f t="shared" si="248"/>
        <v>4000</v>
      </c>
      <c r="V298" s="1124">
        <f t="shared" si="248"/>
        <v>5000</v>
      </c>
      <c r="W298" s="1124">
        <f t="shared" si="248"/>
        <v>5100</v>
      </c>
      <c r="X298" s="1124">
        <f t="shared" si="248"/>
        <v>1200</v>
      </c>
      <c r="Y298" s="1124">
        <f t="shared" si="248"/>
        <v>0</v>
      </c>
      <c r="Z298" s="1124">
        <f t="shared" si="248"/>
        <v>0</v>
      </c>
      <c r="AA298" s="1124">
        <f t="shared" si="248"/>
        <v>0</v>
      </c>
      <c r="AB298" s="1124">
        <f t="shared" si="248"/>
        <v>0</v>
      </c>
      <c r="AC298" s="1124">
        <f t="shared" si="248"/>
        <v>0</v>
      </c>
      <c r="AD298" s="1124">
        <f t="shared" si="248"/>
        <v>0</v>
      </c>
      <c r="AE298" s="1124">
        <f t="shared" si="248"/>
        <v>0</v>
      </c>
      <c r="AF298" s="1124">
        <f t="shared" si="248"/>
        <v>0</v>
      </c>
      <c r="AG298" s="1124">
        <f t="shared" si="248"/>
        <v>0</v>
      </c>
      <c r="AH298" s="1124">
        <f t="shared" si="248"/>
        <v>0</v>
      </c>
      <c r="AI298" s="1124">
        <f t="shared" si="248"/>
        <v>0</v>
      </c>
      <c r="AJ298" s="1124">
        <f t="shared" si="248"/>
        <v>0</v>
      </c>
      <c r="AK298" s="1124">
        <f t="shared" si="248"/>
        <v>0</v>
      </c>
      <c r="AL298" s="1124">
        <f t="shared" si="248"/>
        <v>0</v>
      </c>
      <c r="AM298" s="1124">
        <f t="shared" si="248"/>
        <v>0</v>
      </c>
      <c r="AN298" s="1124">
        <f t="shared" si="248"/>
        <v>0</v>
      </c>
      <c r="AO298" s="1124">
        <f t="shared" si="248"/>
        <v>0</v>
      </c>
      <c r="AP298" s="1124">
        <f t="shared" si="248"/>
        <v>0</v>
      </c>
      <c r="AQ298" s="1124">
        <f t="shared" si="248"/>
        <v>0</v>
      </c>
      <c r="AR298" s="1124">
        <f t="shared" si="248"/>
        <v>0</v>
      </c>
      <c r="AS298" s="1124">
        <f t="shared" si="248"/>
        <v>0</v>
      </c>
      <c r="AU298" s="29">
        <f>+Details!E298</f>
        <v>15300</v>
      </c>
      <c r="AV298" s="81">
        <f t="shared" si="237"/>
        <v>0</v>
      </c>
      <c r="AW298" s="191"/>
      <c r="AY298" s="31">
        <f>+Details!F298-Base!F298</f>
        <v>0</v>
      </c>
      <c r="AZ298" s="1124">
        <f>+Details!G298-Base!G298</f>
        <v>0</v>
      </c>
      <c r="BA298" s="1124">
        <f>+Details!H298-Base!H298</f>
        <v>0</v>
      </c>
      <c r="BB298" s="1124">
        <f>+Details!I298-Base!I298</f>
        <v>0</v>
      </c>
      <c r="BC298" s="1124">
        <f>+Details!J298-Base!J298</f>
        <v>0</v>
      </c>
      <c r="BD298" s="1124">
        <f>+Details!K298-Base!K298</f>
        <v>0</v>
      </c>
      <c r="BE298" s="1124">
        <f>+Details!L298-Base!L298</f>
        <v>0</v>
      </c>
      <c r="BF298" s="1124">
        <f>+Details!M298-Base!M298</f>
        <v>0</v>
      </c>
      <c r="BG298" s="1124">
        <f>+Details!N298-Base!N298</f>
        <v>0</v>
      </c>
      <c r="BH298" s="1124">
        <f>+Details!O298-Base!O298</f>
        <v>0</v>
      </c>
      <c r="BI298" s="1124">
        <f>+Details!P298-Base!P298</f>
        <v>0</v>
      </c>
      <c r="BJ298" s="1124">
        <f>+Details!Q298-Base!Q298</f>
        <v>0</v>
      </c>
      <c r="BK298" s="1124">
        <f>+Details!R298-Base!R298</f>
        <v>0</v>
      </c>
      <c r="BL298" s="1124">
        <f>+Details!S298-Base!S298</f>
        <v>0</v>
      </c>
      <c r="BM298" s="1124">
        <f>+Details!T298-Base!T298</f>
        <v>0</v>
      </c>
      <c r="BN298" s="1124">
        <f>+Details!U298-Base!U298</f>
        <v>0</v>
      </c>
      <c r="BO298" s="1124">
        <f>+Details!V298-Base!V298</f>
        <v>0</v>
      </c>
      <c r="BP298" s="1124">
        <f>+Details!W298-Base!W298</f>
        <v>0</v>
      </c>
      <c r="BQ298" s="1124">
        <f>+Details!X298-Base!X298</f>
        <v>0</v>
      </c>
      <c r="BR298" s="1124">
        <f>+Details!Y298-Base!Y298</f>
        <v>0</v>
      </c>
      <c r="BS298" s="1124">
        <f>+Details!Z298-Base!Z298</f>
        <v>0</v>
      </c>
      <c r="BT298" s="1124">
        <f>+Details!AA298-Base!AA298</f>
        <v>0</v>
      </c>
      <c r="BU298" s="1124">
        <f>+Details!AB298-Base!AB298</f>
        <v>0</v>
      </c>
      <c r="BV298" s="1124">
        <f>+Details!AC298-Base!AC298</f>
        <v>0</v>
      </c>
      <c r="BW298" s="1124">
        <f>+Details!AD298-Base!AD298</f>
        <v>0</v>
      </c>
      <c r="BX298" s="1124">
        <f>+Details!AE298-Base!AE298</f>
        <v>0</v>
      </c>
      <c r="BY298" s="1124">
        <f>+Details!AF298-Base!AF298</f>
        <v>0</v>
      </c>
      <c r="BZ298" s="1124">
        <f>+Details!AG298-Base!AG298</f>
        <v>0</v>
      </c>
      <c r="CA298" s="1124">
        <f>+Details!AH298-Base!AH298</f>
        <v>0</v>
      </c>
      <c r="CB298" s="1124">
        <f>+Details!AI298-Base!AI298</f>
        <v>0</v>
      </c>
      <c r="CC298" s="1124">
        <f>+Details!AJ298-Base!AJ298</f>
        <v>0</v>
      </c>
      <c r="CD298" s="1124">
        <f>+Details!AK298-Base!AK298</f>
        <v>0</v>
      </c>
      <c r="CE298" s="1124">
        <f>+Details!AL298-Base!AL298</f>
        <v>0</v>
      </c>
      <c r="CF298" s="1124">
        <f>+Details!AM298-Base!AM298</f>
        <v>0</v>
      </c>
      <c r="CG298" s="1124">
        <f>+Details!AN298-Base!AN298</f>
        <v>0</v>
      </c>
      <c r="CH298" s="1124">
        <f>+Details!AO298-Base!AO298</f>
        <v>0</v>
      </c>
      <c r="CI298" s="1124">
        <f>+Details!AP298-Base!AP298</f>
        <v>0</v>
      </c>
      <c r="CJ298" s="1124">
        <f>+Details!AQ298-Base!AQ298</f>
        <v>0</v>
      </c>
      <c r="CK298" s="1124">
        <f>+Details!AR298-Base!AR298</f>
        <v>0</v>
      </c>
      <c r="CL298" s="1124">
        <f>+Details!AS298-Base!AS298</f>
        <v>0</v>
      </c>
      <c r="CM298" s="81"/>
    </row>
    <row r="299" spans="1:91" hidden="1">
      <c r="A299" s="1432" t="s">
        <v>639</v>
      </c>
      <c r="B299" s="539" t="s">
        <v>893</v>
      </c>
      <c r="C299" s="3"/>
      <c r="E299" s="65">
        <f t="shared" si="235"/>
        <v>50800</v>
      </c>
      <c r="F299" s="31">
        <f>-F125</f>
        <v>0</v>
      </c>
      <c r="G299" s="1124">
        <f t="shared" ref="G299:AS299" si="249">-G125</f>
        <v>0</v>
      </c>
      <c r="H299" s="1124">
        <f t="shared" si="249"/>
        <v>0</v>
      </c>
      <c r="I299" s="1124">
        <f t="shared" si="249"/>
        <v>0</v>
      </c>
      <c r="J299" s="1124">
        <f t="shared" si="249"/>
        <v>0</v>
      </c>
      <c r="K299" s="1124">
        <f t="shared" si="249"/>
        <v>0</v>
      </c>
      <c r="L299" s="1124">
        <f t="shared" si="249"/>
        <v>0</v>
      </c>
      <c r="M299" s="1124">
        <f t="shared" si="249"/>
        <v>0</v>
      </c>
      <c r="N299" s="1124">
        <f t="shared" si="249"/>
        <v>5000</v>
      </c>
      <c r="O299" s="1124">
        <f t="shared" si="249"/>
        <v>5500</v>
      </c>
      <c r="P299" s="1124">
        <f t="shared" si="249"/>
        <v>6100</v>
      </c>
      <c r="Q299" s="1124">
        <f t="shared" si="249"/>
        <v>6700</v>
      </c>
      <c r="R299" s="1124">
        <f t="shared" si="249"/>
        <v>7400</v>
      </c>
      <c r="S299" s="1124">
        <f t="shared" si="249"/>
        <v>8100</v>
      </c>
      <c r="T299" s="1124">
        <f t="shared" si="249"/>
        <v>0</v>
      </c>
      <c r="U299" s="1124">
        <f t="shared" si="249"/>
        <v>0</v>
      </c>
      <c r="V299" s="1124">
        <f t="shared" si="249"/>
        <v>0</v>
      </c>
      <c r="W299" s="1124">
        <f t="shared" si="249"/>
        <v>0</v>
      </c>
      <c r="X299" s="1124">
        <f t="shared" si="249"/>
        <v>1000</v>
      </c>
      <c r="Y299" s="1124">
        <f t="shared" si="249"/>
        <v>1000</v>
      </c>
      <c r="Z299" s="1124">
        <f t="shared" si="249"/>
        <v>1000</v>
      </c>
      <c r="AA299" s="1124">
        <f t="shared" si="249"/>
        <v>1000</v>
      </c>
      <c r="AB299" s="1124">
        <f t="shared" si="249"/>
        <v>1000</v>
      </c>
      <c r="AC299" s="1124">
        <f t="shared" si="249"/>
        <v>1000</v>
      </c>
      <c r="AD299" s="1124">
        <f t="shared" si="249"/>
        <v>1000</v>
      </c>
      <c r="AE299" s="1124">
        <f t="shared" si="249"/>
        <v>1000</v>
      </c>
      <c r="AF299" s="1124">
        <f t="shared" si="249"/>
        <v>1000</v>
      </c>
      <c r="AG299" s="1124">
        <f t="shared" si="249"/>
        <v>1000</v>
      </c>
      <c r="AH299" s="1124">
        <f t="shared" si="249"/>
        <v>1000</v>
      </c>
      <c r="AI299" s="1124">
        <f t="shared" si="249"/>
        <v>1000</v>
      </c>
      <c r="AJ299" s="1124">
        <f t="shared" si="249"/>
        <v>0</v>
      </c>
      <c r="AK299" s="1124">
        <f t="shared" si="249"/>
        <v>0</v>
      </c>
      <c r="AL299" s="1124">
        <f t="shared" si="249"/>
        <v>0</v>
      </c>
      <c r="AM299" s="1124">
        <f t="shared" si="249"/>
        <v>0</v>
      </c>
      <c r="AN299" s="1124">
        <f t="shared" si="249"/>
        <v>0</v>
      </c>
      <c r="AO299" s="1124">
        <f t="shared" si="249"/>
        <v>0</v>
      </c>
      <c r="AP299" s="1124">
        <f t="shared" si="249"/>
        <v>0</v>
      </c>
      <c r="AQ299" s="1124">
        <f t="shared" si="249"/>
        <v>0</v>
      </c>
      <c r="AR299" s="1124">
        <f t="shared" si="249"/>
        <v>0</v>
      </c>
      <c r="AS299" s="1124">
        <f t="shared" si="249"/>
        <v>0</v>
      </c>
      <c r="AU299" s="29">
        <f>+Details!E299</f>
        <v>50800</v>
      </c>
      <c r="AV299" s="81">
        <f t="shared" si="237"/>
        <v>0</v>
      </c>
      <c r="AW299" s="191"/>
      <c r="AY299" s="31">
        <f>+Details!F299-Base!F299</f>
        <v>0</v>
      </c>
      <c r="AZ299" s="1124">
        <f>+Details!G299-Base!G299</f>
        <v>0</v>
      </c>
      <c r="BA299" s="1124">
        <f>+Details!H299-Base!H299</f>
        <v>0</v>
      </c>
      <c r="BB299" s="1124">
        <f>+Details!I299-Base!I299</f>
        <v>0</v>
      </c>
      <c r="BC299" s="1124">
        <f>+Details!J299-Base!J299</f>
        <v>0</v>
      </c>
      <c r="BD299" s="1124">
        <f>+Details!K299-Base!K299</f>
        <v>0</v>
      </c>
      <c r="BE299" s="1124">
        <f>+Details!L299-Base!L299</f>
        <v>0</v>
      </c>
      <c r="BF299" s="1124">
        <f>+Details!M299-Base!M299</f>
        <v>0</v>
      </c>
      <c r="BG299" s="1124">
        <f>+Details!N299-Base!N299</f>
        <v>0</v>
      </c>
      <c r="BH299" s="1124">
        <f>+Details!O299-Base!O299</f>
        <v>0</v>
      </c>
      <c r="BI299" s="1124">
        <f>+Details!P299-Base!P299</f>
        <v>0</v>
      </c>
      <c r="BJ299" s="1124">
        <f>+Details!Q299-Base!Q299</f>
        <v>0</v>
      </c>
      <c r="BK299" s="1124">
        <f>+Details!R299-Base!R299</f>
        <v>0</v>
      </c>
      <c r="BL299" s="1124">
        <f>+Details!S299-Base!S299</f>
        <v>0</v>
      </c>
      <c r="BM299" s="1124">
        <f>+Details!T299-Base!T299</f>
        <v>0</v>
      </c>
      <c r="BN299" s="1124">
        <f>+Details!U299-Base!U299</f>
        <v>0</v>
      </c>
      <c r="BO299" s="1124">
        <f>+Details!V299-Base!V299</f>
        <v>0</v>
      </c>
      <c r="BP299" s="1124">
        <f>+Details!W299-Base!W299</f>
        <v>0</v>
      </c>
      <c r="BQ299" s="1124">
        <f>+Details!X299-Base!X299</f>
        <v>0</v>
      </c>
      <c r="BR299" s="1124">
        <f>+Details!Y299-Base!Y299</f>
        <v>0</v>
      </c>
      <c r="BS299" s="1124">
        <f>+Details!Z299-Base!Z299</f>
        <v>0</v>
      </c>
      <c r="BT299" s="1124">
        <f>+Details!AA299-Base!AA299</f>
        <v>0</v>
      </c>
      <c r="BU299" s="1124">
        <f>+Details!AB299-Base!AB299</f>
        <v>0</v>
      </c>
      <c r="BV299" s="1124">
        <f>+Details!AC299-Base!AC299</f>
        <v>0</v>
      </c>
      <c r="BW299" s="1124">
        <f>+Details!AD299-Base!AD299</f>
        <v>0</v>
      </c>
      <c r="BX299" s="1124">
        <f>+Details!AE299-Base!AE299</f>
        <v>0</v>
      </c>
      <c r="BY299" s="1124">
        <f>+Details!AF299-Base!AF299</f>
        <v>0</v>
      </c>
      <c r="BZ299" s="1124">
        <f>+Details!AG299-Base!AG299</f>
        <v>0</v>
      </c>
      <c r="CA299" s="1124">
        <f>+Details!AH299-Base!AH299</f>
        <v>0</v>
      </c>
      <c r="CB299" s="1124">
        <f>+Details!AI299-Base!AI299</f>
        <v>0</v>
      </c>
      <c r="CC299" s="1124">
        <f>+Details!AJ299-Base!AJ299</f>
        <v>0</v>
      </c>
      <c r="CD299" s="1124">
        <f>+Details!AK299-Base!AK299</f>
        <v>0</v>
      </c>
      <c r="CE299" s="1124">
        <f>+Details!AL299-Base!AL299</f>
        <v>0</v>
      </c>
      <c r="CF299" s="1124">
        <f>+Details!AM299-Base!AM299</f>
        <v>0</v>
      </c>
      <c r="CG299" s="1124">
        <f>+Details!AN299-Base!AN299</f>
        <v>0</v>
      </c>
      <c r="CH299" s="1124">
        <f>+Details!AO299-Base!AO299</f>
        <v>0</v>
      </c>
      <c r="CI299" s="1124">
        <f>+Details!AP299-Base!AP299</f>
        <v>0</v>
      </c>
      <c r="CJ299" s="1124">
        <f>+Details!AQ299-Base!AQ299</f>
        <v>0</v>
      </c>
      <c r="CK299" s="1124">
        <f>+Details!AR299-Base!AR299</f>
        <v>0</v>
      </c>
      <c r="CL299" s="1124">
        <f>+Details!AS299-Base!AS299</f>
        <v>0</v>
      </c>
      <c r="CM299" s="81"/>
    </row>
    <row r="300" spans="1:91" hidden="1">
      <c r="A300" s="1432" t="s">
        <v>639</v>
      </c>
      <c r="B300" s="524" t="s">
        <v>1687</v>
      </c>
      <c r="C300" s="3"/>
      <c r="E300" s="65">
        <f t="shared" si="235"/>
        <v>0</v>
      </c>
      <c r="F300" s="31">
        <f>-F134</f>
        <v>0</v>
      </c>
      <c r="G300" s="1124">
        <f t="shared" ref="G300:AS300" si="250">-G134</f>
        <v>0</v>
      </c>
      <c r="H300" s="1124">
        <f t="shared" si="250"/>
        <v>0</v>
      </c>
      <c r="I300" s="1124">
        <f t="shared" si="250"/>
        <v>0</v>
      </c>
      <c r="J300" s="1124">
        <f t="shared" si="250"/>
        <v>0</v>
      </c>
      <c r="K300" s="1124">
        <f t="shared" si="250"/>
        <v>0</v>
      </c>
      <c r="L300" s="1124">
        <f t="shared" si="250"/>
        <v>0</v>
      </c>
      <c r="M300" s="1124">
        <f t="shared" si="250"/>
        <v>0</v>
      </c>
      <c r="N300" s="1124">
        <f t="shared" si="250"/>
        <v>0</v>
      </c>
      <c r="O300" s="1124">
        <f t="shared" si="250"/>
        <v>0</v>
      </c>
      <c r="P300" s="1124">
        <f t="shared" si="250"/>
        <v>0</v>
      </c>
      <c r="Q300" s="1124">
        <f t="shared" si="250"/>
        <v>0</v>
      </c>
      <c r="R300" s="1124">
        <f t="shared" si="250"/>
        <v>0</v>
      </c>
      <c r="S300" s="1124">
        <f t="shared" si="250"/>
        <v>0</v>
      </c>
      <c r="T300" s="1124">
        <f t="shared" si="250"/>
        <v>0</v>
      </c>
      <c r="U300" s="1124">
        <f t="shared" si="250"/>
        <v>0</v>
      </c>
      <c r="V300" s="1124">
        <f t="shared" si="250"/>
        <v>0</v>
      </c>
      <c r="W300" s="1124">
        <f t="shared" si="250"/>
        <v>0</v>
      </c>
      <c r="X300" s="1124">
        <f t="shared" si="250"/>
        <v>0</v>
      </c>
      <c r="Y300" s="1124">
        <f t="shared" si="250"/>
        <v>0</v>
      </c>
      <c r="Z300" s="1124">
        <f t="shared" si="250"/>
        <v>0</v>
      </c>
      <c r="AA300" s="1124">
        <f t="shared" si="250"/>
        <v>0</v>
      </c>
      <c r="AB300" s="1124">
        <f t="shared" si="250"/>
        <v>0</v>
      </c>
      <c r="AC300" s="1124">
        <f t="shared" si="250"/>
        <v>0</v>
      </c>
      <c r="AD300" s="1124">
        <f t="shared" si="250"/>
        <v>0</v>
      </c>
      <c r="AE300" s="1124">
        <f t="shared" si="250"/>
        <v>0</v>
      </c>
      <c r="AF300" s="1124">
        <f t="shared" si="250"/>
        <v>0</v>
      </c>
      <c r="AG300" s="1124">
        <f t="shared" si="250"/>
        <v>0</v>
      </c>
      <c r="AH300" s="1124">
        <f t="shared" si="250"/>
        <v>0</v>
      </c>
      <c r="AI300" s="1124">
        <f t="shared" si="250"/>
        <v>0</v>
      </c>
      <c r="AJ300" s="1124">
        <f t="shared" si="250"/>
        <v>0</v>
      </c>
      <c r="AK300" s="1124">
        <f t="shared" si="250"/>
        <v>0</v>
      </c>
      <c r="AL300" s="1124">
        <f t="shared" si="250"/>
        <v>0</v>
      </c>
      <c r="AM300" s="1124">
        <f t="shared" si="250"/>
        <v>0</v>
      </c>
      <c r="AN300" s="1124">
        <f t="shared" si="250"/>
        <v>0</v>
      </c>
      <c r="AO300" s="1124">
        <f t="shared" si="250"/>
        <v>0</v>
      </c>
      <c r="AP300" s="1124">
        <f t="shared" si="250"/>
        <v>0</v>
      </c>
      <c r="AQ300" s="1124">
        <f t="shared" si="250"/>
        <v>0</v>
      </c>
      <c r="AR300" s="1124">
        <f t="shared" si="250"/>
        <v>0</v>
      </c>
      <c r="AS300" s="1124">
        <f t="shared" si="250"/>
        <v>0</v>
      </c>
      <c r="AU300" s="29">
        <f>+Details!E300</f>
        <v>0</v>
      </c>
      <c r="AV300" s="81">
        <f t="shared" si="237"/>
        <v>0</v>
      </c>
      <c r="AW300" s="191"/>
      <c r="AY300" s="31">
        <f>+Details!F300-Base!F300</f>
        <v>0</v>
      </c>
      <c r="AZ300" s="1124">
        <f>+Details!G300-Base!G300</f>
        <v>0</v>
      </c>
      <c r="BA300" s="1124">
        <f>+Details!H300-Base!H300</f>
        <v>0</v>
      </c>
      <c r="BB300" s="1124">
        <f>+Details!I300-Base!I300</f>
        <v>0</v>
      </c>
      <c r="BC300" s="1124">
        <f>+Details!J300-Base!J300</f>
        <v>0</v>
      </c>
      <c r="BD300" s="1124">
        <f>+Details!K300-Base!K300</f>
        <v>0</v>
      </c>
      <c r="BE300" s="1124">
        <f>+Details!L300-Base!L300</f>
        <v>0</v>
      </c>
      <c r="BF300" s="1124">
        <f>+Details!M300-Base!M300</f>
        <v>0</v>
      </c>
      <c r="BG300" s="1124">
        <f>+Details!N300-Base!N300</f>
        <v>0</v>
      </c>
      <c r="BH300" s="1124">
        <f>+Details!O300-Base!O300</f>
        <v>0</v>
      </c>
      <c r="BI300" s="1124">
        <f>+Details!P300-Base!P300</f>
        <v>0</v>
      </c>
      <c r="BJ300" s="1124">
        <f>+Details!Q300-Base!Q300</f>
        <v>0</v>
      </c>
      <c r="BK300" s="1124">
        <f>+Details!R300-Base!R300</f>
        <v>0</v>
      </c>
      <c r="BL300" s="1124">
        <f>+Details!S300-Base!S300</f>
        <v>0</v>
      </c>
      <c r="BM300" s="1124">
        <f>+Details!T300-Base!T300</f>
        <v>0</v>
      </c>
      <c r="BN300" s="1124">
        <f>+Details!U300-Base!U300</f>
        <v>0</v>
      </c>
      <c r="BO300" s="1124">
        <f>+Details!V300-Base!V300</f>
        <v>0</v>
      </c>
      <c r="BP300" s="1124">
        <f>+Details!W300-Base!W300</f>
        <v>0</v>
      </c>
      <c r="BQ300" s="1124">
        <f>+Details!X300-Base!X300</f>
        <v>0</v>
      </c>
      <c r="BR300" s="1124">
        <f>+Details!Y300-Base!Y300</f>
        <v>0</v>
      </c>
      <c r="BS300" s="1124">
        <f>+Details!Z300-Base!Z300</f>
        <v>0</v>
      </c>
      <c r="BT300" s="1124">
        <f>+Details!AA300-Base!AA300</f>
        <v>0</v>
      </c>
      <c r="BU300" s="1124">
        <f>+Details!AB300-Base!AB300</f>
        <v>0</v>
      </c>
      <c r="BV300" s="1124">
        <f>+Details!AC300-Base!AC300</f>
        <v>0</v>
      </c>
      <c r="BW300" s="1124">
        <f>+Details!AD300-Base!AD300</f>
        <v>0</v>
      </c>
      <c r="BX300" s="1124">
        <f>+Details!AE300-Base!AE300</f>
        <v>0</v>
      </c>
      <c r="BY300" s="1124">
        <f>+Details!AF300-Base!AF300</f>
        <v>0</v>
      </c>
      <c r="BZ300" s="1124">
        <f>+Details!AG300-Base!AG300</f>
        <v>0</v>
      </c>
      <c r="CA300" s="1124">
        <f>+Details!AH300-Base!AH300</f>
        <v>0</v>
      </c>
      <c r="CB300" s="1124">
        <f>+Details!AI300-Base!AI300</f>
        <v>0</v>
      </c>
      <c r="CC300" s="1124">
        <f>+Details!AJ300-Base!AJ300</f>
        <v>0</v>
      </c>
      <c r="CD300" s="1124">
        <f>+Details!AK300-Base!AK300</f>
        <v>0</v>
      </c>
      <c r="CE300" s="1124">
        <f>+Details!AL300-Base!AL300</f>
        <v>0</v>
      </c>
      <c r="CF300" s="1124">
        <f>+Details!AM300-Base!AM300</f>
        <v>0</v>
      </c>
      <c r="CG300" s="1124">
        <f>+Details!AN300-Base!AN300</f>
        <v>0</v>
      </c>
      <c r="CH300" s="1124">
        <f>+Details!AO300-Base!AO300</f>
        <v>0</v>
      </c>
      <c r="CI300" s="1124">
        <f>+Details!AP300-Base!AP300</f>
        <v>0</v>
      </c>
      <c r="CJ300" s="1124">
        <f>+Details!AQ300-Base!AQ300</f>
        <v>0</v>
      </c>
      <c r="CK300" s="1124">
        <f>+Details!AR300-Base!AR300</f>
        <v>0</v>
      </c>
      <c r="CL300" s="1124">
        <f>+Details!AS300-Base!AS300</f>
        <v>0</v>
      </c>
      <c r="CM300" s="81"/>
    </row>
    <row r="301" spans="1:91" hidden="1">
      <c r="A301" s="1432" t="s">
        <v>639</v>
      </c>
      <c r="B301" s="633" t="s">
        <v>1319</v>
      </c>
      <c r="C301" s="3"/>
      <c r="E301" s="65">
        <f t="shared" si="235"/>
        <v>-3104300</v>
      </c>
      <c r="F301" s="31">
        <f>-F144</f>
        <v>-70000</v>
      </c>
      <c r="G301" s="1124">
        <f t="shared" ref="G301:AS301" si="251">-G144</f>
        <v>-71400</v>
      </c>
      <c r="H301" s="1124">
        <f t="shared" si="251"/>
        <v>-72800</v>
      </c>
      <c r="I301" s="1124">
        <f t="shared" si="251"/>
        <v>-74300</v>
      </c>
      <c r="J301" s="1124">
        <f t="shared" si="251"/>
        <v>-75800</v>
      </c>
      <c r="K301" s="1124">
        <f t="shared" si="251"/>
        <v>-77300</v>
      </c>
      <c r="L301" s="1124">
        <f t="shared" si="251"/>
        <v>-78800</v>
      </c>
      <c r="M301" s="1124">
        <f t="shared" si="251"/>
        <v>-80400</v>
      </c>
      <c r="N301" s="1124">
        <f t="shared" si="251"/>
        <v>-82000</v>
      </c>
      <c r="O301" s="1124">
        <f t="shared" si="251"/>
        <v>-83600</v>
      </c>
      <c r="P301" s="1124">
        <f t="shared" si="251"/>
        <v>-85300</v>
      </c>
      <c r="Q301" s="1124">
        <f t="shared" si="251"/>
        <v>-87000</v>
      </c>
      <c r="R301" s="1124">
        <f t="shared" si="251"/>
        <v>-88700</v>
      </c>
      <c r="S301" s="1124">
        <f t="shared" si="251"/>
        <v>-90500</v>
      </c>
      <c r="T301" s="1124">
        <f t="shared" si="251"/>
        <v>-92300</v>
      </c>
      <c r="U301" s="1124">
        <f t="shared" si="251"/>
        <v>-94100</v>
      </c>
      <c r="V301" s="1124">
        <f t="shared" si="251"/>
        <v>-96000</v>
      </c>
      <c r="W301" s="1124">
        <f t="shared" si="251"/>
        <v>-97900</v>
      </c>
      <c r="X301" s="1124">
        <f t="shared" si="251"/>
        <v>-119800</v>
      </c>
      <c r="Y301" s="1124">
        <f t="shared" si="251"/>
        <v>-122200</v>
      </c>
      <c r="Z301" s="1124">
        <f t="shared" si="251"/>
        <v>-124600</v>
      </c>
      <c r="AA301" s="1124">
        <f t="shared" si="251"/>
        <v>-127100</v>
      </c>
      <c r="AB301" s="1124">
        <f t="shared" si="251"/>
        <v>-129600</v>
      </c>
      <c r="AC301" s="1124">
        <f t="shared" si="251"/>
        <v>-132200</v>
      </c>
      <c r="AD301" s="1124">
        <f t="shared" si="251"/>
        <v>-134800</v>
      </c>
      <c r="AE301" s="1124">
        <f t="shared" si="251"/>
        <v>-137500</v>
      </c>
      <c r="AF301" s="1124">
        <f t="shared" si="251"/>
        <v>-140300</v>
      </c>
      <c r="AG301" s="1124">
        <f t="shared" si="251"/>
        <v>-143100</v>
      </c>
      <c r="AH301" s="1124">
        <f t="shared" si="251"/>
        <v>-146000</v>
      </c>
      <c r="AI301" s="1124">
        <f t="shared" si="251"/>
        <v>-148900</v>
      </c>
      <c r="AJ301" s="1124">
        <f t="shared" si="251"/>
        <v>0</v>
      </c>
      <c r="AK301" s="1124">
        <f t="shared" si="251"/>
        <v>0</v>
      </c>
      <c r="AL301" s="1124">
        <f t="shared" si="251"/>
        <v>0</v>
      </c>
      <c r="AM301" s="1124">
        <f t="shared" si="251"/>
        <v>0</v>
      </c>
      <c r="AN301" s="1124">
        <f t="shared" si="251"/>
        <v>0</v>
      </c>
      <c r="AO301" s="1124">
        <f t="shared" si="251"/>
        <v>0</v>
      </c>
      <c r="AP301" s="1124">
        <f t="shared" si="251"/>
        <v>0</v>
      </c>
      <c r="AQ301" s="1124">
        <f t="shared" si="251"/>
        <v>0</v>
      </c>
      <c r="AR301" s="1124">
        <f t="shared" si="251"/>
        <v>0</v>
      </c>
      <c r="AS301" s="1124">
        <f t="shared" si="251"/>
        <v>0</v>
      </c>
      <c r="AU301" s="29">
        <f>+Details!E301</f>
        <v>-3104300</v>
      </c>
      <c r="AV301" s="81">
        <f t="shared" si="237"/>
        <v>0</v>
      </c>
      <c r="AW301" s="191"/>
      <c r="AY301" s="31">
        <f>+Details!F301-Base!F301</f>
        <v>0</v>
      </c>
      <c r="AZ301" s="1124">
        <f>+Details!G301-Base!G301</f>
        <v>0</v>
      </c>
      <c r="BA301" s="1124">
        <f>+Details!H301-Base!H301</f>
        <v>0</v>
      </c>
      <c r="BB301" s="1124">
        <f>+Details!I301-Base!I301</f>
        <v>0</v>
      </c>
      <c r="BC301" s="1124">
        <f>+Details!J301-Base!J301</f>
        <v>0</v>
      </c>
      <c r="BD301" s="1124">
        <f>+Details!K301-Base!K301</f>
        <v>0</v>
      </c>
      <c r="BE301" s="1124">
        <f>+Details!L301-Base!L301</f>
        <v>0</v>
      </c>
      <c r="BF301" s="1124">
        <f>+Details!M301-Base!M301</f>
        <v>0</v>
      </c>
      <c r="BG301" s="1124">
        <f>+Details!N301-Base!N301</f>
        <v>0</v>
      </c>
      <c r="BH301" s="1124">
        <f>+Details!O301-Base!O301</f>
        <v>0</v>
      </c>
      <c r="BI301" s="1124">
        <f>+Details!P301-Base!P301</f>
        <v>0</v>
      </c>
      <c r="BJ301" s="1124">
        <f>+Details!Q301-Base!Q301</f>
        <v>0</v>
      </c>
      <c r="BK301" s="1124">
        <f>+Details!R301-Base!R301</f>
        <v>0</v>
      </c>
      <c r="BL301" s="1124">
        <f>+Details!S301-Base!S301</f>
        <v>0</v>
      </c>
      <c r="BM301" s="1124">
        <f>+Details!T301-Base!T301</f>
        <v>0</v>
      </c>
      <c r="BN301" s="1124">
        <f>+Details!U301-Base!U301</f>
        <v>0</v>
      </c>
      <c r="BO301" s="1124">
        <f>+Details!V301-Base!V301</f>
        <v>0</v>
      </c>
      <c r="BP301" s="1124">
        <f>+Details!W301-Base!W301</f>
        <v>0</v>
      </c>
      <c r="BQ301" s="1124">
        <f>+Details!X301-Base!X301</f>
        <v>0</v>
      </c>
      <c r="BR301" s="1124">
        <f>+Details!Y301-Base!Y301</f>
        <v>0</v>
      </c>
      <c r="BS301" s="1124">
        <f>+Details!Z301-Base!Z301</f>
        <v>0</v>
      </c>
      <c r="BT301" s="1124">
        <f>+Details!AA301-Base!AA301</f>
        <v>0</v>
      </c>
      <c r="BU301" s="1124">
        <f>+Details!AB301-Base!AB301</f>
        <v>0</v>
      </c>
      <c r="BV301" s="1124">
        <f>+Details!AC301-Base!AC301</f>
        <v>0</v>
      </c>
      <c r="BW301" s="1124">
        <f>+Details!AD301-Base!AD301</f>
        <v>0</v>
      </c>
      <c r="BX301" s="1124">
        <f>+Details!AE301-Base!AE301</f>
        <v>0</v>
      </c>
      <c r="BY301" s="1124">
        <f>+Details!AF301-Base!AF301</f>
        <v>0</v>
      </c>
      <c r="BZ301" s="1124">
        <f>+Details!AG301-Base!AG301</f>
        <v>0</v>
      </c>
      <c r="CA301" s="1124">
        <f>+Details!AH301-Base!AH301</f>
        <v>0</v>
      </c>
      <c r="CB301" s="1124">
        <f>+Details!AI301-Base!AI301</f>
        <v>0</v>
      </c>
      <c r="CC301" s="1124">
        <f>+Details!AJ301-Base!AJ301</f>
        <v>0</v>
      </c>
      <c r="CD301" s="1124">
        <f>+Details!AK301-Base!AK301</f>
        <v>0</v>
      </c>
      <c r="CE301" s="1124">
        <f>+Details!AL301-Base!AL301</f>
        <v>0</v>
      </c>
      <c r="CF301" s="1124">
        <f>+Details!AM301-Base!AM301</f>
        <v>0</v>
      </c>
      <c r="CG301" s="1124">
        <f>+Details!AN301-Base!AN301</f>
        <v>0</v>
      </c>
      <c r="CH301" s="1124">
        <f>+Details!AO301-Base!AO301</f>
        <v>0</v>
      </c>
      <c r="CI301" s="1124">
        <f>+Details!AP301-Base!AP301</f>
        <v>0</v>
      </c>
      <c r="CJ301" s="1124">
        <f>+Details!AQ301-Base!AQ301</f>
        <v>0</v>
      </c>
      <c r="CK301" s="1124">
        <f>+Details!AR301-Base!AR301</f>
        <v>0</v>
      </c>
      <c r="CL301" s="1124">
        <f>+Details!AS301-Base!AS301</f>
        <v>0</v>
      </c>
      <c r="CM301" s="81"/>
    </row>
    <row r="302" spans="1:91" hidden="1">
      <c r="A302" s="1432" t="s">
        <v>639</v>
      </c>
      <c r="B302" s="72" t="s">
        <v>1688</v>
      </c>
      <c r="C302" s="3"/>
      <c r="D302" s="504" t="s">
        <v>1534</v>
      </c>
      <c r="E302" s="635">
        <f t="shared" si="235"/>
        <v>-344100</v>
      </c>
      <c r="F302" s="38"/>
      <c r="G302" s="1125">
        <f>IF(Your_Age+Total_Years&lt;=Details!G$4,0,-F145)</f>
        <v>-5000</v>
      </c>
      <c r="H302" s="1125">
        <f>IF(Your_Age+Total_Years&lt;=Details!H$4,0,-G145)</f>
        <v>-7400</v>
      </c>
      <c r="I302" s="1125">
        <f>IF(Your_Age+Total_Years&lt;=Details!I$4,0,-H145)</f>
        <v>-5000</v>
      </c>
      <c r="J302" s="1125">
        <f>IF(Your_Age+Total_Years&lt;=Details!J$4,0,-I145)</f>
        <v>-5100</v>
      </c>
      <c r="K302" s="1125">
        <f>IF(Your_Age+Total_Years&lt;=Details!K$4,0,-J145)</f>
        <v>-5200</v>
      </c>
      <c r="L302" s="1125">
        <f>IF(Your_Age+Total_Years&lt;=Details!L$4,0,-K145)</f>
        <v>-7600</v>
      </c>
      <c r="M302" s="1125">
        <f>IF(Your_Age+Total_Years&lt;=Details!M$4,0,-L145)</f>
        <v>-7600</v>
      </c>
      <c r="N302" s="1125">
        <f>IF(Your_Age+Total_Years&lt;=Details!N$4,0,-M145)</f>
        <v>-9100</v>
      </c>
      <c r="O302" s="1125">
        <f>IF(Your_Age+Total_Years&lt;=Details!O$4,0,-N145)</f>
        <v>-4700</v>
      </c>
      <c r="P302" s="1125">
        <f>IF(Your_Age+Total_Years&lt;=Details!P$4,0,-O145)</f>
        <v>-4800</v>
      </c>
      <c r="Q302" s="1125">
        <f>IF(Your_Age+Total_Years&lt;=Details!Q$4,0,-P145)</f>
        <v>-4900</v>
      </c>
      <c r="R302" s="1125">
        <f>IF(Your_Age+Total_Years&lt;=Details!R$4,0,-Q145)</f>
        <v>-5300</v>
      </c>
      <c r="S302" s="1125">
        <f>IF(Your_Age+Total_Years&lt;=Details!S$4,0,-R145)</f>
        <v>-6800</v>
      </c>
      <c r="T302" s="1125">
        <f>IF(Your_Age+Total_Years&lt;=Details!T$4,0,-S145)</f>
        <v>-7300</v>
      </c>
      <c r="U302" s="1125">
        <f>IF(Your_Age+Total_Years&lt;=Details!U$4,0,-T145)</f>
        <v>-10700</v>
      </c>
      <c r="V302" s="1125">
        <f>IF(Your_Age+Total_Years&lt;=Details!V$4,0,-U145)</f>
        <v>-12600</v>
      </c>
      <c r="W302" s="1125">
        <f>IF(Your_Age+Total_Years&lt;=Details!W$4,0,-V145)</f>
        <v>-12300</v>
      </c>
      <c r="X302" s="1125">
        <f>IF(Your_Age+Total_Years&lt;=Details!X$4,0,-W145)</f>
        <v>-12700</v>
      </c>
      <c r="Y302" s="1125">
        <f>IF(Your_Age+Total_Years&lt;=Details!Y$4,0,-X145)</f>
        <v>-11700</v>
      </c>
      <c r="Z302" s="1125">
        <f>IF(Your_Age+Total_Years&lt;=Details!Z$4,0,-Y145)</f>
        <v>-11900</v>
      </c>
      <c r="AA302" s="1125">
        <f>IF(Your_Age+Total_Years&lt;=Details!AA$4,0,-Z145)</f>
        <v>-12400</v>
      </c>
      <c r="AB302" s="1125">
        <f>IF(Your_Age+Total_Years&lt;=Details!AB$4,0,-AA145)</f>
        <v>-13100</v>
      </c>
      <c r="AC302" s="1125">
        <f>IF(Your_Age+Total_Years&lt;=Details!AC$4,0,-AB145)</f>
        <v>-17900</v>
      </c>
      <c r="AD302" s="1125">
        <f>IF(Your_Age+Total_Years&lt;=Details!AD$4,0,-AC145)</f>
        <v>-19600</v>
      </c>
      <c r="AE302" s="1125">
        <f>IF(Your_Age+Total_Years&lt;=Details!AE$4,0,-AD145)</f>
        <v>-24500</v>
      </c>
      <c r="AF302" s="1125">
        <f>IF(Your_Age+Total_Years&lt;=Details!AF$4,0,-AE145)</f>
        <v>-25500</v>
      </c>
      <c r="AG302" s="1125">
        <f>IF(Your_Age+Total_Years&lt;=Details!AG$4,0,-AF145)</f>
        <v>-25900</v>
      </c>
      <c r="AH302" s="1125">
        <f>IF(Your_Age+Total_Years&lt;=Details!AH$4,0,-AG145)</f>
        <v>-23800</v>
      </c>
      <c r="AI302" s="1125">
        <f>IF(Your_Age+Total_Years&lt;=Details!AI$4,0,-AH145)</f>
        <v>-23700</v>
      </c>
      <c r="AJ302" s="1125">
        <f>IF(Your_Age+Total_Years&lt;=Details!AJ$4,0,-AI145)</f>
        <v>0</v>
      </c>
      <c r="AK302" s="1125">
        <f>IF(Your_Age+Total_Years&lt;=Details!AK$4,0,-AJ145)</f>
        <v>0</v>
      </c>
      <c r="AL302" s="1125">
        <f>IF(Your_Age+Total_Years&lt;=Details!AL$4,0,-AK145)</f>
        <v>0</v>
      </c>
      <c r="AM302" s="1125">
        <f>IF(Your_Age+Total_Years&lt;=Details!AM$4,0,-AL145)</f>
        <v>0</v>
      </c>
      <c r="AN302" s="1125">
        <f>IF(Your_Age+Total_Years&lt;=Details!AN$4,0,-AM145)</f>
        <v>0</v>
      </c>
      <c r="AO302" s="1125">
        <f>IF(Your_Age+Total_Years&lt;=Details!AO$4,0,-AN145)</f>
        <v>0</v>
      </c>
      <c r="AP302" s="1125">
        <f>IF(Your_Age+Total_Years&lt;=Details!AP$4,0,-AO145)</f>
        <v>0</v>
      </c>
      <c r="AQ302" s="1125">
        <f>IF(Your_Age+Total_Years&lt;=Details!AQ$4,0,-AP145)</f>
        <v>0</v>
      </c>
      <c r="AR302" s="1125">
        <f>IF(Your_Age+Total_Years&lt;=Details!AR$4,0,-AQ145)</f>
        <v>0</v>
      </c>
      <c r="AS302" s="1125">
        <f>IF(Your_Age+Total_Years&lt;=Details!AS$4,0,-AR145)</f>
        <v>0</v>
      </c>
      <c r="AU302" s="34">
        <f>+Details!E302</f>
        <v>-344100</v>
      </c>
      <c r="AV302" s="83">
        <f t="shared" si="237"/>
        <v>0</v>
      </c>
      <c r="AW302" s="191"/>
      <c r="AY302" s="38">
        <f>+Details!F302-Base!F302</f>
        <v>0</v>
      </c>
      <c r="AZ302" s="1125">
        <f>+Details!G302-Base!G302</f>
        <v>0</v>
      </c>
      <c r="BA302" s="1125">
        <f>+Details!H302-Base!H302</f>
        <v>0</v>
      </c>
      <c r="BB302" s="1125">
        <f>+Details!I302-Base!I302</f>
        <v>0</v>
      </c>
      <c r="BC302" s="1125">
        <f>+Details!J302-Base!J302</f>
        <v>0</v>
      </c>
      <c r="BD302" s="1125">
        <f>+Details!K302-Base!K302</f>
        <v>0</v>
      </c>
      <c r="BE302" s="1125">
        <f>+Details!L302-Base!L302</f>
        <v>0</v>
      </c>
      <c r="BF302" s="1125">
        <f>+Details!M302-Base!M302</f>
        <v>0</v>
      </c>
      <c r="BG302" s="1125">
        <f>+Details!N302-Base!N302</f>
        <v>0</v>
      </c>
      <c r="BH302" s="1125">
        <f>+Details!O302-Base!O302</f>
        <v>0</v>
      </c>
      <c r="BI302" s="1125">
        <f>+Details!P302-Base!P302</f>
        <v>0</v>
      </c>
      <c r="BJ302" s="1125">
        <f>+Details!Q302-Base!Q302</f>
        <v>0</v>
      </c>
      <c r="BK302" s="1125">
        <f>+Details!R302-Base!R302</f>
        <v>0</v>
      </c>
      <c r="BL302" s="1125">
        <f>+Details!S302-Base!S302</f>
        <v>0</v>
      </c>
      <c r="BM302" s="1125">
        <f>+Details!T302-Base!T302</f>
        <v>0</v>
      </c>
      <c r="BN302" s="1125">
        <f>+Details!U302-Base!U302</f>
        <v>0</v>
      </c>
      <c r="BO302" s="1125">
        <f>+Details!V302-Base!V302</f>
        <v>0</v>
      </c>
      <c r="BP302" s="1125">
        <f>+Details!W302-Base!W302</f>
        <v>0</v>
      </c>
      <c r="BQ302" s="1125">
        <f>+Details!X302-Base!X302</f>
        <v>0</v>
      </c>
      <c r="BR302" s="1125">
        <f>+Details!Y302-Base!Y302</f>
        <v>0</v>
      </c>
      <c r="BS302" s="1125">
        <f>+Details!Z302-Base!Z302</f>
        <v>0</v>
      </c>
      <c r="BT302" s="1125">
        <f>+Details!AA302-Base!AA302</f>
        <v>0</v>
      </c>
      <c r="BU302" s="1125">
        <f>+Details!AB302-Base!AB302</f>
        <v>0</v>
      </c>
      <c r="BV302" s="1125">
        <f>+Details!AC302-Base!AC302</f>
        <v>0</v>
      </c>
      <c r="BW302" s="1125">
        <f>+Details!AD302-Base!AD302</f>
        <v>0</v>
      </c>
      <c r="BX302" s="1125">
        <f>+Details!AE302-Base!AE302</f>
        <v>0</v>
      </c>
      <c r="BY302" s="1125">
        <f>+Details!AF302-Base!AF302</f>
        <v>0</v>
      </c>
      <c r="BZ302" s="1125">
        <f>+Details!AG302-Base!AG302</f>
        <v>0</v>
      </c>
      <c r="CA302" s="1125">
        <f>+Details!AH302-Base!AH302</f>
        <v>0</v>
      </c>
      <c r="CB302" s="1125">
        <f>+Details!AI302-Base!AI302</f>
        <v>0</v>
      </c>
      <c r="CC302" s="1125">
        <f>+Details!AJ302-Base!AJ302</f>
        <v>0</v>
      </c>
      <c r="CD302" s="1125">
        <f>+Details!AK302-Base!AK302</f>
        <v>0</v>
      </c>
      <c r="CE302" s="1125">
        <f>+Details!AL302-Base!AL302</f>
        <v>0</v>
      </c>
      <c r="CF302" s="1125">
        <f>+Details!AM302-Base!AM302</f>
        <v>0</v>
      </c>
      <c r="CG302" s="1125">
        <f>+Details!AN302-Base!AN302</f>
        <v>0</v>
      </c>
      <c r="CH302" s="1125">
        <f>+Details!AO302-Base!AO302</f>
        <v>0</v>
      </c>
      <c r="CI302" s="1125">
        <f>+Details!AP302-Base!AP302</f>
        <v>0</v>
      </c>
      <c r="CJ302" s="1125">
        <f>+Details!AQ302-Base!AQ302</f>
        <v>0</v>
      </c>
      <c r="CK302" s="1125">
        <f>+Details!AR302-Base!AR302</f>
        <v>0</v>
      </c>
      <c r="CL302" s="1125">
        <f>+Details!AS302-Base!AS302</f>
        <v>0</v>
      </c>
      <c r="CM302" s="103"/>
    </row>
    <row r="303" spans="1:91" hidden="1">
      <c r="A303" s="1432" t="s">
        <v>639</v>
      </c>
      <c r="B303" s="234" t="s">
        <v>1689</v>
      </c>
      <c r="C303" s="3"/>
      <c r="D303" s="29">
        <f>IF(Your_Age+Total_Years&lt;=Base!D$5,0,+D28+D61+D70+D85-D91-#REF!-#REF!-#REF!-D112-D115-D123-D134-D144-C145)</f>
        <v>0</v>
      </c>
      <c r="E303" s="65">
        <f>SUM(F303:AS303)</f>
        <v>1225100</v>
      </c>
      <c r="F303" s="65">
        <f t="shared" ref="F303:AS303" si="252">SUM(F287:F302)</f>
        <v>-6700</v>
      </c>
      <c r="G303" s="1124">
        <f t="shared" si="252"/>
        <v>3400</v>
      </c>
      <c r="H303" s="1124">
        <f t="shared" si="252"/>
        <v>-14000</v>
      </c>
      <c r="I303" s="1124">
        <f t="shared" si="252"/>
        <v>-11700</v>
      </c>
      <c r="J303" s="1124">
        <f t="shared" si="252"/>
        <v>-12000</v>
      </c>
      <c r="K303" s="1124">
        <f t="shared" si="252"/>
        <v>10700</v>
      </c>
      <c r="L303" s="1124">
        <f t="shared" si="252"/>
        <v>9800</v>
      </c>
      <c r="M303" s="1124">
        <f t="shared" si="252"/>
        <v>11400</v>
      </c>
      <c r="N303" s="1124">
        <f t="shared" si="252"/>
        <v>22600</v>
      </c>
      <c r="O303" s="1124">
        <f t="shared" si="252"/>
        <v>35400</v>
      </c>
      <c r="P303" s="1124">
        <f t="shared" si="252"/>
        <v>-43800</v>
      </c>
      <c r="Q303" s="1124">
        <f t="shared" si="252"/>
        <v>78300</v>
      </c>
      <c r="R303" s="1124">
        <f t="shared" si="252"/>
        <v>26100</v>
      </c>
      <c r="S303" s="1124">
        <f t="shared" si="252"/>
        <v>48300</v>
      </c>
      <c r="T303" s="1124">
        <f t="shared" si="252"/>
        <v>-48800</v>
      </c>
      <c r="U303" s="1124">
        <f t="shared" si="252"/>
        <v>116200</v>
      </c>
      <c r="V303" s="1124">
        <f t="shared" si="252"/>
        <v>46800</v>
      </c>
      <c r="W303" s="1124">
        <f t="shared" si="252"/>
        <v>52100</v>
      </c>
      <c r="X303" s="1124">
        <f t="shared" si="252"/>
        <v>23300</v>
      </c>
      <c r="Y303" s="1124">
        <f t="shared" si="252"/>
        <v>26000</v>
      </c>
      <c r="Z303" s="1124">
        <f t="shared" si="252"/>
        <v>29200</v>
      </c>
      <c r="AA303" s="1124">
        <f t="shared" si="252"/>
        <v>32500</v>
      </c>
      <c r="AB303" s="1124">
        <f t="shared" si="252"/>
        <v>443800</v>
      </c>
      <c r="AC303" s="1124">
        <f t="shared" si="252"/>
        <v>56200</v>
      </c>
      <c r="AD303" s="1124">
        <f t="shared" si="252"/>
        <v>134000</v>
      </c>
      <c r="AE303" s="1124">
        <f t="shared" si="252"/>
        <v>34300</v>
      </c>
      <c r="AF303" s="1124">
        <f t="shared" si="252"/>
        <v>34800</v>
      </c>
      <c r="AG303" s="1124">
        <f t="shared" si="252"/>
        <v>27100</v>
      </c>
      <c r="AH303" s="1124">
        <f t="shared" si="252"/>
        <v>29100</v>
      </c>
      <c r="AI303" s="1124">
        <f t="shared" si="252"/>
        <v>30700</v>
      </c>
      <c r="AJ303" s="1124">
        <f t="shared" si="252"/>
        <v>0</v>
      </c>
      <c r="AK303" s="1124">
        <f t="shared" si="252"/>
        <v>0</v>
      </c>
      <c r="AL303" s="1124">
        <f t="shared" si="252"/>
        <v>0</v>
      </c>
      <c r="AM303" s="1124">
        <f t="shared" si="252"/>
        <v>0</v>
      </c>
      <c r="AN303" s="1124">
        <f t="shared" si="252"/>
        <v>0</v>
      </c>
      <c r="AO303" s="1124">
        <f t="shared" si="252"/>
        <v>0</v>
      </c>
      <c r="AP303" s="1124">
        <f t="shared" si="252"/>
        <v>0</v>
      </c>
      <c r="AQ303" s="1124">
        <f t="shared" si="252"/>
        <v>0</v>
      </c>
      <c r="AR303" s="1124">
        <f t="shared" si="252"/>
        <v>0</v>
      </c>
      <c r="AS303" s="1124">
        <f t="shared" si="252"/>
        <v>0</v>
      </c>
      <c r="AT303" s="3"/>
      <c r="AU303" s="29">
        <f>+Details!E303</f>
        <v>1225100</v>
      </c>
      <c r="AV303" s="81">
        <f>+E303-AU303</f>
        <v>0</v>
      </c>
      <c r="AW303" s="191"/>
      <c r="AY303" s="31">
        <f>+Details!F303-Base!F303</f>
        <v>0</v>
      </c>
      <c r="AZ303" s="1124">
        <f>+Details!G303-Base!G303</f>
        <v>0</v>
      </c>
      <c r="BA303" s="1124">
        <f>+Details!H303-Base!H303</f>
        <v>0</v>
      </c>
      <c r="BB303" s="1124">
        <f>+Details!I303-Base!I303</f>
        <v>0</v>
      </c>
      <c r="BC303" s="1124">
        <f>+Details!J303-Base!J303</f>
        <v>0</v>
      </c>
      <c r="BD303" s="1124">
        <f>+Details!K303-Base!K303</f>
        <v>0</v>
      </c>
      <c r="BE303" s="1124">
        <f>+Details!L303-Base!L303</f>
        <v>0</v>
      </c>
      <c r="BF303" s="1124">
        <f>+Details!M303-Base!M303</f>
        <v>0</v>
      </c>
      <c r="BG303" s="1124">
        <f>+Details!N303-Base!N303</f>
        <v>0</v>
      </c>
      <c r="BH303" s="1124">
        <f>+Details!O303-Base!O303</f>
        <v>0</v>
      </c>
      <c r="BI303" s="1124">
        <f>+Details!P303-Base!P303</f>
        <v>0</v>
      </c>
      <c r="BJ303" s="1124">
        <f>+Details!Q303-Base!Q303</f>
        <v>0</v>
      </c>
      <c r="BK303" s="1124">
        <f>+Details!R303-Base!R303</f>
        <v>0</v>
      </c>
      <c r="BL303" s="1124">
        <f>+Details!S303-Base!S303</f>
        <v>0</v>
      </c>
      <c r="BM303" s="1124">
        <f>+Details!T303-Base!T303</f>
        <v>0</v>
      </c>
      <c r="BN303" s="1124">
        <f>+Details!U303-Base!U303</f>
        <v>0</v>
      </c>
      <c r="BO303" s="1124">
        <f>+Details!V303-Base!V303</f>
        <v>0</v>
      </c>
      <c r="BP303" s="1124">
        <f>+Details!W303-Base!W303</f>
        <v>0</v>
      </c>
      <c r="BQ303" s="1124">
        <f>+Details!X303-Base!X303</f>
        <v>0</v>
      </c>
      <c r="BR303" s="1124">
        <f>+Details!Y303-Base!Y303</f>
        <v>0</v>
      </c>
      <c r="BS303" s="1124">
        <f>+Details!Z303-Base!Z303</f>
        <v>0</v>
      </c>
      <c r="BT303" s="1124">
        <f>+Details!AA303-Base!AA303</f>
        <v>0</v>
      </c>
      <c r="BU303" s="1124">
        <f>+Details!AB303-Base!AB303</f>
        <v>0</v>
      </c>
      <c r="BV303" s="1124">
        <f>+Details!AC303-Base!AC303</f>
        <v>0</v>
      </c>
      <c r="BW303" s="1124">
        <f>+Details!AD303-Base!AD303</f>
        <v>0</v>
      </c>
      <c r="BX303" s="1124">
        <f>+Details!AE303-Base!AE303</f>
        <v>0</v>
      </c>
      <c r="BY303" s="1124">
        <f>+Details!AF303-Base!AF303</f>
        <v>0</v>
      </c>
      <c r="BZ303" s="1124">
        <f>+Details!AG303-Base!AG303</f>
        <v>0</v>
      </c>
      <c r="CA303" s="1124">
        <f>+Details!AH303-Base!AH303</f>
        <v>0</v>
      </c>
      <c r="CB303" s="1124">
        <f>+Details!AI303-Base!AI303</f>
        <v>0</v>
      </c>
      <c r="CC303" s="1124">
        <f>+Details!AJ303-Base!AJ303</f>
        <v>0</v>
      </c>
      <c r="CD303" s="1124">
        <f>+Details!AK303-Base!AK303</f>
        <v>0</v>
      </c>
      <c r="CE303" s="1124">
        <f>+Details!AL303-Base!AL303</f>
        <v>0</v>
      </c>
      <c r="CF303" s="1124">
        <f>+Details!AM303-Base!AM303</f>
        <v>0</v>
      </c>
      <c r="CG303" s="1124">
        <f>+Details!AN303-Base!AN303</f>
        <v>0</v>
      </c>
      <c r="CH303" s="1124">
        <f>+Details!AO303-Base!AO303</f>
        <v>0</v>
      </c>
      <c r="CI303" s="1124">
        <f>+Details!AP303-Base!AP303</f>
        <v>0</v>
      </c>
      <c r="CJ303" s="1124">
        <f>+Details!AQ303-Base!AQ303</f>
        <v>0</v>
      </c>
      <c r="CK303" s="1124">
        <f>+Details!AR303-Base!AR303</f>
        <v>0</v>
      </c>
      <c r="CL303" s="1124">
        <f>+Details!AS303-Base!AS303</f>
        <v>0</v>
      </c>
      <c r="CM303" s="81"/>
    </row>
    <row r="304" spans="1:91" hidden="1">
      <c r="A304" s="1432" t="s">
        <v>639</v>
      </c>
      <c r="B304" s="72"/>
      <c r="C304" s="3"/>
      <c r="E304" s="97"/>
      <c r="F304" s="31"/>
      <c r="G304" s="31"/>
      <c r="H304" s="31"/>
      <c r="I304" s="31"/>
      <c r="J304" s="31"/>
      <c r="K304" s="31"/>
      <c r="L304" s="31"/>
      <c r="M304" s="31"/>
      <c r="N304" s="31"/>
      <c r="O304" s="31"/>
      <c r="P304" s="31"/>
      <c r="Q304" s="31"/>
      <c r="R304" s="31"/>
      <c r="S304" s="31"/>
      <c r="T304" s="31"/>
      <c r="U304" s="31"/>
      <c r="V304" s="31"/>
      <c r="W304" s="31"/>
      <c r="X304" s="31"/>
      <c r="Y304" s="31"/>
      <c r="Z304" s="31"/>
      <c r="AA304" s="31"/>
      <c r="AB304" s="31"/>
      <c r="AC304" s="31"/>
      <c r="AD304" s="31"/>
      <c r="AE304" s="31"/>
      <c r="AF304" s="31"/>
      <c r="AG304" s="31"/>
      <c r="AH304" s="31"/>
      <c r="AI304" s="31"/>
      <c r="AJ304" s="31"/>
      <c r="AK304" s="31"/>
      <c r="AL304" s="31"/>
      <c r="AM304" s="31"/>
      <c r="AN304" s="31"/>
      <c r="AO304" s="31"/>
      <c r="AP304" s="31"/>
      <c r="AQ304" s="31"/>
      <c r="AR304" s="31"/>
      <c r="AS304" s="31"/>
      <c r="AU304" s="97"/>
      <c r="AV304" s="81"/>
      <c r="AW304" s="562"/>
      <c r="AY304" s="31"/>
      <c r="AZ304" s="31"/>
      <c r="BA304" s="31"/>
      <c r="BB304" s="31"/>
      <c r="BC304" s="31"/>
      <c r="BD304" s="31"/>
      <c r="BE304" s="31"/>
      <c r="BF304" s="31"/>
      <c r="BG304" s="31"/>
      <c r="BH304" s="31"/>
      <c r="BI304" s="31"/>
      <c r="BJ304" s="31"/>
      <c r="BK304" s="31"/>
      <c r="BL304" s="31"/>
      <c r="BM304" s="31"/>
      <c r="BN304" s="31"/>
      <c r="BO304" s="31"/>
      <c r="BP304" s="31"/>
      <c r="BQ304" s="31"/>
      <c r="BR304" s="31"/>
      <c r="BS304" s="31"/>
      <c r="BT304" s="31"/>
      <c r="BU304" s="31"/>
      <c r="BV304" s="31"/>
      <c r="BW304" s="31"/>
      <c r="BX304" s="31"/>
      <c r="BY304" s="31"/>
      <c r="BZ304" s="31"/>
      <c r="CA304" s="31"/>
      <c r="CB304" s="31"/>
      <c r="CC304" s="31"/>
      <c r="CD304" s="31"/>
      <c r="CE304" s="31"/>
      <c r="CF304" s="31"/>
      <c r="CG304" s="31"/>
      <c r="CH304" s="31"/>
      <c r="CI304" s="31"/>
      <c r="CJ304" s="31"/>
      <c r="CK304" s="31"/>
      <c r="CL304" s="31"/>
      <c r="CM304" s="81"/>
    </row>
    <row r="305" spans="1:91" ht="15.6" hidden="1">
      <c r="A305" s="1432" t="s">
        <v>639</v>
      </c>
      <c r="B305" s="25" t="s">
        <v>747</v>
      </c>
      <c r="C305" s="632"/>
      <c r="D305" s="139"/>
      <c r="E305" s="98"/>
      <c r="F305" s="31"/>
      <c r="G305" s="31"/>
      <c r="H305" s="31"/>
      <c r="I305" s="31"/>
      <c r="J305" s="31"/>
      <c r="K305" s="31"/>
      <c r="L305" s="31"/>
      <c r="M305" s="31"/>
      <c r="N305" s="31"/>
      <c r="O305" s="31"/>
      <c r="P305" s="31"/>
      <c r="Q305" s="31"/>
      <c r="R305" s="31"/>
      <c r="S305" s="31"/>
      <c r="T305" s="31"/>
      <c r="U305" s="31"/>
      <c r="V305" s="31"/>
      <c r="W305" s="31"/>
      <c r="X305" s="31"/>
      <c r="Y305" s="31"/>
      <c r="Z305" s="31"/>
      <c r="AA305" s="31"/>
      <c r="AB305" s="31"/>
      <c r="AC305" s="31"/>
      <c r="AD305" s="31"/>
      <c r="AE305" s="31"/>
      <c r="AF305" s="31"/>
      <c r="AG305" s="31"/>
      <c r="AH305" s="31"/>
      <c r="AI305" s="31"/>
      <c r="AJ305" s="31"/>
      <c r="AK305" s="31"/>
      <c r="AL305" s="31"/>
      <c r="AM305" s="31"/>
      <c r="AN305" s="31"/>
      <c r="AO305" s="31"/>
      <c r="AP305" s="31"/>
      <c r="AQ305" s="31"/>
      <c r="AR305" s="31"/>
      <c r="AS305" s="31"/>
      <c r="AU305" s="97"/>
      <c r="AV305" s="81"/>
      <c r="AW305" s="562"/>
      <c r="AZ305" s="31" t="s">
        <v>494</v>
      </c>
      <c r="BA305" s="31"/>
      <c r="BB305" s="31"/>
      <c r="BC305" s="31"/>
      <c r="BD305" s="31"/>
      <c r="BE305" s="31"/>
      <c r="BF305" s="31"/>
      <c r="BG305" s="31"/>
      <c r="BH305" s="31"/>
      <c r="BI305" s="31"/>
      <c r="BJ305" s="31"/>
      <c r="BK305" s="31"/>
      <c r="BL305" s="31"/>
      <c r="BM305" s="31"/>
      <c r="BN305" s="31"/>
      <c r="BO305" s="31"/>
      <c r="BP305" s="31"/>
      <c r="BQ305" s="31"/>
      <c r="BR305" s="31"/>
      <c r="BS305" s="31"/>
      <c r="BT305" s="31"/>
      <c r="BU305" s="31"/>
      <c r="BV305" s="31"/>
      <c r="BW305" s="31"/>
      <c r="BX305" s="31"/>
      <c r="BY305" s="31"/>
      <c r="BZ305" s="31"/>
      <c r="CA305" s="31"/>
      <c r="CB305" s="31"/>
      <c r="CC305" s="31"/>
      <c r="CD305" s="31"/>
      <c r="CE305" s="31"/>
      <c r="CF305" s="31"/>
      <c r="CG305" s="31"/>
      <c r="CH305" s="31"/>
      <c r="CI305" s="31"/>
      <c r="CJ305" s="31"/>
      <c r="CK305" s="31"/>
      <c r="CL305" s="31"/>
      <c r="CM305" s="81"/>
    </row>
    <row r="306" spans="1:91" ht="15.6" hidden="1">
      <c r="A306" s="1432" t="s">
        <v>639</v>
      </c>
      <c r="B306" s="72" t="s">
        <v>155</v>
      </c>
      <c r="C306" s="1443" t="s">
        <v>2237</v>
      </c>
      <c r="E306" s="97"/>
      <c r="F306" s="1292">
        <f>+F9</f>
        <v>500000</v>
      </c>
      <c r="G306" s="1124">
        <f t="shared" ref="G306:AS306" si="253">+F321*IF(G$7-$F7&lt;=Total_Years-1,1,0)</f>
        <v>491200</v>
      </c>
      <c r="H306" s="1124">
        <f t="shared" si="253"/>
        <v>480600</v>
      </c>
      <c r="I306" s="1124">
        <f t="shared" si="253"/>
        <v>468100</v>
      </c>
      <c r="J306" s="1124">
        <f t="shared" si="253"/>
        <v>453400</v>
      </c>
      <c r="K306" s="1124">
        <f t="shared" si="253"/>
        <v>436400</v>
      </c>
      <c r="L306" s="1124">
        <f t="shared" si="253"/>
        <v>416900</v>
      </c>
      <c r="M306" s="1124">
        <f t="shared" si="253"/>
        <v>394600</v>
      </c>
      <c r="N306" s="1124">
        <f t="shared" si="253"/>
        <v>369500</v>
      </c>
      <c r="O306" s="1124">
        <f t="shared" si="253"/>
        <v>383200</v>
      </c>
      <c r="P306" s="1124">
        <f t="shared" si="253"/>
        <v>383800</v>
      </c>
      <c r="Q306" s="1124">
        <f t="shared" si="253"/>
        <v>384900</v>
      </c>
      <c r="R306" s="1124">
        <f t="shared" si="253"/>
        <v>386300</v>
      </c>
      <c r="S306" s="1124">
        <f t="shared" si="253"/>
        <v>387900</v>
      </c>
      <c r="T306" s="1124">
        <f t="shared" si="253"/>
        <v>389600</v>
      </c>
      <c r="U306" s="1124">
        <f t="shared" si="253"/>
        <v>396600</v>
      </c>
      <c r="V306" s="1124">
        <f t="shared" si="253"/>
        <v>403100</v>
      </c>
      <c r="W306" s="1124">
        <f t="shared" si="253"/>
        <v>408800</v>
      </c>
      <c r="X306" s="1124">
        <f t="shared" si="253"/>
        <v>413700</v>
      </c>
      <c r="Y306" s="1124">
        <f t="shared" si="253"/>
        <v>414100</v>
      </c>
      <c r="Z306" s="1124">
        <f t="shared" si="253"/>
        <v>413500</v>
      </c>
      <c r="AA306" s="1124">
        <f t="shared" si="253"/>
        <v>411800</v>
      </c>
      <c r="AB306" s="1124">
        <f t="shared" si="253"/>
        <v>408900</v>
      </c>
      <c r="AC306" s="1124">
        <f t="shared" si="253"/>
        <v>404700</v>
      </c>
      <c r="AD306" s="1124">
        <f t="shared" si="253"/>
        <v>399300</v>
      </c>
      <c r="AE306" s="1124">
        <f t="shared" si="253"/>
        <v>392600</v>
      </c>
      <c r="AF306" s="1124">
        <f t="shared" si="253"/>
        <v>384500</v>
      </c>
      <c r="AG306" s="1124">
        <f t="shared" si="253"/>
        <v>374900</v>
      </c>
      <c r="AH306" s="1124">
        <f t="shared" si="253"/>
        <v>363800</v>
      </c>
      <c r="AI306" s="1124">
        <f t="shared" si="253"/>
        <v>351400</v>
      </c>
      <c r="AJ306" s="1124">
        <f t="shared" si="253"/>
        <v>0</v>
      </c>
      <c r="AK306" s="1124">
        <f t="shared" si="253"/>
        <v>0</v>
      </c>
      <c r="AL306" s="1124">
        <f t="shared" si="253"/>
        <v>0</v>
      </c>
      <c r="AM306" s="1124">
        <f t="shared" si="253"/>
        <v>0</v>
      </c>
      <c r="AN306" s="1124">
        <f t="shared" si="253"/>
        <v>0</v>
      </c>
      <c r="AO306" s="1124">
        <f t="shared" si="253"/>
        <v>0</v>
      </c>
      <c r="AP306" s="1124">
        <f t="shared" si="253"/>
        <v>0</v>
      </c>
      <c r="AQ306" s="1124">
        <f t="shared" si="253"/>
        <v>0</v>
      </c>
      <c r="AR306" s="1124">
        <f t="shared" si="253"/>
        <v>0</v>
      </c>
      <c r="AS306" s="1124">
        <f t="shared" si="253"/>
        <v>0</v>
      </c>
      <c r="AU306" s="29"/>
      <c r="AV306" s="81"/>
      <c r="AW306" s="562"/>
      <c r="AY306" s="31">
        <f>+Details!F306-Base!F306</f>
        <v>0</v>
      </c>
      <c r="AZ306" s="1124">
        <f>+Details!G306-Base!G306</f>
        <v>0</v>
      </c>
      <c r="BA306" s="1124">
        <f>+Details!H306-Base!H306</f>
        <v>0</v>
      </c>
      <c r="BB306" s="1124">
        <f>+Details!I306-Base!I306</f>
        <v>0</v>
      </c>
      <c r="BC306" s="1124">
        <f>+Details!J306-Base!J306</f>
        <v>0</v>
      </c>
      <c r="BD306" s="1124">
        <f>+Details!K306-Base!K306</f>
        <v>0</v>
      </c>
      <c r="BE306" s="1124">
        <f>+Details!L306-Base!L306</f>
        <v>0</v>
      </c>
      <c r="BF306" s="1124">
        <f>+Details!M306-Base!M306</f>
        <v>0</v>
      </c>
      <c r="BG306" s="1124">
        <f>+Details!N306-Base!N306</f>
        <v>0</v>
      </c>
      <c r="BH306" s="1124">
        <f>+Details!O306-Base!O306</f>
        <v>0</v>
      </c>
      <c r="BI306" s="1124">
        <f>+Details!P306-Base!P306</f>
        <v>0</v>
      </c>
      <c r="BJ306" s="1124">
        <f>+Details!Q306-Base!Q306</f>
        <v>0</v>
      </c>
      <c r="BK306" s="1124">
        <f>+Details!R306-Base!R306</f>
        <v>0</v>
      </c>
      <c r="BL306" s="1124">
        <f>+Details!S306-Base!S306</f>
        <v>0</v>
      </c>
      <c r="BM306" s="1124">
        <f>+Details!T306-Base!T306</f>
        <v>0</v>
      </c>
      <c r="BN306" s="1124">
        <f>+Details!U306-Base!U306</f>
        <v>0</v>
      </c>
      <c r="BO306" s="1124">
        <f>+Details!V306-Base!V306</f>
        <v>0</v>
      </c>
      <c r="BP306" s="1124">
        <f>+Details!W306-Base!W306</f>
        <v>0</v>
      </c>
      <c r="BQ306" s="1124">
        <f>+Details!X306-Base!X306</f>
        <v>0</v>
      </c>
      <c r="BR306" s="1124">
        <f>+Details!Y306-Base!Y306</f>
        <v>0</v>
      </c>
      <c r="BS306" s="1124">
        <f>+Details!Z306-Base!Z306</f>
        <v>0</v>
      </c>
      <c r="BT306" s="1124">
        <f>+Details!AA306-Base!AA306</f>
        <v>0</v>
      </c>
      <c r="BU306" s="1124">
        <f>+Details!AB306-Base!AB306</f>
        <v>0</v>
      </c>
      <c r="BV306" s="1124">
        <f>+Details!AC306-Base!AC306</f>
        <v>0</v>
      </c>
      <c r="BW306" s="1124">
        <f>+Details!AD306-Base!AD306</f>
        <v>0</v>
      </c>
      <c r="BX306" s="1124">
        <f>+Details!AE306-Base!AE306</f>
        <v>0</v>
      </c>
      <c r="BY306" s="1124">
        <f>+Details!AF306-Base!AF306</f>
        <v>0</v>
      </c>
      <c r="BZ306" s="1124">
        <f>+Details!AG306-Base!AG306</f>
        <v>0</v>
      </c>
      <c r="CA306" s="1124">
        <f>+Details!AH306-Base!AH306</f>
        <v>0</v>
      </c>
      <c r="CB306" s="1124">
        <f>+Details!AI306-Base!AI306</f>
        <v>0</v>
      </c>
      <c r="CC306" s="1124">
        <f>+Details!AJ306-Base!AJ306</f>
        <v>0</v>
      </c>
      <c r="CD306" s="1124">
        <f>+Details!AK306-Base!AK306</f>
        <v>0</v>
      </c>
      <c r="CE306" s="1124">
        <f>+Details!AL306-Base!AL306</f>
        <v>0</v>
      </c>
      <c r="CF306" s="1124">
        <f>+Details!AM306-Base!AM306</f>
        <v>0</v>
      </c>
      <c r="CG306" s="1124">
        <f>+Details!AN306-Base!AN306</f>
        <v>0</v>
      </c>
      <c r="CH306" s="1124">
        <f>+Details!AO306-Base!AO306</f>
        <v>0</v>
      </c>
      <c r="CI306" s="1124">
        <f>+Details!AP306-Base!AP306</f>
        <v>0</v>
      </c>
      <c r="CJ306" s="1124">
        <f>+Details!AQ306-Base!AQ306</f>
        <v>0</v>
      </c>
      <c r="CK306" s="1124">
        <f>+Details!AR306-Base!AR306</f>
        <v>0</v>
      </c>
      <c r="CL306" s="1124">
        <f>+Details!AS306-Base!AS306</f>
        <v>0</v>
      </c>
      <c r="CM306" s="81"/>
    </row>
    <row r="307" spans="1:91" hidden="1">
      <c r="A307" s="1432" t="s">
        <v>639</v>
      </c>
      <c r="B307" s="1018" t="s">
        <v>1825</v>
      </c>
      <c r="C307" s="3"/>
      <c r="E307" s="97"/>
      <c r="F307" s="1292">
        <f>+F87</f>
        <v>0</v>
      </c>
      <c r="G307" s="1124">
        <f>+G87</f>
        <v>0</v>
      </c>
      <c r="H307" s="1124">
        <f t="shared" ref="H307:AS307" si="254">+H87</f>
        <v>0</v>
      </c>
      <c r="I307" s="1124">
        <f t="shared" si="254"/>
        <v>0</v>
      </c>
      <c r="J307" s="1124">
        <f t="shared" si="254"/>
        <v>0</v>
      </c>
      <c r="K307" s="1124">
        <f t="shared" si="254"/>
        <v>0</v>
      </c>
      <c r="L307" s="1124">
        <f t="shared" si="254"/>
        <v>0</v>
      </c>
      <c r="M307" s="1124">
        <f t="shared" si="254"/>
        <v>0</v>
      </c>
      <c r="N307" s="1124">
        <f t="shared" si="254"/>
        <v>0</v>
      </c>
      <c r="O307" s="1124">
        <f t="shared" si="254"/>
        <v>0</v>
      </c>
      <c r="P307" s="1124">
        <f t="shared" si="254"/>
        <v>0</v>
      </c>
      <c r="Q307" s="1124">
        <f t="shared" si="254"/>
        <v>0</v>
      </c>
      <c r="R307" s="1124">
        <f t="shared" si="254"/>
        <v>0</v>
      </c>
      <c r="S307" s="1124">
        <f t="shared" si="254"/>
        <v>0</v>
      </c>
      <c r="T307" s="1124">
        <f t="shared" si="254"/>
        <v>0</v>
      </c>
      <c r="U307" s="1124">
        <f t="shared" si="254"/>
        <v>0</v>
      </c>
      <c r="V307" s="1124">
        <f t="shared" si="254"/>
        <v>0</v>
      </c>
      <c r="W307" s="1124">
        <f t="shared" si="254"/>
        <v>0</v>
      </c>
      <c r="X307" s="1124">
        <f t="shared" si="254"/>
        <v>0</v>
      </c>
      <c r="Y307" s="1124">
        <f t="shared" si="254"/>
        <v>0</v>
      </c>
      <c r="Z307" s="1124">
        <f t="shared" si="254"/>
        <v>0</v>
      </c>
      <c r="AA307" s="1124">
        <f t="shared" si="254"/>
        <v>0</v>
      </c>
      <c r="AB307" s="1124">
        <f t="shared" si="254"/>
        <v>0</v>
      </c>
      <c r="AC307" s="1124">
        <f t="shared" si="254"/>
        <v>0</v>
      </c>
      <c r="AD307" s="1124">
        <f t="shared" si="254"/>
        <v>0</v>
      </c>
      <c r="AE307" s="1124">
        <f t="shared" si="254"/>
        <v>0</v>
      </c>
      <c r="AF307" s="1124">
        <f t="shared" si="254"/>
        <v>0</v>
      </c>
      <c r="AG307" s="1124">
        <f t="shared" si="254"/>
        <v>0</v>
      </c>
      <c r="AH307" s="1124">
        <f t="shared" si="254"/>
        <v>0</v>
      </c>
      <c r="AI307" s="1124">
        <f t="shared" si="254"/>
        <v>0</v>
      </c>
      <c r="AJ307" s="1124">
        <f t="shared" si="254"/>
        <v>0</v>
      </c>
      <c r="AK307" s="1124">
        <f t="shared" si="254"/>
        <v>0</v>
      </c>
      <c r="AL307" s="1124">
        <f t="shared" si="254"/>
        <v>0</v>
      </c>
      <c r="AM307" s="1124">
        <f t="shared" si="254"/>
        <v>0</v>
      </c>
      <c r="AN307" s="1124">
        <f t="shared" si="254"/>
        <v>0</v>
      </c>
      <c r="AO307" s="1124">
        <f t="shared" si="254"/>
        <v>0</v>
      </c>
      <c r="AP307" s="1124">
        <f t="shared" si="254"/>
        <v>0</v>
      </c>
      <c r="AQ307" s="1124">
        <f t="shared" si="254"/>
        <v>0</v>
      </c>
      <c r="AR307" s="1124">
        <f t="shared" si="254"/>
        <v>0</v>
      </c>
      <c r="AS307" s="1124">
        <f t="shared" si="254"/>
        <v>0</v>
      </c>
      <c r="AU307" s="29">
        <f>+Details!E307</f>
        <v>0</v>
      </c>
      <c r="AV307" s="81">
        <f>+E307-AU307</f>
        <v>0</v>
      </c>
      <c r="AW307" s="562"/>
      <c r="AY307" s="31">
        <f>+Details!F307-Base!F307</f>
        <v>0</v>
      </c>
      <c r="AZ307" s="1124">
        <f>+Details!G307-Base!G307</f>
        <v>0</v>
      </c>
      <c r="BA307" s="1124">
        <f>+Details!H307-Base!H307</f>
        <v>0</v>
      </c>
      <c r="BB307" s="1124">
        <f>+Details!I307-Base!I307</f>
        <v>0</v>
      </c>
      <c r="BC307" s="1124">
        <f>+Details!J307-Base!J307</f>
        <v>0</v>
      </c>
      <c r="BD307" s="1124">
        <f>+Details!K307-Base!K307</f>
        <v>0</v>
      </c>
      <c r="BE307" s="1124">
        <f>+Details!L307-Base!L307</f>
        <v>0</v>
      </c>
      <c r="BF307" s="1124">
        <f>+Details!M307-Base!M307</f>
        <v>0</v>
      </c>
      <c r="BG307" s="1124">
        <f>+Details!N307-Base!N307</f>
        <v>0</v>
      </c>
      <c r="BH307" s="1124">
        <f>+Details!O307-Base!O307</f>
        <v>0</v>
      </c>
      <c r="BI307" s="1124">
        <f>+Details!P307-Base!P307</f>
        <v>0</v>
      </c>
      <c r="BJ307" s="1124">
        <f>+Details!Q307-Base!Q307</f>
        <v>0</v>
      </c>
      <c r="BK307" s="1124">
        <f>+Details!R307-Base!R307</f>
        <v>0</v>
      </c>
      <c r="BL307" s="1124">
        <f>+Details!S307-Base!S307</f>
        <v>0</v>
      </c>
      <c r="BM307" s="1124">
        <f>+Details!T307-Base!T307</f>
        <v>0</v>
      </c>
      <c r="BN307" s="1124">
        <f>+Details!U307-Base!U307</f>
        <v>0</v>
      </c>
      <c r="BO307" s="1124">
        <f>+Details!V307-Base!V307</f>
        <v>0</v>
      </c>
      <c r="BP307" s="1124">
        <f>+Details!W307-Base!W307</f>
        <v>0</v>
      </c>
      <c r="BQ307" s="1124">
        <f>+Details!X307-Base!X307</f>
        <v>0</v>
      </c>
      <c r="BR307" s="1124">
        <f>+Details!Y307-Base!Y307</f>
        <v>0</v>
      </c>
      <c r="BS307" s="1124">
        <f>+Details!Z307-Base!Z307</f>
        <v>0</v>
      </c>
      <c r="BT307" s="1124">
        <f>+Details!AA307-Base!AA307</f>
        <v>0</v>
      </c>
      <c r="BU307" s="1124">
        <f>+Details!AB307-Base!AB307</f>
        <v>0</v>
      </c>
      <c r="BV307" s="1124">
        <f>+Details!AC307-Base!AC307</f>
        <v>0</v>
      </c>
      <c r="BW307" s="1124">
        <f>+Details!AD307-Base!AD307</f>
        <v>0</v>
      </c>
      <c r="BX307" s="1124">
        <f>+Details!AE307-Base!AE307</f>
        <v>0</v>
      </c>
      <c r="BY307" s="1124">
        <f>+Details!AF307-Base!AF307</f>
        <v>0</v>
      </c>
      <c r="BZ307" s="1124">
        <f>+Details!AG307-Base!AG307</f>
        <v>0</v>
      </c>
      <c r="CA307" s="1124">
        <f>+Details!AH307-Base!AH307</f>
        <v>0</v>
      </c>
      <c r="CB307" s="1124">
        <f>+Details!AI307-Base!AI307</f>
        <v>0</v>
      </c>
      <c r="CC307" s="1124">
        <f>+Details!AJ307-Base!AJ307</f>
        <v>0</v>
      </c>
      <c r="CD307" s="1124">
        <f>+Details!AK307-Base!AK307</f>
        <v>0</v>
      </c>
      <c r="CE307" s="1124">
        <f>+Details!AL307-Base!AL307</f>
        <v>0</v>
      </c>
      <c r="CF307" s="1124">
        <f>+Details!AM307-Base!AM307</f>
        <v>0</v>
      </c>
      <c r="CG307" s="1124">
        <f>+Details!AN307-Base!AN307</f>
        <v>0</v>
      </c>
      <c r="CH307" s="1124">
        <f>+Details!AO307-Base!AO307</f>
        <v>0</v>
      </c>
      <c r="CI307" s="1124">
        <f>+Details!AP307-Base!AP307</f>
        <v>0</v>
      </c>
      <c r="CJ307" s="1124">
        <f>+Details!AQ307-Base!AQ307</f>
        <v>0</v>
      </c>
      <c r="CK307" s="1124">
        <f>+Details!AR307-Base!AR307</f>
        <v>0</v>
      </c>
      <c r="CL307" s="1124">
        <f>+Details!AS307-Base!AS307</f>
        <v>0</v>
      </c>
      <c r="CM307" s="81"/>
    </row>
    <row r="308" spans="1:91" hidden="1">
      <c r="A308" s="1432" t="s">
        <v>639</v>
      </c>
      <c r="B308" s="72" t="s">
        <v>156</v>
      </c>
      <c r="C308" s="3"/>
      <c r="E308" s="29">
        <f>SUM(F308:AS308)</f>
        <v>-487400</v>
      </c>
      <c r="F308" s="31">
        <f t="shared" ref="F308:AS308" si="255">+F94</f>
        <v>0</v>
      </c>
      <c r="G308" s="1124">
        <f t="shared" si="255"/>
        <v>0</v>
      </c>
      <c r="H308" s="1124">
        <f t="shared" si="255"/>
        <v>0</v>
      </c>
      <c r="I308" s="1124">
        <f t="shared" si="255"/>
        <v>0</v>
      </c>
      <c r="J308" s="1124">
        <f t="shared" si="255"/>
        <v>0</v>
      </c>
      <c r="K308" s="1124">
        <f t="shared" si="255"/>
        <v>0</v>
      </c>
      <c r="L308" s="1124">
        <f t="shared" si="255"/>
        <v>0</v>
      </c>
      <c r="M308" s="1124">
        <f t="shared" si="255"/>
        <v>0</v>
      </c>
      <c r="N308" s="1124">
        <f t="shared" si="255"/>
        <v>0</v>
      </c>
      <c r="O308" s="1124">
        <f t="shared" si="255"/>
        <v>-14500</v>
      </c>
      <c r="P308" s="1124">
        <f t="shared" si="255"/>
        <v>-15000</v>
      </c>
      <c r="Q308" s="1124">
        <f t="shared" si="255"/>
        <v>-15600</v>
      </c>
      <c r="R308" s="1124">
        <f t="shared" si="255"/>
        <v>-16200</v>
      </c>
      <c r="S308" s="1124">
        <f t="shared" si="255"/>
        <v>-16900</v>
      </c>
      <c r="T308" s="1124">
        <f t="shared" si="255"/>
        <v>-17700</v>
      </c>
      <c r="U308" s="1124">
        <f t="shared" si="255"/>
        <v>-18700</v>
      </c>
      <c r="V308" s="1124">
        <f t="shared" si="255"/>
        <v>-19900</v>
      </c>
      <c r="W308" s="1124">
        <f t="shared" si="255"/>
        <v>-21000</v>
      </c>
      <c r="X308" s="1124">
        <f t="shared" si="255"/>
        <v>-22100</v>
      </c>
      <c r="Y308" s="1124">
        <f t="shared" si="255"/>
        <v>-23100</v>
      </c>
      <c r="Z308" s="1124">
        <f t="shared" si="255"/>
        <v>-24200</v>
      </c>
      <c r="AA308" s="1124">
        <f t="shared" si="255"/>
        <v>-25300</v>
      </c>
      <c r="AB308" s="1124">
        <f t="shared" si="255"/>
        <v>-26400</v>
      </c>
      <c r="AC308" s="1124">
        <f t="shared" si="255"/>
        <v>-27300</v>
      </c>
      <c r="AD308" s="1124">
        <f t="shared" si="255"/>
        <v>-28300</v>
      </c>
      <c r="AE308" s="1124">
        <f t="shared" si="255"/>
        <v>-29300</v>
      </c>
      <c r="AF308" s="1124">
        <f t="shared" si="255"/>
        <v>-30300</v>
      </c>
      <c r="AG308" s="1124">
        <f t="shared" si="255"/>
        <v>-31200</v>
      </c>
      <c r="AH308" s="1124">
        <f t="shared" si="255"/>
        <v>-31900</v>
      </c>
      <c r="AI308" s="1124">
        <f t="shared" si="255"/>
        <v>-32500</v>
      </c>
      <c r="AJ308" s="1124">
        <f t="shared" si="255"/>
        <v>0</v>
      </c>
      <c r="AK308" s="1124">
        <f t="shared" si="255"/>
        <v>0</v>
      </c>
      <c r="AL308" s="1124">
        <f t="shared" si="255"/>
        <v>0</v>
      </c>
      <c r="AM308" s="1124">
        <f t="shared" si="255"/>
        <v>0</v>
      </c>
      <c r="AN308" s="1124">
        <f t="shared" si="255"/>
        <v>0</v>
      </c>
      <c r="AO308" s="1124">
        <f t="shared" si="255"/>
        <v>0</v>
      </c>
      <c r="AP308" s="1124">
        <f t="shared" si="255"/>
        <v>0</v>
      </c>
      <c r="AQ308" s="1124">
        <f t="shared" si="255"/>
        <v>0</v>
      </c>
      <c r="AR308" s="1124">
        <f t="shared" si="255"/>
        <v>0</v>
      </c>
      <c r="AS308" s="1124">
        <f t="shared" si="255"/>
        <v>0</v>
      </c>
      <c r="AU308" s="29">
        <f>+Details!E308</f>
        <v>-487400</v>
      </c>
      <c r="AV308" s="81">
        <f t="shared" ref="AV308:AV320" si="256">+E308-AU308</f>
        <v>0</v>
      </c>
      <c r="AW308" s="102"/>
      <c r="AY308" s="31">
        <f>+Details!F308-Base!F308</f>
        <v>0</v>
      </c>
      <c r="AZ308" s="1124">
        <f>+Details!G308-Base!G308</f>
        <v>0</v>
      </c>
      <c r="BA308" s="1124">
        <f>+Details!H308-Base!H308</f>
        <v>0</v>
      </c>
      <c r="BB308" s="1124">
        <f>+Details!I308-Base!I308</f>
        <v>0</v>
      </c>
      <c r="BC308" s="1124">
        <f>+Details!J308-Base!J308</f>
        <v>0</v>
      </c>
      <c r="BD308" s="1124">
        <f>+Details!K308-Base!K308</f>
        <v>0</v>
      </c>
      <c r="BE308" s="1124">
        <f>+Details!L308-Base!L308</f>
        <v>0</v>
      </c>
      <c r="BF308" s="1124">
        <f>+Details!M308-Base!M308</f>
        <v>0</v>
      </c>
      <c r="BG308" s="1124">
        <f>+Details!N308-Base!N308</f>
        <v>0</v>
      </c>
      <c r="BH308" s="1124">
        <f>+Details!O308-Base!O308</f>
        <v>0</v>
      </c>
      <c r="BI308" s="1124">
        <f>+Details!P308-Base!P308</f>
        <v>0</v>
      </c>
      <c r="BJ308" s="1124">
        <f>+Details!Q308-Base!Q308</f>
        <v>0</v>
      </c>
      <c r="BK308" s="1124">
        <f>+Details!R308-Base!R308</f>
        <v>0</v>
      </c>
      <c r="BL308" s="1124">
        <f>+Details!S308-Base!S308</f>
        <v>0</v>
      </c>
      <c r="BM308" s="1124">
        <f>+Details!T308-Base!T308</f>
        <v>0</v>
      </c>
      <c r="BN308" s="1124">
        <f>+Details!U308-Base!U308</f>
        <v>0</v>
      </c>
      <c r="BO308" s="1124">
        <f>+Details!V308-Base!V308</f>
        <v>0</v>
      </c>
      <c r="BP308" s="1124">
        <f>+Details!W308-Base!W308</f>
        <v>0</v>
      </c>
      <c r="BQ308" s="1124">
        <f>+Details!X308-Base!X308</f>
        <v>0</v>
      </c>
      <c r="BR308" s="1124">
        <f>+Details!Y308-Base!Y308</f>
        <v>0</v>
      </c>
      <c r="BS308" s="1124">
        <f>+Details!Z308-Base!Z308</f>
        <v>0</v>
      </c>
      <c r="BT308" s="1124">
        <f>+Details!AA308-Base!AA308</f>
        <v>0</v>
      </c>
      <c r="BU308" s="1124">
        <f>+Details!AB308-Base!AB308</f>
        <v>0</v>
      </c>
      <c r="BV308" s="1124">
        <f>+Details!AC308-Base!AC308</f>
        <v>0</v>
      </c>
      <c r="BW308" s="1124">
        <f>+Details!AD308-Base!AD308</f>
        <v>0</v>
      </c>
      <c r="BX308" s="1124">
        <f>+Details!AE308-Base!AE308</f>
        <v>0</v>
      </c>
      <c r="BY308" s="1124">
        <f>+Details!AF308-Base!AF308</f>
        <v>0</v>
      </c>
      <c r="BZ308" s="1124">
        <f>+Details!AG308-Base!AG308</f>
        <v>0</v>
      </c>
      <c r="CA308" s="1124">
        <f>+Details!AH308-Base!AH308</f>
        <v>0</v>
      </c>
      <c r="CB308" s="1124">
        <f>+Details!AI308-Base!AI308</f>
        <v>0</v>
      </c>
      <c r="CC308" s="1124">
        <f>+Details!AJ308-Base!AJ308</f>
        <v>0</v>
      </c>
      <c r="CD308" s="1124">
        <f>+Details!AK308-Base!AK308</f>
        <v>0</v>
      </c>
      <c r="CE308" s="1124">
        <f>+Details!AL308-Base!AL308</f>
        <v>0</v>
      </c>
      <c r="CF308" s="1124">
        <f>+Details!AM308-Base!AM308</f>
        <v>0</v>
      </c>
      <c r="CG308" s="1124">
        <f>+Details!AN308-Base!AN308</f>
        <v>0</v>
      </c>
      <c r="CH308" s="1124">
        <f>+Details!AO308-Base!AO308</f>
        <v>0</v>
      </c>
      <c r="CI308" s="1124">
        <f>+Details!AP308-Base!AP308</f>
        <v>0</v>
      </c>
      <c r="CJ308" s="1124">
        <f>+Details!AQ308-Base!AQ308</f>
        <v>0</v>
      </c>
      <c r="CK308" s="1124">
        <f>+Details!AR308-Base!AR308</f>
        <v>0</v>
      </c>
      <c r="CL308" s="1124">
        <f>+Details!AS308-Base!AS308</f>
        <v>0</v>
      </c>
      <c r="CM308" s="81"/>
    </row>
    <row r="309" spans="1:91" hidden="1">
      <c r="A309" s="1432" t="s">
        <v>639</v>
      </c>
      <c r="B309" s="72" t="s">
        <v>1506</v>
      </c>
      <c r="C309" s="3"/>
      <c r="E309" s="29"/>
      <c r="F309" s="31">
        <f>+F306+F307+F308</f>
        <v>500000</v>
      </c>
      <c r="G309" s="1124">
        <f>+G306+G307+G308</f>
        <v>491200</v>
      </c>
      <c r="H309" s="1124">
        <f t="shared" ref="H309:AS309" si="257">+H306+H307+H308</f>
        <v>480600</v>
      </c>
      <c r="I309" s="1124">
        <f t="shared" si="257"/>
        <v>468100</v>
      </c>
      <c r="J309" s="1124">
        <f t="shared" si="257"/>
        <v>453400</v>
      </c>
      <c r="K309" s="1124">
        <f t="shared" si="257"/>
        <v>436400</v>
      </c>
      <c r="L309" s="1124">
        <f t="shared" si="257"/>
        <v>416900</v>
      </c>
      <c r="M309" s="1124">
        <f t="shared" si="257"/>
        <v>394600</v>
      </c>
      <c r="N309" s="1124">
        <f t="shared" si="257"/>
        <v>369500</v>
      </c>
      <c r="O309" s="1124">
        <f t="shared" si="257"/>
        <v>368700</v>
      </c>
      <c r="P309" s="1124">
        <f t="shared" si="257"/>
        <v>368800</v>
      </c>
      <c r="Q309" s="1124">
        <f t="shared" si="257"/>
        <v>369300</v>
      </c>
      <c r="R309" s="1124">
        <f t="shared" si="257"/>
        <v>370100</v>
      </c>
      <c r="S309" s="1124">
        <f t="shared" si="257"/>
        <v>371000</v>
      </c>
      <c r="T309" s="1124">
        <f t="shared" si="257"/>
        <v>371900</v>
      </c>
      <c r="U309" s="1124">
        <f t="shared" si="257"/>
        <v>377900</v>
      </c>
      <c r="V309" s="1124">
        <f t="shared" si="257"/>
        <v>383200</v>
      </c>
      <c r="W309" s="1124">
        <f t="shared" si="257"/>
        <v>387800</v>
      </c>
      <c r="X309" s="1124">
        <f t="shared" si="257"/>
        <v>391600</v>
      </c>
      <c r="Y309" s="1124">
        <f t="shared" si="257"/>
        <v>391000</v>
      </c>
      <c r="Z309" s="1124">
        <f t="shared" si="257"/>
        <v>389300</v>
      </c>
      <c r="AA309" s="1124">
        <f t="shared" si="257"/>
        <v>386500</v>
      </c>
      <c r="AB309" s="1124">
        <f t="shared" si="257"/>
        <v>382500</v>
      </c>
      <c r="AC309" s="1124">
        <f t="shared" si="257"/>
        <v>377400</v>
      </c>
      <c r="AD309" s="1124">
        <f t="shared" si="257"/>
        <v>371000</v>
      </c>
      <c r="AE309" s="1124">
        <f t="shared" si="257"/>
        <v>363300</v>
      </c>
      <c r="AF309" s="1124">
        <f t="shared" si="257"/>
        <v>354200</v>
      </c>
      <c r="AG309" s="1124">
        <f t="shared" si="257"/>
        <v>343700</v>
      </c>
      <c r="AH309" s="1124">
        <f t="shared" si="257"/>
        <v>331900</v>
      </c>
      <c r="AI309" s="1124">
        <f t="shared" si="257"/>
        <v>318900</v>
      </c>
      <c r="AJ309" s="1124">
        <f t="shared" si="257"/>
        <v>0</v>
      </c>
      <c r="AK309" s="1124">
        <f t="shared" si="257"/>
        <v>0</v>
      </c>
      <c r="AL309" s="1124">
        <f t="shared" si="257"/>
        <v>0</v>
      </c>
      <c r="AM309" s="1124">
        <f t="shared" si="257"/>
        <v>0</v>
      </c>
      <c r="AN309" s="1124">
        <f t="shared" si="257"/>
        <v>0</v>
      </c>
      <c r="AO309" s="1124">
        <f t="shared" si="257"/>
        <v>0</v>
      </c>
      <c r="AP309" s="1124">
        <f t="shared" si="257"/>
        <v>0</v>
      </c>
      <c r="AQ309" s="1124">
        <f t="shared" si="257"/>
        <v>0</v>
      </c>
      <c r="AR309" s="1124">
        <f t="shared" si="257"/>
        <v>0</v>
      </c>
      <c r="AS309" s="1124">
        <f t="shared" si="257"/>
        <v>0</v>
      </c>
      <c r="AU309" s="29"/>
      <c r="AV309" s="81"/>
      <c r="AW309" s="102"/>
      <c r="AY309" s="31">
        <f>+Details!F309-Base!F309</f>
        <v>0</v>
      </c>
      <c r="AZ309" s="1124">
        <f>+Details!G309-Base!G309</f>
        <v>0</v>
      </c>
      <c r="BA309" s="1124">
        <f>+Details!H309-Base!H309</f>
        <v>0</v>
      </c>
      <c r="BB309" s="1124">
        <f>+Details!I309-Base!I309</f>
        <v>0</v>
      </c>
      <c r="BC309" s="1124">
        <f>+Details!J309-Base!J309</f>
        <v>0</v>
      </c>
      <c r="BD309" s="1124">
        <f>+Details!K309-Base!K309</f>
        <v>0</v>
      </c>
      <c r="BE309" s="1124">
        <f>+Details!L309-Base!L309</f>
        <v>0</v>
      </c>
      <c r="BF309" s="1124">
        <f>+Details!M309-Base!M309</f>
        <v>0</v>
      </c>
      <c r="BG309" s="1124">
        <f>+Details!N309-Base!N309</f>
        <v>0</v>
      </c>
      <c r="BH309" s="1124">
        <f>+Details!O309-Base!O309</f>
        <v>0</v>
      </c>
      <c r="BI309" s="1124">
        <f>+Details!P309-Base!P309</f>
        <v>0</v>
      </c>
      <c r="BJ309" s="1124">
        <f>+Details!Q309-Base!Q309</f>
        <v>0</v>
      </c>
      <c r="BK309" s="1124">
        <f>+Details!R309-Base!R309</f>
        <v>0</v>
      </c>
      <c r="BL309" s="1124">
        <f>+Details!S309-Base!S309</f>
        <v>0</v>
      </c>
      <c r="BM309" s="1124">
        <f>+Details!T309-Base!T309</f>
        <v>0</v>
      </c>
      <c r="BN309" s="1124">
        <f>+Details!U309-Base!U309</f>
        <v>0</v>
      </c>
      <c r="BO309" s="1124">
        <f>+Details!V309-Base!V309</f>
        <v>0</v>
      </c>
      <c r="BP309" s="1124">
        <f>+Details!W309-Base!W309</f>
        <v>0</v>
      </c>
      <c r="BQ309" s="1124">
        <f>+Details!X309-Base!X309</f>
        <v>0</v>
      </c>
      <c r="BR309" s="1124">
        <f>+Details!Y309-Base!Y309</f>
        <v>0</v>
      </c>
      <c r="BS309" s="1124">
        <f>+Details!Z309-Base!Z309</f>
        <v>0</v>
      </c>
      <c r="BT309" s="1124">
        <f>+Details!AA309-Base!AA309</f>
        <v>0</v>
      </c>
      <c r="BU309" s="1124">
        <f>+Details!AB309-Base!AB309</f>
        <v>0</v>
      </c>
      <c r="BV309" s="1124">
        <f>+Details!AC309-Base!AC309</f>
        <v>0</v>
      </c>
      <c r="BW309" s="1124">
        <f>+Details!AD309-Base!AD309</f>
        <v>0</v>
      </c>
      <c r="BX309" s="1124">
        <f>+Details!AE309-Base!AE309</f>
        <v>0</v>
      </c>
      <c r="BY309" s="1124">
        <f>+Details!AF309-Base!AF309</f>
        <v>0</v>
      </c>
      <c r="BZ309" s="1124">
        <f>+Details!AG309-Base!AG309</f>
        <v>0</v>
      </c>
      <c r="CA309" s="1124">
        <f>+Details!AH309-Base!AH309</f>
        <v>0</v>
      </c>
      <c r="CB309" s="1124">
        <f>+Details!AI309-Base!AI309</f>
        <v>0</v>
      </c>
      <c r="CC309" s="1124">
        <f>+Details!AJ309-Base!AJ309</f>
        <v>0</v>
      </c>
      <c r="CD309" s="1124">
        <f>+Details!AK309-Base!AK309</f>
        <v>0</v>
      </c>
      <c r="CE309" s="1124">
        <f>+Details!AL309-Base!AL309</f>
        <v>0</v>
      </c>
      <c r="CF309" s="1124">
        <f>+Details!AM309-Base!AM309</f>
        <v>0</v>
      </c>
      <c r="CG309" s="1124">
        <f>+Details!AN309-Base!AN309</f>
        <v>0</v>
      </c>
      <c r="CH309" s="1124">
        <f>+Details!AO309-Base!AO309</f>
        <v>0</v>
      </c>
      <c r="CI309" s="1124">
        <f>+Details!AP309-Base!AP309</f>
        <v>0</v>
      </c>
      <c r="CJ309" s="1124">
        <f>+Details!AQ309-Base!AQ309</f>
        <v>0</v>
      </c>
      <c r="CK309" s="1124">
        <f>+Details!AR309-Base!AR309</f>
        <v>0</v>
      </c>
      <c r="CL309" s="1124">
        <f>+Details!AS309-Base!AS309</f>
        <v>0</v>
      </c>
      <c r="CM309" s="81"/>
    </row>
    <row r="310" spans="1:91" hidden="1">
      <c r="A310" s="1432" t="s">
        <v>639</v>
      </c>
      <c r="B310" s="72" t="s">
        <v>735</v>
      </c>
      <c r="E310" s="29">
        <f>SUM(F310:AS310)</f>
        <v>0</v>
      </c>
      <c r="F310" s="31">
        <f t="shared" ref="F310:AS310" si="258">+F96</f>
        <v>0</v>
      </c>
      <c r="G310" s="1124">
        <f t="shared" si="258"/>
        <v>0</v>
      </c>
      <c r="H310" s="1124">
        <f t="shared" si="258"/>
        <v>0</v>
      </c>
      <c r="I310" s="1124">
        <f t="shared" si="258"/>
        <v>0</v>
      </c>
      <c r="J310" s="1124">
        <f t="shared" si="258"/>
        <v>0</v>
      </c>
      <c r="K310" s="1124">
        <f t="shared" si="258"/>
        <v>0</v>
      </c>
      <c r="L310" s="1124">
        <f t="shared" si="258"/>
        <v>0</v>
      </c>
      <c r="M310" s="1124">
        <f t="shared" si="258"/>
        <v>0</v>
      </c>
      <c r="N310" s="1124">
        <f t="shared" si="258"/>
        <v>0</v>
      </c>
      <c r="O310" s="1124">
        <f t="shared" si="258"/>
        <v>0</v>
      </c>
      <c r="P310" s="1124">
        <f t="shared" si="258"/>
        <v>0</v>
      </c>
      <c r="Q310" s="1124">
        <f t="shared" si="258"/>
        <v>0</v>
      </c>
      <c r="R310" s="1124">
        <f t="shared" si="258"/>
        <v>0</v>
      </c>
      <c r="S310" s="1124">
        <f t="shared" si="258"/>
        <v>0</v>
      </c>
      <c r="T310" s="1124">
        <f t="shared" si="258"/>
        <v>0</v>
      </c>
      <c r="U310" s="1124">
        <f t="shared" si="258"/>
        <v>0</v>
      </c>
      <c r="V310" s="1124">
        <f t="shared" si="258"/>
        <v>0</v>
      </c>
      <c r="W310" s="1124">
        <f t="shared" si="258"/>
        <v>0</v>
      </c>
      <c r="X310" s="1124">
        <f t="shared" si="258"/>
        <v>0</v>
      </c>
      <c r="Y310" s="1124">
        <f t="shared" si="258"/>
        <v>0</v>
      </c>
      <c r="Z310" s="1124">
        <f t="shared" si="258"/>
        <v>0</v>
      </c>
      <c r="AA310" s="1124">
        <f t="shared" si="258"/>
        <v>0</v>
      </c>
      <c r="AB310" s="1124">
        <f t="shared" si="258"/>
        <v>0</v>
      </c>
      <c r="AC310" s="1124">
        <f t="shared" si="258"/>
        <v>0</v>
      </c>
      <c r="AD310" s="1124">
        <f t="shared" si="258"/>
        <v>0</v>
      </c>
      <c r="AE310" s="1124">
        <f t="shared" si="258"/>
        <v>0</v>
      </c>
      <c r="AF310" s="1124">
        <f t="shared" si="258"/>
        <v>0</v>
      </c>
      <c r="AG310" s="1124">
        <f t="shared" si="258"/>
        <v>0</v>
      </c>
      <c r="AH310" s="1124">
        <f t="shared" si="258"/>
        <v>0</v>
      </c>
      <c r="AI310" s="1124">
        <f t="shared" si="258"/>
        <v>0</v>
      </c>
      <c r="AJ310" s="1124">
        <f t="shared" si="258"/>
        <v>0</v>
      </c>
      <c r="AK310" s="1124">
        <f t="shared" si="258"/>
        <v>0</v>
      </c>
      <c r="AL310" s="1124">
        <f t="shared" si="258"/>
        <v>0</v>
      </c>
      <c r="AM310" s="1124">
        <f t="shared" si="258"/>
        <v>0</v>
      </c>
      <c r="AN310" s="1124">
        <f t="shared" si="258"/>
        <v>0</v>
      </c>
      <c r="AO310" s="1124">
        <f t="shared" si="258"/>
        <v>0</v>
      </c>
      <c r="AP310" s="1124">
        <f t="shared" si="258"/>
        <v>0</v>
      </c>
      <c r="AQ310" s="1124">
        <f t="shared" si="258"/>
        <v>0</v>
      </c>
      <c r="AR310" s="1124">
        <f t="shared" si="258"/>
        <v>0</v>
      </c>
      <c r="AS310" s="1124">
        <f t="shared" si="258"/>
        <v>0</v>
      </c>
      <c r="AU310" s="65">
        <f>+Details!E310</f>
        <v>0</v>
      </c>
      <c r="AV310" s="434">
        <f>+E310-AU310</f>
        <v>0</v>
      </c>
      <c r="AW310" s="102"/>
      <c r="AY310" s="31">
        <f>+Details!F310-Base!F310</f>
        <v>0</v>
      </c>
      <c r="AZ310" s="1124">
        <f>+Details!G310-Base!G310</f>
        <v>0</v>
      </c>
      <c r="BA310" s="1124">
        <f>+Details!H310-Base!H310</f>
        <v>0</v>
      </c>
      <c r="BB310" s="1124">
        <f>+Details!I310-Base!I310</f>
        <v>0</v>
      </c>
      <c r="BC310" s="1124">
        <f>+Details!J310-Base!J310</f>
        <v>0</v>
      </c>
      <c r="BD310" s="1124">
        <f>+Details!K310-Base!K310</f>
        <v>0</v>
      </c>
      <c r="BE310" s="1124">
        <f>+Details!L310-Base!L310</f>
        <v>0</v>
      </c>
      <c r="BF310" s="1124">
        <f>+Details!M310-Base!M310</f>
        <v>0</v>
      </c>
      <c r="BG310" s="1124">
        <f>+Details!N310-Base!N310</f>
        <v>0</v>
      </c>
      <c r="BH310" s="1124">
        <f>+Details!O310-Base!O310</f>
        <v>0</v>
      </c>
      <c r="BI310" s="1124">
        <f>+Details!P310-Base!P310</f>
        <v>0</v>
      </c>
      <c r="BJ310" s="1124">
        <f>+Details!Q310-Base!Q310</f>
        <v>0</v>
      </c>
      <c r="BK310" s="1124">
        <f>+Details!R310-Base!R310</f>
        <v>0</v>
      </c>
      <c r="BL310" s="1124">
        <f>+Details!S310-Base!S310</f>
        <v>0</v>
      </c>
      <c r="BM310" s="1124">
        <f>+Details!T310-Base!T310</f>
        <v>0</v>
      </c>
      <c r="BN310" s="1124">
        <f>+Details!U310-Base!U310</f>
        <v>0</v>
      </c>
      <c r="BO310" s="1124">
        <f>+Details!V310-Base!V310</f>
        <v>0</v>
      </c>
      <c r="BP310" s="1124">
        <f>+Details!W310-Base!W310</f>
        <v>0</v>
      </c>
      <c r="BQ310" s="1124">
        <f>+Details!X310-Base!X310</f>
        <v>0</v>
      </c>
      <c r="BR310" s="1124">
        <f>+Details!Y310-Base!Y310</f>
        <v>0</v>
      </c>
      <c r="BS310" s="1124">
        <f>+Details!Z310-Base!Z310</f>
        <v>0</v>
      </c>
      <c r="BT310" s="1124">
        <f>+Details!AA310-Base!AA310</f>
        <v>0</v>
      </c>
      <c r="BU310" s="1124">
        <f>+Details!AB310-Base!AB310</f>
        <v>0</v>
      </c>
      <c r="BV310" s="1124">
        <f>+Details!AC310-Base!AC310</f>
        <v>0</v>
      </c>
      <c r="BW310" s="1124">
        <f>+Details!AD310-Base!AD310</f>
        <v>0</v>
      </c>
      <c r="BX310" s="1124">
        <f>+Details!AE310-Base!AE310</f>
        <v>0</v>
      </c>
      <c r="BY310" s="1124">
        <f>+Details!AF310-Base!AF310</f>
        <v>0</v>
      </c>
      <c r="BZ310" s="1124">
        <f>+Details!AG310-Base!AG310</f>
        <v>0</v>
      </c>
      <c r="CA310" s="1124">
        <f>+Details!AH310-Base!AH310</f>
        <v>0</v>
      </c>
      <c r="CB310" s="1124">
        <f>+Details!AI310-Base!AI310</f>
        <v>0</v>
      </c>
      <c r="CC310" s="1124">
        <f>+Details!AJ310-Base!AJ310</f>
        <v>0</v>
      </c>
      <c r="CD310" s="1124">
        <f>+Details!AK310-Base!AK310</f>
        <v>0</v>
      </c>
      <c r="CE310" s="1124">
        <f>+Details!AL310-Base!AL310</f>
        <v>0</v>
      </c>
      <c r="CF310" s="1124">
        <f>+Details!AM310-Base!AM310</f>
        <v>0</v>
      </c>
      <c r="CG310" s="1124">
        <f>+Details!AN310-Base!AN310</f>
        <v>0</v>
      </c>
      <c r="CH310" s="1124">
        <f>+Details!AO310-Base!AO310</f>
        <v>0</v>
      </c>
      <c r="CI310" s="1124">
        <f>+Details!AP310-Base!AP310</f>
        <v>0</v>
      </c>
      <c r="CJ310" s="1124">
        <f>+Details!AQ310-Base!AQ310</f>
        <v>0</v>
      </c>
      <c r="CK310" s="1124">
        <f>+Details!AR310-Base!AR310</f>
        <v>0</v>
      </c>
      <c r="CL310" s="1124">
        <f>+Details!AS310-Base!AS310</f>
        <v>0</v>
      </c>
      <c r="CM310" s="434"/>
    </row>
    <row r="311" spans="1:91" s="3" customFormat="1" ht="15.6" hidden="1">
      <c r="A311" s="1432" t="s">
        <v>639</v>
      </c>
      <c r="B311" s="424" t="s">
        <v>157</v>
      </c>
      <c r="D311" s="327"/>
      <c r="E311" s="506" t="s">
        <v>942</v>
      </c>
      <c r="F311" s="190">
        <f t="shared" ref="F311:AS311" si="259">IF(AND(Start_Base1&lt;=F$4,OR(End_Base1&gt;=F$4,End_Base1=0)),IF(+F306+F307+F308+F310&lt;=0,0,+F306+F307+F308+F310))*IF(F$7-$F$7&lt;=Total_Years-1,1,0)</f>
        <v>500000</v>
      </c>
      <c r="G311" s="1124">
        <f t="shared" si="259"/>
        <v>491200</v>
      </c>
      <c r="H311" s="1124">
        <f t="shared" si="259"/>
        <v>480600</v>
      </c>
      <c r="I311" s="1124">
        <f t="shared" si="259"/>
        <v>468100</v>
      </c>
      <c r="J311" s="1124">
        <f t="shared" si="259"/>
        <v>453400</v>
      </c>
      <c r="K311" s="1124">
        <f t="shared" si="259"/>
        <v>436400</v>
      </c>
      <c r="L311" s="1124">
        <f t="shared" si="259"/>
        <v>416900</v>
      </c>
      <c r="M311" s="1124">
        <f t="shared" si="259"/>
        <v>394600</v>
      </c>
      <c r="N311" s="1124">
        <f t="shared" si="259"/>
        <v>0</v>
      </c>
      <c r="O311" s="1124">
        <f t="shared" si="259"/>
        <v>0</v>
      </c>
      <c r="P311" s="1124">
        <f t="shared" si="259"/>
        <v>0</v>
      </c>
      <c r="Q311" s="1124">
        <f t="shared" si="259"/>
        <v>0</v>
      </c>
      <c r="R311" s="1124">
        <f t="shared" si="259"/>
        <v>0</v>
      </c>
      <c r="S311" s="1124">
        <f t="shared" si="259"/>
        <v>0</v>
      </c>
      <c r="T311" s="1124">
        <f t="shared" si="259"/>
        <v>0</v>
      </c>
      <c r="U311" s="1124">
        <f t="shared" si="259"/>
        <v>0</v>
      </c>
      <c r="V311" s="1124">
        <f t="shared" si="259"/>
        <v>0</v>
      </c>
      <c r="W311" s="1124">
        <f t="shared" si="259"/>
        <v>0</v>
      </c>
      <c r="X311" s="1124">
        <f t="shared" si="259"/>
        <v>0</v>
      </c>
      <c r="Y311" s="1124">
        <f t="shared" si="259"/>
        <v>0</v>
      </c>
      <c r="Z311" s="1124">
        <f t="shared" si="259"/>
        <v>0</v>
      </c>
      <c r="AA311" s="1124">
        <f t="shared" si="259"/>
        <v>0</v>
      </c>
      <c r="AB311" s="1124">
        <f t="shared" si="259"/>
        <v>0</v>
      </c>
      <c r="AC311" s="1124">
        <f t="shared" si="259"/>
        <v>0</v>
      </c>
      <c r="AD311" s="1124">
        <f t="shared" si="259"/>
        <v>0</v>
      </c>
      <c r="AE311" s="1124">
        <f t="shared" si="259"/>
        <v>0</v>
      </c>
      <c r="AF311" s="1124">
        <f t="shared" si="259"/>
        <v>0</v>
      </c>
      <c r="AG311" s="1124">
        <f t="shared" si="259"/>
        <v>0</v>
      </c>
      <c r="AH311" s="1124">
        <f t="shared" si="259"/>
        <v>0</v>
      </c>
      <c r="AI311" s="1124">
        <f t="shared" si="259"/>
        <v>0</v>
      </c>
      <c r="AJ311" s="1124">
        <f t="shared" si="259"/>
        <v>0</v>
      </c>
      <c r="AK311" s="1124">
        <f t="shared" si="259"/>
        <v>0</v>
      </c>
      <c r="AL311" s="1124">
        <f t="shared" si="259"/>
        <v>0</v>
      </c>
      <c r="AM311" s="1124">
        <f t="shared" si="259"/>
        <v>0</v>
      </c>
      <c r="AN311" s="1124">
        <f t="shared" si="259"/>
        <v>0</v>
      </c>
      <c r="AO311" s="1124">
        <f t="shared" si="259"/>
        <v>0</v>
      </c>
      <c r="AP311" s="1124">
        <f t="shared" si="259"/>
        <v>0</v>
      </c>
      <c r="AQ311" s="1124">
        <f t="shared" si="259"/>
        <v>0</v>
      </c>
      <c r="AR311" s="1124">
        <f t="shared" si="259"/>
        <v>0</v>
      </c>
      <c r="AS311" s="1124">
        <f t="shared" si="259"/>
        <v>0</v>
      </c>
      <c r="AU311" s="29"/>
      <c r="AV311" s="81"/>
      <c r="AW311" s="357"/>
      <c r="AY311" s="31">
        <f>+Details!F311-Base!F311</f>
        <v>0</v>
      </c>
      <c r="AZ311" s="1124">
        <f>+Details!G311-Base!G311</f>
        <v>0</v>
      </c>
      <c r="BA311" s="1124">
        <f>+Details!H311-Base!H311</f>
        <v>0</v>
      </c>
      <c r="BB311" s="1124">
        <f>+Details!I311-Base!I311</f>
        <v>0</v>
      </c>
      <c r="BC311" s="1124">
        <f>+Details!J311-Base!J311</f>
        <v>0</v>
      </c>
      <c r="BD311" s="1124">
        <f>+Details!K311-Base!K311</f>
        <v>0</v>
      </c>
      <c r="BE311" s="1124">
        <f>+Details!L311-Base!L311</f>
        <v>0</v>
      </c>
      <c r="BF311" s="1124">
        <f>+Details!M311-Base!M311</f>
        <v>0</v>
      </c>
      <c r="BG311" s="1124">
        <f>+Details!N311-Base!N311</f>
        <v>0</v>
      </c>
      <c r="BH311" s="1124">
        <f>+Details!O311-Base!O311</f>
        <v>0</v>
      </c>
      <c r="BI311" s="1124">
        <f>+Details!P311-Base!P311</f>
        <v>0</v>
      </c>
      <c r="BJ311" s="1124">
        <f>+Details!Q311-Base!Q311</f>
        <v>0</v>
      </c>
      <c r="BK311" s="1124">
        <f>+Details!R311-Base!R311</f>
        <v>0</v>
      </c>
      <c r="BL311" s="1124">
        <f>+Details!S311-Base!S311</f>
        <v>0</v>
      </c>
      <c r="BM311" s="1124">
        <f>+Details!T311-Base!T311</f>
        <v>0</v>
      </c>
      <c r="BN311" s="1124">
        <f>+Details!U311-Base!U311</f>
        <v>0</v>
      </c>
      <c r="BO311" s="1124">
        <f>+Details!V311-Base!V311</f>
        <v>0</v>
      </c>
      <c r="BP311" s="1124">
        <f>+Details!W311-Base!W311</f>
        <v>0</v>
      </c>
      <c r="BQ311" s="1124">
        <f>+Details!X311-Base!X311</f>
        <v>0</v>
      </c>
      <c r="BR311" s="1124">
        <f>+Details!Y311-Base!Y311</f>
        <v>0</v>
      </c>
      <c r="BS311" s="1124">
        <f>+Details!Z311-Base!Z311</f>
        <v>0</v>
      </c>
      <c r="BT311" s="1124">
        <f>+Details!AA311-Base!AA311</f>
        <v>0</v>
      </c>
      <c r="BU311" s="1124">
        <f>+Details!AB311-Base!AB311</f>
        <v>0</v>
      </c>
      <c r="BV311" s="1124">
        <f>+Details!AC311-Base!AC311</f>
        <v>0</v>
      </c>
      <c r="BW311" s="1124">
        <f>+Details!AD311-Base!AD311</f>
        <v>0</v>
      </c>
      <c r="BX311" s="1124">
        <f>+Details!AE311-Base!AE311</f>
        <v>0</v>
      </c>
      <c r="BY311" s="1124">
        <f>+Details!AF311-Base!AF311</f>
        <v>0</v>
      </c>
      <c r="BZ311" s="1124">
        <f>+Details!AG311-Base!AG311</f>
        <v>0</v>
      </c>
      <c r="CA311" s="1124">
        <f>+Details!AH311-Base!AH311</f>
        <v>0</v>
      </c>
      <c r="CB311" s="1124">
        <f>+Details!AI311-Base!AI311</f>
        <v>0</v>
      </c>
      <c r="CC311" s="1124">
        <f>+Details!AJ311-Base!AJ311</f>
        <v>0</v>
      </c>
      <c r="CD311" s="1124">
        <f>+Details!AK311-Base!AK311</f>
        <v>0</v>
      </c>
      <c r="CE311" s="1124">
        <f>+Details!AL311-Base!AL311</f>
        <v>0</v>
      </c>
      <c r="CF311" s="1124">
        <f>+Details!AM311-Base!AM311</f>
        <v>0</v>
      </c>
      <c r="CG311" s="1124">
        <f>+Details!AN311-Base!AN311</f>
        <v>0</v>
      </c>
      <c r="CH311" s="1124">
        <f>+Details!AO311-Base!AO311</f>
        <v>0</v>
      </c>
      <c r="CI311" s="1124">
        <f>+Details!AP311-Base!AP311</f>
        <v>0</v>
      </c>
      <c r="CJ311" s="1124">
        <f>+Details!AQ311-Base!AQ311</f>
        <v>0</v>
      </c>
      <c r="CK311" s="1124">
        <f>+Details!AR311-Base!AR311</f>
        <v>0</v>
      </c>
      <c r="CL311" s="1124">
        <f>+Details!AS311-Base!AS311</f>
        <v>0</v>
      </c>
      <c r="CM311" s="81"/>
    </row>
    <row r="312" spans="1:91" ht="15.6" hidden="1">
      <c r="A312" s="1432" t="s">
        <v>639</v>
      </c>
      <c r="B312" s="72" t="s">
        <v>163</v>
      </c>
      <c r="C312" s="1727" t="str">
        <f>"during ages " &amp; Start_Compare1 &amp; " - " &amp; End_Compare1</f>
        <v>during ages 62 - 69</v>
      </c>
      <c r="E312" s="29">
        <f>SUM(F312:AS312)</f>
        <v>-355700</v>
      </c>
      <c r="F312" s="31">
        <f t="shared" ref="F312:AS312" si="260">+F88</f>
        <v>-40000</v>
      </c>
      <c r="G312" s="1124">
        <f t="shared" si="260"/>
        <v>-41200</v>
      </c>
      <c r="H312" s="1124">
        <f t="shared" si="260"/>
        <v>-42400</v>
      </c>
      <c r="I312" s="1124">
        <f t="shared" si="260"/>
        <v>-43700</v>
      </c>
      <c r="J312" s="1124">
        <f t="shared" si="260"/>
        <v>-45000</v>
      </c>
      <c r="K312" s="1124">
        <f t="shared" si="260"/>
        <v>-46400</v>
      </c>
      <c r="L312" s="1124">
        <f t="shared" si="260"/>
        <v>-47800</v>
      </c>
      <c r="M312" s="1124">
        <f t="shared" si="260"/>
        <v>-49200</v>
      </c>
      <c r="N312" s="1124">
        <f t="shared" si="260"/>
        <v>0</v>
      </c>
      <c r="O312" s="1124">
        <f t="shared" si="260"/>
        <v>0</v>
      </c>
      <c r="P312" s="1124">
        <f t="shared" si="260"/>
        <v>0</v>
      </c>
      <c r="Q312" s="1124">
        <f t="shared" si="260"/>
        <v>0</v>
      </c>
      <c r="R312" s="1124">
        <f t="shared" si="260"/>
        <v>0</v>
      </c>
      <c r="S312" s="1124">
        <f t="shared" si="260"/>
        <v>0</v>
      </c>
      <c r="T312" s="1124">
        <f t="shared" si="260"/>
        <v>0</v>
      </c>
      <c r="U312" s="1124">
        <f t="shared" si="260"/>
        <v>0</v>
      </c>
      <c r="V312" s="1124">
        <f t="shared" si="260"/>
        <v>0</v>
      </c>
      <c r="W312" s="1124">
        <f t="shared" si="260"/>
        <v>0</v>
      </c>
      <c r="X312" s="1124">
        <f t="shared" si="260"/>
        <v>0</v>
      </c>
      <c r="Y312" s="1124">
        <f t="shared" si="260"/>
        <v>0</v>
      </c>
      <c r="Z312" s="1124">
        <f t="shared" si="260"/>
        <v>0</v>
      </c>
      <c r="AA312" s="1124">
        <f t="shared" si="260"/>
        <v>0</v>
      </c>
      <c r="AB312" s="1124">
        <f t="shared" si="260"/>
        <v>0</v>
      </c>
      <c r="AC312" s="1124">
        <f t="shared" si="260"/>
        <v>0</v>
      </c>
      <c r="AD312" s="1124">
        <f t="shared" si="260"/>
        <v>0</v>
      </c>
      <c r="AE312" s="1124">
        <f t="shared" si="260"/>
        <v>0</v>
      </c>
      <c r="AF312" s="1124">
        <f t="shared" si="260"/>
        <v>0</v>
      </c>
      <c r="AG312" s="1124">
        <f t="shared" si="260"/>
        <v>0</v>
      </c>
      <c r="AH312" s="1124">
        <f t="shared" si="260"/>
        <v>0</v>
      </c>
      <c r="AI312" s="1124">
        <f t="shared" si="260"/>
        <v>0</v>
      </c>
      <c r="AJ312" s="1124">
        <f t="shared" si="260"/>
        <v>0</v>
      </c>
      <c r="AK312" s="1124">
        <f t="shared" si="260"/>
        <v>0</v>
      </c>
      <c r="AL312" s="1124">
        <f t="shared" si="260"/>
        <v>0</v>
      </c>
      <c r="AM312" s="1124">
        <f t="shared" si="260"/>
        <v>0</v>
      </c>
      <c r="AN312" s="1124">
        <f t="shared" si="260"/>
        <v>0</v>
      </c>
      <c r="AO312" s="1124">
        <f t="shared" si="260"/>
        <v>0</v>
      </c>
      <c r="AP312" s="1124">
        <f t="shared" si="260"/>
        <v>0</v>
      </c>
      <c r="AQ312" s="1124">
        <f t="shared" si="260"/>
        <v>0</v>
      </c>
      <c r="AR312" s="1124">
        <f t="shared" si="260"/>
        <v>0</v>
      </c>
      <c r="AS312" s="1124">
        <f t="shared" si="260"/>
        <v>0</v>
      </c>
      <c r="AU312" s="29">
        <f>+Details!E312</f>
        <v>-355700</v>
      </c>
      <c r="AV312" s="81">
        <f t="shared" si="256"/>
        <v>0</v>
      </c>
      <c r="AW312" s="102"/>
      <c r="AY312" s="31">
        <f>+Details!F312-Base!F312</f>
        <v>0</v>
      </c>
      <c r="AZ312" s="1124">
        <f>+Details!G312-Base!G312</f>
        <v>0</v>
      </c>
      <c r="BA312" s="1124">
        <f>+Details!H312-Base!H312</f>
        <v>0</v>
      </c>
      <c r="BB312" s="1124">
        <f>+Details!I312-Base!I312</f>
        <v>0</v>
      </c>
      <c r="BC312" s="1124">
        <f>+Details!J312-Base!J312</f>
        <v>0</v>
      </c>
      <c r="BD312" s="1124">
        <f>+Details!K312-Base!K312</f>
        <v>0</v>
      </c>
      <c r="BE312" s="1124">
        <f>+Details!L312-Base!L312</f>
        <v>0</v>
      </c>
      <c r="BF312" s="1124">
        <f>+Details!M312-Base!M312</f>
        <v>0</v>
      </c>
      <c r="BG312" s="1124">
        <f>+Details!N312-Base!N312</f>
        <v>0</v>
      </c>
      <c r="BH312" s="1124">
        <f>+Details!O312-Base!O312</f>
        <v>0</v>
      </c>
      <c r="BI312" s="1124">
        <f>+Details!P312-Base!P312</f>
        <v>0</v>
      </c>
      <c r="BJ312" s="1124">
        <f>+Details!Q312-Base!Q312</f>
        <v>0</v>
      </c>
      <c r="BK312" s="1124">
        <f>+Details!R312-Base!R312</f>
        <v>0</v>
      </c>
      <c r="BL312" s="1124">
        <f>+Details!S312-Base!S312</f>
        <v>0</v>
      </c>
      <c r="BM312" s="1124">
        <f>+Details!T312-Base!T312</f>
        <v>0</v>
      </c>
      <c r="BN312" s="1124">
        <f>+Details!U312-Base!U312</f>
        <v>0</v>
      </c>
      <c r="BO312" s="1124">
        <f>+Details!V312-Base!V312</f>
        <v>0</v>
      </c>
      <c r="BP312" s="1124">
        <f>+Details!W312-Base!W312</f>
        <v>0</v>
      </c>
      <c r="BQ312" s="1124">
        <f>+Details!X312-Base!X312</f>
        <v>0</v>
      </c>
      <c r="BR312" s="1124">
        <f>+Details!Y312-Base!Y312</f>
        <v>0</v>
      </c>
      <c r="BS312" s="1124">
        <f>+Details!Z312-Base!Z312</f>
        <v>0</v>
      </c>
      <c r="BT312" s="1124">
        <f>+Details!AA312-Base!AA312</f>
        <v>0</v>
      </c>
      <c r="BU312" s="1124">
        <f>+Details!AB312-Base!AB312</f>
        <v>0</v>
      </c>
      <c r="BV312" s="1124">
        <f>+Details!AC312-Base!AC312</f>
        <v>0</v>
      </c>
      <c r="BW312" s="1124">
        <f>+Details!AD312-Base!AD312</f>
        <v>0</v>
      </c>
      <c r="BX312" s="1124">
        <f>+Details!AE312-Base!AE312</f>
        <v>0</v>
      </c>
      <c r="BY312" s="1124">
        <f>+Details!AF312-Base!AF312</f>
        <v>0</v>
      </c>
      <c r="BZ312" s="1124">
        <f>+Details!AG312-Base!AG312</f>
        <v>0</v>
      </c>
      <c r="CA312" s="1124">
        <f>+Details!AH312-Base!AH312</f>
        <v>0</v>
      </c>
      <c r="CB312" s="1124">
        <f>+Details!AI312-Base!AI312</f>
        <v>0</v>
      </c>
      <c r="CC312" s="1124">
        <f>+Details!AJ312-Base!AJ312</f>
        <v>0</v>
      </c>
      <c r="CD312" s="1124">
        <f>+Details!AK312-Base!AK312</f>
        <v>0</v>
      </c>
      <c r="CE312" s="1124">
        <f>+Details!AL312-Base!AL312</f>
        <v>0</v>
      </c>
      <c r="CF312" s="1124">
        <f>+Details!AM312-Base!AM312</f>
        <v>0</v>
      </c>
      <c r="CG312" s="1124">
        <f>+Details!AN312-Base!AN312</f>
        <v>0</v>
      </c>
      <c r="CH312" s="1124">
        <f>+Details!AO312-Base!AO312</f>
        <v>0</v>
      </c>
      <c r="CI312" s="1124">
        <f>+Details!AP312-Base!AP312</f>
        <v>0</v>
      </c>
      <c r="CJ312" s="1124">
        <f>+Details!AQ312-Base!AQ312</f>
        <v>0</v>
      </c>
      <c r="CK312" s="1124">
        <f>+Details!AR312-Base!AR312</f>
        <v>0</v>
      </c>
      <c r="CL312" s="1124">
        <f>+Details!AS312-Base!AS312</f>
        <v>0</v>
      </c>
      <c r="CM312" s="81"/>
    </row>
    <row r="313" spans="1:91" ht="15.6" hidden="1">
      <c r="A313" s="1432" t="s">
        <v>639</v>
      </c>
      <c r="B313" s="28" t="s">
        <v>161</v>
      </c>
      <c r="C313" s="1175" t="s">
        <v>439</v>
      </c>
      <c r="D313" s="86"/>
      <c r="E313" s="150"/>
      <c r="F313" s="447"/>
      <c r="G313" s="1124"/>
      <c r="H313" s="1124"/>
      <c r="I313" s="1124"/>
      <c r="J313" s="1124"/>
      <c r="K313" s="1124"/>
      <c r="L313" s="1124"/>
      <c r="M313" s="1124"/>
      <c r="N313" s="1124"/>
      <c r="O313" s="1124"/>
      <c r="P313" s="1124"/>
      <c r="Q313" s="1124"/>
      <c r="R313" s="1124"/>
      <c r="S313" s="1124"/>
      <c r="T313" s="1124"/>
      <c r="U313" s="1124"/>
      <c r="V313" s="1124"/>
      <c r="W313" s="1124"/>
      <c r="X313" s="1124"/>
      <c r="Y313" s="1124"/>
      <c r="Z313" s="1124"/>
      <c r="AA313" s="1124"/>
      <c r="AB313" s="1124"/>
      <c r="AC313" s="1124"/>
      <c r="AD313" s="1124"/>
      <c r="AE313" s="1124"/>
      <c r="AF313" s="1124"/>
      <c r="AG313" s="1124"/>
      <c r="AH313" s="1124"/>
      <c r="AI313" s="1124"/>
      <c r="AJ313" s="1124"/>
      <c r="AK313" s="1124"/>
      <c r="AL313" s="1124"/>
      <c r="AM313" s="1124"/>
      <c r="AN313" s="1124"/>
      <c r="AO313" s="1124"/>
      <c r="AP313" s="1124"/>
      <c r="AQ313" s="1124"/>
      <c r="AR313" s="1124"/>
      <c r="AS313" s="1124"/>
      <c r="AU313" s="29"/>
      <c r="AV313" s="81"/>
      <c r="AW313" s="150"/>
      <c r="AY313" s="31"/>
      <c r="AZ313" s="1124"/>
      <c r="BA313" s="1124"/>
      <c r="BB313" s="1124"/>
      <c r="BC313" s="1124"/>
      <c r="BD313" s="1124"/>
      <c r="BE313" s="1124"/>
      <c r="BF313" s="1124"/>
      <c r="BG313" s="1124"/>
      <c r="BH313" s="1124"/>
      <c r="BI313" s="1124"/>
      <c r="BJ313" s="1124"/>
      <c r="BK313" s="1124"/>
      <c r="BL313" s="1124"/>
      <c r="BM313" s="1124"/>
      <c r="BN313" s="1124"/>
      <c r="BO313" s="1124"/>
      <c r="BP313" s="1124"/>
      <c r="BQ313" s="1124"/>
      <c r="BR313" s="1124"/>
      <c r="BS313" s="1124"/>
      <c r="BT313" s="1124"/>
      <c r="BU313" s="1124"/>
      <c r="BV313" s="1124"/>
      <c r="BW313" s="1124"/>
      <c r="BX313" s="1124"/>
      <c r="BY313" s="1124"/>
      <c r="BZ313" s="1124"/>
      <c r="CA313" s="1124"/>
      <c r="CB313" s="1124"/>
      <c r="CC313" s="1124"/>
      <c r="CD313" s="1124"/>
      <c r="CE313" s="1124"/>
      <c r="CF313" s="1124"/>
      <c r="CG313" s="1124"/>
      <c r="CH313" s="1124"/>
      <c r="CI313" s="1124"/>
      <c r="CJ313" s="1124"/>
      <c r="CK313" s="1124"/>
      <c r="CL313" s="1124"/>
      <c r="CM313" s="81"/>
    </row>
    <row r="314" spans="1:91" hidden="1">
      <c r="A314" s="1432" t="s">
        <v>639</v>
      </c>
      <c r="B314" s="72" t="s">
        <v>162</v>
      </c>
      <c r="C314" s="1175" t="s">
        <v>439</v>
      </c>
      <c r="E314" s="29"/>
      <c r="F314" s="447"/>
      <c r="G314" s="1124"/>
      <c r="H314" s="1124"/>
      <c r="I314" s="1124"/>
      <c r="J314" s="1124"/>
      <c r="K314" s="1124"/>
      <c r="L314" s="1124"/>
      <c r="M314" s="1124"/>
      <c r="N314" s="1124"/>
      <c r="O314" s="1124"/>
      <c r="P314" s="1124"/>
      <c r="Q314" s="1124"/>
      <c r="R314" s="1124"/>
      <c r="S314" s="1124"/>
      <c r="T314" s="1124"/>
      <c r="U314" s="1124"/>
      <c r="V314" s="1124"/>
      <c r="W314" s="1124"/>
      <c r="X314" s="1124"/>
      <c r="Y314" s="1124"/>
      <c r="Z314" s="1124"/>
      <c r="AA314" s="1124"/>
      <c r="AB314" s="1124"/>
      <c r="AC314" s="1124"/>
      <c r="AD314" s="1124"/>
      <c r="AE314" s="1124"/>
      <c r="AF314" s="1124"/>
      <c r="AG314" s="1124"/>
      <c r="AH314" s="1124"/>
      <c r="AI314" s="1124"/>
      <c r="AJ314" s="1124"/>
      <c r="AK314" s="1124"/>
      <c r="AL314" s="1124"/>
      <c r="AM314" s="1124"/>
      <c r="AN314" s="1124"/>
      <c r="AO314" s="1124"/>
      <c r="AP314" s="1124"/>
      <c r="AQ314" s="1124"/>
      <c r="AR314" s="1124"/>
      <c r="AS314" s="1124"/>
      <c r="AU314" s="29">
        <f>+Details!E314</f>
        <v>0</v>
      </c>
      <c r="AV314" s="81">
        <f t="shared" si="256"/>
        <v>0</v>
      </c>
      <c r="AW314" s="102"/>
      <c r="AY314" s="31">
        <f>+Details!F314-Base!F314</f>
        <v>0</v>
      </c>
      <c r="AZ314" s="1124">
        <f>+Details!G314-Base!G314</f>
        <v>0</v>
      </c>
      <c r="BA314" s="1124">
        <f>+Details!H314-Base!H314</f>
        <v>0</v>
      </c>
      <c r="BB314" s="1124">
        <f>+Details!I314-Base!I314</f>
        <v>0</v>
      </c>
      <c r="BC314" s="1124">
        <f>+Details!J314-Base!J314</f>
        <v>0</v>
      </c>
      <c r="BD314" s="1124">
        <f>+Details!K314-Base!K314</f>
        <v>0</v>
      </c>
      <c r="BE314" s="1124">
        <f>+Details!L314-Base!L314</f>
        <v>0</v>
      </c>
      <c r="BF314" s="1124">
        <f>+Details!M314-Base!M314</f>
        <v>0</v>
      </c>
      <c r="BG314" s="1124">
        <f>+Details!N314-Base!N314</f>
        <v>0</v>
      </c>
      <c r="BH314" s="1124">
        <f>+Details!O314-Base!O314</f>
        <v>0</v>
      </c>
      <c r="BI314" s="1124">
        <f>+Details!P314-Base!P314</f>
        <v>0</v>
      </c>
      <c r="BJ314" s="1124">
        <f>+Details!Q314-Base!Q314</f>
        <v>0</v>
      </c>
      <c r="BK314" s="1124">
        <f>+Details!R314-Base!R314</f>
        <v>0</v>
      </c>
      <c r="BL314" s="1124">
        <f>+Details!S314-Base!S314</f>
        <v>0</v>
      </c>
      <c r="BM314" s="1124">
        <f>+Details!T314-Base!T314</f>
        <v>0</v>
      </c>
      <c r="BN314" s="1124">
        <f>+Details!U314-Base!U314</f>
        <v>0</v>
      </c>
      <c r="BO314" s="1124">
        <f>+Details!V314-Base!V314</f>
        <v>0</v>
      </c>
      <c r="BP314" s="1124">
        <f>+Details!W314-Base!W314</f>
        <v>0</v>
      </c>
      <c r="BQ314" s="1124">
        <f>+Details!X314-Base!X314</f>
        <v>0</v>
      </c>
      <c r="BR314" s="1124">
        <f>+Details!Y314-Base!Y314</f>
        <v>0</v>
      </c>
      <c r="BS314" s="1124">
        <f>+Details!Z314-Base!Z314</f>
        <v>0</v>
      </c>
      <c r="BT314" s="1124">
        <f>+Details!AA314-Base!AA314</f>
        <v>0</v>
      </c>
      <c r="BU314" s="1124">
        <f>+Details!AB314-Base!AB314</f>
        <v>0</v>
      </c>
      <c r="BV314" s="1124">
        <f>+Details!AC314-Base!AC314</f>
        <v>0</v>
      </c>
      <c r="BW314" s="1124">
        <f>+Details!AD314-Base!AD314</f>
        <v>0</v>
      </c>
      <c r="BX314" s="1124">
        <f>+Details!AE314-Base!AE314</f>
        <v>0</v>
      </c>
      <c r="BY314" s="1124">
        <f>+Details!AF314-Base!AF314</f>
        <v>0</v>
      </c>
      <c r="BZ314" s="1124">
        <f>+Details!AG314-Base!AG314</f>
        <v>0</v>
      </c>
      <c r="CA314" s="1124">
        <f>+Details!AH314-Base!AH314</f>
        <v>0</v>
      </c>
      <c r="CB314" s="1124">
        <f>+Details!AI314-Base!AI314</f>
        <v>0</v>
      </c>
      <c r="CC314" s="1124">
        <f>+Details!AJ314-Base!AJ314</f>
        <v>0</v>
      </c>
      <c r="CD314" s="1124">
        <f>+Details!AK314-Base!AK314</f>
        <v>0</v>
      </c>
      <c r="CE314" s="1124">
        <f>+Details!AL314-Base!AL314</f>
        <v>0</v>
      </c>
      <c r="CF314" s="1124">
        <f>+Details!AM314-Base!AM314</f>
        <v>0</v>
      </c>
      <c r="CG314" s="1124">
        <f>+Details!AN314-Base!AN314</f>
        <v>0</v>
      </c>
      <c r="CH314" s="1124">
        <f>+Details!AO314-Base!AO314</f>
        <v>0</v>
      </c>
      <c r="CI314" s="1124">
        <f>+Details!AP314-Base!AP314</f>
        <v>0</v>
      </c>
      <c r="CJ314" s="1124">
        <f>+Details!AQ314-Base!AQ314</f>
        <v>0</v>
      </c>
      <c r="CK314" s="1124">
        <f>+Details!AR314-Base!AR314</f>
        <v>0</v>
      </c>
      <c r="CL314" s="1124">
        <f>+Details!AS314-Base!AS314</f>
        <v>0</v>
      </c>
      <c r="CM314" s="81"/>
    </row>
    <row r="315" spans="1:91" s="3" customFormat="1" ht="15.6" hidden="1">
      <c r="A315" s="1432" t="s">
        <v>639</v>
      </c>
      <c r="B315" s="424" t="s">
        <v>158</v>
      </c>
      <c r="D315" s="327"/>
      <c r="E315" s="506" t="s">
        <v>942</v>
      </c>
      <c r="F315" s="190">
        <f t="shared" ref="F315:AS315" si="261">IF(AND(Start_Base2&lt;=F$4,OR(End_Base2&gt;=F$4,End_Base2=0)),+F$306+F307+F$308+F$310+F$312+F$314,0)</f>
        <v>0</v>
      </c>
      <c r="G315" s="1124">
        <f t="shared" si="261"/>
        <v>0</v>
      </c>
      <c r="H315" s="1124">
        <f t="shared" si="261"/>
        <v>0</v>
      </c>
      <c r="I315" s="1124">
        <f t="shared" si="261"/>
        <v>0</v>
      </c>
      <c r="J315" s="1124">
        <f t="shared" si="261"/>
        <v>0</v>
      </c>
      <c r="K315" s="1124">
        <f t="shared" si="261"/>
        <v>0</v>
      </c>
      <c r="L315" s="1124">
        <f t="shared" si="261"/>
        <v>0</v>
      </c>
      <c r="M315" s="1124">
        <f t="shared" si="261"/>
        <v>0</v>
      </c>
      <c r="N315" s="1124">
        <f t="shared" si="261"/>
        <v>369500</v>
      </c>
      <c r="O315" s="1124">
        <f t="shared" si="261"/>
        <v>368700</v>
      </c>
      <c r="P315" s="1124">
        <f t="shared" si="261"/>
        <v>368800</v>
      </c>
      <c r="Q315" s="1124">
        <f t="shared" si="261"/>
        <v>369300</v>
      </c>
      <c r="R315" s="1124">
        <f t="shared" si="261"/>
        <v>370100</v>
      </c>
      <c r="S315" s="1124">
        <f t="shared" si="261"/>
        <v>371000</v>
      </c>
      <c r="T315" s="1124">
        <f t="shared" si="261"/>
        <v>0</v>
      </c>
      <c r="U315" s="1124">
        <f t="shared" si="261"/>
        <v>0</v>
      </c>
      <c r="V315" s="1124">
        <f t="shared" si="261"/>
        <v>0</v>
      </c>
      <c r="W315" s="1124">
        <f t="shared" si="261"/>
        <v>0</v>
      </c>
      <c r="X315" s="1124">
        <f t="shared" si="261"/>
        <v>0</v>
      </c>
      <c r="Y315" s="1124">
        <f t="shared" si="261"/>
        <v>0</v>
      </c>
      <c r="Z315" s="1124">
        <f t="shared" si="261"/>
        <v>0</v>
      </c>
      <c r="AA315" s="1124">
        <f t="shared" si="261"/>
        <v>0</v>
      </c>
      <c r="AB315" s="1124">
        <f t="shared" si="261"/>
        <v>0</v>
      </c>
      <c r="AC315" s="1124">
        <f t="shared" si="261"/>
        <v>0</v>
      </c>
      <c r="AD315" s="1124">
        <f t="shared" si="261"/>
        <v>0</v>
      </c>
      <c r="AE315" s="1124">
        <f t="shared" si="261"/>
        <v>0</v>
      </c>
      <c r="AF315" s="1124">
        <f t="shared" si="261"/>
        <v>0</v>
      </c>
      <c r="AG315" s="1124">
        <f t="shared" si="261"/>
        <v>0</v>
      </c>
      <c r="AH315" s="1124">
        <f t="shared" si="261"/>
        <v>0</v>
      </c>
      <c r="AI315" s="1124">
        <f t="shared" si="261"/>
        <v>0</v>
      </c>
      <c r="AJ315" s="1124">
        <f t="shared" si="261"/>
        <v>0</v>
      </c>
      <c r="AK315" s="1124">
        <f t="shared" si="261"/>
        <v>0</v>
      </c>
      <c r="AL315" s="1124">
        <f t="shared" si="261"/>
        <v>0</v>
      </c>
      <c r="AM315" s="1124">
        <f t="shared" si="261"/>
        <v>0</v>
      </c>
      <c r="AN315" s="1124">
        <f t="shared" si="261"/>
        <v>0</v>
      </c>
      <c r="AO315" s="1124">
        <f t="shared" si="261"/>
        <v>0</v>
      </c>
      <c r="AP315" s="1124">
        <f t="shared" si="261"/>
        <v>0</v>
      </c>
      <c r="AQ315" s="1124">
        <f t="shared" si="261"/>
        <v>0</v>
      </c>
      <c r="AR315" s="1124">
        <f t="shared" si="261"/>
        <v>0</v>
      </c>
      <c r="AS315" s="1124">
        <f t="shared" si="261"/>
        <v>0</v>
      </c>
      <c r="AU315" s="29"/>
      <c r="AV315" s="81"/>
      <c r="AW315" s="357"/>
      <c r="AY315" s="31">
        <f>+Details!F315-Base!F315</f>
        <v>0</v>
      </c>
      <c r="AZ315" s="1124">
        <f>+Details!G315-Base!G315</f>
        <v>0</v>
      </c>
      <c r="BA315" s="1124">
        <f>+Details!H315-Base!H315</f>
        <v>0</v>
      </c>
      <c r="BB315" s="1124">
        <f>+Details!I315-Base!I315</f>
        <v>0</v>
      </c>
      <c r="BC315" s="1124">
        <f>+Details!J315-Base!J315</f>
        <v>0</v>
      </c>
      <c r="BD315" s="1124">
        <f>+Details!K315-Base!K315</f>
        <v>0</v>
      </c>
      <c r="BE315" s="1124">
        <f>+Details!L315-Base!L315</f>
        <v>0</v>
      </c>
      <c r="BF315" s="1124">
        <f>+Details!M315-Base!M315</f>
        <v>0</v>
      </c>
      <c r="BG315" s="1124">
        <f>+Details!N315-Base!N315</f>
        <v>0</v>
      </c>
      <c r="BH315" s="1124">
        <f>+Details!O315-Base!O315</f>
        <v>0</v>
      </c>
      <c r="BI315" s="1124">
        <f>+Details!P315-Base!P315</f>
        <v>0</v>
      </c>
      <c r="BJ315" s="1124">
        <f>+Details!Q315-Base!Q315</f>
        <v>0</v>
      </c>
      <c r="BK315" s="1124">
        <f>+Details!R315-Base!R315</f>
        <v>0</v>
      </c>
      <c r="BL315" s="1124">
        <f>+Details!S315-Base!S315</f>
        <v>0</v>
      </c>
      <c r="BM315" s="1124">
        <f>+Details!T315-Base!T315</f>
        <v>0</v>
      </c>
      <c r="BN315" s="1124">
        <f>+Details!U315-Base!U315</f>
        <v>0</v>
      </c>
      <c r="BO315" s="1124">
        <f>+Details!V315-Base!V315</f>
        <v>0</v>
      </c>
      <c r="BP315" s="1124">
        <f>+Details!W315-Base!W315</f>
        <v>0</v>
      </c>
      <c r="BQ315" s="1124">
        <f>+Details!X315-Base!X315</f>
        <v>0</v>
      </c>
      <c r="BR315" s="1124">
        <f>+Details!Y315-Base!Y315</f>
        <v>0</v>
      </c>
      <c r="BS315" s="1124">
        <f>+Details!Z315-Base!Z315</f>
        <v>0</v>
      </c>
      <c r="BT315" s="1124">
        <f>+Details!AA315-Base!AA315</f>
        <v>0</v>
      </c>
      <c r="BU315" s="1124">
        <f>+Details!AB315-Base!AB315</f>
        <v>0</v>
      </c>
      <c r="BV315" s="1124">
        <f>+Details!AC315-Base!AC315</f>
        <v>0</v>
      </c>
      <c r="BW315" s="1124">
        <f>+Details!AD315-Base!AD315</f>
        <v>0</v>
      </c>
      <c r="BX315" s="1124">
        <f>+Details!AE315-Base!AE315</f>
        <v>0</v>
      </c>
      <c r="BY315" s="1124">
        <f>+Details!AF315-Base!AF315</f>
        <v>0</v>
      </c>
      <c r="BZ315" s="1124">
        <f>+Details!AG315-Base!AG315</f>
        <v>0</v>
      </c>
      <c r="CA315" s="1124">
        <f>+Details!AH315-Base!AH315</f>
        <v>0</v>
      </c>
      <c r="CB315" s="1124">
        <f>+Details!AI315-Base!AI315</f>
        <v>0</v>
      </c>
      <c r="CC315" s="1124">
        <f>+Details!AJ315-Base!AJ315</f>
        <v>0</v>
      </c>
      <c r="CD315" s="1124">
        <f>+Details!AK315-Base!AK315</f>
        <v>0</v>
      </c>
      <c r="CE315" s="1124">
        <f>+Details!AL315-Base!AL315</f>
        <v>0</v>
      </c>
      <c r="CF315" s="1124">
        <f>+Details!AM315-Base!AM315</f>
        <v>0</v>
      </c>
      <c r="CG315" s="1124">
        <f>+Details!AN315-Base!AN315</f>
        <v>0</v>
      </c>
      <c r="CH315" s="1124">
        <f>+Details!AO315-Base!AO315</f>
        <v>0</v>
      </c>
      <c r="CI315" s="1124">
        <f>+Details!AP315-Base!AP315</f>
        <v>0</v>
      </c>
      <c r="CJ315" s="1124">
        <f>+Details!AQ315-Base!AQ315</f>
        <v>0</v>
      </c>
      <c r="CK315" s="1124">
        <f>+Details!AR315-Base!AR315</f>
        <v>0</v>
      </c>
      <c r="CL315" s="1124">
        <f>+Details!AS315-Base!AS315</f>
        <v>0</v>
      </c>
      <c r="CM315" s="81"/>
    </row>
    <row r="316" spans="1:91" ht="15.6" hidden="1">
      <c r="A316" s="1432" t="s">
        <v>639</v>
      </c>
      <c r="B316" s="72" t="s">
        <v>165</v>
      </c>
      <c r="C316" s="1727" t="str">
        <f>"during ages " &amp; Start_Compare2 &amp; " - " &amp; End_Compare2</f>
        <v>during ages 70 - 75</v>
      </c>
      <c r="E316" s="29">
        <f>SUM(F316:AS316)</f>
        <v>-46900</v>
      </c>
      <c r="F316" s="31">
        <f t="shared" ref="F316:AS316" si="262">+F89</f>
        <v>0</v>
      </c>
      <c r="G316" s="1124">
        <f t="shared" si="262"/>
        <v>0</v>
      </c>
      <c r="H316" s="1124">
        <f t="shared" si="262"/>
        <v>0</v>
      </c>
      <c r="I316" s="1124">
        <f t="shared" si="262"/>
        <v>0</v>
      </c>
      <c r="J316" s="1124">
        <f t="shared" si="262"/>
        <v>0</v>
      </c>
      <c r="K316" s="1124">
        <f t="shared" si="262"/>
        <v>0</v>
      </c>
      <c r="L316" s="1124">
        <f t="shared" si="262"/>
        <v>0</v>
      </c>
      <c r="M316" s="1124">
        <f t="shared" si="262"/>
        <v>0</v>
      </c>
      <c r="N316" s="1124">
        <f t="shared" si="262"/>
        <v>-10000</v>
      </c>
      <c r="O316" s="1124">
        <f t="shared" si="262"/>
        <v>-9000</v>
      </c>
      <c r="P316" s="1124">
        <f t="shared" si="262"/>
        <v>-8100</v>
      </c>
      <c r="Q316" s="1124">
        <f t="shared" si="262"/>
        <v>-7300</v>
      </c>
      <c r="R316" s="1124">
        <f t="shared" si="262"/>
        <v>-6600</v>
      </c>
      <c r="S316" s="1124">
        <f t="shared" si="262"/>
        <v>-5900</v>
      </c>
      <c r="T316" s="1124">
        <f t="shared" si="262"/>
        <v>0</v>
      </c>
      <c r="U316" s="1124">
        <f t="shared" si="262"/>
        <v>0</v>
      </c>
      <c r="V316" s="1124">
        <f t="shared" si="262"/>
        <v>0</v>
      </c>
      <c r="W316" s="1124">
        <f t="shared" si="262"/>
        <v>0</v>
      </c>
      <c r="X316" s="1124">
        <f t="shared" si="262"/>
        <v>0</v>
      </c>
      <c r="Y316" s="1124">
        <f t="shared" si="262"/>
        <v>0</v>
      </c>
      <c r="Z316" s="1124">
        <f t="shared" si="262"/>
        <v>0</v>
      </c>
      <c r="AA316" s="1124">
        <f t="shared" si="262"/>
        <v>0</v>
      </c>
      <c r="AB316" s="1124">
        <f t="shared" si="262"/>
        <v>0</v>
      </c>
      <c r="AC316" s="1124">
        <f t="shared" si="262"/>
        <v>0</v>
      </c>
      <c r="AD316" s="1124">
        <f t="shared" si="262"/>
        <v>0</v>
      </c>
      <c r="AE316" s="1124">
        <f t="shared" si="262"/>
        <v>0</v>
      </c>
      <c r="AF316" s="1124">
        <f t="shared" si="262"/>
        <v>0</v>
      </c>
      <c r="AG316" s="1124">
        <f t="shared" si="262"/>
        <v>0</v>
      </c>
      <c r="AH316" s="1124">
        <f t="shared" si="262"/>
        <v>0</v>
      </c>
      <c r="AI316" s="1124">
        <f t="shared" si="262"/>
        <v>0</v>
      </c>
      <c r="AJ316" s="1124">
        <f t="shared" si="262"/>
        <v>0</v>
      </c>
      <c r="AK316" s="1124">
        <f t="shared" si="262"/>
        <v>0</v>
      </c>
      <c r="AL316" s="1124">
        <f t="shared" si="262"/>
        <v>0</v>
      </c>
      <c r="AM316" s="1124">
        <f t="shared" si="262"/>
        <v>0</v>
      </c>
      <c r="AN316" s="1124">
        <f t="shared" si="262"/>
        <v>0</v>
      </c>
      <c r="AO316" s="1124">
        <f t="shared" si="262"/>
        <v>0</v>
      </c>
      <c r="AP316" s="1124">
        <f t="shared" si="262"/>
        <v>0</v>
      </c>
      <c r="AQ316" s="1124">
        <f t="shared" si="262"/>
        <v>0</v>
      </c>
      <c r="AR316" s="1124">
        <f t="shared" si="262"/>
        <v>0</v>
      </c>
      <c r="AS316" s="1124">
        <f t="shared" si="262"/>
        <v>0</v>
      </c>
      <c r="AU316" s="29">
        <f>+Details!E316</f>
        <v>-46900</v>
      </c>
      <c r="AV316" s="81">
        <f t="shared" si="256"/>
        <v>0</v>
      </c>
      <c r="AW316" s="102"/>
      <c r="AY316" s="31">
        <f>+Details!F316-Base!F316</f>
        <v>0</v>
      </c>
      <c r="AZ316" s="1124">
        <f>+Details!G316-Base!G316</f>
        <v>0</v>
      </c>
      <c r="BA316" s="1124">
        <f>+Details!H316-Base!H316</f>
        <v>0</v>
      </c>
      <c r="BB316" s="1124">
        <f>+Details!I316-Base!I316</f>
        <v>0</v>
      </c>
      <c r="BC316" s="1124">
        <f>+Details!J316-Base!J316</f>
        <v>0</v>
      </c>
      <c r="BD316" s="1124">
        <f>+Details!K316-Base!K316</f>
        <v>0</v>
      </c>
      <c r="BE316" s="1124">
        <f>+Details!L316-Base!L316</f>
        <v>0</v>
      </c>
      <c r="BF316" s="1124">
        <f>+Details!M316-Base!M316</f>
        <v>0</v>
      </c>
      <c r="BG316" s="1124">
        <f>+Details!N316-Base!N316</f>
        <v>0</v>
      </c>
      <c r="BH316" s="1124">
        <f>+Details!O316-Base!O316</f>
        <v>0</v>
      </c>
      <c r="BI316" s="1124">
        <f>+Details!P316-Base!P316</f>
        <v>0</v>
      </c>
      <c r="BJ316" s="1124">
        <f>+Details!Q316-Base!Q316</f>
        <v>0</v>
      </c>
      <c r="BK316" s="1124">
        <f>+Details!R316-Base!R316</f>
        <v>0</v>
      </c>
      <c r="BL316" s="1124">
        <f>+Details!S316-Base!S316</f>
        <v>0</v>
      </c>
      <c r="BM316" s="1124">
        <f>+Details!T316-Base!T316</f>
        <v>0</v>
      </c>
      <c r="BN316" s="1124">
        <f>+Details!U316-Base!U316</f>
        <v>0</v>
      </c>
      <c r="BO316" s="1124">
        <f>+Details!V316-Base!V316</f>
        <v>0</v>
      </c>
      <c r="BP316" s="1124">
        <f>+Details!W316-Base!W316</f>
        <v>0</v>
      </c>
      <c r="BQ316" s="1124">
        <f>+Details!X316-Base!X316</f>
        <v>0</v>
      </c>
      <c r="BR316" s="1124">
        <f>+Details!Y316-Base!Y316</f>
        <v>0</v>
      </c>
      <c r="BS316" s="1124">
        <f>+Details!Z316-Base!Z316</f>
        <v>0</v>
      </c>
      <c r="BT316" s="1124">
        <f>+Details!AA316-Base!AA316</f>
        <v>0</v>
      </c>
      <c r="BU316" s="1124">
        <f>+Details!AB316-Base!AB316</f>
        <v>0</v>
      </c>
      <c r="BV316" s="1124">
        <f>+Details!AC316-Base!AC316</f>
        <v>0</v>
      </c>
      <c r="BW316" s="1124">
        <f>+Details!AD316-Base!AD316</f>
        <v>0</v>
      </c>
      <c r="BX316" s="1124">
        <f>+Details!AE316-Base!AE316</f>
        <v>0</v>
      </c>
      <c r="BY316" s="1124">
        <f>+Details!AF316-Base!AF316</f>
        <v>0</v>
      </c>
      <c r="BZ316" s="1124">
        <f>+Details!AG316-Base!AG316</f>
        <v>0</v>
      </c>
      <c r="CA316" s="1124">
        <f>+Details!AH316-Base!AH316</f>
        <v>0</v>
      </c>
      <c r="CB316" s="1124">
        <f>+Details!AI316-Base!AI316</f>
        <v>0</v>
      </c>
      <c r="CC316" s="1124">
        <f>+Details!AJ316-Base!AJ316</f>
        <v>0</v>
      </c>
      <c r="CD316" s="1124">
        <f>+Details!AK316-Base!AK316</f>
        <v>0</v>
      </c>
      <c r="CE316" s="1124">
        <f>+Details!AL316-Base!AL316</f>
        <v>0</v>
      </c>
      <c r="CF316" s="1124">
        <f>+Details!AM316-Base!AM316</f>
        <v>0</v>
      </c>
      <c r="CG316" s="1124">
        <f>+Details!AN316-Base!AN316</f>
        <v>0</v>
      </c>
      <c r="CH316" s="1124">
        <f>+Details!AO316-Base!AO316</f>
        <v>0</v>
      </c>
      <c r="CI316" s="1124">
        <f>+Details!AP316-Base!AP316</f>
        <v>0</v>
      </c>
      <c r="CJ316" s="1124">
        <f>+Details!AQ316-Base!AQ316</f>
        <v>0</v>
      </c>
      <c r="CK316" s="1124">
        <f>+Details!AR316-Base!AR316</f>
        <v>0</v>
      </c>
      <c r="CL316" s="1124">
        <f>+Details!AS316-Base!AS316</f>
        <v>0</v>
      </c>
      <c r="CM316" s="81"/>
    </row>
    <row r="317" spans="1:91" hidden="1">
      <c r="A317" s="1432" t="s">
        <v>639</v>
      </c>
      <c r="B317" s="72" t="s">
        <v>166</v>
      </c>
      <c r="C317" s="3"/>
      <c r="E317" s="29">
        <f>SUM(F317:AS317)</f>
        <v>727700</v>
      </c>
      <c r="F317" s="31">
        <f t="shared" ref="F317:AS317" si="263">+F29</f>
        <v>31200</v>
      </c>
      <c r="G317" s="1124">
        <f t="shared" si="263"/>
        <v>30600</v>
      </c>
      <c r="H317" s="1124">
        <f t="shared" si="263"/>
        <v>29900</v>
      </c>
      <c r="I317" s="1124">
        <f t="shared" si="263"/>
        <v>29000</v>
      </c>
      <c r="J317" s="1124">
        <f t="shared" si="263"/>
        <v>28000</v>
      </c>
      <c r="K317" s="1124">
        <f t="shared" si="263"/>
        <v>26900</v>
      </c>
      <c r="L317" s="1124">
        <f t="shared" si="263"/>
        <v>25500</v>
      </c>
      <c r="M317" s="1124">
        <f t="shared" si="263"/>
        <v>24100</v>
      </c>
      <c r="N317" s="1124">
        <f t="shared" si="263"/>
        <v>23700</v>
      </c>
      <c r="O317" s="1124">
        <f t="shared" si="263"/>
        <v>24100</v>
      </c>
      <c r="P317" s="1124">
        <f t="shared" si="263"/>
        <v>24200</v>
      </c>
      <c r="Q317" s="1124">
        <f t="shared" si="263"/>
        <v>24300</v>
      </c>
      <c r="R317" s="1124">
        <f t="shared" si="263"/>
        <v>24400</v>
      </c>
      <c r="S317" s="1124">
        <f t="shared" si="263"/>
        <v>24500</v>
      </c>
      <c r="T317" s="1124">
        <f t="shared" si="263"/>
        <v>24700</v>
      </c>
      <c r="U317" s="1124">
        <f t="shared" si="263"/>
        <v>25200</v>
      </c>
      <c r="V317" s="1124">
        <f t="shared" si="263"/>
        <v>25600</v>
      </c>
      <c r="W317" s="1124">
        <f t="shared" si="263"/>
        <v>25900</v>
      </c>
      <c r="X317" s="1124">
        <f t="shared" si="263"/>
        <v>22500</v>
      </c>
      <c r="Y317" s="1124">
        <f t="shared" si="263"/>
        <v>22500</v>
      </c>
      <c r="Z317" s="1124">
        <f t="shared" si="263"/>
        <v>22500</v>
      </c>
      <c r="AA317" s="1124">
        <f t="shared" si="263"/>
        <v>22400</v>
      </c>
      <c r="AB317" s="1124">
        <f t="shared" si="263"/>
        <v>22200</v>
      </c>
      <c r="AC317" s="1124">
        <f t="shared" si="263"/>
        <v>21900</v>
      </c>
      <c r="AD317" s="1124">
        <f t="shared" si="263"/>
        <v>21600</v>
      </c>
      <c r="AE317" s="1124">
        <f t="shared" si="263"/>
        <v>21200</v>
      </c>
      <c r="AF317" s="1124">
        <f t="shared" si="263"/>
        <v>20700</v>
      </c>
      <c r="AG317" s="1124">
        <f t="shared" si="263"/>
        <v>20100</v>
      </c>
      <c r="AH317" s="1124">
        <f t="shared" si="263"/>
        <v>19500</v>
      </c>
      <c r="AI317" s="1124">
        <f t="shared" si="263"/>
        <v>18800</v>
      </c>
      <c r="AJ317" s="1124">
        <f t="shared" si="263"/>
        <v>0</v>
      </c>
      <c r="AK317" s="1124">
        <f t="shared" si="263"/>
        <v>0</v>
      </c>
      <c r="AL317" s="1124">
        <f t="shared" si="263"/>
        <v>0</v>
      </c>
      <c r="AM317" s="1124">
        <f t="shared" si="263"/>
        <v>0</v>
      </c>
      <c r="AN317" s="1124">
        <f t="shared" si="263"/>
        <v>0</v>
      </c>
      <c r="AO317" s="1124">
        <f t="shared" si="263"/>
        <v>0</v>
      </c>
      <c r="AP317" s="1124">
        <f t="shared" si="263"/>
        <v>0</v>
      </c>
      <c r="AQ317" s="1124">
        <f t="shared" si="263"/>
        <v>0</v>
      </c>
      <c r="AR317" s="1124">
        <f t="shared" si="263"/>
        <v>0</v>
      </c>
      <c r="AS317" s="1124">
        <f t="shared" si="263"/>
        <v>0</v>
      </c>
      <c r="AU317" s="29">
        <f>+Details!E317</f>
        <v>727700</v>
      </c>
      <c r="AV317" s="81">
        <f t="shared" si="256"/>
        <v>0</v>
      </c>
      <c r="AW317" s="102"/>
      <c r="AY317" s="31">
        <f>+Details!F317-Base!F317</f>
        <v>0</v>
      </c>
      <c r="AZ317" s="1124">
        <f>+Details!G317-Base!G317</f>
        <v>0</v>
      </c>
      <c r="BA317" s="1124">
        <f>+Details!H317-Base!H317</f>
        <v>0</v>
      </c>
      <c r="BB317" s="1124">
        <f>+Details!I317-Base!I317</f>
        <v>0</v>
      </c>
      <c r="BC317" s="1124">
        <f>+Details!J317-Base!J317</f>
        <v>0</v>
      </c>
      <c r="BD317" s="1124">
        <f>+Details!K317-Base!K317</f>
        <v>0</v>
      </c>
      <c r="BE317" s="1124">
        <f>+Details!L317-Base!L317</f>
        <v>0</v>
      </c>
      <c r="BF317" s="1124">
        <f>+Details!M317-Base!M317</f>
        <v>0</v>
      </c>
      <c r="BG317" s="1124">
        <f>+Details!N317-Base!N317</f>
        <v>0</v>
      </c>
      <c r="BH317" s="1124">
        <f>+Details!O317-Base!O317</f>
        <v>0</v>
      </c>
      <c r="BI317" s="1124">
        <f>+Details!P317-Base!P317</f>
        <v>0</v>
      </c>
      <c r="BJ317" s="1124">
        <f>+Details!Q317-Base!Q317</f>
        <v>0</v>
      </c>
      <c r="BK317" s="1124">
        <f>+Details!R317-Base!R317</f>
        <v>0</v>
      </c>
      <c r="BL317" s="1124">
        <f>+Details!S317-Base!S317</f>
        <v>0</v>
      </c>
      <c r="BM317" s="1124">
        <f>+Details!T317-Base!T317</f>
        <v>0</v>
      </c>
      <c r="BN317" s="1124">
        <f>+Details!U317-Base!U317</f>
        <v>0</v>
      </c>
      <c r="BO317" s="1124">
        <f>+Details!V317-Base!V317</f>
        <v>0</v>
      </c>
      <c r="BP317" s="1124">
        <f>+Details!W317-Base!W317</f>
        <v>0</v>
      </c>
      <c r="BQ317" s="1124">
        <f>+Details!X317-Base!X317</f>
        <v>0</v>
      </c>
      <c r="BR317" s="1124">
        <f>+Details!Y317-Base!Y317</f>
        <v>0</v>
      </c>
      <c r="BS317" s="1124">
        <f>+Details!Z317-Base!Z317</f>
        <v>0</v>
      </c>
      <c r="BT317" s="1124">
        <f>+Details!AA317-Base!AA317</f>
        <v>0</v>
      </c>
      <c r="BU317" s="1124">
        <f>+Details!AB317-Base!AB317</f>
        <v>0</v>
      </c>
      <c r="BV317" s="1124">
        <f>+Details!AC317-Base!AC317</f>
        <v>0</v>
      </c>
      <c r="BW317" s="1124">
        <f>+Details!AD317-Base!AD317</f>
        <v>0</v>
      </c>
      <c r="BX317" s="1124">
        <f>+Details!AE317-Base!AE317</f>
        <v>0</v>
      </c>
      <c r="BY317" s="1124">
        <f>+Details!AF317-Base!AF317</f>
        <v>0</v>
      </c>
      <c r="BZ317" s="1124">
        <f>+Details!AG317-Base!AG317</f>
        <v>0</v>
      </c>
      <c r="CA317" s="1124">
        <f>+Details!AH317-Base!AH317</f>
        <v>0</v>
      </c>
      <c r="CB317" s="1124">
        <f>+Details!AI317-Base!AI317</f>
        <v>0</v>
      </c>
      <c r="CC317" s="1124">
        <f>+Details!AJ317-Base!AJ317</f>
        <v>0</v>
      </c>
      <c r="CD317" s="1124">
        <f>+Details!AK317-Base!AK317</f>
        <v>0</v>
      </c>
      <c r="CE317" s="1124">
        <f>+Details!AL317-Base!AL317</f>
        <v>0</v>
      </c>
      <c r="CF317" s="1124">
        <f>+Details!AM317-Base!AM317</f>
        <v>0</v>
      </c>
      <c r="CG317" s="1124">
        <f>+Details!AN317-Base!AN317</f>
        <v>0</v>
      </c>
      <c r="CH317" s="1124">
        <f>+Details!AO317-Base!AO317</f>
        <v>0</v>
      </c>
      <c r="CI317" s="1124">
        <f>+Details!AP317-Base!AP317</f>
        <v>0</v>
      </c>
      <c r="CJ317" s="1124">
        <f>+Details!AQ317-Base!AQ317</f>
        <v>0</v>
      </c>
      <c r="CK317" s="1124">
        <f>+Details!AR317-Base!AR317</f>
        <v>0</v>
      </c>
      <c r="CL317" s="1124">
        <f>+Details!AS317-Base!AS317</f>
        <v>0</v>
      </c>
      <c r="CM317" s="81"/>
    </row>
    <row r="318" spans="1:91" hidden="1">
      <c r="A318" s="1432" t="s">
        <v>639</v>
      </c>
      <c r="B318" s="72" t="s">
        <v>941</v>
      </c>
      <c r="C318" s="3"/>
      <c r="E318" s="29">
        <f>SUM(F318:AS318)</f>
        <v>0</v>
      </c>
      <c r="F318" s="31">
        <f t="shared" ref="F318:AS318" si="264">+F63</f>
        <v>0</v>
      </c>
      <c r="G318" s="1124">
        <f t="shared" si="264"/>
        <v>0</v>
      </c>
      <c r="H318" s="1124">
        <f t="shared" si="264"/>
        <v>0</v>
      </c>
      <c r="I318" s="1124">
        <f t="shared" si="264"/>
        <v>0</v>
      </c>
      <c r="J318" s="1124">
        <f t="shared" si="264"/>
        <v>0</v>
      </c>
      <c r="K318" s="1124">
        <f t="shared" si="264"/>
        <v>0</v>
      </c>
      <c r="L318" s="1124">
        <f t="shared" si="264"/>
        <v>0</v>
      </c>
      <c r="M318" s="1124">
        <f t="shared" si="264"/>
        <v>0</v>
      </c>
      <c r="N318" s="1124">
        <f t="shared" si="264"/>
        <v>0</v>
      </c>
      <c r="O318" s="1124">
        <f t="shared" si="264"/>
        <v>0</v>
      </c>
      <c r="P318" s="1124">
        <f t="shared" si="264"/>
        <v>0</v>
      </c>
      <c r="Q318" s="1124">
        <f t="shared" si="264"/>
        <v>0</v>
      </c>
      <c r="R318" s="1124">
        <f t="shared" si="264"/>
        <v>0</v>
      </c>
      <c r="S318" s="1124">
        <f t="shared" si="264"/>
        <v>0</v>
      </c>
      <c r="T318" s="1124">
        <f t="shared" si="264"/>
        <v>0</v>
      </c>
      <c r="U318" s="1124">
        <f t="shared" si="264"/>
        <v>0</v>
      </c>
      <c r="V318" s="1124">
        <f t="shared" si="264"/>
        <v>0</v>
      </c>
      <c r="W318" s="1124">
        <f t="shared" si="264"/>
        <v>0</v>
      </c>
      <c r="X318" s="1124">
        <f t="shared" si="264"/>
        <v>0</v>
      </c>
      <c r="Y318" s="1124">
        <f t="shared" si="264"/>
        <v>0</v>
      </c>
      <c r="Z318" s="1124">
        <f t="shared" si="264"/>
        <v>0</v>
      </c>
      <c r="AA318" s="1124">
        <f t="shared" si="264"/>
        <v>0</v>
      </c>
      <c r="AB318" s="1124">
        <f t="shared" si="264"/>
        <v>0</v>
      </c>
      <c r="AC318" s="1124">
        <f t="shared" si="264"/>
        <v>0</v>
      </c>
      <c r="AD318" s="1124">
        <f t="shared" si="264"/>
        <v>0</v>
      </c>
      <c r="AE318" s="1124">
        <f t="shared" si="264"/>
        <v>0</v>
      </c>
      <c r="AF318" s="1124">
        <f t="shared" si="264"/>
        <v>0</v>
      </c>
      <c r="AG318" s="1124">
        <f t="shared" si="264"/>
        <v>0</v>
      </c>
      <c r="AH318" s="1124">
        <f t="shared" si="264"/>
        <v>0</v>
      </c>
      <c r="AI318" s="1124">
        <f t="shared" si="264"/>
        <v>0</v>
      </c>
      <c r="AJ318" s="1124">
        <f t="shared" si="264"/>
        <v>0</v>
      </c>
      <c r="AK318" s="1124">
        <f t="shared" si="264"/>
        <v>0</v>
      </c>
      <c r="AL318" s="1124">
        <f t="shared" si="264"/>
        <v>0</v>
      </c>
      <c r="AM318" s="1124">
        <f t="shared" si="264"/>
        <v>0</v>
      </c>
      <c r="AN318" s="1124">
        <f t="shared" si="264"/>
        <v>0</v>
      </c>
      <c r="AO318" s="1124">
        <f t="shared" si="264"/>
        <v>0</v>
      </c>
      <c r="AP318" s="1124">
        <f t="shared" si="264"/>
        <v>0</v>
      </c>
      <c r="AQ318" s="1124">
        <f t="shared" si="264"/>
        <v>0</v>
      </c>
      <c r="AR318" s="1124">
        <f t="shared" si="264"/>
        <v>0</v>
      </c>
      <c r="AS318" s="1124">
        <f t="shared" si="264"/>
        <v>0</v>
      </c>
      <c r="AU318" s="29">
        <f>+Details!E318</f>
        <v>0</v>
      </c>
      <c r="AV318" s="81">
        <f>+E318-AU318</f>
        <v>0</v>
      </c>
      <c r="AW318" s="102"/>
      <c r="AY318" s="31">
        <f>+Details!F318-Base!F318</f>
        <v>0</v>
      </c>
      <c r="AZ318" s="1124">
        <f>+Details!G318-Base!G318</f>
        <v>0</v>
      </c>
      <c r="BA318" s="1124">
        <f>+Details!H318-Base!H318</f>
        <v>0</v>
      </c>
      <c r="BB318" s="1124">
        <f>+Details!I318-Base!I318</f>
        <v>0</v>
      </c>
      <c r="BC318" s="1124">
        <f>+Details!J318-Base!J318</f>
        <v>0</v>
      </c>
      <c r="BD318" s="1124">
        <f>+Details!K318-Base!K318</f>
        <v>0</v>
      </c>
      <c r="BE318" s="1124">
        <f>+Details!L318-Base!L318</f>
        <v>0</v>
      </c>
      <c r="BF318" s="1124">
        <f>+Details!M318-Base!M318</f>
        <v>0</v>
      </c>
      <c r="BG318" s="1124">
        <f>+Details!N318-Base!N318</f>
        <v>0</v>
      </c>
      <c r="BH318" s="1124">
        <f>+Details!O318-Base!O318</f>
        <v>0</v>
      </c>
      <c r="BI318" s="1124">
        <f>+Details!P318-Base!P318</f>
        <v>0</v>
      </c>
      <c r="BJ318" s="1124">
        <f>+Details!Q318-Base!Q318</f>
        <v>0</v>
      </c>
      <c r="BK318" s="1124">
        <f>+Details!R318-Base!R318</f>
        <v>0</v>
      </c>
      <c r="BL318" s="1124">
        <f>+Details!S318-Base!S318</f>
        <v>0</v>
      </c>
      <c r="BM318" s="1124">
        <f>+Details!T318-Base!T318</f>
        <v>0</v>
      </c>
      <c r="BN318" s="1124">
        <f>+Details!U318-Base!U318</f>
        <v>0</v>
      </c>
      <c r="BO318" s="1124">
        <f>+Details!V318-Base!V318</f>
        <v>0</v>
      </c>
      <c r="BP318" s="1124">
        <f>+Details!W318-Base!W318</f>
        <v>0</v>
      </c>
      <c r="BQ318" s="1124">
        <f>+Details!X318-Base!X318</f>
        <v>0</v>
      </c>
      <c r="BR318" s="1124">
        <f>+Details!Y318-Base!Y318</f>
        <v>0</v>
      </c>
      <c r="BS318" s="1124">
        <f>+Details!Z318-Base!Z318</f>
        <v>0</v>
      </c>
      <c r="BT318" s="1124">
        <f>+Details!AA318-Base!AA318</f>
        <v>0</v>
      </c>
      <c r="BU318" s="1124">
        <f>+Details!AB318-Base!AB318</f>
        <v>0</v>
      </c>
      <c r="BV318" s="1124">
        <f>+Details!AC318-Base!AC318</f>
        <v>0</v>
      </c>
      <c r="BW318" s="1124">
        <f>+Details!AD318-Base!AD318</f>
        <v>0</v>
      </c>
      <c r="BX318" s="1124">
        <f>+Details!AE318-Base!AE318</f>
        <v>0</v>
      </c>
      <c r="BY318" s="1124">
        <f>+Details!AF318-Base!AF318</f>
        <v>0</v>
      </c>
      <c r="BZ318" s="1124">
        <f>+Details!AG318-Base!AG318</f>
        <v>0</v>
      </c>
      <c r="CA318" s="1124">
        <f>+Details!AH318-Base!AH318</f>
        <v>0</v>
      </c>
      <c r="CB318" s="1124">
        <f>+Details!AI318-Base!AI318</f>
        <v>0</v>
      </c>
      <c r="CC318" s="1124">
        <f>+Details!AJ318-Base!AJ318</f>
        <v>0</v>
      </c>
      <c r="CD318" s="1124">
        <f>+Details!AK318-Base!AK318</f>
        <v>0</v>
      </c>
      <c r="CE318" s="1124">
        <f>+Details!AL318-Base!AL318</f>
        <v>0</v>
      </c>
      <c r="CF318" s="1124">
        <f>+Details!AM318-Base!AM318</f>
        <v>0</v>
      </c>
      <c r="CG318" s="1124">
        <f>+Details!AN318-Base!AN318</f>
        <v>0</v>
      </c>
      <c r="CH318" s="1124">
        <f>+Details!AO318-Base!AO318</f>
        <v>0</v>
      </c>
      <c r="CI318" s="1124">
        <f>+Details!AP318-Base!AP318</f>
        <v>0</v>
      </c>
      <c r="CJ318" s="1124">
        <f>+Details!AQ318-Base!AQ318</f>
        <v>0</v>
      </c>
      <c r="CK318" s="1124">
        <f>+Details!AR318-Base!AR318</f>
        <v>0</v>
      </c>
      <c r="CL318" s="1124">
        <f>+Details!AS318-Base!AS318</f>
        <v>0</v>
      </c>
      <c r="CM318" s="81"/>
    </row>
    <row r="319" spans="1:91" ht="15.6" hidden="1">
      <c r="A319" s="1432" t="s">
        <v>639</v>
      </c>
      <c r="B319" s="28" t="s">
        <v>1543</v>
      </c>
      <c r="C319" s="3"/>
      <c r="E319" s="65"/>
      <c r="F319" s="31">
        <f>+F$306+F307+F$308+F$310+F$312+F$314+F$316+F$317+F$318</f>
        <v>491200</v>
      </c>
      <c r="G319" s="1124">
        <f>+G$306+G307+G$308+G$310+G$312+G$314+G$316+G$317+G$318</f>
        <v>480600</v>
      </c>
      <c r="H319" s="1124">
        <f t="shared" ref="H319:AS319" si="265">+H$306+H307+H$308+H$310+H$312+H$314+H$316+H$317+H$318</f>
        <v>468100</v>
      </c>
      <c r="I319" s="1124">
        <f t="shared" si="265"/>
        <v>453400</v>
      </c>
      <c r="J319" s="1124">
        <f t="shared" si="265"/>
        <v>436400</v>
      </c>
      <c r="K319" s="1124">
        <f t="shared" si="265"/>
        <v>416900</v>
      </c>
      <c r="L319" s="1124">
        <f t="shared" si="265"/>
        <v>394600</v>
      </c>
      <c r="M319" s="1124">
        <f t="shared" si="265"/>
        <v>369500</v>
      </c>
      <c r="N319" s="1124">
        <f t="shared" si="265"/>
        <v>383200</v>
      </c>
      <c r="O319" s="1124">
        <f t="shared" si="265"/>
        <v>383800</v>
      </c>
      <c r="P319" s="1124">
        <f t="shared" si="265"/>
        <v>384900</v>
      </c>
      <c r="Q319" s="1124">
        <f t="shared" si="265"/>
        <v>386300</v>
      </c>
      <c r="R319" s="1124">
        <f t="shared" si="265"/>
        <v>387900</v>
      </c>
      <c r="S319" s="1124">
        <f t="shared" si="265"/>
        <v>389600</v>
      </c>
      <c r="T319" s="1124">
        <f t="shared" si="265"/>
        <v>396600</v>
      </c>
      <c r="U319" s="1124">
        <f t="shared" si="265"/>
        <v>403100</v>
      </c>
      <c r="V319" s="1124">
        <f t="shared" si="265"/>
        <v>408800</v>
      </c>
      <c r="W319" s="1124">
        <f t="shared" si="265"/>
        <v>413700</v>
      </c>
      <c r="X319" s="1124">
        <f t="shared" si="265"/>
        <v>414100</v>
      </c>
      <c r="Y319" s="1124">
        <f t="shared" si="265"/>
        <v>413500</v>
      </c>
      <c r="Z319" s="1124">
        <f t="shared" si="265"/>
        <v>411800</v>
      </c>
      <c r="AA319" s="1124">
        <f t="shared" si="265"/>
        <v>408900</v>
      </c>
      <c r="AB319" s="1124">
        <f t="shared" si="265"/>
        <v>404700</v>
      </c>
      <c r="AC319" s="1124">
        <f t="shared" si="265"/>
        <v>399300</v>
      </c>
      <c r="AD319" s="1124">
        <f t="shared" si="265"/>
        <v>392600</v>
      </c>
      <c r="AE319" s="1124">
        <f t="shared" si="265"/>
        <v>384500</v>
      </c>
      <c r="AF319" s="1124">
        <f t="shared" si="265"/>
        <v>374900</v>
      </c>
      <c r="AG319" s="1124">
        <f t="shared" si="265"/>
        <v>363800</v>
      </c>
      <c r="AH319" s="1124">
        <f t="shared" si="265"/>
        <v>351400</v>
      </c>
      <c r="AI319" s="1124">
        <f t="shared" si="265"/>
        <v>337700</v>
      </c>
      <c r="AJ319" s="1124">
        <f t="shared" si="265"/>
        <v>0</v>
      </c>
      <c r="AK319" s="1124">
        <f t="shared" si="265"/>
        <v>0</v>
      </c>
      <c r="AL319" s="1124">
        <f t="shared" si="265"/>
        <v>0</v>
      </c>
      <c r="AM319" s="1124">
        <f t="shared" si="265"/>
        <v>0</v>
      </c>
      <c r="AN319" s="1124">
        <f t="shared" si="265"/>
        <v>0</v>
      </c>
      <c r="AO319" s="1124">
        <f t="shared" si="265"/>
        <v>0</v>
      </c>
      <c r="AP319" s="1124">
        <f t="shared" si="265"/>
        <v>0</v>
      </c>
      <c r="AQ319" s="1124">
        <f t="shared" si="265"/>
        <v>0</v>
      </c>
      <c r="AR319" s="1124">
        <f t="shared" si="265"/>
        <v>0</v>
      </c>
      <c r="AS319" s="1124">
        <f t="shared" si="265"/>
        <v>0</v>
      </c>
      <c r="AU319" s="29"/>
      <c r="AV319" s="81"/>
      <c r="AW319" s="191"/>
      <c r="AY319" s="31">
        <f>+Details!F319-Base!F319</f>
        <v>0</v>
      </c>
      <c r="AZ319" s="1124">
        <f>+Details!G319-Base!G319</f>
        <v>0</v>
      </c>
      <c r="BA319" s="1124">
        <f>+Details!H319-Base!H319</f>
        <v>0</v>
      </c>
      <c r="BB319" s="1124">
        <f>+Details!I319-Base!I319</f>
        <v>0</v>
      </c>
      <c r="BC319" s="1124">
        <f>+Details!J319-Base!J319</f>
        <v>0</v>
      </c>
      <c r="BD319" s="1124">
        <f>+Details!K319-Base!K319</f>
        <v>0</v>
      </c>
      <c r="BE319" s="1124">
        <f>+Details!L319-Base!L319</f>
        <v>0</v>
      </c>
      <c r="BF319" s="1124">
        <f>+Details!M319-Base!M319</f>
        <v>0</v>
      </c>
      <c r="BG319" s="1124">
        <f>+Details!N319-Base!N319</f>
        <v>0</v>
      </c>
      <c r="BH319" s="1124">
        <f>+Details!O319-Base!O319</f>
        <v>0</v>
      </c>
      <c r="BI319" s="1124">
        <f>+Details!P319-Base!P319</f>
        <v>0</v>
      </c>
      <c r="BJ319" s="1124">
        <f>+Details!Q319-Base!Q319</f>
        <v>0</v>
      </c>
      <c r="BK319" s="1124">
        <f>+Details!R319-Base!R319</f>
        <v>0</v>
      </c>
      <c r="BL319" s="1124">
        <f>+Details!S319-Base!S319</f>
        <v>0</v>
      </c>
      <c r="BM319" s="1124">
        <f>+Details!T319-Base!T319</f>
        <v>0</v>
      </c>
      <c r="BN319" s="1124">
        <f>+Details!U319-Base!U319</f>
        <v>0</v>
      </c>
      <c r="BO319" s="1124">
        <f>+Details!V319-Base!V319</f>
        <v>0</v>
      </c>
      <c r="BP319" s="1124">
        <f>+Details!W319-Base!W319</f>
        <v>0</v>
      </c>
      <c r="BQ319" s="1124">
        <f>+Details!X319-Base!X319</f>
        <v>0</v>
      </c>
      <c r="BR319" s="1124">
        <f>+Details!Y319-Base!Y319</f>
        <v>0</v>
      </c>
      <c r="BS319" s="1124">
        <f>+Details!Z319-Base!Z319</f>
        <v>0</v>
      </c>
      <c r="BT319" s="1124">
        <f>+Details!AA319-Base!AA319</f>
        <v>0</v>
      </c>
      <c r="BU319" s="1124">
        <f>+Details!AB319-Base!AB319</f>
        <v>0</v>
      </c>
      <c r="BV319" s="1124">
        <f>+Details!AC319-Base!AC319</f>
        <v>0</v>
      </c>
      <c r="BW319" s="1124">
        <f>+Details!AD319-Base!AD319</f>
        <v>0</v>
      </c>
      <c r="BX319" s="1124">
        <f>+Details!AE319-Base!AE319</f>
        <v>0</v>
      </c>
      <c r="BY319" s="1124">
        <f>+Details!AF319-Base!AF319</f>
        <v>0</v>
      </c>
      <c r="BZ319" s="1124">
        <f>+Details!AG319-Base!AG319</f>
        <v>0</v>
      </c>
      <c r="CA319" s="1124">
        <f>+Details!AH319-Base!AH319</f>
        <v>0</v>
      </c>
      <c r="CB319" s="1124">
        <f>+Details!AI319-Base!AI319</f>
        <v>0</v>
      </c>
      <c r="CC319" s="1124">
        <f>+Details!AJ319-Base!AJ319</f>
        <v>0</v>
      </c>
      <c r="CD319" s="1124">
        <f>+Details!AK319-Base!AK319</f>
        <v>0</v>
      </c>
      <c r="CE319" s="1124">
        <f>+Details!AL319-Base!AL319</f>
        <v>0</v>
      </c>
      <c r="CF319" s="1124">
        <f>+Details!AM319-Base!AM319</f>
        <v>0</v>
      </c>
      <c r="CG319" s="1124">
        <f>+Details!AN319-Base!AN319</f>
        <v>0</v>
      </c>
      <c r="CH319" s="1124">
        <f>+Details!AO319-Base!AO319</f>
        <v>0</v>
      </c>
      <c r="CI319" s="1124">
        <f>+Details!AP319-Base!AP319</f>
        <v>0</v>
      </c>
      <c r="CJ319" s="1124">
        <f>+Details!AQ319-Base!AQ319</f>
        <v>0</v>
      </c>
      <c r="CK319" s="1124">
        <f>+Details!AR319-Base!AR319</f>
        <v>0</v>
      </c>
      <c r="CL319" s="1124">
        <f>+Details!AS319-Base!AS319</f>
        <v>0</v>
      </c>
      <c r="CM319" s="81"/>
    </row>
    <row r="320" spans="1:91" hidden="1">
      <c r="A320" s="1432" t="s">
        <v>639</v>
      </c>
      <c r="B320" s="72" t="s">
        <v>1544</v>
      </c>
      <c r="C320" s="3"/>
      <c r="E320" s="65">
        <f>SUM(F320:AS320)</f>
        <v>0</v>
      </c>
      <c r="F320" s="31">
        <f t="shared" ref="F320:AS320" si="266">+F95</f>
        <v>0</v>
      </c>
      <c r="G320" s="1124">
        <f t="shared" si="266"/>
        <v>0</v>
      </c>
      <c r="H320" s="1124">
        <f t="shared" si="266"/>
        <v>0</v>
      </c>
      <c r="I320" s="1124">
        <f t="shared" si="266"/>
        <v>0</v>
      </c>
      <c r="J320" s="1124">
        <f t="shared" si="266"/>
        <v>0</v>
      </c>
      <c r="K320" s="1124">
        <f t="shared" si="266"/>
        <v>0</v>
      </c>
      <c r="L320" s="1124">
        <f t="shared" si="266"/>
        <v>0</v>
      </c>
      <c r="M320" s="1124">
        <f t="shared" si="266"/>
        <v>0</v>
      </c>
      <c r="N320" s="1124">
        <f t="shared" si="266"/>
        <v>0</v>
      </c>
      <c r="O320" s="1124">
        <f t="shared" si="266"/>
        <v>0</v>
      </c>
      <c r="P320" s="1124">
        <f t="shared" si="266"/>
        <v>0</v>
      </c>
      <c r="Q320" s="1124">
        <f t="shared" si="266"/>
        <v>0</v>
      </c>
      <c r="R320" s="1124">
        <f t="shared" si="266"/>
        <v>0</v>
      </c>
      <c r="S320" s="1124">
        <f t="shared" si="266"/>
        <v>0</v>
      </c>
      <c r="T320" s="1124">
        <f t="shared" si="266"/>
        <v>0</v>
      </c>
      <c r="U320" s="1124">
        <f t="shared" si="266"/>
        <v>0</v>
      </c>
      <c r="V320" s="1124">
        <f t="shared" si="266"/>
        <v>0</v>
      </c>
      <c r="W320" s="1124">
        <f t="shared" si="266"/>
        <v>0</v>
      </c>
      <c r="X320" s="1124">
        <f t="shared" si="266"/>
        <v>0</v>
      </c>
      <c r="Y320" s="1124">
        <f t="shared" si="266"/>
        <v>0</v>
      </c>
      <c r="Z320" s="1124">
        <f t="shared" si="266"/>
        <v>0</v>
      </c>
      <c r="AA320" s="1124">
        <f t="shared" si="266"/>
        <v>0</v>
      </c>
      <c r="AB320" s="1124">
        <f t="shared" si="266"/>
        <v>0</v>
      </c>
      <c r="AC320" s="1124">
        <f t="shared" si="266"/>
        <v>0</v>
      </c>
      <c r="AD320" s="1124">
        <f t="shared" si="266"/>
        <v>0</v>
      </c>
      <c r="AE320" s="1124">
        <f t="shared" si="266"/>
        <v>0</v>
      </c>
      <c r="AF320" s="1124">
        <f t="shared" si="266"/>
        <v>0</v>
      </c>
      <c r="AG320" s="1124">
        <f t="shared" si="266"/>
        <v>0</v>
      </c>
      <c r="AH320" s="1124">
        <f t="shared" si="266"/>
        <v>0</v>
      </c>
      <c r="AI320" s="1124">
        <f t="shared" si="266"/>
        <v>0</v>
      </c>
      <c r="AJ320" s="1124">
        <f t="shared" si="266"/>
        <v>0</v>
      </c>
      <c r="AK320" s="1124">
        <f t="shared" si="266"/>
        <v>0</v>
      </c>
      <c r="AL320" s="1124">
        <f t="shared" si="266"/>
        <v>0</v>
      </c>
      <c r="AM320" s="1124">
        <f t="shared" si="266"/>
        <v>0</v>
      </c>
      <c r="AN320" s="1124">
        <f t="shared" si="266"/>
        <v>0</v>
      </c>
      <c r="AO320" s="1124">
        <f t="shared" si="266"/>
        <v>0</v>
      </c>
      <c r="AP320" s="1124">
        <f t="shared" si="266"/>
        <v>0</v>
      </c>
      <c r="AQ320" s="1124">
        <f t="shared" si="266"/>
        <v>0</v>
      </c>
      <c r="AR320" s="1124">
        <f t="shared" si="266"/>
        <v>0</v>
      </c>
      <c r="AS320" s="1124">
        <f t="shared" si="266"/>
        <v>0</v>
      </c>
      <c r="AU320" s="29">
        <f>+Details!E320</f>
        <v>0</v>
      </c>
      <c r="AV320" s="81">
        <f t="shared" si="256"/>
        <v>0</v>
      </c>
      <c r="AW320" s="191"/>
      <c r="AY320" s="31">
        <f>+Details!F320-Base!F320</f>
        <v>0</v>
      </c>
      <c r="AZ320" s="1124">
        <f>+Details!G320-Base!G320</f>
        <v>0</v>
      </c>
      <c r="BA320" s="1124">
        <f>+Details!H320-Base!H320</f>
        <v>0</v>
      </c>
      <c r="BB320" s="1124">
        <f>+Details!I320-Base!I320</f>
        <v>0</v>
      </c>
      <c r="BC320" s="1124">
        <f>+Details!J320-Base!J320</f>
        <v>0</v>
      </c>
      <c r="BD320" s="1124">
        <f>+Details!K320-Base!K320</f>
        <v>0</v>
      </c>
      <c r="BE320" s="1124">
        <f>+Details!L320-Base!L320</f>
        <v>0</v>
      </c>
      <c r="BF320" s="1124">
        <f>+Details!M320-Base!M320</f>
        <v>0</v>
      </c>
      <c r="BG320" s="1124">
        <f>+Details!N320-Base!N320</f>
        <v>0</v>
      </c>
      <c r="BH320" s="1124">
        <f>+Details!O320-Base!O320</f>
        <v>0</v>
      </c>
      <c r="BI320" s="1124">
        <f>+Details!P320-Base!P320</f>
        <v>0</v>
      </c>
      <c r="BJ320" s="1124">
        <f>+Details!Q320-Base!Q320</f>
        <v>0</v>
      </c>
      <c r="BK320" s="1124">
        <f>+Details!R320-Base!R320</f>
        <v>0</v>
      </c>
      <c r="BL320" s="1124">
        <f>+Details!S320-Base!S320</f>
        <v>0</v>
      </c>
      <c r="BM320" s="1124">
        <f>+Details!T320-Base!T320</f>
        <v>0</v>
      </c>
      <c r="BN320" s="1124">
        <f>+Details!U320-Base!U320</f>
        <v>0</v>
      </c>
      <c r="BO320" s="1124">
        <f>+Details!V320-Base!V320</f>
        <v>0</v>
      </c>
      <c r="BP320" s="1124">
        <f>+Details!W320-Base!W320</f>
        <v>0</v>
      </c>
      <c r="BQ320" s="1124">
        <f>+Details!X320-Base!X320</f>
        <v>0</v>
      </c>
      <c r="BR320" s="1124">
        <f>+Details!Y320-Base!Y320</f>
        <v>0</v>
      </c>
      <c r="BS320" s="1124">
        <f>+Details!Z320-Base!Z320</f>
        <v>0</v>
      </c>
      <c r="BT320" s="1124">
        <f>+Details!AA320-Base!AA320</f>
        <v>0</v>
      </c>
      <c r="BU320" s="1124">
        <f>+Details!AB320-Base!AB320</f>
        <v>0</v>
      </c>
      <c r="BV320" s="1124">
        <f>+Details!AC320-Base!AC320</f>
        <v>0</v>
      </c>
      <c r="BW320" s="1124">
        <f>+Details!AD320-Base!AD320</f>
        <v>0</v>
      </c>
      <c r="BX320" s="1124">
        <f>+Details!AE320-Base!AE320</f>
        <v>0</v>
      </c>
      <c r="BY320" s="1124">
        <f>+Details!AF320-Base!AF320</f>
        <v>0</v>
      </c>
      <c r="BZ320" s="1124">
        <f>+Details!AG320-Base!AG320</f>
        <v>0</v>
      </c>
      <c r="CA320" s="1124">
        <f>+Details!AH320-Base!AH320</f>
        <v>0</v>
      </c>
      <c r="CB320" s="1124">
        <f>+Details!AI320-Base!AI320</f>
        <v>0</v>
      </c>
      <c r="CC320" s="1124">
        <f>+Details!AJ320-Base!AJ320</f>
        <v>0</v>
      </c>
      <c r="CD320" s="1124">
        <f>+Details!AK320-Base!AK320</f>
        <v>0</v>
      </c>
      <c r="CE320" s="1124">
        <f>+Details!AL320-Base!AL320</f>
        <v>0</v>
      </c>
      <c r="CF320" s="1124">
        <f>+Details!AM320-Base!AM320</f>
        <v>0</v>
      </c>
      <c r="CG320" s="1124">
        <f>+Details!AN320-Base!AN320</f>
        <v>0</v>
      </c>
      <c r="CH320" s="1124">
        <f>+Details!AO320-Base!AO320</f>
        <v>0</v>
      </c>
      <c r="CI320" s="1124">
        <f>+Details!AP320-Base!AP320</f>
        <v>0</v>
      </c>
      <c r="CJ320" s="1124">
        <f>+Details!AQ320-Base!AQ320</f>
        <v>0</v>
      </c>
      <c r="CK320" s="1124">
        <f>+Details!AR320-Base!AR320</f>
        <v>0</v>
      </c>
      <c r="CL320" s="1124">
        <f>+Details!AS320-Base!AS320</f>
        <v>0</v>
      </c>
      <c r="CM320" s="81"/>
    </row>
    <row r="321" spans="1:91" hidden="1">
      <c r="A321" s="1432" t="s">
        <v>639</v>
      </c>
      <c r="B321" s="72" t="s">
        <v>1271</v>
      </c>
      <c r="C321" s="3"/>
      <c r="E321" s="433">
        <f ca="1">INDIRECT(ADDRESS(ROW(),Total_Years+5))</f>
        <v>337700</v>
      </c>
      <c r="F321" s="31">
        <f>+F306+F308+F310+F312+F314+F316+F317+F318+F320</f>
        <v>491200</v>
      </c>
      <c r="G321" s="1124">
        <f>+G306+G307+G308+G310+G312+G314+G316+G317+G318+G320</f>
        <v>480600</v>
      </c>
      <c r="H321" s="1124">
        <f>+H306+H307+H308+H310+H312+H314+H316+H317+H318+H320</f>
        <v>468100</v>
      </c>
      <c r="I321" s="1124">
        <f t="shared" ref="I321:AS321" si="267">+I306+I307+I308+I310+I312+I314+I316+I317+I318+I320</f>
        <v>453400</v>
      </c>
      <c r="J321" s="1124">
        <f t="shared" si="267"/>
        <v>436400</v>
      </c>
      <c r="K321" s="1124">
        <f t="shared" si="267"/>
        <v>416900</v>
      </c>
      <c r="L321" s="1124">
        <f t="shared" si="267"/>
        <v>394600</v>
      </c>
      <c r="M321" s="1124">
        <f t="shared" si="267"/>
        <v>369500</v>
      </c>
      <c r="N321" s="1124">
        <f t="shared" si="267"/>
        <v>383200</v>
      </c>
      <c r="O321" s="1124">
        <f t="shared" si="267"/>
        <v>383800</v>
      </c>
      <c r="P321" s="1124">
        <f t="shared" si="267"/>
        <v>384900</v>
      </c>
      <c r="Q321" s="1124">
        <f t="shared" si="267"/>
        <v>386300</v>
      </c>
      <c r="R321" s="1124">
        <f t="shared" si="267"/>
        <v>387900</v>
      </c>
      <c r="S321" s="1124">
        <f t="shared" si="267"/>
        <v>389600</v>
      </c>
      <c r="T321" s="1124">
        <f t="shared" si="267"/>
        <v>396600</v>
      </c>
      <c r="U321" s="1124">
        <f t="shared" si="267"/>
        <v>403100</v>
      </c>
      <c r="V321" s="1124">
        <f t="shared" si="267"/>
        <v>408800</v>
      </c>
      <c r="W321" s="1124">
        <f t="shared" si="267"/>
        <v>413700</v>
      </c>
      <c r="X321" s="1124">
        <f t="shared" si="267"/>
        <v>414100</v>
      </c>
      <c r="Y321" s="1124">
        <f t="shared" si="267"/>
        <v>413500</v>
      </c>
      <c r="Z321" s="1124">
        <f t="shared" si="267"/>
        <v>411800</v>
      </c>
      <c r="AA321" s="1124">
        <f t="shared" si="267"/>
        <v>408900</v>
      </c>
      <c r="AB321" s="1124">
        <f t="shared" si="267"/>
        <v>404700</v>
      </c>
      <c r="AC321" s="1124">
        <f t="shared" si="267"/>
        <v>399300</v>
      </c>
      <c r="AD321" s="1124">
        <f t="shared" si="267"/>
        <v>392600</v>
      </c>
      <c r="AE321" s="1124">
        <f t="shared" si="267"/>
        <v>384500</v>
      </c>
      <c r="AF321" s="1124">
        <f t="shared" si="267"/>
        <v>374900</v>
      </c>
      <c r="AG321" s="1124">
        <f t="shared" si="267"/>
        <v>363800</v>
      </c>
      <c r="AH321" s="1124">
        <f t="shared" si="267"/>
        <v>351400</v>
      </c>
      <c r="AI321" s="1124">
        <f t="shared" si="267"/>
        <v>337700</v>
      </c>
      <c r="AJ321" s="1124">
        <f t="shared" si="267"/>
        <v>0</v>
      </c>
      <c r="AK321" s="1124">
        <f t="shared" si="267"/>
        <v>0</v>
      </c>
      <c r="AL321" s="1124">
        <f t="shared" si="267"/>
        <v>0</v>
      </c>
      <c r="AM321" s="1124">
        <f t="shared" si="267"/>
        <v>0</v>
      </c>
      <c r="AN321" s="1124">
        <f t="shared" si="267"/>
        <v>0</v>
      </c>
      <c r="AO321" s="1124">
        <f t="shared" si="267"/>
        <v>0</v>
      </c>
      <c r="AP321" s="1124">
        <f t="shared" si="267"/>
        <v>0</v>
      </c>
      <c r="AQ321" s="1124">
        <f t="shared" si="267"/>
        <v>0</v>
      </c>
      <c r="AR321" s="1124">
        <f t="shared" si="267"/>
        <v>0</v>
      </c>
      <c r="AS321" s="1124">
        <f t="shared" si="267"/>
        <v>0</v>
      </c>
      <c r="AU321" s="29">
        <f ca="1">+Details!E321</f>
        <v>337700</v>
      </c>
      <c r="AV321" s="81">
        <f ca="1">+E321-AU321</f>
        <v>0</v>
      </c>
      <c r="AW321" s="1731"/>
      <c r="AY321" s="31">
        <f>+Details!F321-Base!F321</f>
        <v>0</v>
      </c>
      <c r="AZ321" s="1124">
        <f>+Details!G321-Base!G321</f>
        <v>0</v>
      </c>
      <c r="BA321" s="1124">
        <f>+Details!H321-Base!H321</f>
        <v>0</v>
      </c>
      <c r="BB321" s="1124">
        <f>+Details!I321-Base!I321</f>
        <v>0</v>
      </c>
      <c r="BC321" s="1124">
        <f>+Details!J321-Base!J321</f>
        <v>0</v>
      </c>
      <c r="BD321" s="1124">
        <f>+Details!K321-Base!K321</f>
        <v>0</v>
      </c>
      <c r="BE321" s="1124">
        <f>+Details!L321-Base!L321</f>
        <v>0</v>
      </c>
      <c r="BF321" s="1124">
        <f>+Details!M321-Base!M321</f>
        <v>0</v>
      </c>
      <c r="BG321" s="1124">
        <f>+Details!N321-Base!N321</f>
        <v>0</v>
      </c>
      <c r="BH321" s="1124">
        <f>+Details!O321-Base!O321</f>
        <v>0</v>
      </c>
      <c r="BI321" s="1124">
        <f>+Details!P321-Base!P321</f>
        <v>0</v>
      </c>
      <c r="BJ321" s="1124">
        <f>+Details!Q321-Base!Q321</f>
        <v>0</v>
      </c>
      <c r="BK321" s="1124">
        <f>+Details!R321-Base!R321</f>
        <v>0</v>
      </c>
      <c r="BL321" s="1124">
        <f>+Details!S321-Base!S321</f>
        <v>0</v>
      </c>
      <c r="BM321" s="1124">
        <f>+Details!T321-Base!T321</f>
        <v>0</v>
      </c>
      <c r="BN321" s="1124">
        <f>+Details!U321-Base!U321</f>
        <v>0</v>
      </c>
      <c r="BO321" s="1124">
        <f>+Details!V321-Base!V321</f>
        <v>0</v>
      </c>
      <c r="BP321" s="1124">
        <f>+Details!W321-Base!W321</f>
        <v>0</v>
      </c>
      <c r="BQ321" s="1124">
        <f>+Details!X321-Base!X321</f>
        <v>0</v>
      </c>
      <c r="BR321" s="1124">
        <f>+Details!Y321-Base!Y321</f>
        <v>0</v>
      </c>
      <c r="BS321" s="1124">
        <f>+Details!Z321-Base!Z321</f>
        <v>0</v>
      </c>
      <c r="BT321" s="1124">
        <f>+Details!AA321-Base!AA321</f>
        <v>0</v>
      </c>
      <c r="BU321" s="1124">
        <f>+Details!AB321-Base!AB321</f>
        <v>0</v>
      </c>
      <c r="BV321" s="1124">
        <f>+Details!AC321-Base!AC321</f>
        <v>0</v>
      </c>
      <c r="BW321" s="1124">
        <f>+Details!AD321-Base!AD321</f>
        <v>0</v>
      </c>
      <c r="BX321" s="1124">
        <f>+Details!AE321-Base!AE321</f>
        <v>0</v>
      </c>
      <c r="BY321" s="1124">
        <f>+Details!AF321-Base!AF321</f>
        <v>0</v>
      </c>
      <c r="BZ321" s="1124">
        <f>+Details!AG321-Base!AG321</f>
        <v>0</v>
      </c>
      <c r="CA321" s="1124">
        <f>+Details!AH321-Base!AH321</f>
        <v>0</v>
      </c>
      <c r="CB321" s="1124">
        <f>+Details!AI321-Base!AI321</f>
        <v>0</v>
      </c>
      <c r="CC321" s="1124">
        <f>+Details!AJ321-Base!AJ321</f>
        <v>0</v>
      </c>
      <c r="CD321" s="1124">
        <f>+Details!AK321-Base!AK321</f>
        <v>0</v>
      </c>
      <c r="CE321" s="1124">
        <f>+Details!AL321-Base!AL321</f>
        <v>0</v>
      </c>
      <c r="CF321" s="1124">
        <f>+Details!AM321-Base!AM321</f>
        <v>0</v>
      </c>
      <c r="CG321" s="1124">
        <f>+Details!AN321-Base!AN321</f>
        <v>0</v>
      </c>
      <c r="CH321" s="1124">
        <f>+Details!AO321-Base!AO321</f>
        <v>0</v>
      </c>
      <c r="CI321" s="1124">
        <f>+Details!AP321-Base!AP321</f>
        <v>0</v>
      </c>
      <c r="CJ321" s="1124">
        <f>+Details!AQ321-Base!AQ321</f>
        <v>0</v>
      </c>
      <c r="CK321" s="1124">
        <f>+Details!AR321-Base!AR321</f>
        <v>0</v>
      </c>
      <c r="CL321" s="1124">
        <f>+Details!AS321-Base!AS321</f>
        <v>0</v>
      </c>
      <c r="CM321" s="81"/>
    </row>
    <row r="322" spans="1:91" hidden="1">
      <c r="A322" s="1432" t="s">
        <v>639</v>
      </c>
      <c r="B322" s="72"/>
      <c r="C322" s="3"/>
      <c r="E322" s="363"/>
      <c r="F322" s="31"/>
      <c r="G322" s="31"/>
      <c r="H322" s="31"/>
      <c r="I322" s="31"/>
      <c r="J322" s="31"/>
      <c r="K322" s="31"/>
      <c r="L322" s="31"/>
      <c r="M322" s="31"/>
      <c r="N322" s="31"/>
      <c r="O322" s="31"/>
      <c r="P322" s="31"/>
      <c r="Q322" s="31"/>
      <c r="R322" s="31"/>
      <c r="S322" s="31"/>
      <c r="T322" s="31"/>
      <c r="U322" s="31"/>
      <c r="V322" s="31"/>
      <c r="W322" s="31"/>
      <c r="X322" s="31"/>
      <c r="Y322" s="31"/>
      <c r="Z322" s="31"/>
      <c r="AA322" s="31"/>
      <c r="AB322" s="31"/>
      <c r="AC322" s="31"/>
      <c r="AD322" s="31"/>
      <c r="AE322" s="31"/>
      <c r="AF322" s="31"/>
      <c r="AG322" s="31"/>
      <c r="AH322" s="31"/>
      <c r="AI322" s="31"/>
      <c r="AJ322" s="31"/>
      <c r="AK322" s="31"/>
      <c r="AL322" s="31"/>
      <c r="AM322" s="31"/>
      <c r="AN322" s="31"/>
      <c r="AO322" s="31"/>
      <c r="AP322" s="31"/>
      <c r="AQ322" s="31"/>
      <c r="AR322" s="31"/>
      <c r="AS322" s="31"/>
      <c r="AU322" s="29"/>
      <c r="AV322" s="81"/>
      <c r="AW322" s="1489"/>
      <c r="AY322" s="31"/>
      <c r="AZ322" s="31"/>
      <c r="BA322" s="31"/>
      <c r="BB322" s="31"/>
      <c r="BC322" s="31"/>
      <c r="BD322" s="31"/>
      <c r="BE322" s="31"/>
      <c r="BF322" s="31"/>
      <c r="BG322" s="31"/>
      <c r="BH322" s="31"/>
      <c r="BI322" s="31"/>
      <c r="BJ322" s="31"/>
      <c r="BK322" s="31"/>
      <c r="BL322" s="31"/>
      <c r="BM322" s="31"/>
      <c r="BN322" s="31"/>
      <c r="BO322" s="31"/>
      <c r="BP322" s="31"/>
      <c r="BQ322" s="31"/>
      <c r="BR322" s="31"/>
      <c r="BS322" s="31"/>
      <c r="BT322" s="31"/>
      <c r="BU322" s="31"/>
      <c r="BV322" s="31"/>
      <c r="BW322" s="31"/>
      <c r="BX322" s="31"/>
      <c r="BY322" s="31"/>
      <c r="BZ322" s="31"/>
      <c r="CA322" s="31"/>
      <c r="CB322" s="31"/>
      <c r="CC322" s="31"/>
      <c r="CD322" s="31"/>
      <c r="CE322" s="31"/>
      <c r="CF322" s="31"/>
      <c r="CG322" s="31"/>
      <c r="CH322" s="31"/>
      <c r="CI322" s="31"/>
      <c r="CJ322" s="31"/>
      <c r="CK322" s="31"/>
      <c r="CL322" s="31"/>
      <c r="CM322" s="81"/>
    </row>
    <row r="323" spans="1:91" ht="15.6" hidden="1">
      <c r="A323" s="1432" t="s">
        <v>639</v>
      </c>
      <c r="B323" s="25" t="s">
        <v>1536</v>
      </c>
      <c r="C323" s="3"/>
      <c r="E323" s="363"/>
      <c r="F323" s="31"/>
      <c r="G323" s="31"/>
      <c r="H323" s="31"/>
      <c r="I323" s="31"/>
      <c r="J323" s="31"/>
      <c r="K323" s="31"/>
      <c r="L323" s="31"/>
      <c r="M323" s="31"/>
      <c r="N323" s="31"/>
      <c r="O323" s="31"/>
      <c r="P323" s="31"/>
      <c r="Q323" s="31"/>
      <c r="R323" s="31"/>
      <c r="S323" s="31"/>
      <c r="T323" s="31"/>
      <c r="U323" s="31"/>
      <c r="V323" s="31"/>
      <c r="W323" s="31"/>
      <c r="X323" s="31"/>
      <c r="Y323" s="31"/>
      <c r="Z323" s="31"/>
      <c r="AA323" s="31"/>
      <c r="AB323" s="31"/>
      <c r="AC323" s="31"/>
      <c r="AD323" s="31"/>
      <c r="AE323" s="31"/>
      <c r="AF323" s="31"/>
      <c r="AG323" s="31"/>
      <c r="AH323" s="31"/>
      <c r="AI323" s="31"/>
      <c r="AJ323" s="31"/>
      <c r="AK323" s="31"/>
      <c r="AL323" s="31"/>
      <c r="AM323" s="31"/>
      <c r="AN323" s="31"/>
      <c r="AO323" s="31"/>
      <c r="AP323" s="31"/>
      <c r="AQ323" s="31"/>
      <c r="AR323" s="31"/>
      <c r="AS323" s="31"/>
      <c r="AU323" s="29"/>
      <c r="AV323" s="81"/>
      <c r="AW323" s="1489"/>
      <c r="AY323" s="31"/>
      <c r="AZ323" s="31"/>
      <c r="BA323" s="31"/>
      <c r="BB323" s="31"/>
      <c r="BC323" s="31"/>
      <c r="BD323" s="31"/>
      <c r="BE323" s="31"/>
      <c r="BF323" s="31"/>
      <c r="BG323" s="31"/>
      <c r="BH323" s="31"/>
      <c r="BI323" s="31"/>
      <c r="BJ323" s="31"/>
      <c r="BK323" s="31"/>
      <c r="BL323" s="31"/>
      <c r="BM323" s="31"/>
      <c r="BN323" s="31"/>
      <c r="BO323" s="31"/>
      <c r="BP323" s="31"/>
      <c r="BQ323" s="31"/>
      <c r="BR323" s="31"/>
      <c r="BS323" s="31"/>
      <c r="BT323" s="31"/>
      <c r="BU323" s="31"/>
      <c r="BV323" s="31"/>
      <c r="BW323" s="31"/>
      <c r="BX323" s="31"/>
      <c r="BY323" s="31"/>
      <c r="BZ323" s="31"/>
      <c r="CA323" s="31"/>
      <c r="CB323" s="31"/>
      <c r="CC323" s="31"/>
      <c r="CD323" s="31"/>
      <c r="CE323" s="31"/>
      <c r="CF323" s="31"/>
      <c r="CG323" s="31"/>
      <c r="CH323" s="31"/>
      <c r="CI323" s="31"/>
      <c r="CJ323" s="31"/>
      <c r="CK323" s="31"/>
      <c r="CL323" s="31"/>
      <c r="CM323" s="81"/>
    </row>
    <row r="324" spans="1:91" hidden="1">
      <c r="A324" s="1432" t="s">
        <v>639</v>
      </c>
      <c r="B324" s="72" t="s">
        <v>155</v>
      </c>
      <c r="C324" s="3"/>
      <c r="E324" s="363"/>
      <c r="F324" s="1292">
        <f>+F10</f>
        <v>200000</v>
      </c>
      <c r="G324" s="1124">
        <f t="shared" ref="G324:AS324" si="268">+F332*IF(G$7-$F$7&lt;=Total_Years-1,1,0)</f>
        <v>218500</v>
      </c>
      <c r="H324" s="1124">
        <f t="shared" si="268"/>
        <v>238100</v>
      </c>
      <c r="I324" s="1124">
        <f t="shared" si="268"/>
        <v>258800</v>
      </c>
      <c r="J324" s="1124">
        <f t="shared" si="268"/>
        <v>280800</v>
      </c>
      <c r="K324" s="1124">
        <f t="shared" si="268"/>
        <v>304100</v>
      </c>
      <c r="L324" s="1124">
        <f t="shared" si="268"/>
        <v>328700</v>
      </c>
      <c r="M324" s="1124">
        <f t="shared" si="268"/>
        <v>354800</v>
      </c>
      <c r="N324" s="1124">
        <f t="shared" si="268"/>
        <v>382400</v>
      </c>
      <c r="O324" s="1124">
        <f t="shared" si="268"/>
        <v>411700</v>
      </c>
      <c r="P324" s="1124">
        <f t="shared" si="268"/>
        <v>420500</v>
      </c>
      <c r="Q324" s="1124">
        <f t="shared" si="268"/>
        <v>428900</v>
      </c>
      <c r="R324" s="1124">
        <f t="shared" si="268"/>
        <v>436900</v>
      </c>
      <c r="S324" s="1124">
        <f t="shared" si="268"/>
        <v>444500</v>
      </c>
      <c r="T324" s="1124">
        <f t="shared" si="268"/>
        <v>451500</v>
      </c>
      <c r="U324" s="1124">
        <f t="shared" si="268"/>
        <v>457900</v>
      </c>
      <c r="V324" s="1124">
        <f t="shared" si="268"/>
        <v>463500</v>
      </c>
      <c r="W324" s="1124">
        <f t="shared" si="268"/>
        <v>468300</v>
      </c>
      <c r="X324" s="1124">
        <f t="shared" si="268"/>
        <v>472100</v>
      </c>
      <c r="Y324" s="1124">
        <f t="shared" si="268"/>
        <v>472300</v>
      </c>
      <c r="Z324" s="1124">
        <f t="shared" si="268"/>
        <v>471400</v>
      </c>
      <c r="AA324" s="1124">
        <f t="shared" si="268"/>
        <v>469400</v>
      </c>
      <c r="AB324" s="1124">
        <f t="shared" si="268"/>
        <v>466000</v>
      </c>
      <c r="AC324" s="1124">
        <f t="shared" si="268"/>
        <v>461300</v>
      </c>
      <c r="AD324" s="1124">
        <f t="shared" si="268"/>
        <v>455200</v>
      </c>
      <c r="AE324" s="1124">
        <f t="shared" si="268"/>
        <v>447700</v>
      </c>
      <c r="AF324" s="1124">
        <f t="shared" si="268"/>
        <v>438800</v>
      </c>
      <c r="AG324" s="1124">
        <f t="shared" si="268"/>
        <v>428500</v>
      </c>
      <c r="AH324" s="1124">
        <f t="shared" si="268"/>
        <v>416600</v>
      </c>
      <c r="AI324" s="1124">
        <f t="shared" si="268"/>
        <v>403100</v>
      </c>
      <c r="AJ324" s="1124">
        <f t="shared" si="268"/>
        <v>0</v>
      </c>
      <c r="AK324" s="1124">
        <f t="shared" si="268"/>
        <v>0</v>
      </c>
      <c r="AL324" s="1124">
        <f t="shared" si="268"/>
        <v>0</v>
      </c>
      <c r="AM324" s="1124">
        <f t="shared" si="268"/>
        <v>0</v>
      </c>
      <c r="AN324" s="1124">
        <f t="shared" si="268"/>
        <v>0</v>
      </c>
      <c r="AO324" s="1124">
        <f t="shared" si="268"/>
        <v>0</v>
      </c>
      <c r="AP324" s="1124">
        <f t="shared" si="268"/>
        <v>0</v>
      </c>
      <c r="AQ324" s="1124">
        <f t="shared" si="268"/>
        <v>0</v>
      </c>
      <c r="AR324" s="1124">
        <f t="shared" si="268"/>
        <v>0</v>
      </c>
      <c r="AS324" s="1124">
        <f t="shared" si="268"/>
        <v>0</v>
      </c>
      <c r="AU324" s="29"/>
      <c r="AV324" s="81"/>
      <c r="AW324" s="1489"/>
      <c r="AY324" s="31">
        <f>+Details!F324-Base!F324</f>
        <v>0</v>
      </c>
      <c r="AZ324" s="1124">
        <f>+Details!G324-Base!G324</f>
        <v>0</v>
      </c>
      <c r="BA324" s="1124">
        <f>+Details!H324-Base!H324</f>
        <v>0</v>
      </c>
      <c r="BB324" s="1124">
        <f>+Details!I324-Base!I324</f>
        <v>0</v>
      </c>
      <c r="BC324" s="1124">
        <f>+Details!J324-Base!J324</f>
        <v>0</v>
      </c>
      <c r="BD324" s="1124">
        <f>+Details!K324-Base!K324</f>
        <v>0</v>
      </c>
      <c r="BE324" s="1124">
        <f>+Details!L324-Base!L324</f>
        <v>0</v>
      </c>
      <c r="BF324" s="1124">
        <f>+Details!M324-Base!M324</f>
        <v>0</v>
      </c>
      <c r="BG324" s="1124">
        <f>+Details!N324-Base!N324</f>
        <v>0</v>
      </c>
      <c r="BH324" s="1124">
        <f>+Details!O324-Base!O324</f>
        <v>0</v>
      </c>
      <c r="BI324" s="1124">
        <f>+Details!P324-Base!P324</f>
        <v>0</v>
      </c>
      <c r="BJ324" s="1124">
        <f>+Details!Q324-Base!Q324</f>
        <v>0</v>
      </c>
      <c r="BK324" s="1124">
        <f>+Details!R324-Base!R324</f>
        <v>0</v>
      </c>
      <c r="BL324" s="1124">
        <f>+Details!S324-Base!S324</f>
        <v>0</v>
      </c>
      <c r="BM324" s="1124">
        <f>+Details!T324-Base!T324</f>
        <v>0</v>
      </c>
      <c r="BN324" s="1124">
        <f>+Details!U324-Base!U324</f>
        <v>0</v>
      </c>
      <c r="BO324" s="1124">
        <f>+Details!V324-Base!V324</f>
        <v>0</v>
      </c>
      <c r="BP324" s="1124">
        <f>+Details!W324-Base!W324</f>
        <v>0</v>
      </c>
      <c r="BQ324" s="1124">
        <f>+Details!X324-Base!X324</f>
        <v>0</v>
      </c>
      <c r="BR324" s="1124">
        <f>+Details!Y324-Base!Y324</f>
        <v>0</v>
      </c>
      <c r="BS324" s="1124">
        <f>+Details!Z324-Base!Z324</f>
        <v>0</v>
      </c>
      <c r="BT324" s="1124">
        <f>+Details!AA324-Base!AA324</f>
        <v>0</v>
      </c>
      <c r="BU324" s="1124">
        <f>+Details!AB324-Base!AB324</f>
        <v>0</v>
      </c>
      <c r="BV324" s="1124">
        <f>+Details!AC324-Base!AC324</f>
        <v>0</v>
      </c>
      <c r="BW324" s="1124">
        <f>+Details!AD324-Base!AD324</f>
        <v>0</v>
      </c>
      <c r="BX324" s="1124">
        <f>+Details!AE324-Base!AE324</f>
        <v>0</v>
      </c>
      <c r="BY324" s="1124">
        <f>+Details!AF324-Base!AF324</f>
        <v>0</v>
      </c>
      <c r="BZ324" s="1124">
        <f>+Details!AG324-Base!AG324</f>
        <v>0</v>
      </c>
      <c r="CA324" s="1124">
        <f>+Details!AH324-Base!AH324</f>
        <v>0</v>
      </c>
      <c r="CB324" s="1124">
        <f>+Details!AI324-Base!AI324</f>
        <v>0</v>
      </c>
      <c r="CC324" s="1124">
        <f>+Details!AJ324-Base!AJ324</f>
        <v>0</v>
      </c>
      <c r="CD324" s="1124">
        <f>+Details!AK324-Base!AK324</f>
        <v>0</v>
      </c>
      <c r="CE324" s="1124">
        <f>+Details!AL324-Base!AL324</f>
        <v>0</v>
      </c>
      <c r="CF324" s="1124">
        <f>+Details!AM324-Base!AM324</f>
        <v>0</v>
      </c>
      <c r="CG324" s="1124">
        <f>+Details!AN324-Base!AN324</f>
        <v>0</v>
      </c>
      <c r="CH324" s="1124">
        <f>+Details!AO324-Base!AO324</f>
        <v>0</v>
      </c>
      <c r="CI324" s="1124">
        <f>+Details!AP324-Base!AP324</f>
        <v>0</v>
      </c>
      <c r="CJ324" s="1124">
        <f>+Details!AQ324-Base!AQ324</f>
        <v>0</v>
      </c>
      <c r="CK324" s="1124">
        <f>+Details!AR324-Base!AR324</f>
        <v>0</v>
      </c>
      <c r="CL324" s="1124">
        <f>+Details!AS324-Base!AS324</f>
        <v>0</v>
      </c>
      <c r="CM324" s="81"/>
    </row>
    <row r="325" spans="1:91" hidden="1">
      <c r="A325" s="1432" t="s">
        <v>639</v>
      </c>
      <c r="B325" s="1018" t="s">
        <v>1825</v>
      </c>
      <c r="C325" s="3"/>
      <c r="E325" s="65">
        <f>SUM(F325:AS325)</f>
        <v>58500</v>
      </c>
      <c r="F325" s="1292">
        <f>+F98</f>
        <v>6500</v>
      </c>
      <c r="G325" s="1124">
        <f>+G98</f>
        <v>6500</v>
      </c>
      <c r="H325" s="1124">
        <f t="shared" ref="H325:AS325" si="269">+H98</f>
        <v>6500</v>
      </c>
      <c r="I325" s="1124">
        <f t="shared" si="269"/>
        <v>6500</v>
      </c>
      <c r="J325" s="1124">
        <f t="shared" si="269"/>
        <v>6500</v>
      </c>
      <c r="K325" s="1124">
        <f t="shared" si="269"/>
        <v>6500</v>
      </c>
      <c r="L325" s="1124">
        <f t="shared" si="269"/>
        <v>6500</v>
      </c>
      <c r="M325" s="1124">
        <f t="shared" si="269"/>
        <v>6500</v>
      </c>
      <c r="N325" s="1124">
        <f t="shared" si="269"/>
        <v>6500</v>
      </c>
      <c r="O325" s="1124">
        <f t="shared" si="269"/>
        <v>0</v>
      </c>
      <c r="P325" s="1124">
        <f t="shared" si="269"/>
        <v>0</v>
      </c>
      <c r="Q325" s="1124">
        <f t="shared" si="269"/>
        <v>0</v>
      </c>
      <c r="R325" s="1124">
        <f t="shared" si="269"/>
        <v>0</v>
      </c>
      <c r="S325" s="1124">
        <f t="shared" si="269"/>
        <v>0</v>
      </c>
      <c r="T325" s="1124">
        <f t="shared" si="269"/>
        <v>0</v>
      </c>
      <c r="U325" s="1124">
        <f t="shared" si="269"/>
        <v>0</v>
      </c>
      <c r="V325" s="1124">
        <f t="shared" si="269"/>
        <v>0</v>
      </c>
      <c r="W325" s="1124">
        <f t="shared" si="269"/>
        <v>0</v>
      </c>
      <c r="X325" s="1124">
        <f t="shared" si="269"/>
        <v>0</v>
      </c>
      <c r="Y325" s="1124">
        <f t="shared" si="269"/>
        <v>0</v>
      </c>
      <c r="Z325" s="1124">
        <f t="shared" si="269"/>
        <v>0</v>
      </c>
      <c r="AA325" s="1124">
        <f t="shared" si="269"/>
        <v>0</v>
      </c>
      <c r="AB325" s="1124">
        <f t="shared" si="269"/>
        <v>0</v>
      </c>
      <c r="AC325" s="1124">
        <f t="shared" si="269"/>
        <v>0</v>
      </c>
      <c r="AD325" s="1124">
        <f t="shared" si="269"/>
        <v>0</v>
      </c>
      <c r="AE325" s="1124">
        <f t="shared" si="269"/>
        <v>0</v>
      </c>
      <c r="AF325" s="1124">
        <f t="shared" si="269"/>
        <v>0</v>
      </c>
      <c r="AG325" s="1124">
        <f t="shared" si="269"/>
        <v>0</v>
      </c>
      <c r="AH325" s="1124">
        <f t="shared" si="269"/>
        <v>0</v>
      </c>
      <c r="AI325" s="1124">
        <f t="shared" si="269"/>
        <v>0</v>
      </c>
      <c r="AJ325" s="1124">
        <f t="shared" si="269"/>
        <v>0</v>
      </c>
      <c r="AK325" s="1124">
        <f t="shared" si="269"/>
        <v>0</v>
      </c>
      <c r="AL325" s="1124">
        <f t="shared" si="269"/>
        <v>0</v>
      </c>
      <c r="AM325" s="1124">
        <f t="shared" si="269"/>
        <v>0</v>
      </c>
      <c r="AN325" s="1124">
        <f t="shared" si="269"/>
        <v>0</v>
      </c>
      <c r="AO325" s="1124">
        <f t="shared" si="269"/>
        <v>0</v>
      </c>
      <c r="AP325" s="1124">
        <f t="shared" si="269"/>
        <v>0</v>
      </c>
      <c r="AQ325" s="1124">
        <f t="shared" si="269"/>
        <v>0</v>
      </c>
      <c r="AR325" s="1124">
        <f t="shared" si="269"/>
        <v>0</v>
      </c>
      <c r="AS325" s="1124">
        <f t="shared" si="269"/>
        <v>0</v>
      </c>
      <c r="AU325" s="29">
        <f>+Details!E325</f>
        <v>58500</v>
      </c>
      <c r="AV325" s="81">
        <f t="shared" ref="AV325:AV331" si="270">+E325-AU325</f>
        <v>0</v>
      </c>
      <c r="AW325" s="1489"/>
      <c r="AY325" s="31">
        <f>+Details!F325-Base!F325</f>
        <v>0</v>
      </c>
      <c r="AZ325" s="1124">
        <f>+Details!G325-Base!G325</f>
        <v>0</v>
      </c>
      <c r="BA325" s="1124">
        <f>+Details!H325-Base!H325</f>
        <v>0</v>
      </c>
      <c r="BB325" s="1124">
        <f>+Details!I325-Base!I325</f>
        <v>0</v>
      </c>
      <c r="BC325" s="1124">
        <f>+Details!J325-Base!J325</f>
        <v>0</v>
      </c>
      <c r="BD325" s="1124">
        <f>+Details!K325-Base!K325</f>
        <v>0</v>
      </c>
      <c r="BE325" s="1124">
        <f>+Details!L325-Base!L325</f>
        <v>0</v>
      </c>
      <c r="BF325" s="1124">
        <f>+Details!M325-Base!M325</f>
        <v>0</v>
      </c>
      <c r="BG325" s="1124">
        <f>+Details!N325-Base!N325</f>
        <v>0</v>
      </c>
      <c r="BH325" s="1124">
        <f>+Details!O325-Base!O325</f>
        <v>0</v>
      </c>
      <c r="BI325" s="1124">
        <f>+Details!P325-Base!P325</f>
        <v>0</v>
      </c>
      <c r="BJ325" s="1124">
        <f>+Details!Q325-Base!Q325</f>
        <v>0</v>
      </c>
      <c r="BK325" s="1124">
        <f>+Details!R325-Base!R325</f>
        <v>0</v>
      </c>
      <c r="BL325" s="1124">
        <f>+Details!S325-Base!S325</f>
        <v>0</v>
      </c>
      <c r="BM325" s="1124">
        <f>+Details!T325-Base!T325</f>
        <v>0</v>
      </c>
      <c r="BN325" s="1124">
        <f>+Details!U325-Base!U325</f>
        <v>0</v>
      </c>
      <c r="BO325" s="1124">
        <f>+Details!V325-Base!V325</f>
        <v>0</v>
      </c>
      <c r="BP325" s="1124">
        <f>+Details!W325-Base!W325</f>
        <v>0</v>
      </c>
      <c r="BQ325" s="1124">
        <f>+Details!X325-Base!X325</f>
        <v>0</v>
      </c>
      <c r="BR325" s="1124">
        <f>+Details!Y325-Base!Y325</f>
        <v>0</v>
      </c>
      <c r="BS325" s="1124">
        <f>+Details!Z325-Base!Z325</f>
        <v>0</v>
      </c>
      <c r="BT325" s="1124">
        <f>+Details!AA325-Base!AA325</f>
        <v>0</v>
      </c>
      <c r="BU325" s="1124">
        <f>+Details!AB325-Base!AB325</f>
        <v>0</v>
      </c>
      <c r="BV325" s="1124">
        <f>+Details!AC325-Base!AC325</f>
        <v>0</v>
      </c>
      <c r="BW325" s="1124">
        <f>+Details!AD325-Base!AD325</f>
        <v>0</v>
      </c>
      <c r="BX325" s="1124">
        <f>+Details!AE325-Base!AE325</f>
        <v>0</v>
      </c>
      <c r="BY325" s="1124">
        <f>+Details!AF325-Base!AF325</f>
        <v>0</v>
      </c>
      <c r="BZ325" s="1124">
        <f>+Details!AG325-Base!AG325</f>
        <v>0</v>
      </c>
      <c r="CA325" s="1124">
        <f>+Details!AH325-Base!AH325</f>
        <v>0</v>
      </c>
      <c r="CB325" s="1124">
        <f>+Details!AI325-Base!AI325</f>
        <v>0</v>
      </c>
      <c r="CC325" s="1124">
        <f>+Details!AJ325-Base!AJ325</f>
        <v>0</v>
      </c>
      <c r="CD325" s="1124">
        <f>+Details!AK325-Base!AK325</f>
        <v>0</v>
      </c>
      <c r="CE325" s="1124">
        <f>+Details!AL325-Base!AL325</f>
        <v>0</v>
      </c>
      <c r="CF325" s="1124">
        <f>+Details!AM325-Base!AM325</f>
        <v>0</v>
      </c>
      <c r="CG325" s="1124">
        <f>+Details!AN325-Base!AN325</f>
        <v>0</v>
      </c>
      <c r="CH325" s="1124">
        <f>+Details!AO325-Base!AO325</f>
        <v>0</v>
      </c>
      <c r="CI325" s="1124">
        <f>+Details!AP325-Base!AP325</f>
        <v>0</v>
      </c>
      <c r="CJ325" s="1124">
        <f>+Details!AQ325-Base!AQ325</f>
        <v>0</v>
      </c>
      <c r="CK325" s="1124">
        <f>+Details!AR325-Base!AR325</f>
        <v>0</v>
      </c>
      <c r="CL325" s="1124">
        <f>+Details!AS325-Base!AS325</f>
        <v>0</v>
      </c>
      <c r="CM325" s="81"/>
    </row>
    <row r="326" spans="1:91" hidden="1">
      <c r="A326" s="1432" t="s">
        <v>639</v>
      </c>
      <c r="B326" s="72" t="s">
        <v>156</v>
      </c>
      <c r="C326" s="3"/>
      <c r="E326" s="65">
        <f>SUM(F326:AS326)</f>
        <v>-530400</v>
      </c>
      <c r="F326" s="31">
        <f>+F102</f>
        <v>0</v>
      </c>
      <c r="G326" s="1124">
        <f t="shared" ref="G326:AS326" si="271">+G102</f>
        <v>0</v>
      </c>
      <c r="H326" s="1124">
        <f t="shared" si="271"/>
        <v>0</v>
      </c>
      <c r="I326" s="1124">
        <f t="shared" si="271"/>
        <v>0</v>
      </c>
      <c r="J326" s="1124">
        <f t="shared" si="271"/>
        <v>0</v>
      </c>
      <c r="K326" s="1124">
        <f t="shared" si="271"/>
        <v>0</v>
      </c>
      <c r="L326" s="1124">
        <f t="shared" si="271"/>
        <v>0</v>
      </c>
      <c r="M326" s="1124">
        <f t="shared" si="271"/>
        <v>0</v>
      </c>
      <c r="N326" s="1124">
        <f t="shared" si="271"/>
        <v>0</v>
      </c>
      <c r="O326" s="1124">
        <f t="shared" si="271"/>
        <v>-15000</v>
      </c>
      <c r="P326" s="1124">
        <f t="shared" si="271"/>
        <v>-15900</v>
      </c>
      <c r="Q326" s="1124">
        <f t="shared" si="271"/>
        <v>-16800</v>
      </c>
      <c r="R326" s="1124">
        <f t="shared" si="271"/>
        <v>-17700</v>
      </c>
      <c r="S326" s="1124">
        <f t="shared" si="271"/>
        <v>-18700</v>
      </c>
      <c r="T326" s="1124">
        <f t="shared" si="271"/>
        <v>-19700</v>
      </c>
      <c r="U326" s="1124">
        <f t="shared" si="271"/>
        <v>-20800</v>
      </c>
      <c r="V326" s="1124">
        <f t="shared" si="271"/>
        <v>-21900</v>
      </c>
      <c r="W326" s="1124">
        <f t="shared" si="271"/>
        <v>-23100</v>
      </c>
      <c r="X326" s="1124">
        <f t="shared" si="271"/>
        <v>-24200</v>
      </c>
      <c r="Y326" s="1124">
        <f t="shared" si="271"/>
        <v>-25300</v>
      </c>
      <c r="Z326" s="1124">
        <f t="shared" si="271"/>
        <v>-26300</v>
      </c>
      <c r="AA326" s="1124">
        <f t="shared" si="271"/>
        <v>-27500</v>
      </c>
      <c r="AB326" s="1124">
        <f t="shared" si="271"/>
        <v>-28600</v>
      </c>
      <c r="AC326" s="1124">
        <f t="shared" si="271"/>
        <v>-29800</v>
      </c>
      <c r="AD326" s="1124">
        <f t="shared" si="271"/>
        <v>-30800</v>
      </c>
      <c r="AE326" s="1124">
        <f t="shared" si="271"/>
        <v>-31800</v>
      </c>
      <c r="AF326" s="1124">
        <f t="shared" si="271"/>
        <v>-32700</v>
      </c>
      <c r="AG326" s="1124">
        <f t="shared" si="271"/>
        <v>-33700</v>
      </c>
      <c r="AH326" s="1124">
        <f t="shared" si="271"/>
        <v>-34700</v>
      </c>
      <c r="AI326" s="1124">
        <f t="shared" si="271"/>
        <v>-35400</v>
      </c>
      <c r="AJ326" s="1124">
        <f t="shared" si="271"/>
        <v>0</v>
      </c>
      <c r="AK326" s="1124">
        <f t="shared" si="271"/>
        <v>0</v>
      </c>
      <c r="AL326" s="1124">
        <f t="shared" si="271"/>
        <v>0</v>
      </c>
      <c r="AM326" s="1124">
        <f t="shared" si="271"/>
        <v>0</v>
      </c>
      <c r="AN326" s="1124">
        <f t="shared" si="271"/>
        <v>0</v>
      </c>
      <c r="AO326" s="1124">
        <f t="shared" si="271"/>
        <v>0</v>
      </c>
      <c r="AP326" s="1124">
        <f t="shared" si="271"/>
        <v>0</v>
      </c>
      <c r="AQ326" s="1124">
        <f t="shared" si="271"/>
        <v>0</v>
      </c>
      <c r="AR326" s="1124">
        <f t="shared" si="271"/>
        <v>0</v>
      </c>
      <c r="AS326" s="1124">
        <f t="shared" si="271"/>
        <v>0</v>
      </c>
      <c r="AU326" s="29">
        <f>+Details!E326</f>
        <v>-530400</v>
      </c>
      <c r="AV326" s="81">
        <f t="shared" si="270"/>
        <v>0</v>
      </c>
      <c r="AW326" s="191"/>
      <c r="AY326" s="31">
        <f>+Details!F326-Base!F326</f>
        <v>0</v>
      </c>
      <c r="AZ326" s="1124">
        <f>+Details!G326-Base!G326</f>
        <v>0</v>
      </c>
      <c r="BA326" s="1124">
        <f>+Details!H326-Base!H326</f>
        <v>0</v>
      </c>
      <c r="BB326" s="1124">
        <f>+Details!I326-Base!I326</f>
        <v>0</v>
      </c>
      <c r="BC326" s="1124">
        <f>+Details!J326-Base!J326</f>
        <v>0</v>
      </c>
      <c r="BD326" s="1124">
        <f>+Details!K326-Base!K326</f>
        <v>0</v>
      </c>
      <c r="BE326" s="1124">
        <f>+Details!L326-Base!L326</f>
        <v>0</v>
      </c>
      <c r="BF326" s="1124">
        <f>+Details!M326-Base!M326</f>
        <v>0</v>
      </c>
      <c r="BG326" s="1124">
        <f>+Details!N326-Base!N326</f>
        <v>0</v>
      </c>
      <c r="BH326" s="1124">
        <f>+Details!O326-Base!O326</f>
        <v>0</v>
      </c>
      <c r="BI326" s="1124">
        <f>+Details!P326-Base!P326</f>
        <v>0</v>
      </c>
      <c r="BJ326" s="1124">
        <f>+Details!Q326-Base!Q326</f>
        <v>0</v>
      </c>
      <c r="BK326" s="1124">
        <f>+Details!R326-Base!R326</f>
        <v>0</v>
      </c>
      <c r="BL326" s="1124">
        <f>+Details!S326-Base!S326</f>
        <v>0</v>
      </c>
      <c r="BM326" s="1124">
        <f>+Details!T326-Base!T326</f>
        <v>0</v>
      </c>
      <c r="BN326" s="1124">
        <f>+Details!U326-Base!U326</f>
        <v>0</v>
      </c>
      <c r="BO326" s="1124">
        <f>+Details!V326-Base!V326</f>
        <v>0</v>
      </c>
      <c r="BP326" s="1124">
        <f>+Details!W326-Base!W326</f>
        <v>0</v>
      </c>
      <c r="BQ326" s="1124">
        <f>+Details!X326-Base!X326</f>
        <v>0</v>
      </c>
      <c r="BR326" s="1124">
        <f>+Details!Y326-Base!Y326</f>
        <v>0</v>
      </c>
      <c r="BS326" s="1124">
        <f>+Details!Z326-Base!Z326</f>
        <v>0</v>
      </c>
      <c r="BT326" s="1124">
        <f>+Details!AA326-Base!AA326</f>
        <v>0</v>
      </c>
      <c r="BU326" s="1124">
        <f>+Details!AB326-Base!AB326</f>
        <v>0</v>
      </c>
      <c r="BV326" s="1124">
        <f>+Details!AC326-Base!AC326</f>
        <v>0</v>
      </c>
      <c r="BW326" s="1124">
        <f>+Details!AD326-Base!AD326</f>
        <v>0</v>
      </c>
      <c r="BX326" s="1124">
        <f>+Details!AE326-Base!AE326</f>
        <v>0</v>
      </c>
      <c r="BY326" s="1124">
        <f>+Details!AF326-Base!AF326</f>
        <v>0</v>
      </c>
      <c r="BZ326" s="1124">
        <f>+Details!AG326-Base!AG326</f>
        <v>0</v>
      </c>
      <c r="CA326" s="1124">
        <f>+Details!AH326-Base!AH326</f>
        <v>0</v>
      </c>
      <c r="CB326" s="1124">
        <f>+Details!AI326-Base!AI326</f>
        <v>0</v>
      </c>
      <c r="CC326" s="1124">
        <f>+Details!AJ326-Base!AJ326</f>
        <v>0</v>
      </c>
      <c r="CD326" s="1124">
        <f>+Details!AK326-Base!AK326</f>
        <v>0</v>
      </c>
      <c r="CE326" s="1124">
        <f>+Details!AL326-Base!AL326</f>
        <v>0</v>
      </c>
      <c r="CF326" s="1124">
        <f>+Details!AM326-Base!AM326</f>
        <v>0</v>
      </c>
      <c r="CG326" s="1124">
        <f>+Details!AN326-Base!AN326</f>
        <v>0</v>
      </c>
      <c r="CH326" s="1124">
        <f>+Details!AO326-Base!AO326</f>
        <v>0</v>
      </c>
      <c r="CI326" s="1124">
        <f>+Details!AP326-Base!AP326</f>
        <v>0</v>
      </c>
      <c r="CJ326" s="1124">
        <f>+Details!AQ326-Base!AQ326</f>
        <v>0</v>
      </c>
      <c r="CK326" s="1124">
        <f>+Details!AR326-Base!AR326</f>
        <v>0</v>
      </c>
      <c r="CL326" s="1124">
        <f>+Details!AS326-Base!AS326</f>
        <v>0</v>
      </c>
      <c r="CM326" s="81"/>
    </row>
    <row r="327" spans="1:91" s="3" customFormat="1" ht="15.6" hidden="1">
      <c r="A327" s="1432" t="s">
        <v>639</v>
      </c>
      <c r="B327" s="424" t="s">
        <v>160</v>
      </c>
      <c r="D327" s="327" t="str">
        <f>+Start_Compare3 &amp; " - " &amp; End_Compare3</f>
        <v xml:space="preserve"> - </v>
      </c>
      <c r="E327" s="363"/>
      <c r="F327" s="190">
        <f t="shared" ref="F327:AS327" si="272">IF(AND(Start_Base3&lt;=F$4,OR(End_Base3&gt;=F$4,End_Base3=0)),IF(+F324+F325+F326&lt;=0,0,+F324+F325+F326))*IF(F$7-$F$7&lt;=Total_Years-1,1,0)</f>
        <v>206500</v>
      </c>
      <c r="G327" s="1124">
        <f t="shared" si="272"/>
        <v>225000</v>
      </c>
      <c r="H327" s="1124">
        <f t="shared" si="272"/>
        <v>244600</v>
      </c>
      <c r="I327" s="1124">
        <f t="shared" si="272"/>
        <v>265300</v>
      </c>
      <c r="J327" s="1124">
        <f t="shared" si="272"/>
        <v>287300</v>
      </c>
      <c r="K327" s="1124">
        <f t="shared" si="272"/>
        <v>310600</v>
      </c>
      <c r="L327" s="1124">
        <f t="shared" si="272"/>
        <v>335200</v>
      </c>
      <c r="M327" s="1124">
        <f t="shared" si="272"/>
        <v>361300</v>
      </c>
      <c r="N327" s="1124">
        <f t="shared" si="272"/>
        <v>388900</v>
      </c>
      <c r="O327" s="1124">
        <f t="shared" si="272"/>
        <v>396700</v>
      </c>
      <c r="P327" s="1124">
        <f t="shared" si="272"/>
        <v>404600</v>
      </c>
      <c r="Q327" s="1124">
        <f t="shared" si="272"/>
        <v>412100</v>
      </c>
      <c r="R327" s="1124">
        <f t="shared" si="272"/>
        <v>419200</v>
      </c>
      <c r="S327" s="1124">
        <f t="shared" si="272"/>
        <v>425800</v>
      </c>
      <c r="T327" s="1124">
        <f t="shared" si="272"/>
        <v>431800</v>
      </c>
      <c r="U327" s="1124">
        <f t="shared" si="272"/>
        <v>437100</v>
      </c>
      <c r="V327" s="1124">
        <f t="shared" si="272"/>
        <v>441600</v>
      </c>
      <c r="W327" s="1124">
        <f t="shared" si="272"/>
        <v>445200</v>
      </c>
      <c r="X327" s="1124">
        <f t="shared" si="272"/>
        <v>447900</v>
      </c>
      <c r="Y327" s="1124">
        <f t="shared" si="272"/>
        <v>447000</v>
      </c>
      <c r="Z327" s="1124">
        <f t="shared" si="272"/>
        <v>445100</v>
      </c>
      <c r="AA327" s="1124">
        <f t="shared" si="272"/>
        <v>441900</v>
      </c>
      <c r="AB327" s="1124">
        <f t="shared" si="272"/>
        <v>437400</v>
      </c>
      <c r="AC327" s="1124">
        <f t="shared" si="272"/>
        <v>431500</v>
      </c>
      <c r="AD327" s="1124">
        <f t="shared" si="272"/>
        <v>424400</v>
      </c>
      <c r="AE327" s="1124">
        <f t="shared" si="272"/>
        <v>415900</v>
      </c>
      <c r="AF327" s="1124">
        <f t="shared" si="272"/>
        <v>406100</v>
      </c>
      <c r="AG327" s="1124">
        <f t="shared" si="272"/>
        <v>394800</v>
      </c>
      <c r="AH327" s="1124">
        <f t="shared" si="272"/>
        <v>381900</v>
      </c>
      <c r="AI327" s="1124">
        <f t="shared" si="272"/>
        <v>367700</v>
      </c>
      <c r="AJ327" s="1124">
        <f t="shared" si="272"/>
        <v>0</v>
      </c>
      <c r="AK327" s="1124">
        <f t="shared" si="272"/>
        <v>0</v>
      </c>
      <c r="AL327" s="1124">
        <f t="shared" si="272"/>
        <v>0</v>
      </c>
      <c r="AM327" s="1124">
        <f t="shared" si="272"/>
        <v>0</v>
      </c>
      <c r="AN327" s="1124">
        <f t="shared" si="272"/>
        <v>0</v>
      </c>
      <c r="AO327" s="1124">
        <f t="shared" si="272"/>
        <v>0</v>
      </c>
      <c r="AP327" s="1124">
        <f t="shared" si="272"/>
        <v>0</v>
      </c>
      <c r="AQ327" s="1124">
        <f t="shared" si="272"/>
        <v>0</v>
      </c>
      <c r="AR327" s="1124">
        <f t="shared" si="272"/>
        <v>0</v>
      </c>
      <c r="AS327" s="1124">
        <f t="shared" si="272"/>
        <v>0</v>
      </c>
      <c r="AU327" s="29"/>
      <c r="AV327" s="81"/>
      <c r="AW327" s="1489"/>
      <c r="AY327" s="31">
        <f>+Details!F327-Base!F327</f>
        <v>0</v>
      </c>
      <c r="AZ327" s="1124">
        <f>+Details!G327-Base!G327</f>
        <v>0</v>
      </c>
      <c r="BA327" s="1124">
        <f>+Details!H327-Base!H327</f>
        <v>0</v>
      </c>
      <c r="BB327" s="1124">
        <f>+Details!I327-Base!I327</f>
        <v>0</v>
      </c>
      <c r="BC327" s="1124">
        <f>+Details!J327-Base!J327</f>
        <v>0</v>
      </c>
      <c r="BD327" s="1124">
        <f>+Details!K327-Base!K327</f>
        <v>0</v>
      </c>
      <c r="BE327" s="1124">
        <f>+Details!L327-Base!L327</f>
        <v>0</v>
      </c>
      <c r="BF327" s="1124">
        <f>+Details!M327-Base!M327</f>
        <v>0</v>
      </c>
      <c r="BG327" s="1124">
        <f>+Details!N327-Base!N327</f>
        <v>0</v>
      </c>
      <c r="BH327" s="1124">
        <f>+Details!O327-Base!O327</f>
        <v>0</v>
      </c>
      <c r="BI327" s="1124">
        <f>+Details!P327-Base!P327</f>
        <v>0</v>
      </c>
      <c r="BJ327" s="1124">
        <f>+Details!Q327-Base!Q327</f>
        <v>0</v>
      </c>
      <c r="BK327" s="1124">
        <f>+Details!R327-Base!R327</f>
        <v>0</v>
      </c>
      <c r="BL327" s="1124">
        <f>+Details!S327-Base!S327</f>
        <v>0</v>
      </c>
      <c r="BM327" s="1124">
        <f>+Details!T327-Base!T327</f>
        <v>0</v>
      </c>
      <c r="BN327" s="1124">
        <f>+Details!U327-Base!U327</f>
        <v>0</v>
      </c>
      <c r="BO327" s="1124">
        <f>+Details!V327-Base!V327</f>
        <v>0</v>
      </c>
      <c r="BP327" s="1124">
        <f>+Details!W327-Base!W327</f>
        <v>0</v>
      </c>
      <c r="BQ327" s="1124">
        <f>+Details!X327-Base!X327</f>
        <v>0</v>
      </c>
      <c r="BR327" s="1124">
        <f>+Details!Y327-Base!Y327</f>
        <v>0</v>
      </c>
      <c r="BS327" s="1124">
        <f>+Details!Z327-Base!Z327</f>
        <v>0</v>
      </c>
      <c r="BT327" s="1124">
        <f>+Details!AA327-Base!AA327</f>
        <v>0</v>
      </c>
      <c r="BU327" s="1124">
        <f>+Details!AB327-Base!AB327</f>
        <v>0</v>
      </c>
      <c r="BV327" s="1124">
        <f>+Details!AC327-Base!AC327</f>
        <v>0</v>
      </c>
      <c r="BW327" s="1124">
        <f>+Details!AD327-Base!AD327</f>
        <v>0</v>
      </c>
      <c r="BX327" s="1124">
        <f>+Details!AE327-Base!AE327</f>
        <v>0</v>
      </c>
      <c r="BY327" s="1124">
        <f>+Details!AF327-Base!AF327</f>
        <v>0</v>
      </c>
      <c r="BZ327" s="1124">
        <f>+Details!AG327-Base!AG327</f>
        <v>0</v>
      </c>
      <c r="CA327" s="1124">
        <f>+Details!AH327-Base!AH327</f>
        <v>0</v>
      </c>
      <c r="CB327" s="1124">
        <f>+Details!AI327-Base!AI327</f>
        <v>0</v>
      </c>
      <c r="CC327" s="1124">
        <f>+Details!AJ327-Base!AJ327</f>
        <v>0</v>
      </c>
      <c r="CD327" s="1124">
        <f>+Details!AK327-Base!AK327</f>
        <v>0</v>
      </c>
      <c r="CE327" s="1124">
        <f>+Details!AL327-Base!AL327</f>
        <v>0</v>
      </c>
      <c r="CF327" s="1124">
        <f>+Details!AM327-Base!AM327</f>
        <v>0</v>
      </c>
      <c r="CG327" s="1124">
        <f>+Details!AN327-Base!AN327</f>
        <v>0</v>
      </c>
      <c r="CH327" s="1124">
        <f>+Details!AO327-Base!AO327</f>
        <v>0</v>
      </c>
      <c r="CI327" s="1124">
        <f>+Details!AP327-Base!AP327</f>
        <v>0</v>
      </c>
      <c r="CJ327" s="1124">
        <f>+Details!AQ327-Base!AQ327</f>
        <v>0</v>
      </c>
      <c r="CK327" s="1124">
        <f>+Details!AR327-Base!AR327</f>
        <v>0</v>
      </c>
      <c r="CL327" s="1124">
        <f>+Details!AS327-Base!AS327</f>
        <v>0</v>
      </c>
      <c r="CM327" s="81"/>
    </row>
    <row r="328" spans="1:91" ht="15.6" hidden="1">
      <c r="A328" s="1432" t="s">
        <v>639</v>
      </c>
      <c r="B328" s="72" t="s">
        <v>164</v>
      </c>
      <c r="C328" s="1727" t="str">
        <f>"during ages " &amp; Start_Compare3 &amp; " - " &amp; End_Compare3</f>
        <v xml:space="preserve">during ages  - </v>
      </c>
      <c r="E328" s="65">
        <f>SUM(F328:AS328)</f>
        <v>0</v>
      </c>
      <c r="F328" s="31">
        <f>+F99</f>
        <v>0</v>
      </c>
      <c r="G328" s="1124">
        <f t="shared" ref="G328:AS328" si="273">+G99</f>
        <v>0</v>
      </c>
      <c r="H328" s="1124">
        <f t="shared" si="273"/>
        <v>0</v>
      </c>
      <c r="I328" s="1124">
        <f t="shared" si="273"/>
        <v>0</v>
      </c>
      <c r="J328" s="1124">
        <f t="shared" si="273"/>
        <v>0</v>
      </c>
      <c r="K328" s="1124">
        <f t="shared" si="273"/>
        <v>0</v>
      </c>
      <c r="L328" s="1124">
        <f t="shared" si="273"/>
        <v>0</v>
      </c>
      <c r="M328" s="1124">
        <f t="shared" si="273"/>
        <v>0</v>
      </c>
      <c r="N328" s="1124">
        <f t="shared" si="273"/>
        <v>0</v>
      </c>
      <c r="O328" s="1124">
        <f t="shared" si="273"/>
        <v>0</v>
      </c>
      <c r="P328" s="1124">
        <f t="shared" si="273"/>
        <v>0</v>
      </c>
      <c r="Q328" s="1124">
        <f t="shared" si="273"/>
        <v>0</v>
      </c>
      <c r="R328" s="1124">
        <f t="shared" si="273"/>
        <v>0</v>
      </c>
      <c r="S328" s="1124">
        <f t="shared" si="273"/>
        <v>0</v>
      </c>
      <c r="T328" s="1124">
        <f t="shared" si="273"/>
        <v>0</v>
      </c>
      <c r="U328" s="1124">
        <f t="shared" si="273"/>
        <v>0</v>
      </c>
      <c r="V328" s="1124">
        <f t="shared" si="273"/>
        <v>0</v>
      </c>
      <c r="W328" s="1124">
        <f t="shared" si="273"/>
        <v>0</v>
      </c>
      <c r="X328" s="1124">
        <f t="shared" si="273"/>
        <v>0</v>
      </c>
      <c r="Y328" s="1124">
        <f t="shared" si="273"/>
        <v>0</v>
      </c>
      <c r="Z328" s="1124">
        <f t="shared" si="273"/>
        <v>0</v>
      </c>
      <c r="AA328" s="1124">
        <f t="shared" si="273"/>
        <v>0</v>
      </c>
      <c r="AB328" s="1124">
        <f t="shared" si="273"/>
        <v>0</v>
      </c>
      <c r="AC328" s="1124">
        <f t="shared" si="273"/>
        <v>0</v>
      </c>
      <c r="AD328" s="1124">
        <f t="shared" si="273"/>
        <v>0</v>
      </c>
      <c r="AE328" s="1124">
        <f t="shared" si="273"/>
        <v>0</v>
      </c>
      <c r="AF328" s="1124">
        <f t="shared" si="273"/>
        <v>0</v>
      </c>
      <c r="AG328" s="1124">
        <f t="shared" si="273"/>
        <v>0</v>
      </c>
      <c r="AH328" s="1124">
        <f t="shared" si="273"/>
        <v>0</v>
      </c>
      <c r="AI328" s="1124">
        <f t="shared" si="273"/>
        <v>0</v>
      </c>
      <c r="AJ328" s="1124">
        <f t="shared" si="273"/>
        <v>0</v>
      </c>
      <c r="AK328" s="1124">
        <f t="shared" si="273"/>
        <v>0</v>
      </c>
      <c r="AL328" s="1124">
        <f t="shared" si="273"/>
        <v>0</v>
      </c>
      <c r="AM328" s="1124">
        <f t="shared" si="273"/>
        <v>0</v>
      </c>
      <c r="AN328" s="1124">
        <f t="shared" si="273"/>
        <v>0</v>
      </c>
      <c r="AO328" s="1124">
        <f t="shared" si="273"/>
        <v>0</v>
      </c>
      <c r="AP328" s="1124">
        <f t="shared" si="273"/>
        <v>0</v>
      </c>
      <c r="AQ328" s="1124">
        <f t="shared" si="273"/>
        <v>0</v>
      </c>
      <c r="AR328" s="1124">
        <f t="shared" si="273"/>
        <v>0</v>
      </c>
      <c r="AS328" s="1124">
        <f t="shared" si="273"/>
        <v>0</v>
      </c>
      <c r="AU328" s="29">
        <f>+Details!E328</f>
        <v>0</v>
      </c>
      <c r="AV328" s="81">
        <f t="shared" si="270"/>
        <v>0</v>
      </c>
      <c r="AW328" s="191"/>
      <c r="AY328" s="31">
        <f>+Details!F328-Base!F328</f>
        <v>0</v>
      </c>
      <c r="AZ328" s="1124">
        <f>+Details!G328-Base!G328</f>
        <v>0</v>
      </c>
      <c r="BA328" s="1124">
        <f>+Details!H328-Base!H328</f>
        <v>0</v>
      </c>
      <c r="BB328" s="1124">
        <f>+Details!I328-Base!I328</f>
        <v>0</v>
      </c>
      <c r="BC328" s="1124">
        <f>+Details!J328-Base!J328</f>
        <v>0</v>
      </c>
      <c r="BD328" s="1124">
        <f>+Details!K328-Base!K328</f>
        <v>0</v>
      </c>
      <c r="BE328" s="1124">
        <f>+Details!L328-Base!L328</f>
        <v>0</v>
      </c>
      <c r="BF328" s="1124">
        <f>+Details!M328-Base!M328</f>
        <v>0</v>
      </c>
      <c r="BG328" s="1124">
        <f>+Details!N328-Base!N328</f>
        <v>0</v>
      </c>
      <c r="BH328" s="1124">
        <f>+Details!O328-Base!O328</f>
        <v>0</v>
      </c>
      <c r="BI328" s="1124">
        <f>+Details!P328-Base!P328</f>
        <v>0</v>
      </c>
      <c r="BJ328" s="1124">
        <f>+Details!Q328-Base!Q328</f>
        <v>0</v>
      </c>
      <c r="BK328" s="1124">
        <f>+Details!R328-Base!R328</f>
        <v>0</v>
      </c>
      <c r="BL328" s="1124">
        <f>+Details!S328-Base!S328</f>
        <v>0</v>
      </c>
      <c r="BM328" s="1124">
        <f>+Details!T328-Base!T328</f>
        <v>0</v>
      </c>
      <c r="BN328" s="1124">
        <f>+Details!U328-Base!U328</f>
        <v>0</v>
      </c>
      <c r="BO328" s="1124">
        <f>+Details!V328-Base!V328</f>
        <v>0</v>
      </c>
      <c r="BP328" s="1124">
        <f>+Details!W328-Base!W328</f>
        <v>0</v>
      </c>
      <c r="BQ328" s="1124">
        <f>+Details!X328-Base!X328</f>
        <v>0</v>
      </c>
      <c r="BR328" s="1124">
        <f>+Details!Y328-Base!Y328</f>
        <v>0</v>
      </c>
      <c r="BS328" s="1124">
        <f>+Details!Z328-Base!Z328</f>
        <v>0</v>
      </c>
      <c r="BT328" s="1124">
        <f>+Details!AA328-Base!AA328</f>
        <v>0</v>
      </c>
      <c r="BU328" s="1124">
        <f>+Details!AB328-Base!AB328</f>
        <v>0</v>
      </c>
      <c r="BV328" s="1124">
        <f>+Details!AC328-Base!AC328</f>
        <v>0</v>
      </c>
      <c r="BW328" s="1124">
        <f>+Details!AD328-Base!AD328</f>
        <v>0</v>
      </c>
      <c r="BX328" s="1124">
        <f>+Details!AE328-Base!AE328</f>
        <v>0</v>
      </c>
      <c r="BY328" s="1124">
        <f>+Details!AF328-Base!AF328</f>
        <v>0</v>
      </c>
      <c r="BZ328" s="1124">
        <f>+Details!AG328-Base!AG328</f>
        <v>0</v>
      </c>
      <c r="CA328" s="1124">
        <f>+Details!AH328-Base!AH328</f>
        <v>0</v>
      </c>
      <c r="CB328" s="1124">
        <f>+Details!AI328-Base!AI328</f>
        <v>0</v>
      </c>
      <c r="CC328" s="1124">
        <f>+Details!AJ328-Base!AJ328</f>
        <v>0</v>
      </c>
      <c r="CD328" s="1124">
        <f>+Details!AK328-Base!AK328</f>
        <v>0</v>
      </c>
      <c r="CE328" s="1124">
        <f>+Details!AL328-Base!AL328</f>
        <v>0</v>
      </c>
      <c r="CF328" s="1124">
        <f>+Details!AM328-Base!AM328</f>
        <v>0</v>
      </c>
      <c r="CG328" s="1124">
        <f>+Details!AN328-Base!AN328</f>
        <v>0</v>
      </c>
      <c r="CH328" s="1124">
        <f>+Details!AO328-Base!AO328</f>
        <v>0</v>
      </c>
      <c r="CI328" s="1124">
        <f>+Details!AP328-Base!AP328</f>
        <v>0</v>
      </c>
      <c r="CJ328" s="1124">
        <f>+Details!AQ328-Base!AQ328</f>
        <v>0</v>
      </c>
      <c r="CK328" s="1124">
        <f>+Details!AR328-Base!AR328</f>
        <v>0</v>
      </c>
      <c r="CL328" s="1124">
        <f>+Details!AS328-Base!AS328</f>
        <v>0</v>
      </c>
      <c r="CM328" s="81"/>
    </row>
    <row r="329" spans="1:91" hidden="1">
      <c r="A329" s="1432" t="s">
        <v>639</v>
      </c>
      <c r="B329" s="72" t="s">
        <v>166</v>
      </c>
      <c r="C329" s="3"/>
      <c r="E329" s="65">
        <f>SUM(F329:AS329)</f>
        <v>660000</v>
      </c>
      <c r="F329" s="31">
        <f t="shared" ref="F329:AS329" si="274">+F30</f>
        <v>12000</v>
      </c>
      <c r="G329" s="1124">
        <f t="shared" si="274"/>
        <v>13100</v>
      </c>
      <c r="H329" s="1124">
        <f t="shared" si="274"/>
        <v>14200</v>
      </c>
      <c r="I329" s="1124">
        <f t="shared" si="274"/>
        <v>15500</v>
      </c>
      <c r="J329" s="1124">
        <f t="shared" si="274"/>
        <v>16800</v>
      </c>
      <c r="K329" s="1124">
        <f t="shared" si="274"/>
        <v>18100</v>
      </c>
      <c r="L329" s="1124">
        <f t="shared" si="274"/>
        <v>19600</v>
      </c>
      <c r="M329" s="1124">
        <f t="shared" si="274"/>
        <v>21100</v>
      </c>
      <c r="N329" s="1124">
        <f t="shared" si="274"/>
        <v>22800</v>
      </c>
      <c r="O329" s="1124">
        <f t="shared" si="274"/>
        <v>23800</v>
      </c>
      <c r="P329" s="1124">
        <f t="shared" si="274"/>
        <v>24300</v>
      </c>
      <c r="Q329" s="1124">
        <f t="shared" si="274"/>
        <v>24800</v>
      </c>
      <c r="R329" s="1124">
        <f t="shared" si="274"/>
        <v>25300</v>
      </c>
      <c r="S329" s="1124">
        <f t="shared" si="274"/>
        <v>25700</v>
      </c>
      <c r="T329" s="1124">
        <f t="shared" si="274"/>
        <v>26100</v>
      </c>
      <c r="U329" s="1124">
        <f t="shared" si="274"/>
        <v>26400</v>
      </c>
      <c r="V329" s="1124">
        <f t="shared" si="274"/>
        <v>26700</v>
      </c>
      <c r="W329" s="1124">
        <f t="shared" si="274"/>
        <v>26900</v>
      </c>
      <c r="X329" s="1124">
        <f t="shared" si="274"/>
        <v>24400</v>
      </c>
      <c r="Y329" s="1124">
        <f t="shared" si="274"/>
        <v>24400</v>
      </c>
      <c r="Z329" s="1124">
        <f t="shared" si="274"/>
        <v>24300</v>
      </c>
      <c r="AA329" s="1124">
        <f t="shared" si="274"/>
        <v>24100</v>
      </c>
      <c r="AB329" s="1124">
        <f t="shared" si="274"/>
        <v>23900</v>
      </c>
      <c r="AC329" s="1124">
        <f t="shared" si="274"/>
        <v>23700</v>
      </c>
      <c r="AD329" s="1124">
        <f t="shared" si="274"/>
        <v>23300</v>
      </c>
      <c r="AE329" s="1124">
        <f t="shared" si="274"/>
        <v>22900</v>
      </c>
      <c r="AF329" s="1124">
        <f t="shared" si="274"/>
        <v>22400</v>
      </c>
      <c r="AG329" s="1124">
        <f t="shared" si="274"/>
        <v>21800</v>
      </c>
      <c r="AH329" s="1124">
        <f t="shared" si="274"/>
        <v>21200</v>
      </c>
      <c r="AI329" s="1124">
        <f t="shared" si="274"/>
        <v>20400</v>
      </c>
      <c r="AJ329" s="1124">
        <f t="shared" si="274"/>
        <v>0</v>
      </c>
      <c r="AK329" s="1124">
        <f t="shared" si="274"/>
        <v>0</v>
      </c>
      <c r="AL329" s="1124">
        <f t="shared" si="274"/>
        <v>0</v>
      </c>
      <c r="AM329" s="1124">
        <f t="shared" si="274"/>
        <v>0</v>
      </c>
      <c r="AN329" s="1124">
        <f t="shared" si="274"/>
        <v>0</v>
      </c>
      <c r="AO329" s="1124">
        <f t="shared" si="274"/>
        <v>0</v>
      </c>
      <c r="AP329" s="1124">
        <f t="shared" si="274"/>
        <v>0</v>
      </c>
      <c r="AQ329" s="1124">
        <f t="shared" si="274"/>
        <v>0</v>
      </c>
      <c r="AR329" s="1124">
        <f t="shared" si="274"/>
        <v>0</v>
      </c>
      <c r="AS329" s="1124">
        <f t="shared" si="274"/>
        <v>0</v>
      </c>
      <c r="AU329" s="29">
        <f>+Details!E329</f>
        <v>660000</v>
      </c>
      <c r="AV329" s="81">
        <f t="shared" si="270"/>
        <v>0</v>
      </c>
      <c r="AW329" s="191"/>
      <c r="AY329" s="31">
        <f>+Details!F329-Base!F329</f>
        <v>0</v>
      </c>
      <c r="AZ329" s="1124">
        <f>+Details!G329-Base!G329</f>
        <v>0</v>
      </c>
      <c r="BA329" s="1124">
        <f>+Details!H329-Base!H329</f>
        <v>0</v>
      </c>
      <c r="BB329" s="1124">
        <f>+Details!I329-Base!I329</f>
        <v>0</v>
      </c>
      <c r="BC329" s="1124">
        <f>+Details!J329-Base!J329</f>
        <v>0</v>
      </c>
      <c r="BD329" s="1124">
        <f>+Details!K329-Base!K329</f>
        <v>0</v>
      </c>
      <c r="BE329" s="1124">
        <f>+Details!L329-Base!L329</f>
        <v>0</v>
      </c>
      <c r="BF329" s="1124">
        <f>+Details!M329-Base!M329</f>
        <v>0</v>
      </c>
      <c r="BG329" s="1124">
        <f>+Details!N329-Base!N329</f>
        <v>0</v>
      </c>
      <c r="BH329" s="1124">
        <f>+Details!O329-Base!O329</f>
        <v>0</v>
      </c>
      <c r="BI329" s="1124">
        <f>+Details!P329-Base!P329</f>
        <v>0</v>
      </c>
      <c r="BJ329" s="1124">
        <f>+Details!Q329-Base!Q329</f>
        <v>0</v>
      </c>
      <c r="BK329" s="1124">
        <f>+Details!R329-Base!R329</f>
        <v>0</v>
      </c>
      <c r="BL329" s="1124">
        <f>+Details!S329-Base!S329</f>
        <v>0</v>
      </c>
      <c r="BM329" s="1124">
        <f>+Details!T329-Base!T329</f>
        <v>0</v>
      </c>
      <c r="BN329" s="1124">
        <f>+Details!U329-Base!U329</f>
        <v>0</v>
      </c>
      <c r="BO329" s="1124">
        <f>+Details!V329-Base!V329</f>
        <v>0</v>
      </c>
      <c r="BP329" s="1124">
        <f>+Details!W329-Base!W329</f>
        <v>0</v>
      </c>
      <c r="BQ329" s="1124">
        <f>+Details!X329-Base!X329</f>
        <v>0</v>
      </c>
      <c r="BR329" s="1124">
        <f>+Details!Y329-Base!Y329</f>
        <v>0</v>
      </c>
      <c r="BS329" s="1124">
        <f>+Details!Z329-Base!Z329</f>
        <v>0</v>
      </c>
      <c r="BT329" s="1124">
        <f>+Details!AA329-Base!AA329</f>
        <v>0</v>
      </c>
      <c r="BU329" s="1124">
        <f>+Details!AB329-Base!AB329</f>
        <v>0</v>
      </c>
      <c r="BV329" s="1124">
        <f>+Details!AC329-Base!AC329</f>
        <v>0</v>
      </c>
      <c r="BW329" s="1124">
        <f>+Details!AD329-Base!AD329</f>
        <v>0</v>
      </c>
      <c r="BX329" s="1124">
        <f>+Details!AE329-Base!AE329</f>
        <v>0</v>
      </c>
      <c r="BY329" s="1124">
        <f>+Details!AF329-Base!AF329</f>
        <v>0</v>
      </c>
      <c r="BZ329" s="1124">
        <f>+Details!AG329-Base!AG329</f>
        <v>0</v>
      </c>
      <c r="CA329" s="1124">
        <f>+Details!AH329-Base!AH329</f>
        <v>0</v>
      </c>
      <c r="CB329" s="1124">
        <f>+Details!AI329-Base!AI329</f>
        <v>0</v>
      </c>
      <c r="CC329" s="1124">
        <f>+Details!AJ329-Base!AJ329</f>
        <v>0</v>
      </c>
      <c r="CD329" s="1124">
        <f>+Details!AK329-Base!AK329</f>
        <v>0</v>
      </c>
      <c r="CE329" s="1124">
        <f>+Details!AL329-Base!AL329</f>
        <v>0</v>
      </c>
      <c r="CF329" s="1124">
        <f>+Details!AM329-Base!AM329</f>
        <v>0</v>
      </c>
      <c r="CG329" s="1124">
        <f>+Details!AN329-Base!AN329</f>
        <v>0</v>
      </c>
      <c r="CH329" s="1124">
        <f>+Details!AO329-Base!AO329</f>
        <v>0</v>
      </c>
      <c r="CI329" s="1124">
        <f>+Details!AP329-Base!AP329</f>
        <v>0</v>
      </c>
      <c r="CJ329" s="1124">
        <f>+Details!AQ329-Base!AQ329</f>
        <v>0</v>
      </c>
      <c r="CK329" s="1124">
        <f>+Details!AR329-Base!AR329</f>
        <v>0</v>
      </c>
      <c r="CL329" s="1124">
        <f>+Details!AS329-Base!AS329</f>
        <v>0</v>
      </c>
      <c r="CM329" s="81"/>
    </row>
    <row r="330" spans="1:91" ht="15.6" hidden="1">
      <c r="A330" s="1432" t="s">
        <v>639</v>
      </c>
      <c r="B330" s="28" t="s">
        <v>1543</v>
      </c>
      <c r="C330" s="3"/>
      <c r="E330" s="363"/>
      <c r="F330" s="31">
        <f>+F324+F325+F326+F328+F329</f>
        <v>218500</v>
      </c>
      <c r="G330" s="1124">
        <f>+G324+G325+G326+G328+G329</f>
        <v>238100</v>
      </c>
      <c r="H330" s="1124">
        <f t="shared" ref="H330:AS330" si="275">+H324+H325+H326+H328+H329</f>
        <v>258800</v>
      </c>
      <c r="I330" s="1124">
        <f t="shared" si="275"/>
        <v>280800</v>
      </c>
      <c r="J330" s="1124">
        <f t="shared" si="275"/>
        <v>304100</v>
      </c>
      <c r="K330" s="1124">
        <f t="shared" si="275"/>
        <v>328700</v>
      </c>
      <c r="L330" s="1124">
        <f t="shared" si="275"/>
        <v>354800</v>
      </c>
      <c r="M330" s="1124">
        <f t="shared" si="275"/>
        <v>382400</v>
      </c>
      <c r="N330" s="1124">
        <f t="shared" si="275"/>
        <v>411700</v>
      </c>
      <c r="O330" s="1124">
        <f t="shared" si="275"/>
        <v>420500</v>
      </c>
      <c r="P330" s="1124">
        <f t="shared" si="275"/>
        <v>428900</v>
      </c>
      <c r="Q330" s="1124">
        <f t="shared" si="275"/>
        <v>436900</v>
      </c>
      <c r="R330" s="1124">
        <f t="shared" si="275"/>
        <v>444500</v>
      </c>
      <c r="S330" s="1124">
        <f t="shared" si="275"/>
        <v>451500</v>
      </c>
      <c r="T330" s="1124">
        <f t="shared" si="275"/>
        <v>457900</v>
      </c>
      <c r="U330" s="1124">
        <f t="shared" si="275"/>
        <v>463500</v>
      </c>
      <c r="V330" s="1124">
        <f t="shared" si="275"/>
        <v>468300</v>
      </c>
      <c r="W330" s="1124">
        <f t="shared" si="275"/>
        <v>472100</v>
      </c>
      <c r="X330" s="1124">
        <f t="shared" si="275"/>
        <v>472300</v>
      </c>
      <c r="Y330" s="1124">
        <f t="shared" si="275"/>
        <v>471400</v>
      </c>
      <c r="Z330" s="1124">
        <f t="shared" si="275"/>
        <v>469400</v>
      </c>
      <c r="AA330" s="1124">
        <f t="shared" si="275"/>
        <v>466000</v>
      </c>
      <c r="AB330" s="1124">
        <f t="shared" si="275"/>
        <v>461300</v>
      </c>
      <c r="AC330" s="1124">
        <f t="shared" si="275"/>
        <v>455200</v>
      </c>
      <c r="AD330" s="1124">
        <f t="shared" si="275"/>
        <v>447700</v>
      </c>
      <c r="AE330" s="1124">
        <f t="shared" si="275"/>
        <v>438800</v>
      </c>
      <c r="AF330" s="1124">
        <f t="shared" si="275"/>
        <v>428500</v>
      </c>
      <c r="AG330" s="1124">
        <f t="shared" si="275"/>
        <v>416600</v>
      </c>
      <c r="AH330" s="1124">
        <f t="shared" si="275"/>
        <v>403100</v>
      </c>
      <c r="AI330" s="1124">
        <f t="shared" si="275"/>
        <v>388100</v>
      </c>
      <c r="AJ330" s="1124">
        <f t="shared" si="275"/>
        <v>0</v>
      </c>
      <c r="AK330" s="1124">
        <f t="shared" si="275"/>
        <v>0</v>
      </c>
      <c r="AL330" s="1124">
        <f t="shared" si="275"/>
        <v>0</v>
      </c>
      <c r="AM330" s="1124">
        <f t="shared" si="275"/>
        <v>0</v>
      </c>
      <c r="AN330" s="1124">
        <f t="shared" si="275"/>
        <v>0</v>
      </c>
      <c r="AO330" s="1124">
        <f t="shared" si="275"/>
        <v>0</v>
      </c>
      <c r="AP330" s="1124">
        <f t="shared" si="275"/>
        <v>0</v>
      </c>
      <c r="AQ330" s="1124">
        <f t="shared" si="275"/>
        <v>0</v>
      </c>
      <c r="AR330" s="1124">
        <f t="shared" si="275"/>
        <v>0</v>
      </c>
      <c r="AS330" s="1124">
        <f t="shared" si="275"/>
        <v>0</v>
      </c>
      <c r="AU330" s="29"/>
      <c r="AV330" s="81"/>
      <c r="AW330" s="1489"/>
      <c r="AY330" s="31">
        <f>+Details!F330-Base!F330</f>
        <v>0</v>
      </c>
      <c r="AZ330" s="1124">
        <f>+Details!G330-Base!G330</f>
        <v>0</v>
      </c>
      <c r="BA330" s="1124">
        <f>+Details!H330-Base!H330</f>
        <v>0</v>
      </c>
      <c r="BB330" s="1124">
        <f>+Details!I330-Base!I330</f>
        <v>0</v>
      </c>
      <c r="BC330" s="1124">
        <f>+Details!J330-Base!J330</f>
        <v>0</v>
      </c>
      <c r="BD330" s="1124">
        <f>+Details!K330-Base!K330</f>
        <v>0</v>
      </c>
      <c r="BE330" s="1124">
        <f>+Details!L330-Base!L330</f>
        <v>0</v>
      </c>
      <c r="BF330" s="1124">
        <f>+Details!M330-Base!M330</f>
        <v>0</v>
      </c>
      <c r="BG330" s="1124">
        <f>+Details!N330-Base!N330</f>
        <v>0</v>
      </c>
      <c r="BH330" s="1124">
        <f>+Details!O330-Base!O330</f>
        <v>0</v>
      </c>
      <c r="BI330" s="1124">
        <f>+Details!P330-Base!P330</f>
        <v>0</v>
      </c>
      <c r="BJ330" s="1124">
        <f>+Details!Q330-Base!Q330</f>
        <v>0</v>
      </c>
      <c r="BK330" s="1124">
        <f>+Details!R330-Base!R330</f>
        <v>0</v>
      </c>
      <c r="BL330" s="1124">
        <f>+Details!S330-Base!S330</f>
        <v>0</v>
      </c>
      <c r="BM330" s="1124">
        <f>+Details!T330-Base!T330</f>
        <v>0</v>
      </c>
      <c r="BN330" s="1124">
        <f>+Details!U330-Base!U330</f>
        <v>0</v>
      </c>
      <c r="BO330" s="1124">
        <f>+Details!V330-Base!V330</f>
        <v>0</v>
      </c>
      <c r="BP330" s="1124">
        <f>+Details!W330-Base!W330</f>
        <v>0</v>
      </c>
      <c r="BQ330" s="1124">
        <f>+Details!X330-Base!X330</f>
        <v>0</v>
      </c>
      <c r="BR330" s="1124">
        <f>+Details!Y330-Base!Y330</f>
        <v>0</v>
      </c>
      <c r="BS330" s="1124">
        <f>+Details!Z330-Base!Z330</f>
        <v>0</v>
      </c>
      <c r="BT330" s="1124">
        <f>+Details!AA330-Base!AA330</f>
        <v>0</v>
      </c>
      <c r="BU330" s="1124">
        <f>+Details!AB330-Base!AB330</f>
        <v>0</v>
      </c>
      <c r="BV330" s="1124">
        <f>+Details!AC330-Base!AC330</f>
        <v>0</v>
      </c>
      <c r="BW330" s="1124">
        <f>+Details!AD330-Base!AD330</f>
        <v>0</v>
      </c>
      <c r="BX330" s="1124">
        <f>+Details!AE330-Base!AE330</f>
        <v>0</v>
      </c>
      <c r="BY330" s="1124">
        <f>+Details!AF330-Base!AF330</f>
        <v>0</v>
      </c>
      <c r="BZ330" s="1124">
        <f>+Details!AG330-Base!AG330</f>
        <v>0</v>
      </c>
      <c r="CA330" s="1124">
        <f>+Details!AH330-Base!AH330</f>
        <v>0</v>
      </c>
      <c r="CB330" s="1124">
        <f>+Details!AI330-Base!AI330</f>
        <v>0</v>
      </c>
      <c r="CC330" s="1124">
        <f>+Details!AJ330-Base!AJ330</f>
        <v>0</v>
      </c>
      <c r="CD330" s="1124">
        <f>+Details!AK330-Base!AK330</f>
        <v>0</v>
      </c>
      <c r="CE330" s="1124">
        <f>+Details!AL330-Base!AL330</f>
        <v>0</v>
      </c>
      <c r="CF330" s="1124">
        <f>+Details!AM330-Base!AM330</f>
        <v>0</v>
      </c>
      <c r="CG330" s="1124">
        <f>+Details!AN330-Base!AN330</f>
        <v>0</v>
      </c>
      <c r="CH330" s="1124">
        <f>+Details!AO330-Base!AO330</f>
        <v>0</v>
      </c>
      <c r="CI330" s="1124">
        <f>+Details!AP330-Base!AP330</f>
        <v>0</v>
      </c>
      <c r="CJ330" s="1124">
        <f>+Details!AQ330-Base!AQ330</f>
        <v>0</v>
      </c>
      <c r="CK330" s="1124">
        <f>+Details!AR330-Base!AR330</f>
        <v>0</v>
      </c>
      <c r="CL330" s="1124">
        <f>+Details!AS330-Base!AS330</f>
        <v>0</v>
      </c>
      <c r="CM330" s="81"/>
    </row>
    <row r="331" spans="1:91" hidden="1">
      <c r="A331" s="1432" t="s">
        <v>639</v>
      </c>
      <c r="B331" s="72" t="s">
        <v>1544</v>
      </c>
      <c r="C331" s="3"/>
      <c r="E331" s="65">
        <f>SUM(F331:AS331)</f>
        <v>0</v>
      </c>
      <c r="F331" s="31">
        <f>+F103</f>
        <v>0</v>
      </c>
      <c r="G331" s="1124">
        <f t="shared" ref="G331:AS331" si="276">+G103</f>
        <v>0</v>
      </c>
      <c r="H331" s="1124">
        <f t="shared" si="276"/>
        <v>0</v>
      </c>
      <c r="I331" s="1124">
        <f t="shared" si="276"/>
        <v>0</v>
      </c>
      <c r="J331" s="1124">
        <f t="shared" si="276"/>
        <v>0</v>
      </c>
      <c r="K331" s="1124">
        <f t="shared" si="276"/>
        <v>0</v>
      </c>
      <c r="L331" s="1124">
        <f t="shared" si="276"/>
        <v>0</v>
      </c>
      <c r="M331" s="1124">
        <f t="shared" si="276"/>
        <v>0</v>
      </c>
      <c r="N331" s="1124">
        <f t="shared" si="276"/>
        <v>0</v>
      </c>
      <c r="O331" s="1124">
        <f t="shared" si="276"/>
        <v>0</v>
      </c>
      <c r="P331" s="1124">
        <f t="shared" si="276"/>
        <v>0</v>
      </c>
      <c r="Q331" s="1124">
        <f t="shared" si="276"/>
        <v>0</v>
      </c>
      <c r="R331" s="1124">
        <f t="shared" si="276"/>
        <v>0</v>
      </c>
      <c r="S331" s="1124">
        <f t="shared" si="276"/>
        <v>0</v>
      </c>
      <c r="T331" s="1124">
        <f t="shared" si="276"/>
        <v>0</v>
      </c>
      <c r="U331" s="1124">
        <f t="shared" si="276"/>
        <v>0</v>
      </c>
      <c r="V331" s="1124">
        <f t="shared" si="276"/>
        <v>0</v>
      </c>
      <c r="W331" s="1124">
        <f t="shared" si="276"/>
        <v>0</v>
      </c>
      <c r="X331" s="1124">
        <f t="shared" si="276"/>
        <v>0</v>
      </c>
      <c r="Y331" s="1124">
        <f t="shared" si="276"/>
        <v>0</v>
      </c>
      <c r="Z331" s="1124">
        <f t="shared" si="276"/>
        <v>0</v>
      </c>
      <c r="AA331" s="1124">
        <f t="shared" si="276"/>
        <v>0</v>
      </c>
      <c r="AB331" s="1124">
        <f t="shared" si="276"/>
        <v>0</v>
      </c>
      <c r="AC331" s="1124">
        <f t="shared" si="276"/>
        <v>0</v>
      </c>
      <c r="AD331" s="1124">
        <f t="shared" si="276"/>
        <v>0</v>
      </c>
      <c r="AE331" s="1124">
        <f t="shared" si="276"/>
        <v>0</v>
      </c>
      <c r="AF331" s="1124">
        <f t="shared" si="276"/>
        <v>0</v>
      </c>
      <c r="AG331" s="1124">
        <f t="shared" si="276"/>
        <v>0</v>
      </c>
      <c r="AH331" s="1124">
        <f t="shared" si="276"/>
        <v>0</v>
      </c>
      <c r="AI331" s="1124">
        <f t="shared" si="276"/>
        <v>0</v>
      </c>
      <c r="AJ331" s="1124">
        <f t="shared" si="276"/>
        <v>0</v>
      </c>
      <c r="AK331" s="1124">
        <f t="shared" si="276"/>
        <v>0</v>
      </c>
      <c r="AL331" s="1124">
        <f t="shared" si="276"/>
        <v>0</v>
      </c>
      <c r="AM331" s="1124">
        <f t="shared" si="276"/>
        <v>0</v>
      </c>
      <c r="AN331" s="1124">
        <f t="shared" si="276"/>
        <v>0</v>
      </c>
      <c r="AO331" s="1124">
        <f t="shared" si="276"/>
        <v>0</v>
      </c>
      <c r="AP331" s="1124">
        <f t="shared" si="276"/>
        <v>0</v>
      </c>
      <c r="AQ331" s="1124">
        <f t="shared" si="276"/>
        <v>0</v>
      </c>
      <c r="AR331" s="1124">
        <f t="shared" si="276"/>
        <v>0</v>
      </c>
      <c r="AS331" s="1124">
        <f t="shared" si="276"/>
        <v>0</v>
      </c>
      <c r="AU331" s="29">
        <f>+Details!E331</f>
        <v>0</v>
      </c>
      <c r="AV331" s="81">
        <f t="shared" si="270"/>
        <v>0</v>
      </c>
      <c r="AW331" s="1489"/>
      <c r="AY331" s="31">
        <f>+Details!F331-Base!F331</f>
        <v>0</v>
      </c>
      <c r="AZ331" s="1124">
        <f>+Details!G331-Base!G331</f>
        <v>0</v>
      </c>
      <c r="BA331" s="1124">
        <f>+Details!H331-Base!H331</f>
        <v>0</v>
      </c>
      <c r="BB331" s="1124">
        <f>+Details!I331-Base!I331</f>
        <v>0</v>
      </c>
      <c r="BC331" s="1124">
        <f>+Details!J331-Base!J331</f>
        <v>0</v>
      </c>
      <c r="BD331" s="1124">
        <f>+Details!K331-Base!K331</f>
        <v>0</v>
      </c>
      <c r="BE331" s="1124">
        <f>+Details!L331-Base!L331</f>
        <v>0</v>
      </c>
      <c r="BF331" s="1124">
        <f>+Details!M331-Base!M331</f>
        <v>0</v>
      </c>
      <c r="BG331" s="1124">
        <f>+Details!N331-Base!N331</f>
        <v>0</v>
      </c>
      <c r="BH331" s="1124">
        <f>+Details!O331-Base!O331</f>
        <v>0</v>
      </c>
      <c r="BI331" s="1124">
        <f>+Details!P331-Base!P331</f>
        <v>0</v>
      </c>
      <c r="BJ331" s="1124">
        <f>+Details!Q331-Base!Q331</f>
        <v>0</v>
      </c>
      <c r="BK331" s="1124">
        <f>+Details!R331-Base!R331</f>
        <v>0</v>
      </c>
      <c r="BL331" s="1124">
        <f>+Details!S331-Base!S331</f>
        <v>0</v>
      </c>
      <c r="BM331" s="1124">
        <f>+Details!T331-Base!T331</f>
        <v>0</v>
      </c>
      <c r="BN331" s="1124">
        <f>+Details!U331-Base!U331</f>
        <v>0</v>
      </c>
      <c r="BO331" s="1124">
        <f>+Details!V331-Base!V331</f>
        <v>0</v>
      </c>
      <c r="BP331" s="1124">
        <f>+Details!W331-Base!W331</f>
        <v>0</v>
      </c>
      <c r="BQ331" s="1124">
        <f>+Details!X331-Base!X331</f>
        <v>0</v>
      </c>
      <c r="BR331" s="1124">
        <f>+Details!Y331-Base!Y331</f>
        <v>0</v>
      </c>
      <c r="BS331" s="1124">
        <f>+Details!Z331-Base!Z331</f>
        <v>0</v>
      </c>
      <c r="BT331" s="1124">
        <f>+Details!AA331-Base!AA331</f>
        <v>0</v>
      </c>
      <c r="BU331" s="1124">
        <f>+Details!AB331-Base!AB331</f>
        <v>0</v>
      </c>
      <c r="BV331" s="1124">
        <f>+Details!AC331-Base!AC331</f>
        <v>0</v>
      </c>
      <c r="BW331" s="1124">
        <f>+Details!AD331-Base!AD331</f>
        <v>0</v>
      </c>
      <c r="BX331" s="1124">
        <f>+Details!AE331-Base!AE331</f>
        <v>0</v>
      </c>
      <c r="BY331" s="1124">
        <f>+Details!AF331-Base!AF331</f>
        <v>0</v>
      </c>
      <c r="BZ331" s="1124">
        <f>+Details!AG331-Base!AG331</f>
        <v>0</v>
      </c>
      <c r="CA331" s="1124">
        <f>+Details!AH331-Base!AH331</f>
        <v>0</v>
      </c>
      <c r="CB331" s="1124">
        <f>+Details!AI331-Base!AI331</f>
        <v>0</v>
      </c>
      <c r="CC331" s="1124">
        <f>+Details!AJ331-Base!AJ331</f>
        <v>0</v>
      </c>
      <c r="CD331" s="1124">
        <f>+Details!AK331-Base!AK331</f>
        <v>0</v>
      </c>
      <c r="CE331" s="1124">
        <f>+Details!AL331-Base!AL331</f>
        <v>0</v>
      </c>
      <c r="CF331" s="1124">
        <f>+Details!AM331-Base!AM331</f>
        <v>0</v>
      </c>
      <c r="CG331" s="1124">
        <f>+Details!AN331-Base!AN331</f>
        <v>0</v>
      </c>
      <c r="CH331" s="1124">
        <f>+Details!AO331-Base!AO331</f>
        <v>0</v>
      </c>
      <c r="CI331" s="1124">
        <f>+Details!AP331-Base!AP331</f>
        <v>0</v>
      </c>
      <c r="CJ331" s="1124">
        <f>+Details!AQ331-Base!AQ331</f>
        <v>0</v>
      </c>
      <c r="CK331" s="1124">
        <f>+Details!AR331-Base!AR331</f>
        <v>0</v>
      </c>
      <c r="CL331" s="1124">
        <f>+Details!AS331-Base!AS331</f>
        <v>0</v>
      </c>
      <c r="CM331" s="81"/>
    </row>
    <row r="332" spans="1:91" hidden="1">
      <c r="A332" s="1432" t="s">
        <v>639</v>
      </c>
      <c r="B332" s="72" t="s">
        <v>1271</v>
      </c>
      <c r="C332" s="3"/>
      <c r="E332" s="433">
        <f ca="1">INDIRECT(ADDRESS(ROW(),Total_Years+5))</f>
        <v>388100</v>
      </c>
      <c r="F332" s="31">
        <f>+F324+F325+F326+F328+F329+F331</f>
        <v>218500</v>
      </c>
      <c r="G332" s="1124">
        <f>+G324+G325+G326+G328+G329+G331</f>
        <v>238100</v>
      </c>
      <c r="H332" s="1124">
        <f t="shared" ref="H332:AS332" si="277">+H324+H325+H326+H328+H329+H331</f>
        <v>258800</v>
      </c>
      <c r="I332" s="1124">
        <f t="shared" si="277"/>
        <v>280800</v>
      </c>
      <c r="J332" s="1124">
        <f t="shared" si="277"/>
        <v>304100</v>
      </c>
      <c r="K332" s="1124">
        <f t="shared" si="277"/>
        <v>328700</v>
      </c>
      <c r="L332" s="1124">
        <f t="shared" si="277"/>
        <v>354800</v>
      </c>
      <c r="M332" s="1124">
        <f t="shared" si="277"/>
        <v>382400</v>
      </c>
      <c r="N332" s="1124">
        <f t="shared" si="277"/>
        <v>411700</v>
      </c>
      <c r="O332" s="1124">
        <f t="shared" si="277"/>
        <v>420500</v>
      </c>
      <c r="P332" s="1124">
        <f t="shared" si="277"/>
        <v>428900</v>
      </c>
      <c r="Q332" s="1124">
        <f t="shared" si="277"/>
        <v>436900</v>
      </c>
      <c r="R332" s="1124">
        <f t="shared" si="277"/>
        <v>444500</v>
      </c>
      <c r="S332" s="1124">
        <f t="shared" si="277"/>
        <v>451500</v>
      </c>
      <c r="T332" s="1124">
        <f t="shared" si="277"/>
        <v>457900</v>
      </c>
      <c r="U332" s="1124">
        <f t="shared" si="277"/>
        <v>463500</v>
      </c>
      <c r="V332" s="1124">
        <f t="shared" si="277"/>
        <v>468300</v>
      </c>
      <c r="W332" s="1124">
        <f t="shared" si="277"/>
        <v>472100</v>
      </c>
      <c r="X332" s="1124">
        <f t="shared" si="277"/>
        <v>472300</v>
      </c>
      <c r="Y332" s="1124">
        <f t="shared" si="277"/>
        <v>471400</v>
      </c>
      <c r="Z332" s="1124">
        <f t="shared" si="277"/>
        <v>469400</v>
      </c>
      <c r="AA332" s="1124">
        <f t="shared" si="277"/>
        <v>466000</v>
      </c>
      <c r="AB332" s="1124">
        <f t="shared" si="277"/>
        <v>461300</v>
      </c>
      <c r="AC332" s="1124">
        <f t="shared" si="277"/>
        <v>455200</v>
      </c>
      <c r="AD332" s="1124">
        <f t="shared" si="277"/>
        <v>447700</v>
      </c>
      <c r="AE332" s="1124">
        <f t="shared" si="277"/>
        <v>438800</v>
      </c>
      <c r="AF332" s="1124">
        <f t="shared" si="277"/>
        <v>428500</v>
      </c>
      <c r="AG332" s="1124">
        <f t="shared" si="277"/>
        <v>416600</v>
      </c>
      <c r="AH332" s="1124">
        <f t="shared" si="277"/>
        <v>403100</v>
      </c>
      <c r="AI332" s="1124">
        <f t="shared" si="277"/>
        <v>388100</v>
      </c>
      <c r="AJ332" s="1124">
        <f t="shared" si="277"/>
        <v>0</v>
      </c>
      <c r="AK332" s="1124">
        <f t="shared" si="277"/>
        <v>0</v>
      </c>
      <c r="AL332" s="1124">
        <f t="shared" si="277"/>
        <v>0</v>
      </c>
      <c r="AM332" s="1124">
        <f t="shared" si="277"/>
        <v>0</v>
      </c>
      <c r="AN332" s="1124">
        <f t="shared" si="277"/>
        <v>0</v>
      </c>
      <c r="AO332" s="1124">
        <f t="shared" si="277"/>
        <v>0</v>
      </c>
      <c r="AP332" s="1124">
        <f t="shared" si="277"/>
        <v>0</v>
      </c>
      <c r="AQ332" s="1124">
        <f t="shared" si="277"/>
        <v>0</v>
      </c>
      <c r="AR332" s="1124">
        <f t="shared" si="277"/>
        <v>0</v>
      </c>
      <c r="AS332" s="1124">
        <f t="shared" si="277"/>
        <v>0</v>
      </c>
      <c r="AU332" s="29">
        <f ca="1">+Details!E332</f>
        <v>388100</v>
      </c>
      <c r="AV332" s="81">
        <f ca="1">+E332-AU332</f>
        <v>0</v>
      </c>
      <c r="AW332" s="1489"/>
      <c r="AY332" s="31">
        <f>+Details!F332-Base!F332</f>
        <v>0</v>
      </c>
      <c r="AZ332" s="1124">
        <f>+Details!G332-Base!G332</f>
        <v>0</v>
      </c>
      <c r="BA332" s="1124">
        <f>+Details!H332-Base!H332</f>
        <v>0</v>
      </c>
      <c r="BB332" s="1124">
        <f>+Details!I332-Base!I332</f>
        <v>0</v>
      </c>
      <c r="BC332" s="1124">
        <f>+Details!J332-Base!J332</f>
        <v>0</v>
      </c>
      <c r="BD332" s="1124">
        <f>+Details!K332-Base!K332</f>
        <v>0</v>
      </c>
      <c r="BE332" s="1124">
        <f>+Details!L332-Base!L332</f>
        <v>0</v>
      </c>
      <c r="BF332" s="1124">
        <f>+Details!M332-Base!M332</f>
        <v>0</v>
      </c>
      <c r="BG332" s="1124">
        <f>+Details!N332-Base!N332</f>
        <v>0</v>
      </c>
      <c r="BH332" s="1124">
        <f>+Details!O332-Base!O332</f>
        <v>0</v>
      </c>
      <c r="BI332" s="1124">
        <f>+Details!P332-Base!P332</f>
        <v>0</v>
      </c>
      <c r="BJ332" s="1124">
        <f>+Details!Q332-Base!Q332</f>
        <v>0</v>
      </c>
      <c r="BK332" s="1124">
        <f>+Details!R332-Base!R332</f>
        <v>0</v>
      </c>
      <c r="BL332" s="1124">
        <f>+Details!S332-Base!S332</f>
        <v>0</v>
      </c>
      <c r="BM332" s="1124">
        <f>+Details!T332-Base!T332</f>
        <v>0</v>
      </c>
      <c r="BN332" s="1124">
        <f>+Details!U332-Base!U332</f>
        <v>0</v>
      </c>
      <c r="BO332" s="1124">
        <f>+Details!V332-Base!V332</f>
        <v>0</v>
      </c>
      <c r="BP332" s="1124">
        <f>+Details!W332-Base!W332</f>
        <v>0</v>
      </c>
      <c r="BQ332" s="1124">
        <f>+Details!X332-Base!X332</f>
        <v>0</v>
      </c>
      <c r="BR332" s="1124">
        <f>+Details!Y332-Base!Y332</f>
        <v>0</v>
      </c>
      <c r="BS332" s="1124">
        <f>+Details!Z332-Base!Z332</f>
        <v>0</v>
      </c>
      <c r="BT332" s="1124">
        <f>+Details!AA332-Base!AA332</f>
        <v>0</v>
      </c>
      <c r="BU332" s="1124">
        <f>+Details!AB332-Base!AB332</f>
        <v>0</v>
      </c>
      <c r="BV332" s="1124">
        <f>+Details!AC332-Base!AC332</f>
        <v>0</v>
      </c>
      <c r="BW332" s="1124">
        <f>+Details!AD332-Base!AD332</f>
        <v>0</v>
      </c>
      <c r="BX332" s="1124">
        <f>+Details!AE332-Base!AE332</f>
        <v>0</v>
      </c>
      <c r="BY332" s="1124">
        <f>+Details!AF332-Base!AF332</f>
        <v>0</v>
      </c>
      <c r="BZ332" s="1124">
        <f>+Details!AG332-Base!AG332</f>
        <v>0</v>
      </c>
      <c r="CA332" s="1124">
        <f>+Details!AH332-Base!AH332</f>
        <v>0</v>
      </c>
      <c r="CB332" s="1124">
        <f>+Details!AI332-Base!AI332</f>
        <v>0</v>
      </c>
      <c r="CC332" s="1124">
        <f>+Details!AJ332-Base!AJ332</f>
        <v>0</v>
      </c>
      <c r="CD332" s="1124">
        <f>+Details!AK332-Base!AK332</f>
        <v>0</v>
      </c>
      <c r="CE332" s="1124">
        <f>+Details!AL332-Base!AL332</f>
        <v>0</v>
      </c>
      <c r="CF332" s="1124">
        <f>+Details!AM332-Base!AM332</f>
        <v>0</v>
      </c>
      <c r="CG332" s="1124">
        <f>+Details!AN332-Base!AN332</f>
        <v>0</v>
      </c>
      <c r="CH332" s="1124">
        <f>+Details!AO332-Base!AO332</f>
        <v>0</v>
      </c>
      <c r="CI332" s="1124">
        <f>+Details!AP332-Base!AP332</f>
        <v>0</v>
      </c>
      <c r="CJ332" s="1124">
        <f>+Details!AQ332-Base!AQ332</f>
        <v>0</v>
      </c>
      <c r="CK332" s="1124">
        <f>+Details!AR332-Base!AR332</f>
        <v>0</v>
      </c>
      <c r="CL332" s="1124">
        <f>+Details!AS332-Base!AS332</f>
        <v>0</v>
      </c>
      <c r="CM332" s="81"/>
    </row>
    <row r="333" spans="1:91" hidden="1">
      <c r="A333" s="1432" t="s">
        <v>639</v>
      </c>
      <c r="B333" s="72"/>
      <c r="C333" s="3"/>
      <c r="E333" s="363"/>
      <c r="F333" s="31"/>
      <c r="G333" s="31"/>
      <c r="H333" s="31"/>
      <c r="I333" s="31"/>
      <c r="J333" s="31"/>
      <c r="K333" s="31"/>
      <c r="L333" s="31"/>
      <c r="M333" s="31"/>
      <c r="N333" s="31"/>
      <c r="O333" s="31"/>
      <c r="P333" s="31"/>
      <c r="Q333" s="31"/>
      <c r="R333" s="31"/>
      <c r="S333" s="31"/>
      <c r="T333" s="31"/>
      <c r="U333" s="31"/>
      <c r="V333" s="31"/>
      <c r="W333" s="31"/>
      <c r="X333" s="31"/>
      <c r="Y333" s="31"/>
      <c r="Z333" s="31"/>
      <c r="AA333" s="31"/>
      <c r="AB333" s="31"/>
      <c r="AC333" s="31"/>
      <c r="AD333" s="31"/>
      <c r="AE333" s="31"/>
      <c r="AF333" s="31"/>
      <c r="AG333" s="31"/>
      <c r="AH333" s="31"/>
      <c r="AI333" s="31"/>
      <c r="AJ333" s="31"/>
      <c r="AK333" s="31"/>
      <c r="AL333" s="31"/>
      <c r="AM333" s="31"/>
      <c r="AN333" s="31"/>
      <c r="AO333" s="31"/>
      <c r="AP333" s="31"/>
      <c r="AQ333" s="31"/>
      <c r="AR333" s="31"/>
      <c r="AS333" s="31"/>
      <c r="AU333" s="29"/>
      <c r="AV333" s="81"/>
      <c r="AW333" s="1489"/>
      <c r="AY333" s="31"/>
      <c r="AZ333" s="31"/>
      <c r="BA333" s="31"/>
      <c r="BB333" s="31"/>
      <c r="BC333" s="31"/>
      <c r="BD333" s="31"/>
      <c r="BE333" s="31"/>
      <c r="BF333" s="31"/>
      <c r="BG333" s="31"/>
      <c r="BH333" s="31"/>
      <c r="BI333" s="31"/>
      <c r="BJ333" s="31"/>
      <c r="BK333" s="31"/>
      <c r="BL333" s="31"/>
      <c r="BM333" s="31"/>
      <c r="BN333" s="31"/>
      <c r="BO333" s="31"/>
      <c r="BP333" s="31"/>
      <c r="BQ333" s="31"/>
      <c r="BR333" s="31"/>
      <c r="BS333" s="31"/>
      <c r="BT333" s="31"/>
      <c r="BU333" s="31"/>
      <c r="BV333" s="31"/>
      <c r="BW333" s="31"/>
      <c r="BX333" s="31"/>
      <c r="BY333" s="31"/>
      <c r="BZ333" s="31"/>
      <c r="CA333" s="31"/>
      <c r="CB333" s="31"/>
      <c r="CC333" s="31"/>
      <c r="CD333" s="31"/>
      <c r="CE333" s="31"/>
      <c r="CF333" s="31"/>
      <c r="CG333" s="31"/>
      <c r="CH333" s="31"/>
      <c r="CI333" s="31"/>
      <c r="CJ333" s="31"/>
      <c r="CK333" s="31"/>
      <c r="CL333" s="31"/>
      <c r="CM333" s="81"/>
    </row>
    <row r="334" spans="1:91" ht="15.6" hidden="1">
      <c r="A334" s="1432" t="s">
        <v>639</v>
      </c>
      <c r="B334" s="25" t="s">
        <v>170</v>
      </c>
      <c r="C334" s="3"/>
      <c r="E334" s="363"/>
      <c r="G334" s="31"/>
      <c r="H334" s="31"/>
      <c r="I334" s="31"/>
      <c r="J334" s="31"/>
      <c r="K334" s="31"/>
      <c r="L334" s="31"/>
      <c r="M334" s="31"/>
      <c r="N334" s="31"/>
      <c r="O334" s="31"/>
      <c r="P334" s="31"/>
      <c r="Q334" s="31"/>
      <c r="R334" s="31"/>
      <c r="S334" s="31"/>
      <c r="T334" s="31"/>
      <c r="U334" s="31"/>
      <c r="V334" s="31"/>
      <c r="W334" s="31"/>
      <c r="X334" s="31"/>
      <c r="Y334" s="31"/>
      <c r="Z334" s="31"/>
      <c r="AA334" s="31"/>
      <c r="AB334" s="31"/>
      <c r="AC334" s="31"/>
      <c r="AD334" s="31"/>
      <c r="AE334" s="31"/>
      <c r="AF334" s="31"/>
      <c r="AG334" s="31"/>
      <c r="AH334" s="31"/>
      <c r="AI334" s="31"/>
      <c r="AJ334" s="31"/>
      <c r="AK334" s="31"/>
      <c r="AL334" s="31"/>
      <c r="AM334" s="31"/>
      <c r="AN334" s="31"/>
      <c r="AO334" s="31"/>
      <c r="AP334" s="31"/>
      <c r="AQ334" s="31"/>
      <c r="AR334" s="31"/>
      <c r="AS334" s="31"/>
      <c r="AU334" s="97"/>
      <c r="AV334" s="81"/>
      <c r="AW334" s="1489"/>
      <c r="AY334" s="31"/>
      <c r="AZ334" s="31"/>
      <c r="BA334" s="31"/>
      <c r="BB334" s="31"/>
      <c r="BC334" s="31"/>
      <c r="BD334" s="31"/>
      <c r="BE334" s="31"/>
      <c r="BF334" s="31"/>
      <c r="BG334" s="31"/>
      <c r="BH334" s="31"/>
      <c r="BI334" s="31"/>
      <c r="BJ334" s="31"/>
      <c r="BK334" s="31"/>
      <c r="BL334" s="31"/>
      <c r="BM334" s="31"/>
      <c r="BN334" s="31"/>
      <c r="BO334" s="31"/>
      <c r="BP334" s="31"/>
      <c r="BQ334" s="31"/>
      <c r="BR334" s="31"/>
      <c r="BS334" s="31"/>
      <c r="BT334" s="31"/>
      <c r="BU334" s="31"/>
      <c r="BV334" s="31"/>
      <c r="BW334" s="31"/>
      <c r="BX334" s="31"/>
      <c r="BY334" s="31"/>
      <c r="BZ334" s="31"/>
      <c r="CA334" s="31"/>
      <c r="CB334" s="31"/>
      <c r="CC334" s="31"/>
      <c r="CD334" s="31"/>
      <c r="CE334" s="31"/>
      <c r="CF334" s="31"/>
      <c r="CG334" s="31"/>
      <c r="CH334" s="31"/>
      <c r="CI334" s="31"/>
      <c r="CJ334" s="31"/>
      <c r="CK334" s="31"/>
      <c r="CL334" s="31"/>
      <c r="CM334" s="81"/>
    </row>
    <row r="335" spans="1:91" hidden="1">
      <c r="A335" s="1432" t="s">
        <v>639</v>
      </c>
      <c r="B335" s="72" t="s">
        <v>123</v>
      </c>
      <c r="C335" s="3"/>
      <c r="E335" s="363"/>
      <c r="F335" s="29">
        <f>IF(AND(Inheritance="y",IF(Inheritor="y",Inherit_Age=F$4,Inherit_Age=F$5)),Inherit_tIRA,0)</f>
        <v>0</v>
      </c>
      <c r="G335" s="1124">
        <f t="shared" ref="G335:AS335" si="278">IF(AND(Inheritance="y",IF(Inheritor="y",Inherit_Age=G$4,Inherit_Age=G$5)),Inherit_tIRA,0)+F349</f>
        <v>0</v>
      </c>
      <c r="H335" s="1124">
        <f t="shared" si="278"/>
        <v>0</v>
      </c>
      <c r="I335" s="1124">
        <f t="shared" si="278"/>
        <v>0</v>
      </c>
      <c r="J335" s="1124">
        <f t="shared" si="278"/>
        <v>0</v>
      </c>
      <c r="K335" s="1124">
        <f t="shared" si="278"/>
        <v>0</v>
      </c>
      <c r="L335" s="1124">
        <f t="shared" si="278"/>
        <v>0</v>
      </c>
      <c r="M335" s="1124">
        <f t="shared" si="278"/>
        <v>0</v>
      </c>
      <c r="N335" s="1124">
        <f t="shared" si="278"/>
        <v>0</v>
      </c>
      <c r="O335" s="1124">
        <f t="shared" si="278"/>
        <v>0</v>
      </c>
      <c r="P335" s="1124">
        <f t="shared" si="278"/>
        <v>0</v>
      </c>
      <c r="Q335" s="1124">
        <f t="shared" si="278"/>
        <v>0</v>
      </c>
      <c r="R335" s="1124">
        <f t="shared" si="278"/>
        <v>0</v>
      </c>
      <c r="S335" s="1124">
        <f t="shared" si="278"/>
        <v>0</v>
      </c>
      <c r="T335" s="1124">
        <f t="shared" si="278"/>
        <v>0</v>
      </c>
      <c r="U335" s="1124">
        <f t="shared" si="278"/>
        <v>40000</v>
      </c>
      <c r="V335" s="1124">
        <f t="shared" si="278"/>
        <v>36000</v>
      </c>
      <c r="W335" s="1124">
        <f t="shared" si="278"/>
        <v>31000</v>
      </c>
      <c r="X335" s="1124">
        <f t="shared" si="278"/>
        <v>25900</v>
      </c>
      <c r="Y335" s="1124">
        <f t="shared" si="278"/>
        <v>24500</v>
      </c>
      <c r="Z335" s="1124">
        <f t="shared" si="278"/>
        <v>22900</v>
      </c>
      <c r="AA335" s="1124">
        <f t="shared" si="278"/>
        <v>21000</v>
      </c>
      <c r="AB335" s="1124">
        <f t="shared" si="278"/>
        <v>18800</v>
      </c>
      <c r="AC335" s="1124">
        <f t="shared" si="278"/>
        <v>16300</v>
      </c>
      <c r="AD335" s="1124">
        <f t="shared" si="278"/>
        <v>13400</v>
      </c>
      <c r="AE335" s="1124">
        <f t="shared" si="278"/>
        <v>10100</v>
      </c>
      <c r="AF335" s="1124">
        <f t="shared" si="278"/>
        <v>6300</v>
      </c>
      <c r="AG335" s="1124">
        <f t="shared" si="278"/>
        <v>2000</v>
      </c>
      <c r="AH335" s="1124">
        <f t="shared" si="278"/>
        <v>0</v>
      </c>
      <c r="AI335" s="1124">
        <f t="shared" si="278"/>
        <v>0</v>
      </c>
      <c r="AJ335" s="1124">
        <f t="shared" si="278"/>
        <v>0</v>
      </c>
      <c r="AK335" s="1124">
        <f t="shared" si="278"/>
        <v>0</v>
      </c>
      <c r="AL335" s="1124">
        <f t="shared" si="278"/>
        <v>0</v>
      </c>
      <c r="AM335" s="1124">
        <f t="shared" si="278"/>
        <v>0</v>
      </c>
      <c r="AN335" s="1124">
        <f t="shared" si="278"/>
        <v>0</v>
      </c>
      <c r="AO335" s="1124">
        <f t="shared" si="278"/>
        <v>0</v>
      </c>
      <c r="AP335" s="1124">
        <f t="shared" si="278"/>
        <v>0</v>
      </c>
      <c r="AQ335" s="1124">
        <f t="shared" si="278"/>
        <v>0</v>
      </c>
      <c r="AR335" s="1124">
        <f t="shared" si="278"/>
        <v>0</v>
      </c>
      <c r="AS335" s="1124">
        <f t="shared" si="278"/>
        <v>0</v>
      </c>
      <c r="AU335" s="29"/>
      <c r="AV335" s="81"/>
      <c r="AW335" s="1489"/>
      <c r="AY335" s="31">
        <f>+Details!F335-Base!F335</f>
        <v>0</v>
      </c>
      <c r="AZ335" s="1124">
        <f>+Details!G335-Base!G335</f>
        <v>0</v>
      </c>
      <c r="BA335" s="1124">
        <f>+Details!H335-Base!H335</f>
        <v>0</v>
      </c>
      <c r="BB335" s="1124">
        <f>+Details!I335-Base!I335</f>
        <v>0</v>
      </c>
      <c r="BC335" s="1124">
        <f>+Details!J335-Base!J335</f>
        <v>0</v>
      </c>
      <c r="BD335" s="1124">
        <f>+Details!K335-Base!K335</f>
        <v>0</v>
      </c>
      <c r="BE335" s="1124">
        <f>+Details!L335-Base!L335</f>
        <v>0</v>
      </c>
      <c r="BF335" s="1124">
        <f>+Details!M335-Base!M335</f>
        <v>0</v>
      </c>
      <c r="BG335" s="1124">
        <f>+Details!N335-Base!N335</f>
        <v>0</v>
      </c>
      <c r="BH335" s="1124">
        <f>+Details!O335-Base!O335</f>
        <v>0</v>
      </c>
      <c r="BI335" s="1124">
        <f>+Details!P335-Base!P335</f>
        <v>0</v>
      </c>
      <c r="BJ335" s="1124">
        <f>+Details!Q335-Base!Q335</f>
        <v>0</v>
      </c>
      <c r="BK335" s="1124">
        <f>+Details!R335-Base!R335</f>
        <v>0</v>
      </c>
      <c r="BL335" s="1124">
        <f>+Details!S335-Base!S335</f>
        <v>0</v>
      </c>
      <c r="BM335" s="1124">
        <f>+Details!T335-Base!T335</f>
        <v>0</v>
      </c>
      <c r="BN335" s="1124">
        <f>+Details!U335-Base!U335</f>
        <v>0</v>
      </c>
      <c r="BO335" s="1124">
        <f>+Details!V335-Base!V335</f>
        <v>0</v>
      </c>
      <c r="BP335" s="1124">
        <f>+Details!W335-Base!W335</f>
        <v>0</v>
      </c>
      <c r="BQ335" s="1124">
        <f>+Details!X335-Base!X335</f>
        <v>0</v>
      </c>
      <c r="BR335" s="1124">
        <f>+Details!Y335-Base!Y335</f>
        <v>0</v>
      </c>
      <c r="BS335" s="1124">
        <f>+Details!Z335-Base!Z335</f>
        <v>0</v>
      </c>
      <c r="BT335" s="1124">
        <f>+Details!AA335-Base!AA335</f>
        <v>0</v>
      </c>
      <c r="BU335" s="1124">
        <f>+Details!AB335-Base!AB335</f>
        <v>0</v>
      </c>
      <c r="BV335" s="1124">
        <f>+Details!AC335-Base!AC335</f>
        <v>0</v>
      </c>
      <c r="BW335" s="1124">
        <f>+Details!AD335-Base!AD335</f>
        <v>0</v>
      </c>
      <c r="BX335" s="1124">
        <f>+Details!AE335-Base!AE335</f>
        <v>0</v>
      </c>
      <c r="BY335" s="1124">
        <f>+Details!AF335-Base!AF335</f>
        <v>0</v>
      </c>
      <c r="BZ335" s="1124">
        <f>+Details!AG335-Base!AG335</f>
        <v>0</v>
      </c>
      <c r="CA335" s="1124">
        <f>+Details!AH335-Base!AH335</f>
        <v>0</v>
      </c>
      <c r="CB335" s="1124">
        <f>+Details!AI335-Base!AI335</f>
        <v>0</v>
      </c>
      <c r="CC335" s="1124">
        <f>+Details!AJ335-Base!AJ335</f>
        <v>0</v>
      </c>
      <c r="CD335" s="1124">
        <f>+Details!AK335-Base!AK335</f>
        <v>0</v>
      </c>
      <c r="CE335" s="1124">
        <f>+Details!AL335-Base!AL335</f>
        <v>0</v>
      </c>
      <c r="CF335" s="1124">
        <f>+Details!AM335-Base!AM335</f>
        <v>0</v>
      </c>
      <c r="CG335" s="1124">
        <f>+Details!AN335-Base!AN335</f>
        <v>0</v>
      </c>
      <c r="CH335" s="1124">
        <f>+Details!AO335-Base!AO335</f>
        <v>0</v>
      </c>
      <c r="CI335" s="1124">
        <f>+Details!AP335-Base!AP335</f>
        <v>0</v>
      </c>
      <c r="CJ335" s="1124">
        <f>+Details!AQ335-Base!AQ335</f>
        <v>0</v>
      </c>
      <c r="CK335" s="1124">
        <f>+Details!AR335-Base!AR335</f>
        <v>0</v>
      </c>
      <c r="CL335" s="1124">
        <f>+Details!AS335-Base!AS335</f>
        <v>0</v>
      </c>
      <c r="CM335" s="81"/>
    </row>
    <row r="336" spans="1:91" hidden="1">
      <c r="A336" s="1432" t="s">
        <v>639</v>
      </c>
      <c r="B336" s="72" t="s">
        <v>124</v>
      </c>
      <c r="C336" s="3"/>
      <c r="E336" s="363"/>
      <c r="F336" s="29">
        <f>IF(AND(Inheritance2="y",IF(Inheritor2="y",Inherit_Age2=F$4,Inherit_Age2=F$5)),Inherit_tIRA2,0)</f>
        <v>0</v>
      </c>
      <c r="G336" s="1124">
        <f t="shared" ref="G336:AS336" si="279">IF(AND(Inheritance2="y",IF(Inheritor2="y",Inherit_Age2=G$4,Inherit_Age2=G$5)),Inherit_tIRA2,0)+F350</f>
        <v>0</v>
      </c>
      <c r="H336" s="1124">
        <f t="shared" si="279"/>
        <v>0</v>
      </c>
      <c r="I336" s="1124">
        <f t="shared" si="279"/>
        <v>0</v>
      </c>
      <c r="J336" s="1124">
        <f t="shared" si="279"/>
        <v>0</v>
      </c>
      <c r="K336" s="1124">
        <f t="shared" si="279"/>
        <v>0</v>
      </c>
      <c r="L336" s="1124">
        <f t="shared" si="279"/>
        <v>0</v>
      </c>
      <c r="M336" s="1124">
        <f t="shared" si="279"/>
        <v>0</v>
      </c>
      <c r="N336" s="1124">
        <f t="shared" si="279"/>
        <v>0</v>
      </c>
      <c r="O336" s="1124">
        <f t="shared" si="279"/>
        <v>0</v>
      </c>
      <c r="P336" s="1124">
        <f t="shared" si="279"/>
        <v>0</v>
      </c>
      <c r="Q336" s="1124">
        <f t="shared" si="279"/>
        <v>60000</v>
      </c>
      <c r="R336" s="1124">
        <f t="shared" si="279"/>
        <v>60000</v>
      </c>
      <c r="S336" s="1124">
        <f t="shared" si="279"/>
        <v>59300</v>
      </c>
      <c r="T336" s="1124">
        <f t="shared" si="279"/>
        <v>58400</v>
      </c>
      <c r="U336" s="1124">
        <f t="shared" si="279"/>
        <v>57100</v>
      </c>
      <c r="V336" s="1124">
        <f t="shared" si="279"/>
        <v>55500</v>
      </c>
      <c r="W336" s="1124">
        <f t="shared" si="279"/>
        <v>52500</v>
      </c>
      <c r="X336" s="1124">
        <f t="shared" si="279"/>
        <v>48900</v>
      </c>
      <c r="Y336" s="1124">
        <f t="shared" si="279"/>
        <v>44500</v>
      </c>
      <c r="Z336" s="1124">
        <f t="shared" si="279"/>
        <v>41000</v>
      </c>
      <c r="AA336" s="1124">
        <f t="shared" si="279"/>
        <v>37000</v>
      </c>
      <c r="AB336" s="1124">
        <f t="shared" si="279"/>
        <v>32400</v>
      </c>
      <c r="AC336" s="1124">
        <f t="shared" si="279"/>
        <v>27100</v>
      </c>
      <c r="AD336" s="1124">
        <f t="shared" si="279"/>
        <v>21200</v>
      </c>
      <c r="AE336" s="1124">
        <f t="shared" si="279"/>
        <v>14500</v>
      </c>
      <c r="AF336" s="1124">
        <f t="shared" si="279"/>
        <v>7000</v>
      </c>
      <c r="AG336" s="1124">
        <f t="shared" si="279"/>
        <v>0</v>
      </c>
      <c r="AH336" s="1124">
        <f t="shared" si="279"/>
        <v>0</v>
      </c>
      <c r="AI336" s="1124">
        <f t="shared" si="279"/>
        <v>0</v>
      </c>
      <c r="AJ336" s="1124">
        <f t="shared" si="279"/>
        <v>0</v>
      </c>
      <c r="AK336" s="1124">
        <f t="shared" si="279"/>
        <v>0</v>
      </c>
      <c r="AL336" s="1124">
        <f t="shared" si="279"/>
        <v>0</v>
      </c>
      <c r="AM336" s="1124">
        <f t="shared" si="279"/>
        <v>0</v>
      </c>
      <c r="AN336" s="1124">
        <f t="shared" si="279"/>
        <v>0</v>
      </c>
      <c r="AO336" s="1124">
        <f t="shared" si="279"/>
        <v>0</v>
      </c>
      <c r="AP336" s="1124">
        <f t="shared" si="279"/>
        <v>0</v>
      </c>
      <c r="AQ336" s="1124">
        <f t="shared" si="279"/>
        <v>0</v>
      </c>
      <c r="AR336" s="1124">
        <f t="shared" si="279"/>
        <v>0</v>
      </c>
      <c r="AS336" s="1124">
        <f t="shared" si="279"/>
        <v>0</v>
      </c>
      <c r="AU336" s="29"/>
      <c r="AV336" s="81"/>
      <c r="AW336" s="191"/>
      <c r="AY336" s="31">
        <f>+Details!F335-Base!F335</f>
        <v>0</v>
      </c>
      <c r="AZ336" s="1124">
        <f>+Details!G335-Base!G335</f>
        <v>0</v>
      </c>
      <c r="BA336" s="1124">
        <f>+Details!H335-Base!H335</f>
        <v>0</v>
      </c>
      <c r="BB336" s="1124">
        <f>+Details!I335-Base!I335</f>
        <v>0</v>
      </c>
      <c r="BC336" s="1124">
        <f>+Details!J335-Base!J335</f>
        <v>0</v>
      </c>
      <c r="BD336" s="1124">
        <f>+Details!K335-Base!K335</f>
        <v>0</v>
      </c>
      <c r="BE336" s="1124">
        <f>+Details!L335-Base!L335</f>
        <v>0</v>
      </c>
      <c r="BF336" s="1124">
        <f>+Details!M335-Base!M335</f>
        <v>0</v>
      </c>
      <c r="BG336" s="1124">
        <f>+Details!N335-Base!N335</f>
        <v>0</v>
      </c>
      <c r="BH336" s="1124">
        <f>+Details!O335-Base!O335</f>
        <v>0</v>
      </c>
      <c r="BI336" s="1124">
        <f>+Details!P335-Base!P335</f>
        <v>0</v>
      </c>
      <c r="BJ336" s="1124">
        <f>+Details!Q335-Base!Q335</f>
        <v>0</v>
      </c>
      <c r="BK336" s="1124">
        <f>+Details!R335-Base!R335</f>
        <v>0</v>
      </c>
      <c r="BL336" s="1124">
        <f>+Details!S335-Base!S335</f>
        <v>0</v>
      </c>
      <c r="BM336" s="1124">
        <f>+Details!T335-Base!T335</f>
        <v>0</v>
      </c>
      <c r="BN336" s="1124">
        <f>+Details!U335-Base!U335</f>
        <v>0</v>
      </c>
      <c r="BO336" s="1124">
        <f>+Details!V335-Base!V335</f>
        <v>0</v>
      </c>
      <c r="BP336" s="1124">
        <f>+Details!W335-Base!W335</f>
        <v>0</v>
      </c>
      <c r="BQ336" s="1124">
        <f>+Details!X335-Base!X335</f>
        <v>0</v>
      </c>
      <c r="BR336" s="1124">
        <f>+Details!Y335-Base!Y335</f>
        <v>0</v>
      </c>
      <c r="BS336" s="1124">
        <f>+Details!Z335-Base!Z335</f>
        <v>0</v>
      </c>
      <c r="BT336" s="1124">
        <f>+Details!AA335-Base!AA335</f>
        <v>0</v>
      </c>
      <c r="BU336" s="1124">
        <f>+Details!AB335-Base!AB335</f>
        <v>0</v>
      </c>
      <c r="BV336" s="1124">
        <f>+Details!AC335-Base!AC335</f>
        <v>0</v>
      </c>
      <c r="BW336" s="1124">
        <f>+Details!AD335-Base!AD335</f>
        <v>0</v>
      </c>
      <c r="BX336" s="1124">
        <f>+Details!AE335-Base!AE335</f>
        <v>0</v>
      </c>
      <c r="BY336" s="1124">
        <f>+Details!AF335-Base!AF335</f>
        <v>0</v>
      </c>
      <c r="BZ336" s="1124">
        <f>+Details!AG335-Base!AG335</f>
        <v>0</v>
      </c>
      <c r="CA336" s="1124">
        <f>+Details!AH335-Base!AH335</f>
        <v>0</v>
      </c>
      <c r="CB336" s="1124">
        <f>+Details!AI335-Base!AI335</f>
        <v>0</v>
      </c>
      <c r="CC336" s="1124">
        <f>+Details!AJ335-Base!AJ335</f>
        <v>0</v>
      </c>
      <c r="CD336" s="1124">
        <f>+Details!AK335-Base!AK335</f>
        <v>0</v>
      </c>
      <c r="CE336" s="1124">
        <f>+Details!AL335-Base!AL335</f>
        <v>0</v>
      </c>
      <c r="CF336" s="1124">
        <f>+Details!AM335-Base!AM335</f>
        <v>0</v>
      </c>
      <c r="CG336" s="1124">
        <f>+Details!AN335-Base!AN335</f>
        <v>0</v>
      </c>
      <c r="CH336" s="1124">
        <f>+Details!AO335-Base!AO335</f>
        <v>0</v>
      </c>
      <c r="CI336" s="1124">
        <f>+Details!AP335-Base!AP335</f>
        <v>0</v>
      </c>
      <c r="CJ336" s="1124">
        <f>+Details!AQ335-Base!AQ335</f>
        <v>0</v>
      </c>
      <c r="CK336" s="1124">
        <f>+Details!AR335-Base!AR335</f>
        <v>0</v>
      </c>
      <c r="CL336" s="1124">
        <f>+Details!AS335-Base!AS335</f>
        <v>0</v>
      </c>
      <c r="CM336" s="81"/>
    </row>
    <row r="337" spans="1:91" hidden="1">
      <c r="A337" s="1432" t="s">
        <v>639</v>
      </c>
      <c r="B337" s="72" t="s">
        <v>125</v>
      </c>
      <c r="C337" s="3"/>
      <c r="E337" s="65">
        <f>SUM(F337:AS337)</f>
        <v>-40100</v>
      </c>
      <c r="F337" s="31">
        <f>+F110</f>
        <v>0</v>
      </c>
      <c r="G337" s="1124">
        <f t="shared" ref="G337:AS337" si="280">+G110</f>
        <v>0</v>
      </c>
      <c r="H337" s="1124">
        <f t="shared" si="280"/>
        <v>0</v>
      </c>
      <c r="I337" s="1124">
        <f t="shared" si="280"/>
        <v>0</v>
      </c>
      <c r="J337" s="1124">
        <f t="shared" si="280"/>
        <v>0</v>
      </c>
      <c r="K337" s="1124">
        <f t="shared" si="280"/>
        <v>0</v>
      </c>
      <c r="L337" s="1124">
        <f t="shared" si="280"/>
        <v>0</v>
      </c>
      <c r="M337" s="1124">
        <f t="shared" si="280"/>
        <v>0</v>
      </c>
      <c r="N337" s="1124">
        <f t="shared" si="280"/>
        <v>0</v>
      </c>
      <c r="O337" s="1124">
        <f t="shared" si="280"/>
        <v>0</v>
      </c>
      <c r="P337" s="1124">
        <f t="shared" si="280"/>
        <v>0</v>
      </c>
      <c r="Q337" s="1124">
        <f t="shared" si="280"/>
        <v>0</v>
      </c>
      <c r="R337" s="1124">
        <f t="shared" si="280"/>
        <v>0</v>
      </c>
      <c r="S337" s="1124">
        <f t="shared" si="280"/>
        <v>0</v>
      </c>
      <c r="T337" s="1124">
        <f t="shared" si="280"/>
        <v>0</v>
      </c>
      <c r="U337" s="1124">
        <f t="shared" si="280"/>
        <v>0</v>
      </c>
      <c r="V337" s="1124">
        <f t="shared" si="280"/>
        <v>-3200</v>
      </c>
      <c r="W337" s="1124">
        <f t="shared" si="280"/>
        <v>-3000</v>
      </c>
      <c r="X337" s="1124">
        <f t="shared" si="280"/>
        <v>-2800</v>
      </c>
      <c r="Y337" s="1124">
        <f t="shared" si="280"/>
        <v>-2900</v>
      </c>
      <c r="Z337" s="1124">
        <f t="shared" si="280"/>
        <v>-3100</v>
      </c>
      <c r="AA337" s="1124">
        <f t="shared" si="280"/>
        <v>-3300</v>
      </c>
      <c r="AB337" s="1124">
        <f t="shared" si="280"/>
        <v>-3500</v>
      </c>
      <c r="AC337" s="1124">
        <f t="shared" si="280"/>
        <v>-3700</v>
      </c>
      <c r="AD337" s="1124">
        <f t="shared" si="280"/>
        <v>-3900</v>
      </c>
      <c r="AE337" s="1124">
        <f t="shared" si="280"/>
        <v>-4200</v>
      </c>
      <c r="AF337" s="1124">
        <f t="shared" si="280"/>
        <v>-4500</v>
      </c>
      <c r="AG337" s="1124">
        <f t="shared" si="280"/>
        <v>-2000</v>
      </c>
      <c r="AH337" s="1124">
        <f t="shared" si="280"/>
        <v>0</v>
      </c>
      <c r="AI337" s="1124">
        <f t="shared" si="280"/>
        <v>0</v>
      </c>
      <c r="AJ337" s="1124">
        <f t="shared" si="280"/>
        <v>0</v>
      </c>
      <c r="AK337" s="1124">
        <f t="shared" si="280"/>
        <v>0</v>
      </c>
      <c r="AL337" s="1124">
        <f t="shared" si="280"/>
        <v>0</v>
      </c>
      <c r="AM337" s="1124">
        <f t="shared" si="280"/>
        <v>0</v>
      </c>
      <c r="AN337" s="1124">
        <f t="shared" si="280"/>
        <v>0</v>
      </c>
      <c r="AO337" s="1124">
        <f t="shared" si="280"/>
        <v>0</v>
      </c>
      <c r="AP337" s="1124">
        <f t="shared" si="280"/>
        <v>0</v>
      </c>
      <c r="AQ337" s="1124">
        <f t="shared" si="280"/>
        <v>0</v>
      </c>
      <c r="AR337" s="1124">
        <f t="shared" si="280"/>
        <v>0</v>
      </c>
      <c r="AS337" s="1124">
        <f t="shared" si="280"/>
        <v>0</v>
      </c>
      <c r="AU337" s="29">
        <f>+Details!E337</f>
        <v>-40100</v>
      </c>
      <c r="AV337" s="81">
        <f>+E337-AU337</f>
        <v>0</v>
      </c>
      <c r="AW337" s="191"/>
      <c r="AY337" s="31">
        <f>+Details!F336-Base!F336</f>
        <v>0</v>
      </c>
      <c r="AZ337" s="1124">
        <f>+Details!G336-Base!G336</f>
        <v>0</v>
      </c>
      <c r="BA337" s="1124">
        <f>+Details!H336-Base!H336</f>
        <v>0</v>
      </c>
      <c r="BB337" s="1124">
        <f>+Details!I336-Base!I336</f>
        <v>0</v>
      </c>
      <c r="BC337" s="1124">
        <f>+Details!J336-Base!J336</f>
        <v>0</v>
      </c>
      <c r="BD337" s="1124">
        <f>+Details!K336-Base!K336</f>
        <v>0</v>
      </c>
      <c r="BE337" s="1124">
        <f>+Details!L336-Base!L336</f>
        <v>0</v>
      </c>
      <c r="BF337" s="1124">
        <f>+Details!M336-Base!M336</f>
        <v>0</v>
      </c>
      <c r="BG337" s="1124">
        <f>+Details!N336-Base!N336</f>
        <v>0</v>
      </c>
      <c r="BH337" s="1124">
        <f>+Details!O336-Base!O336</f>
        <v>0</v>
      </c>
      <c r="BI337" s="1124">
        <f>+Details!P336-Base!P336</f>
        <v>0</v>
      </c>
      <c r="BJ337" s="1124">
        <f>+Details!Q336-Base!Q336</f>
        <v>0</v>
      </c>
      <c r="BK337" s="1124">
        <f>+Details!R336-Base!R336</f>
        <v>0</v>
      </c>
      <c r="BL337" s="1124">
        <f>+Details!S336-Base!S336</f>
        <v>0</v>
      </c>
      <c r="BM337" s="1124">
        <f>+Details!T336-Base!T336</f>
        <v>0</v>
      </c>
      <c r="BN337" s="1124">
        <f>+Details!U336-Base!U336</f>
        <v>0</v>
      </c>
      <c r="BO337" s="1124">
        <f>+Details!V336-Base!V336</f>
        <v>0</v>
      </c>
      <c r="BP337" s="1124">
        <f>+Details!W336-Base!W336</f>
        <v>0</v>
      </c>
      <c r="BQ337" s="1124">
        <f>+Details!X336-Base!X336</f>
        <v>0</v>
      </c>
      <c r="BR337" s="1124">
        <f>+Details!Y336-Base!Y336</f>
        <v>0</v>
      </c>
      <c r="BS337" s="1124">
        <f>+Details!Z336-Base!Z336</f>
        <v>0</v>
      </c>
      <c r="BT337" s="1124">
        <f>+Details!AA336-Base!AA336</f>
        <v>0</v>
      </c>
      <c r="BU337" s="1124">
        <f>+Details!AB336-Base!AB336</f>
        <v>0</v>
      </c>
      <c r="BV337" s="1124">
        <f>+Details!AC336-Base!AC336</f>
        <v>0</v>
      </c>
      <c r="BW337" s="1124">
        <f>+Details!AD336-Base!AD336</f>
        <v>0</v>
      </c>
      <c r="BX337" s="1124">
        <f>+Details!AE336-Base!AE336</f>
        <v>0</v>
      </c>
      <c r="BY337" s="1124">
        <f>+Details!AF336-Base!AF336</f>
        <v>0</v>
      </c>
      <c r="BZ337" s="1124">
        <f>+Details!AG336-Base!AG336</f>
        <v>0</v>
      </c>
      <c r="CA337" s="1124">
        <f>+Details!AH336-Base!AH336</f>
        <v>0</v>
      </c>
      <c r="CB337" s="1124">
        <f>+Details!AI336-Base!AI336</f>
        <v>0</v>
      </c>
      <c r="CC337" s="1124">
        <f>+Details!AJ336-Base!AJ336</f>
        <v>0</v>
      </c>
      <c r="CD337" s="1124">
        <f>+Details!AK336-Base!AK336</f>
        <v>0</v>
      </c>
      <c r="CE337" s="1124">
        <f>+Details!AL336-Base!AL336</f>
        <v>0</v>
      </c>
      <c r="CF337" s="1124">
        <f>+Details!AM336-Base!AM336</f>
        <v>0</v>
      </c>
      <c r="CG337" s="1124">
        <f>+Details!AN336-Base!AN336</f>
        <v>0</v>
      </c>
      <c r="CH337" s="1124">
        <f>+Details!AO336-Base!AO336</f>
        <v>0</v>
      </c>
      <c r="CI337" s="1124">
        <f>+Details!AP336-Base!AP336</f>
        <v>0</v>
      </c>
      <c r="CJ337" s="1124">
        <f>+Details!AQ336-Base!AQ336</f>
        <v>0</v>
      </c>
      <c r="CK337" s="1124">
        <f>+Details!AR336-Base!AR336</f>
        <v>0</v>
      </c>
      <c r="CL337" s="1124">
        <f>+Details!AS336-Base!AS336</f>
        <v>0</v>
      </c>
      <c r="CM337" s="81"/>
    </row>
    <row r="338" spans="1:91" hidden="1">
      <c r="A338" s="1432" t="s">
        <v>639</v>
      </c>
      <c r="B338" s="72" t="s">
        <v>126</v>
      </c>
      <c r="C338" s="3"/>
      <c r="E338" s="65">
        <f>SUM(F338:AS338)</f>
        <v>-88600</v>
      </c>
      <c r="F338" s="31">
        <f>+F111</f>
        <v>0</v>
      </c>
      <c r="G338" s="1124">
        <f t="shared" ref="G338:AS338" si="281">+G111</f>
        <v>0</v>
      </c>
      <c r="H338" s="1124">
        <f t="shared" si="281"/>
        <v>0</v>
      </c>
      <c r="I338" s="1124">
        <f t="shared" si="281"/>
        <v>0</v>
      </c>
      <c r="J338" s="1124">
        <f t="shared" si="281"/>
        <v>0</v>
      </c>
      <c r="K338" s="1124">
        <f t="shared" si="281"/>
        <v>0</v>
      </c>
      <c r="L338" s="1124">
        <f t="shared" si="281"/>
        <v>0</v>
      </c>
      <c r="M338" s="1124">
        <f t="shared" si="281"/>
        <v>0</v>
      </c>
      <c r="N338" s="1124">
        <f t="shared" si="281"/>
        <v>0</v>
      </c>
      <c r="O338" s="1124">
        <f t="shared" si="281"/>
        <v>0</v>
      </c>
      <c r="P338" s="1124">
        <f t="shared" si="281"/>
        <v>0</v>
      </c>
      <c r="Q338" s="1124">
        <f t="shared" si="281"/>
        <v>0</v>
      </c>
      <c r="R338" s="1124">
        <f t="shared" si="281"/>
        <v>-4100</v>
      </c>
      <c r="S338" s="1124">
        <f t="shared" si="281"/>
        <v>-4300</v>
      </c>
      <c r="T338" s="1124">
        <f t="shared" si="281"/>
        <v>-4600</v>
      </c>
      <c r="U338" s="1124">
        <f t="shared" si="281"/>
        <v>-4800</v>
      </c>
      <c r="V338" s="1124">
        <f t="shared" si="281"/>
        <v>-5100</v>
      </c>
      <c r="W338" s="1124">
        <f t="shared" si="281"/>
        <v>-5400</v>
      </c>
      <c r="X338" s="1124">
        <f t="shared" si="281"/>
        <v>-5600</v>
      </c>
      <c r="Y338" s="1124">
        <f t="shared" si="281"/>
        <v>-5700</v>
      </c>
      <c r="Z338" s="1124">
        <f t="shared" si="281"/>
        <v>-6000</v>
      </c>
      <c r="AA338" s="1124">
        <f t="shared" si="281"/>
        <v>-6400</v>
      </c>
      <c r="AB338" s="1124">
        <f t="shared" si="281"/>
        <v>-6800</v>
      </c>
      <c r="AC338" s="1124">
        <f t="shared" si="281"/>
        <v>-7100</v>
      </c>
      <c r="AD338" s="1124">
        <f t="shared" si="281"/>
        <v>-7600</v>
      </c>
      <c r="AE338" s="1124">
        <f t="shared" si="281"/>
        <v>-8100</v>
      </c>
      <c r="AF338" s="1124">
        <f t="shared" si="281"/>
        <v>-7000</v>
      </c>
      <c r="AG338" s="1124">
        <f t="shared" si="281"/>
        <v>0</v>
      </c>
      <c r="AH338" s="1124">
        <f t="shared" si="281"/>
        <v>0</v>
      </c>
      <c r="AI338" s="1124">
        <f t="shared" si="281"/>
        <v>0</v>
      </c>
      <c r="AJ338" s="1124">
        <f t="shared" si="281"/>
        <v>0</v>
      </c>
      <c r="AK338" s="1124">
        <f t="shared" si="281"/>
        <v>0</v>
      </c>
      <c r="AL338" s="1124">
        <f t="shared" si="281"/>
        <v>0</v>
      </c>
      <c r="AM338" s="1124">
        <f t="shared" si="281"/>
        <v>0</v>
      </c>
      <c r="AN338" s="1124">
        <f t="shared" si="281"/>
        <v>0</v>
      </c>
      <c r="AO338" s="1124">
        <f t="shared" si="281"/>
        <v>0</v>
      </c>
      <c r="AP338" s="1124">
        <f t="shared" si="281"/>
        <v>0</v>
      </c>
      <c r="AQ338" s="1124">
        <f t="shared" si="281"/>
        <v>0</v>
      </c>
      <c r="AR338" s="1124">
        <f t="shared" si="281"/>
        <v>0</v>
      </c>
      <c r="AS338" s="1124">
        <f t="shared" si="281"/>
        <v>0</v>
      </c>
      <c r="AU338" s="29">
        <f>+Details!E338</f>
        <v>-88600</v>
      </c>
      <c r="AV338" s="81">
        <f>+E338-AU338</f>
        <v>0</v>
      </c>
      <c r="AW338" s="191"/>
      <c r="AY338" s="31">
        <f>+Details!F337-Base!F337</f>
        <v>0</v>
      </c>
      <c r="AZ338" s="1124">
        <f>+Details!G337-Base!G337</f>
        <v>0</v>
      </c>
      <c r="BA338" s="1124">
        <f>+Details!H337-Base!H337</f>
        <v>0</v>
      </c>
      <c r="BB338" s="1124">
        <f>+Details!I337-Base!I337</f>
        <v>0</v>
      </c>
      <c r="BC338" s="1124">
        <f>+Details!J337-Base!J337</f>
        <v>0</v>
      </c>
      <c r="BD338" s="1124">
        <f>+Details!K337-Base!K337</f>
        <v>0</v>
      </c>
      <c r="BE338" s="1124">
        <f>+Details!L337-Base!L337</f>
        <v>0</v>
      </c>
      <c r="BF338" s="1124">
        <f>+Details!M337-Base!M337</f>
        <v>0</v>
      </c>
      <c r="BG338" s="1124">
        <f>+Details!N337-Base!N337</f>
        <v>0</v>
      </c>
      <c r="BH338" s="1124">
        <f>+Details!O337-Base!O337</f>
        <v>0</v>
      </c>
      <c r="BI338" s="1124">
        <f>+Details!P337-Base!P337</f>
        <v>0</v>
      </c>
      <c r="BJ338" s="1124">
        <f>+Details!Q337-Base!Q337</f>
        <v>0</v>
      </c>
      <c r="BK338" s="1124">
        <f>+Details!R337-Base!R337</f>
        <v>0</v>
      </c>
      <c r="BL338" s="1124">
        <f>+Details!S337-Base!S337</f>
        <v>0</v>
      </c>
      <c r="BM338" s="1124">
        <f>+Details!T337-Base!T337</f>
        <v>0</v>
      </c>
      <c r="BN338" s="1124">
        <f>+Details!U337-Base!U337</f>
        <v>0</v>
      </c>
      <c r="BO338" s="1124">
        <f>+Details!V337-Base!V337</f>
        <v>0</v>
      </c>
      <c r="BP338" s="1124">
        <f>+Details!W337-Base!W337</f>
        <v>0</v>
      </c>
      <c r="BQ338" s="1124">
        <f>+Details!X337-Base!X337</f>
        <v>0</v>
      </c>
      <c r="BR338" s="1124">
        <f>+Details!Y337-Base!Y337</f>
        <v>0</v>
      </c>
      <c r="BS338" s="1124">
        <f>+Details!Z337-Base!Z337</f>
        <v>0</v>
      </c>
      <c r="BT338" s="1124">
        <f>+Details!AA337-Base!AA337</f>
        <v>0</v>
      </c>
      <c r="BU338" s="1124">
        <f>+Details!AB337-Base!AB337</f>
        <v>0</v>
      </c>
      <c r="BV338" s="1124">
        <f>+Details!AC337-Base!AC337</f>
        <v>0</v>
      </c>
      <c r="BW338" s="1124">
        <f>+Details!AD337-Base!AD337</f>
        <v>0</v>
      </c>
      <c r="BX338" s="1124">
        <f>+Details!AE337-Base!AE337</f>
        <v>0</v>
      </c>
      <c r="BY338" s="1124">
        <f>+Details!AF337-Base!AF337</f>
        <v>0</v>
      </c>
      <c r="BZ338" s="1124">
        <f>+Details!AG337-Base!AG337</f>
        <v>0</v>
      </c>
      <c r="CA338" s="1124">
        <f>+Details!AH337-Base!AH337</f>
        <v>0</v>
      </c>
      <c r="CB338" s="1124">
        <f>+Details!AI337-Base!AI337</f>
        <v>0</v>
      </c>
      <c r="CC338" s="1124">
        <f>+Details!AJ337-Base!AJ337</f>
        <v>0</v>
      </c>
      <c r="CD338" s="1124">
        <f>+Details!AK337-Base!AK337</f>
        <v>0</v>
      </c>
      <c r="CE338" s="1124">
        <f>+Details!AL337-Base!AL337</f>
        <v>0</v>
      </c>
      <c r="CF338" s="1124">
        <f>+Details!AM337-Base!AM337</f>
        <v>0</v>
      </c>
      <c r="CG338" s="1124">
        <f>+Details!AN337-Base!AN337</f>
        <v>0</v>
      </c>
      <c r="CH338" s="1124">
        <f>+Details!AO337-Base!AO337</f>
        <v>0</v>
      </c>
      <c r="CI338" s="1124">
        <f>+Details!AP337-Base!AP337</f>
        <v>0</v>
      </c>
      <c r="CJ338" s="1124">
        <f>+Details!AQ337-Base!AQ337</f>
        <v>0</v>
      </c>
      <c r="CK338" s="1124">
        <f>+Details!AR337-Base!AR337</f>
        <v>0</v>
      </c>
      <c r="CL338" s="1124">
        <f>+Details!AS337-Base!AS337</f>
        <v>0</v>
      </c>
      <c r="CM338" s="81"/>
    </row>
    <row r="339" spans="1:91" s="3" customFormat="1" ht="15.6" hidden="1">
      <c r="A339" s="1432" t="s">
        <v>639</v>
      </c>
      <c r="B339" s="424" t="s">
        <v>127</v>
      </c>
      <c r="E339" s="65"/>
      <c r="F339" s="190">
        <f>+F335+F337</f>
        <v>0</v>
      </c>
      <c r="G339" s="1124">
        <f t="shared" ref="G339:AS339" si="282">+G335+G337</f>
        <v>0</v>
      </c>
      <c r="H339" s="1124">
        <f t="shared" si="282"/>
        <v>0</v>
      </c>
      <c r="I339" s="1124">
        <f t="shared" si="282"/>
        <v>0</v>
      </c>
      <c r="J339" s="1124">
        <f t="shared" si="282"/>
        <v>0</v>
      </c>
      <c r="K339" s="1124">
        <f t="shared" si="282"/>
        <v>0</v>
      </c>
      <c r="L339" s="1124">
        <f t="shared" si="282"/>
        <v>0</v>
      </c>
      <c r="M339" s="1124">
        <f t="shared" si="282"/>
        <v>0</v>
      </c>
      <c r="N339" s="1124">
        <f t="shared" si="282"/>
        <v>0</v>
      </c>
      <c r="O339" s="1124">
        <f t="shared" si="282"/>
        <v>0</v>
      </c>
      <c r="P339" s="1124">
        <f t="shared" si="282"/>
        <v>0</v>
      </c>
      <c r="Q339" s="1124">
        <f t="shared" si="282"/>
        <v>0</v>
      </c>
      <c r="R339" s="1124">
        <f t="shared" si="282"/>
        <v>0</v>
      </c>
      <c r="S339" s="1124">
        <f t="shared" si="282"/>
        <v>0</v>
      </c>
      <c r="T339" s="1124">
        <f t="shared" si="282"/>
        <v>0</v>
      </c>
      <c r="U339" s="1124">
        <f t="shared" si="282"/>
        <v>40000</v>
      </c>
      <c r="V339" s="1124">
        <f t="shared" si="282"/>
        <v>32800</v>
      </c>
      <c r="W339" s="1124">
        <f t="shared" si="282"/>
        <v>28000</v>
      </c>
      <c r="X339" s="1124">
        <f t="shared" si="282"/>
        <v>23100</v>
      </c>
      <c r="Y339" s="1124">
        <f t="shared" si="282"/>
        <v>21600</v>
      </c>
      <c r="Z339" s="1124">
        <f t="shared" si="282"/>
        <v>19800</v>
      </c>
      <c r="AA339" s="1124">
        <f t="shared" si="282"/>
        <v>17700</v>
      </c>
      <c r="AB339" s="1124">
        <f t="shared" si="282"/>
        <v>15300</v>
      </c>
      <c r="AC339" s="1124">
        <f t="shared" si="282"/>
        <v>12600</v>
      </c>
      <c r="AD339" s="1124">
        <f t="shared" si="282"/>
        <v>9500</v>
      </c>
      <c r="AE339" s="1124">
        <f t="shared" si="282"/>
        <v>5900</v>
      </c>
      <c r="AF339" s="1124">
        <f t="shared" si="282"/>
        <v>1800</v>
      </c>
      <c r="AG339" s="1124">
        <f t="shared" si="282"/>
        <v>0</v>
      </c>
      <c r="AH339" s="1124">
        <f t="shared" si="282"/>
        <v>0</v>
      </c>
      <c r="AI339" s="1124">
        <f t="shared" si="282"/>
        <v>0</v>
      </c>
      <c r="AJ339" s="1124">
        <f t="shared" si="282"/>
        <v>0</v>
      </c>
      <c r="AK339" s="1124">
        <f t="shared" si="282"/>
        <v>0</v>
      </c>
      <c r="AL339" s="1124">
        <f t="shared" si="282"/>
        <v>0</v>
      </c>
      <c r="AM339" s="1124">
        <f t="shared" si="282"/>
        <v>0</v>
      </c>
      <c r="AN339" s="1124">
        <f t="shared" si="282"/>
        <v>0</v>
      </c>
      <c r="AO339" s="1124">
        <f t="shared" si="282"/>
        <v>0</v>
      </c>
      <c r="AP339" s="1124">
        <f t="shared" si="282"/>
        <v>0</v>
      </c>
      <c r="AQ339" s="1124">
        <f t="shared" si="282"/>
        <v>0</v>
      </c>
      <c r="AR339" s="1124">
        <f t="shared" si="282"/>
        <v>0</v>
      </c>
      <c r="AS339" s="1124">
        <f t="shared" si="282"/>
        <v>0</v>
      </c>
      <c r="AU339" s="65"/>
      <c r="AV339" s="434"/>
      <c r="AW339" s="191"/>
      <c r="AY339" s="190">
        <f>+Details!F338-Base!F338</f>
        <v>0</v>
      </c>
      <c r="AZ339" s="1124">
        <f>+Details!G338-Base!G338</f>
        <v>0</v>
      </c>
      <c r="BA339" s="1124">
        <f>+Details!H338-Base!H338</f>
        <v>0</v>
      </c>
      <c r="BB339" s="1124">
        <f>+Details!I338-Base!I338</f>
        <v>0</v>
      </c>
      <c r="BC339" s="1124">
        <f>+Details!J338-Base!J338</f>
        <v>0</v>
      </c>
      <c r="BD339" s="1124">
        <f>+Details!K338-Base!K338</f>
        <v>0</v>
      </c>
      <c r="BE339" s="1124">
        <f>+Details!L338-Base!L338</f>
        <v>0</v>
      </c>
      <c r="BF339" s="1124">
        <f>+Details!M338-Base!M338</f>
        <v>0</v>
      </c>
      <c r="BG339" s="1124">
        <f>+Details!N338-Base!N338</f>
        <v>0</v>
      </c>
      <c r="BH339" s="1124">
        <f>+Details!O338-Base!O338</f>
        <v>0</v>
      </c>
      <c r="BI339" s="1124">
        <f>+Details!P338-Base!P338</f>
        <v>0</v>
      </c>
      <c r="BJ339" s="1124">
        <f>+Details!Q338-Base!Q338</f>
        <v>0</v>
      </c>
      <c r="BK339" s="1124">
        <f>+Details!R338-Base!R338</f>
        <v>0</v>
      </c>
      <c r="BL339" s="1124">
        <f>+Details!S338-Base!S338</f>
        <v>0</v>
      </c>
      <c r="BM339" s="1124">
        <f>+Details!T338-Base!T338</f>
        <v>0</v>
      </c>
      <c r="BN339" s="1124">
        <f>+Details!U338-Base!U338</f>
        <v>0</v>
      </c>
      <c r="BO339" s="1124">
        <f>+Details!V338-Base!V338</f>
        <v>0</v>
      </c>
      <c r="BP339" s="1124">
        <f>+Details!W338-Base!W338</f>
        <v>0</v>
      </c>
      <c r="BQ339" s="1124">
        <f>+Details!X338-Base!X338</f>
        <v>0</v>
      </c>
      <c r="BR339" s="1124">
        <f>+Details!Y338-Base!Y338</f>
        <v>0</v>
      </c>
      <c r="BS339" s="1124">
        <f>+Details!Z338-Base!Z338</f>
        <v>0</v>
      </c>
      <c r="BT339" s="1124">
        <f>+Details!AA338-Base!AA338</f>
        <v>0</v>
      </c>
      <c r="BU339" s="1124">
        <f>+Details!AB338-Base!AB338</f>
        <v>0</v>
      </c>
      <c r="BV339" s="1124">
        <f>+Details!AC338-Base!AC338</f>
        <v>0</v>
      </c>
      <c r="BW339" s="1124">
        <f>+Details!AD338-Base!AD338</f>
        <v>0</v>
      </c>
      <c r="BX339" s="1124">
        <f>+Details!AE338-Base!AE338</f>
        <v>0</v>
      </c>
      <c r="BY339" s="1124">
        <f>+Details!AF338-Base!AF338</f>
        <v>0</v>
      </c>
      <c r="BZ339" s="1124">
        <f>+Details!AG338-Base!AG338</f>
        <v>0</v>
      </c>
      <c r="CA339" s="1124">
        <f>+Details!AH338-Base!AH338</f>
        <v>0</v>
      </c>
      <c r="CB339" s="1124">
        <f>+Details!AI338-Base!AI338</f>
        <v>0</v>
      </c>
      <c r="CC339" s="1124">
        <f>+Details!AJ338-Base!AJ338</f>
        <v>0</v>
      </c>
      <c r="CD339" s="1124">
        <f>+Details!AK338-Base!AK338</f>
        <v>0</v>
      </c>
      <c r="CE339" s="1124">
        <f>+Details!AL338-Base!AL338</f>
        <v>0</v>
      </c>
      <c r="CF339" s="1124">
        <f>+Details!AM338-Base!AM338</f>
        <v>0</v>
      </c>
      <c r="CG339" s="1124">
        <f>+Details!AN338-Base!AN338</f>
        <v>0</v>
      </c>
      <c r="CH339" s="1124">
        <f>+Details!AO338-Base!AO338</f>
        <v>0</v>
      </c>
      <c r="CI339" s="1124">
        <f>+Details!AP338-Base!AP338</f>
        <v>0</v>
      </c>
      <c r="CJ339" s="1124">
        <f>+Details!AQ338-Base!AQ338</f>
        <v>0</v>
      </c>
      <c r="CK339" s="1124">
        <f>+Details!AR338-Base!AR338</f>
        <v>0</v>
      </c>
      <c r="CL339" s="1124">
        <f>+Details!AS338-Base!AS338</f>
        <v>0</v>
      </c>
      <c r="CM339" s="434"/>
    </row>
    <row r="340" spans="1:91" s="3" customFormat="1" ht="15.6" hidden="1">
      <c r="A340" s="1432" t="s">
        <v>639</v>
      </c>
      <c r="B340" s="424" t="s">
        <v>128</v>
      </c>
      <c r="E340" s="65"/>
      <c r="F340" s="190">
        <f>+F336+F338</f>
        <v>0</v>
      </c>
      <c r="G340" s="1124">
        <f t="shared" ref="G340:AS340" si="283">+G336+G338</f>
        <v>0</v>
      </c>
      <c r="H340" s="1124">
        <f t="shared" si="283"/>
        <v>0</v>
      </c>
      <c r="I340" s="1124">
        <f t="shared" si="283"/>
        <v>0</v>
      </c>
      <c r="J340" s="1124">
        <f t="shared" si="283"/>
        <v>0</v>
      </c>
      <c r="K340" s="1124">
        <f t="shared" si="283"/>
        <v>0</v>
      </c>
      <c r="L340" s="1124">
        <f t="shared" si="283"/>
        <v>0</v>
      </c>
      <c r="M340" s="1124">
        <f t="shared" si="283"/>
        <v>0</v>
      </c>
      <c r="N340" s="1124">
        <f t="shared" si="283"/>
        <v>0</v>
      </c>
      <c r="O340" s="1124">
        <f t="shared" si="283"/>
        <v>0</v>
      </c>
      <c r="P340" s="1124">
        <f t="shared" si="283"/>
        <v>0</v>
      </c>
      <c r="Q340" s="1124">
        <f t="shared" si="283"/>
        <v>60000</v>
      </c>
      <c r="R340" s="1124">
        <f t="shared" si="283"/>
        <v>55900</v>
      </c>
      <c r="S340" s="1124">
        <f t="shared" si="283"/>
        <v>55000</v>
      </c>
      <c r="T340" s="1124">
        <f t="shared" si="283"/>
        <v>53800</v>
      </c>
      <c r="U340" s="1124">
        <f t="shared" si="283"/>
        <v>52300</v>
      </c>
      <c r="V340" s="1124">
        <f t="shared" si="283"/>
        <v>50400</v>
      </c>
      <c r="W340" s="1124">
        <f t="shared" si="283"/>
        <v>47100</v>
      </c>
      <c r="X340" s="1124">
        <f t="shared" si="283"/>
        <v>43300</v>
      </c>
      <c r="Y340" s="1124">
        <f t="shared" si="283"/>
        <v>38800</v>
      </c>
      <c r="Z340" s="1124">
        <f t="shared" si="283"/>
        <v>35000</v>
      </c>
      <c r="AA340" s="1124">
        <f t="shared" si="283"/>
        <v>30600</v>
      </c>
      <c r="AB340" s="1124">
        <f t="shared" si="283"/>
        <v>25600</v>
      </c>
      <c r="AC340" s="1124">
        <f t="shared" si="283"/>
        <v>20000</v>
      </c>
      <c r="AD340" s="1124">
        <f t="shared" si="283"/>
        <v>13600</v>
      </c>
      <c r="AE340" s="1124">
        <f t="shared" si="283"/>
        <v>6400</v>
      </c>
      <c r="AF340" s="1124">
        <f t="shared" si="283"/>
        <v>0</v>
      </c>
      <c r="AG340" s="1124">
        <f t="shared" si="283"/>
        <v>0</v>
      </c>
      <c r="AH340" s="1124">
        <f t="shared" si="283"/>
        <v>0</v>
      </c>
      <c r="AI340" s="1124">
        <f t="shared" si="283"/>
        <v>0</v>
      </c>
      <c r="AJ340" s="1124">
        <f t="shared" si="283"/>
        <v>0</v>
      </c>
      <c r="AK340" s="1124">
        <f t="shared" si="283"/>
        <v>0</v>
      </c>
      <c r="AL340" s="1124">
        <f t="shared" si="283"/>
        <v>0</v>
      </c>
      <c r="AM340" s="1124">
        <f t="shared" si="283"/>
        <v>0</v>
      </c>
      <c r="AN340" s="1124">
        <f t="shared" si="283"/>
        <v>0</v>
      </c>
      <c r="AO340" s="1124">
        <f t="shared" si="283"/>
        <v>0</v>
      </c>
      <c r="AP340" s="1124">
        <f t="shared" si="283"/>
        <v>0</v>
      </c>
      <c r="AQ340" s="1124">
        <f t="shared" si="283"/>
        <v>0</v>
      </c>
      <c r="AR340" s="1124">
        <f t="shared" si="283"/>
        <v>0</v>
      </c>
      <c r="AS340" s="1124">
        <f t="shared" si="283"/>
        <v>0</v>
      </c>
      <c r="AU340" s="65"/>
      <c r="AV340" s="434"/>
      <c r="AW340" s="191"/>
      <c r="AY340" s="190">
        <f>+Details!F339-Base!F339</f>
        <v>0</v>
      </c>
      <c r="AZ340" s="1124">
        <f>+Details!G339-Base!G339</f>
        <v>0</v>
      </c>
      <c r="BA340" s="1124">
        <f>+Details!H339-Base!H339</f>
        <v>0</v>
      </c>
      <c r="BB340" s="1124">
        <f>+Details!I339-Base!I339</f>
        <v>0</v>
      </c>
      <c r="BC340" s="1124">
        <f>+Details!J339-Base!J339</f>
        <v>0</v>
      </c>
      <c r="BD340" s="1124">
        <f>+Details!K339-Base!K339</f>
        <v>0</v>
      </c>
      <c r="BE340" s="1124">
        <f>+Details!L339-Base!L339</f>
        <v>0</v>
      </c>
      <c r="BF340" s="1124">
        <f>+Details!M339-Base!M339</f>
        <v>0</v>
      </c>
      <c r="BG340" s="1124">
        <f>+Details!N339-Base!N339</f>
        <v>0</v>
      </c>
      <c r="BH340" s="1124">
        <f>+Details!O339-Base!O339</f>
        <v>0</v>
      </c>
      <c r="BI340" s="1124">
        <f>+Details!P339-Base!P339</f>
        <v>0</v>
      </c>
      <c r="BJ340" s="1124">
        <f>+Details!Q339-Base!Q339</f>
        <v>0</v>
      </c>
      <c r="BK340" s="1124">
        <f>+Details!R339-Base!R339</f>
        <v>0</v>
      </c>
      <c r="BL340" s="1124">
        <f>+Details!S339-Base!S339</f>
        <v>0</v>
      </c>
      <c r="BM340" s="1124">
        <f>+Details!T339-Base!T339</f>
        <v>0</v>
      </c>
      <c r="BN340" s="1124">
        <f>+Details!U339-Base!U339</f>
        <v>0</v>
      </c>
      <c r="BO340" s="1124">
        <f>+Details!V339-Base!V339</f>
        <v>0</v>
      </c>
      <c r="BP340" s="1124">
        <f>+Details!W339-Base!W339</f>
        <v>0</v>
      </c>
      <c r="BQ340" s="1124">
        <f>+Details!X339-Base!X339</f>
        <v>0</v>
      </c>
      <c r="BR340" s="1124">
        <f>+Details!Y339-Base!Y339</f>
        <v>0</v>
      </c>
      <c r="BS340" s="1124">
        <f>+Details!Z339-Base!Z339</f>
        <v>0</v>
      </c>
      <c r="BT340" s="1124">
        <f>+Details!AA339-Base!AA339</f>
        <v>0</v>
      </c>
      <c r="BU340" s="1124">
        <f>+Details!AB339-Base!AB339</f>
        <v>0</v>
      </c>
      <c r="BV340" s="1124">
        <f>+Details!AC339-Base!AC339</f>
        <v>0</v>
      </c>
      <c r="BW340" s="1124">
        <f>+Details!AD339-Base!AD339</f>
        <v>0</v>
      </c>
      <c r="BX340" s="1124">
        <f>+Details!AE339-Base!AE339</f>
        <v>0</v>
      </c>
      <c r="BY340" s="1124">
        <f>+Details!AF339-Base!AF339</f>
        <v>0</v>
      </c>
      <c r="BZ340" s="1124">
        <f>+Details!AG339-Base!AG339</f>
        <v>0</v>
      </c>
      <c r="CA340" s="1124">
        <f>+Details!AH339-Base!AH339</f>
        <v>0</v>
      </c>
      <c r="CB340" s="1124">
        <f>+Details!AI339-Base!AI339</f>
        <v>0</v>
      </c>
      <c r="CC340" s="1124">
        <f>+Details!AJ339-Base!AJ339</f>
        <v>0</v>
      </c>
      <c r="CD340" s="1124">
        <f>+Details!AK339-Base!AK339</f>
        <v>0</v>
      </c>
      <c r="CE340" s="1124">
        <f>+Details!AL339-Base!AL339</f>
        <v>0</v>
      </c>
      <c r="CF340" s="1124">
        <f>+Details!AM339-Base!AM339</f>
        <v>0</v>
      </c>
      <c r="CG340" s="1124">
        <f>+Details!AN339-Base!AN339</f>
        <v>0</v>
      </c>
      <c r="CH340" s="1124">
        <f>+Details!AO339-Base!AO339</f>
        <v>0</v>
      </c>
      <c r="CI340" s="1124">
        <f>+Details!AP339-Base!AP339</f>
        <v>0</v>
      </c>
      <c r="CJ340" s="1124">
        <f>+Details!AQ339-Base!AQ339</f>
        <v>0</v>
      </c>
      <c r="CK340" s="1124">
        <f>+Details!AR339-Base!AR339</f>
        <v>0</v>
      </c>
      <c r="CL340" s="1124">
        <f>+Details!AS339-Base!AS339</f>
        <v>0</v>
      </c>
      <c r="CM340" s="434"/>
    </row>
    <row r="341" spans="1:91" ht="15.6" hidden="1">
      <c r="A341" s="1432" t="s">
        <v>639</v>
      </c>
      <c r="B341" s="72" t="s">
        <v>129</v>
      </c>
      <c r="C341" s="1727" t="str">
        <f>"during ages " &amp; Start_InhIRA &amp; " - " &amp; End_InhIRA</f>
        <v>during ages 77 - 79</v>
      </c>
      <c r="E341" s="65">
        <f>SUM(F341:AS341)</f>
        <v>-12000</v>
      </c>
      <c r="F341" s="31">
        <f t="shared" ref="F341:AS341" si="284">+F113</f>
        <v>0</v>
      </c>
      <c r="G341" s="1124">
        <f t="shared" si="284"/>
        <v>0</v>
      </c>
      <c r="H341" s="1124">
        <f t="shared" si="284"/>
        <v>0</v>
      </c>
      <c r="I341" s="1124">
        <f t="shared" si="284"/>
        <v>0</v>
      </c>
      <c r="J341" s="1124">
        <f t="shared" si="284"/>
        <v>0</v>
      </c>
      <c r="K341" s="1124">
        <f t="shared" si="284"/>
        <v>0</v>
      </c>
      <c r="L341" s="1124">
        <f t="shared" si="284"/>
        <v>0</v>
      </c>
      <c r="M341" s="1124">
        <f t="shared" si="284"/>
        <v>0</v>
      </c>
      <c r="N341" s="1124">
        <f t="shared" si="284"/>
        <v>0</v>
      </c>
      <c r="O341" s="1124">
        <f t="shared" si="284"/>
        <v>0</v>
      </c>
      <c r="P341" s="1124">
        <f t="shared" si="284"/>
        <v>0</v>
      </c>
      <c r="Q341" s="1124">
        <f t="shared" si="284"/>
        <v>0</v>
      </c>
      <c r="R341" s="1124">
        <f t="shared" si="284"/>
        <v>0</v>
      </c>
      <c r="S341" s="1124">
        <f t="shared" si="284"/>
        <v>0</v>
      </c>
      <c r="T341" s="1124">
        <f t="shared" si="284"/>
        <v>0</v>
      </c>
      <c r="U341" s="1124">
        <f t="shared" si="284"/>
        <v>-4000</v>
      </c>
      <c r="V341" s="1124">
        <f t="shared" si="284"/>
        <v>-4000</v>
      </c>
      <c r="W341" s="1124">
        <f t="shared" si="284"/>
        <v>-4000</v>
      </c>
      <c r="X341" s="1124">
        <f t="shared" si="284"/>
        <v>0</v>
      </c>
      <c r="Y341" s="1124">
        <f t="shared" si="284"/>
        <v>0</v>
      </c>
      <c r="Z341" s="1124">
        <f t="shared" si="284"/>
        <v>0</v>
      </c>
      <c r="AA341" s="1124">
        <f t="shared" si="284"/>
        <v>0</v>
      </c>
      <c r="AB341" s="1124">
        <f t="shared" si="284"/>
        <v>0</v>
      </c>
      <c r="AC341" s="1124">
        <f t="shared" si="284"/>
        <v>0</v>
      </c>
      <c r="AD341" s="1124">
        <f t="shared" si="284"/>
        <v>0</v>
      </c>
      <c r="AE341" s="1124">
        <f t="shared" si="284"/>
        <v>0</v>
      </c>
      <c r="AF341" s="1124">
        <f t="shared" si="284"/>
        <v>0</v>
      </c>
      <c r="AG341" s="1124">
        <f t="shared" si="284"/>
        <v>0</v>
      </c>
      <c r="AH341" s="1124">
        <f t="shared" si="284"/>
        <v>0</v>
      </c>
      <c r="AI341" s="1124">
        <f t="shared" si="284"/>
        <v>0</v>
      </c>
      <c r="AJ341" s="1124">
        <f t="shared" si="284"/>
        <v>0</v>
      </c>
      <c r="AK341" s="1124">
        <f t="shared" si="284"/>
        <v>0</v>
      </c>
      <c r="AL341" s="1124">
        <f t="shared" si="284"/>
        <v>0</v>
      </c>
      <c r="AM341" s="1124">
        <f t="shared" si="284"/>
        <v>0</v>
      </c>
      <c r="AN341" s="1124">
        <f t="shared" si="284"/>
        <v>0</v>
      </c>
      <c r="AO341" s="1124">
        <f t="shared" si="284"/>
        <v>0</v>
      </c>
      <c r="AP341" s="1124">
        <f t="shared" si="284"/>
        <v>0</v>
      </c>
      <c r="AQ341" s="1124">
        <f t="shared" si="284"/>
        <v>0</v>
      </c>
      <c r="AR341" s="1124">
        <f t="shared" si="284"/>
        <v>0</v>
      </c>
      <c r="AS341" s="1124">
        <f t="shared" si="284"/>
        <v>0</v>
      </c>
      <c r="AU341" s="29">
        <f>+Details!E341</f>
        <v>-12000</v>
      </c>
      <c r="AV341" s="81">
        <f t="shared" ref="AV341:AV348" si="285">+E341-AU341</f>
        <v>0</v>
      </c>
      <c r="AW341" s="191"/>
      <c r="AY341" s="31">
        <f>+Details!F340-Base!F340</f>
        <v>0</v>
      </c>
      <c r="AZ341" s="1124">
        <f>+Details!G340-Base!G340</f>
        <v>0</v>
      </c>
      <c r="BA341" s="1124">
        <f>+Details!H340-Base!H340</f>
        <v>0</v>
      </c>
      <c r="BB341" s="1124">
        <f>+Details!I340-Base!I340</f>
        <v>0</v>
      </c>
      <c r="BC341" s="1124">
        <f>+Details!J340-Base!J340</f>
        <v>0</v>
      </c>
      <c r="BD341" s="1124">
        <f>+Details!K340-Base!K340</f>
        <v>0</v>
      </c>
      <c r="BE341" s="1124">
        <f>+Details!L340-Base!L340</f>
        <v>0</v>
      </c>
      <c r="BF341" s="1124">
        <f>+Details!M340-Base!M340</f>
        <v>0</v>
      </c>
      <c r="BG341" s="1124">
        <f>+Details!N340-Base!N340</f>
        <v>0</v>
      </c>
      <c r="BH341" s="1124">
        <f>+Details!O340-Base!O340</f>
        <v>0</v>
      </c>
      <c r="BI341" s="1124">
        <f>+Details!P340-Base!P340</f>
        <v>0</v>
      </c>
      <c r="BJ341" s="1124">
        <f>+Details!Q340-Base!Q340</f>
        <v>0</v>
      </c>
      <c r="BK341" s="1124">
        <f>+Details!R340-Base!R340</f>
        <v>0</v>
      </c>
      <c r="BL341" s="1124">
        <f>+Details!S340-Base!S340</f>
        <v>0</v>
      </c>
      <c r="BM341" s="1124">
        <f>+Details!T340-Base!T340</f>
        <v>0</v>
      </c>
      <c r="BN341" s="1124">
        <f>+Details!U340-Base!U340</f>
        <v>0</v>
      </c>
      <c r="BO341" s="1124">
        <f>+Details!V340-Base!V340</f>
        <v>0</v>
      </c>
      <c r="BP341" s="1124">
        <f>+Details!W340-Base!W340</f>
        <v>0</v>
      </c>
      <c r="BQ341" s="1124">
        <f>+Details!X340-Base!X340</f>
        <v>0</v>
      </c>
      <c r="BR341" s="1124">
        <f>+Details!Y340-Base!Y340</f>
        <v>0</v>
      </c>
      <c r="BS341" s="1124">
        <f>+Details!Z340-Base!Z340</f>
        <v>0</v>
      </c>
      <c r="BT341" s="1124">
        <f>+Details!AA340-Base!AA340</f>
        <v>0</v>
      </c>
      <c r="BU341" s="1124">
        <f>+Details!AB340-Base!AB340</f>
        <v>0</v>
      </c>
      <c r="BV341" s="1124">
        <f>+Details!AC340-Base!AC340</f>
        <v>0</v>
      </c>
      <c r="BW341" s="1124">
        <f>+Details!AD340-Base!AD340</f>
        <v>0</v>
      </c>
      <c r="BX341" s="1124">
        <f>+Details!AE340-Base!AE340</f>
        <v>0</v>
      </c>
      <c r="BY341" s="1124">
        <f>+Details!AF340-Base!AF340</f>
        <v>0</v>
      </c>
      <c r="BZ341" s="1124">
        <f>+Details!AG340-Base!AG340</f>
        <v>0</v>
      </c>
      <c r="CA341" s="1124">
        <f>+Details!AH340-Base!AH340</f>
        <v>0</v>
      </c>
      <c r="CB341" s="1124">
        <f>+Details!AI340-Base!AI340</f>
        <v>0</v>
      </c>
      <c r="CC341" s="1124">
        <f>+Details!AJ340-Base!AJ340</f>
        <v>0</v>
      </c>
      <c r="CD341" s="1124">
        <f>+Details!AK340-Base!AK340</f>
        <v>0</v>
      </c>
      <c r="CE341" s="1124">
        <f>+Details!AL340-Base!AL340</f>
        <v>0</v>
      </c>
      <c r="CF341" s="1124">
        <f>+Details!AM340-Base!AM340</f>
        <v>0</v>
      </c>
      <c r="CG341" s="1124">
        <f>+Details!AN340-Base!AN340</f>
        <v>0</v>
      </c>
      <c r="CH341" s="1124">
        <f>+Details!AO340-Base!AO340</f>
        <v>0</v>
      </c>
      <c r="CI341" s="1124">
        <f>+Details!AP340-Base!AP340</f>
        <v>0</v>
      </c>
      <c r="CJ341" s="1124">
        <f>+Details!AQ340-Base!AQ340</f>
        <v>0</v>
      </c>
      <c r="CK341" s="1124">
        <f>+Details!AR340-Base!AR340</f>
        <v>0</v>
      </c>
      <c r="CL341" s="1124">
        <f>+Details!AS340-Base!AS340</f>
        <v>0</v>
      </c>
      <c r="CM341" s="81"/>
    </row>
    <row r="342" spans="1:91" ht="15.6" hidden="1">
      <c r="A342" s="1432" t="s">
        <v>639</v>
      </c>
      <c r="B342" s="72" t="s">
        <v>130</v>
      </c>
      <c r="C342" s="1727" t="str">
        <f>"during ages " &amp; Start_InhIRA2 &amp; " - " &amp; End_InhIRA2</f>
        <v>during ages 78 - 80</v>
      </c>
      <c r="E342" s="65">
        <f>SUM(F342:AS342)</f>
        <v>-3300</v>
      </c>
      <c r="F342" s="31">
        <f t="shared" ref="F342:AS342" si="286">+F114</f>
        <v>0</v>
      </c>
      <c r="G342" s="1124">
        <f t="shared" si="286"/>
        <v>0</v>
      </c>
      <c r="H342" s="1124">
        <f t="shared" si="286"/>
        <v>0</v>
      </c>
      <c r="I342" s="1124">
        <f t="shared" si="286"/>
        <v>0</v>
      </c>
      <c r="J342" s="1124">
        <f t="shared" si="286"/>
        <v>0</v>
      </c>
      <c r="K342" s="1124">
        <f t="shared" si="286"/>
        <v>0</v>
      </c>
      <c r="L342" s="1124">
        <f t="shared" si="286"/>
        <v>0</v>
      </c>
      <c r="M342" s="1124">
        <f t="shared" si="286"/>
        <v>0</v>
      </c>
      <c r="N342" s="1124">
        <f t="shared" si="286"/>
        <v>0</v>
      </c>
      <c r="O342" s="1124">
        <f t="shared" si="286"/>
        <v>0</v>
      </c>
      <c r="P342" s="1124">
        <f t="shared" si="286"/>
        <v>0</v>
      </c>
      <c r="Q342" s="1124">
        <f t="shared" si="286"/>
        <v>0</v>
      </c>
      <c r="R342" s="1124">
        <f t="shared" si="286"/>
        <v>0</v>
      </c>
      <c r="S342" s="1124">
        <f t="shared" si="286"/>
        <v>0</v>
      </c>
      <c r="T342" s="1124">
        <f t="shared" si="286"/>
        <v>0</v>
      </c>
      <c r="U342" s="1124">
        <f t="shared" si="286"/>
        <v>0</v>
      </c>
      <c r="V342" s="1124">
        <f t="shared" si="286"/>
        <v>-1000</v>
      </c>
      <c r="W342" s="1124">
        <f t="shared" si="286"/>
        <v>-1100</v>
      </c>
      <c r="X342" s="1124">
        <f t="shared" si="286"/>
        <v>-1200</v>
      </c>
      <c r="Y342" s="1124">
        <f t="shared" si="286"/>
        <v>0</v>
      </c>
      <c r="Z342" s="1124">
        <f t="shared" si="286"/>
        <v>0</v>
      </c>
      <c r="AA342" s="1124">
        <f t="shared" si="286"/>
        <v>0</v>
      </c>
      <c r="AB342" s="1124">
        <f t="shared" si="286"/>
        <v>0</v>
      </c>
      <c r="AC342" s="1124">
        <f t="shared" si="286"/>
        <v>0</v>
      </c>
      <c r="AD342" s="1124">
        <f t="shared" si="286"/>
        <v>0</v>
      </c>
      <c r="AE342" s="1124">
        <f t="shared" si="286"/>
        <v>0</v>
      </c>
      <c r="AF342" s="1124">
        <f t="shared" si="286"/>
        <v>0</v>
      </c>
      <c r="AG342" s="1124">
        <f t="shared" si="286"/>
        <v>0</v>
      </c>
      <c r="AH342" s="1124">
        <f t="shared" si="286"/>
        <v>0</v>
      </c>
      <c r="AI342" s="1124">
        <f t="shared" si="286"/>
        <v>0</v>
      </c>
      <c r="AJ342" s="1124">
        <f t="shared" si="286"/>
        <v>0</v>
      </c>
      <c r="AK342" s="1124">
        <f t="shared" si="286"/>
        <v>0</v>
      </c>
      <c r="AL342" s="1124">
        <f t="shared" si="286"/>
        <v>0</v>
      </c>
      <c r="AM342" s="1124">
        <f t="shared" si="286"/>
        <v>0</v>
      </c>
      <c r="AN342" s="1124">
        <f t="shared" si="286"/>
        <v>0</v>
      </c>
      <c r="AO342" s="1124">
        <f t="shared" si="286"/>
        <v>0</v>
      </c>
      <c r="AP342" s="1124">
        <f t="shared" si="286"/>
        <v>0</v>
      </c>
      <c r="AQ342" s="1124">
        <f t="shared" si="286"/>
        <v>0</v>
      </c>
      <c r="AR342" s="1124">
        <f t="shared" si="286"/>
        <v>0</v>
      </c>
      <c r="AS342" s="1124">
        <f t="shared" si="286"/>
        <v>0</v>
      </c>
      <c r="AU342" s="29">
        <f>+Details!E342</f>
        <v>-3300</v>
      </c>
      <c r="AV342" s="81">
        <f t="shared" si="285"/>
        <v>0</v>
      </c>
      <c r="AW342" s="191"/>
      <c r="AY342" s="31">
        <f>+Details!F341-Base!F341</f>
        <v>0</v>
      </c>
      <c r="AZ342" s="1124">
        <f>+Details!G341-Base!G341</f>
        <v>0</v>
      </c>
      <c r="BA342" s="1124">
        <f>+Details!H341-Base!H341</f>
        <v>0</v>
      </c>
      <c r="BB342" s="1124">
        <f>+Details!I341-Base!I341</f>
        <v>0</v>
      </c>
      <c r="BC342" s="1124">
        <f>+Details!J341-Base!J341</f>
        <v>0</v>
      </c>
      <c r="BD342" s="1124">
        <f>+Details!K341-Base!K341</f>
        <v>0</v>
      </c>
      <c r="BE342" s="1124">
        <f>+Details!L341-Base!L341</f>
        <v>0</v>
      </c>
      <c r="BF342" s="1124">
        <f>+Details!M341-Base!M341</f>
        <v>0</v>
      </c>
      <c r="BG342" s="1124">
        <f>+Details!N341-Base!N341</f>
        <v>0</v>
      </c>
      <c r="BH342" s="1124">
        <f>+Details!O341-Base!O341</f>
        <v>0</v>
      </c>
      <c r="BI342" s="1124">
        <f>+Details!P341-Base!P341</f>
        <v>0</v>
      </c>
      <c r="BJ342" s="1124">
        <f>+Details!Q341-Base!Q341</f>
        <v>0</v>
      </c>
      <c r="BK342" s="1124">
        <f>+Details!R341-Base!R341</f>
        <v>0</v>
      </c>
      <c r="BL342" s="1124">
        <f>+Details!S341-Base!S341</f>
        <v>0</v>
      </c>
      <c r="BM342" s="1124">
        <f>+Details!T341-Base!T341</f>
        <v>0</v>
      </c>
      <c r="BN342" s="1124">
        <f>+Details!U341-Base!U341</f>
        <v>0</v>
      </c>
      <c r="BO342" s="1124">
        <f>+Details!V341-Base!V341</f>
        <v>0</v>
      </c>
      <c r="BP342" s="1124">
        <f>+Details!W341-Base!W341</f>
        <v>0</v>
      </c>
      <c r="BQ342" s="1124">
        <f>+Details!X341-Base!X341</f>
        <v>0</v>
      </c>
      <c r="BR342" s="1124">
        <f>+Details!Y341-Base!Y341</f>
        <v>0</v>
      </c>
      <c r="BS342" s="1124">
        <f>+Details!Z341-Base!Z341</f>
        <v>0</v>
      </c>
      <c r="BT342" s="1124">
        <f>+Details!AA341-Base!AA341</f>
        <v>0</v>
      </c>
      <c r="BU342" s="1124">
        <f>+Details!AB341-Base!AB341</f>
        <v>0</v>
      </c>
      <c r="BV342" s="1124">
        <f>+Details!AC341-Base!AC341</f>
        <v>0</v>
      </c>
      <c r="BW342" s="1124">
        <f>+Details!AD341-Base!AD341</f>
        <v>0</v>
      </c>
      <c r="BX342" s="1124">
        <f>+Details!AE341-Base!AE341</f>
        <v>0</v>
      </c>
      <c r="BY342" s="1124">
        <f>+Details!AF341-Base!AF341</f>
        <v>0</v>
      </c>
      <c r="BZ342" s="1124">
        <f>+Details!AG341-Base!AG341</f>
        <v>0</v>
      </c>
      <c r="CA342" s="1124">
        <f>+Details!AH341-Base!AH341</f>
        <v>0</v>
      </c>
      <c r="CB342" s="1124">
        <f>+Details!AI341-Base!AI341</f>
        <v>0</v>
      </c>
      <c r="CC342" s="1124">
        <f>+Details!AJ341-Base!AJ341</f>
        <v>0</v>
      </c>
      <c r="CD342" s="1124">
        <f>+Details!AK341-Base!AK341</f>
        <v>0</v>
      </c>
      <c r="CE342" s="1124">
        <f>+Details!AL341-Base!AL341</f>
        <v>0</v>
      </c>
      <c r="CF342" s="1124">
        <f>+Details!AM341-Base!AM341</f>
        <v>0</v>
      </c>
      <c r="CG342" s="1124">
        <f>+Details!AN341-Base!AN341</f>
        <v>0</v>
      </c>
      <c r="CH342" s="1124">
        <f>+Details!AO341-Base!AO341</f>
        <v>0</v>
      </c>
      <c r="CI342" s="1124">
        <f>+Details!AP341-Base!AP341</f>
        <v>0</v>
      </c>
      <c r="CJ342" s="1124">
        <f>+Details!AQ341-Base!AQ341</f>
        <v>0</v>
      </c>
      <c r="CK342" s="1124">
        <f>+Details!AR341-Base!AR341</f>
        <v>0</v>
      </c>
      <c r="CL342" s="1124">
        <f>+Details!AS341-Base!AS341</f>
        <v>0</v>
      </c>
      <c r="CM342" s="81"/>
    </row>
    <row r="343" spans="1:91" hidden="1">
      <c r="A343" s="1432" t="s">
        <v>639</v>
      </c>
      <c r="B343" s="72" t="s">
        <v>131</v>
      </c>
      <c r="C343" s="3"/>
      <c r="E343" s="65">
        <f>SUM(F343:AS343)</f>
        <v>12100</v>
      </c>
      <c r="F343" s="31">
        <f t="shared" ref="F343:AS343" si="287">+F32</f>
        <v>0</v>
      </c>
      <c r="G343" s="1124">
        <f t="shared" si="287"/>
        <v>0</v>
      </c>
      <c r="H343" s="1124">
        <f t="shared" si="287"/>
        <v>0</v>
      </c>
      <c r="I343" s="1124">
        <f t="shared" si="287"/>
        <v>0</v>
      </c>
      <c r="J343" s="1124">
        <f t="shared" si="287"/>
        <v>0</v>
      </c>
      <c r="K343" s="1124">
        <f t="shared" si="287"/>
        <v>0</v>
      </c>
      <c r="L343" s="1124">
        <f t="shared" si="287"/>
        <v>0</v>
      </c>
      <c r="M343" s="1124">
        <f t="shared" si="287"/>
        <v>0</v>
      </c>
      <c r="N343" s="1124">
        <f t="shared" si="287"/>
        <v>0</v>
      </c>
      <c r="O343" s="1124">
        <f t="shared" si="287"/>
        <v>0</v>
      </c>
      <c r="P343" s="1124">
        <f t="shared" si="287"/>
        <v>0</v>
      </c>
      <c r="Q343" s="1124">
        <f t="shared" si="287"/>
        <v>0</v>
      </c>
      <c r="R343" s="1124">
        <f t="shared" si="287"/>
        <v>0</v>
      </c>
      <c r="S343" s="1124">
        <f t="shared" si="287"/>
        <v>0</v>
      </c>
      <c r="T343" s="1124">
        <f t="shared" si="287"/>
        <v>0</v>
      </c>
      <c r="U343" s="1124">
        <f t="shared" si="287"/>
        <v>0</v>
      </c>
      <c r="V343" s="1124">
        <f t="shared" si="287"/>
        <v>2200</v>
      </c>
      <c r="W343" s="1124">
        <f t="shared" si="287"/>
        <v>1900</v>
      </c>
      <c r="X343" s="1124">
        <f t="shared" si="287"/>
        <v>1400</v>
      </c>
      <c r="Y343" s="1124">
        <f t="shared" si="287"/>
        <v>1300</v>
      </c>
      <c r="Z343" s="1124">
        <f t="shared" si="287"/>
        <v>1200</v>
      </c>
      <c r="AA343" s="1124">
        <f t="shared" si="287"/>
        <v>1100</v>
      </c>
      <c r="AB343" s="1124">
        <f t="shared" si="287"/>
        <v>1000</v>
      </c>
      <c r="AC343" s="1124">
        <f t="shared" si="287"/>
        <v>800</v>
      </c>
      <c r="AD343" s="1124">
        <f t="shared" si="287"/>
        <v>600</v>
      </c>
      <c r="AE343" s="1124">
        <f t="shared" si="287"/>
        <v>400</v>
      </c>
      <c r="AF343" s="1124">
        <f t="shared" si="287"/>
        <v>200</v>
      </c>
      <c r="AG343" s="1124">
        <f t="shared" si="287"/>
        <v>0</v>
      </c>
      <c r="AH343" s="1124">
        <f t="shared" si="287"/>
        <v>0</v>
      </c>
      <c r="AI343" s="1124">
        <f t="shared" si="287"/>
        <v>0</v>
      </c>
      <c r="AJ343" s="1124">
        <f t="shared" si="287"/>
        <v>0</v>
      </c>
      <c r="AK343" s="1124">
        <f t="shared" si="287"/>
        <v>0</v>
      </c>
      <c r="AL343" s="1124">
        <f t="shared" si="287"/>
        <v>0</v>
      </c>
      <c r="AM343" s="1124">
        <f t="shared" si="287"/>
        <v>0</v>
      </c>
      <c r="AN343" s="1124">
        <f t="shared" si="287"/>
        <v>0</v>
      </c>
      <c r="AO343" s="1124">
        <f t="shared" si="287"/>
        <v>0</v>
      </c>
      <c r="AP343" s="1124">
        <f t="shared" si="287"/>
        <v>0</v>
      </c>
      <c r="AQ343" s="1124">
        <f t="shared" si="287"/>
        <v>0</v>
      </c>
      <c r="AR343" s="1124">
        <f t="shared" si="287"/>
        <v>0</v>
      </c>
      <c r="AS343" s="1124">
        <f t="shared" si="287"/>
        <v>0</v>
      </c>
      <c r="AU343" s="29">
        <f>+Details!E343</f>
        <v>12100</v>
      </c>
      <c r="AV343" s="81">
        <f t="shared" si="285"/>
        <v>0</v>
      </c>
      <c r="AW343" s="191"/>
      <c r="AY343" s="31">
        <f>+Details!F342-Base!F342</f>
        <v>0</v>
      </c>
      <c r="AZ343" s="1124">
        <f>+Details!G342-Base!G342</f>
        <v>0</v>
      </c>
      <c r="BA343" s="1124">
        <f>+Details!H342-Base!H342</f>
        <v>0</v>
      </c>
      <c r="BB343" s="1124">
        <f>+Details!I342-Base!I342</f>
        <v>0</v>
      </c>
      <c r="BC343" s="1124">
        <f>+Details!J342-Base!J342</f>
        <v>0</v>
      </c>
      <c r="BD343" s="1124">
        <f>+Details!K342-Base!K342</f>
        <v>0</v>
      </c>
      <c r="BE343" s="1124">
        <f>+Details!L342-Base!L342</f>
        <v>0</v>
      </c>
      <c r="BF343" s="1124">
        <f>+Details!M342-Base!M342</f>
        <v>0</v>
      </c>
      <c r="BG343" s="1124">
        <f>+Details!N342-Base!N342</f>
        <v>0</v>
      </c>
      <c r="BH343" s="1124">
        <f>+Details!O342-Base!O342</f>
        <v>0</v>
      </c>
      <c r="BI343" s="1124">
        <f>+Details!P342-Base!P342</f>
        <v>0</v>
      </c>
      <c r="BJ343" s="1124">
        <f>+Details!Q342-Base!Q342</f>
        <v>0</v>
      </c>
      <c r="BK343" s="1124">
        <f>+Details!R342-Base!R342</f>
        <v>0</v>
      </c>
      <c r="BL343" s="1124">
        <f>+Details!S342-Base!S342</f>
        <v>0</v>
      </c>
      <c r="BM343" s="1124">
        <f>+Details!T342-Base!T342</f>
        <v>0</v>
      </c>
      <c r="BN343" s="1124">
        <f>+Details!U342-Base!U342</f>
        <v>0</v>
      </c>
      <c r="BO343" s="1124">
        <f>+Details!V342-Base!V342</f>
        <v>0</v>
      </c>
      <c r="BP343" s="1124">
        <f>+Details!W342-Base!W342</f>
        <v>0</v>
      </c>
      <c r="BQ343" s="1124">
        <f>+Details!X342-Base!X342</f>
        <v>0</v>
      </c>
      <c r="BR343" s="1124">
        <f>+Details!Y342-Base!Y342</f>
        <v>0</v>
      </c>
      <c r="BS343" s="1124">
        <f>+Details!Z342-Base!Z342</f>
        <v>0</v>
      </c>
      <c r="BT343" s="1124">
        <f>+Details!AA342-Base!AA342</f>
        <v>0</v>
      </c>
      <c r="BU343" s="1124">
        <f>+Details!AB342-Base!AB342</f>
        <v>0</v>
      </c>
      <c r="BV343" s="1124">
        <f>+Details!AC342-Base!AC342</f>
        <v>0</v>
      </c>
      <c r="BW343" s="1124">
        <f>+Details!AD342-Base!AD342</f>
        <v>0</v>
      </c>
      <c r="BX343" s="1124">
        <f>+Details!AE342-Base!AE342</f>
        <v>0</v>
      </c>
      <c r="BY343" s="1124">
        <f>+Details!AF342-Base!AF342</f>
        <v>0</v>
      </c>
      <c r="BZ343" s="1124">
        <f>+Details!AG342-Base!AG342</f>
        <v>0</v>
      </c>
      <c r="CA343" s="1124">
        <f>+Details!AH342-Base!AH342</f>
        <v>0</v>
      </c>
      <c r="CB343" s="1124">
        <f>+Details!AI342-Base!AI342</f>
        <v>0</v>
      </c>
      <c r="CC343" s="1124">
        <f>+Details!AJ342-Base!AJ342</f>
        <v>0</v>
      </c>
      <c r="CD343" s="1124">
        <f>+Details!AK342-Base!AK342</f>
        <v>0</v>
      </c>
      <c r="CE343" s="1124">
        <f>+Details!AL342-Base!AL342</f>
        <v>0</v>
      </c>
      <c r="CF343" s="1124">
        <f>+Details!AM342-Base!AM342</f>
        <v>0</v>
      </c>
      <c r="CG343" s="1124">
        <f>+Details!AN342-Base!AN342</f>
        <v>0</v>
      </c>
      <c r="CH343" s="1124">
        <f>+Details!AO342-Base!AO342</f>
        <v>0</v>
      </c>
      <c r="CI343" s="1124">
        <f>+Details!AP342-Base!AP342</f>
        <v>0</v>
      </c>
      <c r="CJ343" s="1124">
        <f>+Details!AQ342-Base!AQ342</f>
        <v>0</v>
      </c>
      <c r="CK343" s="1124">
        <f>+Details!AR342-Base!AR342</f>
        <v>0</v>
      </c>
      <c r="CL343" s="1124">
        <f>+Details!AS342-Base!AS342</f>
        <v>0</v>
      </c>
      <c r="CM343" s="81"/>
    </row>
    <row r="344" spans="1:91" hidden="1">
      <c r="A344" s="1432" t="s">
        <v>639</v>
      </c>
      <c r="B344" s="72" t="s">
        <v>132</v>
      </c>
      <c r="C344" s="3"/>
      <c r="E344" s="65">
        <f>SUM(F344:AS344)</f>
        <v>31900</v>
      </c>
      <c r="F344" s="31">
        <f t="shared" ref="F344:AS344" si="288">+F33</f>
        <v>0</v>
      </c>
      <c r="G344" s="1124">
        <f t="shared" si="288"/>
        <v>0</v>
      </c>
      <c r="H344" s="1124">
        <f t="shared" si="288"/>
        <v>0</v>
      </c>
      <c r="I344" s="1124">
        <f t="shared" si="288"/>
        <v>0</v>
      </c>
      <c r="J344" s="1124">
        <f t="shared" si="288"/>
        <v>0</v>
      </c>
      <c r="K344" s="1124">
        <f t="shared" si="288"/>
        <v>0</v>
      </c>
      <c r="L344" s="1124">
        <f t="shared" si="288"/>
        <v>0</v>
      </c>
      <c r="M344" s="1124">
        <f t="shared" si="288"/>
        <v>0</v>
      </c>
      <c r="N344" s="1124">
        <f t="shared" si="288"/>
        <v>0</v>
      </c>
      <c r="O344" s="1124">
        <f t="shared" si="288"/>
        <v>0</v>
      </c>
      <c r="P344" s="1124">
        <f t="shared" si="288"/>
        <v>0</v>
      </c>
      <c r="Q344" s="1124">
        <f t="shared" si="288"/>
        <v>0</v>
      </c>
      <c r="R344" s="1124">
        <f t="shared" si="288"/>
        <v>3400</v>
      </c>
      <c r="S344" s="1124">
        <f t="shared" si="288"/>
        <v>3400</v>
      </c>
      <c r="T344" s="1124">
        <f t="shared" si="288"/>
        <v>3300</v>
      </c>
      <c r="U344" s="1124">
        <f t="shared" si="288"/>
        <v>3200</v>
      </c>
      <c r="V344" s="1124">
        <f t="shared" si="288"/>
        <v>3100</v>
      </c>
      <c r="W344" s="1124">
        <f t="shared" si="288"/>
        <v>2900</v>
      </c>
      <c r="X344" s="1124">
        <f t="shared" si="288"/>
        <v>2400</v>
      </c>
      <c r="Y344" s="1124">
        <f t="shared" si="288"/>
        <v>2200</v>
      </c>
      <c r="Z344" s="1124">
        <f t="shared" si="288"/>
        <v>2000</v>
      </c>
      <c r="AA344" s="1124">
        <f t="shared" si="288"/>
        <v>1800</v>
      </c>
      <c r="AB344" s="1124">
        <f t="shared" si="288"/>
        <v>1500</v>
      </c>
      <c r="AC344" s="1124">
        <f t="shared" si="288"/>
        <v>1200</v>
      </c>
      <c r="AD344" s="1124">
        <f t="shared" si="288"/>
        <v>900</v>
      </c>
      <c r="AE344" s="1124">
        <f t="shared" si="288"/>
        <v>600</v>
      </c>
      <c r="AF344" s="1124">
        <f t="shared" si="288"/>
        <v>0</v>
      </c>
      <c r="AG344" s="1124">
        <f t="shared" si="288"/>
        <v>0</v>
      </c>
      <c r="AH344" s="1124">
        <f t="shared" si="288"/>
        <v>0</v>
      </c>
      <c r="AI344" s="1124">
        <f t="shared" si="288"/>
        <v>0</v>
      </c>
      <c r="AJ344" s="1124">
        <f t="shared" si="288"/>
        <v>0</v>
      </c>
      <c r="AK344" s="1124">
        <f t="shared" si="288"/>
        <v>0</v>
      </c>
      <c r="AL344" s="1124">
        <f t="shared" si="288"/>
        <v>0</v>
      </c>
      <c r="AM344" s="1124">
        <f t="shared" si="288"/>
        <v>0</v>
      </c>
      <c r="AN344" s="1124">
        <f t="shared" si="288"/>
        <v>0</v>
      </c>
      <c r="AO344" s="1124">
        <f t="shared" si="288"/>
        <v>0</v>
      </c>
      <c r="AP344" s="1124">
        <f t="shared" si="288"/>
        <v>0</v>
      </c>
      <c r="AQ344" s="1124">
        <f t="shared" si="288"/>
        <v>0</v>
      </c>
      <c r="AR344" s="1124">
        <f t="shared" si="288"/>
        <v>0</v>
      </c>
      <c r="AS344" s="1124">
        <f t="shared" si="288"/>
        <v>0</v>
      </c>
      <c r="AU344" s="29">
        <f>+Details!E344</f>
        <v>31900</v>
      </c>
      <c r="AV344" s="81">
        <f t="shared" si="285"/>
        <v>0</v>
      </c>
      <c r="AW344" s="191"/>
      <c r="AY344" s="31">
        <f>+Details!F343-Base!F343</f>
        <v>0</v>
      </c>
      <c r="AZ344" s="1124">
        <f>+Details!G343-Base!G343</f>
        <v>0</v>
      </c>
      <c r="BA344" s="1124">
        <f>+Details!H343-Base!H343</f>
        <v>0</v>
      </c>
      <c r="BB344" s="1124">
        <f>+Details!I343-Base!I343</f>
        <v>0</v>
      </c>
      <c r="BC344" s="1124">
        <f>+Details!J343-Base!J343</f>
        <v>0</v>
      </c>
      <c r="BD344" s="1124">
        <f>+Details!K343-Base!K343</f>
        <v>0</v>
      </c>
      <c r="BE344" s="1124">
        <f>+Details!L343-Base!L343</f>
        <v>0</v>
      </c>
      <c r="BF344" s="1124">
        <f>+Details!M343-Base!M343</f>
        <v>0</v>
      </c>
      <c r="BG344" s="1124">
        <f>+Details!N343-Base!N343</f>
        <v>0</v>
      </c>
      <c r="BH344" s="1124">
        <f>+Details!O343-Base!O343</f>
        <v>0</v>
      </c>
      <c r="BI344" s="1124">
        <f>+Details!P343-Base!P343</f>
        <v>0</v>
      </c>
      <c r="BJ344" s="1124">
        <f>+Details!Q343-Base!Q343</f>
        <v>0</v>
      </c>
      <c r="BK344" s="1124">
        <f>+Details!R343-Base!R343</f>
        <v>0</v>
      </c>
      <c r="BL344" s="1124">
        <f>+Details!S343-Base!S343</f>
        <v>0</v>
      </c>
      <c r="BM344" s="1124">
        <f>+Details!T343-Base!T343</f>
        <v>0</v>
      </c>
      <c r="BN344" s="1124">
        <f>+Details!U343-Base!U343</f>
        <v>0</v>
      </c>
      <c r="BO344" s="1124">
        <f>+Details!V343-Base!V343</f>
        <v>0</v>
      </c>
      <c r="BP344" s="1124">
        <f>+Details!W343-Base!W343</f>
        <v>0</v>
      </c>
      <c r="BQ344" s="1124">
        <f>+Details!X343-Base!X343</f>
        <v>0</v>
      </c>
      <c r="BR344" s="1124">
        <f>+Details!Y343-Base!Y343</f>
        <v>0</v>
      </c>
      <c r="BS344" s="1124">
        <f>+Details!Z343-Base!Z343</f>
        <v>0</v>
      </c>
      <c r="BT344" s="1124">
        <f>+Details!AA343-Base!AA343</f>
        <v>0</v>
      </c>
      <c r="BU344" s="1124">
        <f>+Details!AB343-Base!AB343</f>
        <v>0</v>
      </c>
      <c r="BV344" s="1124">
        <f>+Details!AC343-Base!AC343</f>
        <v>0</v>
      </c>
      <c r="BW344" s="1124">
        <f>+Details!AD343-Base!AD343</f>
        <v>0</v>
      </c>
      <c r="BX344" s="1124">
        <f>+Details!AE343-Base!AE343</f>
        <v>0</v>
      </c>
      <c r="BY344" s="1124">
        <f>+Details!AF343-Base!AF343</f>
        <v>0</v>
      </c>
      <c r="BZ344" s="1124">
        <f>+Details!AG343-Base!AG343</f>
        <v>0</v>
      </c>
      <c r="CA344" s="1124">
        <f>+Details!AH343-Base!AH343</f>
        <v>0</v>
      </c>
      <c r="CB344" s="1124">
        <f>+Details!AI343-Base!AI343</f>
        <v>0</v>
      </c>
      <c r="CC344" s="1124">
        <f>+Details!AJ343-Base!AJ343</f>
        <v>0</v>
      </c>
      <c r="CD344" s="1124">
        <f>+Details!AK343-Base!AK343</f>
        <v>0</v>
      </c>
      <c r="CE344" s="1124">
        <f>+Details!AL343-Base!AL343</f>
        <v>0</v>
      </c>
      <c r="CF344" s="1124">
        <f>+Details!AM343-Base!AM343</f>
        <v>0</v>
      </c>
      <c r="CG344" s="1124">
        <f>+Details!AN343-Base!AN343</f>
        <v>0</v>
      </c>
      <c r="CH344" s="1124">
        <f>+Details!AO343-Base!AO343</f>
        <v>0</v>
      </c>
      <c r="CI344" s="1124">
        <f>+Details!AP343-Base!AP343</f>
        <v>0</v>
      </c>
      <c r="CJ344" s="1124">
        <f>+Details!AQ343-Base!AQ343</f>
        <v>0</v>
      </c>
      <c r="CK344" s="1124">
        <f>+Details!AR343-Base!AR343</f>
        <v>0</v>
      </c>
      <c r="CL344" s="1124">
        <f>+Details!AS343-Base!AS343</f>
        <v>0</v>
      </c>
      <c r="CM344" s="81"/>
    </row>
    <row r="345" spans="1:91" ht="15.6" hidden="1">
      <c r="A345" s="1432" t="s">
        <v>639</v>
      </c>
      <c r="B345" s="28" t="s">
        <v>133</v>
      </c>
      <c r="C345" s="3"/>
      <c r="E345" s="363"/>
      <c r="F345" s="31">
        <f>+F335+F337+F341+F343</f>
        <v>0</v>
      </c>
      <c r="G345" s="1124">
        <f t="shared" ref="G345:AS345" si="289">+G335+G337+G341+G343</f>
        <v>0</v>
      </c>
      <c r="H345" s="1124">
        <f t="shared" si="289"/>
        <v>0</v>
      </c>
      <c r="I345" s="1124">
        <f t="shared" si="289"/>
        <v>0</v>
      </c>
      <c r="J345" s="1124">
        <f t="shared" si="289"/>
        <v>0</v>
      </c>
      <c r="K345" s="1124">
        <f t="shared" si="289"/>
        <v>0</v>
      </c>
      <c r="L345" s="1124">
        <f t="shared" si="289"/>
        <v>0</v>
      </c>
      <c r="M345" s="1124">
        <f t="shared" si="289"/>
        <v>0</v>
      </c>
      <c r="N345" s="1124">
        <f t="shared" si="289"/>
        <v>0</v>
      </c>
      <c r="O345" s="1124">
        <f t="shared" si="289"/>
        <v>0</v>
      </c>
      <c r="P345" s="1124">
        <f t="shared" si="289"/>
        <v>0</v>
      </c>
      <c r="Q345" s="1124">
        <f t="shared" si="289"/>
        <v>0</v>
      </c>
      <c r="R345" s="1124">
        <f t="shared" si="289"/>
        <v>0</v>
      </c>
      <c r="S345" s="1124">
        <f t="shared" si="289"/>
        <v>0</v>
      </c>
      <c r="T345" s="1124">
        <f t="shared" si="289"/>
        <v>0</v>
      </c>
      <c r="U345" s="1124">
        <f t="shared" si="289"/>
        <v>36000</v>
      </c>
      <c r="V345" s="1124">
        <f t="shared" si="289"/>
        <v>31000</v>
      </c>
      <c r="W345" s="1124">
        <f t="shared" si="289"/>
        <v>25900</v>
      </c>
      <c r="X345" s="1124">
        <f t="shared" si="289"/>
        <v>24500</v>
      </c>
      <c r="Y345" s="1124">
        <f t="shared" si="289"/>
        <v>22900</v>
      </c>
      <c r="Z345" s="1124">
        <f t="shared" si="289"/>
        <v>21000</v>
      </c>
      <c r="AA345" s="1124">
        <f t="shared" si="289"/>
        <v>18800</v>
      </c>
      <c r="AB345" s="1124">
        <f t="shared" si="289"/>
        <v>16300</v>
      </c>
      <c r="AC345" s="1124">
        <f t="shared" si="289"/>
        <v>13400</v>
      </c>
      <c r="AD345" s="1124">
        <f t="shared" si="289"/>
        <v>10100</v>
      </c>
      <c r="AE345" s="1124">
        <f t="shared" si="289"/>
        <v>6300</v>
      </c>
      <c r="AF345" s="1124">
        <f t="shared" si="289"/>
        <v>2000</v>
      </c>
      <c r="AG345" s="1124">
        <f t="shared" si="289"/>
        <v>0</v>
      </c>
      <c r="AH345" s="1124">
        <f t="shared" si="289"/>
        <v>0</v>
      </c>
      <c r="AI345" s="1124">
        <f t="shared" si="289"/>
        <v>0</v>
      </c>
      <c r="AJ345" s="1124">
        <f t="shared" si="289"/>
        <v>0</v>
      </c>
      <c r="AK345" s="1124">
        <f t="shared" si="289"/>
        <v>0</v>
      </c>
      <c r="AL345" s="1124">
        <f t="shared" si="289"/>
        <v>0</v>
      </c>
      <c r="AM345" s="1124">
        <f t="shared" si="289"/>
        <v>0</v>
      </c>
      <c r="AN345" s="1124">
        <f t="shared" si="289"/>
        <v>0</v>
      </c>
      <c r="AO345" s="1124">
        <f t="shared" si="289"/>
        <v>0</v>
      </c>
      <c r="AP345" s="1124">
        <f t="shared" si="289"/>
        <v>0</v>
      </c>
      <c r="AQ345" s="1124">
        <f t="shared" si="289"/>
        <v>0</v>
      </c>
      <c r="AR345" s="1124">
        <f t="shared" si="289"/>
        <v>0</v>
      </c>
      <c r="AS345" s="1124">
        <f t="shared" si="289"/>
        <v>0</v>
      </c>
      <c r="AU345" s="29"/>
      <c r="AV345" s="81"/>
      <c r="AW345" s="191"/>
      <c r="AY345" s="31">
        <f>+Details!F344-Base!F344</f>
        <v>0</v>
      </c>
      <c r="AZ345" s="1124">
        <f>+Details!G344-Base!G344</f>
        <v>0</v>
      </c>
      <c r="BA345" s="1124">
        <f>+Details!H344-Base!H344</f>
        <v>0</v>
      </c>
      <c r="BB345" s="1124">
        <f>+Details!I344-Base!I344</f>
        <v>0</v>
      </c>
      <c r="BC345" s="1124">
        <f>+Details!J344-Base!J344</f>
        <v>0</v>
      </c>
      <c r="BD345" s="1124">
        <f>+Details!K344-Base!K344</f>
        <v>0</v>
      </c>
      <c r="BE345" s="1124">
        <f>+Details!L344-Base!L344</f>
        <v>0</v>
      </c>
      <c r="BF345" s="1124">
        <f>+Details!M344-Base!M344</f>
        <v>0</v>
      </c>
      <c r="BG345" s="1124">
        <f>+Details!N344-Base!N344</f>
        <v>0</v>
      </c>
      <c r="BH345" s="1124">
        <f>+Details!O344-Base!O344</f>
        <v>0</v>
      </c>
      <c r="BI345" s="1124">
        <f>+Details!P344-Base!P344</f>
        <v>0</v>
      </c>
      <c r="BJ345" s="1124">
        <f>+Details!Q344-Base!Q344</f>
        <v>0</v>
      </c>
      <c r="BK345" s="1124">
        <f>+Details!R344-Base!R344</f>
        <v>0</v>
      </c>
      <c r="BL345" s="1124">
        <f>+Details!S344-Base!S344</f>
        <v>0</v>
      </c>
      <c r="BM345" s="1124">
        <f>+Details!T344-Base!T344</f>
        <v>0</v>
      </c>
      <c r="BN345" s="1124">
        <f>+Details!U344-Base!U344</f>
        <v>0</v>
      </c>
      <c r="BO345" s="1124">
        <f>+Details!V344-Base!V344</f>
        <v>0</v>
      </c>
      <c r="BP345" s="1124">
        <f>+Details!W344-Base!W344</f>
        <v>0</v>
      </c>
      <c r="BQ345" s="1124">
        <f>+Details!X344-Base!X344</f>
        <v>0</v>
      </c>
      <c r="BR345" s="1124">
        <f>+Details!Y344-Base!Y344</f>
        <v>0</v>
      </c>
      <c r="BS345" s="1124">
        <f>+Details!Z344-Base!Z344</f>
        <v>0</v>
      </c>
      <c r="BT345" s="1124">
        <f>+Details!AA344-Base!AA344</f>
        <v>0</v>
      </c>
      <c r="BU345" s="1124">
        <f>+Details!AB344-Base!AB344</f>
        <v>0</v>
      </c>
      <c r="BV345" s="1124">
        <f>+Details!AC344-Base!AC344</f>
        <v>0</v>
      </c>
      <c r="BW345" s="1124">
        <f>+Details!AD344-Base!AD344</f>
        <v>0</v>
      </c>
      <c r="BX345" s="1124">
        <f>+Details!AE344-Base!AE344</f>
        <v>0</v>
      </c>
      <c r="BY345" s="1124">
        <f>+Details!AF344-Base!AF344</f>
        <v>0</v>
      </c>
      <c r="BZ345" s="1124">
        <f>+Details!AG344-Base!AG344</f>
        <v>0</v>
      </c>
      <c r="CA345" s="1124">
        <f>+Details!AH344-Base!AH344</f>
        <v>0</v>
      </c>
      <c r="CB345" s="1124">
        <f>+Details!AI344-Base!AI344</f>
        <v>0</v>
      </c>
      <c r="CC345" s="1124">
        <f>+Details!AJ344-Base!AJ344</f>
        <v>0</v>
      </c>
      <c r="CD345" s="1124">
        <f>+Details!AK344-Base!AK344</f>
        <v>0</v>
      </c>
      <c r="CE345" s="1124">
        <f>+Details!AL344-Base!AL344</f>
        <v>0</v>
      </c>
      <c r="CF345" s="1124">
        <f>+Details!AM344-Base!AM344</f>
        <v>0</v>
      </c>
      <c r="CG345" s="1124">
        <f>+Details!AN344-Base!AN344</f>
        <v>0</v>
      </c>
      <c r="CH345" s="1124">
        <f>+Details!AO344-Base!AO344</f>
        <v>0</v>
      </c>
      <c r="CI345" s="1124">
        <f>+Details!AP344-Base!AP344</f>
        <v>0</v>
      </c>
      <c r="CJ345" s="1124">
        <f>+Details!AQ344-Base!AQ344</f>
        <v>0</v>
      </c>
      <c r="CK345" s="1124">
        <f>+Details!AR344-Base!AR344</f>
        <v>0</v>
      </c>
      <c r="CL345" s="1124">
        <f>+Details!AS344-Base!AS344</f>
        <v>0</v>
      </c>
      <c r="CM345" s="81"/>
    </row>
    <row r="346" spans="1:91" ht="15.6" hidden="1">
      <c r="A346" s="1432" t="s">
        <v>639</v>
      </c>
      <c r="B346" s="28" t="s">
        <v>134</v>
      </c>
      <c r="C346" s="3"/>
      <c r="E346" s="363"/>
      <c r="F346" s="31">
        <f>+F336+F338+F342+F344</f>
        <v>0</v>
      </c>
      <c r="G346" s="1124">
        <f t="shared" ref="G346:AS346" si="290">+G336+G338+G342+G344</f>
        <v>0</v>
      </c>
      <c r="H346" s="1124">
        <f t="shared" si="290"/>
        <v>0</v>
      </c>
      <c r="I346" s="1124">
        <f t="shared" si="290"/>
        <v>0</v>
      </c>
      <c r="J346" s="1124">
        <f t="shared" si="290"/>
        <v>0</v>
      </c>
      <c r="K346" s="1124">
        <f t="shared" si="290"/>
        <v>0</v>
      </c>
      <c r="L346" s="1124">
        <f t="shared" si="290"/>
        <v>0</v>
      </c>
      <c r="M346" s="1124">
        <f t="shared" si="290"/>
        <v>0</v>
      </c>
      <c r="N346" s="1124">
        <f t="shared" si="290"/>
        <v>0</v>
      </c>
      <c r="O346" s="1124">
        <f t="shared" si="290"/>
        <v>0</v>
      </c>
      <c r="P346" s="1124">
        <f t="shared" si="290"/>
        <v>0</v>
      </c>
      <c r="Q346" s="1124">
        <f t="shared" si="290"/>
        <v>60000</v>
      </c>
      <c r="R346" s="1124">
        <f t="shared" si="290"/>
        <v>59300</v>
      </c>
      <c r="S346" s="1124">
        <f t="shared" si="290"/>
        <v>58400</v>
      </c>
      <c r="T346" s="1124">
        <f t="shared" si="290"/>
        <v>57100</v>
      </c>
      <c r="U346" s="1124">
        <f t="shared" si="290"/>
        <v>55500</v>
      </c>
      <c r="V346" s="1124">
        <f t="shared" si="290"/>
        <v>52500</v>
      </c>
      <c r="W346" s="1124">
        <f t="shared" si="290"/>
        <v>48900</v>
      </c>
      <c r="X346" s="1124">
        <f t="shared" si="290"/>
        <v>44500</v>
      </c>
      <c r="Y346" s="1124">
        <f t="shared" si="290"/>
        <v>41000</v>
      </c>
      <c r="Z346" s="1124">
        <f t="shared" si="290"/>
        <v>37000</v>
      </c>
      <c r="AA346" s="1124">
        <f t="shared" si="290"/>
        <v>32400</v>
      </c>
      <c r="AB346" s="1124">
        <f t="shared" si="290"/>
        <v>27100</v>
      </c>
      <c r="AC346" s="1124">
        <f t="shared" si="290"/>
        <v>21200</v>
      </c>
      <c r="AD346" s="1124">
        <f t="shared" si="290"/>
        <v>14500</v>
      </c>
      <c r="AE346" s="1124">
        <f t="shared" si="290"/>
        <v>7000</v>
      </c>
      <c r="AF346" s="1124">
        <f t="shared" si="290"/>
        <v>0</v>
      </c>
      <c r="AG346" s="1124">
        <f t="shared" si="290"/>
        <v>0</v>
      </c>
      <c r="AH346" s="1124">
        <f t="shared" si="290"/>
        <v>0</v>
      </c>
      <c r="AI346" s="1124">
        <f t="shared" si="290"/>
        <v>0</v>
      </c>
      <c r="AJ346" s="1124">
        <f t="shared" si="290"/>
        <v>0</v>
      </c>
      <c r="AK346" s="1124">
        <f t="shared" si="290"/>
        <v>0</v>
      </c>
      <c r="AL346" s="1124">
        <f t="shared" si="290"/>
        <v>0</v>
      </c>
      <c r="AM346" s="1124">
        <f t="shared" si="290"/>
        <v>0</v>
      </c>
      <c r="AN346" s="1124">
        <f t="shared" si="290"/>
        <v>0</v>
      </c>
      <c r="AO346" s="1124">
        <f t="shared" si="290"/>
        <v>0</v>
      </c>
      <c r="AP346" s="1124">
        <f t="shared" si="290"/>
        <v>0</v>
      </c>
      <c r="AQ346" s="1124">
        <f t="shared" si="290"/>
        <v>0</v>
      </c>
      <c r="AR346" s="1124">
        <f t="shared" si="290"/>
        <v>0</v>
      </c>
      <c r="AS346" s="1124">
        <f t="shared" si="290"/>
        <v>0</v>
      </c>
      <c r="AU346" s="29"/>
      <c r="AV346" s="81"/>
      <c r="AW346" s="191"/>
      <c r="AY346" s="31">
        <f>+Details!F345-Base!F345</f>
        <v>0</v>
      </c>
      <c r="AZ346" s="1124">
        <f>+Details!G345-Base!G345</f>
        <v>0</v>
      </c>
      <c r="BA346" s="1124">
        <f>+Details!H345-Base!H345</f>
        <v>0</v>
      </c>
      <c r="BB346" s="1124">
        <f>+Details!I345-Base!I345</f>
        <v>0</v>
      </c>
      <c r="BC346" s="1124">
        <f>+Details!J345-Base!J345</f>
        <v>0</v>
      </c>
      <c r="BD346" s="1124">
        <f>+Details!K345-Base!K345</f>
        <v>0</v>
      </c>
      <c r="BE346" s="1124">
        <f>+Details!L345-Base!L345</f>
        <v>0</v>
      </c>
      <c r="BF346" s="1124">
        <f>+Details!M345-Base!M345</f>
        <v>0</v>
      </c>
      <c r="BG346" s="1124">
        <f>+Details!N345-Base!N345</f>
        <v>0</v>
      </c>
      <c r="BH346" s="1124">
        <f>+Details!O345-Base!O345</f>
        <v>0</v>
      </c>
      <c r="BI346" s="1124">
        <f>+Details!P345-Base!P345</f>
        <v>0</v>
      </c>
      <c r="BJ346" s="1124">
        <f>+Details!Q345-Base!Q345</f>
        <v>0</v>
      </c>
      <c r="BK346" s="1124">
        <f>+Details!R345-Base!R345</f>
        <v>0</v>
      </c>
      <c r="BL346" s="1124">
        <f>+Details!S345-Base!S345</f>
        <v>0</v>
      </c>
      <c r="BM346" s="1124">
        <f>+Details!T345-Base!T345</f>
        <v>0</v>
      </c>
      <c r="BN346" s="1124">
        <f>+Details!U345-Base!U345</f>
        <v>0</v>
      </c>
      <c r="BO346" s="1124">
        <f>+Details!V345-Base!V345</f>
        <v>0</v>
      </c>
      <c r="BP346" s="1124">
        <f>+Details!W345-Base!W345</f>
        <v>0</v>
      </c>
      <c r="BQ346" s="1124">
        <f>+Details!X345-Base!X345</f>
        <v>0</v>
      </c>
      <c r="BR346" s="1124">
        <f>+Details!Y345-Base!Y345</f>
        <v>0</v>
      </c>
      <c r="BS346" s="1124">
        <f>+Details!Z345-Base!Z345</f>
        <v>0</v>
      </c>
      <c r="BT346" s="1124">
        <f>+Details!AA345-Base!AA345</f>
        <v>0</v>
      </c>
      <c r="BU346" s="1124">
        <f>+Details!AB345-Base!AB345</f>
        <v>0</v>
      </c>
      <c r="BV346" s="1124">
        <f>+Details!AC345-Base!AC345</f>
        <v>0</v>
      </c>
      <c r="BW346" s="1124">
        <f>+Details!AD345-Base!AD345</f>
        <v>0</v>
      </c>
      <c r="BX346" s="1124">
        <f>+Details!AE345-Base!AE345</f>
        <v>0</v>
      </c>
      <c r="BY346" s="1124">
        <f>+Details!AF345-Base!AF345</f>
        <v>0</v>
      </c>
      <c r="BZ346" s="1124">
        <f>+Details!AG345-Base!AG345</f>
        <v>0</v>
      </c>
      <c r="CA346" s="1124">
        <f>+Details!AH345-Base!AH345</f>
        <v>0</v>
      </c>
      <c r="CB346" s="1124">
        <f>+Details!AI345-Base!AI345</f>
        <v>0</v>
      </c>
      <c r="CC346" s="1124">
        <f>+Details!AJ345-Base!AJ345</f>
        <v>0</v>
      </c>
      <c r="CD346" s="1124">
        <f>+Details!AK345-Base!AK345</f>
        <v>0</v>
      </c>
      <c r="CE346" s="1124">
        <f>+Details!AL345-Base!AL345</f>
        <v>0</v>
      </c>
      <c r="CF346" s="1124">
        <f>+Details!AM345-Base!AM345</f>
        <v>0</v>
      </c>
      <c r="CG346" s="1124">
        <f>+Details!AN345-Base!AN345</f>
        <v>0</v>
      </c>
      <c r="CH346" s="1124">
        <f>+Details!AO345-Base!AO345</f>
        <v>0</v>
      </c>
      <c r="CI346" s="1124">
        <f>+Details!AP345-Base!AP345</f>
        <v>0</v>
      </c>
      <c r="CJ346" s="1124">
        <f>+Details!AQ345-Base!AQ345</f>
        <v>0</v>
      </c>
      <c r="CK346" s="1124">
        <f>+Details!AR345-Base!AR345</f>
        <v>0</v>
      </c>
      <c r="CL346" s="1124">
        <f>+Details!AS345-Base!AS345</f>
        <v>0</v>
      </c>
      <c r="CM346" s="81"/>
    </row>
    <row r="347" spans="1:91" hidden="1">
      <c r="A347" s="1432" t="s">
        <v>639</v>
      </c>
      <c r="B347" s="72" t="s">
        <v>135</v>
      </c>
      <c r="C347" s="3"/>
      <c r="E347" s="65">
        <f>SUM(F347:AS347)</f>
        <v>0</v>
      </c>
      <c r="F347" s="31">
        <f t="shared" ref="F347:AS347" si="291">+F116</f>
        <v>0</v>
      </c>
      <c r="G347" s="1124">
        <f t="shared" si="291"/>
        <v>0</v>
      </c>
      <c r="H347" s="1124">
        <f t="shared" si="291"/>
        <v>0</v>
      </c>
      <c r="I347" s="1124">
        <f t="shared" si="291"/>
        <v>0</v>
      </c>
      <c r="J347" s="1124">
        <f t="shared" si="291"/>
        <v>0</v>
      </c>
      <c r="K347" s="1124">
        <f t="shared" si="291"/>
        <v>0</v>
      </c>
      <c r="L347" s="1124">
        <f t="shared" si="291"/>
        <v>0</v>
      </c>
      <c r="M347" s="1124">
        <f t="shared" si="291"/>
        <v>0</v>
      </c>
      <c r="N347" s="1124">
        <f t="shared" si="291"/>
        <v>0</v>
      </c>
      <c r="O347" s="1124">
        <f t="shared" si="291"/>
        <v>0</v>
      </c>
      <c r="P347" s="1124">
        <f t="shared" si="291"/>
        <v>0</v>
      </c>
      <c r="Q347" s="1124">
        <f t="shared" si="291"/>
        <v>0</v>
      </c>
      <c r="R347" s="1124">
        <f t="shared" si="291"/>
        <v>0</v>
      </c>
      <c r="S347" s="1124">
        <f t="shared" si="291"/>
        <v>0</v>
      </c>
      <c r="T347" s="1124">
        <f t="shared" si="291"/>
        <v>0</v>
      </c>
      <c r="U347" s="1124">
        <f t="shared" si="291"/>
        <v>0</v>
      </c>
      <c r="V347" s="1124">
        <f t="shared" si="291"/>
        <v>0</v>
      </c>
      <c r="W347" s="1124">
        <f t="shared" si="291"/>
        <v>0</v>
      </c>
      <c r="X347" s="1124">
        <f t="shared" si="291"/>
        <v>0</v>
      </c>
      <c r="Y347" s="1124">
        <f t="shared" si="291"/>
        <v>0</v>
      </c>
      <c r="Z347" s="1124">
        <f t="shared" si="291"/>
        <v>0</v>
      </c>
      <c r="AA347" s="1124">
        <f t="shared" si="291"/>
        <v>0</v>
      </c>
      <c r="AB347" s="1124">
        <f t="shared" si="291"/>
        <v>0</v>
      </c>
      <c r="AC347" s="1124">
        <f t="shared" si="291"/>
        <v>0</v>
      </c>
      <c r="AD347" s="1124">
        <f t="shared" si="291"/>
        <v>0</v>
      </c>
      <c r="AE347" s="1124">
        <f t="shared" si="291"/>
        <v>0</v>
      </c>
      <c r="AF347" s="1124">
        <f t="shared" si="291"/>
        <v>0</v>
      </c>
      <c r="AG347" s="1124">
        <f t="shared" si="291"/>
        <v>0</v>
      </c>
      <c r="AH347" s="1124">
        <f t="shared" si="291"/>
        <v>0</v>
      </c>
      <c r="AI347" s="1124">
        <f t="shared" si="291"/>
        <v>0</v>
      </c>
      <c r="AJ347" s="1124">
        <f t="shared" si="291"/>
        <v>0</v>
      </c>
      <c r="AK347" s="1124">
        <f t="shared" si="291"/>
        <v>0</v>
      </c>
      <c r="AL347" s="1124">
        <f t="shared" si="291"/>
        <v>0</v>
      </c>
      <c r="AM347" s="1124">
        <f t="shared" si="291"/>
        <v>0</v>
      </c>
      <c r="AN347" s="1124">
        <f t="shared" si="291"/>
        <v>0</v>
      </c>
      <c r="AO347" s="1124">
        <f t="shared" si="291"/>
        <v>0</v>
      </c>
      <c r="AP347" s="1124">
        <f t="shared" si="291"/>
        <v>0</v>
      </c>
      <c r="AQ347" s="1124">
        <f t="shared" si="291"/>
        <v>0</v>
      </c>
      <c r="AR347" s="1124">
        <f t="shared" si="291"/>
        <v>0</v>
      </c>
      <c r="AS347" s="1124">
        <f t="shared" si="291"/>
        <v>0</v>
      </c>
      <c r="AU347" s="29">
        <f>+Details!E347</f>
        <v>0</v>
      </c>
      <c r="AV347" s="81">
        <f t="shared" si="285"/>
        <v>0</v>
      </c>
      <c r="AW347" s="191"/>
      <c r="AY347" s="31">
        <f>+Details!F346-Base!F346</f>
        <v>0</v>
      </c>
      <c r="AZ347" s="1124">
        <f>+Details!G346-Base!G346</f>
        <v>0</v>
      </c>
      <c r="BA347" s="1124">
        <f>+Details!H346-Base!H346</f>
        <v>0</v>
      </c>
      <c r="BB347" s="1124">
        <f>+Details!I346-Base!I346</f>
        <v>0</v>
      </c>
      <c r="BC347" s="1124">
        <f>+Details!J346-Base!J346</f>
        <v>0</v>
      </c>
      <c r="BD347" s="1124">
        <f>+Details!K346-Base!K346</f>
        <v>0</v>
      </c>
      <c r="BE347" s="1124">
        <f>+Details!L346-Base!L346</f>
        <v>0</v>
      </c>
      <c r="BF347" s="1124">
        <f>+Details!M346-Base!M346</f>
        <v>0</v>
      </c>
      <c r="BG347" s="1124">
        <f>+Details!N346-Base!N346</f>
        <v>0</v>
      </c>
      <c r="BH347" s="1124">
        <f>+Details!O346-Base!O346</f>
        <v>0</v>
      </c>
      <c r="BI347" s="1124">
        <f>+Details!P346-Base!P346</f>
        <v>0</v>
      </c>
      <c r="BJ347" s="1124">
        <f>+Details!Q346-Base!Q346</f>
        <v>0</v>
      </c>
      <c r="BK347" s="1124">
        <f>+Details!R346-Base!R346</f>
        <v>0</v>
      </c>
      <c r="BL347" s="1124">
        <f>+Details!S346-Base!S346</f>
        <v>0</v>
      </c>
      <c r="BM347" s="1124">
        <f>+Details!T346-Base!T346</f>
        <v>0</v>
      </c>
      <c r="BN347" s="1124">
        <f>+Details!U346-Base!U346</f>
        <v>0</v>
      </c>
      <c r="BO347" s="1124">
        <f>+Details!V346-Base!V346</f>
        <v>0</v>
      </c>
      <c r="BP347" s="1124">
        <f>+Details!W346-Base!W346</f>
        <v>0</v>
      </c>
      <c r="BQ347" s="1124">
        <f>+Details!X346-Base!X346</f>
        <v>0</v>
      </c>
      <c r="BR347" s="1124">
        <f>+Details!Y346-Base!Y346</f>
        <v>0</v>
      </c>
      <c r="BS347" s="1124">
        <f>+Details!Z346-Base!Z346</f>
        <v>0</v>
      </c>
      <c r="BT347" s="1124">
        <f>+Details!AA346-Base!AA346</f>
        <v>0</v>
      </c>
      <c r="BU347" s="1124">
        <f>+Details!AB346-Base!AB346</f>
        <v>0</v>
      </c>
      <c r="BV347" s="1124">
        <f>+Details!AC346-Base!AC346</f>
        <v>0</v>
      </c>
      <c r="BW347" s="1124">
        <f>+Details!AD346-Base!AD346</f>
        <v>0</v>
      </c>
      <c r="BX347" s="1124">
        <f>+Details!AE346-Base!AE346</f>
        <v>0</v>
      </c>
      <c r="BY347" s="1124">
        <f>+Details!AF346-Base!AF346</f>
        <v>0</v>
      </c>
      <c r="BZ347" s="1124">
        <f>+Details!AG346-Base!AG346</f>
        <v>0</v>
      </c>
      <c r="CA347" s="1124">
        <f>+Details!AH346-Base!AH346</f>
        <v>0</v>
      </c>
      <c r="CB347" s="1124">
        <f>+Details!AI346-Base!AI346</f>
        <v>0</v>
      </c>
      <c r="CC347" s="1124">
        <f>+Details!AJ346-Base!AJ346</f>
        <v>0</v>
      </c>
      <c r="CD347" s="1124">
        <f>+Details!AK346-Base!AK346</f>
        <v>0</v>
      </c>
      <c r="CE347" s="1124">
        <f>+Details!AL346-Base!AL346</f>
        <v>0</v>
      </c>
      <c r="CF347" s="1124">
        <f>+Details!AM346-Base!AM346</f>
        <v>0</v>
      </c>
      <c r="CG347" s="1124">
        <f>+Details!AN346-Base!AN346</f>
        <v>0</v>
      </c>
      <c r="CH347" s="1124">
        <f>+Details!AO346-Base!AO346</f>
        <v>0</v>
      </c>
      <c r="CI347" s="1124">
        <f>+Details!AP346-Base!AP346</f>
        <v>0</v>
      </c>
      <c r="CJ347" s="1124">
        <f>+Details!AQ346-Base!AQ346</f>
        <v>0</v>
      </c>
      <c r="CK347" s="1124">
        <f>+Details!AR346-Base!AR346</f>
        <v>0</v>
      </c>
      <c r="CL347" s="1124">
        <f>+Details!AS346-Base!AS346</f>
        <v>0</v>
      </c>
      <c r="CM347" s="81"/>
    </row>
    <row r="348" spans="1:91" hidden="1">
      <c r="A348" s="1432" t="s">
        <v>639</v>
      </c>
      <c r="B348" s="72" t="s">
        <v>136</v>
      </c>
      <c r="C348" s="3"/>
      <c r="E348" s="65">
        <f>SUM(F348:AS348)</f>
        <v>0</v>
      </c>
      <c r="F348" s="31">
        <f t="shared" ref="F348:AS348" si="292">+F117</f>
        <v>0</v>
      </c>
      <c r="G348" s="1124">
        <f t="shared" si="292"/>
        <v>0</v>
      </c>
      <c r="H348" s="1124">
        <f t="shared" si="292"/>
        <v>0</v>
      </c>
      <c r="I348" s="1124">
        <f t="shared" si="292"/>
        <v>0</v>
      </c>
      <c r="J348" s="1124">
        <f t="shared" si="292"/>
        <v>0</v>
      </c>
      <c r="K348" s="1124">
        <f t="shared" si="292"/>
        <v>0</v>
      </c>
      <c r="L348" s="1124">
        <f t="shared" si="292"/>
        <v>0</v>
      </c>
      <c r="M348" s="1124">
        <f t="shared" si="292"/>
        <v>0</v>
      </c>
      <c r="N348" s="1124">
        <f t="shared" si="292"/>
        <v>0</v>
      </c>
      <c r="O348" s="1124">
        <f t="shared" si="292"/>
        <v>0</v>
      </c>
      <c r="P348" s="1124">
        <f t="shared" si="292"/>
        <v>0</v>
      </c>
      <c r="Q348" s="1124">
        <f t="shared" si="292"/>
        <v>0</v>
      </c>
      <c r="R348" s="1124">
        <f t="shared" si="292"/>
        <v>0</v>
      </c>
      <c r="S348" s="1124">
        <f t="shared" si="292"/>
        <v>0</v>
      </c>
      <c r="T348" s="1124">
        <f t="shared" si="292"/>
        <v>0</v>
      </c>
      <c r="U348" s="1124">
        <f t="shared" si="292"/>
        <v>0</v>
      </c>
      <c r="V348" s="1124">
        <f t="shared" si="292"/>
        <v>0</v>
      </c>
      <c r="W348" s="1124">
        <f t="shared" si="292"/>
        <v>0</v>
      </c>
      <c r="X348" s="1124">
        <f t="shared" si="292"/>
        <v>0</v>
      </c>
      <c r="Y348" s="1124">
        <f t="shared" si="292"/>
        <v>0</v>
      </c>
      <c r="Z348" s="1124">
        <f t="shared" si="292"/>
        <v>0</v>
      </c>
      <c r="AA348" s="1124">
        <f t="shared" si="292"/>
        <v>0</v>
      </c>
      <c r="AB348" s="1124">
        <f t="shared" si="292"/>
        <v>0</v>
      </c>
      <c r="AC348" s="1124">
        <f t="shared" si="292"/>
        <v>0</v>
      </c>
      <c r="AD348" s="1124">
        <f t="shared" si="292"/>
        <v>0</v>
      </c>
      <c r="AE348" s="1124">
        <f t="shared" si="292"/>
        <v>0</v>
      </c>
      <c r="AF348" s="1124">
        <f t="shared" si="292"/>
        <v>0</v>
      </c>
      <c r="AG348" s="1124">
        <f t="shared" si="292"/>
        <v>0</v>
      </c>
      <c r="AH348" s="1124">
        <f t="shared" si="292"/>
        <v>0</v>
      </c>
      <c r="AI348" s="1124">
        <f t="shared" si="292"/>
        <v>0</v>
      </c>
      <c r="AJ348" s="1124">
        <f t="shared" si="292"/>
        <v>0</v>
      </c>
      <c r="AK348" s="1124">
        <f t="shared" si="292"/>
        <v>0</v>
      </c>
      <c r="AL348" s="1124">
        <f t="shared" si="292"/>
        <v>0</v>
      </c>
      <c r="AM348" s="1124">
        <f t="shared" si="292"/>
        <v>0</v>
      </c>
      <c r="AN348" s="1124">
        <f t="shared" si="292"/>
        <v>0</v>
      </c>
      <c r="AO348" s="1124">
        <f t="shared" si="292"/>
        <v>0</v>
      </c>
      <c r="AP348" s="1124">
        <f t="shared" si="292"/>
        <v>0</v>
      </c>
      <c r="AQ348" s="1124">
        <f t="shared" si="292"/>
        <v>0</v>
      </c>
      <c r="AR348" s="1124">
        <f t="shared" si="292"/>
        <v>0</v>
      </c>
      <c r="AS348" s="1124">
        <f t="shared" si="292"/>
        <v>0</v>
      </c>
      <c r="AU348" s="29">
        <f>+Details!E348</f>
        <v>0</v>
      </c>
      <c r="AV348" s="81">
        <f t="shared" si="285"/>
        <v>0</v>
      </c>
      <c r="AW348" s="191"/>
      <c r="AY348" s="31">
        <f>+Details!F347-Base!F347</f>
        <v>0</v>
      </c>
      <c r="AZ348" s="1124">
        <f>+Details!G347-Base!G347</f>
        <v>0</v>
      </c>
      <c r="BA348" s="1124">
        <f>+Details!H347-Base!H347</f>
        <v>0</v>
      </c>
      <c r="BB348" s="1124">
        <f>+Details!I347-Base!I347</f>
        <v>0</v>
      </c>
      <c r="BC348" s="1124">
        <f>+Details!J347-Base!J347</f>
        <v>0</v>
      </c>
      <c r="BD348" s="1124">
        <f>+Details!K347-Base!K347</f>
        <v>0</v>
      </c>
      <c r="BE348" s="1124">
        <f>+Details!L347-Base!L347</f>
        <v>0</v>
      </c>
      <c r="BF348" s="1124">
        <f>+Details!M347-Base!M347</f>
        <v>0</v>
      </c>
      <c r="BG348" s="1124">
        <f>+Details!N347-Base!N347</f>
        <v>0</v>
      </c>
      <c r="BH348" s="1124">
        <f>+Details!O347-Base!O347</f>
        <v>0</v>
      </c>
      <c r="BI348" s="1124">
        <f>+Details!P347-Base!P347</f>
        <v>0</v>
      </c>
      <c r="BJ348" s="1124">
        <f>+Details!Q347-Base!Q347</f>
        <v>0</v>
      </c>
      <c r="BK348" s="1124">
        <f>+Details!R347-Base!R347</f>
        <v>0</v>
      </c>
      <c r="BL348" s="1124">
        <f>+Details!S347-Base!S347</f>
        <v>0</v>
      </c>
      <c r="BM348" s="1124">
        <f>+Details!T347-Base!T347</f>
        <v>0</v>
      </c>
      <c r="BN348" s="1124">
        <f>+Details!U347-Base!U347</f>
        <v>0</v>
      </c>
      <c r="BO348" s="1124">
        <f>+Details!V347-Base!V347</f>
        <v>0</v>
      </c>
      <c r="BP348" s="1124">
        <f>+Details!W347-Base!W347</f>
        <v>0</v>
      </c>
      <c r="BQ348" s="1124">
        <f>+Details!X347-Base!X347</f>
        <v>0</v>
      </c>
      <c r="BR348" s="1124">
        <f>+Details!Y347-Base!Y347</f>
        <v>0</v>
      </c>
      <c r="BS348" s="1124">
        <f>+Details!Z347-Base!Z347</f>
        <v>0</v>
      </c>
      <c r="BT348" s="1124">
        <f>+Details!AA347-Base!AA347</f>
        <v>0</v>
      </c>
      <c r="BU348" s="1124">
        <f>+Details!AB347-Base!AB347</f>
        <v>0</v>
      </c>
      <c r="BV348" s="1124">
        <f>+Details!AC347-Base!AC347</f>
        <v>0</v>
      </c>
      <c r="BW348" s="1124">
        <f>+Details!AD347-Base!AD347</f>
        <v>0</v>
      </c>
      <c r="BX348" s="1124">
        <f>+Details!AE347-Base!AE347</f>
        <v>0</v>
      </c>
      <c r="BY348" s="1124">
        <f>+Details!AF347-Base!AF347</f>
        <v>0</v>
      </c>
      <c r="BZ348" s="1124">
        <f>+Details!AG347-Base!AG347</f>
        <v>0</v>
      </c>
      <c r="CA348" s="1124">
        <f>+Details!AH347-Base!AH347</f>
        <v>0</v>
      </c>
      <c r="CB348" s="1124">
        <f>+Details!AI347-Base!AI347</f>
        <v>0</v>
      </c>
      <c r="CC348" s="1124">
        <f>+Details!AJ347-Base!AJ347</f>
        <v>0</v>
      </c>
      <c r="CD348" s="1124">
        <f>+Details!AK347-Base!AK347</f>
        <v>0</v>
      </c>
      <c r="CE348" s="1124">
        <f>+Details!AL347-Base!AL347</f>
        <v>0</v>
      </c>
      <c r="CF348" s="1124">
        <f>+Details!AM347-Base!AM347</f>
        <v>0</v>
      </c>
      <c r="CG348" s="1124">
        <f>+Details!AN347-Base!AN347</f>
        <v>0</v>
      </c>
      <c r="CH348" s="1124">
        <f>+Details!AO347-Base!AO347</f>
        <v>0</v>
      </c>
      <c r="CI348" s="1124">
        <f>+Details!AP347-Base!AP347</f>
        <v>0</v>
      </c>
      <c r="CJ348" s="1124">
        <f>+Details!AQ347-Base!AQ347</f>
        <v>0</v>
      </c>
      <c r="CK348" s="1124">
        <f>+Details!AR347-Base!AR347</f>
        <v>0</v>
      </c>
      <c r="CL348" s="1124">
        <f>+Details!AS347-Base!AS347</f>
        <v>0</v>
      </c>
      <c r="CM348" s="81"/>
    </row>
    <row r="349" spans="1:91" hidden="1">
      <c r="A349" s="1432" t="s">
        <v>639</v>
      </c>
      <c r="B349" s="72" t="s">
        <v>171</v>
      </c>
      <c r="C349" s="3"/>
      <c r="E349" s="433">
        <f ca="1">INDIRECT(ADDRESS(ROW(),Total_Years+5))</f>
        <v>0</v>
      </c>
      <c r="F349" s="31">
        <f>+F345+F347</f>
        <v>0</v>
      </c>
      <c r="G349" s="1124">
        <f t="shared" ref="G349:AS349" si="293">+G345+G347</f>
        <v>0</v>
      </c>
      <c r="H349" s="1124">
        <f t="shared" si="293"/>
        <v>0</v>
      </c>
      <c r="I349" s="1124">
        <f t="shared" si="293"/>
        <v>0</v>
      </c>
      <c r="J349" s="1124">
        <f t="shared" si="293"/>
        <v>0</v>
      </c>
      <c r="K349" s="1124">
        <f t="shared" si="293"/>
        <v>0</v>
      </c>
      <c r="L349" s="1124">
        <f t="shared" si="293"/>
        <v>0</v>
      </c>
      <c r="M349" s="1124">
        <f t="shared" si="293"/>
        <v>0</v>
      </c>
      <c r="N349" s="1124">
        <f t="shared" si="293"/>
        <v>0</v>
      </c>
      <c r="O349" s="1124">
        <f t="shared" si="293"/>
        <v>0</v>
      </c>
      <c r="P349" s="1124">
        <f t="shared" si="293"/>
        <v>0</v>
      </c>
      <c r="Q349" s="1124">
        <f t="shared" si="293"/>
        <v>0</v>
      </c>
      <c r="R349" s="1124">
        <f t="shared" si="293"/>
        <v>0</v>
      </c>
      <c r="S349" s="1124">
        <f t="shared" si="293"/>
        <v>0</v>
      </c>
      <c r="T349" s="1124">
        <f t="shared" si="293"/>
        <v>0</v>
      </c>
      <c r="U349" s="1124">
        <f t="shared" si="293"/>
        <v>36000</v>
      </c>
      <c r="V349" s="1124">
        <f t="shared" si="293"/>
        <v>31000</v>
      </c>
      <c r="W349" s="1124">
        <f t="shared" si="293"/>
        <v>25900</v>
      </c>
      <c r="X349" s="1124">
        <f t="shared" si="293"/>
        <v>24500</v>
      </c>
      <c r="Y349" s="1124">
        <f t="shared" si="293"/>
        <v>22900</v>
      </c>
      <c r="Z349" s="1124">
        <f t="shared" si="293"/>
        <v>21000</v>
      </c>
      <c r="AA349" s="1124">
        <f t="shared" si="293"/>
        <v>18800</v>
      </c>
      <c r="AB349" s="1124">
        <f t="shared" si="293"/>
        <v>16300</v>
      </c>
      <c r="AC349" s="1124">
        <f t="shared" si="293"/>
        <v>13400</v>
      </c>
      <c r="AD349" s="1124">
        <f t="shared" si="293"/>
        <v>10100</v>
      </c>
      <c r="AE349" s="1124">
        <f t="shared" si="293"/>
        <v>6300</v>
      </c>
      <c r="AF349" s="1124">
        <f t="shared" si="293"/>
        <v>2000</v>
      </c>
      <c r="AG349" s="1124">
        <f t="shared" si="293"/>
        <v>0</v>
      </c>
      <c r="AH349" s="1124">
        <f t="shared" si="293"/>
        <v>0</v>
      </c>
      <c r="AI349" s="1124">
        <f t="shared" si="293"/>
        <v>0</v>
      </c>
      <c r="AJ349" s="1124">
        <f t="shared" si="293"/>
        <v>0</v>
      </c>
      <c r="AK349" s="1124">
        <f t="shared" si="293"/>
        <v>0</v>
      </c>
      <c r="AL349" s="1124">
        <f t="shared" si="293"/>
        <v>0</v>
      </c>
      <c r="AM349" s="1124">
        <f t="shared" si="293"/>
        <v>0</v>
      </c>
      <c r="AN349" s="1124">
        <f t="shared" si="293"/>
        <v>0</v>
      </c>
      <c r="AO349" s="1124">
        <f t="shared" si="293"/>
        <v>0</v>
      </c>
      <c r="AP349" s="1124">
        <f t="shared" si="293"/>
        <v>0</v>
      </c>
      <c r="AQ349" s="1124">
        <f t="shared" si="293"/>
        <v>0</v>
      </c>
      <c r="AR349" s="1124">
        <f t="shared" si="293"/>
        <v>0</v>
      </c>
      <c r="AS349" s="1124">
        <f t="shared" si="293"/>
        <v>0</v>
      </c>
      <c r="AU349" s="29">
        <f ca="1">+Details!E349</f>
        <v>0</v>
      </c>
      <c r="AV349" s="81">
        <f ca="1">+E349-AU349</f>
        <v>0</v>
      </c>
      <c r="AW349" s="1731"/>
      <c r="AY349" s="31">
        <f>+Details!F348-Base!F348</f>
        <v>0</v>
      </c>
      <c r="AZ349" s="1124">
        <f>+Details!G348-Base!G348</f>
        <v>0</v>
      </c>
      <c r="BA349" s="1124">
        <f>+Details!H348-Base!H348</f>
        <v>0</v>
      </c>
      <c r="BB349" s="1124">
        <f>+Details!I348-Base!I348</f>
        <v>0</v>
      </c>
      <c r="BC349" s="1124">
        <f>+Details!J348-Base!J348</f>
        <v>0</v>
      </c>
      <c r="BD349" s="1124">
        <f>+Details!K348-Base!K348</f>
        <v>0</v>
      </c>
      <c r="BE349" s="1124">
        <f>+Details!L348-Base!L348</f>
        <v>0</v>
      </c>
      <c r="BF349" s="1124">
        <f>+Details!M348-Base!M348</f>
        <v>0</v>
      </c>
      <c r="BG349" s="1124">
        <f>+Details!N348-Base!N348</f>
        <v>0</v>
      </c>
      <c r="BH349" s="1124">
        <f>+Details!O348-Base!O348</f>
        <v>0</v>
      </c>
      <c r="BI349" s="1124">
        <f>+Details!P348-Base!P348</f>
        <v>0</v>
      </c>
      <c r="BJ349" s="1124">
        <f>+Details!Q348-Base!Q348</f>
        <v>0</v>
      </c>
      <c r="BK349" s="1124">
        <f>+Details!R348-Base!R348</f>
        <v>0</v>
      </c>
      <c r="BL349" s="1124">
        <f>+Details!S348-Base!S348</f>
        <v>0</v>
      </c>
      <c r="BM349" s="1124">
        <f>+Details!T348-Base!T348</f>
        <v>0</v>
      </c>
      <c r="BN349" s="1124">
        <f>+Details!U348-Base!U348</f>
        <v>0</v>
      </c>
      <c r="BO349" s="1124">
        <f>+Details!V348-Base!V348</f>
        <v>0</v>
      </c>
      <c r="BP349" s="1124">
        <f>+Details!W348-Base!W348</f>
        <v>0</v>
      </c>
      <c r="BQ349" s="1124">
        <f>+Details!X348-Base!X348</f>
        <v>0</v>
      </c>
      <c r="BR349" s="1124">
        <f>+Details!Y348-Base!Y348</f>
        <v>0</v>
      </c>
      <c r="BS349" s="1124">
        <f>+Details!Z348-Base!Z348</f>
        <v>0</v>
      </c>
      <c r="BT349" s="1124">
        <f>+Details!AA348-Base!AA348</f>
        <v>0</v>
      </c>
      <c r="BU349" s="1124">
        <f>+Details!AB348-Base!AB348</f>
        <v>0</v>
      </c>
      <c r="BV349" s="1124">
        <f>+Details!AC348-Base!AC348</f>
        <v>0</v>
      </c>
      <c r="BW349" s="1124">
        <f>+Details!AD348-Base!AD348</f>
        <v>0</v>
      </c>
      <c r="BX349" s="1124">
        <f>+Details!AE348-Base!AE348</f>
        <v>0</v>
      </c>
      <c r="BY349" s="1124">
        <f>+Details!AF348-Base!AF348</f>
        <v>0</v>
      </c>
      <c r="BZ349" s="1124">
        <f>+Details!AG348-Base!AG348</f>
        <v>0</v>
      </c>
      <c r="CA349" s="1124">
        <f>+Details!AH348-Base!AH348</f>
        <v>0</v>
      </c>
      <c r="CB349" s="1124">
        <f>+Details!AI348-Base!AI348</f>
        <v>0</v>
      </c>
      <c r="CC349" s="1124">
        <f>+Details!AJ348-Base!AJ348</f>
        <v>0</v>
      </c>
      <c r="CD349" s="1124">
        <f>+Details!AK348-Base!AK348</f>
        <v>0</v>
      </c>
      <c r="CE349" s="1124">
        <f>+Details!AL348-Base!AL348</f>
        <v>0</v>
      </c>
      <c r="CF349" s="1124">
        <f>+Details!AM348-Base!AM348</f>
        <v>0</v>
      </c>
      <c r="CG349" s="1124">
        <f>+Details!AN348-Base!AN348</f>
        <v>0</v>
      </c>
      <c r="CH349" s="1124">
        <f>+Details!AO348-Base!AO348</f>
        <v>0</v>
      </c>
      <c r="CI349" s="1124">
        <f>+Details!AP348-Base!AP348</f>
        <v>0</v>
      </c>
      <c r="CJ349" s="1124">
        <f>+Details!AQ348-Base!AQ348</f>
        <v>0</v>
      </c>
      <c r="CK349" s="1124">
        <f>+Details!AR348-Base!AR348</f>
        <v>0</v>
      </c>
      <c r="CL349" s="1124">
        <f>+Details!AS348-Base!AS348</f>
        <v>0</v>
      </c>
      <c r="CM349" s="81"/>
    </row>
    <row r="350" spans="1:91" hidden="1">
      <c r="A350" s="1432" t="s">
        <v>639</v>
      </c>
      <c r="B350" s="72" t="s">
        <v>173</v>
      </c>
      <c r="C350" s="3"/>
      <c r="E350" s="433">
        <f ca="1">INDIRECT(ADDRESS(ROW(),Total_Years+5))</f>
        <v>0</v>
      </c>
      <c r="F350" s="31">
        <f>+F346+F348</f>
        <v>0</v>
      </c>
      <c r="G350" s="1124">
        <f t="shared" ref="G350:AS350" si="294">+G346+G348</f>
        <v>0</v>
      </c>
      <c r="H350" s="1124">
        <f t="shared" si="294"/>
        <v>0</v>
      </c>
      <c r="I350" s="1124">
        <f t="shared" si="294"/>
        <v>0</v>
      </c>
      <c r="J350" s="1124">
        <f t="shared" si="294"/>
        <v>0</v>
      </c>
      <c r="K350" s="1124">
        <f t="shared" si="294"/>
        <v>0</v>
      </c>
      <c r="L350" s="1124">
        <f t="shared" si="294"/>
        <v>0</v>
      </c>
      <c r="M350" s="1124">
        <f t="shared" si="294"/>
        <v>0</v>
      </c>
      <c r="N350" s="1124">
        <f t="shared" si="294"/>
        <v>0</v>
      </c>
      <c r="O350" s="1124">
        <f t="shared" si="294"/>
        <v>0</v>
      </c>
      <c r="P350" s="1124">
        <f t="shared" si="294"/>
        <v>0</v>
      </c>
      <c r="Q350" s="1124">
        <f t="shared" si="294"/>
        <v>60000</v>
      </c>
      <c r="R350" s="1124">
        <f t="shared" si="294"/>
        <v>59300</v>
      </c>
      <c r="S350" s="1124">
        <f t="shared" si="294"/>
        <v>58400</v>
      </c>
      <c r="T350" s="1124">
        <f t="shared" si="294"/>
        <v>57100</v>
      </c>
      <c r="U350" s="1124">
        <f t="shared" si="294"/>
        <v>55500</v>
      </c>
      <c r="V350" s="1124">
        <f t="shared" si="294"/>
        <v>52500</v>
      </c>
      <c r="W350" s="1124">
        <f t="shared" si="294"/>
        <v>48900</v>
      </c>
      <c r="X350" s="1124">
        <f t="shared" si="294"/>
        <v>44500</v>
      </c>
      <c r="Y350" s="1124">
        <f t="shared" si="294"/>
        <v>41000</v>
      </c>
      <c r="Z350" s="1124">
        <f t="shared" si="294"/>
        <v>37000</v>
      </c>
      <c r="AA350" s="1124">
        <f t="shared" si="294"/>
        <v>32400</v>
      </c>
      <c r="AB350" s="1124">
        <f t="shared" si="294"/>
        <v>27100</v>
      </c>
      <c r="AC350" s="1124">
        <f t="shared" si="294"/>
        <v>21200</v>
      </c>
      <c r="AD350" s="1124">
        <f t="shared" si="294"/>
        <v>14500</v>
      </c>
      <c r="AE350" s="1124">
        <f t="shared" si="294"/>
        <v>7000</v>
      </c>
      <c r="AF350" s="1124">
        <f t="shared" si="294"/>
        <v>0</v>
      </c>
      <c r="AG350" s="1124">
        <f t="shared" si="294"/>
        <v>0</v>
      </c>
      <c r="AH350" s="1124">
        <f t="shared" si="294"/>
        <v>0</v>
      </c>
      <c r="AI350" s="1124">
        <f t="shared" si="294"/>
        <v>0</v>
      </c>
      <c r="AJ350" s="1124">
        <f t="shared" si="294"/>
        <v>0</v>
      </c>
      <c r="AK350" s="1124">
        <f t="shared" si="294"/>
        <v>0</v>
      </c>
      <c r="AL350" s="1124">
        <f t="shared" si="294"/>
        <v>0</v>
      </c>
      <c r="AM350" s="1124">
        <f t="shared" si="294"/>
        <v>0</v>
      </c>
      <c r="AN350" s="1124">
        <f t="shared" si="294"/>
        <v>0</v>
      </c>
      <c r="AO350" s="1124">
        <f t="shared" si="294"/>
        <v>0</v>
      </c>
      <c r="AP350" s="1124">
        <f t="shared" si="294"/>
        <v>0</v>
      </c>
      <c r="AQ350" s="1124">
        <f t="shared" si="294"/>
        <v>0</v>
      </c>
      <c r="AR350" s="1124">
        <f t="shared" si="294"/>
        <v>0</v>
      </c>
      <c r="AS350" s="1124">
        <f t="shared" si="294"/>
        <v>0</v>
      </c>
      <c r="AU350" s="29">
        <f ca="1">+Details!E350</f>
        <v>0</v>
      </c>
      <c r="AV350" s="81">
        <f ca="1">+E350-AU350</f>
        <v>0</v>
      </c>
      <c r="AW350" s="1731"/>
      <c r="AY350" s="31">
        <f>+Details!F349-Base!F349</f>
        <v>0</v>
      </c>
      <c r="AZ350" s="1124">
        <f>+Details!G349-Base!G349</f>
        <v>0</v>
      </c>
      <c r="BA350" s="1124">
        <f>+Details!H349-Base!H349</f>
        <v>0</v>
      </c>
      <c r="BB350" s="1124">
        <f>+Details!I349-Base!I349</f>
        <v>0</v>
      </c>
      <c r="BC350" s="1124">
        <f>+Details!J349-Base!J349</f>
        <v>0</v>
      </c>
      <c r="BD350" s="1124">
        <f>+Details!K349-Base!K349</f>
        <v>0</v>
      </c>
      <c r="BE350" s="1124">
        <f>+Details!L349-Base!L349</f>
        <v>0</v>
      </c>
      <c r="BF350" s="1124">
        <f>+Details!M349-Base!M349</f>
        <v>0</v>
      </c>
      <c r="BG350" s="1124">
        <f>+Details!N349-Base!N349</f>
        <v>0</v>
      </c>
      <c r="BH350" s="1124">
        <f>+Details!O349-Base!O349</f>
        <v>0</v>
      </c>
      <c r="BI350" s="1124">
        <f>+Details!P349-Base!P349</f>
        <v>0</v>
      </c>
      <c r="BJ350" s="1124">
        <f>+Details!Q349-Base!Q349</f>
        <v>0</v>
      </c>
      <c r="BK350" s="1124">
        <f>+Details!R349-Base!R349</f>
        <v>0</v>
      </c>
      <c r="BL350" s="1124">
        <f>+Details!S349-Base!S349</f>
        <v>0</v>
      </c>
      <c r="BM350" s="1124">
        <f>+Details!T349-Base!T349</f>
        <v>0</v>
      </c>
      <c r="BN350" s="1124">
        <f>+Details!U349-Base!U349</f>
        <v>0</v>
      </c>
      <c r="BO350" s="1124">
        <f>+Details!V349-Base!V349</f>
        <v>0</v>
      </c>
      <c r="BP350" s="1124">
        <f>+Details!W349-Base!W349</f>
        <v>0</v>
      </c>
      <c r="BQ350" s="1124">
        <f>+Details!X349-Base!X349</f>
        <v>0</v>
      </c>
      <c r="BR350" s="1124">
        <f>+Details!Y349-Base!Y349</f>
        <v>0</v>
      </c>
      <c r="BS350" s="1124">
        <f>+Details!Z349-Base!Z349</f>
        <v>0</v>
      </c>
      <c r="BT350" s="1124">
        <f>+Details!AA349-Base!AA349</f>
        <v>0</v>
      </c>
      <c r="BU350" s="1124">
        <f>+Details!AB349-Base!AB349</f>
        <v>0</v>
      </c>
      <c r="BV350" s="1124">
        <f>+Details!AC349-Base!AC349</f>
        <v>0</v>
      </c>
      <c r="BW350" s="1124">
        <f>+Details!AD349-Base!AD349</f>
        <v>0</v>
      </c>
      <c r="BX350" s="1124">
        <f>+Details!AE349-Base!AE349</f>
        <v>0</v>
      </c>
      <c r="BY350" s="1124">
        <f>+Details!AF349-Base!AF349</f>
        <v>0</v>
      </c>
      <c r="BZ350" s="1124">
        <f>+Details!AG349-Base!AG349</f>
        <v>0</v>
      </c>
      <c r="CA350" s="1124">
        <f>+Details!AH349-Base!AH349</f>
        <v>0</v>
      </c>
      <c r="CB350" s="1124">
        <f>+Details!AI349-Base!AI349</f>
        <v>0</v>
      </c>
      <c r="CC350" s="1124">
        <f>+Details!AJ349-Base!AJ349</f>
        <v>0</v>
      </c>
      <c r="CD350" s="1124">
        <f>+Details!AK349-Base!AK349</f>
        <v>0</v>
      </c>
      <c r="CE350" s="1124">
        <f>+Details!AL349-Base!AL349</f>
        <v>0</v>
      </c>
      <c r="CF350" s="1124">
        <f>+Details!AM349-Base!AM349</f>
        <v>0</v>
      </c>
      <c r="CG350" s="1124">
        <f>+Details!AN349-Base!AN349</f>
        <v>0</v>
      </c>
      <c r="CH350" s="1124">
        <f>+Details!AO349-Base!AO349</f>
        <v>0</v>
      </c>
      <c r="CI350" s="1124">
        <f>+Details!AP349-Base!AP349</f>
        <v>0</v>
      </c>
      <c r="CJ350" s="1124">
        <f>+Details!AQ349-Base!AQ349</f>
        <v>0</v>
      </c>
      <c r="CK350" s="1124">
        <f>+Details!AR349-Base!AR349</f>
        <v>0</v>
      </c>
      <c r="CL350" s="1124">
        <f>+Details!AS349-Base!AS349</f>
        <v>0</v>
      </c>
      <c r="CM350" s="81"/>
    </row>
    <row r="351" spans="1:91" hidden="1">
      <c r="A351" s="1432" t="s">
        <v>639</v>
      </c>
      <c r="B351" s="72"/>
      <c r="C351" s="3"/>
      <c r="E351" s="363"/>
      <c r="F351" s="31"/>
      <c r="G351" s="31"/>
      <c r="H351" s="31"/>
      <c r="I351" s="31"/>
      <c r="J351" s="31"/>
      <c r="K351" s="31"/>
      <c r="L351" s="31"/>
      <c r="M351" s="31"/>
      <c r="N351" s="31"/>
      <c r="O351" s="31"/>
      <c r="P351" s="31"/>
      <c r="Q351" s="31"/>
      <c r="R351" s="31"/>
      <c r="S351" s="31"/>
      <c r="T351" s="31"/>
      <c r="U351" s="31"/>
      <c r="V351" s="31"/>
      <c r="W351" s="31"/>
      <c r="X351" s="31"/>
      <c r="Y351" s="31"/>
      <c r="Z351" s="31"/>
      <c r="AA351" s="31"/>
      <c r="AB351" s="31"/>
      <c r="AC351" s="31"/>
      <c r="AD351" s="31"/>
      <c r="AE351" s="31"/>
      <c r="AF351" s="31"/>
      <c r="AG351" s="31"/>
      <c r="AH351" s="31"/>
      <c r="AI351" s="31"/>
      <c r="AJ351" s="31"/>
      <c r="AK351" s="31"/>
      <c r="AL351" s="31"/>
      <c r="AM351" s="31"/>
      <c r="AN351" s="31"/>
      <c r="AO351" s="31"/>
      <c r="AP351" s="31"/>
      <c r="AQ351" s="31"/>
      <c r="AR351" s="31"/>
      <c r="AS351" s="31"/>
      <c r="AU351" s="97"/>
      <c r="AV351" s="81"/>
      <c r="AW351" s="1489"/>
      <c r="AY351" s="31"/>
      <c r="AZ351" s="31"/>
      <c r="BA351" s="31"/>
      <c r="BB351" s="31"/>
      <c r="BC351" s="31"/>
      <c r="BD351" s="31"/>
      <c r="BE351" s="31"/>
      <c r="BF351" s="31"/>
      <c r="BG351" s="31"/>
      <c r="BH351" s="31"/>
      <c r="BI351" s="31"/>
      <c r="BJ351" s="31"/>
      <c r="BK351" s="31"/>
      <c r="BL351" s="31"/>
      <c r="BM351" s="31"/>
      <c r="BN351" s="31"/>
      <c r="BO351" s="31"/>
      <c r="BP351" s="31"/>
      <c r="BQ351" s="31"/>
      <c r="BR351" s="31"/>
      <c r="BS351" s="31"/>
      <c r="BT351" s="31"/>
      <c r="BU351" s="31"/>
      <c r="BV351" s="31"/>
      <c r="BW351" s="31"/>
      <c r="BX351" s="31"/>
      <c r="BY351" s="31"/>
      <c r="BZ351" s="31"/>
      <c r="CA351" s="31"/>
      <c r="CB351" s="31"/>
      <c r="CC351" s="31"/>
      <c r="CD351" s="31"/>
      <c r="CE351" s="31"/>
      <c r="CF351" s="31"/>
      <c r="CG351" s="31"/>
      <c r="CH351" s="31"/>
      <c r="CI351" s="31"/>
      <c r="CJ351" s="31"/>
      <c r="CK351" s="31"/>
      <c r="CL351" s="31"/>
      <c r="CM351" s="81"/>
    </row>
    <row r="352" spans="1:91" ht="15.6" hidden="1">
      <c r="A352" s="1432" t="s">
        <v>639</v>
      </c>
      <c r="B352" s="25" t="s">
        <v>917</v>
      </c>
      <c r="C352" s="3"/>
      <c r="D352" s="3"/>
      <c r="E352" s="363"/>
      <c r="F352" s="31"/>
      <c r="G352" s="31"/>
      <c r="H352" s="31"/>
      <c r="I352" s="31"/>
      <c r="J352" s="31"/>
      <c r="K352" s="31"/>
      <c r="L352" s="31"/>
      <c r="M352" s="31"/>
      <c r="N352" s="31"/>
      <c r="O352" s="31"/>
      <c r="P352" s="31"/>
      <c r="Q352" s="31"/>
      <c r="R352" s="31"/>
      <c r="S352" s="31"/>
      <c r="T352" s="31"/>
      <c r="U352" s="31"/>
      <c r="V352" s="31"/>
      <c r="W352" s="31"/>
      <c r="X352" s="31"/>
      <c r="Y352" s="31"/>
      <c r="Z352" s="31"/>
      <c r="AA352" s="31"/>
      <c r="AB352" s="31"/>
      <c r="AC352" s="31"/>
      <c r="AD352" s="31"/>
      <c r="AE352" s="31"/>
      <c r="AF352" s="31"/>
      <c r="AG352" s="31"/>
      <c r="AH352" s="31"/>
      <c r="AI352" s="31"/>
      <c r="AJ352" s="31"/>
      <c r="AK352" s="31"/>
      <c r="AL352" s="31"/>
      <c r="AM352" s="31"/>
      <c r="AN352" s="31"/>
      <c r="AO352" s="31"/>
      <c r="AP352" s="31"/>
      <c r="AQ352" s="31"/>
      <c r="AR352" s="31"/>
      <c r="AS352" s="31"/>
      <c r="AU352" s="97"/>
      <c r="AV352" s="81"/>
      <c r="AW352" s="1489"/>
      <c r="AY352" s="31"/>
      <c r="AZ352" s="31"/>
      <c r="BA352" s="31"/>
      <c r="BB352" s="31"/>
      <c r="BC352" s="31"/>
      <c r="BD352" s="31"/>
      <c r="BE352" s="31"/>
      <c r="BF352" s="31"/>
      <c r="BG352" s="31"/>
      <c r="BH352" s="31"/>
      <c r="BI352" s="31"/>
      <c r="BJ352" s="31"/>
      <c r="BK352" s="31"/>
      <c r="BL352" s="31"/>
      <c r="BM352" s="31"/>
      <c r="BN352" s="31"/>
      <c r="BO352" s="31"/>
      <c r="BP352" s="31"/>
      <c r="BQ352" s="31"/>
      <c r="BR352" s="31"/>
      <c r="BS352" s="31"/>
      <c r="BT352" s="31"/>
      <c r="BU352" s="31"/>
      <c r="BV352" s="31"/>
      <c r="BW352" s="31"/>
      <c r="BX352" s="31"/>
      <c r="BY352" s="31"/>
      <c r="BZ352" s="31"/>
      <c r="CA352" s="31"/>
      <c r="CB352" s="31"/>
      <c r="CC352" s="31"/>
      <c r="CD352" s="31"/>
      <c r="CE352" s="31"/>
      <c r="CF352" s="31"/>
      <c r="CG352" s="31"/>
      <c r="CH352" s="31"/>
      <c r="CI352" s="31"/>
      <c r="CJ352" s="31"/>
      <c r="CK352" s="31"/>
      <c r="CL352" s="31"/>
      <c r="CM352" s="81"/>
    </row>
    <row r="353" spans="1:91" s="3" customFormat="1" hidden="1">
      <c r="A353" s="1432" t="s">
        <v>639</v>
      </c>
      <c r="B353" s="634" t="s">
        <v>155</v>
      </c>
      <c r="E353" s="363"/>
      <c r="F353" s="1293">
        <f>+F15</f>
        <v>75000</v>
      </c>
      <c r="G353" s="1124">
        <f t="shared" ref="G353:AS353" si="295">+F364*IF(G$7-$F$7&lt;=Total_Years-1,1,0)</f>
        <v>79700</v>
      </c>
      <c r="H353" s="1124">
        <f t="shared" si="295"/>
        <v>84700</v>
      </c>
      <c r="I353" s="1124">
        <f t="shared" si="295"/>
        <v>90100</v>
      </c>
      <c r="J353" s="1124">
        <f t="shared" si="295"/>
        <v>95900</v>
      </c>
      <c r="K353" s="1124">
        <f t="shared" si="295"/>
        <v>102100</v>
      </c>
      <c r="L353" s="1124">
        <f t="shared" si="295"/>
        <v>108700</v>
      </c>
      <c r="M353" s="1124">
        <f t="shared" si="295"/>
        <v>115700</v>
      </c>
      <c r="N353" s="1124">
        <f t="shared" si="295"/>
        <v>123200</v>
      </c>
      <c r="O353" s="1124">
        <f t="shared" si="295"/>
        <v>131100</v>
      </c>
      <c r="P353" s="1124">
        <f t="shared" si="295"/>
        <v>139500</v>
      </c>
      <c r="Q353" s="1124">
        <f t="shared" si="295"/>
        <v>148400</v>
      </c>
      <c r="R353" s="1124">
        <f t="shared" si="295"/>
        <v>157900</v>
      </c>
      <c r="S353" s="1124">
        <f t="shared" si="295"/>
        <v>168000</v>
      </c>
      <c r="T353" s="1124">
        <f t="shared" si="295"/>
        <v>178700</v>
      </c>
      <c r="U353" s="1124">
        <f t="shared" si="295"/>
        <v>190100</v>
      </c>
      <c r="V353" s="1124">
        <f t="shared" si="295"/>
        <v>202200</v>
      </c>
      <c r="W353" s="1124">
        <f t="shared" si="295"/>
        <v>215000</v>
      </c>
      <c r="X353" s="1124">
        <f t="shared" si="295"/>
        <v>228600</v>
      </c>
      <c r="Y353" s="1124">
        <f t="shared" si="295"/>
        <v>239900</v>
      </c>
      <c r="Z353" s="1124">
        <f t="shared" si="295"/>
        <v>251800</v>
      </c>
      <c r="AA353" s="1124">
        <f t="shared" si="295"/>
        <v>264400</v>
      </c>
      <c r="AB353" s="1124">
        <f t="shared" si="295"/>
        <v>277600</v>
      </c>
      <c r="AC353" s="1124">
        <f t="shared" si="295"/>
        <v>291500</v>
      </c>
      <c r="AD353" s="1124">
        <f t="shared" si="295"/>
        <v>306200</v>
      </c>
      <c r="AE353" s="1124">
        <f t="shared" si="295"/>
        <v>321600</v>
      </c>
      <c r="AF353" s="1124">
        <f t="shared" si="295"/>
        <v>337900</v>
      </c>
      <c r="AG353" s="1124">
        <f t="shared" si="295"/>
        <v>355000</v>
      </c>
      <c r="AH353" s="1124">
        <f t="shared" si="295"/>
        <v>373000</v>
      </c>
      <c r="AI353" s="1124">
        <f t="shared" si="295"/>
        <v>392000</v>
      </c>
      <c r="AJ353" s="1124">
        <f t="shared" si="295"/>
        <v>0</v>
      </c>
      <c r="AK353" s="1124">
        <f t="shared" si="295"/>
        <v>0</v>
      </c>
      <c r="AL353" s="1124">
        <f t="shared" si="295"/>
        <v>0</v>
      </c>
      <c r="AM353" s="1124">
        <f t="shared" si="295"/>
        <v>0</v>
      </c>
      <c r="AN353" s="1124">
        <f t="shared" si="295"/>
        <v>0</v>
      </c>
      <c r="AO353" s="1124">
        <f t="shared" si="295"/>
        <v>0</v>
      </c>
      <c r="AP353" s="1124">
        <f t="shared" si="295"/>
        <v>0</v>
      </c>
      <c r="AQ353" s="1124">
        <f t="shared" si="295"/>
        <v>0</v>
      </c>
      <c r="AR353" s="1124">
        <f t="shared" si="295"/>
        <v>0</v>
      </c>
      <c r="AS353" s="1124">
        <f t="shared" si="295"/>
        <v>0</v>
      </c>
      <c r="AU353" s="65"/>
      <c r="AV353" s="434"/>
      <c r="AW353" s="1489"/>
      <c r="AY353" s="190">
        <f>+Details!F353-Base!F353</f>
        <v>0</v>
      </c>
      <c r="AZ353" s="1124">
        <f>+Details!G353-Base!G353</f>
        <v>0</v>
      </c>
      <c r="BA353" s="1124">
        <f>+Details!H353-Base!H353</f>
        <v>0</v>
      </c>
      <c r="BB353" s="1124">
        <f>+Details!I353-Base!I353</f>
        <v>0</v>
      </c>
      <c r="BC353" s="1124">
        <f>+Details!J353-Base!J353</f>
        <v>0</v>
      </c>
      <c r="BD353" s="1124">
        <f>+Details!K353-Base!K353</f>
        <v>0</v>
      </c>
      <c r="BE353" s="1124">
        <f>+Details!L353-Base!L353</f>
        <v>0</v>
      </c>
      <c r="BF353" s="1124">
        <f>+Details!M353-Base!M353</f>
        <v>0</v>
      </c>
      <c r="BG353" s="1124">
        <f>+Details!N353-Base!N353</f>
        <v>0</v>
      </c>
      <c r="BH353" s="1124">
        <f>+Details!O353-Base!O353</f>
        <v>0</v>
      </c>
      <c r="BI353" s="1124">
        <f>+Details!P353-Base!P353</f>
        <v>0</v>
      </c>
      <c r="BJ353" s="1124">
        <f>+Details!Q353-Base!Q353</f>
        <v>0</v>
      </c>
      <c r="BK353" s="1124">
        <f>+Details!R353-Base!R353</f>
        <v>0</v>
      </c>
      <c r="BL353" s="1124">
        <f>+Details!S353-Base!S353</f>
        <v>0</v>
      </c>
      <c r="BM353" s="1124">
        <f>+Details!T353-Base!T353</f>
        <v>0</v>
      </c>
      <c r="BN353" s="1124">
        <f>+Details!U353-Base!U353</f>
        <v>0</v>
      </c>
      <c r="BO353" s="1124">
        <f>+Details!V353-Base!V353</f>
        <v>0</v>
      </c>
      <c r="BP353" s="1124">
        <f>+Details!W353-Base!W353</f>
        <v>0</v>
      </c>
      <c r="BQ353" s="1124">
        <f>+Details!X353-Base!X353</f>
        <v>0</v>
      </c>
      <c r="BR353" s="1124">
        <f>+Details!Y353-Base!Y353</f>
        <v>0</v>
      </c>
      <c r="BS353" s="1124">
        <f>+Details!Z353-Base!Z353</f>
        <v>0</v>
      </c>
      <c r="BT353" s="1124">
        <f>+Details!AA353-Base!AA353</f>
        <v>0</v>
      </c>
      <c r="BU353" s="1124">
        <f>+Details!AB353-Base!AB353</f>
        <v>0</v>
      </c>
      <c r="BV353" s="1124">
        <f>+Details!AC353-Base!AC353</f>
        <v>0</v>
      </c>
      <c r="BW353" s="1124">
        <f>+Details!AD353-Base!AD353</f>
        <v>0</v>
      </c>
      <c r="BX353" s="1124">
        <f>+Details!AE353-Base!AE353</f>
        <v>0</v>
      </c>
      <c r="BY353" s="1124">
        <f>+Details!AF353-Base!AF353</f>
        <v>0</v>
      </c>
      <c r="BZ353" s="1124">
        <f>+Details!AG353-Base!AG353</f>
        <v>0</v>
      </c>
      <c r="CA353" s="1124">
        <f>+Details!AH353-Base!AH353</f>
        <v>0</v>
      </c>
      <c r="CB353" s="1124">
        <f>+Details!AI353-Base!AI353</f>
        <v>0</v>
      </c>
      <c r="CC353" s="1124">
        <f>+Details!AJ353-Base!AJ353</f>
        <v>0</v>
      </c>
      <c r="CD353" s="1124">
        <f>+Details!AK353-Base!AK353</f>
        <v>0</v>
      </c>
      <c r="CE353" s="1124">
        <f>+Details!AL353-Base!AL353</f>
        <v>0</v>
      </c>
      <c r="CF353" s="1124">
        <f>+Details!AM353-Base!AM353</f>
        <v>0</v>
      </c>
      <c r="CG353" s="1124">
        <f>+Details!AN353-Base!AN353</f>
        <v>0</v>
      </c>
      <c r="CH353" s="1124">
        <f>+Details!AO353-Base!AO353</f>
        <v>0</v>
      </c>
      <c r="CI353" s="1124">
        <f>+Details!AP353-Base!AP353</f>
        <v>0</v>
      </c>
      <c r="CJ353" s="1124">
        <f>+Details!AQ353-Base!AQ353</f>
        <v>0</v>
      </c>
      <c r="CK353" s="1124">
        <f>+Details!AR353-Base!AR353</f>
        <v>0</v>
      </c>
      <c r="CL353" s="1124">
        <f>+Details!AS353-Base!AS353</f>
        <v>0</v>
      </c>
      <c r="CM353" s="434"/>
    </row>
    <row r="354" spans="1:91" s="3" customFormat="1" hidden="1">
      <c r="A354" s="1432" t="s">
        <v>639</v>
      </c>
      <c r="B354" s="1018" t="s">
        <v>1825</v>
      </c>
      <c r="E354" s="65">
        <f>SUM(F354:AS354)</f>
        <v>4600</v>
      </c>
      <c r="F354" s="190">
        <f>+F120</f>
        <v>1000</v>
      </c>
      <c r="G354" s="1124">
        <f>+G120</f>
        <v>1100</v>
      </c>
      <c r="H354" s="1124">
        <f t="shared" ref="H354:AS354" si="296">+H120</f>
        <v>1200</v>
      </c>
      <c r="I354" s="1124">
        <f t="shared" si="296"/>
        <v>1300</v>
      </c>
      <c r="J354" s="1124">
        <f t="shared" si="296"/>
        <v>0</v>
      </c>
      <c r="K354" s="1124">
        <f t="shared" si="296"/>
        <v>0</v>
      </c>
      <c r="L354" s="1124">
        <f t="shared" si="296"/>
        <v>0</v>
      </c>
      <c r="M354" s="1124">
        <f t="shared" si="296"/>
        <v>0</v>
      </c>
      <c r="N354" s="1124">
        <f t="shared" si="296"/>
        <v>0</v>
      </c>
      <c r="O354" s="1124">
        <f t="shared" si="296"/>
        <v>0</v>
      </c>
      <c r="P354" s="1124">
        <f t="shared" si="296"/>
        <v>0</v>
      </c>
      <c r="Q354" s="1124">
        <f t="shared" si="296"/>
        <v>0</v>
      </c>
      <c r="R354" s="1124">
        <f t="shared" si="296"/>
        <v>0</v>
      </c>
      <c r="S354" s="1124">
        <f t="shared" si="296"/>
        <v>0</v>
      </c>
      <c r="T354" s="1124">
        <f t="shared" si="296"/>
        <v>0</v>
      </c>
      <c r="U354" s="1124">
        <f t="shared" si="296"/>
        <v>0</v>
      </c>
      <c r="V354" s="1124">
        <f t="shared" si="296"/>
        <v>0</v>
      </c>
      <c r="W354" s="1124">
        <f t="shared" si="296"/>
        <v>0</v>
      </c>
      <c r="X354" s="1124">
        <f t="shared" si="296"/>
        <v>0</v>
      </c>
      <c r="Y354" s="1124">
        <f t="shared" si="296"/>
        <v>0</v>
      </c>
      <c r="Z354" s="1124">
        <f t="shared" si="296"/>
        <v>0</v>
      </c>
      <c r="AA354" s="1124">
        <f t="shared" si="296"/>
        <v>0</v>
      </c>
      <c r="AB354" s="1124">
        <f t="shared" si="296"/>
        <v>0</v>
      </c>
      <c r="AC354" s="1124">
        <f t="shared" si="296"/>
        <v>0</v>
      </c>
      <c r="AD354" s="1124">
        <f t="shared" si="296"/>
        <v>0</v>
      </c>
      <c r="AE354" s="1124">
        <f t="shared" si="296"/>
        <v>0</v>
      </c>
      <c r="AF354" s="1124">
        <f t="shared" si="296"/>
        <v>0</v>
      </c>
      <c r="AG354" s="1124">
        <f t="shared" si="296"/>
        <v>0</v>
      </c>
      <c r="AH354" s="1124">
        <f t="shared" si="296"/>
        <v>0</v>
      </c>
      <c r="AI354" s="1124">
        <f t="shared" si="296"/>
        <v>0</v>
      </c>
      <c r="AJ354" s="1124">
        <f t="shared" si="296"/>
        <v>0</v>
      </c>
      <c r="AK354" s="1124">
        <f t="shared" si="296"/>
        <v>0</v>
      </c>
      <c r="AL354" s="1124">
        <f t="shared" si="296"/>
        <v>0</v>
      </c>
      <c r="AM354" s="1124">
        <f t="shared" si="296"/>
        <v>0</v>
      </c>
      <c r="AN354" s="1124">
        <f t="shared" si="296"/>
        <v>0</v>
      </c>
      <c r="AO354" s="1124">
        <f t="shared" si="296"/>
        <v>0</v>
      </c>
      <c r="AP354" s="1124">
        <f t="shared" si="296"/>
        <v>0</v>
      </c>
      <c r="AQ354" s="1124">
        <f t="shared" si="296"/>
        <v>0</v>
      </c>
      <c r="AR354" s="1124">
        <f t="shared" si="296"/>
        <v>0</v>
      </c>
      <c r="AS354" s="1124">
        <f t="shared" si="296"/>
        <v>0</v>
      </c>
      <c r="AU354" s="29">
        <f>+Details!E354</f>
        <v>4600</v>
      </c>
      <c r="AV354" s="81">
        <f>+E354-AU354</f>
        <v>0</v>
      </c>
      <c r="AW354" s="1489"/>
      <c r="AY354" s="190">
        <f>+Details!F354-Base!F354</f>
        <v>0</v>
      </c>
      <c r="AZ354" s="1124">
        <f>+Details!G354-Base!G354</f>
        <v>0</v>
      </c>
      <c r="BA354" s="1124">
        <f>+Details!H354-Base!H354</f>
        <v>0</v>
      </c>
      <c r="BB354" s="1124">
        <f>+Details!I354-Base!I354</f>
        <v>0</v>
      </c>
      <c r="BC354" s="1124">
        <f>+Details!J354-Base!J354</f>
        <v>0</v>
      </c>
      <c r="BD354" s="1124">
        <f>+Details!K354-Base!K354</f>
        <v>0</v>
      </c>
      <c r="BE354" s="1124">
        <f>+Details!L354-Base!L354</f>
        <v>0</v>
      </c>
      <c r="BF354" s="1124">
        <f>+Details!M354-Base!M354</f>
        <v>0</v>
      </c>
      <c r="BG354" s="1124">
        <f>+Details!N354-Base!N354</f>
        <v>0</v>
      </c>
      <c r="BH354" s="1124">
        <f>+Details!O354-Base!O354</f>
        <v>0</v>
      </c>
      <c r="BI354" s="1124">
        <f>+Details!P354-Base!P354</f>
        <v>0</v>
      </c>
      <c r="BJ354" s="1124">
        <f>+Details!Q354-Base!Q354</f>
        <v>0</v>
      </c>
      <c r="BK354" s="1124">
        <f>+Details!R354-Base!R354</f>
        <v>0</v>
      </c>
      <c r="BL354" s="1124">
        <f>+Details!S354-Base!S354</f>
        <v>0</v>
      </c>
      <c r="BM354" s="1124">
        <f>+Details!T354-Base!T354</f>
        <v>0</v>
      </c>
      <c r="BN354" s="1124">
        <f>+Details!U354-Base!U354</f>
        <v>0</v>
      </c>
      <c r="BO354" s="1124">
        <f>+Details!V354-Base!V354</f>
        <v>0</v>
      </c>
      <c r="BP354" s="1124">
        <f>+Details!W354-Base!W354</f>
        <v>0</v>
      </c>
      <c r="BQ354" s="1124">
        <f>+Details!X354-Base!X354</f>
        <v>0</v>
      </c>
      <c r="BR354" s="1124">
        <f>+Details!Y354-Base!Y354</f>
        <v>0</v>
      </c>
      <c r="BS354" s="1124">
        <f>+Details!Z354-Base!Z354</f>
        <v>0</v>
      </c>
      <c r="BT354" s="1124">
        <f>+Details!AA354-Base!AA354</f>
        <v>0</v>
      </c>
      <c r="BU354" s="1124">
        <f>+Details!AB354-Base!AB354</f>
        <v>0</v>
      </c>
      <c r="BV354" s="1124">
        <f>+Details!AC354-Base!AC354</f>
        <v>0</v>
      </c>
      <c r="BW354" s="1124">
        <f>+Details!AD354-Base!AD354</f>
        <v>0</v>
      </c>
      <c r="BX354" s="1124">
        <f>+Details!AE354-Base!AE354</f>
        <v>0</v>
      </c>
      <c r="BY354" s="1124">
        <f>+Details!AF354-Base!AF354</f>
        <v>0</v>
      </c>
      <c r="BZ354" s="1124">
        <f>+Details!AG354-Base!AG354</f>
        <v>0</v>
      </c>
      <c r="CA354" s="1124">
        <f>+Details!AH354-Base!AH354</f>
        <v>0</v>
      </c>
      <c r="CB354" s="1124">
        <f>+Details!AI354-Base!AI354</f>
        <v>0</v>
      </c>
      <c r="CC354" s="1124">
        <f>+Details!AJ354-Base!AJ354</f>
        <v>0</v>
      </c>
      <c r="CD354" s="1124">
        <f>+Details!AK354-Base!AK354</f>
        <v>0</v>
      </c>
      <c r="CE354" s="1124">
        <f>+Details!AL354-Base!AL354</f>
        <v>0</v>
      </c>
      <c r="CF354" s="1124">
        <f>+Details!AM354-Base!AM354</f>
        <v>0</v>
      </c>
      <c r="CG354" s="1124">
        <f>+Details!AN354-Base!AN354</f>
        <v>0</v>
      </c>
      <c r="CH354" s="1124">
        <f>+Details!AO354-Base!AO354</f>
        <v>0</v>
      </c>
      <c r="CI354" s="1124">
        <f>+Details!AP354-Base!AP354</f>
        <v>0</v>
      </c>
      <c r="CJ354" s="1124">
        <f>+Details!AQ354-Base!AQ354</f>
        <v>0</v>
      </c>
      <c r="CK354" s="1124">
        <f>+Details!AR354-Base!AR354</f>
        <v>0</v>
      </c>
      <c r="CL354" s="1124">
        <f>+Details!AS354-Base!AS354</f>
        <v>0</v>
      </c>
      <c r="CM354" s="434"/>
    </row>
    <row r="355" spans="1:91" s="3" customFormat="1" hidden="1">
      <c r="A355" s="1432" t="s">
        <v>639</v>
      </c>
      <c r="B355" s="72" t="s">
        <v>735</v>
      </c>
      <c r="E355" s="65">
        <f>SUM(F355:AS355)</f>
        <v>0</v>
      </c>
      <c r="F355" s="190">
        <f t="shared" ref="F355:AS355" si="297">+F127</f>
        <v>0</v>
      </c>
      <c r="G355" s="1124">
        <f t="shared" si="297"/>
        <v>0</v>
      </c>
      <c r="H355" s="1124">
        <f t="shared" si="297"/>
        <v>0</v>
      </c>
      <c r="I355" s="1124">
        <f t="shared" si="297"/>
        <v>0</v>
      </c>
      <c r="J355" s="1124">
        <f t="shared" si="297"/>
        <v>0</v>
      </c>
      <c r="K355" s="1124">
        <f t="shared" si="297"/>
        <v>0</v>
      </c>
      <c r="L355" s="1124">
        <f t="shared" si="297"/>
        <v>0</v>
      </c>
      <c r="M355" s="1124">
        <f t="shared" si="297"/>
        <v>0</v>
      </c>
      <c r="N355" s="1124">
        <f t="shared" si="297"/>
        <v>0</v>
      </c>
      <c r="O355" s="1124">
        <f t="shared" si="297"/>
        <v>0</v>
      </c>
      <c r="P355" s="1124">
        <f t="shared" si="297"/>
        <v>0</v>
      </c>
      <c r="Q355" s="1124">
        <f t="shared" si="297"/>
        <v>0</v>
      </c>
      <c r="R355" s="1124">
        <f t="shared" si="297"/>
        <v>0</v>
      </c>
      <c r="S355" s="1124">
        <f t="shared" si="297"/>
        <v>0</v>
      </c>
      <c r="T355" s="1124">
        <f t="shared" si="297"/>
        <v>0</v>
      </c>
      <c r="U355" s="1124">
        <f t="shared" si="297"/>
        <v>0</v>
      </c>
      <c r="V355" s="1124">
        <f t="shared" si="297"/>
        <v>0</v>
      </c>
      <c r="W355" s="1124">
        <f t="shared" si="297"/>
        <v>0</v>
      </c>
      <c r="X355" s="1124">
        <f t="shared" si="297"/>
        <v>0</v>
      </c>
      <c r="Y355" s="1124">
        <f t="shared" si="297"/>
        <v>0</v>
      </c>
      <c r="Z355" s="1124">
        <f t="shared" si="297"/>
        <v>0</v>
      </c>
      <c r="AA355" s="1124">
        <f t="shared" si="297"/>
        <v>0</v>
      </c>
      <c r="AB355" s="1124">
        <f t="shared" si="297"/>
        <v>0</v>
      </c>
      <c r="AC355" s="1124">
        <f t="shared" si="297"/>
        <v>0</v>
      </c>
      <c r="AD355" s="1124">
        <f t="shared" si="297"/>
        <v>0</v>
      </c>
      <c r="AE355" s="1124">
        <f t="shared" si="297"/>
        <v>0</v>
      </c>
      <c r="AF355" s="1124">
        <f t="shared" si="297"/>
        <v>0</v>
      </c>
      <c r="AG355" s="1124">
        <f t="shared" si="297"/>
        <v>0</v>
      </c>
      <c r="AH355" s="1124">
        <f t="shared" si="297"/>
        <v>0</v>
      </c>
      <c r="AI355" s="1124">
        <f t="shared" si="297"/>
        <v>0</v>
      </c>
      <c r="AJ355" s="1124">
        <f t="shared" si="297"/>
        <v>0</v>
      </c>
      <c r="AK355" s="1124">
        <f t="shared" si="297"/>
        <v>0</v>
      </c>
      <c r="AL355" s="1124">
        <f t="shared" si="297"/>
        <v>0</v>
      </c>
      <c r="AM355" s="1124">
        <f t="shared" si="297"/>
        <v>0</v>
      </c>
      <c r="AN355" s="1124">
        <f t="shared" si="297"/>
        <v>0</v>
      </c>
      <c r="AO355" s="1124">
        <f t="shared" si="297"/>
        <v>0</v>
      </c>
      <c r="AP355" s="1124">
        <f t="shared" si="297"/>
        <v>0</v>
      </c>
      <c r="AQ355" s="1124">
        <f t="shared" si="297"/>
        <v>0</v>
      </c>
      <c r="AR355" s="1124">
        <f t="shared" si="297"/>
        <v>0</v>
      </c>
      <c r="AS355" s="1124">
        <f t="shared" si="297"/>
        <v>0</v>
      </c>
      <c r="AU355" s="29">
        <f>+Details!E355</f>
        <v>0</v>
      </c>
      <c r="AV355" s="81">
        <f>+E355-AU355</f>
        <v>0</v>
      </c>
      <c r="AW355" s="191"/>
      <c r="AY355" s="190">
        <f>+Details!F355-Base!F355</f>
        <v>0</v>
      </c>
      <c r="AZ355" s="1124">
        <f>+Details!G355-Base!G355</f>
        <v>0</v>
      </c>
      <c r="BA355" s="1124">
        <f>+Details!H355-Base!H355</f>
        <v>0</v>
      </c>
      <c r="BB355" s="1124">
        <f>+Details!I355-Base!I355</f>
        <v>0</v>
      </c>
      <c r="BC355" s="1124">
        <f>+Details!J355-Base!J355</f>
        <v>0</v>
      </c>
      <c r="BD355" s="1124">
        <f>+Details!K355-Base!K355</f>
        <v>0</v>
      </c>
      <c r="BE355" s="1124">
        <f>+Details!L355-Base!L355</f>
        <v>0</v>
      </c>
      <c r="BF355" s="1124">
        <f>+Details!M355-Base!M355</f>
        <v>0</v>
      </c>
      <c r="BG355" s="1124">
        <f>+Details!N355-Base!N355</f>
        <v>0</v>
      </c>
      <c r="BH355" s="1124">
        <f>+Details!O355-Base!O355</f>
        <v>0</v>
      </c>
      <c r="BI355" s="1124">
        <f>+Details!P355-Base!P355</f>
        <v>0</v>
      </c>
      <c r="BJ355" s="1124">
        <f>+Details!Q355-Base!Q355</f>
        <v>0</v>
      </c>
      <c r="BK355" s="1124">
        <f>+Details!R355-Base!R355</f>
        <v>0</v>
      </c>
      <c r="BL355" s="1124">
        <f>+Details!S355-Base!S355</f>
        <v>0</v>
      </c>
      <c r="BM355" s="1124">
        <f>+Details!T355-Base!T355</f>
        <v>0</v>
      </c>
      <c r="BN355" s="1124">
        <f>+Details!U355-Base!U355</f>
        <v>0</v>
      </c>
      <c r="BO355" s="1124">
        <f>+Details!V355-Base!V355</f>
        <v>0</v>
      </c>
      <c r="BP355" s="1124">
        <f>+Details!W355-Base!W355</f>
        <v>0</v>
      </c>
      <c r="BQ355" s="1124">
        <f>+Details!X355-Base!X355</f>
        <v>0</v>
      </c>
      <c r="BR355" s="1124">
        <f>+Details!Y355-Base!Y355</f>
        <v>0</v>
      </c>
      <c r="BS355" s="1124">
        <f>+Details!Z355-Base!Z355</f>
        <v>0</v>
      </c>
      <c r="BT355" s="1124">
        <f>+Details!AA355-Base!AA355</f>
        <v>0</v>
      </c>
      <c r="BU355" s="1124">
        <f>+Details!AB355-Base!AB355</f>
        <v>0</v>
      </c>
      <c r="BV355" s="1124">
        <f>+Details!AC355-Base!AC355</f>
        <v>0</v>
      </c>
      <c r="BW355" s="1124">
        <f>+Details!AD355-Base!AD355</f>
        <v>0</v>
      </c>
      <c r="BX355" s="1124">
        <f>+Details!AE355-Base!AE355</f>
        <v>0</v>
      </c>
      <c r="BY355" s="1124">
        <f>+Details!AF355-Base!AF355</f>
        <v>0</v>
      </c>
      <c r="BZ355" s="1124">
        <f>+Details!AG355-Base!AG355</f>
        <v>0</v>
      </c>
      <c r="CA355" s="1124">
        <f>+Details!AH355-Base!AH355</f>
        <v>0</v>
      </c>
      <c r="CB355" s="1124">
        <f>+Details!AI355-Base!AI355</f>
        <v>0</v>
      </c>
      <c r="CC355" s="1124">
        <f>+Details!AJ355-Base!AJ355</f>
        <v>0</v>
      </c>
      <c r="CD355" s="1124">
        <f>+Details!AK355-Base!AK355</f>
        <v>0</v>
      </c>
      <c r="CE355" s="1124">
        <f>+Details!AL355-Base!AL355</f>
        <v>0</v>
      </c>
      <c r="CF355" s="1124">
        <f>+Details!AM355-Base!AM355</f>
        <v>0</v>
      </c>
      <c r="CG355" s="1124">
        <f>+Details!AN355-Base!AN355</f>
        <v>0</v>
      </c>
      <c r="CH355" s="1124">
        <f>+Details!AO355-Base!AO355</f>
        <v>0</v>
      </c>
      <c r="CI355" s="1124">
        <f>+Details!AP355-Base!AP355</f>
        <v>0</v>
      </c>
      <c r="CJ355" s="1124">
        <f>+Details!AQ355-Base!AQ355</f>
        <v>0</v>
      </c>
      <c r="CK355" s="1124">
        <f>+Details!AR355-Base!AR355</f>
        <v>0</v>
      </c>
      <c r="CL355" s="1124">
        <f>+Details!AS355-Base!AS355</f>
        <v>0</v>
      </c>
      <c r="CM355" s="81"/>
    </row>
    <row r="356" spans="1:91" hidden="1">
      <c r="A356" s="1432" t="s">
        <v>639</v>
      </c>
      <c r="B356" s="72" t="s">
        <v>941</v>
      </c>
      <c r="C356" s="3"/>
      <c r="D356" s="3"/>
      <c r="E356" s="191">
        <f>SUM(F356:AS356)</f>
        <v>0</v>
      </c>
      <c r="F356" s="88">
        <f t="shared" ref="F356:AS356" si="298">+F64</f>
        <v>0</v>
      </c>
      <c r="G356" s="1147">
        <f t="shared" si="298"/>
        <v>0</v>
      </c>
      <c r="H356" s="1147">
        <f t="shared" si="298"/>
        <v>0</v>
      </c>
      <c r="I356" s="1147">
        <f t="shared" si="298"/>
        <v>0</v>
      </c>
      <c r="J356" s="1147">
        <f t="shared" si="298"/>
        <v>0</v>
      </c>
      <c r="K356" s="1147">
        <f t="shared" si="298"/>
        <v>0</v>
      </c>
      <c r="L356" s="1147">
        <f t="shared" si="298"/>
        <v>0</v>
      </c>
      <c r="M356" s="1147">
        <f t="shared" si="298"/>
        <v>0</v>
      </c>
      <c r="N356" s="1147">
        <f t="shared" si="298"/>
        <v>0</v>
      </c>
      <c r="O356" s="1147">
        <f t="shared" si="298"/>
        <v>0</v>
      </c>
      <c r="P356" s="1147">
        <f t="shared" si="298"/>
        <v>0</v>
      </c>
      <c r="Q356" s="1147">
        <f t="shared" si="298"/>
        <v>0</v>
      </c>
      <c r="R356" s="1147">
        <f t="shared" si="298"/>
        <v>0</v>
      </c>
      <c r="S356" s="1147">
        <f t="shared" si="298"/>
        <v>0</v>
      </c>
      <c r="T356" s="1147">
        <f t="shared" si="298"/>
        <v>0</v>
      </c>
      <c r="U356" s="1147">
        <f t="shared" si="298"/>
        <v>0</v>
      </c>
      <c r="V356" s="1147">
        <f t="shared" si="298"/>
        <v>0</v>
      </c>
      <c r="W356" s="1147">
        <f t="shared" si="298"/>
        <v>0</v>
      </c>
      <c r="X356" s="1147">
        <f t="shared" si="298"/>
        <v>0</v>
      </c>
      <c r="Y356" s="1147">
        <f t="shared" si="298"/>
        <v>0</v>
      </c>
      <c r="Z356" s="1147">
        <f t="shared" si="298"/>
        <v>0</v>
      </c>
      <c r="AA356" s="1147">
        <f t="shared" si="298"/>
        <v>0</v>
      </c>
      <c r="AB356" s="1147">
        <f t="shared" si="298"/>
        <v>0</v>
      </c>
      <c r="AC356" s="1147">
        <f t="shared" si="298"/>
        <v>0</v>
      </c>
      <c r="AD356" s="1147">
        <f t="shared" si="298"/>
        <v>0</v>
      </c>
      <c r="AE356" s="1147">
        <f t="shared" si="298"/>
        <v>0</v>
      </c>
      <c r="AF356" s="1147">
        <f t="shared" si="298"/>
        <v>0</v>
      </c>
      <c r="AG356" s="1147">
        <f t="shared" si="298"/>
        <v>0</v>
      </c>
      <c r="AH356" s="1147">
        <f t="shared" si="298"/>
        <v>0</v>
      </c>
      <c r="AI356" s="1147">
        <f t="shared" si="298"/>
        <v>0</v>
      </c>
      <c r="AJ356" s="1147">
        <f t="shared" si="298"/>
        <v>0</v>
      </c>
      <c r="AK356" s="1147">
        <f t="shared" si="298"/>
        <v>0</v>
      </c>
      <c r="AL356" s="1147">
        <f t="shared" si="298"/>
        <v>0</v>
      </c>
      <c r="AM356" s="1147">
        <f t="shared" si="298"/>
        <v>0</v>
      </c>
      <c r="AN356" s="1147">
        <f t="shared" si="298"/>
        <v>0</v>
      </c>
      <c r="AO356" s="1147">
        <f t="shared" si="298"/>
        <v>0</v>
      </c>
      <c r="AP356" s="1147">
        <f t="shared" si="298"/>
        <v>0</v>
      </c>
      <c r="AQ356" s="1147">
        <f t="shared" si="298"/>
        <v>0</v>
      </c>
      <c r="AR356" s="1147">
        <f t="shared" si="298"/>
        <v>0</v>
      </c>
      <c r="AS356" s="1147">
        <f t="shared" si="298"/>
        <v>0</v>
      </c>
      <c r="AU356" s="29">
        <f>+Details!E356</f>
        <v>0</v>
      </c>
      <c r="AV356" s="81">
        <f>+E356-AU356</f>
        <v>0</v>
      </c>
      <c r="AW356" s="191"/>
      <c r="AY356" s="31">
        <f>+Details!F361-Base!F356</f>
        <v>4700</v>
      </c>
      <c r="AZ356" s="1124">
        <f>+Details!G361-Base!G356</f>
        <v>5000</v>
      </c>
      <c r="BA356" s="1124">
        <f>+Details!H361-Base!H356</f>
        <v>5400</v>
      </c>
      <c r="BB356" s="1124">
        <f>+Details!I361-Base!I356</f>
        <v>5800</v>
      </c>
      <c r="BC356" s="1124">
        <f>+Details!J361-Base!J356</f>
        <v>6200</v>
      </c>
      <c r="BD356" s="1124">
        <f>+Details!K361-Base!K356</f>
        <v>6600</v>
      </c>
      <c r="BE356" s="1124">
        <f>+Details!L361-Base!L356</f>
        <v>7000</v>
      </c>
      <c r="BF356" s="1124">
        <f>+Details!M361-Base!M356</f>
        <v>7500</v>
      </c>
      <c r="BG356" s="1124">
        <f>+Details!N361-Base!N356</f>
        <v>7900</v>
      </c>
      <c r="BH356" s="1124">
        <f>+Details!O361-Base!O356</f>
        <v>8400</v>
      </c>
      <c r="BI356" s="1124">
        <f>+Details!P361-Base!P356</f>
        <v>8900</v>
      </c>
      <c r="BJ356" s="1124">
        <f>+Details!Q361-Base!Q356</f>
        <v>9500</v>
      </c>
      <c r="BK356" s="1124">
        <f>+Details!R361-Base!R356</f>
        <v>10100</v>
      </c>
      <c r="BL356" s="1124">
        <f>+Details!S361-Base!S356</f>
        <v>10700</v>
      </c>
      <c r="BM356" s="1124">
        <f>+Details!T361-Base!T356</f>
        <v>11400</v>
      </c>
      <c r="BN356" s="1124">
        <f>+Details!U361-Base!U356</f>
        <v>12100</v>
      </c>
      <c r="BO356" s="1124">
        <f>+Details!V361-Base!V356</f>
        <v>12800</v>
      </c>
      <c r="BP356" s="1124">
        <f>+Details!W361-Base!W356</f>
        <v>13600</v>
      </c>
      <c r="BQ356" s="1124">
        <f>+Details!X361-Base!X356</f>
        <v>12300</v>
      </c>
      <c r="BR356" s="1124">
        <f>+Details!Y361-Base!Y356</f>
        <v>12900</v>
      </c>
      <c r="BS356" s="1124">
        <f>+Details!Z361-Base!Z356</f>
        <v>13600</v>
      </c>
      <c r="BT356" s="1124">
        <f>+Details!AA361-Base!AA356</f>
        <v>14200</v>
      </c>
      <c r="BU356" s="1124">
        <f>+Details!AB361-Base!AB356</f>
        <v>14900</v>
      </c>
      <c r="BV356" s="1124">
        <f>+Details!AC361-Base!AC356</f>
        <v>15700</v>
      </c>
      <c r="BW356" s="1124">
        <f>+Details!AD361-Base!AD356</f>
        <v>16400</v>
      </c>
      <c r="BX356" s="1124">
        <f>+Details!AE361-Base!AE356</f>
        <v>17300</v>
      </c>
      <c r="BY356" s="1124">
        <f>+Details!AF361-Base!AF356</f>
        <v>18100</v>
      </c>
      <c r="BZ356" s="1124">
        <f>+Details!AG361-Base!AG356</f>
        <v>19000</v>
      </c>
      <c r="CA356" s="1124">
        <f>+Details!AH361-Base!AH356</f>
        <v>20000</v>
      </c>
      <c r="CB356" s="1124">
        <f>+Details!AI361-Base!AI356</f>
        <v>21000</v>
      </c>
      <c r="CC356" s="1124">
        <f>+Details!AJ361-Base!AJ356</f>
        <v>0</v>
      </c>
      <c r="CD356" s="1124">
        <f>+Details!AK361-Base!AK356</f>
        <v>0</v>
      </c>
      <c r="CE356" s="1124">
        <f>+Details!AL361-Base!AL356</f>
        <v>0</v>
      </c>
      <c r="CF356" s="1124">
        <f>+Details!AM361-Base!AM356</f>
        <v>0</v>
      </c>
      <c r="CG356" s="1124">
        <f>+Details!AN361-Base!AN356</f>
        <v>0</v>
      </c>
      <c r="CH356" s="1124">
        <f>+Details!AO361-Base!AO356</f>
        <v>0</v>
      </c>
      <c r="CI356" s="1124">
        <f>+Details!AP361-Base!AP356</f>
        <v>0</v>
      </c>
      <c r="CJ356" s="1124">
        <f>+Details!AQ361-Base!AQ356</f>
        <v>0</v>
      </c>
      <c r="CK356" s="1124">
        <f>+Details!AR361-Base!AR356</f>
        <v>0</v>
      </c>
      <c r="CL356" s="1124">
        <f>+Details!AS361-Base!AS356</f>
        <v>0</v>
      </c>
      <c r="CM356" s="81"/>
    </row>
    <row r="357" spans="1:91" ht="15.6">
      <c r="A357" s="1432"/>
      <c r="B357" s="28" t="s">
        <v>127</v>
      </c>
      <c r="D357" s="3"/>
      <c r="E357" s="191"/>
      <c r="F357" s="192">
        <f t="shared" ref="F357:AS357" si="299">IF(AND(Start_ExRoth&lt;=F$4,OR(End_ExRoth&gt;=F$4,End_ExRoth=0)),IF(F353+F354+F355+F356&lt;=0,0,F353+F354+F355+F356))*IF(F$7-$F$7&lt;=Total_Years-1,1,0)</f>
        <v>0</v>
      </c>
      <c r="G357" s="1147">
        <f t="shared" si="299"/>
        <v>0</v>
      </c>
      <c r="H357" s="1147">
        <f t="shared" si="299"/>
        <v>0</v>
      </c>
      <c r="I357" s="1147">
        <f t="shared" si="299"/>
        <v>0</v>
      </c>
      <c r="J357" s="1147">
        <f t="shared" si="299"/>
        <v>0</v>
      </c>
      <c r="K357" s="1147">
        <f t="shared" si="299"/>
        <v>0</v>
      </c>
      <c r="L357" s="1147">
        <f t="shared" si="299"/>
        <v>0</v>
      </c>
      <c r="M357" s="1147">
        <f t="shared" si="299"/>
        <v>0</v>
      </c>
      <c r="N357" s="1147">
        <f t="shared" si="299"/>
        <v>0</v>
      </c>
      <c r="O357" s="1147">
        <f t="shared" si="299"/>
        <v>0</v>
      </c>
      <c r="P357" s="1147">
        <f t="shared" si="299"/>
        <v>0</v>
      </c>
      <c r="Q357" s="1147">
        <f t="shared" si="299"/>
        <v>0</v>
      </c>
      <c r="R357" s="1147">
        <f t="shared" si="299"/>
        <v>0</v>
      </c>
      <c r="S357" s="1147">
        <f t="shared" si="299"/>
        <v>0</v>
      </c>
      <c r="T357" s="1147">
        <f t="shared" si="299"/>
        <v>0</v>
      </c>
      <c r="U357" s="1147">
        <f t="shared" si="299"/>
        <v>0</v>
      </c>
      <c r="V357" s="1147">
        <f t="shared" si="299"/>
        <v>0</v>
      </c>
      <c r="W357" s="1147">
        <f t="shared" si="299"/>
        <v>0</v>
      </c>
      <c r="X357" s="1147">
        <f t="shared" si="299"/>
        <v>228600</v>
      </c>
      <c r="Y357" s="1147">
        <f t="shared" si="299"/>
        <v>239900</v>
      </c>
      <c r="Z357" s="1147">
        <f t="shared" si="299"/>
        <v>251800</v>
      </c>
      <c r="AA357" s="1147">
        <f t="shared" si="299"/>
        <v>264400</v>
      </c>
      <c r="AB357" s="1147">
        <f t="shared" si="299"/>
        <v>277600</v>
      </c>
      <c r="AC357" s="1147">
        <f t="shared" si="299"/>
        <v>291500</v>
      </c>
      <c r="AD357" s="1147">
        <f t="shared" si="299"/>
        <v>306200</v>
      </c>
      <c r="AE357" s="1147">
        <f t="shared" si="299"/>
        <v>321600</v>
      </c>
      <c r="AF357" s="1147">
        <f t="shared" si="299"/>
        <v>337900</v>
      </c>
      <c r="AG357" s="1147">
        <f t="shared" si="299"/>
        <v>355000</v>
      </c>
      <c r="AH357" s="1147">
        <f t="shared" si="299"/>
        <v>373000</v>
      </c>
      <c r="AI357" s="1147">
        <f t="shared" si="299"/>
        <v>392000</v>
      </c>
      <c r="AJ357" s="1147">
        <f t="shared" si="299"/>
        <v>0</v>
      </c>
      <c r="AK357" s="1147">
        <f t="shared" si="299"/>
        <v>0</v>
      </c>
      <c r="AL357" s="1147">
        <f t="shared" si="299"/>
        <v>0</v>
      </c>
      <c r="AM357" s="1147">
        <f t="shared" si="299"/>
        <v>0</v>
      </c>
      <c r="AN357" s="1147">
        <f t="shared" si="299"/>
        <v>0</v>
      </c>
      <c r="AO357" s="1147">
        <f t="shared" si="299"/>
        <v>0</v>
      </c>
      <c r="AP357" s="1147">
        <f t="shared" si="299"/>
        <v>0</v>
      </c>
      <c r="AQ357" s="1147">
        <f t="shared" si="299"/>
        <v>0</v>
      </c>
      <c r="AR357" s="1147">
        <f t="shared" si="299"/>
        <v>0</v>
      </c>
      <c r="AS357" s="1147">
        <f t="shared" si="299"/>
        <v>0</v>
      </c>
      <c r="AU357" s="29"/>
      <c r="AV357" s="81"/>
      <c r="AW357" s="191"/>
      <c r="AY357" s="31">
        <f>+Details!F356-Base!F357</f>
        <v>0</v>
      </c>
      <c r="AZ357" s="1124">
        <f>+Details!G356-Base!G357</f>
        <v>0</v>
      </c>
      <c r="BA357" s="1124">
        <f>+Details!H356-Base!H357</f>
        <v>0</v>
      </c>
      <c r="BB357" s="1124">
        <f>+Details!I356-Base!I357</f>
        <v>0</v>
      </c>
      <c r="BC357" s="1124">
        <f>+Details!J356-Base!J357</f>
        <v>0</v>
      </c>
      <c r="BD357" s="1124">
        <f>+Details!K356-Base!K357</f>
        <v>0</v>
      </c>
      <c r="BE357" s="1124">
        <f>+Details!L356-Base!L357</f>
        <v>0</v>
      </c>
      <c r="BF357" s="1124">
        <f>+Details!M356-Base!M357</f>
        <v>0</v>
      </c>
      <c r="BG357" s="1124">
        <f>+Details!N356-Base!N357</f>
        <v>0</v>
      </c>
      <c r="BH357" s="1124">
        <f>+Details!O356-Base!O357</f>
        <v>0</v>
      </c>
      <c r="BI357" s="1124">
        <f>+Details!P356-Base!P357</f>
        <v>0</v>
      </c>
      <c r="BJ357" s="1124">
        <f>+Details!Q356-Base!Q357</f>
        <v>0</v>
      </c>
      <c r="BK357" s="1124">
        <f>+Details!R356-Base!R357</f>
        <v>0</v>
      </c>
      <c r="BL357" s="1124">
        <f>+Details!S356-Base!S357</f>
        <v>0</v>
      </c>
      <c r="BM357" s="1124">
        <f>+Details!T356-Base!T357</f>
        <v>0</v>
      </c>
      <c r="BN357" s="1124">
        <f>+Details!U356-Base!U357</f>
        <v>0</v>
      </c>
      <c r="BO357" s="1124">
        <f>+Details!V356-Base!V357</f>
        <v>0</v>
      </c>
      <c r="BP357" s="1124">
        <f>+Details!W356-Base!W357</f>
        <v>0</v>
      </c>
      <c r="BQ357" s="1124">
        <f>+Details!X356-Base!X357</f>
        <v>-228600</v>
      </c>
      <c r="BR357" s="1124">
        <f>+Details!Y356-Base!Y357</f>
        <v>-239900</v>
      </c>
      <c r="BS357" s="1124">
        <f>+Details!Z356-Base!Z357</f>
        <v>-251800</v>
      </c>
      <c r="BT357" s="1124">
        <f>+Details!AA356-Base!AA357</f>
        <v>-264400</v>
      </c>
      <c r="BU357" s="1124">
        <f>+Details!AB356-Base!AB357</f>
        <v>-277600</v>
      </c>
      <c r="BV357" s="1124">
        <f>+Details!AC356-Base!AC357</f>
        <v>-291500</v>
      </c>
      <c r="BW357" s="1124">
        <f>+Details!AD356-Base!AD357</f>
        <v>-306200</v>
      </c>
      <c r="BX357" s="1124">
        <f>+Details!AE356-Base!AE357</f>
        <v>-321600</v>
      </c>
      <c r="BY357" s="1124">
        <f>+Details!AF356-Base!AF357</f>
        <v>-337900</v>
      </c>
      <c r="BZ357" s="1124">
        <f>+Details!AG356-Base!AG357</f>
        <v>-355000</v>
      </c>
      <c r="CA357" s="1124">
        <f>+Details!AH356-Base!AH357</f>
        <v>-373000</v>
      </c>
      <c r="CB357" s="1124">
        <f>+Details!AI356-Base!AI357</f>
        <v>-392000</v>
      </c>
      <c r="CC357" s="1124">
        <f>+Details!AJ356-Base!AJ357</f>
        <v>0</v>
      </c>
      <c r="CD357" s="1124">
        <f>+Details!AK356-Base!AK357</f>
        <v>0</v>
      </c>
      <c r="CE357" s="1124">
        <f>+Details!AL356-Base!AL357</f>
        <v>0</v>
      </c>
      <c r="CF357" s="1124">
        <f>+Details!AM356-Base!AM357</f>
        <v>0</v>
      </c>
      <c r="CG357" s="1124">
        <f>+Details!AN356-Base!AN357</f>
        <v>0</v>
      </c>
      <c r="CH357" s="1124">
        <f>+Details!AO356-Base!AO357</f>
        <v>0</v>
      </c>
      <c r="CI357" s="1124">
        <f>+Details!AP356-Base!AP357</f>
        <v>0</v>
      </c>
      <c r="CJ357" s="1124">
        <f>+Details!AQ356-Base!AQ357</f>
        <v>0</v>
      </c>
      <c r="CK357" s="1124">
        <f>+Details!AR356-Base!AR357</f>
        <v>0</v>
      </c>
      <c r="CL357" s="1124">
        <f>+Details!AS356-Base!AS357</f>
        <v>0</v>
      </c>
      <c r="CM357" s="81"/>
    </row>
    <row r="358" spans="1:91" ht="15.6" hidden="1">
      <c r="A358" s="1432" t="s">
        <v>639</v>
      </c>
      <c r="B358" s="633" t="s">
        <v>129</v>
      </c>
      <c r="C358" s="1727" t="str">
        <f>"during ages " &amp; Start_ExRoth &amp;" - " &amp; End_ExRoth</f>
        <v xml:space="preserve">during ages 80 - </v>
      </c>
      <c r="D358" s="3"/>
      <c r="E358" s="191">
        <f>SUM(F358:AS358)</f>
        <v>-6000</v>
      </c>
      <c r="F358" s="88">
        <f t="shared" ref="F358:AS358" si="300">+F121</f>
        <v>0</v>
      </c>
      <c r="G358" s="1147">
        <f t="shared" si="300"/>
        <v>0</v>
      </c>
      <c r="H358" s="1147">
        <f t="shared" si="300"/>
        <v>0</v>
      </c>
      <c r="I358" s="1147">
        <f t="shared" si="300"/>
        <v>0</v>
      </c>
      <c r="J358" s="1147">
        <f t="shared" si="300"/>
        <v>0</v>
      </c>
      <c r="K358" s="1147">
        <f t="shared" si="300"/>
        <v>0</v>
      </c>
      <c r="L358" s="1147">
        <f t="shared" si="300"/>
        <v>0</v>
      </c>
      <c r="M358" s="1147">
        <f t="shared" si="300"/>
        <v>0</v>
      </c>
      <c r="N358" s="1147">
        <f t="shared" si="300"/>
        <v>0</v>
      </c>
      <c r="O358" s="1147">
        <f t="shared" si="300"/>
        <v>0</v>
      </c>
      <c r="P358" s="1147">
        <f t="shared" si="300"/>
        <v>0</v>
      </c>
      <c r="Q358" s="1147">
        <f t="shared" si="300"/>
        <v>0</v>
      </c>
      <c r="R358" s="1147">
        <f t="shared" si="300"/>
        <v>0</v>
      </c>
      <c r="S358" s="1147">
        <f t="shared" si="300"/>
        <v>0</v>
      </c>
      <c r="T358" s="1147">
        <f t="shared" si="300"/>
        <v>0</v>
      </c>
      <c r="U358" s="1147">
        <f t="shared" si="300"/>
        <v>0</v>
      </c>
      <c r="V358" s="1147">
        <f t="shared" si="300"/>
        <v>0</v>
      </c>
      <c r="W358" s="1147">
        <f t="shared" si="300"/>
        <v>0</v>
      </c>
      <c r="X358" s="1147">
        <f t="shared" si="300"/>
        <v>-500</v>
      </c>
      <c r="Y358" s="1147">
        <f t="shared" si="300"/>
        <v>-500</v>
      </c>
      <c r="Z358" s="1147">
        <f t="shared" si="300"/>
        <v>-500</v>
      </c>
      <c r="AA358" s="1147">
        <f t="shared" si="300"/>
        <v>-500</v>
      </c>
      <c r="AB358" s="1147">
        <f t="shared" si="300"/>
        <v>-500</v>
      </c>
      <c r="AC358" s="1147">
        <f t="shared" si="300"/>
        <v>-500</v>
      </c>
      <c r="AD358" s="1147">
        <f t="shared" si="300"/>
        <v>-500</v>
      </c>
      <c r="AE358" s="1147">
        <f t="shared" si="300"/>
        <v>-500</v>
      </c>
      <c r="AF358" s="1147">
        <f t="shared" si="300"/>
        <v>-500</v>
      </c>
      <c r="AG358" s="1147">
        <f t="shared" si="300"/>
        <v>-500</v>
      </c>
      <c r="AH358" s="1147">
        <f t="shared" si="300"/>
        <v>-500</v>
      </c>
      <c r="AI358" s="1147">
        <f t="shared" si="300"/>
        <v>-500</v>
      </c>
      <c r="AJ358" s="1147">
        <f t="shared" si="300"/>
        <v>0</v>
      </c>
      <c r="AK358" s="1147">
        <f t="shared" si="300"/>
        <v>0</v>
      </c>
      <c r="AL358" s="1147">
        <f t="shared" si="300"/>
        <v>0</v>
      </c>
      <c r="AM358" s="1147">
        <f t="shared" si="300"/>
        <v>0</v>
      </c>
      <c r="AN358" s="1147">
        <f t="shared" si="300"/>
        <v>0</v>
      </c>
      <c r="AO358" s="1147">
        <f t="shared" si="300"/>
        <v>0</v>
      </c>
      <c r="AP358" s="1147">
        <f t="shared" si="300"/>
        <v>0</v>
      </c>
      <c r="AQ358" s="1147">
        <f t="shared" si="300"/>
        <v>0</v>
      </c>
      <c r="AR358" s="1147">
        <f t="shared" si="300"/>
        <v>0</v>
      </c>
      <c r="AS358" s="1147">
        <f t="shared" si="300"/>
        <v>0</v>
      </c>
      <c r="AU358" s="29">
        <f>+Details!E358</f>
        <v>-6000</v>
      </c>
      <c r="AV358" s="81">
        <f t="shared" ref="AV358:AV364" si="301">+E358-AU358</f>
        <v>0</v>
      </c>
      <c r="AW358" s="191"/>
      <c r="AY358" s="31">
        <f>+Details!F357-Base!F358</f>
        <v>0</v>
      </c>
      <c r="AZ358" s="1124">
        <f>+Details!G357-Base!G358</f>
        <v>0</v>
      </c>
      <c r="BA358" s="1124">
        <f>+Details!H357-Base!H358</f>
        <v>0</v>
      </c>
      <c r="BB358" s="1124">
        <f>+Details!I357-Base!I358</f>
        <v>0</v>
      </c>
      <c r="BC358" s="1124">
        <f>+Details!J357-Base!J358</f>
        <v>0</v>
      </c>
      <c r="BD358" s="1124">
        <f>+Details!K357-Base!K358</f>
        <v>0</v>
      </c>
      <c r="BE358" s="1124">
        <f>+Details!L357-Base!L358</f>
        <v>0</v>
      </c>
      <c r="BF358" s="1124">
        <f>+Details!M357-Base!M358</f>
        <v>0</v>
      </c>
      <c r="BG358" s="1124">
        <f>+Details!N357-Base!N358</f>
        <v>0</v>
      </c>
      <c r="BH358" s="1124">
        <f>+Details!O357-Base!O358</f>
        <v>0</v>
      </c>
      <c r="BI358" s="1124">
        <f>+Details!P357-Base!P358</f>
        <v>0</v>
      </c>
      <c r="BJ358" s="1124">
        <f>+Details!Q357-Base!Q358</f>
        <v>0</v>
      </c>
      <c r="BK358" s="1124">
        <f>+Details!R357-Base!R358</f>
        <v>0</v>
      </c>
      <c r="BL358" s="1124">
        <f>+Details!S357-Base!S358</f>
        <v>0</v>
      </c>
      <c r="BM358" s="1124">
        <f>+Details!T357-Base!T358</f>
        <v>0</v>
      </c>
      <c r="BN358" s="1124">
        <f>+Details!U357-Base!U358</f>
        <v>0</v>
      </c>
      <c r="BO358" s="1124">
        <f>+Details!V357-Base!V358</f>
        <v>0</v>
      </c>
      <c r="BP358" s="1124">
        <f>+Details!W357-Base!W358</f>
        <v>0</v>
      </c>
      <c r="BQ358" s="1124">
        <f>+Details!X357-Base!X358</f>
        <v>229100</v>
      </c>
      <c r="BR358" s="1124">
        <f>+Details!Y357-Base!Y358</f>
        <v>240400</v>
      </c>
      <c r="BS358" s="1124">
        <f>+Details!Z357-Base!Z358</f>
        <v>252300</v>
      </c>
      <c r="BT358" s="1124">
        <f>+Details!AA357-Base!AA358</f>
        <v>264900</v>
      </c>
      <c r="BU358" s="1124">
        <f>+Details!AB357-Base!AB358</f>
        <v>278100</v>
      </c>
      <c r="BV358" s="1124">
        <f>+Details!AC357-Base!AC358</f>
        <v>292000</v>
      </c>
      <c r="BW358" s="1124">
        <f>+Details!AD357-Base!AD358</f>
        <v>306700</v>
      </c>
      <c r="BX358" s="1124">
        <f>+Details!AE357-Base!AE358</f>
        <v>322100</v>
      </c>
      <c r="BY358" s="1124">
        <f>+Details!AF357-Base!AF358</f>
        <v>338400</v>
      </c>
      <c r="BZ358" s="1124">
        <f>+Details!AG357-Base!AG358</f>
        <v>355500</v>
      </c>
      <c r="CA358" s="1124">
        <f>+Details!AH357-Base!AH358</f>
        <v>373500</v>
      </c>
      <c r="CB358" s="1124">
        <f>+Details!AI357-Base!AI358</f>
        <v>392500</v>
      </c>
      <c r="CC358" s="1124">
        <f>+Details!AJ357-Base!AJ358</f>
        <v>0</v>
      </c>
      <c r="CD358" s="1124">
        <f>+Details!AK357-Base!AK358</f>
        <v>0</v>
      </c>
      <c r="CE358" s="1124">
        <f>+Details!AL357-Base!AL358</f>
        <v>0</v>
      </c>
      <c r="CF358" s="1124">
        <f>+Details!AM357-Base!AM358</f>
        <v>0</v>
      </c>
      <c r="CG358" s="1124">
        <f>+Details!AN357-Base!AN358</f>
        <v>0</v>
      </c>
      <c r="CH358" s="1124">
        <f>+Details!AO357-Base!AO358</f>
        <v>0</v>
      </c>
      <c r="CI358" s="1124">
        <f>+Details!AP357-Base!AP358</f>
        <v>0</v>
      </c>
      <c r="CJ358" s="1124">
        <f>+Details!AQ357-Base!AQ358</f>
        <v>0</v>
      </c>
      <c r="CK358" s="1124">
        <f>+Details!AR357-Base!AR358</f>
        <v>0</v>
      </c>
      <c r="CL358" s="1124">
        <f>+Details!AS357-Base!AS358</f>
        <v>0</v>
      </c>
      <c r="CM358" s="81"/>
    </row>
    <row r="359" spans="1:91" ht="15.6">
      <c r="A359" s="1432"/>
      <c r="B359" s="28" t="s">
        <v>128</v>
      </c>
      <c r="D359" s="3"/>
      <c r="E359" s="191"/>
      <c r="F359" s="88">
        <f t="shared" ref="F359:AS359" si="302">IF(AND(Start_ExRoth1_2&lt;=F$4,OR(End_ExRoth1_2&gt;=F$4,End_ExRoth1_2=0)),IF(F353+F355+F356+F358&lt;=0,0,F353+F355+F356+F358))*IF(F$7-$F$7&lt;=Total_Years-1,1,0)</f>
        <v>0</v>
      </c>
      <c r="G359" s="1147">
        <f t="shared" si="302"/>
        <v>0</v>
      </c>
      <c r="H359" s="1147">
        <f t="shared" si="302"/>
        <v>0</v>
      </c>
      <c r="I359" s="1147">
        <f t="shared" si="302"/>
        <v>0</v>
      </c>
      <c r="J359" s="1147">
        <f t="shared" si="302"/>
        <v>0</v>
      </c>
      <c r="K359" s="1147">
        <f t="shared" si="302"/>
        <v>0</v>
      </c>
      <c r="L359" s="1147">
        <f t="shared" si="302"/>
        <v>0</v>
      </c>
      <c r="M359" s="1147">
        <f t="shared" si="302"/>
        <v>0</v>
      </c>
      <c r="N359" s="1147">
        <f t="shared" si="302"/>
        <v>0</v>
      </c>
      <c r="O359" s="1147">
        <f t="shared" si="302"/>
        <v>0</v>
      </c>
      <c r="P359" s="1147">
        <f t="shared" si="302"/>
        <v>0</v>
      </c>
      <c r="Q359" s="1147">
        <f t="shared" si="302"/>
        <v>0</v>
      </c>
      <c r="R359" s="1147">
        <f t="shared" si="302"/>
        <v>0</v>
      </c>
      <c r="S359" s="1147">
        <f t="shared" si="302"/>
        <v>0</v>
      </c>
      <c r="T359" s="1147">
        <f t="shared" si="302"/>
        <v>0</v>
      </c>
      <c r="U359" s="1147">
        <f t="shared" si="302"/>
        <v>0</v>
      </c>
      <c r="V359" s="1147">
        <f t="shared" si="302"/>
        <v>0</v>
      </c>
      <c r="W359" s="1147">
        <f t="shared" si="302"/>
        <v>0</v>
      </c>
      <c r="X359" s="1147">
        <f t="shared" si="302"/>
        <v>228100</v>
      </c>
      <c r="Y359" s="1147">
        <f t="shared" si="302"/>
        <v>239400</v>
      </c>
      <c r="Z359" s="1147">
        <f t="shared" si="302"/>
        <v>251300</v>
      </c>
      <c r="AA359" s="1147">
        <f t="shared" si="302"/>
        <v>263900</v>
      </c>
      <c r="AB359" s="1147">
        <f t="shared" si="302"/>
        <v>277100</v>
      </c>
      <c r="AC359" s="1147">
        <f t="shared" si="302"/>
        <v>291000</v>
      </c>
      <c r="AD359" s="1147">
        <f t="shared" si="302"/>
        <v>305700</v>
      </c>
      <c r="AE359" s="1147">
        <f t="shared" si="302"/>
        <v>321100</v>
      </c>
      <c r="AF359" s="1147">
        <f t="shared" si="302"/>
        <v>337400</v>
      </c>
      <c r="AG359" s="1147">
        <f t="shared" si="302"/>
        <v>354500</v>
      </c>
      <c r="AH359" s="1147">
        <f t="shared" si="302"/>
        <v>372500</v>
      </c>
      <c r="AI359" s="1147">
        <f t="shared" si="302"/>
        <v>391500</v>
      </c>
      <c r="AJ359" s="1147">
        <f t="shared" si="302"/>
        <v>0</v>
      </c>
      <c r="AK359" s="1147">
        <f t="shared" si="302"/>
        <v>0</v>
      </c>
      <c r="AL359" s="1147">
        <f t="shared" si="302"/>
        <v>0</v>
      </c>
      <c r="AM359" s="1147">
        <f t="shared" si="302"/>
        <v>0</v>
      </c>
      <c r="AN359" s="1147">
        <f t="shared" si="302"/>
        <v>0</v>
      </c>
      <c r="AO359" s="1147">
        <f t="shared" si="302"/>
        <v>0</v>
      </c>
      <c r="AP359" s="1147">
        <f t="shared" si="302"/>
        <v>0</v>
      </c>
      <c r="AQ359" s="1147">
        <f t="shared" si="302"/>
        <v>0</v>
      </c>
      <c r="AR359" s="1147">
        <f t="shared" si="302"/>
        <v>0</v>
      </c>
      <c r="AS359" s="1147">
        <f t="shared" si="302"/>
        <v>0</v>
      </c>
      <c r="AU359" s="29"/>
      <c r="AV359" s="81"/>
      <c r="AW359" s="191"/>
      <c r="AY359" s="31">
        <f>+Details!F358-Base!F359</f>
        <v>0</v>
      </c>
      <c r="AZ359" s="1124">
        <f>+Details!G358-Base!G359</f>
        <v>0</v>
      </c>
      <c r="BA359" s="1124">
        <f>+Details!H358-Base!H359</f>
        <v>0</v>
      </c>
      <c r="BB359" s="1124">
        <f>+Details!I358-Base!I359</f>
        <v>0</v>
      </c>
      <c r="BC359" s="1124">
        <f>+Details!J358-Base!J359</f>
        <v>0</v>
      </c>
      <c r="BD359" s="1124">
        <f>+Details!K358-Base!K359</f>
        <v>0</v>
      </c>
      <c r="BE359" s="1124">
        <f>+Details!L358-Base!L359</f>
        <v>0</v>
      </c>
      <c r="BF359" s="1124">
        <f>+Details!M358-Base!M359</f>
        <v>0</v>
      </c>
      <c r="BG359" s="1124">
        <f>+Details!N358-Base!N359</f>
        <v>0</v>
      </c>
      <c r="BH359" s="1124">
        <f>+Details!O358-Base!O359</f>
        <v>0</v>
      </c>
      <c r="BI359" s="1124">
        <f>+Details!P358-Base!P359</f>
        <v>0</v>
      </c>
      <c r="BJ359" s="1124">
        <f>+Details!Q358-Base!Q359</f>
        <v>0</v>
      </c>
      <c r="BK359" s="1124">
        <f>+Details!R358-Base!R359</f>
        <v>0</v>
      </c>
      <c r="BL359" s="1124">
        <f>+Details!S358-Base!S359</f>
        <v>0</v>
      </c>
      <c r="BM359" s="1124">
        <f>+Details!T358-Base!T359</f>
        <v>0</v>
      </c>
      <c r="BN359" s="1124">
        <f>+Details!U358-Base!U359</f>
        <v>0</v>
      </c>
      <c r="BO359" s="1124">
        <f>+Details!V358-Base!V359</f>
        <v>0</v>
      </c>
      <c r="BP359" s="1124">
        <f>+Details!W358-Base!W359</f>
        <v>0</v>
      </c>
      <c r="BQ359" s="1124">
        <f>+Details!X358-Base!X359</f>
        <v>-228600</v>
      </c>
      <c r="BR359" s="1124">
        <f>+Details!Y358-Base!Y359</f>
        <v>-239900</v>
      </c>
      <c r="BS359" s="1124">
        <f>+Details!Z358-Base!Z359</f>
        <v>-251800</v>
      </c>
      <c r="BT359" s="1124">
        <f>+Details!AA358-Base!AA359</f>
        <v>-264400</v>
      </c>
      <c r="BU359" s="1124">
        <f>+Details!AB358-Base!AB359</f>
        <v>-277600</v>
      </c>
      <c r="BV359" s="1124">
        <f>+Details!AC358-Base!AC359</f>
        <v>-291500</v>
      </c>
      <c r="BW359" s="1124">
        <f>+Details!AD358-Base!AD359</f>
        <v>-306200</v>
      </c>
      <c r="BX359" s="1124">
        <f>+Details!AE358-Base!AE359</f>
        <v>-321600</v>
      </c>
      <c r="BY359" s="1124">
        <f>+Details!AF358-Base!AF359</f>
        <v>-337900</v>
      </c>
      <c r="BZ359" s="1124">
        <f>+Details!AG358-Base!AG359</f>
        <v>-355000</v>
      </c>
      <c r="CA359" s="1124">
        <f>+Details!AH358-Base!AH359</f>
        <v>-373000</v>
      </c>
      <c r="CB359" s="1124">
        <f>+Details!AI358-Base!AI359</f>
        <v>-392000</v>
      </c>
      <c r="CC359" s="1124">
        <f>+Details!AJ358-Base!AJ359</f>
        <v>0</v>
      </c>
      <c r="CD359" s="1124">
        <f>+Details!AK358-Base!AK359</f>
        <v>0</v>
      </c>
      <c r="CE359" s="1124">
        <f>+Details!AL358-Base!AL359</f>
        <v>0</v>
      </c>
      <c r="CF359" s="1124">
        <f>+Details!AM358-Base!AM359</f>
        <v>0</v>
      </c>
      <c r="CG359" s="1124">
        <f>+Details!AN358-Base!AN359</f>
        <v>0</v>
      </c>
      <c r="CH359" s="1124">
        <f>+Details!AO358-Base!AO359</f>
        <v>0</v>
      </c>
      <c r="CI359" s="1124">
        <f>+Details!AP358-Base!AP359</f>
        <v>0</v>
      </c>
      <c r="CJ359" s="1124">
        <f>+Details!AQ358-Base!AQ359</f>
        <v>0</v>
      </c>
      <c r="CK359" s="1124">
        <f>+Details!AR358-Base!AR359</f>
        <v>0</v>
      </c>
      <c r="CL359" s="1124">
        <f>+Details!AS358-Base!AS359</f>
        <v>0</v>
      </c>
      <c r="CM359" s="81"/>
    </row>
    <row r="360" spans="1:91" ht="15.6">
      <c r="A360" s="1432"/>
      <c r="B360" s="633" t="s">
        <v>130</v>
      </c>
      <c r="C360" s="1727" t="str">
        <f>"during ages " &amp; Start_ExRoth1_2 &amp;" - " &amp; End_ExRoth1_2</f>
        <v xml:space="preserve">during ages 80 - </v>
      </c>
      <c r="D360" s="3"/>
      <c r="E360" s="191">
        <f>SUM(F360:AS360)</f>
        <v>-6000</v>
      </c>
      <c r="F360" s="88">
        <f t="shared" ref="F360:AS360" si="303">+F122</f>
        <v>0</v>
      </c>
      <c r="G360" s="1147">
        <f t="shared" si="303"/>
        <v>0</v>
      </c>
      <c r="H360" s="1147">
        <f t="shared" si="303"/>
        <v>0</v>
      </c>
      <c r="I360" s="1147">
        <f t="shared" si="303"/>
        <v>0</v>
      </c>
      <c r="J360" s="1147">
        <f t="shared" si="303"/>
        <v>0</v>
      </c>
      <c r="K360" s="1147">
        <f t="shared" si="303"/>
        <v>0</v>
      </c>
      <c r="L360" s="1147">
        <f t="shared" si="303"/>
        <v>0</v>
      </c>
      <c r="M360" s="1147">
        <f t="shared" si="303"/>
        <v>0</v>
      </c>
      <c r="N360" s="1147">
        <f t="shared" si="303"/>
        <v>0</v>
      </c>
      <c r="O360" s="1147">
        <f t="shared" si="303"/>
        <v>0</v>
      </c>
      <c r="P360" s="1147">
        <f t="shared" si="303"/>
        <v>0</v>
      </c>
      <c r="Q360" s="1147">
        <f t="shared" si="303"/>
        <v>0</v>
      </c>
      <c r="R360" s="1147">
        <f t="shared" si="303"/>
        <v>0</v>
      </c>
      <c r="S360" s="1147">
        <f t="shared" si="303"/>
        <v>0</v>
      </c>
      <c r="T360" s="1147">
        <f t="shared" si="303"/>
        <v>0</v>
      </c>
      <c r="U360" s="1147">
        <f t="shared" si="303"/>
        <v>0</v>
      </c>
      <c r="V360" s="1147">
        <f t="shared" si="303"/>
        <v>0</v>
      </c>
      <c r="W360" s="1147">
        <f t="shared" si="303"/>
        <v>0</v>
      </c>
      <c r="X360" s="1147">
        <f t="shared" si="303"/>
        <v>-500</v>
      </c>
      <c r="Y360" s="1147">
        <f t="shared" si="303"/>
        <v>-500</v>
      </c>
      <c r="Z360" s="1147">
        <f t="shared" si="303"/>
        <v>-500</v>
      </c>
      <c r="AA360" s="1147">
        <f t="shared" si="303"/>
        <v>-500</v>
      </c>
      <c r="AB360" s="1147">
        <f t="shared" si="303"/>
        <v>-500</v>
      </c>
      <c r="AC360" s="1147">
        <f t="shared" si="303"/>
        <v>-500</v>
      </c>
      <c r="AD360" s="1147">
        <f t="shared" si="303"/>
        <v>-500</v>
      </c>
      <c r="AE360" s="1147">
        <f t="shared" si="303"/>
        <v>-500</v>
      </c>
      <c r="AF360" s="1147">
        <f t="shared" si="303"/>
        <v>-500</v>
      </c>
      <c r="AG360" s="1147">
        <f t="shared" si="303"/>
        <v>-500</v>
      </c>
      <c r="AH360" s="1147">
        <f t="shared" si="303"/>
        <v>-500</v>
      </c>
      <c r="AI360" s="1147">
        <f t="shared" si="303"/>
        <v>-500</v>
      </c>
      <c r="AJ360" s="1147">
        <f t="shared" si="303"/>
        <v>0</v>
      </c>
      <c r="AK360" s="1147">
        <f t="shared" si="303"/>
        <v>0</v>
      </c>
      <c r="AL360" s="1147">
        <f t="shared" si="303"/>
        <v>0</v>
      </c>
      <c r="AM360" s="1147">
        <f t="shared" si="303"/>
        <v>0</v>
      </c>
      <c r="AN360" s="1147">
        <f t="shared" si="303"/>
        <v>0</v>
      </c>
      <c r="AO360" s="1147">
        <f t="shared" si="303"/>
        <v>0</v>
      </c>
      <c r="AP360" s="1147">
        <f t="shared" si="303"/>
        <v>0</v>
      </c>
      <c r="AQ360" s="1147">
        <f t="shared" si="303"/>
        <v>0</v>
      </c>
      <c r="AR360" s="1147">
        <f t="shared" si="303"/>
        <v>0</v>
      </c>
      <c r="AS360" s="1147">
        <f t="shared" si="303"/>
        <v>0</v>
      </c>
      <c r="AU360" s="29">
        <f>+Details!E360</f>
        <v>-6000</v>
      </c>
      <c r="AV360" s="81">
        <f t="shared" si="301"/>
        <v>0</v>
      </c>
      <c r="AW360" s="191"/>
      <c r="AY360" s="31">
        <f>+Details!F359-Base!F360</f>
        <v>0</v>
      </c>
      <c r="AZ360" s="1124">
        <f>+Details!G359-Base!G360</f>
        <v>0</v>
      </c>
      <c r="BA360" s="1124">
        <f>+Details!H359-Base!H360</f>
        <v>0</v>
      </c>
      <c r="BB360" s="1124">
        <f>+Details!I359-Base!I360</f>
        <v>0</v>
      </c>
      <c r="BC360" s="1124">
        <f>+Details!J359-Base!J360</f>
        <v>0</v>
      </c>
      <c r="BD360" s="1124">
        <f>+Details!K359-Base!K360</f>
        <v>0</v>
      </c>
      <c r="BE360" s="1124">
        <f>+Details!L359-Base!L360</f>
        <v>0</v>
      </c>
      <c r="BF360" s="1124">
        <f>+Details!M359-Base!M360</f>
        <v>0</v>
      </c>
      <c r="BG360" s="1124">
        <f>+Details!N359-Base!N360</f>
        <v>0</v>
      </c>
      <c r="BH360" s="1124">
        <f>+Details!O359-Base!O360</f>
        <v>0</v>
      </c>
      <c r="BI360" s="1124">
        <f>+Details!P359-Base!P360</f>
        <v>0</v>
      </c>
      <c r="BJ360" s="1124">
        <f>+Details!Q359-Base!Q360</f>
        <v>0</v>
      </c>
      <c r="BK360" s="1124">
        <f>+Details!R359-Base!R360</f>
        <v>0</v>
      </c>
      <c r="BL360" s="1124">
        <f>+Details!S359-Base!S360</f>
        <v>0</v>
      </c>
      <c r="BM360" s="1124">
        <f>+Details!T359-Base!T360</f>
        <v>0</v>
      </c>
      <c r="BN360" s="1124">
        <f>+Details!U359-Base!U360</f>
        <v>0</v>
      </c>
      <c r="BO360" s="1124">
        <f>+Details!V359-Base!V360</f>
        <v>0</v>
      </c>
      <c r="BP360" s="1124">
        <f>+Details!W359-Base!W360</f>
        <v>0</v>
      </c>
      <c r="BQ360" s="1124">
        <f>+Details!X359-Base!X360</f>
        <v>228600</v>
      </c>
      <c r="BR360" s="1124">
        <f>+Details!Y359-Base!Y360</f>
        <v>239900</v>
      </c>
      <c r="BS360" s="1124">
        <f>+Details!Z359-Base!Z360</f>
        <v>251800</v>
      </c>
      <c r="BT360" s="1124">
        <f>+Details!AA359-Base!AA360</f>
        <v>264400</v>
      </c>
      <c r="BU360" s="1124">
        <f>+Details!AB359-Base!AB360</f>
        <v>277600</v>
      </c>
      <c r="BV360" s="1124">
        <f>+Details!AC359-Base!AC360</f>
        <v>291500</v>
      </c>
      <c r="BW360" s="1124">
        <f>+Details!AD359-Base!AD360</f>
        <v>306200</v>
      </c>
      <c r="BX360" s="1124">
        <f>+Details!AE359-Base!AE360</f>
        <v>321600</v>
      </c>
      <c r="BY360" s="1124">
        <f>+Details!AF359-Base!AF360</f>
        <v>337900</v>
      </c>
      <c r="BZ360" s="1124">
        <f>+Details!AG359-Base!AG360</f>
        <v>355000</v>
      </c>
      <c r="CA360" s="1124">
        <f>+Details!AH359-Base!AH360</f>
        <v>373000</v>
      </c>
      <c r="CB360" s="1124">
        <f>+Details!AI359-Base!AI360</f>
        <v>392000</v>
      </c>
      <c r="CC360" s="1124">
        <f>+Details!AJ359-Base!AJ360</f>
        <v>0</v>
      </c>
      <c r="CD360" s="1124">
        <f>+Details!AK359-Base!AK360</f>
        <v>0</v>
      </c>
      <c r="CE360" s="1124">
        <f>+Details!AL359-Base!AL360</f>
        <v>0</v>
      </c>
      <c r="CF360" s="1124">
        <f>+Details!AM359-Base!AM360</f>
        <v>0</v>
      </c>
      <c r="CG360" s="1124">
        <f>+Details!AN359-Base!AN360</f>
        <v>0</v>
      </c>
      <c r="CH360" s="1124">
        <f>+Details!AO359-Base!AO360</f>
        <v>0</v>
      </c>
      <c r="CI360" s="1124">
        <f>+Details!AP359-Base!AP360</f>
        <v>0</v>
      </c>
      <c r="CJ360" s="1124">
        <f>+Details!AQ359-Base!AQ360</f>
        <v>0</v>
      </c>
      <c r="CK360" s="1124">
        <f>+Details!AR359-Base!AR360</f>
        <v>0</v>
      </c>
      <c r="CL360" s="1124">
        <f>+Details!AS359-Base!AS360</f>
        <v>0</v>
      </c>
      <c r="CM360" s="81"/>
    </row>
    <row r="361" spans="1:91" hidden="1">
      <c r="A361" s="1432" t="s">
        <v>639</v>
      </c>
      <c r="B361" s="72" t="s">
        <v>166</v>
      </c>
      <c r="C361" s="3"/>
      <c r="D361" s="3"/>
      <c r="E361" s="65">
        <f>SUM(F361:AS361)</f>
        <v>349000</v>
      </c>
      <c r="F361" s="31">
        <f t="shared" ref="F361:AS361" si="304">+F35</f>
        <v>4700</v>
      </c>
      <c r="G361" s="1124">
        <f t="shared" si="304"/>
        <v>5000</v>
      </c>
      <c r="H361" s="1124">
        <f t="shared" si="304"/>
        <v>5400</v>
      </c>
      <c r="I361" s="1124">
        <f t="shared" si="304"/>
        <v>5800</v>
      </c>
      <c r="J361" s="1124">
        <f t="shared" si="304"/>
        <v>6200</v>
      </c>
      <c r="K361" s="1124">
        <f t="shared" si="304"/>
        <v>6600</v>
      </c>
      <c r="L361" s="1124">
        <f t="shared" si="304"/>
        <v>7000</v>
      </c>
      <c r="M361" s="1124">
        <f t="shared" si="304"/>
        <v>7500</v>
      </c>
      <c r="N361" s="1124">
        <f t="shared" si="304"/>
        <v>7900</v>
      </c>
      <c r="O361" s="1124">
        <f t="shared" si="304"/>
        <v>8400</v>
      </c>
      <c r="P361" s="1124">
        <f t="shared" si="304"/>
        <v>8900</v>
      </c>
      <c r="Q361" s="1124">
        <f t="shared" si="304"/>
        <v>9500</v>
      </c>
      <c r="R361" s="1124">
        <f t="shared" si="304"/>
        <v>10100</v>
      </c>
      <c r="S361" s="1124">
        <f t="shared" si="304"/>
        <v>10700</v>
      </c>
      <c r="T361" s="1124">
        <f t="shared" si="304"/>
        <v>11400</v>
      </c>
      <c r="U361" s="1124">
        <f t="shared" si="304"/>
        <v>12100</v>
      </c>
      <c r="V361" s="1124">
        <f t="shared" si="304"/>
        <v>12800</v>
      </c>
      <c r="W361" s="1124">
        <f t="shared" si="304"/>
        <v>13600</v>
      </c>
      <c r="X361" s="1124">
        <f t="shared" si="304"/>
        <v>12300</v>
      </c>
      <c r="Y361" s="1124">
        <f t="shared" si="304"/>
        <v>12900</v>
      </c>
      <c r="Z361" s="1124">
        <f t="shared" si="304"/>
        <v>13600</v>
      </c>
      <c r="AA361" s="1124">
        <f t="shared" si="304"/>
        <v>14200</v>
      </c>
      <c r="AB361" s="1124">
        <f t="shared" si="304"/>
        <v>14900</v>
      </c>
      <c r="AC361" s="1124">
        <f t="shared" si="304"/>
        <v>15700</v>
      </c>
      <c r="AD361" s="1124">
        <f t="shared" si="304"/>
        <v>16400</v>
      </c>
      <c r="AE361" s="1124">
        <f t="shared" si="304"/>
        <v>17300</v>
      </c>
      <c r="AF361" s="1124">
        <f t="shared" si="304"/>
        <v>18100</v>
      </c>
      <c r="AG361" s="1124">
        <f t="shared" si="304"/>
        <v>19000</v>
      </c>
      <c r="AH361" s="1124">
        <f t="shared" si="304"/>
        <v>20000</v>
      </c>
      <c r="AI361" s="1124">
        <f t="shared" si="304"/>
        <v>21000</v>
      </c>
      <c r="AJ361" s="1124">
        <f t="shared" si="304"/>
        <v>0</v>
      </c>
      <c r="AK361" s="1124">
        <f t="shared" si="304"/>
        <v>0</v>
      </c>
      <c r="AL361" s="1124">
        <f t="shared" si="304"/>
        <v>0</v>
      </c>
      <c r="AM361" s="1124">
        <f t="shared" si="304"/>
        <v>0</v>
      </c>
      <c r="AN361" s="1124">
        <f t="shared" si="304"/>
        <v>0</v>
      </c>
      <c r="AO361" s="1124">
        <f t="shared" si="304"/>
        <v>0</v>
      </c>
      <c r="AP361" s="1124">
        <f t="shared" si="304"/>
        <v>0</v>
      </c>
      <c r="AQ361" s="1124">
        <f t="shared" si="304"/>
        <v>0</v>
      </c>
      <c r="AR361" s="1124">
        <f t="shared" si="304"/>
        <v>0</v>
      </c>
      <c r="AS361" s="1124">
        <f t="shared" si="304"/>
        <v>0</v>
      </c>
      <c r="AU361" s="29">
        <f>+Details!E361</f>
        <v>349000</v>
      </c>
      <c r="AV361" s="81">
        <f t="shared" si="301"/>
        <v>0</v>
      </c>
      <c r="AW361" s="191"/>
      <c r="AY361" s="31">
        <f>+Details!F360-Base!F361</f>
        <v>-4700</v>
      </c>
      <c r="AZ361" s="1124">
        <f>+Details!G360-Base!G361</f>
        <v>-5000</v>
      </c>
      <c r="BA361" s="1124">
        <f>+Details!H360-Base!H361</f>
        <v>-5400</v>
      </c>
      <c r="BB361" s="1124">
        <f>+Details!I360-Base!I361</f>
        <v>-5800</v>
      </c>
      <c r="BC361" s="1124">
        <f>+Details!J360-Base!J361</f>
        <v>-6200</v>
      </c>
      <c r="BD361" s="1124">
        <f>+Details!K360-Base!K361</f>
        <v>-6600</v>
      </c>
      <c r="BE361" s="1124">
        <f>+Details!L360-Base!L361</f>
        <v>-7000</v>
      </c>
      <c r="BF361" s="1124">
        <f>+Details!M360-Base!M361</f>
        <v>-7500</v>
      </c>
      <c r="BG361" s="1124">
        <f>+Details!N360-Base!N361</f>
        <v>-7900</v>
      </c>
      <c r="BH361" s="1124">
        <f>+Details!O360-Base!O361</f>
        <v>-8400</v>
      </c>
      <c r="BI361" s="1124">
        <f>+Details!P360-Base!P361</f>
        <v>-8900</v>
      </c>
      <c r="BJ361" s="1124">
        <f>+Details!Q360-Base!Q361</f>
        <v>-9500</v>
      </c>
      <c r="BK361" s="1124">
        <f>+Details!R360-Base!R361</f>
        <v>-10100</v>
      </c>
      <c r="BL361" s="1124">
        <f>+Details!S360-Base!S361</f>
        <v>-10700</v>
      </c>
      <c r="BM361" s="1124">
        <f>+Details!T360-Base!T361</f>
        <v>-11400</v>
      </c>
      <c r="BN361" s="1124">
        <f>+Details!U360-Base!U361</f>
        <v>-12100</v>
      </c>
      <c r="BO361" s="1124">
        <f>+Details!V360-Base!V361</f>
        <v>-12800</v>
      </c>
      <c r="BP361" s="1124">
        <f>+Details!W360-Base!W361</f>
        <v>-13600</v>
      </c>
      <c r="BQ361" s="1124">
        <f>+Details!X360-Base!X361</f>
        <v>-12800</v>
      </c>
      <c r="BR361" s="1124">
        <f>+Details!Y360-Base!Y361</f>
        <v>-13400</v>
      </c>
      <c r="BS361" s="1124">
        <f>+Details!Z360-Base!Z361</f>
        <v>-14100</v>
      </c>
      <c r="BT361" s="1124">
        <f>+Details!AA360-Base!AA361</f>
        <v>-14700</v>
      </c>
      <c r="BU361" s="1124">
        <f>+Details!AB360-Base!AB361</f>
        <v>-15400</v>
      </c>
      <c r="BV361" s="1124">
        <f>+Details!AC360-Base!AC361</f>
        <v>-16200</v>
      </c>
      <c r="BW361" s="1124">
        <f>+Details!AD360-Base!AD361</f>
        <v>-16900</v>
      </c>
      <c r="BX361" s="1124">
        <f>+Details!AE360-Base!AE361</f>
        <v>-17800</v>
      </c>
      <c r="BY361" s="1124">
        <f>+Details!AF360-Base!AF361</f>
        <v>-18600</v>
      </c>
      <c r="BZ361" s="1124">
        <f>+Details!AG360-Base!AG361</f>
        <v>-19500</v>
      </c>
      <c r="CA361" s="1124">
        <f>+Details!AH360-Base!AH361</f>
        <v>-20500</v>
      </c>
      <c r="CB361" s="1124">
        <f>+Details!AI360-Base!AI361</f>
        <v>-21500</v>
      </c>
      <c r="CC361" s="1124">
        <f>+Details!AJ360-Base!AJ361</f>
        <v>0</v>
      </c>
      <c r="CD361" s="1124">
        <f>+Details!AK360-Base!AK361</f>
        <v>0</v>
      </c>
      <c r="CE361" s="1124">
        <f>+Details!AL360-Base!AL361</f>
        <v>0</v>
      </c>
      <c r="CF361" s="1124">
        <f>+Details!AM360-Base!AM361</f>
        <v>0</v>
      </c>
      <c r="CG361" s="1124">
        <f>+Details!AN360-Base!AN361</f>
        <v>0</v>
      </c>
      <c r="CH361" s="1124">
        <f>+Details!AO360-Base!AO361</f>
        <v>0</v>
      </c>
      <c r="CI361" s="1124">
        <f>+Details!AP360-Base!AP361</f>
        <v>0</v>
      </c>
      <c r="CJ361" s="1124">
        <f>+Details!AQ360-Base!AQ361</f>
        <v>0</v>
      </c>
      <c r="CK361" s="1124">
        <f>+Details!AR360-Base!AR361</f>
        <v>0</v>
      </c>
      <c r="CL361" s="1124">
        <f>+Details!AS360-Base!AS361</f>
        <v>0</v>
      </c>
      <c r="CM361" s="81"/>
    </row>
    <row r="362" spans="1:91" ht="15.6" hidden="1">
      <c r="A362" s="1432" t="s">
        <v>639</v>
      </c>
      <c r="B362" s="28" t="s">
        <v>1543</v>
      </c>
      <c r="C362" s="3"/>
      <c r="D362" s="3"/>
      <c r="E362" s="1489"/>
      <c r="F362" s="31">
        <f>+F353+F355+F356+F358+F360+F361</f>
        <v>79700</v>
      </c>
      <c r="G362" s="1147">
        <f>+G353+G355+G356+G358+G360+G361</f>
        <v>84700</v>
      </c>
      <c r="H362" s="1147">
        <f t="shared" ref="H362:AS362" si="305">+H353+H355+H356+H358+H360+H361</f>
        <v>90100</v>
      </c>
      <c r="I362" s="1147">
        <f t="shared" si="305"/>
        <v>95900</v>
      </c>
      <c r="J362" s="1147">
        <f t="shared" si="305"/>
        <v>102100</v>
      </c>
      <c r="K362" s="1147">
        <f t="shared" si="305"/>
        <v>108700</v>
      </c>
      <c r="L362" s="1147">
        <f t="shared" si="305"/>
        <v>115700</v>
      </c>
      <c r="M362" s="1147">
        <f t="shared" si="305"/>
        <v>123200</v>
      </c>
      <c r="N362" s="1147">
        <f t="shared" si="305"/>
        <v>131100</v>
      </c>
      <c r="O362" s="1147">
        <f t="shared" si="305"/>
        <v>139500</v>
      </c>
      <c r="P362" s="1147">
        <f t="shared" si="305"/>
        <v>148400</v>
      </c>
      <c r="Q362" s="1147">
        <f t="shared" si="305"/>
        <v>157900</v>
      </c>
      <c r="R362" s="1147">
        <f t="shared" si="305"/>
        <v>168000</v>
      </c>
      <c r="S362" s="1147">
        <f t="shared" si="305"/>
        <v>178700</v>
      </c>
      <c r="T362" s="1147">
        <f t="shared" si="305"/>
        <v>190100</v>
      </c>
      <c r="U362" s="1147">
        <f t="shared" si="305"/>
        <v>202200</v>
      </c>
      <c r="V362" s="1147">
        <f t="shared" si="305"/>
        <v>215000</v>
      </c>
      <c r="W362" s="1147">
        <f t="shared" si="305"/>
        <v>228600</v>
      </c>
      <c r="X362" s="1147">
        <f t="shared" si="305"/>
        <v>239900</v>
      </c>
      <c r="Y362" s="1147">
        <f t="shared" si="305"/>
        <v>251800</v>
      </c>
      <c r="Z362" s="1147">
        <f t="shared" si="305"/>
        <v>264400</v>
      </c>
      <c r="AA362" s="1147">
        <f t="shared" si="305"/>
        <v>277600</v>
      </c>
      <c r="AB362" s="1147">
        <f t="shared" si="305"/>
        <v>291500</v>
      </c>
      <c r="AC362" s="1147">
        <f t="shared" si="305"/>
        <v>306200</v>
      </c>
      <c r="AD362" s="1147">
        <f t="shared" si="305"/>
        <v>321600</v>
      </c>
      <c r="AE362" s="1147">
        <f t="shared" si="305"/>
        <v>337900</v>
      </c>
      <c r="AF362" s="1147">
        <f t="shared" si="305"/>
        <v>355000</v>
      </c>
      <c r="AG362" s="1147">
        <f t="shared" si="305"/>
        <v>373000</v>
      </c>
      <c r="AH362" s="1147">
        <f t="shared" si="305"/>
        <v>392000</v>
      </c>
      <c r="AI362" s="1147">
        <f t="shared" si="305"/>
        <v>412000</v>
      </c>
      <c r="AJ362" s="1147">
        <f t="shared" si="305"/>
        <v>0</v>
      </c>
      <c r="AK362" s="1147">
        <f t="shared" si="305"/>
        <v>0</v>
      </c>
      <c r="AL362" s="1147">
        <f t="shared" si="305"/>
        <v>0</v>
      </c>
      <c r="AM362" s="1147">
        <f t="shared" si="305"/>
        <v>0</v>
      </c>
      <c r="AN362" s="1147">
        <f t="shared" si="305"/>
        <v>0</v>
      </c>
      <c r="AO362" s="1147">
        <f t="shared" si="305"/>
        <v>0</v>
      </c>
      <c r="AP362" s="1147">
        <f t="shared" si="305"/>
        <v>0</v>
      </c>
      <c r="AQ362" s="1147">
        <f t="shared" si="305"/>
        <v>0</v>
      </c>
      <c r="AR362" s="1147">
        <f t="shared" si="305"/>
        <v>0</v>
      </c>
      <c r="AS362" s="1147">
        <f t="shared" si="305"/>
        <v>0</v>
      </c>
      <c r="AU362" s="29"/>
      <c r="AV362" s="81"/>
      <c r="AW362" s="191"/>
      <c r="AY362" s="31">
        <f>+Details!F361-Base!F362</f>
        <v>-75000</v>
      </c>
      <c r="AZ362" s="1124">
        <f>+Details!G361-Base!G362</f>
        <v>-79700</v>
      </c>
      <c r="BA362" s="1124">
        <f>+Details!H361-Base!H362</f>
        <v>-84700</v>
      </c>
      <c r="BB362" s="1124">
        <f>+Details!I361-Base!I362</f>
        <v>-90100</v>
      </c>
      <c r="BC362" s="1124">
        <f>+Details!J361-Base!J362</f>
        <v>-95900</v>
      </c>
      <c r="BD362" s="1124">
        <f>+Details!K361-Base!K362</f>
        <v>-102100</v>
      </c>
      <c r="BE362" s="1124">
        <f>+Details!L361-Base!L362</f>
        <v>-108700</v>
      </c>
      <c r="BF362" s="1124">
        <f>+Details!M361-Base!M362</f>
        <v>-115700</v>
      </c>
      <c r="BG362" s="1124">
        <f>+Details!N361-Base!N362</f>
        <v>-123200</v>
      </c>
      <c r="BH362" s="1124">
        <f>+Details!O361-Base!O362</f>
        <v>-131100</v>
      </c>
      <c r="BI362" s="1124">
        <f>+Details!P361-Base!P362</f>
        <v>-139500</v>
      </c>
      <c r="BJ362" s="1124">
        <f>+Details!Q361-Base!Q362</f>
        <v>-148400</v>
      </c>
      <c r="BK362" s="1124">
        <f>+Details!R361-Base!R362</f>
        <v>-157900</v>
      </c>
      <c r="BL362" s="1124">
        <f>+Details!S361-Base!S362</f>
        <v>-168000</v>
      </c>
      <c r="BM362" s="1124">
        <f>+Details!T361-Base!T362</f>
        <v>-178700</v>
      </c>
      <c r="BN362" s="1124">
        <f>+Details!U361-Base!U362</f>
        <v>-190100</v>
      </c>
      <c r="BO362" s="1124">
        <f>+Details!V361-Base!V362</f>
        <v>-202200</v>
      </c>
      <c r="BP362" s="1124">
        <f>+Details!W361-Base!W362</f>
        <v>-215000</v>
      </c>
      <c r="BQ362" s="1124">
        <f>+Details!X361-Base!X362</f>
        <v>-227600</v>
      </c>
      <c r="BR362" s="1124">
        <f>+Details!Y361-Base!Y362</f>
        <v>-238900</v>
      </c>
      <c r="BS362" s="1124">
        <f>+Details!Z361-Base!Z362</f>
        <v>-250800</v>
      </c>
      <c r="BT362" s="1124">
        <f>+Details!AA361-Base!AA362</f>
        <v>-263400</v>
      </c>
      <c r="BU362" s="1124">
        <f>+Details!AB361-Base!AB362</f>
        <v>-276600</v>
      </c>
      <c r="BV362" s="1124">
        <f>+Details!AC361-Base!AC362</f>
        <v>-290500</v>
      </c>
      <c r="BW362" s="1124">
        <f>+Details!AD361-Base!AD362</f>
        <v>-305200</v>
      </c>
      <c r="BX362" s="1124">
        <f>+Details!AE361-Base!AE362</f>
        <v>-320600</v>
      </c>
      <c r="BY362" s="1124">
        <f>+Details!AF361-Base!AF362</f>
        <v>-336900</v>
      </c>
      <c r="BZ362" s="1124">
        <f>+Details!AG361-Base!AG362</f>
        <v>-354000</v>
      </c>
      <c r="CA362" s="1124">
        <f>+Details!AH361-Base!AH362</f>
        <v>-372000</v>
      </c>
      <c r="CB362" s="1124">
        <f>+Details!AI361-Base!AI362</f>
        <v>-391000</v>
      </c>
      <c r="CC362" s="1124">
        <f>+Details!AJ361-Base!AJ362</f>
        <v>0</v>
      </c>
      <c r="CD362" s="1124">
        <f>+Details!AK361-Base!AK362</f>
        <v>0</v>
      </c>
      <c r="CE362" s="1124">
        <f>+Details!AL361-Base!AL362</f>
        <v>0</v>
      </c>
      <c r="CF362" s="1124">
        <f>+Details!AM361-Base!AM362</f>
        <v>0</v>
      </c>
      <c r="CG362" s="1124">
        <f>+Details!AN361-Base!AN362</f>
        <v>0</v>
      </c>
      <c r="CH362" s="1124">
        <f>+Details!AO361-Base!AO362</f>
        <v>0</v>
      </c>
      <c r="CI362" s="1124">
        <f>+Details!AP361-Base!AP362</f>
        <v>0</v>
      </c>
      <c r="CJ362" s="1124">
        <f>+Details!AQ361-Base!AQ362</f>
        <v>0</v>
      </c>
      <c r="CK362" s="1124">
        <f>+Details!AR361-Base!AR362</f>
        <v>0</v>
      </c>
      <c r="CL362" s="1124">
        <f>+Details!AS361-Base!AS362</f>
        <v>0</v>
      </c>
      <c r="CM362" s="81"/>
    </row>
    <row r="363" spans="1:91" hidden="1">
      <c r="A363" s="1432" t="s">
        <v>639</v>
      </c>
      <c r="B363" s="72" t="s">
        <v>1544</v>
      </c>
      <c r="C363" s="3"/>
      <c r="D363" s="3"/>
      <c r="E363" s="191">
        <f>SUM(F363:AS363)</f>
        <v>0</v>
      </c>
      <c r="F363" s="38">
        <f t="shared" ref="F363:AS363" si="306">+F126</f>
        <v>0</v>
      </c>
      <c r="G363" s="1125">
        <f t="shared" si="306"/>
        <v>0</v>
      </c>
      <c r="H363" s="1125">
        <f t="shared" si="306"/>
        <v>0</v>
      </c>
      <c r="I363" s="1125">
        <f t="shared" si="306"/>
        <v>0</v>
      </c>
      <c r="J363" s="1125">
        <f t="shared" si="306"/>
        <v>0</v>
      </c>
      <c r="K363" s="1125">
        <f t="shared" si="306"/>
        <v>0</v>
      </c>
      <c r="L363" s="1125">
        <f t="shared" si="306"/>
        <v>0</v>
      </c>
      <c r="M363" s="1125">
        <f t="shared" si="306"/>
        <v>0</v>
      </c>
      <c r="N363" s="1125">
        <f t="shared" si="306"/>
        <v>0</v>
      </c>
      <c r="O363" s="1125">
        <f t="shared" si="306"/>
        <v>0</v>
      </c>
      <c r="P363" s="1125">
        <f t="shared" si="306"/>
        <v>0</v>
      </c>
      <c r="Q363" s="1125">
        <f t="shared" si="306"/>
        <v>0</v>
      </c>
      <c r="R363" s="1125">
        <f t="shared" si="306"/>
        <v>0</v>
      </c>
      <c r="S363" s="1125">
        <f t="shared" si="306"/>
        <v>0</v>
      </c>
      <c r="T363" s="1125">
        <f t="shared" si="306"/>
        <v>0</v>
      </c>
      <c r="U363" s="1125">
        <f t="shared" si="306"/>
        <v>0</v>
      </c>
      <c r="V363" s="1125">
        <f t="shared" si="306"/>
        <v>0</v>
      </c>
      <c r="W363" s="1125">
        <f t="shared" si="306"/>
        <v>0</v>
      </c>
      <c r="X363" s="1125">
        <f t="shared" si="306"/>
        <v>0</v>
      </c>
      <c r="Y363" s="1125">
        <f t="shared" si="306"/>
        <v>0</v>
      </c>
      <c r="Z363" s="1125">
        <f t="shared" si="306"/>
        <v>0</v>
      </c>
      <c r="AA363" s="1125">
        <f t="shared" si="306"/>
        <v>0</v>
      </c>
      <c r="AB363" s="1125">
        <f t="shared" si="306"/>
        <v>0</v>
      </c>
      <c r="AC363" s="1125">
        <f t="shared" si="306"/>
        <v>0</v>
      </c>
      <c r="AD363" s="1125">
        <f t="shared" si="306"/>
        <v>0</v>
      </c>
      <c r="AE363" s="1125">
        <f t="shared" si="306"/>
        <v>0</v>
      </c>
      <c r="AF363" s="1125">
        <f t="shared" si="306"/>
        <v>0</v>
      </c>
      <c r="AG363" s="1125">
        <f t="shared" si="306"/>
        <v>0</v>
      </c>
      <c r="AH363" s="1125">
        <f t="shared" si="306"/>
        <v>0</v>
      </c>
      <c r="AI363" s="1125">
        <f t="shared" si="306"/>
        <v>0</v>
      </c>
      <c r="AJ363" s="1125">
        <f t="shared" si="306"/>
        <v>0</v>
      </c>
      <c r="AK363" s="1125">
        <f t="shared" si="306"/>
        <v>0</v>
      </c>
      <c r="AL363" s="1125">
        <f t="shared" si="306"/>
        <v>0</v>
      </c>
      <c r="AM363" s="1125">
        <f t="shared" si="306"/>
        <v>0</v>
      </c>
      <c r="AN363" s="1125">
        <f t="shared" si="306"/>
        <v>0</v>
      </c>
      <c r="AO363" s="1125">
        <f t="shared" si="306"/>
        <v>0</v>
      </c>
      <c r="AP363" s="1125">
        <f t="shared" si="306"/>
        <v>0</v>
      </c>
      <c r="AQ363" s="1125">
        <f t="shared" si="306"/>
        <v>0</v>
      </c>
      <c r="AR363" s="1125">
        <f t="shared" si="306"/>
        <v>0</v>
      </c>
      <c r="AS363" s="1125">
        <f t="shared" si="306"/>
        <v>0</v>
      </c>
      <c r="AU363" s="34">
        <f>+Details!E363</f>
        <v>0</v>
      </c>
      <c r="AV363" s="83">
        <f t="shared" si="301"/>
        <v>0</v>
      </c>
      <c r="AW363" s="191"/>
      <c r="AY363" s="38">
        <f>+Details!F362-Base!F363</f>
        <v>79700</v>
      </c>
      <c r="AZ363" s="1125">
        <f>+Details!G362-Base!G363</f>
        <v>84700</v>
      </c>
      <c r="BA363" s="1125">
        <f>+Details!H362-Base!H363</f>
        <v>90100</v>
      </c>
      <c r="BB363" s="1125">
        <f>+Details!I362-Base!I363</f>
        <v>95900</v>
      </c>
      <c r="BC363" s="1125">
        <f>+Details!J362-Base!J363</f>
        <v>102100</v>
      </c>
      <c r="BD363" s="1125">
        <f>+Details!K362-Base!K363</f>
        <v>108700</v>
      </c>
      <c r="BE363" s="1125">
        <f>+Details!L362-Base!L363</f>
        <v>115700</v>
      </c>
      <c r="BF363" s="1125">
        <f>+Details!M362-Base!M363</f>
        <v>123200</v>
      </c>
      <c r="BG363" s="1125">
        <f>+Details!N362-Base!N363</f>
        <v>131100</v>
      </c>
      <c r="BH363" s="1125">
        <f>+Details!O362-Base!O363</f>
        <v>139500</v>
      </c>
      <c r="BI363" s="1125">
        <f>+Details!P362-Base!P363</f>
        <v>148400</v>
      </c>
      <c r="BJ363" s="1125">
        <f>+Details!Q362-Base!Q363</f>
        <v>157900</v>
      </c>
      <c r="BK363" s="1125">
        <f>+Details!R362-Base!R363</f>
        <v>168000</v>
      </c>
      <c r="BL363" s="1125">
        <f>+Details!S362-Base!S363</f>
        <v>178700</v>
      </c>
      <c r="BM363" s="1125">
        <f>+Details!T362-Base!T363</f>
        <v>190100</v>
      </c>
      <c r="BN363" s="1125">
        <f>+Details!U362-Base!U363</f>
        <v>202200</v>
      </c>
      <c r="BO363" s="1125">
        <f>+Details!V362-Base!V363</f>
        <v>215000</v>
      </c>
      <c r="BP363" s="1125">
        <f>+Details!W362-Base!W363</f>
        <v>228600</v>
      </c>
      <c r="BQ363" s="1125">
        <f>+Details!X362-Base!X363</f>
        <v>239900</v>
      </c>
      <c r="BR363" s="1125">
        <f>+Details!Y362-Base!Y363</f>
        <v>251800</v>
      </c>
      <c r="BS363" s="1125">
        <f>+Details!Z362-Base!Z363</f>
        <v>264400</v>
      </c>
      <c r="BT363" s="1125">
        <f>+Details!AA362-Base!AA363</f>
        <v>277600</v>
      </c>
      <c r="BU363" s="1125">
        <f>+Details!AB362-Base!AB363</f>
        <v>291500</v>
      </c>
      <c r="BV363" s="1125">
        <f>+Details!AC362-Base!AC363</f>
        <v>306200</v>
      </c>
      <c r="BW363" s="1125">
        <f>+Details!AD362-Base!AD363</f>
        <v>321600</v>
      </c>
      <c r="BX363" s="1125">
        <f>+Details!AE362-Base!AE363</f>
        <v>337900</v>
      </c>
      <c r="BY363" s="1125">
        <f>+Details!AF362-Base!AF363</f>
        <v>355000</v>
      </c>
      <c r="BZ363" s="1125">
        <f>+Details!AG362-Base!AG363</f>
        <v>373000</v>
      </c>
      <c r="CA363" s="1125">
        <f>+Details!AH362-Base!AH363</f>
        <v>392000</v>
      </c>
      <c r="CB363" s="1125">
        <f>+Details!AI362-Base!AI363</f>
        <v>412000</v>
      </c>
      <c r="CC363" s="1125">
        <f>+Details!AJ362-Base!AJ363</f>
        <v>0</v>
      </c>
      <c r="CD363" s="1125">
        <f>+Details!AK362-Base!AK363</f>
        <v>0</v>
      </c>
      <c r="CE363" s="1125">
        <f>+Details!AL362-Base!AL363</f>
        <v>0</v>
      </c>
      <c r="CF363" s="1125">
        <f>+Details!AM362-Base!AM363</f>
        <v>0</v>
      </c>
      <c r="CG363" s="1125">
        <f>+Details!AN362-Base!AN363</f>
        <v>0</v>
      </c>
      <c r="CH363" s="1125">
        <f>+Details!AO362-Base!AO363</f>
        <v>0</v>
      </c>
      <c r="CI363" s="1125">
        <f>+Details!AP362-Base!AP363</f>
        <v>0</v>
      </c>
      <c r="CJ363" s="1125">
        <f>+Details!AQ362-Base!AQ363</f>
        <v>0</v>
      </c>
      <c r="CK363" s="1125">
        <f>+Details!AR362-Base!AR363</f>
        <v>0</v>
      </c>
      <c r="CL363" s="1125">
        <f>+Details!AS362-Base!AS363</f>
        <v>0</v>
      </c>
      <c r="CM363" s="81"/>
    </row>
    <row r="364" spans="1:91" hidden="1">
      <c r="A364" s="1432" t="s">
        <v>639</v>
      </c>
      <c r="B364" s="633" t="s">
        <v>920</v>
      </c>
      <c r="C364" s="3"/>
      <c r="D364" s="3"/>
      <c r="E364" s="433">
        <f ca="1">INDIRECT(ADDRESS(ROW(),Total_Years+5))</f>
        <v>412000</v>
      </c>
      <c r="F364" s="31">
        <f>+F353+F355+F356+F358+F360+F361+F363</f>
        <v>79700</v>
      </c>
      <c r="G364" s="1124">
        <f>+G353+G355+G356+G358+G360+G361+G363</f>
        <v>84700</v>
      </c>
      <c r="H364" s="1124">
        <f t="shared" ref="H364:AS364" si="307">+H353+H355+H356+H358+H360+H361+H363</f>
        <v>90100</v>
      </c>
      <c r="I364" s="1124">
        <f t="shared" si="307"/>
        <v>95900</v>
      </c>
      <c r="J364" s="1124">
        <f t="shared" si="307"/>
        <v>102100</v>
      </c>
      <c r="K364" s="1124">
        <f t="shared" si="307"/>
        <v>108700</v>
      </c>
      <c r="L364" s="1124">
        <f t="shared" si="307"/>
        <v>115700</v>
      </c>
      <c r="M364" s="1124">
        <f t="shared" si="307"/>
        <v>123200</v>
      </c>
      <c r="N364" s="1124">
        <f t="shared" si="307"/>
        <v>131100</v>
      </c>
      <c r="O364" s="1124">
        <f t="shared" si="307"/>
        <v>139500</v>
      </c>
      <c r="P364" s="1124">
        <f t="shared" si="307"/>
        <v>148400</v>
      </c>
      <c r="Q364" s="1124">
        <f t="shared" si="307"/>
        <v>157900</v>
      </c>
      <c r="R364" s="1124">
        <f t="shared" si="307"/>
        <v>168000</v>
      </c>
      <c r="S364" s="1124">
        <f t="shared" si="307"/>
        <v>178700</v>
      </c>
      <c r="T364" s="1124">
        <f t="shared" si="307"/>
        <v>190100</v>
      </c>
      <c r="U364" s="1124">
        <f t="shared" si="307"/>
        <v>202200</v>
      </c>
      <c r="V364" s="1124">
        <f t="shared" si="307"/>
        <v>215000</v>
      </c>
      <c r="W364" s="1124">
        <f t="shared" si="307"/>
        <v>228600</v>
      </c>
      <c r="X364" s="1124">
        <f t="shared" si="307"/>
        <v>239900</v>
      </c>
      <c r="Y364" s="1124">
        <f t="shared" si="307"/>
        <v>251800</v>
      </c>
      <c r="Z364" s="1124">
        <f t="shared" si="307"/>
        <v>264400</v>
      </c>
      <c r="AA364" s="1124">
        <f t="shared" si="307"/>
        <v>277600</v>
      </c>
      <c r="AB364" s="1124">
        <f t="shared" si="307"/>
        <v>291500</v>
      </c>
      <c r="AC364" s="1124">
        <f t="shared" si="307"/>
        <v>306200</v>
      </c>
      <c r="AD364" s="1124">
        <f t="shared" si="307"/>
        <v>321600</v>
      </c>
      <c r="AE364" s="1124">
        <f t="shared" si="307"/>
        <v>337900</v>
      </c>
      <c r="AF364" s="1124">
        <f t="shared" si="307"/>
        <v>355000</v>
      </c>
      <c r="AG364" s="1124">
        <f t="shared" si="307"/>
        <v>373000</v>
      </c>
      <c r="AH364" s="1124">
        <f t="shared" si="307"/>
        <v>392000</v>
      </c>
      <c r="AI364" s="1124">
        <f t="shared" si="307"/>
        <v>412000</v>
      </c>
      <c r="AJ364" s="1124">
        <f t="shared" si="307"/>
        <v>0</v>
      </c>
      <c r="AK364" s="1124">
        <f t="shared" si="307"/>
        <v>0</v>
      </c>
      <c r="AL364" s="1124">
        <f t="shared" si="307"/>
        <v>0</v>
      </c>
      <c r="AM364" s="1124">
        <f t="shared" si="307"/>
        <v>0</v>
      </c>
      <c r="AN364" s="1124">
        <f t="shared" si="307"/>
        <v>0</v>
      </c>
      <c r="AO364" s="1124">
        <f t="shared" si="307"/>
        <v>0</v>
      </c>
      <c r="AP364" s="1124">
        <f t="shared" si="307"/>
        <v>0</v>
      </c>
      <c r="AQ364" s="1124">
        <f t="shared" si="307"/>
        <v>0</v>
      </c>
      <c r="AR364" s="1124">
        <f t="shared" si="307"/>
        <v>0</v>
      </c>
      <c r="AS364" s="1124">
        <f t="shared" si="307"/>
        <v>0</v>
      </c>
      <c r="AU364" s="29">
        <f ca="1">+Details!E364</f>
        <v>412000</v>
      </c>
      <c r="AV364" s="81">
        <f t="shared" ca="1" si="301"/>
        <v>0</v>
      </c>
      <c r="AW364" s="191"/>
      <c r="AY364" s="31">
        <f>+Details!F363-Base!F364</f>
        <v>-79700</v>
      </c>
      <c r="AZ364" s="1124">
        <f>+Details!G363-Base!G364</f>
        <v>-84700</v>
      </c>
      <c r="BA364" s="1124">
        <f>+Details!H363-Base!H364</f>
        <v>-90100</v>
      </c>
      <c r="BB364" s="1124">
        <f>+Details!I363-Base!I364</f>
        <v>-95900</v>
      </c>
      <c r="BC364" s="1124">
        <f>+Details!J363-Base!J364</f>
        <v>-102100</v>
      </c>
      <c r="BD364" s="1124">
        <f>+Details!K363-Base!K364</f>
        <v>-108700</v>
      </c>
      <c r="BE364" s="1124">
        <f>+Details!L363-Base!L364</f>
        <v>-115700</v>
      </c>
      <c r="BF364" s="1124">
        <f>+Details!M363-Base!M364</f>
        <v>-123200</v>
      </c>
      <c r="BG364" s="1124">
        <f>+Details!N363-Base!N364</f>
        <v>-131100</v>
      </c>
      <c r="BH364" s="1124">
        <f>+Details!O363-Base!O364</f>
        <v>-139500</v>
      </c>
      <c r="BI364" s="1124">
        <f>+Details!P363-Base!P364</f>
        <v>-148400</v>
      </c>
      <c r="BJ364" s="1124">
        <f>+Details!Q363-Base!Q364</f>
        <v>-157900</v>
      </c>
      <c r="BK364" s="1124">
        <f>+Details!R363-Base!R364</f>
        <v>-168000</v>
      </c>
      <c r="BL364" s="1124">
        <f>+Details!S363-Base!S364</f>
        <v>-178700</v>
      </c>
      <c r="BM364" s="1124">
        <f>+Details!T363-Base!T364</f>
        <v>-190100</v>
      </c>
      <c r="BN364" s="1124">
        <f>+Details!U363-Base!U364</f>
        <v>-202200</v>
      </c>
      <c r="BO364" s="1124">
        <f>+Details!V363-Base!V364</f>
        <v>-215000</v>
      </c>
      <c r="BP364" s="1124">
        <f>+Details!W363-Base!W364</f>
        <v>-228600</v>
      </c>
      <c r="BQ364" s="1124">
        <f>+Details!X363-Base!X364</f>
        <v>-239900</v>
      </c>
      <c r="BR364" s="1124">
        <f>+Details!Y363-Base!Y364</f>
        <v>-251800</v>
      </c>
      <c r="BS364" s="1124">
        <f>+Details!Z363-Base!Z364</f>
        <v>-264400</v>
      </c>
      <c r="BT364" s="1124">
        <f>+Details!AA363-Base!AA364</f>
        <v>-277600</v>
      </c>
      <c r="BU364" s="1124">
        <f>+Details!AB363-Base!AB364</f>
        <v>-291500</v>
      </c>
      <c r="BV364" s="1124">
        <f>+Details!AC363-Base!AC364</f>
        <v>-306200</v>
      </c>
      <c r="BW364" s="1124">
        <f>+Details!AD363-Base!AD364</f>
        <v>-321600</v>
      </c>
      <c r="BX364" s="1124">
        <f>+Details!AE363-Base!AE364</f>
        <v>-337900</v>
      </c>
      <c r="BY364" s="1124">
        <f>+Details!AF363-Base!AF364</f>
        <v>-355000</v>
      </c>
      <c r="BZ364" s="1124">
        <f>+Details!AG363-Base!AG364</f>
        <v>-373000</v>
      </c>
      <c r="CA364" s="1124">
        <f>+Details!AH363-Base!AH364</f>
        <v>-392000</v>
      </c>
      <c r="CB364" s="1124">
        <f>+Details!AI363-Base!AI364</f>
        <v>-412000</v>
      </c>
      <c r="CC364" s="1124">
        <f>+Details!AJ363-Base!AJ364</f>
        <v>0</v>
      </c>
      <c r="CD364" s="1124">
        <f>+Details!AK363-Base!AK364</f>
        <v>0</v>
      </c>
      <c r="CE364" s="1124">
        <f>+Details!AL363-Base!AL364</f>
        <v>0</v>
      </c>
      <c r="CF364" s="1124">
        <f>+Details!AM363-Base!AM364</f>
        <v>0</v>
      </c>
      <c r="CG364" s="1124">
        <f>+Details!AN363-Base!AN364</f>
        <v>0</v>
      </c>
      <c r="CH364" s="1124">
        <f>+Details!AO363-Base!AO364</f>
        <v>0</v>
      </c>
      <c r="CI364" s="1124">
        <f>+Details!AP363-Base!AP364</f>
        <v>0</v>
      </c>
      <c r="CJ364" s="1124">
        <f>+Details!AQ363-Base!AQ364</f>
        <v>0</v>
      </c>
      <c r="CK364" s="1124">
        <f>+Details!AR363-Base!AR364</f>
        <v>0</v>
      </c>
      <c r="CL364" s="1124">
        <f>+Details!AS363-Base!AS364</f>
        <v>0</v>
      </c>
      <c r="CM364" s="81"/>
    </row>
    <row r="365" spans="1:91" hidden="1">
      <c r="A365" s="1432" t="s">
        <v>639</v>
      </c>
      <c r="B365" s="72"/>
      <c r="C365" s="3"/>
      <c r="E365" s="363"/>
      <c r="F365" s="31"/>
      <c r="G365" s="31"/>
      <c r="H365" s="31"/>
      <c r="I365" s="31"/>
      <c r="J365" s="31"/>
      <c r="K365" s="31"/>
      <c r="L365" s="31"/>
      <c r="M365" s="31"/>
      <c r="N365" s="31"/>
      <c r="O365" s="31"/>
      <c r="P365" s="31"/>
      <c r="Q365" s="31"/>
      <c r="R365" s="31"/>
      <c r="S365" s="31"/>
      <c r="T365" s="31"/>
      <c r="U365" s="31"/>
      <c r="V365" s="31"/>
      <c r="W365" s="31"/>
      <c r="X365" s="31"/>
      <c r="Y365" s="31"/>
      <c r="Z365" s="31"/>
      <c r="AA365" s="31"/>
      <c r="AB365" s="31"/>
      <c r="AC365" s="31"/>
      <c r="AD365" s="31"/>
      <c r="AE365" s="31"/>
      <c r="AF365" s="31"/>
      <c r="AG365" s="31"/>
      <c r="AH365" s="31"/>
      <c r="AI365" s="31"/>
      <c r="AJ365" s="31"/>
      <c r="AK365" s="31"/>
      <c r="AL365" s="31"/>
      <c r="AM365" s="31"/>
      <c r="AN365" s="31"/>
      <c r="AO365" s="31"/>
      <c r="AP365" s="31"/>
      <c r="AQ365" s="31"/>
      <c r="AR365" s="31"/>
      <c r="AS365" s="31"/>
      <c r="AU365" s="29"/>
      <c r="AV365" s="81"/>
      <c r="AW365" s="1489"/>
      <c r="AY365" s="31"/>
      <c r="AZ365" s="31"/>
      <c r="BA365" s="31"/>
      <c r="BB365" s="31"/>
      <c r="BC365" s="31"/>
      <c r="BD365" s="31"/>
      <c r="BE365" s="31"/>
      <c r="BF365" s="31"/>
      <c r="BG365" s="31"/>
      <c r="BH365" s="31"/>
      <c r="BI365" s="31"/>
      <c r="BJ365" s="31"/>
      <c r="BK365" s="31"/>
      <c r="BL365" s="31"/>
      <c r="BM365" s="31"/>
      <c r="BN365" s="31"/>
      <c r="BO365" s="31"/>
      <c r="BP365" s="31"/>
      <c r="BQ365" s="31"/>
      <c r="BR365" s="31"/>
      <c r="BS365" s="31"/>
      <c r="BT365" s="31"/>
      <c r="BU365" s="31"/>
      <c r="BV365" s="31"/>
      <c r="BW365" s="31"/>
      <c r="BX365" s="31"/>
      <c r="BY365" s="31"/>
      <c r="BZ365" s="31"/>
      <c r="CA365" s="31"/>
      <c r="CB365" s="31"/>
      <c r="CC365" s="31"/>
      <c r="CD365" s="31"/>
      <c r="CE365" s="31"/>
      <c r="CF365" s="31"/>
      <c r="CG365" s="31"/>
      <c r="CH365" s="31"/>
      <c r="CI365" s="31"/>
      <c r="CJ365" s="31"/>
      <c r="CK365" s="31"/>
      <c r="CL365" s="31"/>
      <c r="CM365" s="81"/>
    </row>
    <row r="366" spans="1:91" ht="15.6" hidden="1">
      <c r="A366" s="1432" t="s">
        <v>639</v>
      </c>
      <c r="B366" s="25" t="s">
        <v>918</v>
      </c>
      <c r="C366" s="3"/>
      <c r="E366" s="363"/>
      <c r="F366" s="31"/>
      <c r="G366" s="31"/>
      <c r="H366" s="31"/>
      <c r="I366" s="31"/>
      <c r="J366" s="31"/>
      <c r="K366" s="31"/>
      <c r="L366" s="31"/>
      <c r="M366" s="31"/>
      <c r="N366" s="31"/>
      <c r="O366" s="31"/>
      <c r="P366" s="31"/>
      <c r="Q366" s="31"/>
      <c r="R366" s="31"/>
      <c r="S366" s="31"/>
      <c r="T366" s="31"/>
      <c r="U366" s="31"/>
      <c r="V366" s="31"/>
      <c r="W366" s="31"/>
      <c r="X366" s="31"/>
      <c r="Y366" s="31"/>
      <c r="Z366" s="31"/>
      <c r="AA366" s="31"/>
      <c r="AB366" s="31"/>
      <c r="AC366" s="31"/>
      <c r="AD366" s="31"/>
      <c r="AE366" s="31"/>
      <c r="AF366" s="31"/>
      <c r="AG366" s="31"/>
      <c r="AH366" s="31"/>
      <c r="AI366" s="31"/>
      <c r="AJ366" s="31"/>
      <c r="AK366" s="31"/>
      <c r="AL366" s="31"/>
      <c r="AM366" s="31"/>
      <c r="AN366" s="31"/>
      <c r="AO366" s="31"/>
      <c r="AP366" s="31"/>
      <c r="AQ366" s="31"/>
      <c r="AR366" s="31"/>
      <c r="AS366" s="31"/>
      <c r="AU366" s="29"/>
      <c r="AV366" s="81"/>
      <c r="AW366" s="1489"/>
      <c r="AY366" s="31"/>
      <c r="AZ366" s="31"/>
      <c r="BA366" s="31"/>
      <c r="BB366" s="31"/>
      <c r="BC366" s="31"/>
      <c r="BD366" s="31"/>
      <c r="BE366" s="31"/>
      <c r="BF366" s="31"/>
      <c r="BG366" s="31"/>
      <c r="BH366" s="31"/>
      <c r="BI366" s="31"/>
      <c r="BJ366" s="31"/>
      <c r="BK366" s="31"/>
      <c r="BL366" s="31"/>
      <c r="BM366" s="31"/>
      <c r="BN366" s="31"/>
      <c r="BO366" s="31"/>
      <c r="BP366" s="31"/>
      <c r="BQ366" s="31"/>
      <c r="BR366" s="31"/>
      <c r="BS366" s="31"/>
      <c r="BT366" s="31"/>
      <c r="BU366" s="31"/>
      <c r="BV366" s="31"/>
      <c r="BW366" s="31"/>
      <c r="BX366" s="31"/>
      <c r="BY366" s="31"/>
      <c r="BZ366" s="31"/>
      <c r="CA366" s="31"/>
      <c r="CB366" s="31"/>
      <c r="CC366" s="31"/>
      <c r="CD366" s="31"/>
      <c r="CE366" s="31"/>
      <c r="CF366" s="31"/>
      <c r="CG366" s="31"/>
      <c r="CH366" s="31"/>
      <c r="CI366" s="31"/>
      <c r="CJ366" s="31"/>
      <c r="CK366" s="31"/>
      <c r="CL366" s="31"/>
      <c r="CM366" s="81"/>
    </row>
    <row r="367" spans="1:91" ht="15.6" hidden="1">
      <c r="A367" s="1432" t="s">
        <v>639</v>
      </c>
      <c r="B367" s="234" t="s">
        <v>547</v>
      </c>
      <c r="C367" s="3"/>
      <c r="D367" s="3"/>
      <c r="E367" s="363"/>
      <c r="F367" s="1293">
        <f>+F16</f>
        <v>25000</v>
      </c>
      <c r="G367" s="1124">
        <f t="shared" ref="G367:AS367" si="308">+F374*IF(G$7-$F$7&lt;=Total_Years-1,1,0)</f>
        <v>26400</v>
      </c>
      <c r="H367" s="1124">
        <f t="shared" si="308"/>
        <v>27900</v>
      </c>
      <c r="I367" s="1124">
        <f t="shared" si="308"/>
        <v>29500</v>
      </c>
      <c r="J367" s="1124">
        <f t="shared" si="308"/>
        <v>31200</v>
      </c>
      <c r="K367" s="1124">
        <f t="shared" si="308"/>
        <v>33000</v>
      </c>
      <c r="L367" s="1124">
        <f t="shared" si="308"/>
        <v>34900</v>
      </c>
      <c r="M367" s="1124">
        <f t="shared" si="308"/>
        <v>36900</v>
      </c>
      <c r="N367" s="1124">
        <f t="shared" si="308"/>
        <v>39000</v>
      </c>
      <c r="O367" s="1124">
        <f t="shared" si="308"/>
        <v>36100</v>
      </c>
      <c r="P367" s="1124">
        <f t="shared" si="308"/>
        <v>32500</v>
      </c>
      <c r="Q367" s="1124">
        <f t="shared" si="308"/>
        <v>28100</v>
      </c>
      <c r="R367" s="1124">
        <f t="shared" si="308"/>
        <v>22800</v>
      </c>
      <c r="S367" s="1124">
        <f t="shared" si="308"/>
        <v>16500</v>
      </c>
      <c r="T367" s="1124">
        <f t="shared" si="308"/>
        <v>9100</v>
      </c>
      <c r="U367" s="1124">
        <f t="shared" si="308"/>
        <v>9600</v>
      </c>
      <c r="V367" s="1124">
        <f t="shared" si="308"/>
        <v>10100</v>
      </c>
      <c r="W367" s="1124">
        <f t="shared" si="308"/>
        <v>10700</v>
      </c>
      <c r="X367" s="1124">
        <f t="shared" si="308"/>
        <v>11300</v>
      </c>
      <c r="Y367" s="1124">
        <f t="shared" si="308"/>
        <v>11900</v>
      </c>
      <c r="Z367" s="1124">
        <f t="shared" si="308"/>
        <v>12500</v>
      </c>
      <c r="AA367" s="1124">
        <f t="shared" si="308"/>
        <v>13200</v>
      </c>
      <c r="AB367" s="1124">
        <f t="shared" si="308"/>
        <v>13900</v>
      </c>
      <c r="AC367" s="1124">
        <f t="shared" si="308"/>
        <v>14600</v>
      </c>
      <c r="AD367" s="1124">
        <f t="shared" si="308"/>
        <v>15400</v>
      </c>
      <c r="AE367" s="1124">
        <f t="shared" si="308"/>
        <v>16200</v>
      </c>
      <c r="AF367" s="1124">
        <f t="shared" si="308"/>
        <v>17100</v>
      </c>
      <c r="AG367" s="1124">
        <f t="shared" si="308"/>
        <v>18000</v>
      </c>
      <c r="AH367" s="1124">
        <f t="shared" si="308"/>
        <v>19000</v>
      </c>
      <c r="AI367" s="1124">
        <f t="shared" si="308"/>
        <v>20000</v>
      </c>
      <c r="AJ367" s="1124">
        <f t="shared" si="308"/>
        <v>0</v>
      </c>
      <c r="AK367" s="1124">
        <f t="shared" si="308"/>
        <v>0</v>
      </c>
      <c r="AL367" s="1124">
        <f t="shared" si="308"/>
        <v>0</v>
      </c>
      <c r="AM367" s="1124">
        <f t="shared" si="308"/>
        <v>0</v>
      </c>
      <c r="AN367" s="1124">
        <f t="shared" si="308"/>
        <v>0</v>
      </c>
      <c r="AO367" s="1124">
        <f t="shared" si="308"/>
        <v>0</v>
      </c>
      <c r="AP367" s="1124">
        <f t="shared" si="308"/>
        <v>0</v>
      </c>
      <c r="AQ367" s="1124">
        <f t="shared" si="308"/>
        <v>0</v>
      </c>
      <c r="AR367" s="1124">
        <f t="shared" si="308"/>
        <v>0</v>
      </c>
      <c r="AS367" s="1124">
        <f t="shared" si="308"/>
        <v>0</v>
      </c>
      <c r="AU367" s="29"/>
      <c r="AV367" s="81"/>
      <c r="AW367" s="1489"/>
      <c r="AY367" s="190">
        <f>+Details!F367-Base!F367</f>
        <v>0</v>
      </c>
      <c r="AZ367" s="1124">
        <f>+Details!G367-Base!G367</f>
        <v>0</v>
      </c>
      <c r="BA367" s="1124">
        <f>+Details!H367-Base!H367</f>
        <v>0</v>
      </c>
      <c r="BB367" s="1124">
        <f>+Details!I367-Base!I367</f>
        <v>0</v>
      </c>
      <c r="BC367" s="1124">
        <f>+Details!J367-Base!J367</f>
        <v>0</v>
      </c>
      <c r="BD367" s="1124">
        <f>+Details!K367-Base!K367</f>
        <v>0</v>
      </c>
      <c r="BE367" s="1124">
        <f>+Details!L367-Base!L367</f>
        <v>0</v>
      </c>
      <c r="BF367" s="1124">
        <f>+Details!M367-Base!M367</f>
        <v>0</v>
      </c>
      <c r="BG367" s="1124">
        <f>+Details!N367-Base!N367</f>
        <v>0</v>
      </c>
      <c r="BH367" s="1124">
        <f>+Details!O367-Base!O367</f>
        <v>0</v>
      </c>
      <c r="BI367" s="1124">
        <f>+Details!P367-Base!P367</f>
        <v>0</v>
      </c>
      <c r="BJ367" s="1124">
        <f>+Details!Q367-Base!Q367</f>
        <v>0</v>
      </c>
      <c r="BK367" s="1124">
        <f>+Details!R367-Base!R367</f>
        <v>0</v>
      </c>
      <c r="BL367" s="1124">
        <f>+Details!S367-Base!S367</f>
        <v>0</v>
      </c>
      <c r="BM367" s="1124">
        <f>+Details!T367-Base!T367</f>
        <v>0</v>
      </c>
      <c r="BN367" s="1124">
        <f>+Details!U367-Base!U367</f>
        <v>0</v>
      </c>
      <c r="BO367" s="1124">
        <f>+Details!V367-Base!V367</f>
        <v>0</v>
      </c>
      <c r="BP367" s="1124">
        <f>+Details!W367-Base!W367</f>
        <v>0</v>
      </c>
      <c r="BQ367" s="1124">
        <f>+Details!X367-Base!X367</f>
        <v>0</v>
      </c>
      <c r="BR367" s="1124">
        <f>+Details!Y367-Base!Y367</f>
        <v>0</v>
      </c>
      <c r="BS367" s="1124">
        <f>+Details!Z367-Base!Z367</f>
        <v>0</v>
      </c>
      <c r="BT367" s="1124">
        <f>+Details!AA367-Base!AA367</f>
        <v>0</v>
      </c>
      <c r="BU367" s="1124">
        <f>+Details!AB367-Base!AB367</f>
        <v>0</v>
      </c>
      <c r="BV367" s="1124">
        <f>+Details!AC367-Base!AC367</f>
        <v>0</v>
      </c>
      <c r="BW367" s="1124">
        <f>+Details!AD367-Base!AD367</f>
        <v>0</v>
      </c>
      <c r="BX367" s="1124">
        <f>+Details!AE367-Base!AE367</f>
        <v>0</v>
      </c>
      <c r="BY367" s="1124">
        <f>+Details!AF367-Base!AF367</f>
        <v>0</v>
      </c>
      <c r="BZ367" s="1124">
        <f>+Details!AG367-Base!AG367</f>
        <v>0</v>
      </c>
      <c r="CA367" s="1124">
        <f>+Details!AH367-Base!AH367</f>
        <v>0</v>
      </c>
      <c r="CB367" s="1124">
        <f>+Details!AI367-Base!AI367</f>
        <v>0</v>
      </c>
      <c r="CC367" s="1124">
        <f>+Details!AJ367-Base!AJ367</f>
        <v>0</v>
      </c>
      <c r="CD367" s="1124">
        <f>+Details!AK367-Base!AK367</f>
        <v>0</v>
      </c>
      <c r="CE367" s="1124">
        <f>+Details!AL367-Base!AL367</f>
        <v>0</v>
      </c>
      <c r="CF367" s="1124">
        <f>+Details!AM367-Base!AM367</f>
        <v>0</v>
      </c>
      <c r="CG367" s="1124">
        <f>+Details!AN367-Base!AN367</f>
        <v>0</v>
      </c>
      <c r="CH367" s="1124">
        <f>+Details!AO367-Base!AO367</f>
        <v>0</v>
      </c>
      <c r="CI367" s="1124">
        <f>+Details!AP367-Base!AP367</f>
        <v>0</v>
      </c>
      <c r="CJ367" s="1124">
        <f>+Details!AQ367-Base!AQ367</f>
        <v>0</v>
      </c>
      <c r="CK367" s="1124">
        <f>+Details!AR367-Base!AR367</f>
        <v>0</v>
      </c>
      <c r="CL367" s="1124">
        <f>+Details!AS367-Base!AS367</f>
        <v>0</v>
      </c>
      <c r="CM367" s="434"/>
    </row>
    <row r="368" spans="1:91" hidden="1">
      <c r="A368" s="1432" t="s">
        <v>639</v>
      </c>
      <c r="B368" s="72" t="s">
        <v>735</v>
      </c>
      <c r="C368" s="524" t="s">
        <v>27</v>
      </c>
      <c r="D368" s="3"/>
      <c r="E368" s="65">
        <f>SUM(F368:AS368)</f>
        <v>0</v>
      </c>
      <c r="F368" s="190"/>
      <c r="G368" s="1124"/>
      <c r="H368" s="1124"/>
      <c r="I368" s="1124"/>
      <c r="J368" s="1124"/>
      <c r="K368" s="1124"/>
      <c r="L368" s="1124"/>
      <c r="M368" s="1124"/>
      <c r="N368" s="1124"/>
      <c r="O368" s="1124"/>
      <c r="P368" s="1124"/>
      <c r="Q368" s="1124"/>
      <c r="R368" s="1124"/>
      <c r="S368" s="1124"/>
      <c r="T368" s="1124"/>
      <c r="U368" s="1124"/>
      <c r="V368" s="1124"/>
      <c r="W368" s="1124"/>
      <c r="X368" s="1124"/>
      <c r="Y368" s="1124"/>
      <c r="Z368" s="1124"/>
      <c r="AA368" s="1124"/>
      <c r="AB368" s="1124"/>
      <c r="AC368" s="1124"/>
      <c r="AD368" s="1124"/>
      <c r="AE368" s="1124"/>
      <c r="AF368" s="1124"/>
      <c r="AG368" s="1124"/>
      <c r="AH368" s="1124"/>
      <c r="AI368" s="1124"/>
      <c r="AJ368" s="1124"/>
      <c r="AK368" s="1124"/>
      <c r="AL368" s="1124"/>
      <c r="AM368" s="1124"/>
      <c r="AN368" s="1124"/>
      <c r="AO368" s="1124"/>
      <c r="AP368" s="1124"/>
      <c r="AQ368" s="1124"/>
      <c r="AR368" s="1124"/>
      <c r="AS368" s="1124"/>
      <c r="AU368" s="29">
        <f>+Details!E368</f>
        <v>0</v>
      </c>
      <c r="AV368" s="81">
        <f t="shared" ref="AV368:AV373" si="309">+E368-AU368</f>
        <v>0</v>
      </c>
      <c r="AW368" s="1489"/>
      <c r="AY368" s="190">
        <f>+Details!F368-Base!F368</f>
        <v>0</v>
      </c>
      <c r="AZ368" s="1124">
        <f>+Details!G368-Base!G368</f>
        <v>0</v>
      </c>
      <c r="BA368" s="1124">
        <f>+Details!H368-Base!H368</f>
        <v>0</v>
      </c>
      <c r="BB368" s="1124">
        <f>+Details!I368-Base!I368</f>
        <v>0</v>
      </c>
      <c r="BC368" s="1124">
        <f>+Details!J368-Base!J368</f>
        <v>0</v>
      </c>
      <c r="BD368" s="1124">
        <f>+Details!K368-Base!K368</f>
        <v>0</v>
      </c>
      <c r="BE368" s="1124">
        <f>+Details!L368-Base!L368</f>
        <v>0</v>
      </c>
      <c r="BF368" s="1124">
        <f>+Details!M368-Base!M368</f>
        <v>0</v>
      </c>
      <c r="BG368" s="1124">
        <f>+Details!N368-Base!N368</f>
        <v>0</v>
      </c>
      <c r="BH368" s="1124">
        <f>+Details!O368-Base!O368</f>
        <v>0</v>
      </c>
      <c r="BI368" s="1124">
        <f>+Details!P368-Base!P368</f>
        <v>0</v>
      </c>
      <c r="BJ368" s="1124">
        <f>+Details!Q368-Base!Q368</f>
        <v>0</v>
      </c>
      <c r="BK368" s="1124">
        <f>+Details!R368-Base!R368</f>
        <v>0</v>
      </c>
      <c r="BL368" s="1124">
        <f>+Details!S368-Base!S368</f>
        <v>0</v>
      </c>
      <c r="BM368" s="1124">
        <f>+Details!T368-Base!T368</f>
        <v>0</v>
      </c>
      <c r="BN368" s="1124">
        <f>+Details!U368-Base!U368</f>
        <v>0</v>
      </c>
      <c r="BO368" s="1124">
        <f>+Details!V368-Base!V368</f>
        <v>0</v>
      </c>
      <c r="BP368" s="1124">
        <f>+Details!W368-Base!W368</f>
        <v>0</v>
      </c>
      <c r="BQ368" s="1124">
        <f>+Details!X368-Base!X368</f>
        <v>0</v>
      </c>
      <c r="BR368" s="1124">
        <f>+Details!Y368-Base!Y368</f>
        <v>0</v>
      </c>
      <c r="BS368" s="1124">
        <f>+Details!Z368-Base!Z368</f>
        <v>0</v>
      </c>
      <c r="BT368" s="1124">
        <f>+Details!AA368-Base!AA368</f>
        <v>0</v>
      </c>
      <c r="BU368" s="1124">
        <f>+Details!AB368-Base!AB368</f>
        <v>0</v>
      </c>
      <c r="BV368" s="1124">
        <f>+Details!AC368-Base!AC368</f>
        <v>0</v>
      </c>
      <c r="BW368" s="1124">
        <f>+Details!AD368-Base!AD368</f>
        <v>0</v>
      </c>
      <c r="BX368" s="1124">
        <f>+Details!AE368-Base!AE368</f>
        <v>0</v>
      </c>
      <c r="BY368" s="1124">
        <f>+Details!AF368-Base!AF368</f>
        <v>0</v>
      </c>
      <c r="BZ368" s="1124">
        <f>+Details!AG368-Base!AG368</f>
        <v>0</v>
      </c>
      <c r="CA368" s="1124">
        <f>+Details!AH368-Base!AH368</f>
        <v>0</v>
      </c>
      <c r="CB368" s="1124">
        <f>+Details!AI368-Base!AI368</f>
        <v>0</v>
      </c>
      <c r="CC368" s="1124">
        <f>+Details!AJ368-Base!AJ368</f>
        <v>0</v>
      </c>
      <c r="CD368" s="1124">
        <f>+Details!AK368-Base!AK368</f>
        <v>0</v>
      </c>
      <c r="CE368" s="1124">
        <f>+Details!AL368-Base!AL368</f>
        <v>0</v>
      </c>
      <c r="CF368" s="1124">
        <f>+Details!AM368-Base!AM368</f>
        <v>0</v>
      </c>
      <c r="CG368" s="1124">
        <f>+Details!AN368-Base!AN368</f>
        <v>0</v>
      </c>
      <c r="CH368" s="1124">
        <f>+Details!AO368-Base!AO368</f>
        <v>0</v>
      </c>
      <c r="CI368" s="1124">
        <f>+Details!AP368-Base!AP368</f>
        <v>0</v>
      </c>
      <c r="CJ368" s="1124">
        <f>+Details!AQ368-Base!AQ368</f>
        <v>0</v>
      </c>
      <c r="CK368" s="1124">
        <f>+Details!AR368-Base!AR368</f>
        <v>0</v>
      </c>
      <c r="CL368" s="1124">
        <f>+Details!AS368-Base!AS368</f>
        <v>0</v>
      </c>
      <c r="CM368" s="81"/>
    </row>
    <row r="369" spans="1:91" hidden="1">
      <c r="A369" s="1432" t="s">
        <v>639</v>
      </c>
      <c r="B369" s="72" t="s">
        <v>166</v>
      </c>
      <c r="C369" s="3"/>
      <c r="E369" s="65">
        <f>SUM(F369:AS369)</f>
        <v>34900</v>
      </c>
      <c r="F369" s="31">
        <f t="shared" ref="F369:AS369" si="310">+F36</f>
        <v>1400</v>
      </c>
      <c r="G369" s="1124">
        <f t="shared" si="310"/>
        <v>1500</v>
      </c>
      <c r="H369" s="1124">
        <f t="shared" si="310"/>
        <v>1600</v>
      </c>
      <c r="I369" s="1124">
        <f t="shared" si="310"/>
        <v>1700</v>
      </c>
      <c r="J369" s="1124">
        <f t="shared" si="310"/>
        <v>1800</v>
      </c>
      <c r="K369" s="1124">
        <f t="shared" si="310"/>
        <v>1900</v>
      </c>
      <c r="L369" s="1124">
        <f t="shared" si="310"/>
        <v>2000</v>
      </c>
      <c r="M369" s="1124">
        <f t="shared" si="310"/>
        <v>2100</v>
      </c>
      <c r="N369" s="1124">
        <f t="shared" si="310"/>
        <v>2100</v>
      </c>
      <c r="O369" s="1124">
        <f t="shared" si="310"/>
        <v>1900</v>
      </c>
      <c r="P369" s="1124">
        <f t="shared" si="310"/>
        <v>1700</v>
      </c>
      <c r="Q369" s="1124">
        <f t="shared" si="310"/>
        <v>1400</v>
      </c>
      <c r="R369" s="1124">
        <f t="shared" si="310"/>
        <v>1100</v>
      </c>
      <c r="S369" s="1124">
        <f t="shared" si="310"/>
        <v>700</v>
      </c>
      <c r="T369" s="1124">
        <f t="shared" si="310"/>
        <v>500</v>
      </c>
      <c r="U369" s="1124">
        <f t="shared" si="310"/>
        <v>500</v>
      </c>
      <c r="V369" s="1124">
        <f t="shared" si="310"/>
        <v>600</v>
      </c>
      <c r="W369" s="1124">
        <f t="shared" si="310"/>
        <v>600</v>
      </c>
      <c r="X369" s="1124">
        <f t="shared" si="310"/>
        <v>600</v>
      </c>
      <c r="Y369" s="1124">
        <f t="shared" si="310"/>
        <v>600</v>
      </c>
      <c r="Z369" s="1124">
        <f t="shared" si="310"/>
        <v>700</v>
      </c>
      <c r="AA369" s="1124">
        <f t="shared" si="310"/>
        <v>700</v>
      </c>
      <c r="AB369" s="1124">
        <f t="shared" si="310"/>
        <v>700</v>
      </c>
      <c r="AC369" s="1124">
        <f t="shared" si="310"/>
        <v>800</v>
      </c>
      <c r="AD369" s="1124">
        <f t="shared" si="310"/>
        <v>800</v>
      </c>
      <c r="AE369" s="1124">
        <f t="shared" si="310"/>
        <v>900</v>
      </c>
      <c r="AF369" s="1124">
        <f t="shared" si="310"/>
        <v>900</v>
      </c>
      <c r="AG369" s="1124">
        <f t="shared" si="310"/>
        <v>1000</v>
      </c>
      <c r="AH369" s="1124">
        <f t="shared" si="310"/>
        <v>1000</v>
      </c>
      <c r="AI369" s="1124">
        <f t="shared" si="310"/>
        <v>1100</v>
      </c>
      <c r="AJ369" s="1124">
        <f t="shared" si="310"/>
        <v>0</v>
      </c>
      <c r="AK369" s="1124">
        <f t="shared" si="310"/>
        <v>0</v>
      </c>
      <c r="AL369" s="1124">
        <f t="shared" si="310"/>
        <v>0</v>
      </c>
      <c r="AM369" s="1124">
        <f t="shared" si="310"/>
        <v>0</v>
      </c>
      <c r="AN369" s="1124">
        <f t="shared" si="310"/>
        <v>0</v>
      </c>
      <c r="AO369" s="1124">
        <f t="shared" si="310"/>
        <v>0</v>
      </c>
      <c r="AP369" s="1124">
        <f t="shared" si="310"/>
        <v>0</v>
      </c>
      <c r="AQ369" s="1124">
        <f t="shared" si="310"/>
        <v>0</v>
      </c>
      <c r="AR369" s="1124">
        <f t="shared" si="310"/>
        <v>0</v>
      </c>
      <c r="AS369" s="1124">
        <f t="shared" si="310"/>
        <v>0</v>
      </c>
      <c r="AU369" s="29">
        <f>+Details!E369</f>
        <v>34900</v>
      </c>
      <c r="AV369" s="81">
        <f t="shared" si="309"/>
        <v>0</v>
      </c>
      <c r="AW369" s="191"/>
      <c r="AY369" s="31">
        <f>+Details!F369-Base!F369</f>
        <v>0</v>
      </c>
      <c r="AZ369" s="1124">
        <f>+Details!G369-Base!G369</f>
        <v>0</v>
      </c>
      <c r="BA369" s="1124">
        <f>+Details!H369-Base!H369</f>
        <v>0</v>
      </c>
      <c r="BB369" s="1124">
        <f>+Details!I369-Base!I369</f>
        <v>0</v>
      </c>
      <c r="BC369" s="1124">
        <f>+Details!J369-Base!J369</f>
        <v>0</v>
      </c>
      <c r="BD369" s="1124">
        <f>+Details!K369-Base!K369</f>
        <v>0</v>
      </c>
      <c r="BE369" s="1124">
        <f>+Details!L369-Base!L369</f>
        <v>0</v>
      </c>
      <c r="BF369" s="1124">
        <f>+Details!M369-Base!M369</f>
        <v>0</v>
      </c>
      <c r="BG369" s="1124">
        <f>+Details!N369-Base!N369</f>
        <v>0</v>
      </c>
      <c r="BH369" s="1124">
        <f>+Details!O369-Base!O369</f>
        <v>0</v>
      </c>
      <c r="BI369" s="1124">
        <f>+Details!P369-Base!P369</f>
        <v>0</v>
      </c>
      <c r="BJ369" s="1124">
        <f>+Details!Q369-Base!Q369</f>
        <v>0</v>
      </c>
      <c r="BK369" s="1124">
        <f>+Details!R369-Base!R369</f>
        <v>0</v>
      </c>
      <c r="BL369" s="1124">
        <f>+Details!S369-Base!S369</f>
        <v>0</v>
      </c>
      <c r="BM369" s="1124">
        <f>+Details!T369-Base!T369</f>
        <v>0</v>
      </c>
      <c r="BN369" s="1124">
        <f>+Details!U369-Base!U369</f>
        <v>0</v>
      </c>
      <c r="BO369" s="1124">
        <f>+Details!V369-Base!V369</f>
        <v>0</v>
      </c>
      <c r="BP369" s="1124">
        <f>+Details!W369-Base!W369</f>
        <v>0</v>
      </c>
      <c r="BQ369" s="1124">
        <f>+Details!X369-Base!X369</f>
        <v>0</v>
      </c>
      <c r="BR369" s="1124">
        <f>+Details!Y369-Base!Y369</f>
        <v>0</v>
      </c>
      <c r="BS369" s="1124">
        <f>+Details!Z369-Base!Z369</f>
        <v>0</v>
      </c>
      <c r="BT369" s="1124">
        <f>+Details!AA369-Base!AA369</f>
        <v>0</v>
      </c>
      <c r="BU369" s="1124">
        <f>+Details!AB369-Base!AB369</f>
        <v>0</v>
      </c>
      <c r="BV369" s="1124">
        <f>+Details!AC369-Base!AC369</f>
        <v>0</v>
      </c>
      <c r="BW369" s="1124">
        <f>+Details!AD369-Base!AD369</f>
        <v>0</v>
      </c>
      <c r="BX369" s="1124">
        <f>+Details!AE369-Base!AE369</f>
        <v>0</v>
      </c>
      <c r="BY369" s="1124">
        <f>+Details!AF369-Base!AF369</f>
        <v>0</v>
      </c>
      <c r="BZ369" s="1124">
        <f>+Details!AG369-Base!AG369</f>
        <v>0</v>
      </c>
      <c r="CA369" s="1124">
        <f>+Details!AH369-Base!AH369</f>
        <v>0</v>
      </c>
      <c r="CB369" s="1124">
        <f>+Details!AI369-Base!AI369</f>
        <v>0</v>
      </c>
      <c r="CC369" s="1124">
        <f>+Details!AJ369-Base!AJ369</f>
        <v>0</v>
      </c>
      <c r="CD369" s="1124">
        <f>+Details!AK369-Base!AK369</f>
        <v>0</v>
      </c>
      <c r="CE369" s="1124">
        <f>+Details!AL369-Base!AL369</f>
        <v>0</v>
      </c>
      <c r="CF369" s="1124">
        <f>+Details!AM369-Base!AM369</f>
        <v>0</v>
      </c>
      <c r="CG369" s="1124">
        <f>+Details!AN369-Base!AN369</f>
        <v>0</v>
      </c>
      <c r="CH369" s="1124">
        <f>+Details!AO369-Base!AO369</f>
        <v>0</v>
      </c>
      <c r="CI369" s="1124">
        <f>+Details!AP369-Base!AP369</f>
        <v>0</v>
      </c>
      <c r="CJ369" s="1124">
        <f>+Details!AQ369-Base!AQ369</f>
        <v>0</v>
      </c>
      <c r="CK369" s="1124">
        <f>+Details!AR369-Base!AR369</f>
        <v>0</v>
      </c>
      <c r="CL369" s="1124">
        <f>+Details!AS369-Base!AS369</f>
        <v>0</v>
      </c>
      <c r="CM369" s="81"/>
    </row>
    <row r="370" spans="1:91" hidden="1">
      <c r="A370" s="1432" t="s">
        <v>639</v>
      </c>
      <c r="B370" s="72" t="s">
        <v>941</v>
      </c>
      <c r="C370" s="524" t="s">
        <v>27</v>
      </c>
      <c r="E370" s="65">
        <f>SUM(F370:AS370)</f>
        <v>0</v>
      </c>
      <c r="F370" s="31"/>
      <c r="G370" s="1124"/>
      <c r="H370" s="1124"/>
      <c r="I370" s="1124"/>
      <c r="J370" s="1124"/>
      <c r="K370" s="1124"/>
      <c r="L370" s="1124"/>
      <c r="M370" s="1124"/>
      <c r="N370" s="1124"/>
      <c r="O370" s="1124"/>
      <c r="P370" s="1124"/>
      <c r="Q370" s="1124"/>
      <c r="R370" s="1124"/>
      <c r="S370" s="1124"/>
      <c r="T370" s="1124"/>
      <c r="U370" s="1124"/>
      <c r="V370" s="1124"/>
      <c r="W370" s="1124"/>
      <c r="X370" s="1124"/>
      <c r="Y370" s="1124"/>
      <c r="Z370" s="1124"/>
      <c r="AA370" s="1124"/>
      <c r="AB370" s="1124"/>
      <c r="AC370" s="1124"/>
      <c r="AD370" s="1124"/>
      <c r="AE370" s="1124"/>
      <c r="AF370" s="1124"/>
      <c r="AG370" s="1124"/>
      <c r="AH370" s="1124"/>
      <c r="AI370" s="1124"/>
      <c r="AJ370" s="1124"/>
      <c r="AK370" s="1124"/>
      <c r="AL370" s="1124"/>
      <c r="AM370" s="1124"/>
      <c r="AN370" s="1124"/>
      <c r="AO370" s="1124"/>
      <c r="AP370" s="1124"/>
      <c r="AQ370" s="1124"/>
      <c r="AR370" s="1124"/>
      <c r="AS370" s="1124"/>
      <c r="AU370" s="29">
        <f>+Details!E370</f>
        <v>0</v>
      </c>
      <c r="AV370" s="81">
        <f t="shared" si="309"/>
        <v>0</v>
      </c>
      <c r="AW370" s="191"/>
      <c r="AY370" s="31">
        <f>+Details!F370-Base!F370</f>
        <v>0</v>
      </c>
      <c r="AZ370" s="1124">
        <f>+Details!G370-Base!G370</f>
        <v>0</v>
      </c>
      <c r="BA370" s="1124">
        <f>+Details!H370-Base!H370</f>
        <v>0</v>
      </c>
      <c r="BB370" s="1124">
        <f>+Details!I370-Base!I370</f>
        <v>0</v>
      </c>
      <c r="BC370" s="1124">
        <f>+Details!J370-Base!J370</f>
        <v>0</v>
      </c>
      <c r="BD370" s="1124">
        <f>+Details!K370-Base!K370</f>
        <v>0</v>
      </c>
      <c r="BE370" s="1124">
        <f>+Details!L370-Base!L370</f>
        <v>0</v>
      </c>
      <c r="BF370" s="1124">
        <f>+Details!M370-Base!M370</f>
        <v>0</v>
      </c>
      <c r="BG370" s="1124">
        <f>+Details!N370-Base!N370</f>
        <v>0</v>
      </c>
      <c r="BH370" s="1124">
        <f>+Details!O370-Base!O370</f>
        <v>0</v>
      </c>
      <c r="BI370" s="1124">
        <f>+Details!P370-Base!P370</f>
        <v>0</v>
      </c>
      <c r="BJ370" s="1124">
        <f>+Details!Q370-Base!Q370</f>
        <v>0</v>
      </c>
      <c r="BK370" s="1124">
        <f>+Details!R370-Base!R370</f>
        <v>0</v>
      </c>
      <c r="BL370" s="1124">
        <f>+Details!S370-Base!S370</f>
        <v>0</v>
      </c>
      <c r="BM370" s="1124">
        <f>+Details!T370-Base!T370</f>
        <v>0</v>
      </c>
      <c r="BN370" s="1124">
        <f>+Details!U370-Base!U370</f>
        <v>0</v>
      </c>
      <c r="BO370" s="1124">
        <f>+Details!V370-Base!V370</f>
        <v>0</v>
      </c>
      <c r="BP370" s="1124">
        <f>+Details!W370-Base!W370</f>
        <v>0</v>
      </c>
      <c r="BQ370" s="1124">
        <f>+Details!X370-Base!X370</f>
        <v>0</v>
      </c>
      <c r="BR370" s="1124">
        <f>+Details!Y370-Base!Y370</f>
        <v>0</v>
      </c>
      <c r="BS370" s="1124">
        <f>+Details!Z370-Base!Z370</f>
        <v>0</v>
      </c>
      <c r="BT370" s="1124">
        <f>+Details!AA370-Base!AA370</f>
        <v>0</v>
      </c>
      <c r="BU370" s="1124">
        <f>+Details!AB370-Base!AB370</f>
        <v>0</v>
      </c>
      <c r="BV370" s="1124">
        <f>+Details!AC370-Base!AC370</f>
        <v>0</v>
      </c>
      <c r="BW370" s="1124">
        <f>+Details!AD370-Base!AD370</f>
        <v>0</v>
      </c>
      <c r="BX370" s="1124">
        <f>+Details!AE370-Base!AE370</f>
        <v>0</v>
      </c>
      <c r="BY370" s="1124">
        <f>+Details!AF370-Base!AF370</f>
        <v>0</v>
      </c>
      <c r="BZ370" s="1124">
        <f>+Details!AG370-Base!AG370</f>
        <v>0</v>
      </c>
      <c r="CA370" s="1124">
        <f>+Details!AH370-Base!AH370</f>
        <v>0</v>
      </c>
      <c r="CB370" s="1124">
        <f>+Details!AI370-Base!AI370</f>
        <v>0</v>
      </c>
      <c r="CC370" s="1124">
        <f>+Details!AJ370-Base!AJ370</f>
        <v>0</v>
      </c>
      <c r="CD370" s="1124">
        <f>+Details!AK370-Base!AK370</f>
        <v>0</v>
      </c>
      <c r="CE370" s="1124">
        <f>+Details!AL370-Base!AL370</f>
        <v>0</v>
      </c>
      <c r="CF370" s="1124">
        <f>+Details!AM370-Base!AM370</f>
        <v>0</v>
      </c>
      <c r="CG370" s="1124">
        <f>+Details!AN370-Base!AN370</f>
        <v>0</v>
      </c>
      <c r="CH370" s="1124">
        <f>+Details!AO370-Base!AO370</f>
        <v>0</v>
      </c>
      <c r="CI370" s="1124">
        <f>+Details!AP370-Base!AP370</f>
        <v>0</v>
      </c>
      <c r="CJ370" s="1124">
        <f>+Details!AQ370-Base!AQ370</f>
        <v>0</v>
      </c>
      <c r="CK370" s="1124">
        <f>+Details!AR370-Base!AR370</f>
        <v>0</v>
      </c>
      <c r="CL370" s="1124">
        <f>+Details!AS370-Base!AS370</f>
        <v>0</v>
      </c>
      <c r="CM370" s="81"/>
    </row>
    <row r="371" spans="1:91" ht="15.6" hidden="1">
      <c r="A371" s="1432" t="s">
        <v>639</v>
      </c>
      <c r="B371" s="72" t="s">
        <v>883</v>
      </c>
      <c r="C371" s="1727" t="str">
        <f>"during ages " &amp; Start_ExRoth2 &amp;" - " &amp; End_ExRoth2</f>
        <v>during ages 70 - 75</v>
      </c>
      <c r="E371" s="65">
        <f>SUM(F371:AS371)</f>
        <v>-38800</v>
      </c>
      <c r="F371" s="31">
        <f>+F124</f>
        <v>0</v>
      </c>
      <c r="G371" s="1124">
        <f>+G124</f>
        <v>0</v>
      </c>
      <c r="H371" s="1124">
        <f t="shared" ref="H371:AS371" si="311">+H124</f>
        <v>0</v>
      </c>
      <c r="I371" s="1124">
        <f t="shared" si="311"/>
        <v>0</v>
      </c>
      <c r="J371" s="1124">
        <f t="shared" si="311"/>
        <v>0</v>
      </c>
      <c r="K371" s="1124">
        <f t="shared" si="311"/>
        <v>0</v>
      </c>
      <c r="L371" s="1124">
        <f t="shared" si="311"/>
        <v>0</v>
      </c>
      <c r="M371" s="1124">
        <f t="shared" si="311"/>
        <v>0</v>
      </c>
      <c r="N371" s="1124">
        <f t="shared" si="311"/>
        <v>-5000</v>
      </c>
      <c r="O371" s="1124">
        <f t="shared" si="311"/>
        <v>-5500</v>
      </c>
      <c r="P371" s="1124">
        <f t="shared" si="311"/>
        <v>-6100</v>
      </c>
      <c r="Q371" s="1124">
        <f t="shared" si="311"/>
        <v>-6700</v>
      </c>
      <c r="R371" s="1124">
        <f t="shared" si="311"/>
        <v>-7400</v>
      </c>
      <c r="S371" s="1124">
        <f t="shared" si="311"/>
        <v>-8100</v>
      </c>
      <c r="T371" s="1124">
        <f t="shared" si="311"/>
        <v>0</v>
      </c>
      <c r="U371" s="1124">
        <f t="shared" si="311"/>
        <v>0</v>
      </c>
      <c r="V371" s="1124">
        <f t="shared" si="311"/>
        <v>0</v>
      </c>
      <c r="W371" s="1124">
        <f t="shared" si="311"/>
        <v>0</v>
      </c>
      <c r="X371" s="1124">
        <f t="shared" si="311"/>
        <v>0</v>
      </c>
      <c r="Y371" s="1124">
        <f t="shared" si="311"/>
        <v>0</v>
      </c>
      <c r="Z371" s="1124">
        <f t="shared" si="311"/>
        <v>0</v>
      </c>
      <c r="AA371" s="1124">
        <f t="shared" si="311"/>
        <v>0</v>
      </c>
      <c r="AB371" s="1124">
        <f t="shared" si="311"/>
        <v>0</v>
      </c>
      <c r="AC371" s="1124">
        <f t="shared" si="311"/>
        <v>0</v>
      </c>
      <c r="AD371" s="1124">
        <f t="shared" si="311"/>
        <v>0</v>
      </c>
      <c r="AE371" s="1124">
        <f t="shared" si="311"/>
        <v>0</v>
      </c>
      <c r="AF371" s="1124">
        <f t="shared" si="311"/>
        <v>0</v>
      </c>
      <c r="AG371" s="1124">
        <f t="shared" si="311"/>
        <v>0</v>
      </c>
      <c r="AH371" s="1124">
        <f t="shared" si="311"/>
        <v>0</v>
      </c>
      <c r="AI371" s="1124">
        <f t="shared" si="311"/>
        <v>0</v>
      </c>
      <c r="AJ371" s="1124">
        <f t="shared" si="311"/>
        <v>0</v>
      </c>
      <c r="AK371" s="1124">
        <f t="shared" si="311"/>
        <v>0</v>
      </c>
      <c r="AL371" s="1124">
        <f t="shared" si="311"/>
        <v>0</v>
      </c>
      <c r="AM371" s="1124">
        <f t="shared" si="311"/>
        <v>0</v>
      </c>
      <c r="AN371" s="1124">
        <f t="shared" si="311"/>
        <v>0</v>
      </c>
      <c r="AO371" s="1124">
        <f t="shared" si="311"/>
        <v>0</v>
      </c>
      <c r="AP371" s="1124">
        <f t="shared" si="311"/>
        <v>0</v>
      </c>
      <c r="AQ371" s="1124">
        <f t="shared" si="311"/>
        <v>0</v>
      </c>
      <c r="AR371" s="1124">
        <f t="shared" si="311"/>
        <v>0</v>
      </c>
      <c r="AS371" s="1124">
        <f t="shared" si="311"/>
        <v>0</v>
      </c>
      <c r="AU371" s="29">
        <f>+Details!E371</f>
        <v>-38800</v>
      </c>
      <c r="AV371" s="81">
        <f t="shared" si="309"/>
        <v>0</v>
      </c>
      <c r="AW371" s="191"/>
      <c r="AY371" s="31">
        <f>+Details!F371-Base!F371</f>
        <v>0</v>
      </c>
      <c r="AZ371" s="1124">
        <f>+Details!G371-Base!G371</f>
        <v>0</v>
      </c>
      <c r="BA371" s="1124">
        <f>+Details!H371-Base!H371</f>
        <v>0</v>
      </c>
      <c r="BB371" s="1124">
        <f>+Details!I371-Base!I371</f>
        <v>0</v>
      </c>
      <c r="BC371" s="1124">
        <f>+Details!J371-Base!J371</f>
        <v>0</v>
      </c>
      <c r="BD371" s="1124">
        <f>+Details!K371-Base!K371</f>
        <v>0</v>
      </c>
      <c r="BE371" s="1124">
        <f>+Details!L371-Base!L371</f>
        <v>0</v>
      </c>
      <c r="BF371" s="1124">
        <f>+Details!M371-Base!M371</f>
        <v>0</v>
      </c>
      <c r="BG371" s="1124">
        <f>+Details!N371-Base!N371</f>
        <v>0</v>
      </c>
      <c r="BH371" s="1124">
        <f>+Details!O371-Base!O371</f>
        <v>0</v>
      </c>
      <c r="BI371" s="1124">
        <f>+Details!P371-Base!P371</f>
        <v>0</v>
      </c>
      <c r="BJ371" s="1124">
        <f>+Details!Q371-Base!Q371</f>
        <v>0</v>
      </c>
      <c r="BK371" s="1124">
        <f>+Details!R371-Base!R371</f>
        <v>0</v>
      </c>
      <c r="BL371" s="1124">
        <f>+Details!S371-Base!S371</f>
        <v>0</v>
      </c>
      <c r="BM371" s="1124">
        <f>+Details!T371-Base!T371</f>
        <v>0</v>
      </c>
      <c r="BN371" s="1124">
        <f>+Details!U371-Base!U371</f>
        <v>0</v>
      </c>
      <c r="BO371" s="1124">
        <f>+Details!V371-Base!V371</f>
        <v>0</v>
      </c>
      <c r="BP371" s="1124">
        <f>+Details!W371-Base!W371</f>
        <v>0</v>
      </c>
      <c r="BQ371" s="1124">
        <f>+Details!X371-Base!X371</f>
        <v>0</v>
      </c>
      <c r="BR371" s="1124">
        <f>+Details!Y371-Base!Y371</f>
        <v>0</v>
      </c>
      <c r="BS371" s="1124">
        <f>+Details!Z371-Base!Z371</f>
        <v>0</v>
      </c>
      <c r="BT371" s="1124">
        <f>+Details!AA371-Base!AA371</f>
        <v>0</v>
      </c>
      <c r="BU371" s="1124">
        <f>+Details!AB371-Base!AB371</f>
        <v>0</v>
      </c>
      <c r="BV371" s="1124">
        <f>+Details!AC371-Base!AC371</f>
        <v>0</v>
      </c>
      <c r="BW371" s="1124">
        <f>+Details!AD371-Base!AD371</f>
        <v>0</v>
      </c>
      <c r="BX371" s="1124">
        <f>+Details!AE371-Base!AE371</f>
        <v>0</v>
      </c>
      <c r="BY371" s="1124">
        <f>+Details!AF371-Base!AF371</f>
        <v>0</v>
      </c>
      <c r="BZ371" s="1124">
        <f>+Details!AG371-Base!AG371</f>
        <v>0</v>
      </c>
      <c r="CA371" s="1124">
        <f>+Details!AH371-Base!AH371</f>
        <v>0</v>
      </c>
      <c r="CB371" s="1124">
        <f>+Details!AI371-Base!AI371</f>
        <v>0</v>
      </c>
      <c r="CC371" s="1124">
        <f>+Details!AJ371-Base!AJ371</f>
        <v>0</v>
      </c>
      <c r="CD371" s="1124">
        <f>+Details!AK371-Base!AK371</f>
        <v>0</v>
      </c>
      <c r="CE371" s="1124">
        <f>+Details!AL371-Base!AL371</f>
        <v>0</v>
      </c>
      <c r="CF371" s="1124">
        <f>+Details!AM371-Base!AM371</f>
        <v>0</v>
      </c>
      <c r="CG371" s="1124">
        <f>+Details!AN371-Base!AN371</f>
        <v>0</v>
      </c>
      <c r="CH371" s="1124">
        <f>+Details!AO371-Base!AO371</f>
        <v>0</v>
      </c>
      <c r="CI371" s="1124">
        <f>+Details!AP371-Base!AP371</f>
        <v>0</v>
      </c>
      <c r="CJ371" s="1124">
        <f>+Details!AQ371-Base!AQ371</f>
        <v>0</v>
      </c>
      <c r="CK371" s="1124">
        <f>+Details!AR371-Base!AR371</f>
        <v>0</v>
      </c>
      <c r="CL371" s="1124">
        <f>+Details!AS371-Base!AS371</f>
        <v>0</v>
      </c>
      <c r="CM371" s="81"/>
    </row>
    <row r="372" spans="1:91" ht="15.6" hidden="1">
      <c r="A372" s="1432" t="s">
        <v>639</v>
      </c>
      <c r="B372" s="28" t="s">
        <v>1543</v>
      </c>
      <c r="C372" s="3"/>
      <c r="E372" s="363"/>
      <c r="F372" s="31">
        <f t="shared" ref="F372:AS372" si="312">+F367+F368+F369+F370+F371</f>
        <v>26400</v>
      </c>
      <c r="G372" s="1124">
        <f t="shared" si="312"/>
        <v>27900</v>
      </c>
      <c r="H372" s="1124">
        <f t="shared" si="312"/>
        <v>29500</v>
      </c>
      <c r="I372" s="1124">
        <f t="shared" si="312"/>
        <v>31200</v>
      </c>
      <c r="J372" s="1124">
        <f t="shared" si="312"/>
        <v>33000</v>
      </c>
      <c r="K372" s="1124">
        <f t="shared" si="312"/>
        <v>34900</v>
      </c>
      <c r="L372" s="1124">
        <f t="shared" si="312"/>
        <v>36900</v>
      </c>
      <c r="M372" s="1124">
        <f t="shared" si="312"/>
        <v>39000</v>
      </c>
      <c r="N372" s="1124">
        <f t="shared" si="312"/>
        <v>36100</v>
      </c>
      <c r="O372" s="1124">
        <f t="shared" si="312"/>
        <v>32500</v>
      </c>
      <c r="P372" s="1124">
        <f t="shared" si="312"/>
        <v>28100</v>
      </c>
      <c r="Q372" s="1124">
        <f t="shared" si="312"/>
        <v>22800</v>
      </c>
      <c r="R372" s="1124">
        <f t="shared" si="312"/>
        <v>16500</v>
      </c>
      <c r="S372" s="1124">
        <f t="shared" si="312"/>
        <v>9100</v>
      </c>
      <c r="T372" s="1124">
        <f t="shared" si="312"/>
        <v>9600</v>
      </c>
      <c r="U372" s="1124">
        <f t="shared" si="312"/>
        <v>10100</v>
      </c>
      <c r="V372" s="1124">
        <f t="shared" si="312"/>
        <v>10700</v>
      </c>
      <c r="W372" s="1124">
        <f t="shared" si="312"/>
        <v>11300</v>
      </c>
      <c r="X372" s="1124">
        <f t="shared" si="312"/>
        <v>11900</v>
      </c>
      <c r="Y372" s="1124">
        <f t="shared" si="312"/>
        <v>12500</v>
      </c>
      <c r="Z372" s="1124">
        <f t="shared" si="312"/>
        <v>13200</v>
      </c>
      <c r="AA372" s="1124">
        <f t="shared" si="312"/>
        <v>13900</v>
      </c>
      <c r="AB372" s="1124">
        <f t="shared" si="312"/>
        <v>14600</v>
      </c>
      <c r="AC372" s="1124">
        <f t="shared" si="312"/>
        <v>15400</v>
      </c>
      <c r="AD372" s="1124">
        <f t="shared" si="312"/>
        <v>16200</v>
      </c>
      <c r="AE372" s="1124">
        <f t="shared" si="312"/>
        <v>17100</v>
      </c>
      <c r="AF372" s="1124">
        <f t="shared" si="312"/>
        <v>18000</v>
      </c>
      <c r="AG372" s="1124">
        <f t="shared" si="312"/>
        <v>19000</v>
      </c>
      <c r="AH372" s="1124">
        <f t="shared" si="312"/>
        <v>20000</v>
      </c>
      <c r="AI372" s="1124">
        <f t="shared" si="312"/>
        <v>21100</v>
      </c>
      <c r="AJ372" s="1124">
        <f t="shared" si="312"/>
        <v>0</v>
      </c>
      <c r="AK372" s="1124">
        <f t="shared" si="312"/>
        <v>0</v>
      </c>
      <c r="AL372" s="1124">
        <f t="shared" si="312"/>
        <v>0</v>
      </c>
      <c r="AM372" s="1124">
        <f t="shared" si="312"/>
        <v>0</v>
      </c>
      <c r="AN372" s="1124">
        <f t="shared" si="312"/>
        <v>0</v>
      </c>
      <c r="AO372" s="1124">
        <f t="shared" si="312"/>
        <v>0</v>
      </c>
      <c r="AP372" s="1124">
        <f t="shared" si="312"/>
        <v>0</v>
      </c>
      <c r="AQ372" s="1124">
        <f t="shared" si="312"/>
        <v>0</v>
      </c>
      <c r="AR372" s="1124">
        <f t="shared" si="312"/>
        <v>0</v>
      </c>
      <c r="AS372" s="1124">
        <f t="shared" si="312"/>
        <v>0</v>
      </c>
      <c r="AU372" s="29"/>
      <c r="AV372" s="81"/>
      <c r="AW372" s="1489"/>
      <c r="AY372" s="31">
        <f>+Details!F372-Base!F372</f>
        <v>0</v>
      </c>
      <c r="AZ372" s="1124">
        <f>+Details!G372-Base!G372</f>
        <v>0</v>
      </c>
      <c r="BA372" s="1124">
        <f>+Details!H372-Base!H372</f>
        <v>0</v>
      </c>
      <c r="BB372" s="1124">
        <f>+Details!I372-Base!I372</f>
        <v>0</v>
      </c>
      <c r="BC372" s="1124">
        <f>+Details!J372-Base!J372</f>
        <v>0</v>
      </c>
      <c r="BD372" s="1124">
        <f>+Details!K372-Base!K372</f>
        <v>0</v>
      </c>
      <c r="BE372" s="1124">
        <f>+Details!L372-Base!L372</f>
        <v>0</v>
      </c>
      <c r="BF372" s="1124">
        <f>+Details!M372-Base!M372</f>
        <v>0</v>
      </c>
      <c r="BG372" s="1124">
        <f>+Details!N372-Base!N372</f>
        <v>0</v>
      </c>
      <c r="BH372" s="1124">
        <f>+Details!O372-Base!O372</f>
        <v>0</v>
      </c>
      <c r="BI372" s="1124">
        <f>+Details!P372-Base!P372</f>
        <v>0</v>
      </c>
      <c r="BJ372" s="1124">
        <f>+Details!Q372-Base!Q372</f>
        <v>0</v>
      </c>
      <c r="BK372" s="1124">
        <f>+Details!R372-Base!R372</f>
        <v>0</v>
      </c>
      <c r="BL372" s="1124">
        <f>+Details!S372-Base!S372</f>
        <v>0</v>
      </c>
      <c r="BM372" s="1124">
        <f>+Details!T372-Base!T372</f>
        <v>0</v>
      </c>
      <c r="BN372" s="1124">
        <f>+Details!U372-Base!U372</f>
        <v>0</v>
      </c>
      <c r="BO372" s="1124">
        <f>+Details!V372-Base!V372</f>
        <v>0</v>
      </c>
      <c r="BP372" s="1124">
        <f>+Details!W372-Base!W372</f>
        <v>0</v>
      </c>
      <c r="BQ372" s="1124">
        <f>+Details!X372-Base!X372</f>
        <v>0</v>
      </c>
      <c r="BR372" s="1124">
        <f>+Details!Y372-Base!Y372</f>
        <v>0</v>
      </c>
      <c r="BS372" s="1124">
        <f>+Details!Z372-Base!Z372</f>
        <v>0</v>
      </c>
      <c r="BT372" s="1124">
        <f>+Details!AA372-Base!AA372</f>
        <v>0</v>
      </c>
      <c r="BU372" s="1124">
        <f>+Details!AB372-Base!AB372</f>
        <v>0</v>
      </c>
      <c r="BV372" s="1124">
        <f>+Details!AC372-Base!AC372</f>
        <v>0</v>
      </c>
      <c r="BW372" s="1124">
        <f>+Details!AD372-Base!AD372</f>
        <v>0</v>
      </c>
      <c r="BX372" s="1124">
        <f>+Details!AE372-Base!AE372</f>
        <v>0</v>
      </c>
      <c r="BY372" s="1124">
        <f>+Details!AF372-Base!AF372</f>
        <v>0</v>
      </c>
      <c r="BZ372" s="1124">
        <f>+Details!AG372-Base!AG372</f>
        <v>0</v>
      </c>
      <c r="CA372" s="1124">
        <f>+Details!AH372-Base!AH372</f>
        <v>0</v>
      </c>
      <c r="CB372" s="1124">
        <f>+Details!AI372-Base!AI372</f>
        <v>0</v>
      </c>
      <c r="CC372" s="1124">
        <f>+Details!AJ372-Base!AJ372</f>
        <v>0</v>
      </c>
      <c r="CD372" s="1124">
        <f>+Details!AK372-Base!AK372</f>
        <v>0</v>
      </c>
      <c r="CE372" s="1124">
        <f>+Details!AL372-Base!AL372</f>
        <v>0</v>
      </c>
      <c r="CF372" s="1124">
        <f>+Details!AM372-Base!AM372</f>
        <v>0</v>
      </c>
      <c r="CG372" s="1124">
        <f>+Details!AN372-Base!AN372</f>
        <v>0</v>
      </c>
      <c r="CH372" s="1124">
        <f>+Details!AO372-Base!AO372</f>
        <v>0</v>
      </c>
      <c r="CI372" s="1124">
        <f>+Details!AP372-Base!AP372</f>
        <v>0</v>
      </c>
      <c r="CJ372" s="1124">
        <f>+Details!AQ372-Base!AQ372</f>
        <v>0</v>
      </c>
      <c r="CK372" s="1124">
        <f>+Details!AR372-Base!AR372</f>
        <v>0</v>
      </c>
      <c r="CL372" s="1124">
        <f>+Details!AS372-Base!AS372</f>
        <v>0</v>
      </c>
      <c r="CM372" s="81"/>
    </row>
    <row r="373" spans="1:91" hidden="1">
      <c r="A373" s="1432" t="s">
        <v>639</v>
      </c>
      <c r="B373" s="72" t="s">
        <v>1544</v>
      </c>
      <c r="C373" s="524" t="s">
        <v>27</v>
      </c>
      <c r="E373" s="65">
        <f>SUM(F373:AS373)</f>
        <v>0</v>
      </c>
      <c r="F373" s="31"/>
      <c r="G373" s="1124"/>
      <c r="H373" s="1124"/>
      <c r="I373" s="1124"/>
      <c r="J373" s="1124"/>
      <c r="K373" s="1124"/>
      <c r="L373" s="1124"/>
      <c r="M373" s="1124"/>
      <c r="N373" s="1124"/>
      <c r="O373" s="1124"/>
      <c r="P373" s="1124"/>
      <c r="Q373" s="1124"/>
      <c r="R373" s="1124"/>
      <c r="S373" s="1124"/>
      <c r="T373" s="1124"/>
      <c r="U373" s="1124"/>
      <c r="V373" s="1124"/>
      <c r="W373" s="1124"/>
      <c r="X373" s="1124"/>
      <c r="Y373" s="1124"/>
      <c r="Z373" s="1124"/>
      <c r="AA373" s="1124"/>
      <c r="AB373" s="1124"/>
      <c r="AC373" s="1124"/>
      <c r="AD373" s="1124"/>
      <c r="AE373" s="1124"/>
      <c r="AF373" s="1124"/>
      <c r="AG373" s="1124"/>
      <c r="AH373" s="1124"/>
      <c r="AI373" s="1124"/>
      <c r="AJ373" s="1124"/>
      <c r="AK373" s="1124"/>
      <c r="AL373" s="1124"/>
      <c r="AM373" s="1124"/>
      <c r="AN373" s="1124"/>
      <c r="AO373" s="1124"/>
      <c r="AP373" s="1124"/>
      <c r="AQ373" s="1124"/>
      <c r="AR373" s="1124"/>
      <c r="AS373" s="1124"/>
      <c r="AU373" s="29">
        <f>+Details!E373</f>
        <v>0</v>
      </c>
      <c r="AV373" s="81">
        <f t="shared" si="309"/>
        <v>0</v>
      </c>
      <c r="AW373" s="191"/>
      <c r="AY373" s="31">
        <f>+Details!F373-Base!F373</f>
        <v>0</v>
      </c>
      <c r="AZ373" s="1124">
        <f>+Details!G373-Base!G373</f>
        <v>0</v>
      </c>
      <c r="BA373" s="1124">
        <f>+Details!H373-Base!H373</f>
        <v>0</v>
      </c>
      <c r="BB373" s="1124">
        <f>+Details!I373-Base!I373</f>
        <v>0</v>
      </c>
      <c r="BC373" s="1124">
        <f>+Details!J373-Base!J373</f>
        <v>0</v>
      </c>
      <c r="BD373" s="1124">
        <f>+Details!K373-Base!K373</f>
        <v>0</v>
      </c>
      <c r="BE373" s="1124">
        <f>+Details!L373-Base!L373</f>
        <v>0</v>
      </c>
      <c r="BF373" s="1124">
        <f>+Details!M373-Base!M373</f>
        <v>0</v>
      </c>
      <c r="BG373" s="1124">
        <f>+Details!N373-Base!N373</f>
        <v>0</v>
      </c>
      <c r="BH373" s="1124">
        <f>+Details!O373-Base!O373</f>
        <v>0</v>
      </c>
      <c r="BI373" s="1124">
        <f>+Details!P373-Base!P373</f>
        <v>0</v>
      </c>
      <c r="BJ373" s="1124">
        <f>+Details!Q373-Base!Q373</f>
        <v>0</v>
      </c>
      <c r="BK373" s="1124">
        <f>+Details!R373-Base!R373</f>
        <v>0</v>
      </c>
      <c r="BL373" s="1124">
        <f>+Details!S373-Base!S373</f>
        <v>0</v>
      </c>
      <c r="BM373" s="1124">
        <f>+Details!T373-Base!T373</f>
        <v>0</v>
      </c>
      <c r="BN373" s="1124">
        <f>+Details!U373-Base!U373</f>
        <v>0</v>
      </c>
      <c r="BO373" s="1124">
        <f>+Details!V373-Base!V373</f>
        <v>0</v>
      </c>
      <c r="BP373" s="1124">
        <f>+Details!W373-Base!W373</f>
        <v>0</v>
      </c>
      <c r="BQ373" s="1124">
        <f>+Details!X373-Base!X373</f>
        <v>0</v>
      </c>
      <c r="BR373" s="1124">
        <f>+Details!Y373-Base!Y373</f>
        <v>0</v>
      </c>
      <c r="BS373" s="1124">
        <f>+Details!Z373-Base!Z373</f>
        <v>0</v>
      </c>
      <c r="BT373" s="1124">
        <f>+Details!AA373-Base!AA373</f>
        <v>0</v>
      </c>
      <c r="BU373" s="1124">
        <f>+Details!AB373-Base!AB373</f>
        <v>0</v>
      </c>
      <c r="BV373" s="1124">
        <f>+Details!AC373-Base!AC373</f>
        <v>0</v>
      </c>
      <c r="BW373" s="1124">
        <f>+Details!AD373-Base!AD373</f>
        <v>0</v>
      </c>
      <c r="BX373" s="1124">
        <f>+Details!AE373-Base!AE373</f>
        <v>0</v>
      </c>
      <c r="BY373" s="1124">
        <f>+Details!AF373-Base!AF373</f>
        <v>0</v>
      </c>
      <c r="BZ373" s="1124">
        <f>+Details!AG373-Base!AG373</f>
        <v>0</v>
      </c>
      <c r="CA373" s="1124">
        <f>+Details!AH373-Base!AH373</f>
        <v>0</v>
      </c>
      <c r="CB373" s="1124">
        <f>+Details!AI373-Base!AI373</f>
        <v>0</v>
      </c>
      <c r="CC373" s="1124">
        <f>+Details!AJ373-Base!AJ373</f>
        <v>0</v>
      </c>
      <c r="CD373" s="1124">
        <f>+Details!AK373-Base!AK373</f>
        <v>0</v>
      </c>
      <c r="CE373" s="1124">
        <f>+Details!AL373-Base!AL373</f>
        <v>0</v>
      </c>
      <c r="CF373" s="1124">
        <f>+Details!AM373-Base!AM373</f>
        <v>0</v>
      </c>
      <c r="CG373" s="1124">
        <f>+Details!AN373-Base!AN373</f>
        <v>0</v>
      </c>
      <c r="CH373" s="1124">
        <f>+Details!AO373-Base!AO373</f>
        <v>0</v>
      </c>
      <c r="CI373" s="1124">
        <f>+Details!AP373-Base!AP373</f>
        <v>0</v>
      </c>
      <c r="CJ373" s="1124">
        <f>+Details!AQ373-Base!AQ373</f>
        <v>0</v>
      </c>
      <c r="CK373" s="1124">
        <f>+Details!AR373-Base!AR373</f>
        <v>0</v>
      </c>
      <c r="CL373" s="1124">
        <f>+Details!AS373-Base!AS373</f>
        <v>0</v>
      </c>
      <c r="CM373" s="81"/>
    </row>
    <row r="374" spans="1:91" hidden="1">
      <c r="A374" s="1432" t="s">
        <v>639</v>
      </c>
      <c r="B374" s="72" t="s">
        <v>919</v>
      </c>
      <c r="C374" s="3"/>
      <c r="E374" s="433">
        <f ca="1">INDIRECT(ADDRESS(ROW(),Total_Years+5))</f>
        <v>21100</v>
      </c>
      <c r="F374" s="31">
        <f>+F372+F373</f>
        <v>26400</v>
      </c>
      <c r="G374" s="1124">
        <f>+G372+G373</f>
        <v>27900</v>
      </c>
      <c r="H374" s="1124">
        <f t="shared" ref="H374:AS374" si="313">+H372+H373</f>
        <v>29500</v>
      </c>
      <c r="I374" s="1124">
        <f t="shared" si="313"/>
        <v>31200</v>
      </c>
      <c r="J374" s="1124">
        <f t="shared" si="313"/>
        <v>33000</v>
      </c>
      <c r="K374" s="1124">
        <f t="shared" si="313"/>
        <v>34900</v>
      </c>
      <c r="L374" s="1124">
        <f t="shared" si="313"/>
        <v>36900</v>
      </c>
      <c r="M374" s="1124">
        <f t="shared" si="313"/>
        <v>39000</v>
      </c>
      <c r="N374" s="1124">
        <f t="shared" si="313"/>
        <v>36100</v>
      </c>
      <c r="O374" s="1124">
        <f t="shared" si="313"/>
        <v>32500</v>
      </c>
      <c r="P374" s="1124">
        <f t="shared" si="313"/>
        <v>28100</v>
      </c>
      <c r="Q374" s="1124">
        <f t="shared" si="313"/>
        <v>22800</v>
      </c>
      <c r="R374" s="1124">
        <f t="shared" si="313"/>
        <v>16500</v>
      </c>
      <c r="S374" s="1124">
        <f t="shared" si="313"/>
        <v>9100</v>
      </c>
      <c r="T374" s="1124">
        <f t="shared" si="313"/>
        <v>9600</v>
      </c>
      <c r="U374" s="1124">
        <f t="shared" si="313"/>
        <v>10100</v>
      </c>
      <c r="V374" s="1124">
        <f t="shared" si="313"/>
        <v>10700</v>
      </c>
      <c r="W374" s="1124">
        <f t="shared" si="313"/>
        <v>11300</v>
      </c>
      <c r="X374" s="1124">
        <f t="shared" si="313"/>
        <v>11900</v>
      </c>
      <c r="Y374" s="1124">
        <f t="shared" si="313"/>
        <v>12500</v>
      </c>
      <c r="Z374" s="1124">
        <f t="shared" si="313"/>
        <v>13200</v>
      </c>
      <c r="AA374" s="1124">
        <f t="shared" si="313"/>
        <v>13900</v>
      </c>
      <c r="AB374" s="1124">
        <f t="shared" si="313"/>
        <v>14600</v>
      </c>
      <c r="AC374" s="1124">
        <f t="shared" si="313"/>
        <v>15400</v>
      </c>
      <c r="AD374" s="1124">
        <f t="shared" si="313"/>
        <v>16200</v>
      </c>
      <c r="AE374" s="1124">
        <f t="shared" si="313"/>
        <v>17100</v>
      </c>
      <c r="AF374" s="1124">
        <f t="shared" si="313"/>
        <v>18000</v>
      </c>
      <c r="AG374" s="1124">
        <f t="shared" si="313"/>
        <v>19000</v>
      </c>
      <c r="AH374" s="1124">
        <f t="shared" si="313"/>
        <v>20000</v>
      </c>
      <c r="AI374" s="1124">
        <f t="shared" si="313"/>
        <v>21100</v>
      </c>
      <c r="AJ374" s="1124">
        <f t="shared" si="313"/>
        <v>0</v>
      </c>
      <c r="AK374" s="1124">
        <f t="shared" si="313"/>
        <v>0</v>
      </c>
      <c r="AL374" s="1124">
        <f t="shared" si="313"/>
        <v>0</v>
      </c>
      <c r="AM374" s="1124">
        <f t="shared" si="313"/>
        <v>0</v>
      </c>
      <c r="AN374" s="1124">
        <f t="shared" si="313"/>
        <v>0</v>
      </c>
      <c r="AO374" s="1124">
        <f t="shared" si="313"/>
        <v>0</v>
      </c>
      <c r="AP374" s="1124">
        <f t="shared" si="313"/>
        <v>0</v>
      </c>
      <c r="AQ374" s="1124">
        <f t="shared" si="313"/>
        <v>0</v>
      </c>
      <c r="AR374" s="1124">
        <f t="shared" si="313"/>
        <v>0</v>
      </c>
      <c r="AS374" s="1124">
        <f t="shared" si="313"/>
        <v>0</v>
      </c>
      <c r="AU374" s="29">
        <f ca="1">+Details!E374</f>
        <v>21100</v>
      </c>
      <c r="AV374" s="81">
        <f ca="1">+E374-AU374</f>
        <v>0</v>
      </c>
      <c r="AW374" s="1731"/>
      <c r="AY374" s="31">
        <f>+Details!F374-Base!F374</f>
        <v>0</v>
      </c>
      <c r="AZ374" s="1124">
        <f>+Details!G374-Base!G374</f>
        <v>0</v>
      </c>
      <c r="BA374" s="1124">
        <f>+Details!H374-Base!H374</f>
        <v>0</v>
      </c>
      <c r="BB374" s="1124">
        <f>+Details!I374-Base!I374</f>
        <v>0</v>
      </c>
      <c r="BC374" s="1124">
        <f>+Details!J374-Base!J374</f>
        <v>0</v>
      </c>
      <c r="BD374" s="1124">
        <f>+Details!K374-Base!K374</f>
        <v>0</v>
      </c>
      <c r="BE374" s="1124">
        <f>+Details!L374-Base!L374</f>
        <v>0</v>
      </c>
      <c r="BF374" s="1124">
        <f>+Details!M374-Base!M374</f>
        <v>0</v>
      </c>
      <c r="BG374" s="1124">
        <f>+Details!N374-Base!N374</f>
        <v>0</v>
      </c>
      <c r="BH374" s="1124">
        <f>+Details!O374-Base!O374</f>
        <v>0</v>
      </c>
      <c r="BI374" s="1124">
        <f>+Details!P374-Base!P374</f>
        <v>0</v>
      </c>
      <c r="BJ374" s="1124">
        <f>+Details!Q374-Base!Q374</f>
        <v>0</v>
      </c>
      <c r="BK374" s="1124">
        <f>+Details!R374-Base!R374</f>
        <v>0</v>
      </c>
      <c r="BL374" s="1124">
        <f>+Details!S374-Base!S374</f>
        <v>0</v>
      </c>
      <c r="BM374" s="1124">
        <f>+Details!T374-Base!T374</f>
        <v>0</v>
      </c>
      <c r="BN374" s="1124">
        <f>+Details!U374-Base!U374</f>
        <v>0</v>
      </c>
      <c r="BO374" s="1124">
        <f>+Details!V374-Base!V374</f>
        <v>0</v>
      </c>
      <c r="BP374" s="1124">
        <f>+Details!W374-Base!W374</f>
        <v>0</v>
      </c>
      <c r="BQ374" s="1124">
        <f>+Details!X374-Base!X374</f>
        <v>0</v>
      </c>
      <c r="BR374" s="1124">
        <f>+Details!Y374-Base!Y374</f>
        <v>0</v>
      </c>
      <c r="BS374" s="1124">
        <f>+Details!Z374-Base!Z374</f>
        <v>0</v>
      </c>
      <c r="BT374" s="1124">
        <f>+Details!AA374-Base!AA374</f>
        <v>0</v>
      </c>
      <c r="BU374" s="1124">
        <f>+Details!AB374-Base!AB374</f>
        <v>0</v>
      </c>
      <c r="BV374" s="1124">
        <f>+Details!AC374-Base!AC374</f>
        <v>0</v>
      </c>
      <c r="BW374" s="1124">
        <f>+Details!AD374-Base!AD374</f>
        <v>0</v>
      </c>
      <c r="BX374" s="1124">
        <f>+Details!AE374-Base!AE374</f>
        <v>0</v>
      </c>
      <c r="BY374" s="1124">
        <f>+Details!AF374-Base!AF374</f>
        <v>0</v>
      </c>
      <c r="BZ374" s="1124">
        <f>+Details!AG374-Base!AG374</f>
        <v>0</v>
      </c>
      <c r="CA374" s="1124">
        <f>+Details!AH374-Base!AH374</f>
        <v>0</v>
      </c>
      <c r="CB374" s="1124">
        <f>+Details!AI374-Base!AI374</f>
        <v>0</v>
      </c>
      <c r="CC374" s="1124">
        <f>+Details!AJ374-Base!AJ374</f>
        <v>0</v>
      </c>
      <c r="CD374" s="1124">
        <f>+Details!AK374-Base!AK374</f>
        <v>0</v>
      </c>
      <c r="CE374" s="1124">
        <f>+Details!AL374-Base!AL374</f>
        <v>0</v>
      </c>
      <c r="CF374" s="1124">
        <f>+Details!AM374-Base!AM374</f>
        <v>0</v>
      </c>
      <c r="CG374" s="1124">
        <f>+Details!AN374-Base!AN374</f>
        <v>0</v>
      </c>
      <c r="CH374" s="1124">
        <f>+Details!AO374-Base!AO374</f>
        <v>0</v>
      </c>
      <c r="CI374" s="1124">
        <f>+Details!AP374-Base!AP374</f>
        <v>0</v>
      </c>
      <c r="CJ374" s="1124">
        <f>+Details!AQ374-Base!AQ374</f>
        <v>0</v>
      </c>
      <c r="CK374" s="1124">
        <f>+Details!AR374-Base!AR374</f>
        <v>0</v>
      </c>
      <c r="CL374" s="1124">
        <f>+Details!AS374-Base!AS374</f>
        <v>0</v>
      </c>
      <c r="CM374" s="81"/>
    </row>
    <row r="375" spans="1:91" hidden="1">
      <c r="A375" s="1432" t="s">
        <v>639</v>
      </c>
      <c r="B375" s="72"/>
      <c r="C375" s="3"/>
      <c r="E375" s="363"/>
      <c r="F375" s="31"/>
      <c r="G375" s="31"/>
      <c r="H375" s="31"/>
      <c r="I375" s="31"/>
      <c r="J375" s="31"/>
      <c r="K375" s="31"/>
      <c r="L375" s="31"/>
      <c r="M375" s="31"/>
      <c r="N375" s="31"/>
      <c r="O375" s="31"/>
      <c r="P375" s="31"/>
      <c r="Q375" s="31"/>
      <c r="R375" s="31"/>
      <c r="S375" s="31"/>
      <c r="T375" s="31"/>
      <c r="U375" s="31"/>
      <c r="V375" s="31"/>
      <c r="W375" s="31"/>
      <c r="X375" s="31"/>
      <c r="Y375" s="31"/>
      <c r="Z375" s="31"/>
      <c r="AA375" s="31"/>
      <c r="AB375" s="31"/>
      <c r="AC375" s="31"/>
      <c r="AD375" s="31"/>
      <c r="AE375" s="31"/>
      <c r="AF375" s="31"/>
      <c r="AG375" s="31"/>
      <c r="AH375" s="31"/>
      <c r="AI375" s="31"/>
      <c r="AJ375" s="31"/>
      <c r="AK375" s="31"/>
      <c r="AL375" s="31"/>
      <c r="AM375" s="31"/>
      <c r="AN375" s="31"/>
      <c r="AO375" s="31"/>
      <c r="AP375" s="31"/>
      <c r="AQ375" s="31"/>
      <c r="AR375" s="31"/>
      <c r="AS375" s="31"/>
      <c r="AU375" s="97"/>
      <c r="AV375" s="81"/>
      <c r="AW375" s="1489"/>
      <c r="AY375" s="31"/>
      <c r="AZ375" s="31"/>
      <c r="BA375" s="31"/>
      <c r="BB375" s="31"/>
      <c r="BC375" s="31"/>
      <c r="BD375" s="31"/>
      <c r="BE375" s="31"/>
      <c r="BF375" s="31"/>
      <c r="BG375" s="31"/>
      <c r="BH375" s="31"/>
      <c r="BI375" s="31"/>
      <c r="BJ375" s="31"/>
      <c r="BK375" s="31"/>
      <c r="BL375" s="31"/>
      <c r="BM375" s="31"/>
      <c r="BN375" s="31"/>
      <c r="BO375" s="31"/>
      <c r="BP375" s="31"/>
      <c r="BQ375" s="31"/>
      <c r="BR375" s="31"/>
      <c r="BS375" s="31"/>
      <c r="BT375" s="31"/>
      <c r="BU375" s="31"/>
      <c r="BV375" s="31"/>
      <c r="BW375" s="31"/>
      <c r="BX375" s="31"/>
      <c r="BY375" s="31"/>
      <c r="BZ375" s="31"/>
      <c r="CA375" s="31"/>
      <c r="CB375" s="31"/>
      <c r="CC375" s="31"/>
      <c r="CD375" s="31"/>
      <c r="CE375" s="31"/>
      <c r="CF375" s="31"/>
      <c r="CG375" s="31"/>
      <c r="CH375" s="31"/>
      <c r="CI375" s="31"/>
      <c r="CJ375" s="31"/>
      <c r="CK375" s="31"/>
      <c r="CL375" s="31"/>
      <c r="CM375" s="81"/>
    </row>
    <row r="376" spans="1:91" ht="15.6" hidden="1">
      <c r="A376" s="1432" t="s">
        <v>639</v>
      </c>
      <c r="B376" s="25" t="s">
        <v>921</v>
      </c>
      <c r="C376" s="3"/>
      <c r="E376" s="355" t="s">
        <v>439</v>
      </c>
      <c r="F376" s="31"/>
      <c r="G376" s="31"/>
      <c r="H376" s="31"/>
      <c r="I376" s="31"/>
      <c r="J376" s="31"/>
      <c r="K376" s="31"/>
      <c r="L376" s="31"/>
      <c r="M376" s="31"/>
      <c r="N376" s="31"/>
      <c r="O376" s="31"/>
      <c r="P376" s="31"/>
      <c r="Q376" s="31"/>
      <c r="R376" s="31"/>
      <c r="S376" s="31"/>
      <c r="T376" s="31"/>
      <c r="U376" s="31"/>
      <c r="V376" s="31"/>
      <c r="W376" s="31"/>
      <c r="X376" s="31"/>
      <c r="Y376" s="31"/>
      <c r="Z376" s="31"/>
      <c r="AA376" s="31"/>
      <c r="AB376" s="31"/>
      <c r="AC376" s="31"/>
      <c r="AD376" s="31"/>
      <c r="AE376" s="31"/>
      <c r="AF376" s="31"/>
      <c r="AG376" s="31"/>
      <c r="AH376" s="31"/>
      <c r="AI376" s="31"/>
      <c r="AJ376" s="31"/>
      <c r="AK376" s="31"/>
      <c r="AL376" s="31"/>
      <c r="AM376" s="31"/>
      <c r="AN376" s="31"/>
      <c r="AO376" s="31"/>
      <c r="AP376" s="31"/>
      <c r="AQ376" s="31"/>
      <c r="AR376" s="31"/>
      <c r="AS376" s="31"/>
      <c r="AU376" s="97"/>
      <c r="AV376" s="81"/>
      <c r="AW376" s="379"/>
      <c r="AY376" s="31"/>
      <c r="AZ376" s="31"/>
      <c r="BA376" s="31"/>
      <c r="BB376" s="31"/>
      <c r="BC376" s="31"/>
      <c r="BD376" s="31"/>
      <c r="BE376" s="31"/>
      <c r="BF376" s="31"/>
      <c r="BG376" s="31"/>
      <c r="BH376" s="31"/>
      <c r="BI376" s="31"/>
      <c r="BJ376" s="31"/>
      <c r="BK376" s="31"/>
      <c r="BL376" s="31"/>
      <c r="BM376" s="31"/>
      <c r="BN376" s="31"/>
      <c r="BO376" s="31"/>
      <c r="BP376" s="31"/>
      <c r="BQ376" s="31"/>
      <c r="BR376" s="31"/>
      <c r="BS376" s="31"/>
      <c r="BT376" s="31"/>
      <c r="BU376" s="31"/>
      <c r="BV376" s="31"/>
      <c r="BW376" s="31"/>
      <c r="BX376" s="31"/>
      <c r="BY376" s="31"/>
      <c r="BZ376" s="31"/>
      <c r="CA376" s="31"/>
      <c r="CB376" s="31"/>
      <c r="CC376" s="31"/>
      <c r="CD376" s="31"/>
      <c r="CE376" s="31"/>
      <c r="CF376" s="31"/>
      <c r="CG376" s="31"/>
      <c r="CH376" s="31"/>
      <c r="CI376" s="31"/>
      <c r="CJ376" s="31"/>
      <c r="CK376" s="31"/>
      <c r="CL376" s="31"/>
      <c r="CM376" s="81"/>
    </row>
    <row r="377" spans="1:91" ht="15.6" hidden="1">
      <c r="A377" s="1432" t="s">
        <v>639</v>
      </c>
      <c r="B377" s="415" t="s">
        <v>547</v>
      </c>
      <c r="C377" s="3"/>
      <c r="E377" s="355" t="s">
        <v>439</v>
      </c>
      <c r="F377" s="31"/>
      <c r="G377" s="1124"/>
      <c r="H377" s="1124"/>
      <c r="I377" s="1124"/>
      <c r="J377" s="1124"/>
      <c r="K377" s="1124"/>
      <c r="L377" s="1124"/>
      <c r="M377" s="1124"/>
      <c r="N377" s="1124"/>
      <c r="O377" s="1124"/>
      <c r="P377" s="1124"/>
      <c r="Q377" s="1124"/>
      <c r="R377" s="1124"/>
      <c r="S377" s="1124"/>
      <c r="T377" s="1124"/>
      <c r="U377" s="1124"/>
      <c r="V377" s="1124"/>
      <c r="W377" s="1124"/>
      <c r="X377" s="1124"/>
      <c r="Y377" s="1124"/>
      <c r="Z377" s="1124"/>
      <c r="AA377" s="1124"/>
      <c r="AB377" s="1124"/>
      <c r="AC377" s="1124"/>
      <c r="AD377" s="1124"/>
      <c r="AE377" s="1124"/>
      <c r="AF377" s="1124"/>
      <c r="AG377" s="1124"/>
      <c r="AH377" s="1124"/>
      <c r="AI377" s="1124"/>
      <c r="AJ377" s="1124"/>
      <c r="AK377" s="1124"/>
      <c r="AL377" s="1124"/>
      <c r="AM377" s="1124"/>
      <c r="AN377" s="1124"/>
      <c r="AO377" s="1124"/>
      <c r="AP377" s="1124"/>
      <c r="AQ377" s="1124"/>
      <c r="AR377" s="1124"/>
      <c r="AS377" s="1124"/>
      <c r="AU377" s="29"/>
      <c r="AV377" s="81"/>
      <c r="AW377" s="1489"/>
      <c r="AY377" s="31">
        <f>+Details!F377-Base!F377</f>
        <v>0</v>
      </c>
      <c r="AZ377" s="1124">
        <f>+Details!G377-Base!G377</f>
        <v>0</v>
      </c>
      <c r="BA377" s="1124">
        <f>+Details!H377-Base!H377</f>
        <v>0</v>
      </c>
      <c r="BB377" s="1124">
        <f>+Details!I377-Base!I377</f>
        <v>0</v>
      </c>
      <c r="BC377" s="1124">
        <f>+Details!J377-Base!J377</f>
        <v>0</v>
      </c>
      <c r="BD377" s="1124">
        <f>+Details!K377-Base!K377</f>
        <v>0</v>
      </c>
      <c r="BE377" s="1124">
        <f>+Details!L377-Base!L377</f>
        <v>0</v>
      </c>
      <c r="BF377" s="1124">
        <f>+Details!M377-Base!M377</f>
        <v>0</v>
      </c>
      <c r="BG377" s="1124">
        <f>+Details!N377-Base!N377</f>
        <v>0</v>
      </c>
      <c r="BH377" s="1124">
        <f>+Details!O377-Base!O377</f>
        <v>0</v>
      </c>
      <c r="BI377" s="1124">
        <f>+Details!P377-Base!P377</f>
        <v>0</v>
      </c>
      <c r="BJ377" s="1124">
        <f>+Details!Q377-Base!Q377</f>
        <v>0</v>
      </c>
      <c r="BK377" s="1124">
        <f>+Details!R377-Base!R377</f>
        <v>0</v>
      </c>
      <c r="BL377" s="1124">
        <f>+Details!S377-Base!S377</f>
        <v>0</v>
      </c>
      <c r="BM377" s="1124">
        <f>+Details!T377-Base!T377</f>
        <v>0</v>
      </c>
      <c r="BN377" s="1124">
        <f>+Details!U377-Base!U377</f>
        <v>0</v>
      </c>
      <c r="BO377" s="1124">
        <f>+Details!V377-Base!V377</f>
        <v>0</v>
      </c>
      <c r="BP377" s="1124">
        <f>+Details!W377-Base!W377</f>
        <v>0</v>
      </c>
      <c r="BQ377" s="1124">
        <f>+Details!X377-Base!X377</f>
        <v>0</v>
      </c>
      <c r="BR377" s="1124">
        <f>+Details!Y377-Base!Y377</f>
        <v>0</v>
      </c>
      <c r="BS377" s="1124">
        <f>+Details!Z377-Base!Z377</f>
        <v>0</v>
      </c>
      <c r="BT377" s="1124">
        <f>+Details!AA377-Base!AA377</f>
        <v>0</v>
      </c>
      <c r="BU377" s="1124">
        <f>+Details!AB377-Base!AB377</f>
        <v>0</v>
      </c>
      <c r="BV377" s="1124">
        <f>+Details!AC377-Base!AC377</f>
        <v>0</v>
      </c>
      <c r="BW377" s="1124">
        <f>+Details!AD377-Base!AD377</f>
        <v>0</v>
      </c>
      <c r="BX377" s="1124">
        <f>+Details!AE377-Base!AE377</f>
        <v>0</v>
      </c>
      <c r="BY377" s="1124">
        <f>+Details!AF377-Base!AF377</f>
        <v>0</v>
      </c>
      <c r="BZ377" s="1124">
        <f>+Details!AG377-Base!AG377</f>
        <v>0</v>
      </c>
      <c r="CA377" s="1124">
        <f>+Details!AH377-Base!AH377</f>
        <v>0</v>
      </c>
      <c r="CB377" s="1124">
        <f>+Details!AI377-Base!AI377</f>
        <v>0</v>
      </c>
      <c r="CC377" s="1124">
        <f>+Details!AJ377-Base!AJ377</f>
        <v>0</v>
      </c>
      <c r="CD377" s="1124">
        <f>+Details!AK377-Base!AK377</f>
        <v>0</v>
      </c>
      <c r="CE377" s="1124">
        <f>+Details!AL377-Base!AL377</f>
        <v>0</v>
      </c>
      <c r="CF377" s="1124">
        <f>+Details!AM377-Base!AM377</f>
        <v>0</v>
      </c>
      <c r="CG377" s="1124">
        <f>+Details!AN377-Base!AN377</f>
        <v>0</v>
      </c>
      <c r="CH377" s="1124">
        <f>+Details!AO377-Base!AO377</f>
        <v>0</v>
      </c>
      <c r="CI377" s="1124">
        <f>+Details!AP377-Base!AP377</f>
        <v>0</v>
      </c>
      <c r="CJ377" s="1124">
        <f>+Details!AQ377-Base!AQ377</f>
        <v>0</v>
      </c>
      <c r="CK377" s="1124">
        <f>+Details!AR377-Base!AR377</f>
        <v>0</v>
      </c>
      <c r="CL377" s="1124">
        <f>+Details!AS377-Base!AS377</f>
        <v>0</v>
      </c>
      <c r="CM377" s="81"/>
    </row>
    <row r="378" spans="1:91" hidden="1">
      <c r="A378" s="1432" t="s">
        <v>639</v>
      </c>
      <c r="B378" s="72" t="s">
        <v>882</v>
      </c>
      <c r="C378" s="3"/>
      <c r="E378" s="355" t="s">
        <v>439</v>
      </c>
      <c r="F378" s="31"/>
      <c r="G378" s="1124"/>
      <c r="H378" s="1124"/>
      <c r="I378" s="1124"/>
      <c r="J378" s="1124"/>
      <c r="K378" s="1124"/>
      <c r="L378" s="1124"/>
      <c r="M378" s="1124"/>
      <c r="N378" s="1124"/>
      <c r="O378" s="1124"/>
      <c r="P378" s="1124"/>
      <c r="Q378" s="1124"/>
      <c r="R378" s="1124"/>
      <c r="S378" s="1124"/>
      <c r="T378" s="1124"/>
      <c r="U378" s="1124"/>
      <c r="V378" s="1124"/>
      <c r="W378" s="1124"/>
      <c r="X378" s="1124"/>
      <c r="Y378" s="1124"/>
      <c r="Z378" s="1124"/>
      <c r="AA378" s="1124"/>
      <c r="AB378" s="1124"/>
      <c r="AC378" s="1124"/>
      <c r="AD378" s="1124"/>
      <c r="AE378" s="1124"/>
      <c r="AF378" s="1124"/>
      <c r="AG378" s="1124"/>
      <c r="AH378" s="1124"/>
      <c r="AI378" s="1124"/>
      <c r="AJ378" s="1124"/>
      <c r="AK378" s="1124"/>
      <c r="AL378" s="1124"/>
      <c r="AM378" s="1124"/>
      <c r="AN378" s="1124"/>
      <c r="AO378" s="1124"/>
      <c r="AP378" s="1124"/>
      <c r="AQ378" s="1124"/>
      <c r="AR378" s="1124"/>
      <c r="AS378" s="1124"/>
      <c r="AU378" s="29">
        <f>+Details!E378</f>
        <v>0</v>
      </c>
      <c r="AV378" s="81">
        <f t="shared" ref="AV378:AV386" si="314">+AU378-0</f>
        <v>0</v>
      </c>
      <c r="AW378" s="191"/>
      <c r="AY378" s="31">
        <f>+Details!F378-Base!F378</f>
        <v>0</v>
      </c>
      <c r="AZ378" s="1124">
        <f>+Details!G378-Base!G378</f>
        <v>0</v>
      </c>
      <c r="BA378" s="1124">
        <f>+Details!H378-Base!H378</f>
        <v>0</v>
      </c>
      <c r="BB378" s="1124">
        <f>+Details!I378-Base!I378</f>
        <v>0</v>
      </c>
      <c r="BC378" s="1124">
        <f>+Details!J378-Base!J378</f>
        <v>0</v>
      </c>
      <c r="BD378" s="1124">
        <f>+Details!K378-Base!K378</f>
        <v>0</v>
      </c>
      <c r="BE378" s="1124">
        <f>+Details!L378-Base!L378</f>
        <v>0</v>
      </c>
      <c r="BF378" s="1124">
        <f>+Details!M378-Base!M378</f>
        <v>0</v>
      </c>
      <c r="BG378" s="1124">
        <f>+Details!N378-Base!N378</f>
        <v>0</v>
      </c>
      <c r="BH378" s="1124">
        <f>+Details!O378-Base!O378</f>
        <v>0</v>
      </c>
      <c r="BI378" s="1124">
        <f>+Details!P378-Base!P378</f>
        <v>0</v>
      </c>
      <c r="BJ378" s="1124">
        <f>+Details!Q378-Base!Q378</f>
        <v>0</v>
      </c>
      <c r="BK378" s="1124">
        <f>+Details!R378-Base!R378</f>
        <v>0</v>
      </c>
      <c r="BL378" s="1124">
        <f>+Details!S378-Base!S378</f>
        <v>0</v>
      </c>
      <c r="BM378" s="1124">
        <f>+Details!T378-Base!T378</f>
        <v>0</v>
      </c>
      <c r="BN378" s="1124">
        <f>+Details!U378-Base!U378</f>
        <v>0</v>
      </c>
      <c r="BO378" s="1124">
        <f>+Details!V378-Base!V378</f>
        <v>0</v>
      </c>
      <c r="BP378" s="1124">
        <f>+Details!W378-Base!W378</f>
        <v>0</v>
      </c>
      <c r="BQ378" s="1124">
        <f>+Details!X378-Base!X378</f>
        <v>0</v>
      </c>
      <c r="BR378" s="1124">
        <f>+Details!Y378-Base!Y378</f>
        <v>0</v>
      </c>
      <c r="BS378" s="1124">
        <f>+Details!Z378-Base!Z378</f>
        <v>0</v>
      </c>
      <c r="BT378" s="1124">
        <f>+Details!AA378-Base!AA378</f>
        <v>0</v>
      </c>
      <c r="BU378" s="1124">
        <f>+Details!AB378-Base!AB378</f>
        <v>0</v>
      </c>
      <c r="BV378" s="1124">
        <f>+Details!AC378-Base!AC378</f>
        <v>0</v>
      </c>
      <c r="BW378" s="1124">
        <f>+Details!AD378-Base!AD378</f>
        <v>0</v>
      </c>
      <c r="BX378" s="1124">
        <f>+Details!AE378-Base!AE378</f>
        <v>0</v>
      </c>
      <c r="BY378" s="1124">
        <f>+Details!AF378-Base!AF378</f>
        <v>0</v>
      </c>
      <c r="BZ378" s="1124">
        <f>+Details!AG378-Base!AG378</f>
        <v>0</v>
      </c>
      <c r="CA378" s="1124">
        <f>+Details!AH378-Base!AH378</f>
        <v>0</v>
      </c>
      <c r="CB378" s="1124">
        <f>+Details!AI378-Base!AI378</f>
        <v>0</v>
      </c>
      <c r="CC378" s="1124">
        <f>+Details!AJ378-Base!AJ378</f>
        <v>0</v>
      </c>
      <c r="CD378" s="1124">
        <f>+Details!AK378-Base!AK378</f>
        <v>0</v>
      </c>
      <c r="CE378" s="1124">
        <f>+Details!AL378-Base!AL378</f>
        <v>0</v>
      </c>
      <c r="CF378" s="1124">
        <f>+Details!AM378-Base!AM378</f>
        <v>0</v>
      </c>
      <c r="CG378" s="1124">
        <f>+Details!AN378-Base!AN378</f>
        <v>0</v>
      </c>
      <c r="CH378" s="1124">
        <f>+Details!AO378-Base!AO378</f>
        <v>0</v>
      </c>
      <c r="CI378" s="1124">
        <f>+Details!AP378-Base!AP378</f>
        <v>0</v>
      </c>
      <c r="CJ378" s="1124">
        <f>+Details!AQ378-Base!AQ378</f>
        <v>0</v>
      </c>
      <c r="CK378" s="1124">
        <f>+Details!AR378-Base!AR378</f>
        <v>0</v>
      </c>
      <c r="CL378" s="1124">
        <f>+Details!AS378-Base!AS378</f>
        <v>0</v>
      </c>
      <c r="CM378" s="81"/>
    </row>
    <row r="379" spans="1:91" hidden="1">
      <c r="A379" s="1432" t="s">
        <v>639</v>
      </c>
      <c r="B379" s="72" t="s">
        <v>166</v>
      </c>
      <c r="C379" s="3"/>
      <c r="E379" s="355" t="s">
        <v>439</v>
      </c>
      <c r="F379" s="31"/>
      <c r="G379" s="1124"/>
      <c r="H379" s="1124"/>
      <c r="I379" s="1124"/>
      <c r="J379" s="1124"/>
      <c r="K379" s="1124"/>
      <c r="L379" s="1124"/>
      <c r="M379" s="1124"/>
      <c r="N379" s="1124"/>
      <c r="O379" s="1124"/>
      <c r="P379" s="1124"/>
      <c r="Q379" s="1124"/>
      <c r="R379" s="1124"/>
      <c r="S379" s="1124"/>
      <c r="T379" s="1124"/>
      <c r="U379" s="1124"/>
      <c r="V379" s="1124"/>
      <c r="W379" s="1124"/>
      <c r="X379" s="1124"/>
      <c r="Y379" s="1124"/>
      <c r="Z379" s="1124"/>
      <c r="AA379" s="1124"/>
      <c r="AB379" s="1124"/>
      <c r="AC379" s="1124"/>
      <c r="AD379" s="1124"/>
      <c r="AE379" s="1124"/>
      <c r="AF379" s="1124"/>
      <c r="AG379" s="1124"/>
      <c r="AH379" s="1124"/>
      <c r="AI379" s="1124"/>
      <c r="AJ379" s="1124"/>
      <c r="AK379" s="1124"/>
      <c r="AL379" s="1124"/>
      <c r="AM379" s="1124"/>
      <c r="AN379" s="1124"/>
      <c r="AO379" s="1124"/>
      <c r="AP379" s="1124"/>
      <c r="AQ379" s="1124"/>
      <c r="AR379" s="1124"/>
      <c r="AS379" s="1124"/>
      <c r="AU379" s="29">
        <f>+Details!E379</f>
        <v>0</v>
      </c>
      <c r="AV379" s="81">
        <f t="shared" si="314"/>
        <v>0</v>
      </c>
      <c r="AW379" s="191"/>
      <c r="AY379" s="31">
        <f>+Details!F379-Base!F379</f>
        <v>0</v>
      </c>
      <c r="AZ379" s="1124">
        <f>+Details!G379-Base!G379</f>
        <v>0</v>
      </c>
      <c r="BA379" s="1124">
        <f>+Details!H379-Base!H379</f>
        <v>0</v>
      </c>
      <c r="BB379" s="1124">
        <f>+Details!I379-Base!I379</f>
        <v>0</v>
      </c>
      <c r="BC379" s="1124">
        <f>+Details!J379-Base!J379</f>
        <v>0</v>
      </c>
      <c r="BD379" s="1124">
        <f>+Details!K379-Base!K379</f>
        <v>0</v>
      </c>
      <c r="BE379" s="1124">
        <f>+Details!L379-Base!L379</f>
        <v>0</v>
      </c>
      <c r="BF379" s="1124">
        <f>+Details!M379-Base!M379</f>
        <v>0</v>
      </c>
      <c r="BG379" s="1124">
        <f>+Details!N379-Base!N379</f>
        <v>0</v>
      </c>
      <c r="BH379" s="1124">
        <f>+Details!O379-Base!O379</f>
        <v>0</v>
      </c>
      <c r="BI379" s="1124">
        <f>+Details!P379-Base!P379</f>
        <v>0</v>
      </c>
      <c r="BJ379" s="1124">
        <f>+Details!Q379-Base!Q379</f>
        <v>0</v>
      </c>
      <c r="BK379" s="1124">
        <f>+Details!R379-Base!R379</f>
        <v>0</v>
      </c>
      <c r="BL379" s="1124">
        <f>+Details!S379-Base!S379</f>
        <v>0</v>
      </c>
      <c r="BM379" s="1124">
        <f>+Details!T379-Base!T379</f>
        <v>0</v>
      </c>
      <c r="BN379" s="1124">
        <f>+Details!U379-Base!U379</f>
        <v>0</v>
      </c>
      <c r="BO379" s="1124">
        <f>+Details!V379-Base!V379</f>
        <v>0</v>
      </c>
      <c r="BP379" s="1124">
        <f>+Details!W379-Base!W379</f>
        <v>0</v>
      </c>
      <c r="BQ379" s="1124">
        <f>+Details!X379-Base!X379</f>
        <v>0</v>
      </c>
      <c r="BR379" s="1124">
        <f>+Details!Y379-Base!Y379</f>
        <v>0</v>
      </c>
      <c r="BS379" s="1124">
        <f>+Details!Z379-Base!Z379</f>
        <v>0</v>
      </c>
      <c r="BT379" s="1124">
        <f>+Details!AA379-Base!AA379</f>
        <v>0</v>
      </c>
      <c r="BU379" s="1124">
        <f>+Details!AB379-Base!AB379</f>
        <v>0</v>
      </c>
      <c r="BV379" s="1124">
        <f>+Details!AC379-Base!AC379</f>
        <v>0</v>
      </c>
      <c r="BW379" s="1124">
        <f>+Details!AD379-Base!AD379</f>
        <v>0</v>
      </c>
      <c r="BX379" s="1124">
        <f>+Details!AE379-Base!AE379</f>
        <v>0</v>
      </c>
      <c r="BY379" s="1124">
        <f>+Details!AF379-Base!AF379</f>
        <v>0</v>
      </c>
      <c r="BZ379" s="1124">
        <f>+Details!AG379-Base!AG379</f>
        <v>0</v>
      </c>
      <c r="CA379" s="1124">
        <f>+Details!AH379-Base!AH379</f>
        <v>0</v>
      </c>
      <c r="CB379" s="1124">
        <f>+Details!AI379-Base!AI379</f>
        <v>0</v>
      </c>
      <c r="CC379" s="1124">
        <f>+Details!AJ379-Base!AJ379</f>
        <v>0</v>
      </c>
      <c r="CD379" s="1124">
        <f>+Details!AK379-Base!AK379</f>
        <v>0</v>
      </c>
      <c r="CE379" s="1124">
        <f>+Details!AL379-Base!AL379</f>
        <v>0</v>
      </c>
      <c r="CF379" s="1124">
        <f>+Details!AM379-Base!AM379</f>
        <v>0</v>
      </c>
      <c r="CG379" s="1124">
        <f>+Details!AN379-Base!AN379</f>
        <v>0</v>
      </c>
      <c r="CH379" s="1124">
        <f>+Details!AO379-Base!AO379</f>
        <v>0</v>
      </c>
      <c r="CI379" s="1124">
        <f>+Details!AP379-Base!AP379</f>
        <v>0</v>
      </c>
      <c r="CJ379" s="1124">
        <f>+Details!AQ379-Base!AQ379</f>
        <v>0</v>
      </c>
      <c r="CK379" s="1124">
        <f>+Details!AR379-Base!AR379</f>
        <v>0</v>
      </c>
      <c r="CL379" s="1124">
        <f>+Details!AS379-Base!AS379</f>
        <v>0</v>
      </c>
      <c r="CM379" s="81"/>
    </row>
    <row r="380" spans="1:91" ht="15.6" hidden="1">
      <c r="A380" s="1432" t="s">
        <v>639</v>
      </c>
      <c r="B380" s="72" t="s">
        <v>883</v>
      </c>
      <c r="C380" s="1727"/>
      <c r="E380" s="355" t="s">
        <v>439</v>
      </c>
      <c r="F380" s="31"/>
      <c r="G380" s="1124"/>
      <c r="H380" s="1124"/>
      <c r="I380" s="1124"/>
      <c r="J380" s="1124"/>
      <c r="K380" s="1124"/>
      <c r="L380" s="1124"/>
      <c r="M380" s="1124"/>
      <c r="N380" s="1124"/>
      <c r="O380" s="1124"/>
      <c r="P380" s="1124"/>
      <c r="Q380" s="1124"/>
      <c r="R380" s="1124"/>
      <c r="S380" s="1124"/>
      <c r="T380" s="1124"/>
      <c r="U380" s="1124"/>
      <c r="V380" s="1124"/>
      <c r="W380" s="1124"/>
      <c r="X380" s="1124"/>
      <c r="Y380" s="1124"/>
      <c r="Z380" s="1124"/>
      <c r="AA380" s="1124"/>
      <c r="AB380" s="1124"/>
      <c r="AC380" s="1124"/>
      <c r="AD380" s="1124"/>
      <c r="AE380" s="1124"/>
      <c r="AF380" s="1124"/>
      <c r="AG380" s="1124"/>
      <c r="AH380" s="1124"/>
      <c r="AI380" s="1124"/>
      <c r="AJ380" s="1124"/>
      <c r="AK380" s="1124"/>
      <c r="AL380" s="1124"/>
      <c r="AM380" s="1124"/>
      <c r="AN380" s="1124"/>
      <c r="AO380" s="1124"/>
      <c r="AP380" s="1124"/>
      <c r="AQ380" s="1124"/>
      <c r="AR380" s="1124"/>
      <c r="AS380" s="1124"/>
      <c r="AU380" s="29">
        <f>+Details!E380</f>
        <v>0</v>
      </c>
      <c r="AV380" s="81">
        <f t="shared" si="314"/>
        <v>0</v>
      </c>
      <c r="AW380" s="191"/>
      <c r="AY380" s="31">
        <f>+Details!F380-Base!F380</f>
        <v>0</v>
      </c>
      <c r="AZ380" s="1124">
        <f>+Details!G380-Base!G380</f>
        <v>0</v>
      </c>
      <c r="BA380" s="1124">
        <f>+Details!H380-Base!H380</f>
        <v>0</v>
      </c>
      <c r="BB380" s="1124">
        <f>+Details!I380-Base!I380</f>
        <v>0</v>
      </c>
      <c r="BC380" s="1124">
        <f>+Details!J380-Base!J380</f>
        <v>0</v>
      </c>
      <c r="BD380" s="1124">
        <f>+Details!K380-Base!K380</f>
        <v>0</v>
      </c>
      <c r="BE380" s="1124">
        <f>+Details!L380-Base!L380</f>
        <v>0</v>
      </c>
      <c r="BF380" s="1124">
        <f>+Details!M380-Base!M380</f>
        <v>0</v>
      </c>
      <c r="BG380" s="1124">
        <f>+Details!N380-Base!N380</f>
        <v>0</v>
      </c>
      <c r="BH380" s="1124">
        <f>+Details!O380-Base!O380</f>
        <v>0</v>
      </c>
      <c r="BI380" s="1124">
        <f>+Details!P380-Base!P380</f>
        <v>0</v>
      </c>
      <c r="BJ380" s="1124">
        <f>+Details!Q380-Base!Q380</f>
        <v>0</v>
      </c>
      <c r="BK380" s="1124">
        <f>+Details!R380-Base!R380</f>
        <v>0</v>
      </c>
      <c r="BL380" s="1124">
        <f>+Details!S380-Base!S380</f>
        <v>0</v>
      </c>
      <c r="BM380" s="1124">
        <f>+Details!T380-Base!T380</f>
        <v>0</v>
      </c>
      <c r="BN380" s="1124">
        <f>+Details!U380-Base!U380</f>
        <v>0</v>
      </c>
      <c r="BO380" s="1124">
        <f>+Details!V380-Base!V380</f>
        <v>0</v>
      </c>
      <c r="BP380" s="1124">
        <f>+Details!W380-Base!W380</f>
        <v>0</v>
      </c>
      <c r="BQ380" s="1124">
        <f>+Details!X380-Base!X380</f>
        <v>0</v>
      </c>
      <c r="BR380" s="1124">
        <f>+Details!Y380-Base!Y380</f>
        <v>0</v>
      </c>
      <c r="BS380" s="1124">
        <f>+Details!Z380-Base!Z380</f>
        <v>0</v>
      </c>
      <c r="BT380" s="1124">
        <f>+Details!AA380-Base!AA380</f>
        <v>0</v>
      </c>
      <c r="BU380" s="1124">
        <f>+Details!AB380-Base!AB380</f>
        <v>0</v>
      </c>
      <c r="BV380" s="1124">
        <f>+Details!AC380-Base!AC380</f>
        <v>0</v>
      </c>
      <c r="BW380" s="1124">
        <f>+Details!AD380-Base!AD380</f>
        <v>0</v>
      </c>
      <c r="BX380" s="1124">
        <f>+Details!AE380-Base!AE380</f>
        <v>0</v>
      </c>
      <c r="BY380" s="1124">
        <f>+Details!AF380-Base!AF380</f>
        <v>0</v>
      </c>
      <c r="BZ380" s="1124">
        <f>+Details!AG380-Base!AG380</f>
        <v>0</v>
      </c>
      <c r="CA380" s="1124">
        <f>+Details!AH380-Base!AH380</f>
        <v>0</v>
      </c>
      <c r="CB380" s="1124">
        <f>+Details!AI380-Base!AI380</f>
        <v>0</v>
      </c>
      <c r="CC380" s="1124">
        <f>+Details!AJ380-Base!AJ380</f>
        <v>0</v>
      </c>
      <c r="CD380" s="1124">
        <f>+Details!AK380-Base!AK380</f>
        <v>0</v>
      </c>
      <c r="CE380" s="1124">
        <f>+Details!AL380-Base!AL380</f>
        <v>0</v>
      </c>
      <c r="CF380" s="1124">
        <f>+Details!AM380-Base!AM380</f>
        <v>0</v>
      </c>
      <c r="CG380" s="1124">
        <f>+Details!AN380-Base!AN380</f>
        <v>0</v>
      </c>
      <c r="CH380" s="1124">
        <f>+Details!AO380-Base!AO380</f>
        <v>0</v>
      </c>
      <c r="CI380" s="1124">
        <f>+Details!AP380-Base!AP380</f>
        <v>0</v>
      </c>
      <c r="CJ380" s="1124">
        <f>+Details!AQ380-Base!AQ380</f>
        <v>0</v>
      </c>
      <c r="CK380" s="1124">
        <f>+Details!AR380-Base!AR380</f>
        <v>0</v>
      </c>
      <c r="CL380" s="1124">
        <f>+Details!AS380-Base!AS380</f>
        <v>0</v>
      </c>
      <c r="CM380" s="81"/>
    </row>
    <row r="381" spans="1:91" ht="15.6" hidden="1">
      <c r="A381" s="1432" t="s">
        <v>639</v>
      </c>
      <c r="B381" s="28" t="s">
        <v>1543</v>
      </c>
      <c r="C381" s="3"/>
      <c r="E381" s="355" t="s">
        <v>439</v>
      </c>
      <c r="F381" s="31"/>
      <c r="G381" s="1124"/>
      <c r="H381" s="1124"/>
      <c r="I381" s="1124"/>
      <c r="J381" s="1124"/>
      <c r="K381" s="1124"/>
      <c r="L381" s="1124"/>
      <c r="M381" s="1124"/>
      <c r="N381" s="1124"/>
      <c r="O381" s="1124"/>
      <c r="P381" s="1124"/>
      <c r="Q381" s="1124"/>
      <c r="R381" s="1124"/>
      <c r="S381" s="1124"/>
      <c r="T381" s="1124"/>
      <c r="U381" s="1124"/>
      <c r="V381" s="1124"/>
      <c r="W381" s="1124"/>
      <c r="X381" s="1124"/>
      <c r="Y381" s="1124"/>
      <c r="Z381" s="1124"/>
      <c r="AA381" s="1124"/>
      <c r="AB381" s="1124"/>
      <c r="AC381" s="1124"/>
      <c r="AD381" s="1124"/>
      <c r="AE381" s="1124"/>
      <c r="AF381" s="1124"/>
      <c r="AG381" s="1124"/>
      <c r="AH381" s="1124"/>
      <c r="AI381" s="1124"/>
      <c r="AJ381" s="1124"/>
      <c r="AK381" s="1124"/>
      <c r="AL381" s="1124"/>
      <c r="AM381" s="1124"/>
      <c r="AN381" s="1124"/>
      <c r="AO381" s="1124"/>
      <c r="AP381" s="1124"/>
      <c r="AQ381" s="1124"/>
      <c r="AR381" s="1124"/>
      <c r="AS381" s="1124"/>
      <c r="AU381" s="29"/>
      <c r="AV381" s="81"/>
      <c r="AW381" s="1489"/>
      <c r="AY381" s="31">
        <f>+Details!F381-Base!F381</f>
        <v>0</v>
      </c>
      <c r="AZ381" s="1124">
        <f>+Details!G381-Base!G381</f>
        <v>0</v>
      </c>
      <c r="BA381" s="1124">
        <f>+Details!H381-Base!H381</f>
        <v>0</v>
      </c>
      <c r="BB381" s="1124">
        <f>+Details!I381-Base!I381</f>
        <v>0</v>
      </c>
      <c r="BC381" s="1124">
        <f>+Details!J381-Base!J381</f>
        <v>0</v>
      </c>
      <c r="BD381" s="1124">
        <f>+Details!K381-Base!K381</f>
        <v>0</v>
      </c>
      <c r="BE381" s="1124">
        <f>+Details!L381-Base!L381</f>
        <v>0</v>
      </c>
      <c r="BF381" s="1124">
        <f>+Details!M381-Base!M381</f>
        <v>0</v>
      </c>
      <c r="BG381" s="1124">
        <f>+Details!N381-Base!N381</f>
        <v>0</v>
      </c>
      <c r="BH381" s="1124">
        <f>+Details!O381-Base!O381</f>
        <v>0</v>
      </c>
      <c r="BI381" s="1124">
        <f>+Details!P381-Base!P381</f>
        <v>0</v>
      </c>
      <c r="BJ381" s="1124">
        <f>+Details!Q381-Base!Q381</f>
        <v>0</v>
      </c>
      <c r="BK381" s="1124">
        <f>+Details!R381-Base!R381</f>
        <v>0</v>
      </c>
      <c r="BL381" s="1124">
        <f>+Details!S381-Base!S381</f>
        <v>0</v>
      </c>
      <c r="BM381" s="1124">
        <f>+Details!T381-Base!T381</f>
        <v>0</v>
      </c>
      <c r="BN381" s="1124">
        <f>+Details!U381-Base!U381</f>
        <v>0</v>
      </c>
      <c r="BO381" s="1124">
        <f>+Details!V381-Base!V381</f>
        <v>0</v>
      </c>
      <c r="BP381" s="1124">
        <f>+Details!W381-Base!W381</f>
        <v>0</v>
      </c>
      <c r="BQ381" s="1124">
        <f>+Details!X381-Base!X381</f>
        <v>0</v>
      </c>
      <c r="BR381" s="1124">
        <f>+Details!Y381-Base!Y381</f>
        <v>0</v>
      </c>
      <c r="BS381" s="1124">
        <f>+Details!Z381-Base!Z381</f>
        <v>0</v>
      </c>
      <c r="BT381" s="1124">
        <f>+Details!AA381-Base!AA381</f>
        <v>0</v>
      </c>
      <c r="BU381" s="1124">
        <f>+Details!AB381-Base!AB381</f>
        <v>0</v>
      </c>
      <c r="BV381" s="1124">
        <f>+Details!AC381-Base!AC381</f>
        <v>0</v>
      </c>
      <c r="BW381" s="1124">
        <f>+Details!AD381-Base!AD381</f>
        <v>0</v>
      </c>
      <c r="BX381" s="1124">
        <f>+Details!AE381-Base!AE381</f>
        <v>0</v>
      </c>
      <c r="BY381" s="1124">
        <f>+Details!AF381-Base!AF381</f>
        <v>0</v>
      </c>
      <c r="BZ381" s="1124">
        <f>+Details!AG381-Base!AG381</f>
        <v>0</v>
      </c>
      <c r="CA381" s="1124">
        <f>+Details!AH381-Base!AH381</f>
        <v>0</v>
      </c>
      <c r="CB381" s="1124">
        <f>+Details!AI381-Base!AI381</f>
        <v>0</v>
      </c>
      <c r="CC381" s="1124">
        <f>+Details!AJ381-Base!AJ381</f>
        <v>0</v>
      </c>
      <c r="CD381" s="1124">
        <f>+Details!AK381-Base!AK381</f>
        <v>0</v>
      </c>
      <c r="CE381" s="1124">
        <f>+Details!AL381-Base!AL381</f>
        <v>0</v>
      </c>
      <c r="CF381" s="1124">
        <f>+Details!AM381-Base!AM381</f>
        <v>0</v>
      </c>
      <c r="CG381" s="1124">
        <f>+Details!AN381-Base!AN381</f>
        <v>0</v>
      </c>
      <c r="CH381" s="1124">
        <f>+Details!AO381-Base!AO381</f>
        <v>0</v>
      </c>
      <c r="CI381" s="1124">
        <f>+Details!AP381-Base!AP381</f>
        <v>0</v>
      </c>
      <c r="CJ381" s="1124">
        <f>+Details!AQ381-Base!AQ381</f>
        <v>0</v>
      </c>
      <c r="CK381" s="1124">
        <f>+Details!AR381-Base!AR381</f>
        <v>0</v>
      </c>
      <c r="CL381" s="1124">
        <f>+Details!AS381-Base!AS381</f>
        <v>0</v>
      </c>
      <c r="CM381" s="81"/>
    </row>
    <row r="382" spans="1:91" hidden="1">
      <c r="A382" s="1432" t="s">
        <v>639</v>
      </c>
      <c r="B382" s="72" t="s">
        <v>1544</v>
      </c>
      <c r="C382" s="3"/>
      <c r="E382" s="355" t="s">
        <v>439</v>
      </c>
      <c r="F382" s="31"/>
      <c r="G382" s="1124"/>
      <c r="H382" s="1124"/>
      <c r="I382" s="1124"/>
      <c r="J382" s="1124"/>
      <c r="K382" s="1124"/>
      <c r="L382" s="1124"/>
      <c r="M382" s="1124"/>
      <c r="N382" s="1124"/>
      <c r="O382" s="1124"/>
      <c r="P382" s="1124"/>
      <c r="Q382" s="1124"/>
      <c r="R382" s="1124"/>
      <c r="S382" s="1124"/>
      <c r="T382" s="1124"/>
      <c r="U382" s="1124"/>
      <c r="V382" s="1124"/>
      <c r="W382" s="1124"/>
      <c r="X382" s="1124"/>
      <c r="Y382" s="1124"/>
      <c r="Z382" s="1124"/>
      <c r="AA382" s="1124"/>
      <c r="AB382" s="1124"/>
      <c r="AC382" s="1124"/>
      <c r="AD382" s="1124"/>
      <c r="AE382" s="1124"/>
      <c r="AF382" s="1124"/>
      <c r="AG382" s="1124"/>
      <c r="AH382" s="1124"/>
      <c r="AI382" s="1124"/>
      <c r="AJ382" s="1124"/>
      <c r="AK382" s="1124"/>
      <c r="AL382" s="1124"/>
      <c r="AM382" s="1124"/>
      <c r="AN382" s="1124"/>
      <c r="AO382" s="1124"/>
      <c r="AP382" s="1124"/>
      <c r="AQ382" s="1124"/>
      <c r="AR382" s="1124"/>
      <c r="AS382" s="1124"/>
      <c r="AU382" s="29">
        <f>+Details!E382</f>
        <v>0</v>
      </c>
      <c r="AV382" s="81">
        <f t="shared" si="314"/>
        <v>0</v>
      </c>
      <c r="AW382" s="191"/>
      <c r="AY382" s="31">
        <f>+Details!F382-Base!F382</f>
        <v>0</v>
      </c>
      <c r="AZ382" s="1124">
        <f>+Details!G382-Base!G382</f>
        <v>0</v>
      </c>
      <c r="BA382" s="1124">
        <f>+Details!H382-Base!H382</f>
        <v>0</v>
      </c>
      <c r="BB382" s="1124">
        <f>+Details!I382-Base!I382</f>
        <v>0</v>
      </c>
      <c r="BC382" s="1124">
        <f>+Details!J382-Base!J382</f>
        <v>0</v>
      </c>
      <c r="BD382" s="1124">
        <f>+Details!K382-Base!K382</f>
        <v>0</v>
      </c>
      <c r="BE382" s="1124">
        <f>+Details!L382-Base!L382</f>
        <v>0</v>
      </c>
      <c r="BF382" s="1124">
        <f>+Details!M382-Base!M382</f>
        <v>0</v>
      </c>
      <c r="BG382" s="1124">
        <f>+Details!N382-Base!N382</f>
        <v>0</v>
      </c>
      <c r="BH382" s="1124">
        <f>+Details!O382-Base!O382</f>
        <v>0</v>
      </c>
      <c r="BI382" s="1124">
        <f>+Details!P382-Base!P382</f>
        <v>0</v>
      </c>
      <c r="BJ382" s="1124">
        <f>+Details!Q382-Base!Q382</f>
        <v>0</v>
      </c>
      <c r="BK382" s="1124">
        <f>+Details!R382-Base!R382</f>
        <v>0</v>
      </c>
      <c r="BL382" s="1124">
        <f>+Details!S382-Base!S382</f>
        <v>0</v>
      </c>
      <c r="BM382" s="1124">
        <f>+Details!T382-Base!T382</f>
        <v>0</v>
      </c>
      <c r="BN382" s="1124">
        <f>+Details!U382-Base!U382</f>
        <v>0</v>
      </c>
      <c r="BO382" s="1124">
        <f>+Details!V382-Base!V382</f>
        <v>0</v>
      </c>
      <c r="BP382" s="1124">
        <f>+Details!W382-Base!W382</f>
        <v>0</v>
      </c>
      <c r="BQ382" s="1124">
        <f>+Details!X382-Base!X382</f>
        <v>0</v>
      </c>
      <c r="BR382" s="1124">
        <f>+Details!Y382-Base!Y382</f>
        <v>0</v>
      </c>
      <c r="BS382" s="1124">
        <f>+Details!Z382-Base!Z382</f>
        <v>0</v>
      </c>
      <c r="BT382" s="1124">
        <f>+Details!AA382-Base!AA382</f>
        <v>0</v>
      </c>
      <c r="BU382" s="1124">
        <f>+Details!AB382-Base!AB382</f>
        <v>0</v>
      </c>
      <c r="BV382" s="1124">
        <f>+Details!AC382-Base!AC382</f>
        <v>0</v>
      </c>
      <c r="BW382" s="1124">
        <f>+Details!AD382-Base!AD382</f>
        <v>0</v>
      </c>
      <c r="BX382" s="1124">
        <f>+Details!AE382-Base!AE382</f>
        <v>0</v>
      </c>
      <c r="BY382" s="1124">
        <f>+Details!AF382-Base!AF382</f>
        <v>0</v>
      </c>
      <c r="BZ382" s="1124">
        <f>+Details!AG382-Base!AG382</f>
        <v>0</v>
      </c>
      <c r="CA382" s="1124">
        <f>+Details!AH382-Base!AH382</f>
        <v>0</v>
      </c>
      <c r="CB382" s="1124">
        <f>+Details!AI382-Base!AI382</f>
        <v>0</v>
      </c>
      <c r="CC382" s="1124">
        <f>+Details!AJ382-Base!AJ382</f>
        <v>0</v>
      </c>
      <c r="CD382" s="1124">
        <f>+Details!AK382-Base!AK382</f>
        <v>0</v>
      </c>
      <c r="CE382" s="1124">
        <f>+Details!AL382-Base!AL382</f>
        <v>0</v>
      </c>
      <c r="CF382" s="1124">
        <f>+Details!AM382-Base!AM382</f>
        <v>0</v>
      </c>
      <c r="CG382" s="1124">
        <f>+Details!AN382-Base!AN382</f>
        <v>0</v>
      </c>
      <c r="CH382" s="1124">
        <f>+Details!AO382-Base!AO382</f>
        <v>0</v>
      </c>
      <c r="CI382" s="1124">
        <f>+Details!AP382-Base!AP382</f>
        <v>0</v>
      </c>
      <c r="CJ382" s="1124">
        <f>+Details!AQ382-Base!AQ382</f>
        <v>0</v>
      </c>
      <c r="CK382" s="1124">
        <f>+Details!AR382-Base!AR382</f>
        <v>0</v>
      </c>
      <c r="CL382" s="1124">
        <f>+Details!AS382-Base!AS382</f>
        <v>0</v>
      </c>
      <c r="CM382" s="81"/>
    </row>
    <row r="383" spans="1:91" hidden="1">
      <c r="A383" s="1432" t="s">
        <v>639</v>
      </c>
      <c r="B383" s="72" t="s">
        <v>881</v>
      </c>
      <c r="C383" s="3"/>
      <c r="E383" s="355" t="s">
        <v>439</v>
      </c>
      <c r="F383" s="31"/>
      <c r="G383" s="1124"/>
      <c r="H383" s="1124"/>
      <c r="I383" s="1124"/>
      <c r="J383" s="1124"/>
      <c r="K383" s="1124"/>
      <c r="L383" s="1124"/>
      <c r="M383" s="1124"/>
      <c r="N383" s="1124"/>
      <c r="O383" s="1124"/>
      <c r="P383" s="1124"/>
      <c r="Q383" s="1124"/>
      <c r="R383" s="1124"/>
      <c r="S383" s="1124"/>
      <c r="T383" s="1124"/>
      <c r="U383" s="1124"/>
      <c r="V383" s="1124"/>
      <c r="W383" s="1124"/>
      <c r="X383" s="1124"/>
      <c r="Y383" s="1124"/>
      <c r="Z383" s="1124"/>
      <c r="AA383" s="1124"/>
      <c r="AB383" s="1124"/>
      <c r="AC383" s="1124"/>
      <c r="AD383" s="1124"/>
      <c r="AE383" s="1124"/>
      <c r="AF383" s="1124"/>
      <c r="AG383" s="1124"/>
      <c r="AH383" s="1124"/>
      <c r="AI383" s="1124"/>
      <c r="AJ383" s="1124"/>
      <c r="AK383" s="1124"/>
      <c r="AL383" s="1124"/>
      <c r="AM383" s="1124"/>
      <c r="AN383" s="1124"/>
      <c r="AO383" s="1124"/>
      <c r="AP383" s="1124"/>
      <c r="AQ383" s="1124"/>
      <c r="AR383" s="1124"/>
      <c r="AS383" s="1124"/>
      <c r="AU383" s="29">
        <f ca="1">+Details!E383</f>
        <v>0</v>
      </c>
      <c r="AV383" s="81">
        <f t="shared" ca="1" si="314"/>
        <v>0</v>
      </c>
      <c r="AW383" s="1731"/>
      <c r="AY383" s="31">
        <f>+Details!F383-Base!F383</f>
        <v>0</v>
      </c>
      <c r="AZ383" s="1124">
        <f>+Details!G383-Base!G383</f>
        <v>0</v>
      </c>
      <c r="BA383" s="1124">
        <f>+Details!H383-Base!H383</f>
        <v>0</v>
      </c>
      <c r="BB383" s="1124">
        <f>+Details!I383-Base!I383</f>
        <v>0</v>
      </c>
      <c r="BC383" s="1124">
        <f>+Details!J383-Base!J383</f>
        <v>0</v>
      </c>
      <c r="BD383" s="1124">
        <f>+Details!K383-Base!K383</f>
        <v>0</v>
      </c>
      <c r="BE383" s="1124">
        <f>+Details!L383-Base!L383</f>
        <v>0</v>
      </c>
      <c r="BF383" s="1124">
        <f>+Details!M383-Base!M383</f>
        <v>0</v>
      </c>
      <c r="BG383" s="1124">
        <f>+Details!N383-Base!N383</f>
        <v>0</v>
      </c>
      <c r="BH383" s="1124">
        <f>+Details!O383-Base!O383</f>
        <v>0</v>
      </c>
      <c r="BI383" s="1124">
        <f>+Details!P383-Base!P383</f>
        <v>0</v>
      </c>
      <c r="BJ383" s="1124">
        <f>+Details!Q383-Base!Q383</f>
        <v>0</v>
      </c>
      <c r="BK383" s="1124">
        <f>+Details!R383-Base!R383</f>
        <v>0</v>
      </c>
      <c r="BL383" s="1124">
        <f>+Details!S383-Base!S383</f>
        <v>0</v>
      </c>
      <c r="BM383" s="1124">
        <f>+Details!T383-Base!T383</f>
        <v>0</v>
      </c>
      <c r="BN383" s="1124">
        <f>+Details!U383-Base!U383</f>
        <v>0</v>
      </c>
      <c r="BO383" s="1124">
        <f>+Details!V383-Base!V383</f>
        <v>0</v>
      </c>
      <c r="BP383" s="1124">
        <f>+Details!W383-Base!W383</f>
        <v>0</v>
      </c>
      <c r="BQ383" s="1124">
        <f>+Details!X383-Base!X383</f>
        <v>0</v>
      </c>
      <c r="BR383" s="1124">
        <f>+Details!Y383-Base!Y383</f>
        <v>0</v>
      </c>
      <c r="BS383" s="1124">
        <f>+Details!Z383-Base!Z383</f>
        <v>0</v>
      </c>
      <c r="BT383" s="1124">
        <f>+Details!AA383-Base!AA383</f>
        <v>0</v>
      </c>
      <c r="BU383" s="1124">
        <f>+Details!AB383-Base!AB383</f>
        <v>0</v>
      </c>
      <c r="BV383" s="1124">
        <f>+Details!AC383-Base!AC383</f>
        <v>0</v>
      </c>
      <c r="BW383" s="1124">
        <f>+Details!AD383-Base!AD383</f>
        <v>0</v>
      </c>
      <c r="BX383" s="1124">
        <f>+Details!AE383-Base!AE383</f>
        <v>0</v>
      </c>
      <c r="BY383" s="1124">
        <f>+Details!AF383-Base!AF383</f>
        <v>0</v>
      </c>
      <c r="BZ383" s="1124">
        <f>+Details!AG383-Base!AG383</f>
        <v>0</v>
      </c>
      <c r="CA383" s="1124">
        <f>+Details!AH383-Base!AH383</f>
        <v>0</v>
      </c>
      <c r="CB383" s="1124">
        <f>+Details!AI383-Base!AI383</f>
        <v>0</v>
      </c>
      <c r="CC383" s="1124">
        <f>+Details!AJ383-Base!AJ383</f>
        <v>0</v>
      </c>
      <c r="CD383" s="1124">
        <f>+Details!AK383-Base!AK383</f>
        <v>0</v>
      </c>
      <c r="CE383" s="1124">
        <f>+Details!AL383-Base!AL383</f>
        <v>0</v>
      </c>
      <c r="CF383" s="1124">
        <f>+Details!AM383-Base!AM383</f>
        <v>0</v>
      </c>
      <c r="CG383" s="1124">
        <f>+Details!AN383-Base!AN383</f>
        <v>0</v>
      </c>
      <c r="CH383" s="1124">
        <f>+Details!AO383-Base!AO383</f>
        <v>0</v>
      </c>
      <c r="CI383" s="1124">
        <f>+Details!AP383-Base!AP383</f>
        <v>0</v>
      </c>
      <c r="CJ383" s="1124">
        <f>+Details!AQ383-Base!AQ383</f>
        <v>0</v>
      </c>
      <c r="CK383" s="1124">
        <f>+Details!AR383-Base!AR383</f>
        <v>0</v>
      </c>
      <c r="CL383" s="1124">
        <f>+Details!AS383-Base!AS383</f>
        <v>0</v>
      </c>
      <c r="CM383" s="81"/>
    </row>
    <row r="384" spans="1:91" ht="15.6" hidden="1">
      <c r="A384" s="1432" t="s">
        <v>639</v>
      </c>
      <c r="B384" s="28" t="s">
        <v>548</v>
      </c>
      <c r="C384" s="3"/>
      <c r="D384" s="245"/>
      <c r="E384" s="355" t="s">
        <v>439</v>
      </c>
      <c r="F384" s="31"/>
      <c r="G384" s="1124"/>
      <c r="H384" s="1124"/>
      <c r="I384" s="1124"/>
      <c r="J384" s="1124"/>
      <c r="K384" s="1124"/>
      <c r="L384" s="1124"/>
      <c r="M384" s="1124"/>
      <c r="N384" s="1124"/>
      <c r="O384" s="1124"/>
      <c r="P384" s="1124"/>
      <c r="Q384" s="1124"/>
      <c r="R384" s="1124"/>
      <c r="S384" s="1124"/>
      <c r="T384" s="1124"/>
      <c r="U384" s="1124"/>
      <c r="V384" s="1124"/>
      <c r="W384" s="1124"/>
      <c r="X384" s="1124"/>
      <c r="Y384" s="1124"/>
      <c r="Z384" s="1124"/>
      <c r="AA384" s="1124"/>
      <c r="AB384" s="1124"/>
      <c r="AC384" s="1124"/>
      <c r="AD384" s="1124"/>
      <c r="AE384" s="1124"/>
      <c r="AF384" s="1124"/>
      <c r="AG384" s="1124"/>
      <c r="AH384" s="1124"/>
      <c r="AI384" s="1124"/>
      <c r="AJ384" s="1124"/>
      <c r="AK384" s="1124"/>
      <c r="AL384" s="1124"/>
      <c r="AM384" s="1124"/>
      <c r="AN384" s="1124"/>
      <c r="AO384" s="1124"/>
      <c r="AP384" s="1124"/>
      <c r="AQ384" s="1124"/>
      <c r="AR384" s="1124"/>
      <c r="AS384" s="1124"/>
      <c r="AU384" s="29">
        <f>+Details!E384</f>
        <v>0</v>
      </c>
      <c r="AV384" s="81">
        <f t="shared" si="314"/>
        <v>0</v>
      </c>
      <c r="AW384" s="1489"/>
      <c r="AY384" s="31"/>
      <c r="AZ384" s="1124"/>
      <c r="BA384" s="1124"/>
      <c r="BB384" s="1124"/>
      <c r="BC384" s="1124"/>
      <c r="BD384" s="1124"/>
      <c r="BE384" s="1124"/>
      <c r="BF384" s="1124"/>
      <c r="BG384" s="1124"/>
      <c r="BH384" s="1124"/>
      <c r="BI384" s="1124"/>
      <c r="BJ384" s="1124"/>
      <c r="BK384" s="1124"/>
      <c r="BL384" s="1124"/>
      <c r="BM384" s="1124"/>
      <c r="BN384" s="1124"/>
      <c r="BO384" s="1124"/>
      <c r="BP384" s="1124"/>
      <c r="BQ384" s="1124"/>
      <c r="BR384" s="1124"/>
      <c r="BS384" s="1124"/>
      <c r="BT384" s="1124"/>
      <c r="BU384" s="1124"/>
      <c r="BV384" s="1124"/>
      <c r="BW384" s="1124"/>
      <c r="BX384" s="1124"/>
      <c r="BY384" s="1124"/>
      <c r="BZ384" s="1124"/>
      <c r="CA384" s="1124"/>
      <c r="CB384" s="1124"/>
      <c r="CC384" s="1124"/>
      <c r="CD384" s="1124"/>
      <c r="CE384" s="1124"/>
      <c r="CF384" s="1124"/>
      <c r="CG384" s="1124"/>
      <c r="CH384" s="1124"/>
      <c r="CI384" s="1124"/>
      <c r="CJ384" s="1124"/>
      <c r="CK384" s="1124"/>
      <c r="CL384" s="1124"/>
      <c r="CM384" s="81"/>
    </row>
    <row r="385" spans="1:91" hidden="1">
      <c r="A385" s="1432" t="s">
        <v>639</v>
      </c>
      <c r="B385" s="72" t="s">
        <v>365</v>
      </c>
      <c r="C385" s="3"/>
      <c r="D385" s="31">
        <f>+E128</f>
        <v>0</v>
      </c>
      <c r="E385" s="355" t="s">
        <v>439</v>
      </c>
      <c r="F385" s="31"/>
      <c r="G385" s="1124"/>
      <c r="H385" s="1124"/>
      <c r="I385" s="1124"/>
      <c r="J385" s="1124"/>
      <c r="K385" s="1124"/>
      <c r="L385" s="1124"/>
      <c r="M385" s="1124"/>
      <c r="N385" s="1124"/>
      <c r="O385" s="1124"/>
      <c r="P385" s="1124"/>
      <c r="Q385" s="1124"/>
      <c r="R385" s="1124"/>
      <c r="S385" s="1124"/>
      <c r="T385" s="1124"/>
      <c r="U385" s="1124"/>
      <c r="V385" s="1124"/>
      <c r="W385" s="1124"/>
      <c r="X385" s="1124"/>
      <c r="Y385" s="1124"/>
      <c r="Z385" s="1124"/>
      <c r="AA385" s="1124"/>
      <c r="AB385" s="1124"/>
      <c r="AC385" s="1124"/>
      <c r="AD385" s="1124"/>
      <c r="AE385" s="1124"/>
      <c r="AF385" s="1124"/>
      <c r="AG385" s="1124"/>
      <c r="AH385" s="1124"/>
      <c r="AI385" s="1124"/>
      <c r="AJ385" s="1124"/>
      <c r="AK385" s="1124"/>
      <c r="AL385" s="1124"/>
      <c r="AM385" s="1124"/>
      <c r="AN385" s="1124"/>
      <c r="AO385" s="1124"/>
      <c r="AP385" s="1124"/>
      <c r="AQ385" s="1124"/>
      <c r="AR385" s="1124"/>
      <c r="AS385" s="1124"/>
      <c r="AU385" s="29">
        <f>+Details!E385</f>
        <v>274000</v>
      </c>
      <c r="AV385" s="81">
        <f t="shared" si="314"/>
        <v>274000</v>
      </c>
      <c r="AW385" s="191"/>
      <c r="AY385" s="31">
        <f>+Details!F385-Base!F385</f>
        <v>43000</v>
      </c>
      <c r="AZ385" s="1124">
        <f>+Details!G385-Base!G385</f>
        <v>29000</v>
      </c>
      <c r="BA385" s="1124">
        <f>+Details!H385-Base!H385</f>
        <v>45000</v>
      </c>
      <c r="BB385" s="1124">
        <f>+Details!I385-Base!I385</f>
        <v>40000</v>
      </c>
      <c r="BC385" s="1124">
        <f>+Details!J385-Base!J385</f>
        <v>48000</v>
      </c>
      <c r="BD385" s="1124">
        <f>+Details!K385-Base!K385</f>
        <v>30000</v>
      </c>
      <c r="BE385" s="1124">
        <f>+Details!L385-Base!L385</f>
        <v>32000</v>
      </c>
      <c r="BF385" s="1124">
        <f>+Details!M385-Base!M385</f>
        <v>7000</v>
      </c>
      <c r="BG385" s="1124">
        <f>+Details!N385-Base!N385</f>
        <v>0</v>
      </c>
      <c r="BH385" s="1124">
        <f>+Details!O385-Base!O385</f>
        <v>0</v>
      </c>
      <c r="BI385" s="1124">
        <f>+Details!P385-Base!P385</f>
        <v>0</v>
      </c>
      <c r="BJ385" s="1124">
        <f>+Details!Q385-Base!Q385</f>
        <v>0</v>
      </c>
      <c r="BK385" s="1124">
        <f>+Details!R385-Base!R385</f>
        <v>0</v>
      </c>
      <c r="BL385" s="1124">
        <f>+Details!S385-Base!S385</f>
        <v>0</v>
      </c>
      <c r="BM385" s="1124">
        <f>+Details!T385-Base!T385</f>
        <v>0</v>
      </c>
      <c r="BN385" s="1124">
        <f>+Details!U385-Base!U385</f>
        <v>0</v>
      </c>
      <c r="BO385" s="1124">
        <f>+Details!V385-Base!V385</f>
        <v>0</v>
      </c>
      <c r="BP385" s="1124">
        <f>+Details!W385-Base!W385</f>
        <v>0</v>
      </c>
      <c r="BQ385" s="1124">
        <f>+Details!X385-Base!X385</f>
        <v>0</v>
      </c>
      <c r="BR385" s="1124">
        <f>+Details!Y385-Base!Y385</f>
        <v>0</v>
      </c>
      <c r="BS385" s="1124">
        <f>+Details!Z385-Base!Z385</f>
        <v>0</v>
      </c>
      <c r="BT385" s="1124">
        <f>+Details!AA385-Base!AA385</f>
        <v>0</v>
      </c>
      <c r="BU385" s="1124">
        <f>+Details!AB385-Base!AB385</f>
        <v>0</v>
      </c>
      <c r="BV385" s="1124">
        <f>+Details!AC385-Base!AC385</f>
        <v>0</v>
      </c>
      <c r="BW385" s="1124">
        <f>+Details!AD385-Base!AD385</f>
        <v>0</v>
      </c>
      <c r="BX385" s="1124">
        <f>+Details!AE385-Base!AE385</f>
        <v>0</v>
      </c>
      <c r="BY385" s="1124">
        <f>+Details!AF385-Base!AF385</f>
        <v>0</v>
      </c>
      <c r="BZ385" s="1124">
        <f>+Details!AG385-Base!AG385</f>
        <v>0</v>
      </c>
      <c r="CA385" s="1124">
        <f>+Details!AH385-Base!AH385</f>
        <v>0</v>
      </c>
      <c r="CB385" s="1124">
        <f>+Details!AI385-Base!AI385</f>
        <v>0</v>
      </c>
      <c r="CC385" s="1124">
        <f>+Details!AJ385-Base!AJ385</f>
        <v>0</v>
      </c>
      <c r="CD385" s="1124">
        <f>+Details!AK385-Base!AK385</f>
        <v>0</v>
      </c>
      <c r="CE385" s="1124">
        <f>+Details!AL385-Base!AL385</f>
        <v>0</v>
      </c>
      <c r="CF385" s="1124">
        <f>+Details!AM385-Base!AM385</f>
        <v>0</v>
      </c>
      <c r="CG385" s="1124">
        <f>+Details!AN385-Base!AN385</f>
        <v>0</v>
      </c>
      <c r="CH385" s="1124">
        <f>+Details!AO385-Base!AO385</f>
        <v>0</v>
      </c>
      <c r="CI385" s="1124">
        <f>+Details!AP385-Base!AP385</f>
        <v>0</v>
      </c>
      <c r="CJ385" s="1124">
        <f>+Details!AQ385-Base!AQ385</f>
        <v>0</v>
      </c>
      <c r="CK385" s="1124">
        <f>+Details!AR385-Base!AR385</f>
        <v>0</v>
      </c>
      <c r="CL385" s="1124">
        <f>+Details!AS385-Base!AS385</f>
        <v>0</v>
      </c>
      <c r="CM385" s="81"/>
    </row>
    <row r="386" spans="1:91" hidden="1">
      <c r="A386" s="1432" t="s">
        <v>639</v>
      </c>
      <c r="B386" s="72" t="s">
        <v>364</v>
      </c>
      <c r="C386" s="3"/>
      <c r="D386" s="31">
        <f>-E129</f>
        <v>0</v>
      </c>
      <c r="E386" s="355" t="s">
        <v>439</v>
      </c>
      <c r="F386" s="31"/>
      <c r="G386" s="1124"/>
      <c r="H386" s="1124"/>
      <c r="I386" s="1124"/>
      <c r="J386" s="1124"/>
      <c r="K386" s="1124"/>
      <c r="L386" s="1124"/>
      <c r="M386" s="1124"/>
      <c r="N386" s="1124"/>
      <c r="O386" s="1124"/>
      <c r="P386" s="1124"/>
      <c r="Q386" s="1124"/>
      <c r="R386" s="1124"/>
      <c r="S386" s="1124"/>
      <c r="T386" s="1124"/>
      <c r="U386" s="1124"/>
      <c r="V386" s="1124"/>
      <c r="W386" s="1124"/>
      <c r="X386" s="1124"/>
      <c r="Y386" s="1124"/>
      <c r="Z386" s="1124"/>
      <c r="AA386" s="1124"/>
      <c r="AB386" s="1124"/>
      <c r="AC386" s="1124"/>
      <c r="AD386" s="1124"/>
      <c r="AE386" s="1124"/>
      <c r="AF386" s="1124"/>
      <c r="AG386" s="1124"/>
      <c r="AH386" s="1124"/>
      <c r="AI386" s="1124"/>
      <c r="AJ386" s="1124"/>
      <c r="AK386" s="1124"/>
      <c r="AL386" s="1124"/>
      <c r="AM386" s="1124"/>
      <c r="AN386" s="1124"/>
      <c r="AO386" s="1124"/>
      <c r="AP386" s="1124"/>
      <c r="AQ386" s="1124"/>
      <c r="AR386" s="1124"/>
      <c r="AS386" s="1124"/>
      <c r="AU386" s="29">
        <f>+Details!E386</f>
        <v>25000</v>
      </c>
      <c r="AV386" s="81">
        <f t="shared" si="314"/>
        <v>25000</v>
      </c>
      <c r="AW386" s="191"/>
      <c r="AY386" s="31">
        <f>+Details!F386-Base!F386</f>
        <v>0</v>
      </c>
      <c r="AZ386" s="1124">
        <f>+Details!G386-Base!G386</f>
        <v>0</v>
      </c>
      <c r="BA386" s="1124">
        <f>+Details!H386-Base!H386</f>
        <v>0</v>
      </c>
      <c r="BB386" s="1124">
        <f>+Details!I386-Base!I386</f>
        <v>0</v>
      </c>
      <c r="BC386" s="1124">
        <f>+Details!J386-Base!J386</f>
        <v>0</v>
      </c>
      <c r="BD386" s="1124">
        <f>+Details!K386-Base!K386</f>
        <v>0</v>
      </c>
      <c r="BE386" s="1124">
        <f>+Details!L386-Base!L386</f>
        <v>0</v>
      </c>
      <c r="BF386" s="1124">
        <f>+Details!M386-Base!M386</f>
        <v>0</v>
      </c>
      <c r="BG386" s="1124">
        <f>+Details!N386-Base!N386</f>
        <v>0</v>
      </c>
      <c r="BH386" s="1124">
        <f>+Details!O386-Base!O386</f>
        <v>0</v>
      </c>
      <c r="BI386" s="1124">
        <f>+Details!P386-Base!P386</f>
        <v>0</v>
      </c>
      <c r="BJ386" s="1124">
        <f>+Details!Q386-Base!Q386</f>
        <v>0</v>
      </c>
      <c r="BK386" s="1124">
        <f>+Details!R386-Base!R386</f>
        <v>0</v>
      </c>
      <c r="BL386" s="1124">
        <f>+Details!S386-Base!S386</f>
        <v>10000</v>
      </c>
      <c r="BM386" s="1124">
        <f>+Details!T386-Base!T386</f>
        <v>15000</v>
      </c>
      <c r="BN386" s="1124">
        <f>+Details!U386-Base!U386</f>
        <v>0</v>
      </c>
      <c r="BO386" s="1124">
        <f>+Details!V386-Base!V386</f>
        <v>0</v>
      </c>
      <c r="BP386" s="1124">
        <f>+Details!W386-Base!W386</f>
        <v>0</v>
      </c>
      <c r="BQ386" s="1124">
        <f>+Details!X386-Base!X386</f>
        <v>0</v>
      </c>
      <c r="BR386" s="1124">
        <f>+Details!Y386-Base!Y386</f>
        <v>0</v>
      </c>
      <c r="BS386" s="1124">
        <f>+Details!Z386-Base!Z386</f>
        <v>0</v>
      </c>
      <c r="BT386" s="1124">
        <f>+Details!AA386-Base!AA386</f>
        <v>0</v>
      </c>
      <c r="BU386" s="1124">
        <f>+Details!AB386-Base!AB386</f>
        <v>0</v>
      </c>
      <c r="BV386" s="1124">
        <f>+Details!AC386-Base!AC386</f>
        <v>0</v>
      </c>
      <c r="BW386" s="1124">
        <f>+Details!AD386-Base!AD386</f>
        <v>0</v>
      </c>
      <c r="BX386" s="1124">
        <f>+Details!AE386-Base!AE386</f>
        <v>0</v>
      </c>
      <c r="BY386" s="1124">
        <f>+Details!AF386-Base!AF386</f>
        <v>0</v>
      </c>
      <c r="BZ386" s="1124">
        <f>+Details!AG386-Base!AG386</f>
        <v>0</v>
      </c>
      <c r="CA386" s="1124">
        <f>+Details!AH386-Base!AH386</f>
        <v>0</v>
      </c>
      <c r="CB386" s="1124">
        <f>+Details!AI386-Base!AI386</f>
        <v>0</v>
      </c>
      <c r="CC386" s="1124">
        <f>+Details!AJ386-Base!AJ386</f>
        <v>0</v>
      </c>
      <c r="CD386" s="1124">
        <f>+Details!AK386-Base!AK386</f>
        <v>0</v>
      </c>
      <c r="CE386" s="1124">
        <f>+Details!AL386-Base!AL386</f>
        <v>0</v>
      </c>
      <c r="CF386" s="1124">
        <f>+Details!AM386-Base!AM386</f>
        <v>0</v>
      </c>
      <c r="CG386" s="1124">
        <f>+Details!AN386-Base!AN386</f>
        <v>0</v>
      </c>
      <c r="CH386" s="1124">
        <f>+Details!AO386-Base!AO386</f>
        <v>0</v>
      </c>
      <c r="CI386" s="1124">
        <f>+Details!AP386-Base!AP386</f>
        <v>0</v>
      </c>
      <c r="CJ386" s="1124">
        <f>+Details!AQ386-Base!AQ386</f>
        <v>0</v>
      </c>
      <c r="CK386" s="1124">
        <f>+Details!AR386-Base!AR386</f>
        <v>0</v>
      </c>
      <c r="CL386" s="1124">
        <f>+Details!AS386-Base!AS386</f>
        <v>0</v>
      </c>
      <c r="CM386" s="81"/>
    </row>
    <row r="387" spans="1:91" ht="15.6">
      <c r="B387" s="717" t="s">
        <v>1311</v>
      </c>
      <c r="E387" s="363"/>
      <c r="F387" s="31"/>
      <c r="G387" s="31"/>
      <c r="H387" s="31"/>
      <c r="I387" s="31"/>
      <c r="J387" s="31"/>
      <c r="K387" s="31"/>
      <c r="L387" s="31"/>
      <c r="M387" s="31"/>
      <c r="N387" s="31"/>
      <c r="O387" s="31"/>
      <c r="P387" s="31"/>
      <c r="Q387" s="31"/>
      <c r="R387" s="31"/>
      <c r="S387" s="31"/>
      <c r="T387" s="31"/>
      <c r="U387" s="31"/>
      <c r="V387" s="31"/>
      <c r="W387" s="31"/>
      <c r="X387" s="31"/>
      <c r="Y387" s="31"/>
      <c r="Z387" s="31"/>
      <c r="AA387" s="31"/>
      <c r="AB387" s="31"/>
      <c r="AC387" s="31"/>
      <c r="AD387" s="31"/>
      <c r="AE387" s="31"/>
      <c r="AF387" s="31"/>
      <c r="AG387" s="31"/>
      <c r="AH387" s="31"/>
      <c r="AI387" s="31"/>
      <c r="AJ387" s="31"/>
      <c r="AK387" s="31"/>
      <c r="AL387" s="31"/>
      <c r="AM387" s="31"/>
      <c r="AN387" s="31"/>
      <c r="AO387" s="31"/>
      <c r="AP387" s="31"/>
      <c r="AQ387" s="31"/>
      <c r="AR387" s="31"/>
      <c r="AS387" s="31"/>
      <c r="AU387" s="97"/>
      <c r="AV387" s="81"/>
      <c r="AW387" s="562"/>
      <c r="AY387" s="31"/>
      <c r="AZ387" s="31"/>
      <c r="BA387" s="31"/>
      <c r="BB387" s="31"/>
      <c r="BC387" s="31"/>
      <c r="BD387" s="31"/>
      <c r="BE387" s="31"/>
      <c r="BF387" s="31"/>
      <c r="BG387" s="31"/>
      <c r="BH387" s="31"/>
      <c r="BI387" s="31"/>
      <c r="BJ387" s="31"/>
      <c r="BK387" s="31"/>
      <c r="BL387" s="31"/>
      <c r="BM387" s="31"/>
      <c r="BN387" s="31"/>
      <c r="BO387" s="31"/>
      <c r="BP387" s="31"/>
      <c r="BQ387" s="31"/>
      <c r="BR387" s="31"/>
      <c r="BS387" s="31"/>
      <c r="BT387" s="31"/>
      <c r="BU387" s="31"/>
      <c r="BV387" s="31"/>
      <c r="BW387" s="31"/>
      <c r="BX387" s="31"/>
      <c r="BY387" s="31"/>
      <c r="BZ387" s="31"/>
      <c r="CA387" s="31"/>
      <c r="CB387" s="31"/>
      <c r="CC387" s="31"/>
      <c r="CD387" s="31"/>
      <c r="CE387" s="31"/>
      <c r="CF387" s="31"/>
      <c r="CG387" s="31"/>
      <c r="CH387" s="31"/>
      <c r="CI387" s="31"/>
      <c r="CJ387" s="31"/>
      <c r="CK387" s="31"/>
      <c r="CL387" s="31"/>
      <c r="CM387" s="81"/>
    </row>
    <row r="388" spans="1:91" ht="15.6">
      <c r="F388" s="13">
        <v>1</v>
      </c>
      <c r="G388" s="13">
        <f>+F388+1</f>
        <v>2</v>
      </c>
      <c r="H388" s="13">
        <f t="shared" ref="H388:AS388" si="315">+G388+1</f>
        <v>3</v>
      </c>
      <c r="I388" s="13">
        <f t="shared" si="315"/>
        <v>4</v>
      </c>
      <c r="J388" s="13">
        <f t="shared" si="315"/>
        <v>5</v>
      </c>
      <c r="K388" s="13">
        <f t="shared" si="315"/>
        <v>6</v>
      </c>
      <c r="L388" s="13">
        <f t="shared" si="315"/>
        <v>7</v>
      </c>
      <c r="M388" s="13">
        <f t="shared" si="315"/>
        <v>8</v>
      </c>
      <c r="N388" s="13">
        <f t="shared" si="315"/>
        <v>9</v>
      </c>
      <c r="O388" s="13">
        <f t="shared" si="315"/>
        <v>10</v>
      </c>
      <c r="P388" s="13">
        <f t="shared" si="315"/>
        <v>11</v>
      </c>
      <c r="Q388" s="13">
        <f t="shared" si="315"/>
        <v>12</v>
      </c>
      <c r="R388" s="13">
        <f t="shared" si="315"/>
        <v>13</v>
      </c>
      <c r="S388" s="13">
        <f t="shared" si="315"/>
        <v>14</v>
      </c>
      <c r="T388" s="13">
        <f t="shared" si="315"/>
        <v>15</v>
      </c>
      <c r="U388" s="13">
        <f t="shared" si="315"/>
        <v>16</v>
      </c>
      <c r="V388" s="13">
        <f t="shared" si="315"/>
        <v>17</v>
      </c>
      <c r="W388" s="13">
        <f t="shared" si="315"/>
        <v>18</v>
      </c>
      <c r="X388" s="13">
        <f t="shared" si="315"/>
        <v>19</v>
      </c>
      <c r="Y388" s="13">
        <f t="shared" si="315"/>
        <v>20</v>
      </c>
      <c r="Z388" s="13">
        <f t="shared" si="315"/>
        <v>21</v>
      </c>
      <c r="AA388" s="13">
        <f t="shared" si="315"/>
        <v>22</v>
      </c>
      <c r="AB388" s="13">
        <f t="shared" si="315"/>
        <v>23</v>
      </c>
      <c r="AC388" s="13">
        <f t="shared" si="315"/>
        <v>24</v>
      </c>
      <c r="AD388" s="13">
        <f t="shared" si="315"/>
        <v>25</v>
      </c>
      <c r="AE388" s="13">
        <f t="shared" si="315"/>
        <v>26</v>
      </c>
      <c r="AF388" s="13">
        <f t="shared" si="315"/>
        <v>27</v>
      </c>
      <c r="AG388" s="13">
        <f t="shared" si="315"/>
        <v>28</v>
      </c>
      <c r="AH388" s="13">
        <f t="shared" si="315"/>
        <v>29</v>
      </c>
      <c r="AI388" s="13">
        <f t="shared" si="315"/>
        <v>30</v>
      </c>
      <c r="AJ388" s="13">
        <f t="shared" ref="AJ388:AP388" si="316">+AI388+1</f>
        <v>31</v>
      </c>
      <c r="AK388" s="13">
        <f t="shared" si="316"/>
        <v>32</v>
      </c>
      <c r="AL388" s="13">
        <f t="shared" si="316"/>
        <v>33</v>
      </c>
      <c r="AM388" s="13">
        <f t="shared" si="316"/>
        <v>34</v>
      </c>
      <c r="AN388" s="13">
        <f t="shared" si="316"/>
        <v>35</v>
      </c>
      <c r="AO388" s="13">
        <f t="shared" si="316"/>
        <v>36</v>
      </c>
      <c r="AP388" s="13">
        <f t="shared" si="316"/>
        <v>37</v>
      </c>
      <c r="AQ388" s="13">
        <f>+AP388+1</f>
        <v>38</v>
      </c>
      <c r="AR388" s="13">
        <f>+AQ388+1</f>
        <v>39</v>
      </c>
      <c r="AS388" s="13">
        <f t="shared" si="315"/>
        <v>40</v>
      </c>
      <c r="AT388" s="3"/>
      <c r="AW388" s="91"/>
      <c r="AZ388" s="13"/>
      <c r="BA388" s="13"/>
      <c r="BB388" s="13"/>
      <c r="BC388" s="13"/>
      <c r="BD388" s="13"/>
      <c r="BE388" s="13"/>
      <c r="BF388" s="13"/>
      <c r="BG388" s="13"/>
      <c r="BH388" s="13"/>
      <c r="BI388" s="13"/>
      <c r="BJ388" s="13"/>
      <c r="BK388" s="13"/>
      <c r="BL388" s="13"/>
      <c r="BM388" s="13"/>
      <c r="BN388" s="13"/>
      <c r="BO388" s="13"/>
      <c r="BP388" s="13"/>
      <c r="BQ388" s="13"/>
      <c r="BR388" s="13"/>
      <c r="BS388" s="13"/>
      <c r="BT388" s="13"/>
      <c r="BU388" s="13"/>
      <c r="BV388" s="13"/>
      <c r="BW388" s="13"/>
      <c r="BX388" s="13"/>
      <c r="BY388" s="13"/>
      <c r="BZ388" s="13"/>
      <c r="CA388" s="13"/>
      <c r="CB388" s="13"/>
      <c r="CC388" s="13"/>
      <c r="CD388" s="13"/>
      <c r="CE388" s="13"/>
      <c r="CF388" s="13"/>
      <c r="CG388" s="13"/>
      <c r="CH388" s="13"/>
      <c r="CI388" s="13"/>
      <c r="CJ388" s="13"/>
      <c r="CK388" s="13"/>
      <c r="CL388" s="13"/>
    </row>
    <row r="389" spans="1:91" ht="17.399999999999999">
      <c r="B389" s="864" t="s">
        <v>524</v>
      </c>
      <c r="F389" s="92"/>
      <c r="G389" s="867"/>
      <c r="H389" s="867"/>
      <c r="I389" s="867"/>
      <c r="J389" s="867"/>
      <c r="K389" s="867"/>
      <c r="L389" s="867"/>
      <c r="M389" s="867"/>
      <c r="N389" s="867"/>
      <c r="O389" s="867"/>
      <c r="P389" s="867"/>
      <c r="Q389" s="867"/>
      <c r="R389" s="867"/>
      <c r="S389" s="867"/>
      <c r="T389" s="867"/>
      <c r="U389" s="867"/>
      <c r="V389" s="867"/>
      <c r="W389" s="867"/>
      <c r="X389" s="867"/>
      <c r="Y389" s="867"/>
      <c r="Z389" s="867"/>
      <c r="AA389" s="867"/>
      <c r="AB389" s="867"/>
      <c r="AC389" s="867"/>
      <c r="AD389" s="867"/>
      <c r="AE389" s="867"/>
      <c r="AF389" s="867"/>
      <c r="AG389" s="867"/>
      <c r="AH389" s="867"/>
      <c r="AI389" s="867"/>
      <c r="AJ389" s="867"/>
      <c r="AK389" s="867"/>
      <c r="AL389" s="867"/>
      <c r="AM389" s="867"/>
      <c r="AN389" s="867"/>
      <c r="AO389" s="867"/>
      <c r="AP389" s="867"/>
      <c r="AQ389" s="867"/>
      <c r="AR389" s="867"/>
      <c r="AS389" s="867"/>
      <c r="AT389" s="3"/>
      <c r="AZ389" s="867"/>
      <c r="BA389" s="867"/>
      <c r="BB389" s="867"/>
      <c r="BC389" s="867"/>
      <c r="BD389" s="867"/>
      <c r="BE389" s="867"/>
      <c r="BF389" s="867"/>
      <c r="BG389" s="867"/>
      <c r="BH389" s="867"/>
      <c r="BI389" s="867"/>
      <c r="BJ389" s="867"/>
      <c r="BK389" s="867"/>
      <c r="BL389" s="867"/>
      <c r="BM389" s="867"/>
      <c r="BN389" s="867"/>
      <c r="BO389" s="867"/>
      <c r="BP389" s="867"/>
      <c r="BQ389" s="867"/>
      <c r="BR389" s="867"/>
      <c r="BS389" s="867"/>
      <c r="BT389" s="867"/>
      <c r="BU389" s="867"/>
      <c r="BV389" s="867"/>
      <c r="BW389" s="867"/>
      <c r="BX389" s="867"/>
      <c r="BY389" s="867"/>
      <c r="BZ389" s="867"/>
      <c r="CA389" s="867"/>
      <c r="CB389" s="867"/>
      <c r="CC389" s="867"/>
      <c r="CD389" s="867"/>
      <c r="CE389" s="867"/>
      <c r="CF389" s="867"/>
      <c r="CG389" s="867"/>
      <c r="CH389" s="867"/>
      <c r="CI389" s="867"/>
      <c r="CJ389" s="867"/>
      <c r="CK389" s="867"/>
      <c r="CL389" s="867"/>
    </row>
    <row r="390" spans="1:91" ht="15.6">
      <c r="B390" s="22" t="s">
        <v>270</v>
      </c>
      <c r="C390" s="13" t="s">
        <v>271</v>
      </c>
      <c r="D390" s="13" t="s">
        <v>272</v>
      </c>
      <c r="E390" s="65">
        <f>SUM(F390:AS390)</f>
        <v>16808200</v>
      </c>
      <c r="F390" s="868">
        <f t="shared" ref="F390:AS390" si="317">+F8</f>
        <v>200000</v>
      </c>
      <c r="G390" s="868">
        <f t="shared" si="317"/>
        <v>187100</v>
      </c>
      <c r="H390" s="868">
        <f t="shared" si="317"/>
        <v>186800</v>
      </c>
      <c r="I390" s="868">
        <f t="shared" si="317"/>
        <v>173800</v>
      </c>
      <c r="J390" s="868">
        <f t="shared" si="317"/>
        <v>160500</v>
      </c>
      <c r="K390" s="868">
        <f t="shared" si="317"/>
        <v>148300</v>
      </c>
      <c r="L390" s="868">
        <f t="shared" si="317"/>
        <v>156400</v>
      </c>
      <c r="M390" s="868">
        <f t="shared" si="317"/>
        <v>166100</v>
      </c>
      <c r="N390" s="868">
        <f t="shared" si="317"/>
        <v>175900</v>
      </c>
      <c r="O390" s="868">
        <f t="shared" si="317"/>
        <v>202800</v>
      </c>
      <c r="P390" s="868">
        <f t="shared" si="317"/>
        <v>238100</v>
      </c>
      <c r="Q390" s="868">
        <f t="shared" si="317"/>
        <v>194200</v>
      </c>
      <c r="R390" s="868">
        <f t="shared" si="317"/>
        <v>272100</v>
      </c>
      <c r="S390" s="868">
        <f t="shared" si="317"/>
        <v>296700</v>
      </c>
      <c r="T390" s="868">
        <f t="shared" si="317"/>
        <v>344500</v>
      </c>
      <c r="U390" s="868">
        <f t="shared" si="317"/>
        <v>301300</v>
      </c>
      <c r="V390" s="868">
        <f t="shared" si="317"/>
        <v>424600</v>
      </c>
      <c r="W390" s="868">
        <f t="shared" si="317"/>
        <v>480700</v>
      </c>
      <c r="X390" s="868">
        <f t="shared" si="317"/>
        <v>541400</v>
      </c>
      <c r="Y390" s="868">
        <f t="shared" si="317"/>
        <v>574700</v>
      </c>
      <c r="Z390" s="868">
        <f t="shared" si="317"/>
        <v>609500</v>
      </c>
      <c r="AA390" s="868">
        <f t="shared" si="317"/>
        <v>647200</v>
      </c>
      <c r="AB390" s="868">
        <f t="shared" si="317"/>
        <v>688000</v>
      </c>
      <c r="AC390" s="868">
        <f t="shared" si="317"/>
        <v>1136000</v>
      </c>
      <c r="AD390" s="868">
        <f t="shared" si="317"/>
        <v>1199500</v>
      </c>
      <c r="AE390" s="868">
        <f t="shared" si="317"/>
        <v>1337600</v>
      </c>
      <c r="AF390" s="868">
        <f t="shared" si="317"/>
        <v>1379900</v>
      </c>
      <c r="AG390" s="868">
        <f t="shared" si="317"/>
        <v>1423300</v>
      </c>
      <c r="AH390" s="868">
        <f t="shared" si="317"/>
        <v>1461500</v>
      </c>
      <c r="AI390" s="868">
        <f t="shared" si="317"/>
        <v>1499700</v>
      </c>
      <c r="AJ390" s="868">
        <f t="shared" si="317"/>
        <v>0</v>
      </c>
      <c r="AK390" s="868">
        <f t="shared" si="317"/>
        <v>0</v>
      </c>
      <c r="AL390" s="868">
        <f t="shared" si="317"/>
        <v>0</v>
      </c>
      <c r="AM390" s="868">
        <f t="shared" si="317"/>
        <v>0</v>
      </c>
      <c r="AN390" s="868">
        <f t="shared" si="317"/>
        <v>0</v>
      </c>
      <c r="AO390" s="868">
        <f t="shared" si="317"/>
        <v>0</v>
      </c>
      <c r="AP390" s="868">
        <f t="shared" si="317"/>
        <v>0</v>
      </c>
      <c r="AQ390" s="868">
        <f t="shared" si="317"/>
        <v>0</v>
      </c>
      <c r="AR390" s="868">
        <f t="shared" si="317"/>
        <v>0</v>
      </c>
      <c r="AS390" s="868">
        <f t="shared" si="317"/>
        <v>0</v>
      </c>
      <c r="AT390" s="3"/>
      <c r="AW390" s="191"/>
      <c r="AY390" s="31">
        <f>+Details!F390-Base!F390</f>
        <v>0</v>
      </c>
      <c r="AZ390" s="868">
        <f>+Details!G390-Base!G390</f>
        <v>0</v>
      </c>
      <c r="BA390" s="868">
        <f>+Details!H390-Base!H390</f>
        <v>0</v>
      </c>
      <c r="BB390" s="868">
        <f>+Details!I390-Base!I390</f>
        <v>0</v>
      </c>
      <c r="BC390" s="868">
        <f>+Details!J390-Base!J390</f>
        <v>0</v>
      </c>
      <c r="BD390" s="868">
        <f>+Details!K390-Base!K390</f>
        <v>0</v>
      </c>
      <c r="BE390" s="868">
        <f>+Details!L390-Base!L390</f>
        <v>0</v>
      </c>
      <c r="BF390" s="868">
        <f>+Details!M390-Base!M390</f>
        <v>0</v>
      </c>
      <c r="BG390" s="868">
        <f>+Details!N390-Base!N390</f>
        <v>0</v>
      </c>
      <c r="BH390" s="868">
        <f>+Details!O390-Base!O390</f>
        <v>0</v>
      </c>
      <c r="BI390" s="868">
        <f>+Details!P390-Base!P390</f>
        <v>0</v>
      </c>
      <c r="BJ390" s="868">
        <f>+Details!Q390-Base!Q390</f>
        <v>0</v>
      </c>
      <c r="BK390" s="868">
        <f>+Details!R390-Base!R390</f>
        <v>0</v>
      </c>
      <c r="BL390" s="868">
        <f>+Details!S390-Base!S390</f>
        <v>0</v>
      </c>
      <c r="BM390" s="868">
        <f>+Details!T390-Base!T390</f>
        <v>0</v>
      </c>
      <c r="BN390" s="868">
        <f>+Details!U390-Base!U390</f>
        <v>0</v>
      </c>
      <c r="BO390" s="868">
        <f>+Details!V390-Base!V390</f>
        <v>0</v>
      </c>
      <c r="BP390" s="868">
        <f>+Details!W390-Base!W390</f>
        <v>0</v>
      </c>
      <c r="BQ390" s="868">
        <f>+Details!X390-Base!X390</f>
        <v>0</v>
      </c>
      <c r="BR390" s="868">
        <f>+Details!Y390-Base!Y390</f>
        <v>0</v>
      </c>
      <c r="BS390" s="868">
        <f>+Details!Z390-Base!Z390</f>
        <v>0</v>
      </c>
      <c r="BT390" s="868">
        <f>+Details!AA390-Base!AA390</f>
        <v>0</v>
      </c>
      <c r="BU390" s="868">
        <f>+Details!AB390-Base!AB390</f>
        <v>0</v>
      </c>
      <c r="BV390" s="868">
        <f>+Details!AC390-Base!AC390</f>
        <v>0</v>
      </c>
      <c r="BW390" s="868">
        <f>+Details!AD390-Base!AD390</f>
        <v>0</v>
      </c>
      <c r="BX390" s="868">
        <f>+Details!AE390-Base!AE390</f>
        <v>0</v>
      </c>
      <c r="BY390" s="868">
        <f>+Details!AF390-Base!AF390</f>
        <v>0</v>
      </c>
      <c r="BZ390" s="868">
        <f>+Details!AG390-Base!AG390</f>
        <v>0</v>
      </c>
      <c r="CA390" s="868">
        <f>+Details!AH390-Base!AH390</f>
        <v>0</v>
      </c>
      <c r="CB390" s="868">
        <f>+Details!AI390-Base!AI390</f>
        <v>0</v>
      </c>
      <c r="CC390" s="868">
        <f>+Details!AJ390-Base!AJ390</f>
        <v>0</v>
      </c>
      <c r="CD390" s="868">
        <f>+Details!AK390-Base!AK390</f>
        <v>0</v>
      </c>
      <c r="CE390" s="868">
        <f>+Details!AL390-Base!AL390</f>
        <v>0</v>
      </c>
      <c r="CF390" s="868">
        <f>+Details!AM390-Base!AM390</f>
        <v>0</v>
      </c>
      <c r="CG390" s="868">
        <f>+Details!AN390-Base!AN390</f>
        <v>0</v>
      </c>
      <c r="CH390" s="868">
        <f>+Details!AO390-Base!AO390</f>
        <v>0</v>
      </c>
      <c r="CI390" s="868">
        <f>+Details!AP390-Base!AP390</f>
        <v>0</v>
      </c>
      <c r="CJ390" s="868">
        <f>+Details!AQ390-Base!AQ390</f>
        <v>0</v>
      </c>
      <c r="CK390" s="868">
        <f>+Details!AR390-Base!AR390</f>
        <v>0</v>
      </c>
      <c r="CL390" s="868">
        <f>+Details!AS390-Base!AS390</f>
        <v>0</v>
      </c>
    </row>
    <row r="391" spans="1:91">
      <c r="B391" s="43" t="s">
        <v>756</v>
      </c>
      <c r="C391" s="44">
        <f>+Stock_Taxable</f>
        <v>0.45</v>
      </c>
      <c r="D391" s="44">
        <f>IF(Change_Age=0,Stock_Taxable,+Stock_Taxable2)</f>
        <v>0.25</v>
      </c>
      <c r="E391" s="136">
        <f>+Change_Age</f>
        <v>80</v>
      </c>
      <c r="F391" s="898">
        <f>+F$447*$C391</f>
        <v>90000</v>
      </c>
      <c r="G391" s="92">
        <f t="shared" ref="G391:P394" si="318">IF(G$4&gt;=$E$391,$D391*G$390,$C391*G$390)*IF(G$7-$F$7&lt;=Total_Years-1,1,0)</f>
        <v>84195</v>
      </c>
      <c r="H391" s="92">
        <f t="shared" si="318"/>
        <v>84060</v>
      </c>
      <c r="I391" s="92">
        <f t="shared" si="318"/>
        <v>78210</v>
      </c>
      <c r="J391" s="92">
        <f t="shared" si="318"/>
        <v>72225</v>
      </c>
      <c r="K391" s="92">
        <f t="shared" si="318"/>
        <v>66735</v>
      </c>
      <c r="L391" s="92">
        <f t="shared" si="318"/>
        <v>70380</v>
      </c>
      <c r="M391" s="92">
        <f t="shared" si="318"/>
        <v>74745</v>
      </c>
      <c r="N391" s="92">
        <f t="shared" si="318"/>
        <v>79155</v>
      </c>
      <c r="O391" s="92">
        <f t="shared" si="318"/>
        <v>91260</v>
      </c>
      <c r="P391" s="92">
        <f t="shared" si="318"/>
        <v>107145</v>
      </c>
      <c r="Q391" s="92">
        <f t="shared" ref="Q391:Z394" si="319">IF(Q$4&gt;=$E$391,$D391*Q$390,$C391*Q$390)*IF(Q$7-$F$7&lt;=Total_Years-1,1,0)</f>
        <v>87390</v>
      </c>
      <c r="R391" s="92">
        <f t="shared" si="319"/>
        <v>122445</v>
      </c>
      <c r="S391" s="92">
        <f t="shared" si="319"/>
        <v>133515</v>
      </c>
      <c r="T391" s="92">
        <f t="shared" si="319"/>
        <v>155025</v>
      </c>
      <c r="U391" s="92">
        <f t="shared" si="319"/>
        <v>135585</v>
      </c>
      <c r="V391" s="92">
        <f t="shared" si="319"/>
        <v>191070</v>
      </c>
      <c r="W391" s="92">
        <f t="shared" si="319"/>
        <v>216315</v>
      </c>
      <c r="X391" s="92">
        <f t="shared" si="319"/>
        <v>135350</v>
      </c>
      <c r="Y391" s="92">
        <f t="shared" si="319"/>
        <v>143675</v>
      </c>
      <c r="Z391" s="92">
        <f t="shared" si="319"/>
        <v>152375</v>
      </c>
      <c r="AA391" s="92">
        <f t="shared" ref="AA391:AJ394" si="320">IF(AA$4&gt;=$E$391,$D391*AA$390,$C391*AA$390)*IF(AA$7-$F$7&lt;=Total_Years-1,1,0)</f>
        <v>161800</v>
      </c>
      <c r="AB391" s="92">
        <f t="shared" si="320"/>
        <v>172000</v>
      </c>
      <c r="AC391" s="92">
        <f t="shared" si="320"/>
        <v>284000</v>
      </c>
      <c r="AD391" s="92">
        <f t="shared" si="320"/>
        <v>299875</v>
      </c>
      <c r="AE391" s="92">
        <f t="shared" si="320"/>
        <v>334400</v>
      </c>
      <c r="AF391" s="92">
        <f t="shared" si="320"/>
        <v>344975</v>
      </c>
      <c r="AG391" s="92">
        <f t="shared" si="320"/>
        <v>355825</v>
      </c>
      <c r="AH391" s="92">
        <f t="shared" si="320"/>
        <v>365375</v>
      </c>
      <c r="AI391" s="92">
        <f t="shared" si="320"/>
        <v>374925</v>
      </c>
      <c r="AJ391" s="92">
        <f t="shared" si="320"/>
        <v>0</v>
      </c>
      <c r="AK391" s="92">
        <f t="shared" ref="AK391:AS394" si="321">IF(AK$4&gt;=$E$391,$D391*AK$390,$C391*AK$390)*IF(AK$7-$F$7&lt;=Total_Years-1,1,0)</f>
        <v>0</v>
      </c>
      <c r="AL391" s="92">
        <f t="shared" si="321"/>
        <v>0</v>
      </c>
      <c r="AM391" s="92">
        <f t="shared" si="321"/>
        <v>0</v>
      </c>
      <c r="AN391" s="92">
        <f t="shared" si="321"/>
        <v>0</v>
      </c>
      <c r="AO391" s="92">
        <f t="shared" si="321"/>
        <v>0</v>
      </c>
      <c r="AP391" s="92">
        <f t="shared" si="321"/>
        <v>0</v>
      </c>
      <c r="AQ391" s="92">
        <f t="shared" si="321"/>
        <v>0</v>
      </c>
      <c r="AR391" s="92">
        <f t="shared" si="321"/>
        <v>0</v>
      </c>
      <c r="AS391" s="92">
        <f t="shared" si="321"/>
        <v>0</v>
      </c>
      <c r="AT391" s="3"/>
      <c r="AY391" s="31">
        <f>+Details!F391-Base!F391</f>
        <v>0</v>
      </c>
      <c r="AZ391" s="92">
        <f>+Details!G391-Base!G391</f>
        <v>0</v>
      </c>
      <c r="BA391" s="92">
        <f>+Details!H391-Base!H391</f>
        <v>0</v>
      </c>
      <c r="BB391" s="92">
        <f>+Details!I391-Base!I391</f>
        <v>0</v>
      </c>
      <c r="BC391" s="92">
        <f>+Details!J391-Base!J391</f>
        <v>0</v>
      </c>
      <c r="BD391" s="92">
        <f>+Details!K391-Base!K391</f>
        <v>0</v>
      </c>
      <c r="BE391" s="92">
        <f>+Details!L391-Base!L391</f>
        <v>0</v>
      </c>
      <c r="BF391" s="92">
        <f>+Details!M391-Base!M391</f>
        <v>0</v>
      </c>
      <c r="BG391" s="92">
        <f>+Details!N391-Base!N391</f>
        <v>0</v>
      </c>
      <c r="BH391" s="92">
        <f>+Details!O391-Base!O391</f>
        <v>0</v>
      </c>
      <c r="BI391" s="92">
        <f>+Details!P391-Base!P391</f>
        <v>0</v>
      </c>
      <c r="BJ391" s="92">
        <f>+Details!Q391-Base!Q391</f>
        <v>0</v>
      </c>
      <c r="BK391" s="92">
        <f>+Details!R391-Base!R391</f>
        <v>0</v>
      </c>
      <c r="BL391" s="92">
        <f>+Details!S391-Base!S391</f>
        <v>0</v>
      </c>
      <c r="BM391" s="92">
        <f>+Details!T391-Base!T391</f>
        <v>0</v>
      </c>
      <c r="BN391" s="92">
        <f>+Details!U391-Base!U391</f>
        <v>0</v>
      </c>
      <c r="BO391" s="92">
        <f>+Details!V391-Base!V391</f>
        <v>0</v>
      </c>
      <c r="BP391" s="92">
        <f>+Details!W391-Base!W391</f>
        <v>0</v>
      </c>
      <c r="BQ391" s="92">
        <f>+Details!X391-Base!X391</f>
        <v>0</v>
      </c>
      <c r="BR391" s="92">
        <f>+Details!Y391-Base!Y391</f>
        <v>0</v>
      </c>
      <c r="BS391" s="92">
        <f>+Details!Z391-Base!Z391</f>
        <v>0</v>
      </c>
      <c r="BT391" s="92">
        <f>+Details!AA391-Base!AA391</f>
        <v>0</v>
      </c>
      <c r="BU391" s="92">
        <f>+Details!AB391-Base!AB391</f>
        <v>0</v>
      </c>
      <c r="BV391" s="92">
        <f>+Details!AC391-Base!AC391</f>
        <v>0</v>
      </c>
      <c r="BW391" s="92">
        <f>+Details!AD391-Base!AD391</f>
        <v>0</v>
      </c>
      <c r="BX391" s="92">
        <f>+Details!AE391-Base!AE391</f>
        <v>0</v>
      </c>
      <c r="BY391" s="92">
        <f>+Details!AF391-Base!AF391</f>
        <v>0</v>
      </c>
      <c r="BZ391" s="92">
        <f>+Details!AG391-Base!AG391</f>
        <v>0</v>
      </c>
      <c r="CA391" s="92">
        <f>+Details!AH391-Base!AH391</f>
        <v>0</v>
      </c>
      <c r="CB391" s="92">
        <f>+Details!AI391-Base!AI391</f>
        <v>0</v>
      </c>
      <c r="CC391" s="92">
        <f>+Details!AJ391-Base!AJ391</f>
        <v>0</v>
      </c>
      <c r="CD391" s="92">
        <f>+Details!AK391-Base!AK391</f>
        <v>0</v>
      </c>
      <c r="CE391" s="92">
        <f>+Details!AL391-Base!AL391</f>
        <v>0</v>
      </c>
      <c r="CF391" s="92">
        <f>+Details!AM391-Base!AM391</f>
        <v>0</v>
      </c>
      <c r="CG391" s="92">
        <f>+Details!AN391-Base!AN391</f>
        <v>0</v>
      </c>
      <c r="CH391" s="92">
        <f>+Details!AO391-Base!AO391</f>
        <v>0</v>
      </c>
      <c r="CI391" s="92">
        <f>+Details!AP391-Base!AP391</f>
        <v>0</v>
      </c>
      <c r="CJ391" s="92">
        <f>+Details!AQ391-Base!AQ391</f>
        <v>0</v>
      </c>
      <c r="CK391" s="92">
        <f>+Details!AR391-Base!AR391</f>
        <v>0</v>
      </c>
      <c r="CL391" s="92">
        <f>+Details!AS391-Base!AS391</f>
        <v>0</v>
      </c>
    </row>
    <row r="392" spans="1:91">
      <c r="B392" s="43" t="s">
        <v>757</v>
      </c>
      <c r="C392" s="44">
        <f>+Bond_Taxable</f>
        <v>0</v>
      </c>
      <c r="D392" s="44">
        <f>IF(Change_Age=0,+Bond_Taxable,+Bond_Taxable2)</f>
        <v>0</v>
      </c>
      <c r="F392" s="898">
        <f>+F$447*$C392</f>
        <v>0</v>
      </c>
      <c r="G392" s="92">
        <f t="shared" si="318"/>
        <v>0</v>
      </c>
      <c r="H392" s="92">
        <f t="shared" si="318"/>
        <v>0</v>
      </c>
      <c r="I392" s="92">
        <f t="shared" si="318"/>
        <v>0</v>
      </c>
      <c r="J392" s="92">
        <f t="shared" si="318"/>
        <v>0</v>
      </c>
      <c r="K392" s="92">
        <f t="shared" si="318"/>
        <v>0</v>
      </c>
      <c r="L392" s="92">
        <f t="shared" si="318"/>
        <v>0</v>
      </c>
      <c r="M392" s="92">
        <f t="shared" si="318"/>
        <v>0</v>
      </c>
      <c r="N392" s="92">
        <f t="shared" si="318"/>
        <v>0</v>
      </c>
      <c r="O392" s="92">
        <f t="shared" si="318"/>
        <v>0</v>
      </c>
      <c r="P392" s="92">
        <f t="shared" si="318"/>
        <v>0</v>
      </c>
      <c r="Q392" s="92">
        <f t="shared" si="319"/>
        <v>0</v>
      </c>
      <c r="R392" s="92">
        <f t="shared" si="319"/>
        <v>0</v>
      </c>
      <c r="S392" s="92">
        <f t="shared" si="319"/>
        <v>0</v>
      </c>
      <c r="T392" s="92">
        <f t="shared" si="319"/>
        <v>0</v>
      </c>
      <c r="U392" s="92">
        <f t="shared" si="319"/>
        <v>0</v>
      </c>
      <c r="V392" s="92">
        <f t="shared" si="319"/>
        <v>0</v>
      </c>
      <c r="W392" s="92">
        <f t="shared" si="319"/>
        <v>0</v>
      </c>
      <c r="X392" s="92">
        <f t="shared" si="319"/>
        <v>0</v>
      </c>
      <c r="Y392" s="92">
        <f t="shared" si="319"/>
        <v>0</v>
      </c>
      <c r="Z392" s="92">
        <f t="shared" si="319"/>
        <v>0</v>
      </c>
      <c r="AA392" s="92">
        <f t="shared" si="320"/>
        <v>0</v>
      </c>
      <c r="AB392" s="92">
        <f t="shared" si="320"/>
        <v>0</v>
      </c>
      <c r="AC392" s="92">
        <f t="shared" si="320"/>
        <v>0</v>
      </c>
      <c r="AD392" s="92">
        <f t="shared" si="320"/>
        <v>0</v>
      </c>
      <c r="AE392" s="92">
        <f t="shared" si="320"/>
        <v>0</v>
      </c>
      <c r="AF392" s="92">
        <f t="shared" si="320"/>
        <v>0</v>
      </c>
      <c r="AG392" s="92">
        <f t="shared" si="320"/>
        <v>0</v>
      </c>
      <c r="AH392" s="92">
        <f t="shared" si="320"/>
        <v>0</v>
      </c>
      <c r="AI392" s="92">
        <f t="shared" si="320"/>
        <v>0</v>
      </c>
      <c r="AJ392" s="92">
        <f t="shared" si="320"/>
        <v>0</v>
      </c>
      <c r="AK392" s="92">
        <f t="shared" si="321"/>
        <v>0</v>
      </c>
      <c r="AL392" s="92">
        <f t="shared" si="321"/>
        <v>0</v>
      </c>
      <c r="AM392" s="92">
        <f t="shared" si="321"/>
        <v>0</v>
      </c>
      <c r="AN392" s="92">
        <f t="shared" si="321"/>
        <v>0</v>
      </c>
      <c r="AO392" s="92">
        <f t="shared" si="321"/>
        <v>0</v>
      </c>
      <c r="AP392" s="92">
        <f t="shared" si="321"/>
        <v>0</v>
      </c>
      <c r="AQ392" s="92">
        <f t="shared" si="321"/>
        <v>0</v>
      </c>
      <c r="AR392" s="92">
        <f t="shared" si="321"/>
        <v>0</v>
      </c>
      <c r="AS392" s="92">
        <f t="shared" si="321"/>
        <v>0</v>
      </c>
      <c r="AT392" s="3"/>
      <c r="AY392" s="31">
        <f>+Details!F392-Base!F392</f>
        <v>0</v>
      </c>
      <c r="AZ392" s="92">
        <f>+Details!G392-Base!G392</f>
        <v>0</v>
      </c>
      <c r="BA392" s="92">
        <f>+Details!H392-Base!H392</f>
        <v>0</v>
      </c>
      <c r="BB392" s="92">
        <f>+Details!I392-Base!I392</f>
        <v>0</v>
      </c>
      <c r="BC392" s="92">
        <f>+Details!J392-Base!J392</f>
        <v>0</v>
      </c>
      <c r="BD392" s="92">
        <f>+Details!K392-Base!K392</f>
        <v>0</v>
      </c>
      <c r="BE392" s="92">
        <f>+Details!L392-Base!L392</f>
        <v>0</v>
      </c>
      <c r="BF392" s="92">
        <f>+Details!M392-Base!M392</f>
        <v>0</v>
      </c>
      <c r="BG392" s="92">
        <f>+Details!N392-Base!N392</f>
        <v>0</v>
      </c>
      <c r="BH392" s="92">
        <f>+Details!O392-Base!O392</f>
        <v>0</v>
      </c>
      <c r="BI392" s="92">
        <f>+Details!P392-Base!P392</f>
        <v>0</v>
      </c>
      <c r="BJ392" s="92">
        <f>+Details!Q392-Base!Q392</f>
        <v>0</v>
      </c>
      <c r="BK392" s="92">
        <f>+Details!R392-Base!R392</f>
        <v>0</v>
      </c>
      <c r="BL392" s="92">
        <f>+Details!S392-Base!S392</f>
        <v>0</v>
      </c>
      <c r="BM392" s="92">
        <f>+Details!T392-Base!T392</f>
        <v>0</v>
      </c>
      <c r="BN392" s="92">
        <f>+Details!U392-Base!U392</f>
        <v>0</v>
      </c>
      <c r="BO392" s="92">
        <f>+Details!V392-Base!V392</f>
        <v>0</v>
      </c>
      <c r="BP392" s="92">
        <f>+Details!W392-Base!W392</f>
        <v>0</v>
      </c>
      <c r="BQ392" s="92">
        <f>+Details!X392-Base!X392</f>
        <v>0</v>
      </c>
      <c r="BR392" s="92">
        <f>+Details!Y392-Base!Y392</f>
        <v>0</v>
      </c>
      <c r="BS392" s="92">
        <f>+Details!Z392-Base!Z392</f>
        <v>0</v>
      </c>
      <c r="BT392" s="92">
        <f>+Details!AA392-Base!AA392</f>
        <v>0</v>
      </c>
      <c r="BU392" s="92">
        <f>+Details!AB392-Base!AB392</f>
        <v>0</v>
      </c>
      <c r="BV392" s="92">
        <f>+Details!AC392-Base!AC392</f>
        <v>0</v>
      </c>
      <c r="BW392" s="92">
        <f>+Details!AD392-Base!AD392</f>
        <v>0</v>
      </c>
      <c r="BX392" s="92">
        <f>+Details!AE392-Base!AE392</f>
        <v>0</v>
      </c>
      <c r="BY392" s="92">
        <f>+Details!AF392-Base!AF392</f>
        <v>0</v>
      </c>
      <c r="BZ392" s="92">
        <f>+Details!AG392-Base!AG392</f>
        <v>0</v>
      </c>
      <c r="CA392" s="92">
        <f>+Details!AH392-Base!AH392</f>
        <v>0</v>
      </c>
      <c r="CB392" s="92">
        <f>+Details!AI392-Base!AI392</f>
        <v>0</v>
      </c>
      <c r="CC392" s="92">
        <f>+Details!AJ392-Base!AJ392</f>
        <v>0</v>
      </c>
      <c r="CD392" s="92">
        <f>+Details!AK392-Base!AK392</f>
        <v>0</v>
      </c>
      <c r="CE392" s="92">
        <f>+Details!AL392-Base!AL392</f>
        <v>0</v>
      </c>
      <c r="CF392" s="92">
        <f>+Details!AM392-Base!AM392</f>
        <v>0</v>
      </c>
      <c r="CG392" s="92">
        <f>+Details!AN392-Base!AN392</f>
        <v>0</v>
      </c>
      <c r="CH392" s="92">
        <f>+Details!AO392-Base!AO392</f>
        <v>0</v>
      </c>
      <c r="CI392" s="92">
        <f>+Details!AP392-Base!AP392</f>
        <v>0</v>
      </c>
      <c r="CJ392" s="92">
        <f>+Details!AQ392-Base!AQ392</f>
        <v>0</v>
      </c>
      <c r="CK392" s="92">
        <f>+Details!AR392-Base!AR392</f>
        <v>0</v>
      </c>
      <c r="CL392" s="92">
        <f>+Details!AS392-Base!AS392</f>
        <v>0</v>
      </c>
    </row>
    <row r="393" spans="1:91">
      <c r="B393" s="43" t="s">
        <v>849</v>
      </c>
      <c r="C393" s="44">
        <f>+Setup!G66</f>
        <v>0.5</v>
      </c>
      <c r="D393" s="44">
        <f>IF(Change_Age=0,TaxEx_Taxable,TaxEx_Taxable2)</f>
        <v>0.7</v>
      </c>
      <c r="F393" s="898">
        <f>+F$447*$C393</f>
        <v>100000</v>
      </c>
      <c r="G393" s="92">
        <f t="shared" si="318"/>
        <v>93550</v>
      </c>
      <c r="H393" s="92">
        <f t="shared" si="318"/>
        <v>93400</v>
      </c>
      <c r="I393" s="92">
        <f t="shared" si="318"/>
        <v>86900</v>
      </c>
      <c r="J393" s="92">
        <f t="shared" si="318"/>
        <v>80250</v>
      </c>
      <c r="K393" s="92">
        <f t="shared" si="318"/>
        <v>74150</v>
      </c>
      <c r="L393" s="92">
        <f t="shared" si="318"/>
        <v>78200</v>
      </c>
      <c r="M393" s="92">
        <f t="shared" si="318"/>
        <v>83050</v>
      </c>
      <c r="N393" s="92">
        <f t="shared" si="318"/>
        <v>87950</v>
      </c>
      <c r="O393" s="92">
        <f t="shared" si="318"/>
        <v>101400</v>
      </c>
      <c r="P393" s="92">
        <f t="shared" si="318"/>
        <v>119050</v>
      </c>
      <c r="Q393" s="92">
        <f t="shared" si="319"/>
        <v>97100</v>
      </c>
      <c r="R393" s="92">
        <f t="shared" si="319"/>
        <v>136050</v>
      </c>
      <c r="S393" s="92">
        <f t="shared" si="319"/>
        <v>148350</v>
      </c>
      <c r="T393" s="92">
        <f t="shared" si="319"/>
        <v>172250</v>
      </c>
      <c r="U393" s="92">
        <f t="shared" si="319"/>
        <v>150650</v>
      </c>
      <c r="V393" s="92">
        <f t="shared" si="319"/>
        <v>212300</v>
      </c>
      <c r="W393" s="92">
        <f t="shared" si="319"/>
        <v>240350</v>
      </c>
      <c r="X393" s="92">
        <f t="shared" si="319"/>
        <v>378980</v>
      </c>
      <c r="Y393" s="92">
        <f t="shared" si="319"/>
        <v>402290</v>
      </c>
      <c r="Z393" s="92">
        <f t="shared" si="319"/>
        <v>426650</v>
      </c>
      <c r="AA393" s="92">
        <f t="shared" si="320"/>
        <v>453040</v>
      </c>
      <c r="AB393" s="92">
        <f t="shared" si="320"/>
        <v>481599.99999999994</v>
      </c>
      <c r="AC393" s="92">
        <f t="shared" si="320"/>
        <v>795200</v>
      </c>
      <c r="AD393" s="92">
        <f t="shared" si="320"/>
        <v>839650</v>
      </c>
      <c r="AE393" s="92">
        <f t="shared" si="320"/>
        <v>936319.99999999988</v>
      </c>
      <c r="AF393" s="92">
        <f t="shared" si="320"/>
        <v>965929.99999999988</v>
      </c>
      <c r="AG393" s="92">
        <f t="shared" si="320"/>
        <v>996309.99999999988</v>
      </c>
      <c r="AH393" s="92">
        <f t="shared" si="320"/>
        <v>1023049.9999999999</v>
      </c>
      <c r="AI393" s="92">
        <f t="shared" si="320"/>
        <v>1049790</v>
      </c>
      <c r="AJ393" s="92">
        <f t="shared" si="320"/>
        <v>0</v>
      </c>
      <c r="AK393" s="92">
        <f t="shared" si="321"/>
        <v>0</v>
      </c>
      <c r="AL393" s="92">
        <f t="shared" si="321"/>
        <v>0</v>
      </c>
      <c r="AM393" s="92">
        <f t="shared" si="321"/>
        <v>0</v>
      </c>
      <c r="AN393" s="92">
        <f t="shared" si="321"/>
        <v>0</v>
      </c>
      <c r="AO393" s="92">
        <f t="shared" si="321"/>
        <v>0</v>
      </c>
      <c r="AP393" s="92">
        <f t="shared" si="321"/>
        <v>0</v>
      </c>
      <c r="AQ393" s="92">
        <f t="shared" si="321"/>
        <v>0</v>
      </c>
      <c r="AR393" s="92">
        <f t="shared" si="321"/>
        <v>0</v>
      </c>
      <c r="AS393" s="92">
        <f t="shared" si="321"/>
        <v>0</v>
      </c>
      <c r="AT393" s="3"/>
      <c r="AY393" s="31">
        <f>+Details!F393-Base!F393</f>
        <v>0</v>
      </c>
      <c r="AZ393" s="92">
        <f>+Details!G393-Base!G393</f>
        <v>0</v>
      </c>
      <c r="BA393" s="92">
        <f>+Details!H393-Base!H393</f>
        <v>0</v>
      </c>
      <c r="BB393" s="92">
        <f>+Details!I393-Base!I393</f>
        <v>0</v>
      </c>
      <c r="BC393" s="92">
        <f>+Details!J393-Base!J393</f>
        <v>0</v>
      </c>
      <c r="BD393" s="92">
        <f>+Details!K393-Base!K393</f>
        <v>0</v>
      </c>
      <c r="BE393" s="92">
        <f>+Details!L393-Base!L393</f>
        <v>0</v>
      </c>
      <c r="BF393" s="92">
        <f>+Details!M393-Base!M393</f>
        <v>0</v>
      </c>
      <c r="BG393" s="92">
        <f>+Details!N393-Base!N393</f>
        <v>0</v>
      </c>
      <c r="BH393" s="92">
        <f>+Details!O393-Base!O393</f>
        <v>0</v>
      </c>
      <c r="BI393" s="92">
        <f>+Details!P393-Base!P393</f>
        <v>0</v>
      </c>
      <c r="BJ393" s="92">
        <f>+Details!Q393-Base!Q393</f>
        <v>0</v>
      </c>
      <c r="BK393" s="92">
        <f>+Details!R393-Base!R393</f>
        <v>0</v>
      </c>
      <c r="BL393" s="92">
        <f>+Details!S393-Base!S393</f>
        <v>0</v>
      </c>
      <c r="BM393" s="92">
        <f>+Details!T393-Base!T393</f>
        <v>0</v>
      </c>
      <c r="BN393" s="92">
        <f>+Details!U393-Base!U393</f>
        <v>0</v>
      </c>
      <c r="BO393" s="92">
        <f>+Details!V393-Base!V393</f>
        <v>0</v>
      </c>
      <c r="BP393" s="92">
        <f>+Details!W393-Base!W393</f>
        <v>0</v>
      </c>
      <c r="BQ393" s="92">
        <f>+Details!X393-Base!X393</f>
        <v>0</v>
      </c>
      <c r="BR393" s="92">
        <f>+Details!Y393-Base!Y393</f>
        <v>0</v>
      </c>
      <c r="BS393" s="92">
        <f>+Details!Z393-Base!Z393</f>
        <v>0</v>
      </c>
      <c r="BT393" s="92">
        <f>+Details!AA393-Base!AA393</f>
        <v>0</v>
      </c>
      <c r="BU393" s="92">
        <f>+Details!AB393-Base!AB393</f>
        <v>0</v>
      </c>
      <c r="BV393" s="92">
        <f>+Details!AC393-Base!AC393</f>
        <v>0</v>
      </c>
      <c r="BW393" s="92">
        <f>+Details!AD393-Base!AD393</f>
        <v>0</v>
      </c>
      <c r="BX393" s="92">
        <f>+Details!AE393-Base!AE393</f>
        <v>0</v>
      </c>
      <c r="BY393" s="92">
        <f>+Details!AF393-Base!AF393</f>
        <v>0</v>
      </c>
      <c r="BZ393" s="92">
        <f>+Details!AG393-Base!AG393</f>
        <v>0</v>
      </c>
      <c r="CA393" s="92">
        <f>+Details!AH393-Base!AH393</f>
        <v>0</v>
      </c>
      <c r="CB393" s="92">
        <f>+Details!AI393-Base!AI393</f>
        <v>0</v>
      </c>
      <c r="CC393" s="92">
        <f>+Details!AJ393-Base!AJ393</f>
        <v>0</v>
      </c>
      <c r="CD393" s="92">
        <f>+Details!AK393-Base!AK393</f>
        <v>0</v>
      </c>
      <c r="CE393" s="92">
        <f>+Details!AL393-Base!AL393</f>
        <v>0</v>
      </c>
      <c r="CF393" s="92">
        <f>+Details!AM393-Base!AM393</f>
        <v>0</v>
      </c>
      <c r="CG393" s="92">
        <f>+Details!AN393-Base!AN393</f>
        <v>0</v>
      </c>
      <c r="CH393" s="92">
        <f>+Details!AO393-Base!AO393</f>
        <v>0</v>
      </c>
      <c r="CI393" s="92">
        <f>+Details!AP393-Base!AP393</f>
        <v>0</v>
      </c>
      <c r="CJ393" s="92">
        <f>+Details!AQ393-Base!AQ393</f>
        <v>0</v>
      </c>
      <c r="CK393" s="92">
        <f>+Details!AR393-Base!AR393</f>
        <v>0</v>
      </c>
      <c r="CL393" s="92">
        <f>+Details!AS393-Base!AS393</f>
        <v>0</v>
      </c>
    </row>
    <row r="394" spans="1:91">
      <c r="B394" s="43" t="s">
        <v>1600</v>
      </c>
      <c r="C394" s="44">
        <f>+Cash_Taxable</f>
        <v>0.05</v>
      </c>
      <c r="D394" s="44">
        <f>IF(Change_Age=0,Cash_Taxable,+Cash_Taxable2)</f>
        <v>0.05</v>
      </c>
      <c r="F394" s="1294">
        <f>+F$447*$C394</f>
        <v>10000</v>
      </c>
      <c r="G394" s="92">
        <f t="shared" si="318"/>
        <v>9355</v>
      </c>
      <c r="H394" s="92">
        <f t="shared" si="318"/>
        <v>9340</v>
      </c>
      <c r="I394" s="92">
        <f t="shared" si="318"/>
        <v>8690</v>
      </c>
      <c r="J394" s="92">
        <f t="shared" si="318"/>
        <v>8025</v>
      </c>
      <c r="K394" s="92">
        <f t="shared" si="318"/>
        <v>7415</v>
      </c>
      <c r="L394" s="92">
        <f t="shared" si="318"/>
        <v>7820</v>
      </c>
      <c r="M394" s="92">
        <f t="shared" si="318"/>
        <v>8305</v>
      </c>
      <c r="N394" s="92">
        <f t="shared" si="318"/>
        <v>8795</v>
      </c>
      <c r="O394" s="92">
        <f t="shared" si="318"/>
        <v>10140</v>
      </c>
      <c r="P394" s="92">
        <f t="shared" si="318"/>
        <v>11905</v>
      </c>
      <c r="Q394" s="92">
        <f t="shared" si="319"/>
        <v>9710</v>
      </c>
      <c r="R394" s="92">
        <f t="shared" si="319"/>
        <v>13605</v>
      </c>
      <c r="S394" s="92">
        <f t="shared" si="319"/>
        <v>14835</v>
      </c>
      <c r="T394" s="92">
        <f t="shared" si="319"/>
        <v>17225</v>
      </c>
      <c r="U394" s="92">
        <f t="shared" si="319"/>
        <v>15065</v>
      </c>
      <c r="V394" s="92">
        <f t="shared" si="319"/>
        <v>21230</v>
      </c>
      <c r="W394" s="92">
        <f t="shared" si="319"/>
        <v>24035</v>
      </c>
      <c r="X394" s="92">
        <f t="shared" si="319"/>
        <v>27070</v>
      </c>
      <c r="Y394" s="92">
        <f t="shared" si="319"/>
        <v>28735</v>
      </c>
      <c r="Z394" s="92">
        <f t="shared" si="319"/>
        <v>30475</v>
      </c>
      <c r="AA394" s="92">
        <f t="shared" si="320"/>
        <v>32360</v>
      </c>
      <c r="AB394" s="92">
        <f t="shared" si="320"/>
        <v>34400</v>
      </c>
      <c r="AC394" s="92">
        <f t="shared" si="320"/>
        <v>56800</v>
      </c>
      <c r="AD394" s="92">
        <f t="shared" si="320"/>
        <v>59975</v>
      </c>
      <c r="AE394" s="92">
        <f t="shared" si="320"/>
        <v>66880</v>
      </c>
      <c r="AF394" s="92">
        <f t="shared" si="320"/>
        <v>68995</v>
      </c>
      <c r="AG394" s="92">
        <f t="shared" si="320"/>
        <v>71165</v>
      </c>
      <c r="AH394" s="92">
        <f t="shared" si="320"/>
        <v>73075</v>
      </c>
      <c r="AI394" s="92">
        <f t="shared" si="320"/>
        <v>74985</v>
      </c>
      <c r="AJ394" s="92">
        <f t="shared" si="320"/>
        <v>0</v>
      </c>
      <c r="AK394" s="92">
        <f t="shared" si="321"/>
        <v>0</v>
      </c>
      <c r="AL394" s="92">
        <f t="shared" si="321"/>
        <v>0</v>
      </c>
      <c r="AM394" s="92">
        <f t="shared" si="321"/>
        <v>0</v>
      </c>
      <c r="AN394" s="92">
        <f t="shared" si="321"/>
        <v>0</v>
      </c>
      <c r="AO394" s="92">
        <f t="shared" si="321"/>
        <v>0</v>
      </c>
      <c r="AP394" s="92">
        <f t="shared" si="321"/>
        <v>0</v>
      </c>
      <c r="AQ394" s="92">
        <f t="shared" si="321"/>
        <v>0</v>
      </c>
      <c r="AR394" s="92">
        <f t="shared" si="321"/>
        <v>0</v>
      </c>
      <c r="AS394" s="92">
        <f t="shared" si="321"/>
        <v>0</v>
      </c>
      <c r="AT394" s="3"/>
      <c r="AY394" s="38">
        <f>+Details!F394-Base!F394</f>
        <v>0</v>
      </c>
      <c r="AZ394" s="92">
        <f>+Details!G394-Base!G394</f>
        <v>0</v>
      </c>
      <c r="BA394" s="92">
        <f>+Details!H394-Base!H394</f>
        <v>0</v>
      </c>
      <c r="BB394" s="92">
        <f>+Details!I394-Base!I394</f>
        <v>0</v>
      </c>
      <c r="BC394" s="92">
        <f>+Details!J394-Base!J394</f>
        <v>0</v>
      </c>
      <c r="BD394" s="92">
        <f>+Details!K394-Base!K394</f>
        <v>0</v>
      </c>
      <c r="BE394" s="92">
        <f>+Details!L394-Base!L394</f>
        <v>0</v>
      </c>
      <c r="BF394" s="92">
        <f>+Details!M394-Base!M394</f>
        <v>0</v>
      </c>
      <c r="BG394" s="92">
        <f>+Details!N394-Base!N394</f>
        <v>0</v>
      </c>
      <c r="BH394" s="92">
        <f>+Details!O394-Base!O394</f>
        <v>0</v>
      </c>
      <c r="BI394" s="92">
        <f>+Details!P394-Base!P394</f>
        <v>0</v>
      </c>
      <c r="BJ394" s="92">
        <f>+Details!Q394-Base!Q394</f>
        <v>0</v>
      </c>
      <c r="BK394" s="92">
        <f>+Details!R394-Base!R394</f>
        <v>0</v>
      </c>
      <c r="BL394" s="92">
        <f>+Details!S394-Base!S394</f>
        <v>0</v>
      </c>
      <c r="BM394" s="92">
        <f>+Details!T394-Base!T394</f>
        <v>0</v>
      </c>
      <c r="BN394" s="92">
        <f>+Details!U394-Base!U394</f>
        <v>0</v>
      </c>
      <c r="BO394" s="92">
        <f>+Details!V394-Base!V394</f>
        <v>0</v>
      </c>
      <c r="BP394" s="92">
        <f>+Details!W394-Base!W394</f>
        <v>0</v>
      </c>
      <c r="BQ394" s="92">
        <f>+Details!X394-Base!X394</f>
        <v>0</v>
      </c>
      <c r="BR394" s="92">
        <f>+Details!Y394-Base!Y394</f>
        <v>0</v>
      </c>
      <c r="BS394" s="92">
        <f>+Details!Z394-Base!Z394</f>
        <v>0</v>
      </c>
      <c r="BT394" s="92">
        <f>+Details!AA394-Base!AA394</f>
        <v>0</v>
      </c>
      <c r="BU394" s="92">
        <f>+Details!AB394-Base!AB394</f>
        <v>0</v>
      </c>
      <c r="BV394" s="92">
        <f>+Details!AC394-Base!AC394</f>
        <v>0</v>
      </c>
      <c r="BW394" s="92">
        <f>+Details!AD394-Base!AD394</f>
        <v>0</v>
      </c>
      <c r="BX394" s="92">
        <f>+Details!AE394-Base!AE394</f>
        <v>0</v>
      </c>
      <c r="BY394" s="92">
        <f>+Details!AF394-Base!AF394</f>
        <v>0</v>
      </c>
      <c r="BZ394" s="92">
        <f>+Details!AG394-Base!AG394</f>
        <v>0</v>
      </c>
      <c r="CA394" s="92">
        <f>+Details!AH394-Base!AH394</f>
        <v>0</v>
      </c>
      <c r="CB394" s="92">
        <f>+Details!AI394-Base!AI394</f>
        <v>0</v>
      </c>
      <c r="CC394" s="92">
        <f>+Details!AJ394-Base!AJ394</f>
        <v>0</v>
      </c>
      <c r="CD394" s="92">
        <f>+Details!AK394-Base!AK394</f>
        <v>0</v>
      </c>
      <c r="CE394" s="92">
        <f>+Details!AL394-Base!AL394</f>
        <v>0</v>
      </c>
      <c r="CF394" s="92">
        <f>+Details!AM394-Base!AM394</f>
        <v>0</v>
      </c>
      <c r="CG394" s="92">
        <f>+Details!AN394-Base!AN394</f>
        <v>0</v>
      </c>
      <c r="CH394" s="92">
        <f>+Details!AO394-Base!AO394</f>
        <v>0</v>
      </c>
      <c r="CI394" s="92">
        <f>+Details!AP394-Base!AP394</f>
        <v>0</v>
      </c>
      <c r="CJ394" s="92">
        <f>+Details!AQ394-Base!AQ394</f>
        <v>0</v>
      </c>
      <c r="CK394" s="92">
        <f>+Details!AR394-Base!AR394</f>
        <v>0</v>
      </c>
      <c r="CL394" s="92">
        <f>+Details!AS394-Base!AS394</f>
        <v>0</v>
      </c>
    </row>
    <row r="395" spans="1:91">
      <c r="B395" s="43" t="s">
        <v>635</v>
      </c>
      <c r="C395" s="136"/>
      <c r="D395" s="44"/>
      <c r="E395" s="65">
        <f>SUM(F395:AS395)</f>
        <v>16808200</v>
      </c>
      <c r="F395" s="862">
        <f t="shared" ref="F395:AS395" si="322">SUM(F391:F394)</f>
        <v>200000</v>
      </c>
      <c r="G395" s="862">
        <f t="shared" si="322"/>
        <v>187100</v>
      </c>
      <c r="H395" s="862">
        <f t="shared" si="322"/>
        <v>186800</v>
      </c>
      <c r="I395" s="862">
        <f t="shared" si="322"/>
        <v>173800</v>
      </c>
      <c r="J395" s="862">
        <f t="shared" si="322"/>
        <v>160500</v>
      </c>
      <c r="K395" s="862">
        <f t="shared" si="322"/>
        <v>148300</v>
      </c>
      <c r="L395" s="862">
        <f t="shared" si="322"/>
        <v>156400</v>
      </c>
      <c r="M395" s="862">
        <f t="shared" si="322"/>
        <v>166100</v>
      </c>
      <c r="N395" s="862">
        <f t="shared" si="322"/>
        <v>175900</v>
      </c>
      <c r="O395" s="862">
        <f t="shared" si="322"/>
        <v>202800</v>
      </c>
      <c r="P395" s="862">
        <f t="shared" si="322"/>
        <v>238100</v>
      </c>
      <c r="Q395" s="862">
        <f t="shared" si="322"/>
        <v>194200</v>
      </c>
      <c r="R395" s="862">
        <f t="shared" si="322"/>
        <v>272100</v>
      </c>
      <c r="S395" s="862">
        <f t="shared" si="322"/>
        <v>296700</v>
      </c>
      <c r="T395" s="862">
        <f t="shared" si="322"/>
        <v>344500</v>
      </c>
      <c r="U395" s="862">
        <f t="shared" si="322"/>
        <v>301300</v>
      </c>
      <c r="V395" s="862">
        <f t="shared" si="322"/>
        <v>424600</v>
      </c>
      <c r="W395" s="862">
        <f t="shared" si="322"/>
        <v>480700</v>
      </c>
      <c r="X395" s="862">
        <f t="shared" si="322"/>
        <v>541400</v>
      </c>
      <c r="Y395" s="862">
        <f t="shared" si="322"/>
        <v>574700</v>
      </c>
      <c r="Z395" s="862">
        <f t="shared" si="322"/>
        <v>609500</v>
      </c>
      <c r="AA395" s="862">
        <f t="shared" si="322"/>
        <v>647200</v>
      </c>
      <c r="AB395" s="862">
        <f t="shared" si="322"/>
        <v>688000</v>
      </c>
      <c r="AC395" s="862">
        <f t="shared" si="322"/>
        <v>1136000</v>
      </c>
      <c r="AD395" s="862">
        <f t="shared" si="322"/>
        <v>1199500</v>
      </c>
      <c r="AE395" s="862">
        <f t="shared" si="322"/>
        <v>1337600</v>
      </c>
      <c r="AF395" s="862">
        <f t="shared" si="322"/>
        <v>1379900</v>
      </c>
      <c r="AG395" s="862">
        <f t="shared" si="322"/>
        <v>1423300</v>
      </c>
      <c r="AH395" s="862">
        <f t="shared" si="322"/>
        <v>1461500</v>
      </c>
      <c r="AI395" s="862">
        <f t="shared" si="322"/>
        <v>1499700</v>
      </c>
      <c r="AJ395" s="862">
        <f t="shared" si="322"/>
        <v>0</v>
      </c>
      <c r="AK395" s="862">
        <f t="shared" si="322"/>
        <v>0</v>
      </c>
      <c r="AL395" s="862">
        <f t="shared" si="322"/>
        <v>0</v>
      </c>
      <c r="AM395" s="862">
        <f t="shared" si="322"/>
        <v>0</v>
      </c>
      <c r="AN395" s="862">
        <f t="shared" si="322"/>
        <v>0</v>
      </c>
      <c r="AO395" s="862">
        <f t="shared" si="322"/>
        <v>0</v>
      </c>
      <c r="AP395" s="862">
        <f t="shared" si="322"/>
        <v>0</v>
      </c>
      <c r="AQ395" s="862">
        <f t="shared" si="322"/>
        <v>0</v>
      </c>
      <c r="AR395" s="862">
        <f t="shared" si="322"/>
        <v>0</v>
      </c>
      <c r="AS395" s="862">
        <f t="shared" si="322"/>
        <v>0</v>
      </c>
      <c r="AT395" s="3"/>
      <c r="AW395" s="191"/>
      <c r="AY395" s="31">
        <f>+Details!F395-Base!F395</f>
        <v>0</v>
      </c>
      <c r="AZ395" s="862">
        <f>+Details!G395-Base!G395</f>
        <v>0</v>
      </c>
      <c r="BA395" s="862">
        <f>+Details!H395-Base!H395</f>
        <v>0</v>
      </c>
      <c r="BB395" s="862">
        <f>+Details!I395-Base!I395</f>
        <v>0</v>
      </c>
      <c r="BC395" s="862">
        <f>+Details!J395-Base!J395</f>
        <v>0</v>
      </c>
      <c r="BD395" s="862">
        <f>+Details!K395-Base!K395</f>
        <v>0</v>
      </c>
      <c r="BE395" s="862">
        <f>+Details!L395-Base!L395</f>
        <v>0</v>
      </c>
      <c r="BF395" s="862">
        <f>+Details!M395-Base!M395</f>
        <v>0</v>
      </c>
      <c r="BG395" s="862">
        <f>+Details!N395-Base!N395</f>
        <v>0</v>
      </c>
      <c r="BH395" s="862">
        <f>+Details!O395-Base!O395</f>
        <v>0</v>
      </c>
      <c r="BI395" s="862">
        <f>+Details!P395-Base!P395</f>
        <v>0</v>
      </c>
      <c r="BJ395" s="862">
        <f>+Details!Q395-Base!Q395</f>
        <v>0</v>
      </c>
      <c r="BK395" s="862">
        <f>+Details!R395-Base!R395</f>
        <v>0</v>
      </c>
      <c r="BL395" s="862">
        <f>+Details!S395-Base!S395</f>
        <v>0</v>
      </c>
      <c r="BM395" s="862">
        <f>+Details!T395-Base!T395</f>
        <v>0</v>
      </c>
      <c r="BN395" s="862">
        <f>+Details!U395-Base!U395</f>
        <v>0</v>
      </c>
      <c r="BO395" s="862">
        <f>+Details!V395-Base!V395</f>
        <v>0</v>
      </c>
      <c r="BP395" s="862">
        <f>+Details!W395-Base!W395</f>
        <v>0</v>
      </c>
      <c r="BQ395" s="862">
        <f>+Details!X395-Base!X395</f>
        <v>0</v>
      </c>
      <c r="BR395" s="862">
        <f>+Details!Y395-Base!Y395</f>
        <v>0</v>
      </c>
      <c r="BS395" s="862">
        <f>+Details!Z395-Base!Z395</f>
        <v>0</v>
      </c>
      <c r="BT395" s="862">
        <f>+Details!AA395-Base!AA395</f>
        <v>0</v>
      </c>
      <c r="BU395" s="862">
        <f>+Details!AB395-Base!AB395</f>
        <v>0</v>
      </c>
      <c r="BV395" s="862">
        <f>+Details!AC395-Base!AC395</f>
        <v>0</v>
      </c>
      <c r="BW395" s="862">
        <f>+Details!AD395-Base!AD395</f>
        <v>0</v>
      </c>
      <c r="BX395" s="862">
        <f>+Details!AE395-Base!AE395</f>
        <v>0</v>
      </c>
      <c r="BY395" s="862">
        <f>+Details!AF395-Base!AF395</f>
        <v>0</v>
      </c>
      <c r="BZ395" s="862">
        <f>+Details!AG395-Base!AG395</f>
        <v>0</v>
      </c>
      <c r="CA395" s="862">
        <f>+Details!AH395-Base!AH395</f>
        <v>0</v>
      </c>
      <c r="CB395" s="862">
        <f>+Details!AI395-Base!AI395</f>
        <v>0</v>
      </c>
      <c r="CC395" s="862">
        <f>+Details!AJ395-Base!AJ395</f>
        <v>0</v>
      </c>
      <c r="CD395" s="862">
        <f>+Details!AK395-Base!AK395</f>
        <v>0</v>
      </c>
      <c r="CE395" s="862">
        <f>+Details!AL395-Base!AL395</f>
        <v>0</v>
      </c>
      <c r="CF395" s="862">
        <f>+Details!AM395-Base!AM395</f>
        <v>0</v>
      </c>
      <c r="CG395" s="862">
        <f>+Details!AN395-Base!AN395</f>
        <v>0</v>
      </c>
      <c r="CH395" s="862">
        <f>+Details!AO395-Base!AO395</f>
        <v>0</v>
      </c>
      <c r="CI395" s="862">
        <f>+Details!AP395-Base!AP395</f>
        <v>0</v>
      </c>
      <c r="CJ395" s="862">
        <f>+Details!AQ395-Base!AQ395</f>
        <v>0</v>
      </c>
      <c r="CK395" s="862">
        <f>+Details!AR395-Base!AR395</f>
        <v>0</v>
      </c>
      <c r="CL395" s="862">
        <f>+Details!AS395-Base!AS395</f>
        <v>0</v>
      </c>
    </row>
    <row r="396" spans="1:91">
      <c r="B396" s="43" t="s">
        <v>1602</v>
      </c>
      <c r="C396" s="136"/>
      <c r="E396" s="65">
        <f>SUM(F396:AS396)</f>
        <v>0</v>
      </c>
      <c r="F396" s="92">
        <f>+F450-F395</f>
        <v>0</v>
      </c>
      <c r="G396" s="92">
        <f t="shared" ref="G396:AS396" si="323">+G395-G447</f>
        <v>0</v>
      </c>
      <c r="H396" s="92">
        <f t="shared" si="323"/>
        <v>0</v>
      </c>
      <c r="I396" s="92">
        <f t="shared" si="323"/>
        <v>0</v>
      </c>
      <c r="J396" s="92">
        <f t="shared" si="323"/>
        <v>0</v>
      </c>
      <c r="K396" s="92">
        <f t="shared" si="323"/>
        <v>0</v>
      </c>
      <c r="L396" s="92">
        <f t="shared" si="323"/>
        <v>0</v>
      </c>
      <c r="M396" s="92">
        <f t="shared" si="323"/>
        <v>0</v>
      </c>
      <c r="N396" s="92">
        <f t="shared" si="323"/>
        <v>0</v>
      </c>
      <c r="O396" s="92">
        <f t="shared" si="323"/>
        <v>0</v>
      </c>
      <c r="P396" s="92">
        <f t="shared" si="323"/>
        <v>0</v>
      </c>
      <c r="Q396" s="92">
        <f t="shared" si="323"/>
        <v>0</v>
      </c>
      <c r="R396" s="92">
        <f t="shared" si="323"/>
        <v>0</v>
      </c>
      <c r="S396" s="92">
        <f t="shared" si="323"/>
        <v>0</v>
      </c>
      <c r="T396" s="92">
        <f t="shared" si="323"/>
        <v>0</v>
      </c>
      <c r="U396" s="92">
        <f t="shared" si="323"/>
        <v>0</v>
      </c>
      <c r="V396" s="92">
        <f t="shared" si="323"/>
        <v>0</v>
      </c>
      <c r="W396" s="92">
        <f t="shared" si="323"/>
        <v>0</v>
      </c>
      <c r="X396" s="92">
        <f t="shared" si="323"/>
        <v>0</v>
      </c>
      <c r="Y396" s="92">
        <f t="shared" si="323"/>
        <v>0</v>
      </c>
      <c r="Z396" s="92">
        <f t="shared" si="323"/>
        <v>0</v>
      </c>
      <c r="AA396" s="92">
        <f t="shared" si="323"/>
        <v>0</v>
      </c>
      <c r="AB396" s="92">
        <f t="shared" si="323"/>
        <v>0</v>
      </c>
      <c r="AC396" s="92">
        <f t="shared" si="323"/>
        <v>0</v>
      </c>
      <c r="AD396" s="92">
        <f t="shared" si="323"/>
        <v>0</v>
      </c>
      <c r="AE396" s="92">
        <f t="shared" si="323"/>
        <v>0</v>
      </c>
      <c r="AF396" s="92">
        <f t="shared" si="323"/>
        <v>0</v>
      </c>
      <c r="AG396" s="92">
        <f t="shared" si="323"/>
        <v>0</v>
      </c>
      <c r="AH396" s="92">
        <f t="shared" si="323"/>
        <v>0</v>
      </c>
      <c r="AI396" s="92">
        <f t="shared" si="323"/>
        <v>0</v>
      </c>
      <c r="AJ396" s="92">
        <f t="shared" si="323"/>
        <v>0</v>
      </c>
      <c r="AK396" s="92">
        <f t="shared" si="323"/>
        <v>0</v>
      </c>
      <c r="AL396" s="92">
        <f t="shared" si="323"/>
        <v>0</v>
      </c>
      <c r="AM396" s="92">
        <f t="shared" si="323"/>
        <v>0</v>
      </c>
      <c r="AN396" s="92">
        <f t="shared" si="323"/>
        <v>0</v>
      </c>
      <c r="AO396" s="92">
        <f t="shared" si="323"/>
        <v>0</v>
      </c>
      <c r="AP396" s="92">
        <f t="shared" si="323"/>
        <v>0</v>
      </c>
      <c r="AQ396" s="92">
        <f t="shared" si="323"/>
        <v>0</v>
      </c>
      <c r="AR396" s="92">
        <f t="shared" si="323"/>
        <v>0</v>
      </c>
      <c r="AS396" s="92">
        <f t="shared" si="323"/>
        <v>0</v>
      </c>
      <c r="AT396" s="3"/>
      <c r="AW396" s="191"/>
      <c r="AY396" s="31">
        <f>+Details!F396-Base!F396</f>
        <v>0</v>
      </c>
      <c r="AZ396" s="92">
        <f>+Details!G396-Base!G396</f>
        <v>0</v>
      </c>
      <c r="BA396" s="92">
        <f>+Details!H396-Base!H396</f>
        <v>0</v>
      </c>
      <c r="BB396" s="92">
        <f>+Details!I396-Base!I396</f>
        <v>0</v>
      </c>
      <c r="BC396" s="92">
        <f>+Details!J396-Base!J396</f>
        <v>0</v>
      </c>
      <c r="BD396" s="92">
        <f>+Details!K396-Base!K396</f>
        <v>0</v>
      </c>
      <c r="BE396" s="92">
        <f>+Details!L396-Base!L396</f>
        <v>0</v>
      </c>
      <c r="BF396" s="92">
        <f>+Details!M396-Base!M396</f>
        <v>0</v>
      </c>
      <c r="BG396" s="92">
        <f>+Details!N396-Base!N396</f>
        <v>0</v>
      </c>
      <c r="BH396" s="92">
        <f>+Details!O396-Base!O396</f>
        <v>0</v>
      </c>
      <c r="BI396" s="92">
        <f>+Details!P396-Base!P396</f>
        <v>0</v>
      </c>
      <c r="BJ396" s="92">
        <f>+Details!Q396-Base!Q396</f>
        <v>0</v>
      </c>
      <c r="BK396" s="92">
        <f>+Details!R396-Base!R396</f>
        <v>0</v>
      </c>
      <c r="BL396" s="92">
        <f>+Details!S396-Base!S396</f>
        <v>0</v>
      </c>
      <c r="BM396" s="92">
        <f>+Details!T396-Base!T396</f>
        <v>0</v>
      </c>
      <c r="BN396" s="92">
        <f>+Details!U396-Base!U396</f>
        <v>0</v>
      </c>
      <c r="BO396" s="92">
        <f>+Details!V396-Base!V396</f>
        <v>0</v>
      </c>
      <c r="BP396" s="92">
        <f>+Details!W396-Base!W396</f>
        <v>0</v>
      </c>
      <c r="BQ396" s="92">
        <f>+Details!X396-Base!X396</f>
        <v>0</v>
      </c>
      <c r="BR396" s="92">
        <f>+Details!Y396-Base!Y396</f>
        <v>0</v>
      </c>
      <c r="BS396" s="92">
        <f>+Details!Z396-Base!Z396</f>
        <v>0</v>
      </c>
      <c r="BT396" s="92">
        <f>+Details!AA396-Base!AA396</f>
        <v>0</v>
      </c>
      <c r="BU396" s="92">
        <f>+Details!AB396-Base!AB396</f>
        <v>0</v>
      </c>
      <c r="BV396" s="92">
        <f>+Details!AC396-Base!AC396</f>
        <v>0</v>
      </c>
      <c r="BW396" s="92">
        <f>+Details!AD396-Base!AD396</f>
        <v>0</v>
      </c>
      <c r="BX396" s="92">
        <f>+Details!AE396-Base!AE396</f>
        <v>0</v>
      </c>
      <c r="BY396" s="92">
        <f>+Details!AF396-Base!AF396</f>
        <v>0</v>
      </c>
      <c r="BZ396" s="92">
        <f>+Details!AG396-Base!AG396</f>
        <v>0</v>
      </c>
      <c r="CA396" s="92">
        <f>+Details!AH396-Base!AH396</f>
        <v>0</v>
      </c>
      <c r="CB396" s="92">
        <f>+Details!AI396-Base!AI396</f>
        <v>0</v>
      </c>
      <c r="CC396" s="92">
        <f>+Details!AJ396-Base!AJ396</f>
        <v>0</v>
      </c>
      <c r="CD396" s="92">
        <f>+Details!AK396-Base!AK396</f>
        <v>0</v>
      </c>
      <c r="CE396" s="92">
        <f>+Details!AL396-Base!AL396</f>
        <v>0</v>
      </c>
      <c r="CF396" s="92">
        <f>+Details!AM396-Base!AM396</f>
        <v>0</v>
      </c>
      <c r="CG396" s="92">
        <f>+Details!AN396-Base!AN396</f>
        <v>0</v>
      </c>
      <c r="CH396" s="92">
        <f>+Details!AO396-Base!AO396</f>
        <v>0</v>
      </c>
      <c r="CI396" s="92">
        <f>+Details!AP396-Base!AP396</f>
        <v>0</v>
      </c>
      <c r="CJ396" s="92">
        <f>+Details!AQ396-Base!AQ396</f>
        <v>0</v>
      </c>
      <c r="CK396" s="92">
        <f>+Details!AR396-Base!AR396</f>
        <v>0</v>
      </c>
      <c r="CL396" s="92">
        <f>+Details!AS396-Base!AS396</f>
        <v>0</v>
      </c>
    </row>
    <row r="397" spans="1:91">
      <c r="B397" s="43"/>
      <c r="C397" s="136"/>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2"/>
      <c r="AK397" s="92"/>
      <c r="AL397" s="92"/>
      <c r="AM397" s="92"/>
      <c r="AN397" s="92"/>
      <c r="AO397" s="92"/>
      <c r="AP397" s="92"/>
      <c r="AQ397" s="92"/>
      <c r="AR397" s="92"/>
      <c r="AS397" s="92"/>
      <c r="AT397" s="3"/>
      <c r="AZ397" s="92"/>
      <c r="BA397" s="92"/>
      <c r="BB397" s="92"/>
      <c r="BC397" s="92"/>
      <c r="BD397" s="92"/>
      <c r="BE397" s="92"/>
      <c r="BF397" s="92"/>
      <c r="BG397" s="92"/>
      <c r="BH397" s="92"/>
      <c r="BI397" s="92"/>
      <c r="BJ397" s="92"/>
      <c r="BK397" s="92"/>
      <c r="BL397" s="92"/>
      <c r="BM397" s="92"/>
      <c r="BN397" s="92"/>
      <c r="BO397" s="92"/>
      <c r="BP397" s="92"/>
      <c r="BQ397" s="92"/>
      <c r="BR397" s="92"/>
      <c r="BS397" s="92"/>
      <c r="BT397" s="92"/>
      <c r="BU397" s="92"/>
      <c r="BV397" s="92"/>
      <c r="BW397" s="92"/>
      <c r="BX397" s="92"/>
      <c r="BY397" s="92"/>
      <c r="BZ397" s="92"/>
      <c r="CA397" s="92"/>
      <c r="CB397" s="92"/>
      <c r="CC397" s="92"/>
      <c r="CD397" s="92"/>
      <c r="CE397" s="92"/>
      <c r="CF397" s="92"/>
      <c r="CG397" s="92"/>
      <c r="CH397" s="92"/>
      <c r="CI397" s="92"/>
      <c r="CJ397" s="92"/>
      <c r="CK397" s="92"/>
      <c r="CL397" s="92"/>
    </row>
    <row r="398" spans="1:91" ht="15.6">
      <c r="B398" s="861" t="s">
        <v>1601</v>
      </c>
      <c r="C398" s="136"/>
      <c r="E398" s="65"/>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2"/>
      <c r="AK398" s="92"/>
      <c r="AL398" s="92"/>
      <c r="AM398" s="92"/>
      <c r="AN398" s="92"/>
      <c r="AO398" s="92"/>
      <c r="AP398" s="92"/>
      <c r="AQ398" s="92"/>
      <c r="AR398" s="92"/>
      <c r="AS398" s="92"/>
      <c r="AT398" s="3"/>
      <c r="AW398" s="191"/>
      <c r="AZ398" s="92"/>
      <c r="BA398" s="92"/>
      <c r="BB398" s="92"/>
      <c r="BC398" s="92"/>
      <c r="BD398" s="92"/>
      <c r="BE398" s="92"/>
      <c r="BF398" s="92"/>
      <c r="BG398" s="92"/>
      <c r="BH398" s="92"/>
      <c r="BI398" s="92"/>
      <c r="BJ398" s="92"/>
      <c r="BK398" s="92"/>
      <c r="BL398" s="92"/>
      <c r="BM398" s="92"/>
      <c r="BN398" s="92"/>
      <c r="BO398" s="92"/>
      <c r="BP398" s="92"/>
      <c r="BQ398" s="92"/>
      <c r="BR398" s="92"/>
      <c r="BS398" s="92"/>
      <c r="BT398" s="92"/>
      <c r="BU398" s="92"/>
      <c r="BV398" s="92"/>
      <c r="BW398" s="92"/>
      <c r="BX398" s="92"/>
      <c r="BY398" s="92"/>
      <c r="BZ398" s="92"/>
      <c r="CA398" s="92"/>
      <c r="CB398" s="92"/>
      <c r="CC398" s="92"/>
      <c r="CD398" s="92"/>
      <c r="CE398" s="92"/>
      <c r="CF398" s="92"/>
      <c r="CG398" s="92"/>
      <c r="CH398" s="92"/>
      <c r="CI398" s="92"/>
      <c r="CJ398" s="92"/>
      <c r="CK398" s="92"/>
      <c r="CL398" s="92"/>
    </row>
    <row r="399" spans="1:91">
      <c r="B399" s="43" t="s">
        <v>756</v>
      </c>
      <c r="C399" s="136"/>
      <c r="F399" s="92">
        <f t="shared" ref="F399:AS399" si="324">IF(F$395&gt;0,+$C391*F$472,0)</f>
        <v>-7875</v>
      </c>
      <c r="G399" s="92">
        <f t="shared" si="324"/>
        <v>-990</v>
      </c>
      <c r="H399" s="92">
        <f t="shared" si="324"/>
        <v>-7605</v>
      </c>
      <c r="I399" s="92">
        <f t="shared" si="324"/>
        <v>-7425</v>
      </c>
      <c r="J399" s="92">
        <f t="shared" si="324"/>
        <v>-6615</v>
      </c>
      <c r="K399" s="92">
        <f t="shared" si="324"/>
        <v>3645</v>
      </c>
      <c r="L399" s="92">
        <f t="shared" si="324"/>
        <v>4140</v>
      </c>
      <c r="M399" s="92">
        <f t="shared" si="324"/>
        <v>4635</v>
      </c>
      <c r="N399" s="92">
        <f t="shared" si="324"/>
        <v>9990</v>
      </c>
      <c r="O399" s="92">
        <f t="shared" si="324"/>
        <v>13140</v>
      </c>
      <c r="P399" s="92">
        <f t="shared" si="324"/>
        <v>-22365</v>
      </c>
      <c r="Q399" s="92">
        <f t="shared" si="324"/>
        <v>32265</v>
      </c>
      <c r="R399" s="92">
        <f t="shared" si="324"/>
        <v>7830</v>
      </c>
      <c r="S399" s="92">
        <f t="shared" si="324"/>
        <v>17685</v>
      </c>
      <c r="T399" s="92">
        <f t="shared" si="324"/>
        <v>-21825</v>
      </c>
      <c r="U399" s="92">
        <f t="shared" si="324"/>
        <v>53055</v>
      </c>
      <c r="V399" s="92">
        <f t="shared" si="324"/>
        <v>20700</v>
      </c>
      <c r="W399" s="92">
        <f t="shared" si="324"/>
        <v>21690</v>
      </c>
      <c r="X399" s="92">
        <f t="shared" si="324"/>
        <v>10035</v>
      </c>
      <c r="Y399" s="92">
        <f t="shared" si="324"/>
        <v>10215</v>
      </c>
      <c r="Z399" s="92">
        <f t="shared" si="324"/>
        <v>11070</v>
      </c>
      <c r="AA399" s="92">
        <f t="shared" si="324"/>
        <v>12060</v>
      </c>
      <c r="AB399" s="92">
        <f t="shared" si="324"/>
        <v>193005</v>
      </c>
      <c r="AC399" s="92">
        <f t="shared" si="324"/>
        <v>16110</v>
      </c>
      <c r="AD399" s="92">
        <f t="shared" si="324"/>
        <v>49995</v>
      </c>
      <c r="AE399" s="92">
        <f t="shared" si="324"/>
        <v>5715</v>
      </c>
      <c r="AF399" s="92">
        <f t="shared" si="324"/>
        <v>5625</v>
      </c>
      <c r="AG399" s="92">
        <f t="shared" si="324"/>
        <v>1620</v>
      </c>
      <c r="AH399" s="92">
        <f t="shared" si="324"/>
        <v>855</v>
      </c>
      <c r="AI399" s="92">
        <f t="shared" si="324"/>
        <v>855</v>
      </c>
      <c r="AJ399" s="92">
        <f t="shared" si="324"/>
        <v>0</v>
      </c>
      <c r="AK399" s="92">
        <f t="shared" si="324"/>
        <v>0</v>
      </c>
      <c r="AL399" s="92">
        <f t="shared" si="324"/>
        <v>0</v>
      </c>
      <c r="AM399" s="92">
        <f t="shared" si="324"/>
        <v>0</v>
      </c>
      <c r="AN399" s="92">
        <f t="shared" si="324"/>
        <v>0</v>
      </c>
      <c r="AO399" s="92">
        <f t="shared" si="324"/>
        <v>0</v>
      </c>
      <c r="AP399" s="92">
        <f t="shared" si="324"/>
        <v>0</v>
      </c>
      <c r="AQ399" s="92">
        <f t="shared" si="324"/>
        <v>0</v>
      </c>
      <c r="AR399" s="92">
        <f t="shared" si="324"/>
        <v>0</v>
      </c>
      <c r="AS399" s="92">
        <f t="shared" si="324"/>
        <v>0</v>
      </c>
      <c r="AT399" s="3"/>
      <c r="AY399" s="31">
        <f>+Details!F399-Base!F399</f>
        <v>0</v>
      </c>
      <c r="AZ399" s="92">
        <f>+Details!G399-Base!G399</f>
        <v>0</v>
      </c>
      <c r="BA399" s="92">
        <f>+Details!H399-Base!H399</f>
        <v>0</v>
      </c>
      <c r="BB399" s="92">
        <f>+Details!I399-Base!I399</f>
        <v>0</v>
      </c>
      <c r="BC399" s="92">
        <f>+Details!J399-Base!J399</f>
        <v>0</v>
      </c>
      <c r="BD399" s="92">
        <f>+Details!K399-Base!K399</f>
        <v>0</v>
      </c>
      <c r="BE399" s="92">
        <f>+Details!L399-Base!L399</f>
        <v>0</v>
      </c>
      <c r="BF399" s="92">
        <f>+Details!M399-Base!M399</f>
        <v>0</v>
      </c>
      <c r="BG399" s="92">
        <f>+Details!N399-Base!N399</f>
        <v>0</v>
      </c>
      <c r="BH399" s="92">
        <f>+Details!O399-Base!O399</f>
        <v>0</v>
      </c>
      <c r="BI399" s="92">
        <f>+Details!P399-Base!P399</f>
        <v>0</v>
      </c>
      <c r="BJ399" s="92">
        <f>+Details!Q399-Base!Q399</f>
        <v>0</v>
      </c>
      <c r="BK399" s="92">
        <f>+Details!R399-Base!R399</f>
        <v>0</v>
      </c>
      <c r="BL399" s="92">
        <f>+Details!S399-Base!S399</f>
        <v>0</v>
      </c>
      <c r="BM399" s="92">
        <f>+Details!T399-Base!T399</f>
        <v>0</v>
      </c>
      <c r="BN399" s="92">
        <f>+Details!U399-Base!U399</f>
        <v>0</v>
      </c>
      <c r="BO399" s="92">
        <f>+Details!V399-Base!V399</f>
        <v>0</v>
      </c>
      <c r="BP399" s="92">
        <f>+Details!W399-Base!W399</f>
        <v>0</v>
      </c>
      <c r="BQ399" s="92">
        <f>+Details!X399-Base!X399</f>
        <v>0</v>
      </c>
      <c r="BR399" s="92">
        <f>+Details!Y399-Base!Y399</f>
        <v>0</v>
      </c>
      <c r="BS399" s="92">
        <f>+Details!Z399-Base!Z399</f>
        <v>0</v>
      </c>
      <c r="BT399" s="92">
        <f>+Details!AA399-Base!AA399</f>
        <v>0</v>
      </c>
      <c r="BU399" s="92">
        <f>+Details!AB399-Base!AB399</f>
        <v>0</v>
      </c>
      <c r="BV399" s="92">
        <f>+Details!AC399-Base!AC399</f>
        <v>0</v>
      </c>
      <c r="BW399" s="92">
        <f>+Details!AD399-Base!AD399</f>
        <v>0</v>
      </c>
      <c r="BX399" s="92">
        <f>+Details!AE399-Base!AE399</f>
        <v>0</v>
      </c>
      <c r="BY399" s="92">
        <f>+Details!AF399-Base!AF399</f>
        <v>0</v>
      </c>
      <c r="BZ399" s="92">
        <f>+Details!AG399-Base!AG399</f>
        <v>0</v>
      </c>
      <c r="CA399" s="92">
        <f>+Details!AH399-Base!AH399</f>
        <v>0</v>
      </c>
      <c r="CB399" s="92">
        <f>+Details!AI399-Base!AI399</f>
        <v>0</v>
      </c>
      <c r="CC399" s="92">
        <f>+Details!AJ399-Base!AJ399</f>
        <v>0</v>
      </c>
      <c r="CD399" s="92">
        <f>+Details!AK399-Base!AK399</f>
        <v>0</v>
      </c>
      <c r="CE399" s="92">
        <f>+Details!AL399-Base!AL399</f>
        <v>0</v>
      </c>
      <c r="CF399" s="92">
        <f>+Details!AM399-Base!AM399</f>
        <v>0</v>
      </c>
      <c r="CG399" s="92">
        <f>+Details!AN399-Base!AN399</f>
        <v>0</v>
      </c>
      <c r="CH399" s="92">
        <f>+Details!AO399-Base!AO399</f>
        <v>0</v>
      </c>
      <c r="CI399" s="92">
        <f>+Details!AP399-Base!AP399</f>
        <v>0</v>
      </c>
      <c r="CJ399" s="92">
        <f>+Details!AQ399-Base!AQ399</f>
        <v>0</v>
      </c>
      <c r="CK399" s="92">
        <f>+Details!AR399-Base!AR399</f>
        <v>0</v>
      </c>
      <c r="CL399" s="92">
        <f>+Details!AS399-Base!AS399</f>
        <v>0</v>
      </c>
    </row>
    <row r="400" spans="1:91">
      <c r="B400" s="43" t="s">
        <v>757</v>
      </c>
      <c r="C400" s="136"/>
      <c r="F400" s="92">
        <f t="shared" ref="F400:AS400" si="325">IF(F$395&gt;0,+$C392*F$472,0)</f>
        <v>0</v>
      </c>
      <c r="G400" s="92">
        <f t="shared" si="325"/>
        <v>0</v>
      </c>
      <c r="H400" s="92">
        <f t="shared" si="325"/>
        <v>0</v>
      </c>
      <c r="I400" s="92">
        <f t="shared" si="325"/>
        <v>0</v>
      </c>
      <c r="J400" s="92">
        <f t="shared" si="325"/>
        <v>0</v>
      </c>
      <c r="K400" s="92">
        <f t="shared" si="325"/>
        <v>0</v>
      </c>
      <c r="L400" s="92">
        <f t="shared" si="325"/>
        <v>0</v>
      </c>
      <c r="M400" s="92">
        <f t="shared" si="325"/>
        <v>0</v>
      </c>
      <c r="N400" s="92">
        <f t="shared" si="325"/>
        <v>0</v>
      </c>
      <c r="O400" s="92">
        <f t="shared" si="325"/>
        <v>0</v>
      </c>
      <c r="P400" s="92">
        <f t="shared" si="325"/>
        <v>0</v>
      </c>
      <c r="Q400" s="92">
        <f t="shared" si="325"/>
        <v>0</v>
      </c>
      <c r="R400" s="92">
        <f t="shared" si="325"/>
        <v>0</v>
      </c>
      <c r="S400" s="92">
        <f t="shared" si="325"/>
        <v>0</v>
      </c>
      <c r="T400" s="92">
        <f t="shared" si="325"/>
        <v>0</v>
      </c>
      <c r="U400" s="92">
        <f t="shared" si="325"/>
        <v>0</v>
      </c>
      <c r="V400" s="92">
        <f t="shared" si="325"/>
        <v>0</v>
      </c>
      <c r="W400" s="92">
        <f t="shared" si="325"/>
        <v>0</v>
      </c>
      <c r="X400" s="92">
        <f t="shared" si="325"/>
        <v>0</v>
      </c>
      <c r="Y400" s="92">
        <f t="shared" si="325"/>
        <v>0</v>
      </c>
      <c r="Z400" s="92">
        <f t="shared" si="325"/>
        <v>0</v>
      </c>
      <c r="AA400" s="92">
        <f t="shared" si="325"/>
        <v>0</v>
      </c>
      <c r="AB400" s="92">
        <f t="shared" si="325"/>
        <v>0</v>
      </c>
      <c r="AC400" s="92">
        <f t="shared" si="325"/>
        <v>0</v>
      </c>
      <c r="AD400" s="92">
        <f t="shared" si="325"/>
        <v>0</v>
      </c>
      <c r="AE400" s="92">
        <f t="shared" si="325"/>
        <v>0</v>
      </c>
      <c r="AF400" s="92">
        <f t="shared" si="325"/>
        <v>0</v>
      </c>
      <c r="AG400" s="92">
        <f t="shared" si="325"/>
        <v>0</v>
      </c>
      <c r="AH400" s="92">
        <f t="shared" si="325"/>
        <v>0</v>
      </c>
      <c r="AI400" s="92">
        <f t="shared" si="325"/>
        <v>0</v>
      </c>
      <c r="AJ400" s="92">
        <f t="shared" si="325"/>
        <v>0</v>
      </c>
      <c r="AK400" s="92">
        <f t="shared" si="325"/>
        <v>0</v>
      </c>
      <c r="AL400" s="92">
        <f t="shared" si="325"/>
        <v>0</v>
      </c>
      <c r="AM400" s="92">
        <f t="shared" si="325"/>
        <v>0</v>
      </c>
      <c r="AN400" s="92">
        <f t="shared" si="325"/>
        <v>0</v>
      </c>
      <c r="AO400" s="92">
        <f t="shared" si="325"/>
        <v>0</v>
      </c>
      <c r="AP400" s="92">
        <f t="shared" si="325"/>
        <v>0</v>
      </c>
      <c r="AQ400" s="92">
        <f t="shared" si="325"/>
        <v>0</v>
      </c>
      <c r="AR400" s="92">
        <f t="shared" si="325"/>
        <v>0</v>
      </c>
      <c r="AS400" s="92">
        <f t="shared" si="325"/>
        <v>0</v>
      </c>
      <c r="AT400" s="3"/>
      <c r="AY400" s="31">
        <f>+Details!F400-Base!F400</f>
        <v>0</v>
      </c>
      <c r="AZ400" s="92">
        <f>+Details!G400-Base!G400</f>
        <v>0</v>
      </c>
      <c r="BA400" s="92">
        <f>+Details!H400-Base!H400</f>
        <v>0</v>
      </c>
      <c r="BB400" s="92">
        <f>+Details!I400-Base!I400</f>
        <v>0</v>
      </c>
      <c r="BC400" s="92">
        <f>+Details!J400-Base!J400</f>
        <v>0</v>
      </c>
      <c r="BD400" s="92">
        <f>+Details!K400-Base!K400</f>
        <v>0</v>
      </c>
      <c r="BE400" s="92">
        <f>+Details!L400-Base!L400</f>
        <v>0</v>
      </c>
      <c r="BF400" s="92">
        <f>+Details!M400-Base!M400</f>
        <v>0</v>
      </c>
      <c r="BG400" s="92">
        <f>+Details!N400-Base!N400</f>
        <v>0</v>
      </c>
      <c r="BH400" s="92">
        <f>+Details!O400-Base!O400</f>
        <v>0</v>
      </c>
      <c r="BI400" s="92">
        <f>+Details!P400-Base!P400</f>
        <v>0</v>
      </c>
      <c r="BJ400" s="92">
        <f>+Details!Q400-Base!Q400</f>
        <v>0</v>
      </c>
      <c r="BK400" s="92">
        <f>+Details!R400-Base!R400</f>
        <v>0</v>
      </c>
      <c r="BL400" s="92">
        <f>+Details!S400-Base!S400</f>
        <v>0</v>
      </c>
      <c r="BM400" s="92">
        <f>+Details!T400-Base!T400</f>
        <v>0</v>
      </c>
      <c r="BN400" s="92">
        <f>+Details!U400-Base!U400</f>
        <v>0</v>
      </c>
      <c r="BO400" s="92">
        <f>+Details!V400-Base!V400</f>
        <v>0</v>
      </c>
      <c r="BP400" s="92">
        <f>+Details!W400-Base!W400</f>
        <v>0</v>
      </c>
      <c r="BQ400" s="92">
        <f>+Details!X400-Base!X400</f>
        <v>0</v>
      </c>
      <c r="BR400" s="92">
        <f>+Details!Y400-Base!Y400</f>
        <v>0</v>
      </c>
      <c r="BS400" s="92">
        <f>+Details!Z400-Base!Z400</f>
        <v>0</v>
      </c>
      <c r="BT400" s="92">
        <f>+Details!AA400-Base!AA400</f>
        <v>0</v>
      </c>
      <c r="BU400" s="92">
        <f>+Details!AB400-Base!AB400</f>
        <v>0</v>
      </c>
      <c r="BV400" s="92">
        <f>+Details!AC400-Base!AC400</f>
        <v>0</v>
      </c>
      <c r="BW400" s="92">
        <f>+Details!AD400-Base!AD400</f>
        <v>0</v>
      </c>
      <c r="BX400" s="92">
        <f>+Details!AE400-Base!AE400</f>
        <v>0</v>
      </c>
      <c r="BY400" s="92">
        <f>+Details!AF400-Base!AF400</f>
        <v>0</v>
      </c>
      <c r="BZ400" s="92">
        <f>+Details!AG400-Base!AG400</f>
        <v>0</v>
      </c>
      <c r="CA400" s="92">
        <f>+Details!AH400-Base!AH400</f>
        <v>0</v>
      </c>
      <c r="CB400" s="92">
        <f>+Details!AI400-Base!AI400</f>
        <v>0</v>
      </c>
      <c r="CC400" s="92">
        <f>+Details!AJ400-Base!AJ400</f>
        <v>0</v>
      </c>
      <c r="CD400" s="92">
        <f>+Details!AK400-Base!AK400</f>
        <v>0</v>
      </c>
      <c r="CE400" s="92">
        <f>+Details!AL400-Base!AL400</f>
        <v>0</v>
      </c>
      <c r="CF400" s="92">
        <f>+Details!AM400-Base!AM400</f>
        <v>0</v>
      </c>
      <c r="CG400" s="92">
        <f>+Details!AN400-Base!AN400</f>
        <v>0</v>
      </c>
      <c r="CH400" s="92">
        <f>+Details!AO400-Base!AO400</f>
        <v>0</v>
      </c>
      <c r="CI400" s="92">
        <f>+Details!AP400-Base!AP400</f>
        <v>0</v>
      </c>
      <c r="CJ400" s="92">
        <f>+Details!AQ400-Base!AQ400</f>
        <v>0</v>
      </c>
      <c r="CK400" s="92">
        <f>+Details!AR400-Base!AR400</f>
        <v>0</v>
      </c>
      <c r="CL400" s="92">
        <f>+Details!AS400-Base!AS400</f>
        <v>0</v>
      </c>
    </row>
    <row r="401" spans="2:90">
      <c r="B401" s="43" t="s">
        <v>849</v>
      </c>
      <c r="C401" s="136"/>
      <c r="F401" s="92">
        <f t="shared" ref="F401:AS401" si="326">IF(F$395&gt;0,+$C393*F$472,0)</f>
        <v>-8750</v>
      </c>
      <c r="G401" s="92">
        <f t="shared" si="326"/>
        <v>-1100</v>
      </c>
      <c r="H401" s="92">
        <f t="shared" si="326"/>
        <v>-8450</v>
      </c>
      <c r="I401" s="92">
        <f t="shared" si="326"/>
        <v>-8250</v>
      </c>
      <c r="J401" s="92">
        <f t="shared" si="326"/>
        <v>-7350</v>
      </c>
      <c r="K401" s="92">
        <f t="shared" si="326"/>
        <v>4050</v>
      </c>
      <c r="L401" s="92">
        <f t="shared" si="326"/>
        <v>4600</v>
      </c>
      <c r="M401" s="92">
        <f t="shared" si="326"/>
        <v>5150</v>
      </c>
      <c r="N401" s="92">
        <f t="shared" si="326"/>
        <v>11100</v>
      </c>
      <c r="O401" s="92">
        <f t="shared" si="326"/>
        <v>14600</v>
      </c>
      <c r="P401" s="92">
        <f t="shared" si="326"/>
        <v>-24850</v>
      </c>
      <c r="Q401" s="92">
        <f t="shared" si="326"/>
        <v>35850</v>
      </c>
      <c r="R401" s="92">
        <f t="shared" si="326"/>
        <v>8700</v>
      </c>
      <c r="S401" s="92">
        <f t="shared" si="326"/>
        <v>19650</v>
      </c>
      <c r="T401" s="92">
        <f t="shared" si="326"/>
        <v>-24250</v>
      </c>
      <c r="U401" s="92">
        <f t="shared" si="326"/>
        <v>58950</v>
      </c>
      <c r="V401" s="92">
        <f t="shared" si="326"/>
        <v>23000</v>
      </c>
      <c r="W401" s="92">
        <f t="shared" si="326"/>
        <v>24100</v>
      </c>
      <c r="X401" s="92">
        <f t="shared" si="326"/>
        <v>11150</v>
      </c>
      <c r="Y401" s="92">
        <f t="shared" si="326"/>
        <v>11350</v>
      </c>
      <c r="Z401" s="92">
        <f t="shared" si="326"/>
        <v>12300</v>
      </c>
      <c r="AA401" s="92">
        <f t="shared" si="326"/>
        <v>13400</v>
      </c>
      <c r="AB401" s="92">
        <f t="shared" si="326"/>
        <v>214450</v>
      </c>
      <c r="AC401" s="92">
        <f t="shared" si="326"/>
        <v>17900</v>
      </c>
      <c r="AD401" s="92">
        <f t="shared" si="326"/>
        <v>55550</v>
      </c>
      <c r="AE401" s="92">
        <f t="shared" si="326"/>
        <v>6350</v>
      </c>
      <c r="AF401" s="92">
        <f t="shared" si="326"/>
        <v>6250</v>
      </c>
      <c r="AG401" s="92">
        <f t="shared" si="326"/>
        <v>1800</v>
      </c>
      <c r="AH401" s="92">
        <f t="shared" si="326"/>
        <v>950</v>
      </c>
      <c r="AI401" s="92">
        <f t="shared" si="326"/>
        <v>950</v>
      </c>
      <c r="AJ401" s="92">
        <f t="shared" si="326"/>
        <v>0</v>
      </c>
      <c r="AK401" s="92">
        <f t="shared" si="326"/>
        <v>0</v>
      </c>
      <c r="AL401" s="92">
        <f t="shared" si="326"/>
        <v>0</v>
      </c>
      <c r="AM401" s="92">
        <f t="shared" si="326"/>
        <v>0</v>
      </c>
      <c r="AN401" s="92">
        <f t="shared" si="326"/>
        <v>0</v>
      </c>
      <c r="AO401" s="92">
        <f t="shared" si="326"/>
        <v>0</v>
      </c>
      <c r="AP401" s="92">
        <f t="shared" si="326"/>
        <v>0</v>
      </c>
      <c r="AQ401" s="92">
        <f t="shared" si="326"/>
        <v>0</v>
      </c>
      <c r="AR401" s="92">
        <f t="shared" si="326"/>
        <v>0</v>
      </c>
      <c r="AS401" s="92">
        <f t="shared" si="326"/>
        <v>0</v>
      </c>
      <c r="AT401" s="3"/>
      <c r="AY401" s="31">
        <f>+Details!F401-Base!F401</f>
        <v>0</v>
      </c>
      <c r="AZ401" s="92">
        <f>+Details!G401-Base!G401</f>
        <v>0</v>
      </c>
      <c r="BA401" s="92">
        <f>+Details!H401-Base!H401</f>
        <v>0</v>
      </c>
      <c r="BB401" s="92">
        <f>+Details!I401-Base!I401</f>
        <v>0</v>
      </c>
      <c r="BC401" s="92">
        <f>+Details!J401-Base!J401</f>
        <v>0</v>
      </c>
      <c r="BD401" s="92">
        <f>+Details!K401-Base!K401</f>
        <v>0</v>
      </c>
      <c r="BE401" s="92">
        <f>+Details!L401-Base!L401</f>
        <v>0</v>
      </c>
      <c r="BF401" s="92">
        <f>+Details!M401-Base!M401</f>
        <v>0</v>
      </c>
      <c r="BG401" s="92">
        <f>+Details!N401-Base!N401</f>
        <v>0</v>
      </c>
      <c r="BH401" s="92">
        <f>+Details!O401-Base!O401</f>
        <v>0</v>
      </c>
      <c r="BI401" s="92">
        <f>+Details!P401-Base!P401</f>
        <v>0</v>
      </c>
      <c r="BJ401" s="92">
        <f>+Details!Q401-Base!Q401</f>
        <v>0</v>
      </c>
      <c r="BK401" s="92">
        <f>+Details!R401-Base!R401</f>
        <v>0</v>
      </c>
      <c r="BL401" s="92">
        <f>+Details!S401-Base!S401</f>
        <v>0</v>
      </c>
      <c r="BM401" s="92">
        <f>+Details!T401-Base!T401</f>
        <v>0</v>
      </c>
      <c r="BN401" s="92">
        <f>+Details!U401-Base!U401</f>
        <v>0</v>
      </c>
      <c r="BO401" s="92">
        <f>+Details!V401-Base!V401</f>
        <v>0</v>
      </c>
      <c r="BP401" s="92">
        <f>+Details!W401-Base!W401</f>
        <v>0</v>
      </c>
      <c r="BQ401" s="92">
        <f>+Details!X401-Base!X401</f>
        <v>0</v>
      </c>
      <c r="BR401" s="92">
        <f>+Details!Y401-Base!Y401</f>
        <v>0</v>
      </c>
      <c r="BS401" s="92">
        <f>+Details!Z401-Base!Z401</f>
        <v>0</v>
      </c>
      <c r="BT401" s="92">
        <f>+Details!AA401-Base!AA401</f>
        <v>0</v>
      </c>
      <c r="BU401" s="92">
        <f>+Details!AB401-Base!AB401</f>
        <v>0</v>
      </c>
      <c r="BV401" s="92">
        <f>+Details!AC401-Base!AC401</f>
        <v>0</v>
      </c>
      <c r="BW401" s="92">
        <f>+Details!AD401-Base!AD401</f>
        <v>0</v>
      </c>
      <c r="BX401" s="92">
        <f>+Details!AE401-Base!AE401</f>
        <v>0</v>
      </c>
      <c r="BY401" s="92">
        <f>+Details!AF401-Base!AF401</f>
        <v>0</v>
      </c>
      <c r="BZ401" s="92">
        <f>+Details!AG401-Base!AG401</f>
        <v>0</v>
      </c>
      <c r="CA401" s="92">
        <f>+Details!AH401-Base!AH401</f>
        <v>0</v>
      </c>
      <c r="CB401" s="92">
        <f>+Details!AI401-Base!AI401</f>
        <v>0</v>
      </c>
      <c r="CC401" s="92">
        <f>+Details!AJ401-Base!AJ401</f>
        <v>0</v>
      </c>
      <c r="CD401" s="92">
        <f>+Details!AK401-Base!AK401</f>
        <v>0</v>
      </c>
      <c r="CE401" s="92">
        <f>+Details!AL401-Base!AL401</f>
        <v>0</v>
      </c>
      <c r="CF401" s="92">
        <f>+Details!AM401-Base!AM401</f>
        <v>0</v>
      </c>
      <c r="CG401" s="92">
        <f>+Details!AN401-Base!AN401</f>
        <v>0</v>
      </c>
      <c r="CH401" s="92">
        <f>+Details!AO401-Base!AO401</f>
        <v>0</v>
      </c>
      <c r="CI401" s="92">
        <f>+Details!AP401-Base!AP401</f>
        <v>0</v>
      </c>
      <c r="CJ401" s="92">
        <f>+Details!AQ401-Base!AQ401</f>
        <v>0</v>
      </c>
      <c r="CK401" s="92">
        <f>+Details!AR401-Base!AR401</f>
        <v>0</v>
      </c>
      <c r="CL401" s="92">
        <f>+Details!AS401-Base!AS401</f>
        <v>0</v>
      </c>
    </row>
    <row r="402" spans="2:90">
      <c r="B402" s="43" t="s">
        <v>1600</v>
      </c>
      <c r="C402" s="136"/>
      <c r="F402" s="92">
        <f t="shared" ref="F402:AS402" si="327">IF(F$395&gt;0,+$C394*F$472,0)</f>
        <v>-875</v>
      </c>
      <c r="G402" s="92">
        <f t="shared" si="327"/>
        <v>-110</v>
      </c>
      <c r="H402" s="92">
        <f t="shared" si="327"/>
        <v>-845</v>
      </c>
      <c r="I402" s="92">
        <f t="shared" si="327"/>
        <v>-825</v>
      </c>
      <c r="J402" s="92">
        <f t="shared" si="327"/>
        <v>-735</v>
      </c>
      <c r="K402" s="92">
        <f t="shared" si="327"/>
        <v>405</v>
      </c>
      <c r="L402" s="92">
        <f t="shared" si="327"/>
        <v>460</v>
      </c>
      <c r="M402" s="92">
        <f t="shared" si="327"/>
        <v>515</v>
      </c>
      <c r="N402" s="92">
        <f t="shared" si="327"/>
        <v>1110</v>
      </c>
      <c r="O402" s="92">
        <f t="shared" si="327"/>
        <v>1460</v>
      </c>
      <c r="P402" s="92">
        <f t="shared" si="327"/>
        <v>-2485</v>
      </c>
      <c r="Q402" s="92">
        <f t="shared" si="327"/>
        <v>3585</v>
      </c>
      <c r="R402" s="92">
        <f t="shared" si="327"/>
        <v>870</v>
      </c>
      <c r="S402" s="92">
        <f t="shared" si="327"/>
        <v>1965</v>
      </c>
      <c r="T402" s="92">
        <f t="shared" si="327"/>
        <v>-2425</v>
      </c>
      <c r="U402" s="92">
        <f t="shared" si="327"/>
        <v>5895</v>
      </c>
      <c r="V402" s="92">
        <f t="shared" si="327"/>
        <v>2300</v>
      </c>
      <c r="W402" s="92">
        <f t="shared" si="327"/>
        <v>2410</v>
      </c>
      <c r="X402" s="92">
        <f t="shared" si="327"/>
        <v>1115</v>
      </c>
      <c r="Y402" s="92">
        <f t="shared" si="327"/>
        <v>1135</v>
      </c>
      <c r="Z402" s="92">
        <f t="shared" si="327"/>
        <v>1230</v>
      </c>
      <c r="AA402" s="92">
        <f t="shared" si="327"/>
        <v>1340</v>
      </c>
      <c r="AB402" s="92">
        <f t="shared" si="327"/>
        <v>21445</v>
      </c>
      <c r="AC402" s="92">
        <f t="shared" si="327"/>
        <v>1790</v>
      </c>
      <c r="AD402" s="92">
        <f t="shared" si="327"/>
        <v>5555</v>
      </c>
      <c r="AE402" s="92">
        <f t="shared" si="327"/>
        <v>635</v>
      </c>
      <c r="AF402" s="92">
        <f t="shared" si="327"/>
        <v>625</v>
      </c>
      <c r="AG402" s="92">
        <f t="shared" si="327"/>
        <v>180</v>
      </c>
      <c r="AH402" s="92">
        <f t="shared" si="327"/>
        <v>95</v>
      </c>
      <c r="AI402" s="92">
        <f t="shared" si="327"/>
        <v>95</v>
      </c>
      <c r="AJ402" s="92">
        <f t="shared" si="327"/>
        <v>0</v>
      </c>
      <c r="AK402" s="92">
        <f t="shared" si="327"/>
        <v>0</v>
      </c>
      <c r="AL402" s="92">
        <f t="shared" si="327"/>
        <v>0</v>
      </c>
      <c r="AM402" s="92">
        <f t="shared" si="327"/>
        <v>0</v>
      </c>
      <c r="AN402" s="92">
        <f t="shared" si="327"/>
        <v>0</v>
      </c>
      <c r="AO402" s="92">
        <f t="shared" si="327"/>
        <v>0</v>
      </c>
      <c r="AP402" s="92">
        <f t="shared" si="327"/>
        <v>0</v>
      </c>
      <c r="AQ402" s="92">
        <f t="shared" si="327"/>
        <v>0</v>
      </c>
      <c r="AR402" s="92">
        <f t="shared" si="327"/>
        <v>0</v>
      </c>
      <c r="AS402" s="92">
        <f t="shared" si="327"/>
        <v>0</v>
      </c>
      <c r="AT402" s="3"/>
      <c r="AY402" s="38">
        <f>+Details!F402-Base!F402</f>
        <v>0</v>
      </c>
      <c r="AZ402" s="92">
        <f>+Details!G402-Base!G402</f>
        <v>0</v>
      </c>
      <c r="BA402" s="92">
        <f>+Details!H402-Base!H402</f>
        <v>0</v>
      </c>
      <c r="BB402" s="92">
        <f>+Details!I402-Base!I402</f>
        <v>0</v>
      </c>
      <c r="BC402" s="92">
        <f>+Details!J402-Base!J402</f>
        <v>0</v>
      </c>
      <c r="BD402" s="92">
        <f>+Details!K402-Base!K402</f>
        <v>0</v>
      </c>
      <c r="BE402" s="92">
        <f>+Details!L402-Base!L402</f>
        <v>0</v>
      </c>
      <c r="BF402" s="92">
        <f>+Details!M402-Base!M402</f>
        <v>0</v>
      </c>
      <c r="BG402" s="92">
        <f>+Details!N402-Base!N402</f>
        <v>0</v>
      </c>
      <c r="BH402" s="92">
        <f>+Details!O402-Base!O402</f>
        <v>0</v>
      </c>
      <c r="BI402" s="92">
        <f>+Details!P402-Base!P402</f>
        <v>0</v>
      </c>
      <c r="BJ402" s="92">
        <f>+Details!Q402-Base!Q402</f>
        <v>0</v>
      </c>
      <c r="BK402" s="92">
        <f>+Details!R402-Base!R402</f>
        <v>0</v>
      </c>
      <c r="BL402" s="92">
        <f>+Details!S402-Base!S402</f>
        <v>0</v>
      </c>
      <c r="BM402" s="92">
        <f>+Details!T402-Base!T402</f>
        <v>0</v>
      </c>
      <c r="BN402" s="92">
        <f>+Details!U402-Base!U402</f>
        <v>0</v>
      </c>
      <c r="BO402" s="92">
        <f>+Details!V402-Base!V402</f>
        <v>0</v>
      </c>
      <c r="BP402" s="92">
        <f>+Details!W402-Base!W402</f>
        <v>0</v>
      </c>
      <c r="BQ402" s="92">
        <f>+Details!X402-Base!X402</f>
        <v>0</v>
      </c>
      <c r="BR402" s="92">
        <f>+Details!Y402-Base!Y402</f>
        <v>0</v>
      </c>
      <c r="BS402" s="92">
        <f>+Details!Z402-Base!Z402</f>
        <v>0</v>
      </c>
      <c r="BT402" s="92">
        <f>+Details!AA402-Base!AA402</f>
        <v>0</v>
      </c>
      <c r="BU402" s="92">
        <f>+Details!AB402-Base!AB402</f>
        <v>0</v>
      </c>
      <c r="BV402" s="92">
        <f>+Details!AC402-Base!AC402</f>
        <v>0</v>
      </c>
      <c r="BW402" s="92">
        <f>+Details!AD402-Base!AD402</f>
        <v>0</v>
      </c>
      <c r="BX402" s="92">
        <f>+Details!AE402-Base!AE402</f>
        <v>0</v>
      </c>
      <c r="BY402" s="92">
        <f>+Details!AF402-Base!AF402</f>
        <v>0</v>
      </c>
      <c r="BZ402" s="92">
        <f>+Details!AG402-Base!AG402</f>
        <v>0</v>
      </c>
      <c r="CA402" s="92">
        <f>+Details!AH402-Base!AH402</f>
        <v>0</v>
      </c>
      <c r="CB402" s="92">
        <f>+Details!AI402-Base!AI402</f>
        <v>0</v>
      </c>
      <c r="CC402" s="92">
        <f>+Details!AJ402-Base!AJ402</f>
        <v>0</v>
      </c>
      <c r="CD402" s="92">
        <f>+Details!AK402-Base!AK402</f>
        <v>0</v>
      </c>
      <c r="CE402" s="92">
        <f>+Details!AL402-Base!AL402</f>
        <v>0</v>
      </c>
      <c r="CF402" s="92">
        <f>+Details!AM402-Base!AM402</f>
        <v>0</v>
      </c>
      <c r="CG402" s="92">
        <f>+Details!AN402-Base!AN402</f>
        <v>0</v>
      </c>
      <c r="CH402" s="92">
        <f>+Details!AO402-Base!AO402</f>
        <v>0</v>
      </c>
      <c r="CI402" s="92">
        <f>+Details!AP402-Base!AP402</f>
        <v>0</v>
      </c>
      <c r="CJ402" s="92">
        <f>+Details!AQ402-Base!AQ402</f>
        <v>0</v>
      </c>
      <c r="CK402" s="92">
        <f>+Details!AR402-Base!AR402</f>
        <v>0</v>
      </c>
      <c r="CL402" s="92">
        <f>+Details!AS402-Base!AS402</f>
        <v>0</v>
      </c>
    </row>
    <row r="403" spans="2:90">
      <c r="B403" s="43" t="s">
        <v>635</v>
      </c>
      <c r="C403" s="136"/>
      <c r="E403" s="65">
        <f>SUM(F403:AS403)</f>
        <v>958300</v>
      </c>
      <c r="F403" s="862">
        <f t="shared" ref="F403:AS403" si="328">SUM(F399:F402)</f>
        <v>-17500</v>
      </c>
      <c r="G403" s="862">
        <f t="shared" si="328"/>
        <v>-2200</v>
      </c>
      <c r="H403" s="862">
        <f t="shared" si="328"/>
        <v>-16900</v>
      </c>
      <c r="I403" s="862">
        <f t="shared" si="328"/>
        <v>-16500</v>
      </c>
      <c r="J403" s="862">
        <f t="shared" si="328"/>
        <v>-14700</v>
      </c>
      <c r="K403" s="862">
        <f t="shared" si="328"/>
        <v>8100</v>
      </c>
      <c r="L403" s="862">
        <f t="shared" si="328"/>
        <v>9200</v>
      </c>
      <c r="M403" s="862">
        <f t="shared" si="328"/>
        <v>10300</v>
      </c>
      <c r="N403" s="862">
        <f t="shared" si="328"/>
        <v>22200</v>
      </c>
      <c r="O403" s="862">
        <f t="shared" si="328"/>
        <v>29200</v>
      </c>
      <c r="P403" s="862">
        <f t="shared" si="328"/>
        <v>-49700</v>
      </c>
      <c r="Q403" s="862">
        <f t="shared" si="328"/>
        <v>71700</v>
      </c>
      <c r="R403" s="862">
        <f t="shared" si="328"/>
        <v>17400</v>
      </c>
      <c r="S403" s="862">
        <f t="shared" si="328"/>
        <v>39300</v>
      </c>
      <c r="T403" s="862">
        <f t="shared" si="328"/>
        <v>-48500</v>
      </c>
      <c r="U403" s="862">
        <f t="shared" si="328"/>
        <v>117900</v>
      </c>
      <c r="V403" s="862">
        <f t="shared" si="328"/>
        <v>46000</v>
      </c>
      <c r="W403" s="862">
        <f t="shared" si="328"/>
        <v>48200</v>
      </c>
      <c r="X403" s="862">
        <f t="shared" si="328"/>
        <v>22300</v>
      </c>
      <c r="Y403" s="862">
        <f t="shared" si="328"/>
        <v>22700</v>
      </c>
      <c r="Z403" s="862">
        <f t="shared" si="328"/>
        <v>24600</v>
      </c>
      <c r="AA403" s="862">
        <f t="shared" si="328"/>
        <v>26800</v>
      </c>
      <c r="AB403" s="862">
        <f t="shared" si="328"/>
        <v>428900</v>
      </c>
      <c r="AC403" s="862">
        <f t="shared" si="328"/>
        <v>35800</v>
      </c>
      <c r="AD403" s="862">
        <f t="shared" si="328"/>
        <v>111100</v>
      </c>
      <c r="AE403" s="862">
        <f t="shared" si="328"/>
        <v>12700</v>
      </c>
      <c r="AF403" s="862">
        <f t="shared" si="328"/>
        <v>12500</v>
      </c>
      <c r="AG403" s="862">
        <f t="shared" si="328"/>
        <v>3600</v>
      </c>
      <c r="AH403" s="862">
        <f t="shared" si="328"/>
        <v>1900</v>
      </c>
      <c r="AI403" s="862">
        <f t="shared" si="328"/>
        <v>1900</v>
      </c>
      <c r="AJ403" s="862">
        <f t="shared" si="328"/>
        <v>0</v>
      </c>
      <c r="AK403" s="862">
        <f t="shared" si="328"/>
        <v>0</v>
      </c>
      <c r="AL403" s="862">
        <f t="shared" si="328"/>
        <v>0</v>
      </c>
      <c r="AM403" s="862">
        <f t="shared" si="328"/>
        <v>0</v>
      </c>
      <c r="AN403" s="862">
        <f t="shared" si="328"/>
        <v>0</v>
      </c>
      <c r="AO403" s="862">
        <f t="shared" si="328"/>
        <v>0</v>
      </c>
      <c r="AP403" s="862">
        <f t="shared" si="328"/>
        <v>0</v>
      </c>
      <c r="AQ403" s="862">
        <f t="shared" si="328"/>
        <v>0</v>
      </c>
      <c r="AR403" s="862">
        <f t="shared" si="328"/>
        <v>0</v>
      </c>
      <c r="AS403" s="862">
        <f t="shared" si="328"/>
        <v>0</v>
      </c>
      <c r="AT403" s="3"/>
      <c r="AW403" s="191"/>
      <c r="AY403" s="31">
        <f>+Details!F403-Base!F403</f>
        <v>0</v>
      </c>
      <c r="AZ403" s="862">
        <f>+Details!G403-Base!G403</f>
        <v>0</v>
      </c>
      <c r="BA403" s="862">
        <f>+Details!H403-Base!H403</f>
        <v>0</v>
      </c>
      <c r="BB403" s="862">
        <f>+Details!I403-Base!I403</f>
        <v>0</v>
      </c>
      <c r="BC403" s="862">
        <f>+Details!J403-Base!J403</f>
        <v>0</v>
      </c>
      <c r="BD403" s="862">
        <f>+Details!K403-Base!K403</f>
        <v>0</v>
      </c>
      <c r="BE403" s="862">
        <f>+Details!L403-Base!L403</f>
        <v>0</v>
      </c>
      <c r="BF403" s="862">
        <f>+Details!M403-Base!M403</f>
        <v>0</v>
      </c>
      <c r="BG403" s="862">
        <f>+Details!N403-Base!N403</f>
        <v>0</v>
      </c>
      <c r="BH403" s="862">
        <f>+Details!O403-Base!O403</f>
        <v>0</v>
      </c>
      <c r="BI403" s="862">
        <f>+Details!P403-Base!P403</f>
        <v>0</v>
      </c>
      <c r="BJ403" s="862">
        <f>+Details!Q403-Base!Q403</f>
        <v>0</v>
      </c>
      <c r="BK403" s="862">
        <f>+Details!R403-Base!R403</f>
        <v>0</v>
      </c>
      <c r="BL403" s="862">
        <f>+Details!S403-Base!S403</f>
        <v>0</v>
      </c>
      <c r="BM403" s="862">
        <f>+Details!T403-Base!T403</f>
        <v>0</v>
      </c>
      <c r="BN403" s="862">
        <f>+Details!U403-Base!U403</f>
        <v>0</v>
      </c>
      <c r="BO403" s="862">
        <f>+Details!V403-Base!V403</f>
        <v>0</v>
      </c>
      <c r="BP403" s="862">
        <f>+Details!W403-Base!W403</f>
        <v>0</v>
      </c>
      <c r="BQ403" s="862">
        <f>+Details!X403-Base!X403</f>
        <v>0</v>
      </c>
      <c r="BR403" s="862">
        <f>+Details!Y403-Base!Y403</f>
        <v>0</v>
      </c>
      <c r="BS403" s="862">
        <f>+Details!Z403-Base!Z403</f>
        <v>0</v>
      </c>
      <c r="BT403" s="862">
        <f>+Details!AA403-Base!AA403</f>
        <v>0</v>
      </c>
      <c r="BU403" s="862">
        <f>+Details!AB403-Base!AB403</f>
        <v>0</v>
      </c>
      <c r="BV403" s="862">
        <f>+Details!AC403-Base!AC403</f>
        <v>0</v>
      </c>
      <c r="BW403" s="862">
        <f>+Details!AD403-Base!AD403</f>
        <v>0</v>
      </c>
      <c r="BX403" s="862">
        <f>+Details!AE403-Base!AE403</f>
        <v>0</v>
      </c>
      <c r="BY403" s="862">
        <f>+Details!AF403-Base!AF403</f>
        <v>0</v>
      </c>
      <c r="BZ403" s="862">
        <f>+Details!AG403-Base!AG403</f>
        <v>0</v>
      </c>
      <c r="CA403" s="862">
        <f>+Details!AH403-Base!AH403</f>
        <v>0</v>
      </c>
      <c r="CB403" s="862">
        <f>+Details!AI403-Base!AI403</f>
        <v>0</v>
      </c>
      <c r="CC403" s="862">
        <f>+Details!AJ403-Base!AJ403</f>
        <v>0</v>
      </c>
      <c r="CD403" s="862">
        <f>+Details!AK403-Base!AK403</f>
        <v>0</v>
      </c>
      <c r="CE403" s="862">
        <f>+Details!AL403-Base!AL403</f>
        <v>0</v>
      </c>
      <c r="CF403" s="862">
        <f>+Details!AM403-Base!AM403</f>
        <v>0</v>
      </c>
      <c r="CG403" s="862">
        <f>+Details!AN403-Base!AN403</f>
        <v>0</v>
      </c>
      <c r="CH403" s="862">
        <f>+Details!AO403-Base!AO403</f>
        <v>0</v>
      </c>
      <c r="CI403" s="862">
        <f>+Details!AP403-Base!AP403</f>
        <v>0</v>
      </c>
      <c r="CJ403" s="862">
        <f>+Details!AQ403-Base!AQ403</f>
        <v>0</v>
      </c>
      <c r="CK403" s="862">
        <f>+Details!AR403-Base!AR403</f>
        <v>0</v>
      </c>
      <c r="CL403" s="862">
        <f>+Details!AS403-Base!AS403</f>
        <v>0</v>
      </c>
    </row>
    <row r="404" spans="2:90">
      <c r="B404" s="43"/>
      <c r="C404" s="136"/>
      <c r="E404" s="65"/>
      <c r="F404" s="135"/>
      <c r="G404" s="135"/>
      <c r="H404" s="135"/>
      <c r="I404" s="135"/>
      <c r="J404" s="135"/>
      <c r="K404" s="135"/>
      <c r="L404" s="135"/>
      <c r="M404" s="135"/>
      <c r="N404" s="135"/>
      <c r="O404" s="135"/>
      <c r="P404" s="135"/>
      <c r="Q404" s="135"/>
      <c r="R404" s="135"/>
      <c r="S404" s="135"/>
      <c r="T404" s="135"/>
      <c r="U404" s="135"/>
      <c r="V404" s="135"/>
      <c r="W404" s="135"/>
      <c r="X404" s="135"/>
      <c r="Y404" s="135"/>
      <c r="Z404" s="135"/>
      <c r="AA404" s="135"/>
      <c r="AB404" s="135"/>
      <c r="AC404" s="135"/>
      <c r="AD404" s="135"/>
      <c r="AE404" s="135"/>
      <c r="AF404" s="135"/>
      <c r="AG404" s="135"/>
      <c r="AH404" s="135"/>
      <c r="AI404" s="135"/>
      <c r="AJ404" s="135"/>
      <c r="AK404" s="135"/>
      <c r="AL404" s="135"/>
      <c r="AM404" s="135"/>
      <c r="AN404" s="135"/>
      <c r="AO404" s="135"/>
      <c r="AP404" s="135"/>
      <c r="AQ404" s="135"/>
      <c r="AR404" s="135"/>
      <c r="AS404" s="135"/>
      <c r="AT404" s="3"/>
      <c r="AW404" s="191"/>
      <c r="AZ404" s="135"/>
      <c r="BA404" s="135"/>
      <c r="BB404" s="135"/>
      <c r="BC404" s="135"/>
      <c r="BD404" s="135"/>
      <c r="BE404" s="135"/>
      <c r="BF404" s="135"/>
      <c r="BG404" s="135"/>
      <c r="BH404" s="135"/>
      <c r="BI404" s="135"/>
      <c r="BJ404" s="135"/>
      <c r="BK404" s="135"/>
      <c r="BL404" s="135"/>
      <c r="BM404" s="135"/>
      <c r="BN404" s="135"/>
      <c r="BO404" s="135"/>
      <c r="BP404" s="135"/>
      <c r="BQ404" s="135"/>
      <c r="BR404" s="135"/>
      <c r="BS404" s="135"/>
      <c r="BT404" s="135"/>
      <c r="BU404" s="135"/>
      <c r="BV404" s="135"/>
      <c r="BW404" s="135"/>
      <c r="BX404" s="135"/>
      <c r="BY404" s="135"/>
      <c r="BZ404" s="135"/>
      <c r="CA404" s="135"/>
      <c r="CB404" s="135"/>
      <c r="CC404" s="135"/>
      <c r="CD404" s="135"/>
      <c r="CE404" s="135"/>
      <c r="CF404" s="135"/>
      <c r="CG404" s="135"/>
      <c r="CH404" s="135"/>
      <c r="CI404" s="135"/>
      <c r="CJ404" s="135"/>
      <c r="CK404" s="135"/>
      <c r="CL404" s="135"/>
    </row>
    <row r="405" spans="2:90" ht="15.6">
      <c r="B405" s="861" t="s">
        <v>507</v>
      </c>
      <c r="C405" s="136"/>
      <c r="F405" s="92">
        <f>(+F395+F395+F398)/2</f>
        <v>200000</v>
      </c>
      <c r="G405" s="92">
        <f t="shared" ref="G405:AS405" si="329">(+G395+G395+G398)/2</f>
        <v>187100</v>
      </c>
      <c r="H405" s="92">
        <f t="shared" si="329"/>
        <v>186800</v>
      </c>
      <c r="I405" s="92">
        <f t="shared" si="329"/>
        <v>173800</v>
      </c>
      <c r="J405" s="92">
        <f t="shared" si="329"/>
        <v>160500</v>
      </c>
      <c r="K405" s="92">
        <f t="shared" si="329"/>
        <v>148300</v>
      </c>
      <c r="L405" s="92">
        <f t="shared" si="329"/>
        <v>156400</v>
      </c>
      <c r="M405" s="92">
        <f t="shared" si="329"/>
        <v>166100</v>
      </c>
      <c r="N405" s="92">
        <f t="shared" si="329"/>
        <v>175900</v>
      </c>
      <c r="O405" s="92">
        <f t="shared" si="329"/>
        <v>202800</v>
      </c>
      <c r="P405" s="92">
        <f t="shared" si="329"/>
        <v>238100</v>
      </c>
      <c r="Q405" s="92">
        <f t="shared" si="329"/>
        <v>194200</v>
      </c>
      <c r="R405" s="92">
        <f t="shared" si="329"/>
        <v>272100</v>
      </c>
      <c r="S405" s="92">
        <f t="shared" si="329"/>
        <v>296700</v>
      </c>
      <c r="T405" s="92">
        <f t="shared" si="329"/>
        <v>344500</v>
      </c>
      <c r="U405" s="92">
        <f t="shared" si="329"/>
        <v>301300</v>
      </c>
      <c r="V405" s="92">
        <f t="shared" si="329"/>
        <v>424600</v>
      </c>
      <c r="W405" s="92">
        <f t="shared" si="329"/>
        <v>480700</v>
      </c>
      <c r="X405" s="92">
        <f t="shared" si="329"/>
        <v>541400</v>
      </c>
      <c r="Y405" s="92">
        <f t="shared" si="329"/>
        <v>574700</v>
      </c>
      <c r="Z405" s="92">
        <f t="shared" si="329"/>
        <v>609500</v>
      </c>
      <c r="AA405" s="92">
        <f t="shared" si="329"/>
        <v>647200</v>
      </c>
      <c r="AB405" s="92">
        <f t="shared" si="329"/>
        <v>688000</v>
      </c>
      <c r="AC405" s="92">
        <f t="shared" si="329"/>
        <v>1136000</v>
      </c>
      <c r="AD405" s="92">
        <f t="shared" si="329"/>
        <v>1199500</v>
      </c>
      <c r="AE405" s="92">
        <f t="shared" si="329"/>
        <v>1337600</v>
      </c>
      <c r="AF405" s="92">
        <f t="shared" si="329"/>
        <v>1379900</v>
      </c>
      <c r="AG405" s="92">
        <f t="shared" si="329"/>
        <v>1423300</v>
      </c>
      <c r="AH405" s="92">
        <f t="shared" si="329"/>
        <v>1461500</v>
      </c>
      <c r="AI405" s="92">
        <f t="shared" si="329"/>
        <v>1499700</v>
      </c>
      <c r="AJ405" s="92">
        <f t="shared" si="329"/>
        <v>0</v>
      </c>
      <c r="AK405" s="92">
        <f t="shared" si="329"/>
        <v>0</v>
      </c>
      <c r="AL405" s="92">
        <f t="shared" si="329"/>
        <v>0</v>
      </c>
      <c r="AM405" s="92">
        <f t="shared" si="329"/>
        <v>0</v>
      </c>
      <c r="AN405" s="92">
        <f t="shared" si="329"/>
        <v>0</v>
      </c>
      <c r="AO405" s="92">
        <f t="shared" si="329"/>
        <v>0</v>
      </c>
      <c r="AP405" s="92">
        <f t="shared" si="329"/>
        <v>0</v>
      </c>
      <c r="AQ405" s="92">
        <f t="shared" si="329"/>
        <v>0</v>
      </c>
      <c r="AR405" s="92">
        <f t="shared" si="329"/>
        <v>0</v>
      </c>
      <c r="AS405" s="92">
        <f t="shared" si="329"/>
        <v>0</v>
      </c>
      <c r="AT405" s="3"/>
      <c r="AY405" s="31">
        <f>+Details!F405-Base!F405</f>
        <v>0</v>
      </c>
      <c r="AZ405" s="92">
        <f>+Details!G405-Base!G405</f>
        <v>0</v>
      </c>
      <c r="BA405" s="92">
        <f>+Details!H405-Base!H405</f>
        <v>0</v>
      </c>
      <c r="BB405" s="92">
        <f>+Details!I405-Base!I405</f>
        <v>0</v>
      </c>
      <c r="BC405" s="92">
        <f>+Details!J405-Base!J405</f>
        <v>0</v>
      </c>
      <c r="BD405" s="92">
        <f>+Details!K405-Base!K405</f>
        <v>0</v>
      </c>
      <c r="BE405" s="92">
        <f>+Details!L405-Base!L405</f>
        <v>0</v>
      </c>
      <c r="BF405" s="92">
        <f>+Details!M405-Base!M405</f>
        <v>0</v>
      </c>
      <c r="BG405" s="92">
        <f>+Details!N405-Base!N405</f>
        <v>0</v>
      </c>
      <c r="BH405" s="92">
        <f>+Details!O405-Base!O405</f>
        <v>0</v>
      </c>
      <c r="BI405" s="92">
        <f>+Details!P405-Base!P405</f>
        <v>0</v>
      </c>
      <c r="BJ405" s="92">
        <f>+Details!Q405-Base!Q405</f>
        <v>0</v>
      </c>
      <c r="BK405" s="92">
        <f>+Details!R405-Base!R405</f>
        <v>0</v>
      </c>
      <c r="BL405" s="92">
        <f>+Details!S405-Base!S405</f>
        <v>0</v>
      </c>
      <c r="BM405" s="92">
        <f>+Details!T405-Base!T405</f>
        <v>0</v>
      </c>
      <c r="BN405" s="92">
        <f>+Details!U405-Base!U405</f>
        <v>0</v>
      </c>
      <c r="BO405" s="92">
        <f>+Details!V405-Base!V405</f>
        <v>0</v>
      </c>
      <c r="BP405" s="92">
        <f>+Details!W405-Base!W405</f>
        <v>0</v>
      </c>
      <c r="BQ405" s="92">
        <f>+Details!X405-Base!X405</f>
        <v>0</v>
      </c>
      <c r="BR405" s="92">
        <f>+Details!Y405-Base!Y405</f>
        <v>0</v>
      </c>
      <c r="BS405" s="92">
        <f>+Details!Z405-Base!Z405</f>
        <v>0</v>
      </c>
      <c r="BT405" s="92">
        <f>+Details!AA405-Base!AA405</f>
        <v>0</v>
      </c>
      <c r="BU405" s="92">
        <f>+Details!AB405-Base!AB405</f>
        <v>0</v>
      </c>
      <c r="BV405" s="92">
        <f>+Details!AC405-Base!AC405</f>
        <v>0</v>
      </c>
      <c r="BW405" s="92">
        <f>+Details!AD405-Base!AD405</f>
        <v>0</v>
      </c>
      <c r="BX405" s="92">
        <f>+Details!AE405-Base!AE405</f>
        <v>0</v>
      </c>
      <c r="BY405" s="92">
        <f>+Details!AF405-Base!AF405</f>
        <v>0</v>
      </c>
      <c r="BZ405" s="92">
        <f>+Details!AG405-Base!AG405</f>
        <v>0</v>
      </c>
      <c r="CA405" s="92">
        <f>+Details!AH405-Base!AH405</f>
        <v>0</v>
      </c>
      <c r="CB405" s="92">
        <f>+Details!AI405-Base!AI405</f>
        <v>0</v>
      </c>
      <c r="CC405" s="92">
        <f>+Details!AJ405-Base!AJ405</f>
        <v>0</v>
      </c>
      <c r="CD405" s="92">
        <f>+Details!AK405-Base!AK405</f>
        <v>0</v>
      </c>
      <c r="CE405" s="92">
        <f>+Details!AL405-Base!AL405</f>
        <v>0</v>
      </c>
      <c r="CF405" s="92">
        <f>+Details!AM405-Base!AM405</f>
        <v>0</v>
      </c>
      <c r="CG405" s="92">
        <f>+Details!AN405-Base!AN405</f>
        <v>0</v>
      </c>
      <c r="CH405" s="92">
        <f>+Details!AO405-Base!AO405</f>
        <v>0</v>
      </c>
      <c r="CI405" s="92">
        <f>+Details!AP405-Base!AP405</f>
        <v>0</v>
      </c>
      <c r="CJ405" s="92">
        <f>+Details!AQ405-Base!AQ405</f>
        <v>0</v>
      </c>
      <c r="CK405" s="92">
        <f>+Details!AR405-Base!AR405</f>
        <v>0</v>
      </c>
      <c r="CL405" s="92">
        <f>+Details!AS405-Base!AS405</f>
        <v>0</v>
      </c>
    </row>
    <row r="406" spans="2:90">
      <c r="B406" s="43"/>
      <c r="C406" s="136"/>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2"/>
      <c r="AK406" s="92"/>
      <c r="AL406" s="92"/>
      <c r="AM406" s="92"/>
      <c r="AN406" s="92"/>
      <c r="AO406" s="92"/>
      <c r="AP406" s="92"/>
      <c r="AQ406" s="92"/>
      <c r="AR406" s="92"/>
      <c r="AS406" s="92"/>
      <c r="AT406" s="3"/>
      <c r="AZ406" s="92"/>
      <c r="BA406" s="92"/>
      <c r="BB406" s="92"/>
      <c r="BC406" s="92"/>
      <c r="BD406" s="92"/>
      <c r="BE406" s="92"/>
      <c r="BF406" s="92"/>
      <c r="BG406" s="92"/>
      <c r="BH406" s="92"/>
      <c r="BI406" s="92"/>
      <c r="BJ406" s="92"/>
      <c r="BK406" s="92"/>
      <c r="BL406" s="92"/>
      <c r="BM406" s="92"/>
      <c r="BN406" s="92"/>
      <c r="BO406" s="92"/>
      <c r="BP406" s="92"/>
      <c r="BQ406" s="92"/>
      <c r="BR406" s="92"/>
      <c r="BS406" s="92"/>
      <c r="BT406" s="92"/>
      <c r="BU406" s="92"/>
      <c r="BV406" s="92"/>
      <c r="BW406" s="92"/>
      <c r="BX406" s="92"/>
      <c r="BY406" s="92"/>
      <c r="BZ406" s="92"/>
      <c r="CA406" s="92"/>
      <c r="CB406" s="92"/>
      <c r="CC406" s="92"/>
      <c r="CD406" s="92"/>
      <c r="CE406" s="92"/>
      <c r="CF406" s="92"/>
      <c r="CG406" s="92"/>
      <c r="CH406" s="92"/>
      <c r="CI406" s="92"/>
      <c r="CJ406" s="92"/>
      <c r="CK406" s="92"/>
      <c r="CL406" s="92"/>
    </row>
    <row r="407" spans="2:90" ht="15.6">
      <c r="B407" s="861" t="s">
        <v>508</v>
      </c>
      <c r="C407" s="136"/>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2"/>
      <c r="AK407" s="92"/>
      <c r="AL407" s="92"/>
      <c r="AM407" s="92"/>
      <c r="AN407" s="92"/>
      <c r="AO407" s="92"/>
      <c r="AP407" s="92"/>
      <c r="AQ407" s="92"/>
      <c r="AR407" s="92"/>
      <c r="AS407" s="92"/>
      <c r="AT407" s="3"/>
      <c r="AZ407" s="92"/>
      <c r="BA407" s="92"/>
      <c r="BB407" s="92"/>
      <c r="BC407" s="92"/>
      <c r="BD407" s="92"/>
      <c r="BE407" s="92"/>
      <c r="BF407" s="92"/>
      <c r="BG407" s="92"/>
      <c r="BH407" s="92"/>
      <c r="BI407" s="92"/>
      <c r="BJ407" s="92"/>
      <c r="BK407" s="92"/>
      <c r="BL407" s="92"/>
      <c r="BM407" s="92"/>
      <c r="BN407" s="92"/>
      <c r="BO407" s="92"/>
      <c r="BP407" s="92"/>
      <c r="BQ407" s="92"/>
      <c r="BR407" s="92"/>
      <c r="BS407" s="92"/>
      <c r="BT407" s="92"/>
      <c r="BU407" s="92"/>
      <c r="BV407" s="92"/>
      <c r="BW407" s="92"/>
      <c r="BX407" s="92"/>
      <c r="BY407" s="92"/>
      <c r="BZ407" s="92"/>
      <c r="CA407" s="92"/>
      <c r="CB407" s="92"/>
      <c r="CC407" s="92"/>
      <c r="CD407" s="92"/>
      <c r="CE407" s="92"/>
      <c r="CF407" s="92"/>
      <c r="CG407" s="92"/>
      <c r="CH407" s="92"/>
      <c r="CI407" s="92"/>
      <c r="CJ407" s="92"/>
      <c r="CK407" s="92"/>
      <c r="CL407" s="92"/>
    </row>
    <row r="408" spans="2:90">
      <c r="B408" s="43" t="s">
        <v>756</v>
      </c>
      <c r="C408" s="136"/>
      <c r="F408" s="92">
        <f t="shared" ref="F408:AS411" si="330">(+F391+(F391+F399))/2</f>
        <v>86062.5</v>
      </c>
      <c r="G408" s="92">
        <f t="shared" si="330"/>
        <v>83700</v>
      </c>
      <c r="H408" s="92">
        <f t="shared" si="330"/>
        <v>80257.5</v>
      </c>
      <c r="I408" s="92">
        <f t="shared" si="330"/>
        <v>74497.5</v>
      </c>
      <c r="J408" s="92">
        <f t="shared" si="330"/>
        <v>68917.5</v>
      </c>
      <c r="K408" s="92">
        <f t="shared" si="330"/>
        <v>68557.5</v>
      </c>
      <c r="L408" s="92">
        <f t="shared" si="330"/>
        <v>72450</v>
      </c>
      <c r="M408" s="92">
        <f t="shared" si="330"/>
        <v>77062.5</v>
      </c>
      <c r="N408" s="92">
        <f t="shared" si="330"/>
        <v>84150</v>
      </c>
      <c r="O408" s="92">
        <f t="shared" si="330"/>
        <v>97830</v>
      </c>
      <c r="P408" s="92">
        <f t="shared" si="330"/>
        <v>95962.5</v>
      </c>
      <c r="Q408" s="92">
        <f t="shared" si="330"/>
        <v>103522.5</v>
      </c>
      <c r="R408" s="92">
        <f t="shared" si="330"/>
        <v>126360</v>
      </c>
      <c r="S408" s="92">
        <f t="shared" si="330"/>
        <v>142357.5</v>
      </c>
      <c r="T408" s="92">
        <f t="shared" si="330"/>
        <v>144112.5</v>
      </c>
      <c r="U408" s="92">
        <f t="shared" si="330"/>
        <v>162112.5</v>
      </c>
      <c r="V408" s="92">
        <f t="shared" si="330"/>
        <v>201420</v>
      </c>
      <c r="W408" s="92">
        <f t="shared" si="330"/>
        <v>227160</v>
      </c>
      <c r="X408" s="92">
        <f t="shared" si="330"/>
        <v>140367.5</v>
      </c>
      <c r="Y408" s="92">
        <f t="shared" si="330"/>
        <v>148782.5</v>
      </c>
      <c r="Z408" s="92">
        <f t="shared" si="330"/>
        <v>157910</v>
      </c>
      <c r="AA408" s="92">
        <f t="shared" si="330"/>
        <v>167830</v>
      </c>
      <c r="AB408" s="92">
        <f t="shared" si="330"/>
        <v>268502.5</v>
      </c>
      <c r="AC408" s="92">
        <f t="shared" si="330"/>
        <v>292055</v>
      </c>
      <c r="AD408" s="92">
        <f t="shared" si="330"/>
        <v>324872.5</v>
      </c>
      <c r="AE408" s="92">
        <f t="shared" si="330"/>
        <v>337257.5</v>
      </c>
      <c r="AF408" s="92">
        <f t="shared" si="330"/>
        <v>347787.5</v>
      </c>
      <c r="AG408" s="92">
        <f t="shared" si="330"/>
        <v>356635</v>
      </c>
      <c r="AH408" s="92">
        <f t="shared" si="330"/>
        <v>365802.5</v>
      </c>
      <c r="AI408" s="92">
        <f t="shared" si="330"/>
        <v>375352.5</v>
      </c>
      <c r="AJ408" s="92">
        <f t="shared" si="330"/>
        <v>0</v>
      </c>
      <c r="AK408" s="92">
        <f t="shared" si="330"/>
        <v>0</v>
      </c>
      <c r="AL408" s="92">
        <f t="shared" si="330"/>
        <v>0</v>
      </c>
      <c r="AM408" s="92">
        <f t="shared" si="330"/>
        <v>0</v>
      </c>
      <c r="AN408" s="92">
        <f t="shared" si="330"/>
        <v>0</v>
      </c>
      <c r="AO408" s="92">
        <f t="shared" si="330"/>
        <v>0</v>
      </c>
      <c r="AP408" s="92">
        <f t="shared" si="330"/>
        <v>0</v>
      </c>
      <c r="AQ408" s="92">
        <f t="shared" si="330"/>
        <v>0</v>
      </c>
      <c r="AR408" s="92">
        <f t="shared" si="330"/>
        <v>0</v>
      </c>
      <c r="AS408" s="92">
        <f t="shared" si="330"/>
        <v>0</v>
      </c>
      <c r="AT408" s="3"/>
      <c r="AY408" s="31">
        <f>+Details!F408-Base!F408</f>
        <v>0</v>
      </c>
      <c r="AZ408" s="92">
        <f>+Details!G408-Base!G408</f>
        <v>0</v>
      </c>
      <c r="BA408" s="92">
        <f>+Details!H408-Base!H408</f>
        <v>0</v>
      </c>
      <c r="BB408" s="92">
        <f>+Details!I408-Base!I408</f>
        <v>0</v>
      </c>
      <c r="BC408" s="92">
        <f>+Details!J408-Base!J408</f>
        <v>0</v>
      </c>
      <c r="BD408" s="92">
        <f>+Details!K408-Base!K408</f>
        <v>0</v>
      </c>
      <c r="BE408" s="92">
        <f>+Details!L408-Base!L408</f>
        <v>0</v>
      </c>
      <c r="BF408" s="92">
        <f>+Details!M408-Base!M408</f>
        <v>0</v>
      </c>
      <c r="BG408" s="92">
        <f>+Details!N408-Base!N408</f>
        <v>0</v>
      </c>
      <c r="BH408" s="92">
        <f>+Details!O408-Base!O408</f>
        <v>0</v>
      </c>
      <c r="BI408" s="92">
        <f>+Details!P408-Base!P408</f>
        <v>0</v>
      </c>
      <c r="BJ408" s="92">
        <f>+Details!Q408-Base!Q408</f>
        <v>0</v>
      </c>
      <c r="BK408" s="92">
        <f>+Details!R408-Base!R408</f>
        <v>0</v>
      </c>
      <c r="BL408" s="92">
        <f>+Details!S408-Base!S408</f>
        <v>0</v>
      </c>
      <c r="BM408" s="92">
        <f>+Details!T408-Base!T408</f>
        <v>0</v>
      </c>
      <c r="BN408" s="92">
        <f>+Details!U408-Base!U408</f>
        <v>0</v>
      </c>
      <c r="BO408" s="92">
        <f>+Details!V408-Base!V408</f>
        <v>0</v>
      </c>
      <c r="BP408" s="92">
        <f>+Details!W408-Base!W408</f>
        <v>0</v>
      </c>
      <c r="BQ408" s="92">
        <f>+Details!X408-Base!X408</f>
        <v>0</v>
      </c>
      <c r="BR408" s="92">
        <f>+Details!Y408-Base!Y408</f>
        <v>0</v>
      </c>
      <c r="BS408" s="92">
        <f>+Details!Z408-Base!Z408</f>
        <v>0</v>
      </c>
      <c r="BT408" s="92">
        <f>+Details!AA408-Base!AA408</f>
        <v>0</v>
      </c>
      <c r="BU408" s="92">
        <f>+Details!AB408-Base!AB408</f>
        <v>0</v>
      </c>
      <c r="BV408" s="92">
        <f>+Details!AC408-Base!AC408</f>
        <v>0</v>
      </c>
      <c r="BW408" s="92">
        <f>+Details!AD408-Base!AD408</f>
        <v>0</v>
      </c>
      <c r="BX408" s="92">
        <f>+Details!AE408-Base!AE408</f>
        <v>0</v>
      </c>
      <c r="BY408" s="92">
        <f>+Details!AF408-Base!AF408</f>
        <v>0</v>
      </c>
      <c r="BZ408" s="92">
        <f>+Details!AG408-Base!AG408</f>
        <v>0</v>
      </c>
      <c r="CA408" s="92">
        <f>+Details!AH408-Base!AH408</f>
        <v>0</v>
      </c>
      <c r="CB408" s="92">
        <f>+Details!AI408-Base!AI408</f>
        <v>0</v>
      </c>
      <c r="CC408" s="92">
        <f>+Details!AJ408-Base!AJ408</f>
        <v>0</v>
      </c>
      <c r="CD408" s="92">
        <f>+Details!AK408-Base!AK408</f>
        <v>0</v>
      </c>
      <c r="CE408" s="92">
        <f>+Details!AL408-Base!AL408</f>
        <v>0</v>
      </c>
      <c r="CF408" s="92">
        <f>+Details!AM408-Base!AM408</f>
        <v>0</v>
      </c>
      <c r="CG408" s="92">
        <f>+Details!AN408-Base!AN408</f>
        <v>0</v>
      </c>
      <c r="CH408" s="92">
        <f>+Details!AO408-Base!AO408</f>
        <v>0</v>
      </c>
      <c r="CI408" s="92">
        <f>+Details!AP408-Base!AP408</f>
        <v>0</v>
      </c>
      <c r="CJ408" s="92">
        <f>+Details!AQ408-Base!AQ408</f>
        <v>0</v>
      </c>
      <c r="CK408" s="92">
        <f>+Details!AR408-Base!AR408</f>
        <v>0</v>
      </c>
      <c r="CL408" s="92">
        <f>+Details!AS408-Base!AS408</f>
        <v>0</v>
      </c>
    </row>
    <row r="409" spans="2:90">
      <c r="B409" s="43" t="s">
        <v>757</v>
      </c>
      <c r="C409" s="136"/>
      <c r="F409" s="92">
        <f t="shared" si="330"/>
        <v>0</v>
      </c>
      <c r="G409" s="92">
        <f t="shared" si="330"/>
        <v>0</v>
      </c>
      <c r="H409" s="92">
        <f t="shared" si="330"/>
        <v>0</v>
      </c>
      <c r="I409" s="92">
        <f t="shared" si="330"/>
        <v>0</v>
      </c>
      <c r="J409" s="92">
        <f t="shared" si="330"/>
        <v>0</v>
      </c>
      <c r="K409" s="92">
        <f t="shared" si="330"/>
        <v>0</v>
      </c>
      <c r="L409" s="92">
        <f t="shared" si="330"/>
        <v>0</v>
      </c>
      <c r="M409" s="92">
        <f t="shared" si="330"/>
        <v>0</v>
      </c>
      <c r="N409" s="92">
        <f t="shared" si="330"/>
        <v>0</v>
      </c>
      <c r="O409" s="92">
        <f t="shared" si="330"/>
        <v>0</v>
      </c>
      <c r="P409" s="92">
        <f t="shared" si="330"/>
        <v>0</v>
      </c>
      <c r="Q409" s="92">
        <f t="shared" si="330"/>
        <v>0</v>
      </c>
      <c r="R409" s="92">
        <f t="shared" si="330"/>
        <v>0</v>
      </c>
      <c r="S409" s="92">
        <f t="shared" si="330"/>
        <v>0</v>
      </c>
      <c r="T409" s="92">
        <f t="shared" si="330"/>
        <v>0</v>
      </c>
      <c r="U409" s="92">
        <f t="shared" si="330"/>
        <v>0</v>
      </c>
      <c r="V409" s="92">
        <f t="shared" si="330"/>
        <v>0</v>
      </c>
      <c r="W409" s="92">
        <f t="shared" si="330"/>
        <v>0</v>
      </c>
      <c r="X409" s="92">
        <f t="shared" si="330"/>
        <v>0</v>
      </c>
      <c r="Y409" s="92">
        <f t="shared" si="330"/>
        <v>0</v>
      </c>
      <c r="Z409" s="92">
        <f t="shared" si="330"/>
        <v>0</v>
      </c>
      <c r="AA409" s="92">
        <f t="shared" si="330"/>
        <v>0</v>
      </c>
      <c r="AB409" s="92">
        <f t="shared" si="330"/>
        <v>0</v>
      </c>
      <c r="AC409" s="92">
        <f t="shared" si="330"/>
        <v>0</v>
      </c>
      <c r="AD409" s="92">
        <f t="shared" si="330"/>
        <v>0</v>
      </c>
      <c r="AE409" s="92">
        <f t="shared" si="330"/>
        <v>0</v>
      </c>
      <c r="AF409" s="92">
        <f t="shared" si="330"/>
        <v>0</v>
      </c>
      <c r="AG409" s="92">
        <f t="shared" si="330"/>
        <v>0</v>
      </c>
      <c r="AH409" s="92">
        <f t="shared" si="330"/>
        <v>0</v>
      </c>
      <c r="AI409" s="92">
        <f t="shared" si="330"/>
        <v>0</v>
      </c>
      <c r="AJ409" s="92">
        <f t="shared" si="330"/>
        <v>0</v>
      </c>
      <c r="AK409" s="92">
        <f t="shared" si="330"/>
        <v>0</v>
      </c>
      <c r="AL409" s="92">
        <f t="shared" si="330"/>
        <v>0</v>
      </c>
      <c r="AM409" s="92">
        <f t="shared" si="330"/>
        <v>0</v>
      </c>
      <c r="AN409" s="92">
        <f t="shared" si="330"/>
        <v>0</v>
      </c>
      <c r="AO409" s="92">
        <f t="shared" si="330"/>
        <v>0</v>
      </c>
      <c r="AP409" s="92">
        <f t="shared" si="330"/>
        <v>0</v>
      </c>
      <c r="AQ409" s="92">
        <f t="shared" si="330"/>
        <v>0</v>
      </c>
      <c r="AR409" s="92">
        <f t="shared" si="330"/>
        <v>0</v>
      </c>
      <c r="AS409" s="92">
        <f t="shared" si="330"/>
        <v>0</v>
      </c>
      <c r="AT409" s="3"/>
      <c r="AY409" s="31">
        <f>+Details!F409-Base!F409</f>
        <v>0</v>
      </c>
      <c r="AZ409" s="92">
        <f>+Details!G409-Base!G409</f>
        <v>0</v>
      </c>
      <c r="BA409" s="92">
        <f>+Details!H409-Base!H409</f>
        <v>0</v>
      </c>
      <c r="BB409" s="92">
        <f>+Details!I409-Base!I409</f>
        <v>0</v>
      </c>
      <c r="BC409" s="92">
        <f>+Details!J409-Base!J409</f>
        <v>0</v>
      </c>
      <c r="BD409" s="92">
        <f>+Details!K409-Base!K409</f>
        <v>0</v>
      </c>
      <c r="BE409" s="92">
        <f>+Details!L409-Base!L409</f>
        <v>0</v>
      </c>
      <c r="BF409" s="92">
        <f>+Details!M409-Base!M409</f>
        <v>0</v>
      </c>
      <c r="BG409" s="92">
        <f>+Details!N409-Base!N409</f>
        <v>0</v>
      </c>
      <c r="BH409" s="92">
        <f>+Details!O409-Base!O409</f>
        <v>0</v>
      </c>
      <c r="BI409" s="92">
        <f>+Details!P409-Base!P409</f>
        <v>0</v>
      </c>
      <c r="BJ409" s="92">
        <f>+Details!Q409-Base!Q409</f>
        <v>0</v>
      </c>
      <c r="BK409" s="92">
        <f>+Details!R409-Base!R409</f>
        <v>0</v>
      </c>
      <c r="BL409" s="92">
        <f>+Details!S409-Base!S409</f>
        <v>0</v>
      </c>
      <c r="BM409" s="92">
        <f>+Details!T409-Base!T409</f>
        <v>0</v>
      </c>
      <c r="BN409" s="92">
        <f>+Details!U409-Base!U409</f>
        <v>0</v>
      </c>
      <c r="BO409" s="92">
        <f>+Details!V409-Base!V409</f>
        <v>0</v>
      </c>
      <c r="BP409" s="92">
        <f>+Details!W409-Base!W409</f>
        <v>0</v>
      </c>
      <c r="BQ409" s="92">
        <f>+Details!X409-Base!X409</f>
        <v>0</v>
      </c>
      <c r="BR409" s="92">
        <f>+Details!Y409-Base!Y409</f>
        <v>0</v>
      </c>
      <c r="BS409" s="92">
        <f>+Details!Z409-Base!Z409</f>
        <v>0</v>
      </c>
      <c r="BT409" s="92">
        <f>+Details!AA409-Base!AA409</f>
        <v>0</v>
      </c>
      <c r="BU409" s="92">
        <f>+Details!AB409-Base!AB409</f>
        <v>0</v>
      </c>
      <c r="BV409" s="92">
        <f>+Details!AC409-Base!AC409</f>
        <v>0</v>
      </c>
      <c r="BW409" s="92">
        <f>+Details!AD409-Base!AD409</f>
        <v>0</v>
      </c>
      <c r="BX409" s="92">
        <f>+Details!AE409-Base!AE409</f>
        <v>0</v>
      </c>
      <c r="BY409" s="92">
        <f>+Details!AF409-Base!AF409</f>
        <v>0</v>
      </c>
      <c r="BZ409" s="92">
        <f>+Details!AG409-Base!AG409</f>
        <v>0</v>
      </c>
      <c r="CA409" s="92">
        <f>+Details!AH409-Base!AH409</f>
        <v>0</v>
      </c>
      <c r="CB409" s="92">
        <f>+Details!AI409-Base!AI409</f>
        <v>0</v>
      </c>
      <c r="CC409" s="92">
        <f>+Details!AJ409-Base!AJ409</f>
        <v>0</v>
      </c>
      <c r="CD409" s="92">
        <f>+Details!AK409-Base!AK409</f>
        <v>0</v>
      </c>
      <c r="CE409" s="92">
        <f>+Details!AL409-Base!AL409</f>
        <v>0</v>
      </c>
      <c r="CF409" s="92">
        <f>+Details!AM409-Base!AM409</f>
        <v>0</v>
      </c>
      <c r="CG409" s="92">
        <f>+Details!AN409-Base!AN409</f>
        <v>0</v>
      </c>
      <c r="CH409" s="92">
        <f>+Details!AO409-Base!AO409</f>
        <v>0</v>
      </c>
      <c r="CI409" s="92">
        <f>+Details!AP409-Base!AP409</f>
        <v>0</v>
      </c>
      <c r="CJ409" s="92">
        <f>+Details!AQ409-Base!AQ409</f>
        <v>0</v>
      </c>
      <c r="CK409" s="92">
        <f>+Details!AR409-Base!AR409</f>
        <v>0</v>
      </c>
      <c r="CL409" s="92">
        <f>+Details!AS409-Base!AS409</f>
        <v>0</v>
      </c>
    </row>
    <row r="410" spans="2:90">
      <c r="B410" s="43" t="s">
        <v>849</v>
      </c>
      <c r="C410" s="136"/>
      <c r="F410" s="92">
        <f t="shared" si="330"/>
        <v>95625</v>
      </c>
      <c r="G410" s="92">
        <f t="shared" si="330"/>
        <v>93000</v>
      </c>
      <c r="H410" s="92">
        <f t="shared" si="330"/>
        <v>89175</v>
      </c>
      <c r="I410" s="92">
        <f t="shared" si="330"/>
        <v>82775</v>
      </c>
      <c r="J410" s="92">
        <f t="shared" si="330"/>
        <v>76575</v>
      </c>
      <c r="K410" s="92">
        <f t="shared" si="330"/>
        <v>76175</v>
      </c>
      <c r="L410" s="92">
        <f t="shared" si="330"/>
        <v>80500</v>
      </c>
      <c r="M410" s="92">
        <f t="shared" si="330"/>
        <v>85625</v>
      </c>
      <c r="N410" s="92">
        <f t="shared" si="330"/>
        <v>93500</v>
      </c>
      <c r="O410" s="92">
        <f t="shared" si="330"/>
        <v>108700</v>
      </c>
      <c r="P410" s="92">
        <f t="shared" si="330"/>
        <v>106625</v>
      </c>
      <c r="Q410" s="92">
        <f t="shared" si="330"/>
        <v>115025</v>
      </c>
      <c r="R410" s="92">
        <f t="shared" si="330"/>
        <v>140400</v>
      </c>
      <c r="S410" s="92">
        <f t="shared" si="330"/>
        <v>158175</v>
      </c>
      <c r="T410" s="92">
        <f t="shared" si="330"/>
        <v>160125</v>
      </c>
      <c r="U410" s="92">
        <f t="shared" si="330"/>
        <v>180125</v>
      </c>
      <c r="V410" s="92">
        <f t="shared" si="330"/>
        <v>223800</v>
      </c>
      <c r="W410" s="92">
        <f t="shared" si="330"/>
        <v>252400</v>
      </c>
      <c r="X410" s="92">
        <f t="shared" si="330"/>
        <v>384555</v>
      </c>
      <c r="Y410" s="92">
        <f t="shared" si="330"/>
        <v>407965</v>
      </c>
      <c r="Z410" s="92">
        <f t="shared" si="330"/>
        <v>432800</v>
      </c>
      <c r="AA410" s="92">
        <f t="shared" si="330"/>
        <v>459740</v>
      </c>
      <c r="AB410" s="92">
        <f t="shared" si="330"/>
        <v>588825</v>
      </c>
      <c r="AC410" s="92">
        <f t="shared" si="330"/>
        <v>804150</v>
      </c>
      <c r="AD410" s="92">
        <f t="shared" si="330"/>
        <v>867425</v>
      </c>
      <c r="AE410" s="92">
        <f t="shared" si="330"/>
        <v>939494.99999999988</v>
      </c>
      <c r="AF410" s="92">
        <f t="shared" si="330"/>
        <v>969054.99999999988</v>
      </c>
      <c r="AG410" s="92">
        <f t="shared" si="330"/>
        <v>997209.99999999988</v>
      </c>
      <c r="AH410" s="92">
        <f t="shared" si="330"/>
        <v>1023524.9999999999</v>
      </c>
      <c r="AI410" s="92">
        <f t="shared" si="330"/>
        <v>1050265</v>
      </c>
      <c r="AJ410" s="92">
        <f t="shared" si="330"/>
        <v>0</v>
      </c>
      <c r="AK410" s="92">
        <f t="shared" si="330"/>
        <v>0</v>
      </c>
      <c r="AL410" s="92">
        <f t="shared" si="330"/>
        <v>0</v>
      </c>
      <c r="AM410" s="92">
        <f t="shared" si="330"/>
        <v>0</v>
      </c>
      <c r="AN410" s="92">
        <f t="shared" si="330"/>
        <v>0</v>
      </c>
      <c r="AO410" s="92">
        <f t="shared" si="330"/>
        <v>0</v>
      </c>
      <c r="AP410" s="92">
        <f t="shared" si="330"/>
        <v>0</v>
      </c>
      <c r="AQ410" s="92">
        <f t="shared" si="330"/>
        <v>0</v>
      </c>
      <c r="AR410" s="92">
        <f t="shared" si="330"/>
        <v>0</v>
      </c>
      <c r="AS410" s="92">
        <f t="shared" si="330"/>
        <v>0</v>
      </c>
      <c r="AT410" s="3"/>
      <c r="AY410" s="31">
        <f>+Details!F410-Base!F410</f>
        <v>0</v>
      </c>
      <c r="AZ410" s="92">
        <f>+Details!G410-Base!G410</f>
        <v>0</v>
      </c>
      <c r="BA410" s="92">
        <f>+Details!H410-Base!H410</f>
        <v>0</v>
      </c>
      <c r="BB410" s="92">
        <f>+Details!I410-Base!I410</f>
        <v>0</v>
      </c>
      <c r="BC410" s="92">
        <f>+Details!J410-Base!J410</f>
        <v>0</v>
      </c>
      <c r="BD410" s="92">
        <f>+Details!K410-Base!K410</f>
        <v>0</v>
      </c>
      <c r="BE410" s="92">
        <f>+Details!L410-Base!L410</f>
        <v>0</v>
      </c>
      <c r="BF410" s="92">
        <f>+Details!M410-Base!M410</f>
        <v>0</v>
      </c>
      <c r="BG410" s="92">
        <f>+Details!N410-Base!N410</f>
        <v>0</v>
      </c>
      <c r="BH410" s="92">
        <f>+Details!O410-Base!O410</f>
        <v>0</v>
      </c>
      <c r="BI410" s="92">
        <f>+Details!P410-Base!P410</f>
        <v>0</v>
      </c>
      <c r="BJ410" s="92">
        <f>+Details!Q410-Base!Q410</f>
        <v>0</v>
      </c>
      <c r="BK410" s="92">
        <f>+Details!R410-Base!R410</f>
        <v>0</v>
      </c>
      <c r="BL410" s="92">
        <f>+Details!S410-Base!S410</f>
        <v>0</v>
      </c>
      <c r="BM410" s="92">
        <f>+Details!T410-Base!T410</f>
        <v>0</v>
      </c>
      <c r="BN410" s="92">
        <f>+Details!U410-Base!U410</f>
        <v>0</v>
      </c>
      <c r="BO410" s="92">
        <f>+Details!V410-Base!V410</f>
        <v>0</v>
      </c>
      <c r="BP410" s="92">
        <f>+Details!W410-Base!W410</f>
        <v>0</v>
      </c>
      <c r="BQ410" s="92">
        <f>+Details!X410-Base!X410</f>
        <v>0</v>
      </c>
      <c r="BR410" s="92">
        <f>+Details!Y410-Base!Y410</f>
        <v>0</v>
      </c>
      <c r="BS410" s="92">
        <f>+Details!Z410-Base!Z410</f>
        <v>0</v>
      </c>
      <c r="BT410" s="92">
        <f>+Details!AA410-Base!AA410</f>
        <v>0</v>
      </c>
      <c r="BU410" s="92">
        <f>+Details!AB410-Base!AB410</f>
        <v>0</v>
      </c>
      <c r="BV410" s="92">
        <f>+Details!AC410-Base!AC410</f>
        <v>0</v>
      </c>
      <c r="BW410" s="92">
        <f>+Details!AD410-Base!AD410</f>
        <v>0</v>
      </c>
      <c r="BX410" s="92">
        <f>+Details!AE410-Base!AE410</f>
        <v>0</v>
      </c>
      <c r="BY410" s="92">
        <f>+Details!AF410-Base!AF410</f>
        <v>0</v>
      </c>
      <c r="BZ410" s="92">
        <f>+Details!AG410-Base!AG410</f>
        <v>0</v>
      </c>
      <c r="CA410" s="92">
        <f>+Details!AH410-Base!AH410</f>
        <v>0</v>
      </c>
      <c r="CB410" s="92">
        <f>+Details!AI410-Base!AI410</f>
        <v>0</v>
      </c>
      <c r="CC410" s="92">
        <f>+Details!AJ410-Base!AJ410</f>
        <v>0</v>
      </c>
      <c r="CD410" s="92">
        <f>+Details!AK410-Base!AK410</f>
        <v>0</v>
      </c>
      <c r="CE410" s="92">
        <f>+Details!AL410-Base!AL410</f>
        <v>0</v>
      </c>
      <c r="CF410" s="92">
        <f>+Details!AM410-Base!AM410</f>
        <v>0</v>
      </c>
      <c r="CG410" s="92">
        <f>+Details!AN410-Base!AN410</f>
        <v>0</v>
      </c>
      <c r="CH410" s="92">
        <f>+Details!AO410-Base!AO410</f>
        <v>0</v>
      </c>
      <c r="CI410" s="92">
        <f>+Details!AP410-Base!AP410</f>
        <v>0</v>
      </c>
      <c r="CJ410" s="92">
        <f>+Details!AQ410-Base!AQ410</f>
        <v>0</v>
      </c>
      <c r="CK410" s="92">
        <f>+Details!AR410-Base!AR410</f>
        <v>0</v>
      </c>
      <c r="CL410" s="92">
        <f>+Details!AS410-Base!AS410</f>
        <v>0</v>
      </c>
    </row>
    <row r="411" spans="2:90">
      <c r="B411" s="43" t="s">
        <v>1600</v>
      </c>
      <c r="C411" s="136"/>
      <c r="F411" s="92">
        <f t="shared" si="330"/>
        <v>9562.5</v>
      </c>
      <c r="G411" s="92">
        <f t="shared" si="330"/>
        <v>9300</v>
      </c>
      <c r="H411" s="92">
        <f t="shared" si="330"/>
        <v>8917.5</v>
      </c>
      <c r="I411" s="92">
        <f t="shared" si="330"/>
        <v>8277.5</v>
      </c>
      <c r="J411" s="92">
        <f t="shared" si="330"/>
        <v>7657.5</v>
      </c>
      <c r="K411" s="92">
        <f t="shared" si="330"/>
        <v>7617.5</v>
      </c>
      <c r="L411" s="92">
        <f t="shared" si="330"/>
        <v>8050</v>
      </c>
      <c r="M411" s="92">
        <f t="shared" si="330"/>
        <v>8562.5</v>
      </c>
      <c r="N411" s="92">
        <f t="shared" si="330"/>
        <v>9350</v>
      </c>
      <c r="O411" s="92">
        <f t="shared" si="330"/>
        <v>10870</v>
      </c>
      <c r="P411" s="92">
        <f t="shared" si="330"/>
        <v>10662.5</v>
      </c>
      <c r="Q411" s="92">
        <f t="shared" si="330"/>
        <v>11502.5</v>
      </c>
      <c r="R411" s="92">
        <f t="shared" si="330"/>
        <v>14040</v>
      </c>
      <c r="S411" s="92">
        <f t="shared" si="330"/>
        <v>15817.5</v>
      </c>
      <c r="T411" s="92">
        <f t="shared" si="330"/>
        <v>16012.5</v>
      </c>
      <c r="U411" s="92">
        <f t="shared" si="330"/>
        <v>18012.5</v>
      </c>
      <c r="V411" s="92">
        <f t="shared" si="330"/>
        <v>22380</v>
      </c>
      <c r="W411" s="92">
        <f t="shared" si="330"/>
        <v>25240</v>
      </c>
      <c r="X411" s="92">
        <f t="shared" si="330"/>
        <v>27627.5</v>
      </c>
      <c r="Y411" s="92">
        <f t="shared" si="330"/>
        <v>29302.5</v>
      </c>
      <c r="Z411" s="92">
        <f t="shared" si="330"/>
        <v>31090</v>
      </c>
      <c r="AA411" s="92">
        <f t="shared" si="330"/>
        <v>33030</v>
      </c>
      <c r="AB411" s="92">
        <f t="shared" si="330"/>
        <v>45122.5</v>
      </c>
      <c r="AC411" s="92">
        <f t="shared" si="330"/>
        <v>57695</v>
      </c>
      <c r="AD411" s="92">
        <f t="shared" si="330"/>
        <v>62752.5</v>
      </c>
      <c r="AE411" s="92">
        <f t="shared" si="330"/>
        <v>67197.5</v>
      </c>
      <c r="AF411" s="92">
        <f t="shared" si="330"/>
        <v>69307.5</v>
      </c>
      <c r="AG411" s="92">
        <f t="shared" si="330"/>
        <v>71255</v>
      </c>
      <c r="AH411" s="92">
        <f t="shared" si="330"/>
        <v>73122.5</v>
      </c>
      <c r="AI411" s="92">
        <f t="shared" si="330"/>
        <v>75032.5</v>
      </c>
      <c r="AJ411" s="92">
        <f t="shared" si="330"/>
        <v>0</v>
      </c>
      <c r="AK411" s="92">
        <f t="shared" si="330"/>
        <v>0</v>
      </c>
      <c r="AL411" s="92">
        <f t="shared" si="330"/>
        <v>0</v>
      </c>
      <c r="AM411" s="92">
        <f t="shared" si="330"/>
        <v>0</v>
      </c>
      <c r="AN411" s="92">
        <f t="shared" si="330"/>
        <v>0</v>
      </c>
      <c r="AO411" s="92">
        <f t="shared" si="330"/>
        <v>0</v>
      </c>
      <c r="AP411" s="92">
        <f t="shared" si="330"/>
        <v>0</v>
      </c>
      <c r="AQ411" s="92">
        <f t="shared" si="330"/>
        <v>0</v>
      </c>
      <c r="AR411" s="92">
        <f t="shared" si="330"/>
        <v>0</v>
      </c>
      <c r="AS411" s="92">
        <f t="shared" si="330"/>
        <v>0</v>
      </c>
      <c r="AT411" s="3"/>
      <c r="AY411" s="38">
        <f>+Details!F411-Base!F411</f>
        <v>0</v>
      </c>
      <c r="AZ411" s="92">
        <f>+Details!G411-Base!G411</f>
        <v>0</v>
      </c>
      <c r="BA411" s="92">
        <f>+Details!H411-Base!H411</f>
        <v>0</v>
      </c>
      <c r="BB411" s="92">
        <f>+Details!I411-Base!I411</f>
        <v>0</v>
      </c>
      <c r="BC411" s="92">
        <f>+Details!J411-Base!J411</f>
        <v>0</v>
      </c>
      <c r="BD411" s="92">
        <f>+Details!K411-Base!K411</f>
        <v>0</v>
      </c>
      <c r="BE411" s="92">
        <f>+Details!L411-Base!L411</f>
        <v>0</v>
      </c>
      <c r="BF411" s="92">
        <f>+Details!M411-Base!M411</f>
        <v>0</v>
      </c>
      <c r="BG411" s="92">
        <f>+Details!N411-Base!N411</f>
        <v>0</v>
      </c>
      <c r="BH411" s="92">
        <f>+Details!O411-Base!O411</f>
        <v>0</v>
      </c>
      <c r="BI411" s="92">
        <f>+Details!P411-Base!P411</f>
        <v>0</v>
      </c>
      <c r="BJ411" s="92">
        <f>+Details!Q411-Base!Q411</f>
        <v>0</v>
      </c>
      <c r="BK411" s="92">
        <f>+Details!R411-Base!R411</f>
        <v>0</v>
      </c>
      <c r="BL411" s="92">
        <f>+Details!S411-Base!S411</f>
        <v>0</v>
      </c>
      <c r="BM411" s="92">
        <f>+Details!T411-Base!T411</f>
        <v>0</v>
      </c>
      <c r="BN411" s="92">
        <f>+Details!U411-Base!U411</f>
        <v>0</v>
      </c>
      <c r="BO411" s="92">
        <f>+Details!V411-Base!V411</f>
        <v>0</v>
      </c>
      <c r="BP411" s="92">
        <f>+Details!W411-Base!W411</f>
        <v>0</v>
      </c>
      <c r="BQ411" s="92">
        <f>+Details!X411-Base!X411</f>
        <v>0</v>
      </c>
      <c r="BR411" s="92">
        <f>+Details!Y411-Base!Y411</f>
        <v>0</v>
      </c>
      <c r="BS411" s="92">
        <f>+Details!Z411-Base!Z411</f>
        <v>0</v>
      </c>
      <c r="BT411" s="92">
        <f>+Details!AA411-Base!AA411</f>
        <v>0</v>
      </c>
      <c r="BU411" s="92">
        <f>+Details!AB411-Base!AB411</f>
        <v>0</v>
      </c>
      <c r="BV411" s="92">
        <f>+Details!AC411-Base!AC411</f>
        <v>0</v>
      </c>
      <c r="BW411" s="92">
        <f>+Details!AD411-Base!AD411</f>
        <v>0</v>
      </c>
      <c r="BX411" s="92">
        <f>+Details!AE411-Base!AE411</f>
        <v>0</v>
      </c>
      <c r="BY411" s="92">
        <f>+Details!AF411-Base!AF411</f>
        <v>0</v>
      </c>
      <c r="BZ411" s="92">
        <f>+Details!AG411-Base!AG411</f>
        <v>0</v>
      </c>
      <c r="CA411" s="92">
        <f>+Details!AH411-Base!AH411</f>
        <v>0</v>
      </c>
      <c r="CB411" s="92">
        <f>+Details!AI411-Base!AI411</f>
        <v>0</v>
      </c>
      <c r="CC411" s="92">
        <f>+Details!AJ411-Base!AJ411</f>
        <v>0</v>
      </c>
      <c r="CD411" s="92">
        <f>+Details!AK411-Base!AK411</f>
        <v>0</v>
      </c>
      <c r="CE411" s="92">
        <f>+Details!AL411-Base!AL411</f>
        <v>0</v>
      </c>
      <c r="CF411" s="92">
        <f>+Details!AM411-Base!AM411</f>
        <v>0</v>
      </c>
      <c r="CG411" s="92">
        <f>+Details!AN411-Base!AN411</f>
        <v>0</v>
      </c>
      <c r="CH411" s="92">
        <f>+Details!AO411-Base!AO411</f>
        <v>0</v>
      </c>
      <c r="CI411" s="92">
        <f>+Details!AP411-Base!AP411</f>
        <v>0</v>
      </c>
      <c r="CJ411" s="92">
        <f>+Details!AQ411-Base!AQ411</f>
        <v>0</v>
      </c>
      <c r="CK411" s="92">
        <f>+Details!AR411-Base!AR411</f>
        <v>0</v>
      </c>
      <c r="CL411" s="92">
        <f>+Details!AS411-Base!AS411</f>
        <v>0</v>
      </c>
    </row>
    <row r="412" spans="2:90">
      <c r="B412" s="43" t="s">
        <v>635</v>
      </c>
      <c r="C412" s="136"/>
      <c r="E412" s="65">
        <f>SUM(F412:AS412)</f>
        <v>17287350</v>
      </c>
      <c r="F412" s="862">
        <f t="shared" ref="F412:AS412" si="331">SUM(F408:F411)</f>
        <v>191250</v>
      </c>
      <c r="G412" s="862">
        <f t="shared" si="331"/>
        <v>186000</v>
      </c>
      <c r="H412" s="862">
        <f t="shared" si="331"/>
        <v>178350</v>
      </c>
      <c r="I412" s="862">
        <f t="shared" si="331"/>
        <v>165550</v>
      </c>
      <c r="J412" s="862">
        <f t="shared" si="331"/>
        <v>153150</v>
      </c>
      <c r="K412" s="862">
        <f t="shared" si="331"/>
        <v>152350</v>
      </c>
      <c r="L412" s="862">
        <f t="shared" si="331"/>
        <v>161000</v>
      </c>
      <c r="M412" s="862">
        <f t="shared" si="331"/>
        <v>171250</v>
      </c>
      <c r="N412" s="862">
        <f t="shared" si="331"/>
        <v>187000</v>
      </c>
      <c r="O412" s="862">
        <f t="shared" si="331"/>
        <v>217400</v>
      </c>
      <c r="P412" s="862">
        <f t="shared" si="331"/>
        <v>213250</v>
      </c>
      <c r="Q412" s="862">
        <f t="shared" si="331"/>
        <v>230050</v>
      </c>
      <c r="R412" s="862">
        <f t="shared" si="331"/>
        <v>280800</v>
      </c>
      <c r="S412" s="862">
        <f t="shared" si="331"/>
        <v>316350</v>
      </c>
      <c r="T412" s="862">
        <f t="shared" si="331"/>
        <v>320250</v>
      </c>
      <c r="U412" s="862">
        <f t="shared" si="331"/>
        <v>360250</v>
      </c>
      <c r="V412" s="862">
        <f t="shared" si="331"/>
        <v>447600</v>
      </c>
      <c r="W412" s="862">
        <f t="shared" si="331"/>
        <v>504800</v>
      </c>
      <c r="X412" s="862">
        <f t="shared" si="331"/>
        <v>552550</v>
      </c>
      <c r="Y412" s="862">
        <f t="shared" si="331"/>
        <v>586050</v>
      </c>
      <c r="Z412" s="862">
        <f t="shared" si="331"/>
        <v>621800</v>
      </c>
      <c r="AA412" s="862">
        <f t="shared" si="331"/>
        <v>660600</v>
      </c>
      <c r="AB412" s="862">
        <f t="shared" si="331"/>
        <v>902450</v>
      </c>
      <c r="AC412" s="862">
        <f t="shared" si="331"/>
        <v>1153900</v>
      </c>
      <c r="AD412" s="862">
        <f t="shared" si="331"/>
        <v>1255050</v>
      </c>
      <c r="AE412" s="862">
        <f t="shared" si="331"/>
        <v>1343950</v>
      </c>
      <c r="AF412" s="862">
        <f t="shared" si="331"/>
        <v>1386150</v>
      </c>
      <c r="AG412" s="862">
        <f t="shared" si="331"/>
        <v>1425100</v>
      </c>
      <c r="AH412" s="862">
        <f t="shared" si="331"/>
        <v>1462450</v>
      </c>
      <c r="AI412" s="862">
        <f t="shared" si="331"/>
        <v>1500650</v>
      </c>
      <c r="AJ412" s="862">
        <f t="shared" si="331"/>
        <v>0</v>
      </c>
      <c r="AK412" s="862">
        <f t="shared" si="331"/>
        <v>0</v>
      </c>
      <c r="AL412" s="862">
        <f t="shared" si="331"/>
        <v>0</v>
      </c>
      <c r="AM412" s="862">
        <f t="shared" si="331"/>
        <v>0</v>
      </c>
      <c r="AN412" s="862">
        <f t="shared" si="331"/>
        <v>0</v>
      </c>
      <c r="AO412" s="862">
        <f t="shared" si="331"/>
        <v>0</v>
      </c>
      <c r="AP412" s="862">
        <f t="shared" si="331"/>
        <v>0</v>
      </c>
      <c r="AQ412" s="862">
        <f t="shared" si="331"/>
        <v>0</v>
      </c>
      <c r="AR412" s="862">
        <f t="shared" si="331"/>
        <v>0</v>
      </c>
      <c r="AS412" s="862">
        <f t="shared" si="331"/>
        <v>0</v>
      </c>
      <c r="AT412" s="3"/>
      <c r="AW412" s="191"/>
      <c r="AY412" s="31">
        <f>+Details!F412-Base!F412</f>
        <v>0</v>
      </c>
      <c r="AZ412" s="862">
        <f>+Details!G412-Base!G412</f>
        <v>0</v>
      </c>
      <c r="BA412" s="862">
        <f>+Details!H412-Base!H412</f>
        <v>0</v>
      </c>
      <c r="BB412" s="862">
        <f>+Details!I412-Base!I412</f>
        <v>0</v>
      </c>
      <c r="BC412" s="862">
        <f>+Details!J412-Base!J412</f>
        <v>0</v>
      </c>
      <c r="BD412" s="862">
        <f>+Details!K412-Base!K412</f>
        <v>0</v>
      </c>
      <c r="BE412" s="862">
        <f>+Details!L412-Base!L412</f>
        <v>0</v>
      </c>
      <c r="BF412" s="862">
        <f>+Details!M412-Base!M412</f>
        <v>0</v>
      </c>
      <c r="BG412" s="862">
        <f>+Details!N412-Base!N412</f>
        <v>0</v>
      </c>
      <c r="BH412" s="862">
        <f>+Details!O412-Base!O412</f>
        <v>0</v>
      </c>
      <c r="BI412" s="862">
        <f>+Details!P412-Base!P412</f>
        <v>0</v>
      </c>
      <c r="BJ412" s="862">
        <f>+Details!Q412-Base!Q412</f>
        <v>0</v>
      </c>
      <c r="BK412" s="862">
        <f>+Details!R412-Base!R412</f>
        <v>0</v>
      </c>
      <c r="BL412" s="862">
        <f>+Details!S412-Base!S412</f>
        <v>0</v>
      </c>
      <c r="BM412" s="862">
        <f>+Details!T412-Base!T412</f>
        <v>0</v>
      </c>
      <c r="BN412" s="862">
        <f>+Details!U412-Base!U412</f>
        <v>0</v>
      </c>
      <c r="BO412" s="862">
        <f>+Details!V412-Base!V412</f>
        <v>0</v>
      </c>
      <c r="BP412" s="862">
        <f>+Details!W412-Base!W412</f>
        <v>0</v>
      </c>
      <c r="BQ412" s="862">
        <f>+Details!X412-Base!X412</f>
        <v>0</v>
      </c>
      <c r="BR412" s="862">
        <f>+Details!Y412-Base!Y412</f>
        <v>0</v>
      </c>
      <c r="BS412" s="862">
        <f>+Details!Z412-Base!Z412</f>
        <v>0</v>
      </c>
      <c r="BT412" s="862">
        <f>+Details!AA412-Base!AA412</f>
        <v>0</v>
      </c>
      <c r="BU412" s="862">
        <f>+Details!AB412-Base!AB412</f>
        <v>0</v>
      </c>
      <c r="BV412" s="862">
        <f>+Details!AC412-Base!AC412</f>
        <v>0</v>
      </c>
      <c r="BW412" s="862">
        <f>+Details!AD412-Base!AD412</f>
        <v>0</v>
      </c>
      <c r="BX412" s="862">
        <f>+Details!AE412-Base!AE412</f>
        <v>0</v>
      </c>
      <c r="BY412" s="862">
        <f>+Details!AF412-Base!AF412</f>
        <v>0</v>
      </c>
      <c r="BZ412" s="862">
        <f>+Details!AG412-Base!AG412</f>
        <v>0</v>
      </c>
      <c r="CA412" s="862">
        <f>+Details!AH412-Base!AH412</f>
        <v>0</v>
      </c>
      <c r="CB412" s="862">
        <f>+Details!AI412-Base!AI412</f>
        <v>0</v>
      </c>
      <c r="CC412" s="862">
        <f>+Details!AJ412-Base!AJ412</f>
        <v>0</v>
      </c>
      <c r="CD412" s="862">
        <f>+Details!AK412-Base!AK412</f>
        <v>0</v>
      </c>
      <c r="CE412" s="862">
        <f>+Details!AL412-Base!AL412</f>
        <v>0</v>
      </c>
      <c r="CF412" s="862">
        <f>+Details!AM412-Base!AM412</f>
        <v>0</v>
      </c>
      <c r="CG412" s="862">
        <f>+Details!AN412-Base!AN412</f>
        <v>0</v>
      </c>
      <c r="CH412" s="862">
        <f>+Details!AO412-Base!AO412</f>
        <v>0</v>
      </c>
      <c r="CI412" s="862">
        <f>+Details!AP412-Base!AP412</f>
        <v>0</v>
      </c>
      <c r="CJ412" s="862">
        <f>+Details!AQ412-Base!AQ412</f>
        <v>0</v>
      </c>
      <c r="CK412" s="862">
        <f>+Details!AR412-Base!AR412</f>
        <v>0</v>
      </c>
      <c r="CL412" s="862">
        <f>+Details!AS412-Base!AS412</f>
        <v>0</v>
      </c>
    </row>
    <row r="413" spans="2:90">
      <c r="B413" s="43"/>
      <c r="C413" s="136"/>
      <c r="F413" s="135">
        <f t="shared" ref="F413:AS413" si="332">+F478-F412</f>
        <v>0</v>
      </c>
      <c r="G413" s="135">
        <f t="shared" si="332"/>
        <v>0</v>
      </c>
      <c r="H413" s="135">
        <f t="shared" si="332"/>
        <v>0</v>
      </c>
      <c r="I413" s="135">
        <f t="shared" si="332"/>
        <v>0</v>
      </c>
      <c r="J413" s="135">
        <f t="shared" si="332"/>
        <v>0</v>
      </c>
      <c r="K413" s="135">
        <f t="shared" si="332"/>
        <v>0</v>
      </c>
      <c r="L413" s="135">
        <f t="shared" si="332"/>
        <v>0</v>
      </c>
      <c r="M413" s="135">
        <f t="shared" si="332"/>
        <v>0</v>
      </c>
      <c r="N413" s="135">
        <f t="shared" si="332"/>
        <v>0</v>
      </c>
      <c r="O413" s="135">
        <f t="shared" si="332"/>
        <v>0</v>
      </c>
      <c r="P413" s="135">
        <f t="shared" si="332"/>
        <v>0</v>
      </c>
      <c r="Q413" s="135">
        <f t="shared" si="332"/>
        <v>0</v>
      </c>
      <c r="R413" s="135">
        <f t="shared" si="332"/>
        <v>0</v>
      </c>
      <c r="S413" s="135">
        <f t="shared" si="332"/>
        <v>0</v>
      </c>
      <c r="T413" s="135">
        <f t="shared" si="332"/>
        <v>0</v>
      </c>
      <c r="U413" s="135">
        <f t="shared" si="332"/>
        <v>0</v>
      </c>
      <c r="V413" s="135">
        <f t="shared" si="332"/>
        <v>0</v>
      </c>
      <c r="W413" s="135">
        <f t="shared" si="332"/>
        <v>0</v>
      </c>
      <c r="X413" s="135">
        <f t="shared" si="332"/>
        <v>0</v>
      </c>
      <c r="Y413" s="135">
        <f t="shared" si="332"/>
        <v>0</v>
      </c>
      <c r="Z413" s="135">
        <f t="shared" si="332"/>
        <v>0</v>
      </c>
      <c r="AA413" s="135">
        <f t="shared" si="332"/>
        <v>0</v>
      </c>
      <c r="AB413" s="135">
        <f t="shared" si="332"/>
        <v>0</v>
      </c>
      <c r="AC413" s="135">
        <f t="shared" si="332"/>
        <v>0</v>
      </c>
      <c r="AD413" s="135">
        <f t="shared" si="332"/>
        <v>0</v>
      </c>
      <c r="AE413" s="135">
        <f t="shared" si="332"/>
        <v>0</v>
      </c>
      <c r="AF413" s="135">
        <f t="shared" si="332"/>
        <v>0</v>
      </c>
      <c r="AG413" s="135">
        <f t="shared" si="332"/>
        <v>0</v>
      </c>
      <c r="AH413" s="135">
        <f t="shared" si="332"/>
        <v>0</v>
      </c>
      <c r="AI413" s="135">
        <f t="shared" si="332"/>
        <v>0</v>
      </c>
      <c r="AJ413" s="135">
        <f t="shared" si="332"/>
        <v>0</v>
      </c>
      <c r="AK413" s="135">
        <f t="shared" si="332"/>
        <v>0</v>
      </c>
      <c r="AL413" s="135">
        <f t="shared" si="332"/>
        <v>0</v>
      </c>
      <c r="AM413" s="135">
        <f t="shared" si="332"/>
        <v>0</v>
      </c>
      <c r="AN413" s="135">
        <f t="shared" si="332"/>
        <v>0</v>
      </c>
      <c r="AO413" s="135">
        <f t="shared" si="332"/>
        <v>0</v>
      </c>
      <c r="AP413" s="135">
        <f t="shared" si="332"/>
        <v>0</v>
      </c>
      <c r="AQ413" s="135">
        <f t="shared" si="332"/>
        <v>0</v>
      </c>
      <c r="AR413" s="135">
        <f t="shared" si="332"/>
        <v>0</v>
      </c>
      <c r="AS413" s="135">
        <f t="shared" si="332"/>
        <v>0</v>
      </c>
      <c r="AT413" s="3"/>
      <c r="AZ413" s="135"/>
      <c r="BA413" s="135"/>
      <c r="BB413" s="135"/>
      <c r="BC413" s="135"/>
      <c r="BD413" s="135"/>
      <c r="BE413" s="135"/>
      <c r="BF413" s="135"/>
      <c r="BG413" s="135"/>
      <c r="BH413" s="135"/>
      <c r="BI413" s="135"/>
      <c r="BJ413" s="135"/>
      <c r="BK413" s="135"/>
      <c r="BL413" s="135"/>
      <c r="BM413" s="135"/>
      <c r="BN413" s="135"/>
      <c r="BO413" s="135"/>
      <c r="BP413" s="135"/>
      <c r="BQ413" s="135"/>
      <c r="BR413" s="135"/>
      <c r="BS413" s="135"/>
      <c r="BT413" s="135"/>
      <c r="BU413" s="135"/>
      <c r="BV413" s="135"/>
      <c r="BW413" s="135"/>
      <c r="BX413" s="135"/>
      <c r="BY413" s="135"/>
      <c r="BZ413" s="135"/>
      <c r="CA413" s="135"/>
      <c r="CB413" s="135"/>
      <c r="CC413" s="135"/>
      <c r="CD413" s="135"/>
      <c r="CE413" s="135"/>
      <c r="CF413" s="135"/>
      <c r="CG413" s="135"/>
      <c r="CH413" s="135"/>
      <c r="CI413" s="135"/>
      <c r="CJ413" s="135"/>
      <c r="CK413" s="135"/>
      <c r="CL413" s="135"/>
    </row>
    <row r="414" spans="2:90" ht="15.6">
      <c r="B414" s="861" t="s">
        <v>292</v>
      </c>
      <c r="C414" s="13"/>
      <c r="D414" s="13"/>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2"/>
      <c r="AK414" s="92"/>
      <c r="AL414" s="92"/>
      <c r="AM414" s="92"/>
      <c r="AN414" s="92"/>
      <c r="AO414" s="92"/>
      <c r="AP414" s="92"/>
      <c r="AQ414" s="92"/>
      <c r="AR414" s="92"/>
      <c r="AS414" s="92"/>
      <c r="AT414" s="3"/>
      <c r="AZ414" s="92"/>
      <c r="BA414" s="92"/>
      <c r="BB414" s="92"/>
      <c r="BC414" s="92"/>
      <c r="BD414" s="92"/>
      <c r="BE414" s="92"/>
      <c r="BF414" s="92"/>
      <c r="BG414" s="92"/>
      <c r="BH414" s="92"/>
      <c r="BI414" s="92"/>
      <c r="BJ414" s="92"/>
      <c r="BK414" s="92"/>
      <c r="BL414" s="92"/>
      <c r="BM414" s="92"/>
      <c r="BN414" s="92"/>
      <c r="BO414" s="92"/>
      <c r="BP414" s="92"/>
      <c r="BQ414" s="92"/>
      <c r="BR414" s="92"/>
      <c r="BS414" s="92"/>
      <c r="BT414" s="92"/>
      <c r="BU414" s="92"/>
      <c r="BV414" s="92"/>
      <c r="BW414" s="92"/>
      <c r="BX414" s="92"/>
      <c r="BY414" s="92"/>
      <c r="BZ414" s="92"/>
      <c r="CA414" s="92"/>
      <c r="CB414" s="92"/>
      <c r="CC414" s="92"/>
      <c r="CD414" s="92"/>
      <c r="CE414" s="92"/>
      <c r="CF414" s="92"/>
      <c r="CG414" s="92"/>
      <c r="CH414" s="92"/>
      <c r="CI414" s="92"/>
      <c r="CJ414" s="92"/>
      <c r="CK414" s="92"/>
      <c r="CL414" s="92"/>
    </row>
    <row r="415" spans="2:90">
      <c r="B415" s="43" t="s">
        <v>756</v>
      </c>
      <c r="C415" s="90">
        <f>+Stock_Rate</f>
        <v>7.4999999999999997E-2</v>
      </c>
      <c r="D415" s="86"/>
      <c r="E415" s="65">
        <f t="shared" ref="E415:E420" si="333">SUM(F415:AS415)</f>
        <v>396000</v>
      </c>
      <c r="F415" s="92">
        <f t="shared" ref="F415:AS415" si="334">ROUND(+F408*$C415/Round_To,0)*Round_To</f>
        <v>6500</v>
      </c>
      <c r="G415" s="92">
        <f t="shared" si="334"/>
        <v>6300</v>
      </c>
      <c r="H415" s="92">
        <f t="shared" si="334"/>
        <v>6000</v>
      </c>
      <c r="I415" s="92">
        <f t="shared" si="334"/>
        <v>5600</v>
      </c>
      <c r="J415" s="92">
        <f t="shared" si="334"/>
        <v>5200</v>
      </c>
      <c r="K415" s="92">
        <f t="shared" si="334"/>
        <v>5100</v>
      </c>
      <c r="L415" s="92">
        <f t="shared" si="334"/>
        <v>5400</v>
      </c>
      <c r="M415" s="92">
        <f t="shared" si="334"/>
        <v>5800</v>
      </c>
      <c r="N415" s="92">
        <f t="shared" si="334"/>
        <v>6300</v>
      </c>
      <c r="O415" s="92">
        <f t="shared" si="334"/>
        <v>7300</v>
      </c>
      <c r="P415" s="92">
        <f t="shared" si="334"/>
        <v>7200</v>
      </c>
      <c r="Q415" s="92">
        <f t="shared" si="334"/>
        <v>7800</v>
      </c>
      <c r="R415" s="92">
        <f t="shared" si="334"/>
        <v>9500</v>
      </c>
      <c r="S415" s="92">
        <f t="shared" si="334"/>
        <v>10700</v>
      </c>
      <c r="T415" s="92">
        <f t="shared" si="334"/>
        <v>10800</v>
      </c>
      <c r="U415" s="92">
        <f t="shared" si="334"/>
        <v>12200</v>
      </c>
      <c r="V415" s="92">
        <f t="shared" si="334"/>
        <v>15100</v>
      </c>
      <c r="W415" s="92">
        <f t="shared" si="334"/>
        <v>17000</v>
      </c>
      <c r="X415" s="92">
        <f t="shared" si="334"/>
        <v>10500</v>
      </c>
      <c r="Y415" s="92">
        <f t="shared" si="334"/>
        <v>11200</v>
      </c>
      <c r="Z415" s="92">
        <f t="shared" si="334"/>
        <v>11800</v>
      </c>
      <c r="AA415" s="92">
        <f t="shared" si="334"/>
        <v>12600</v>
      </c>
      <c r="AB415" s="92">
        <f t="shared" si="334"/>
        <v>20100</v>
      </c>
      <c r="AC415" s="92">
        <f t="shared" si="334"/>
        <v>21900</v>
      </c>
      <c r="AD415" s="92">
        <f t="shared" si="334"/>
        <v>24400</v>
      </c>
      <c r="AE415" s="92">
        <f t="shared" si="334"/>
        <v>25300</v>
      </c>
      <c r="AF415" s="92">
        <f t="shared" si="334"/>
        <v>26100</v>
      </c>
      <c r="AG415" s="92">
        <f t="shared" si="334"/>
        <v>26700</v>
      </c>
      <c r="AH415" s="92">
        <f t="shared" si="334"/>
        <v>27400</v>
      </c>
      <c r="AI415" s="92">
        <f t="shared" si="334"/>
        <v>28200</v>
      </c>
      <c r="AJ415" s="92">
        <f t="shared" si="334"/>
        <v>0</v>
      </c>
      <c r="AK415" s="92">
        <f t="shared" si="334"/>
        <v>0</v>
      </c>
      <c r="AL415" s="92">
        <f t="shared" si="334"/>
        <v>0</v>
      </c>
      <c r="AM415" s="92">
        <f t="shared" si="334"/>
        <v>0</v>
      </c>
      <c r="AN415" s="92">
        <f t="shared" si="334"/>
        <v>0</v>
      </c>
      <c r="AO415" s="92">
        <f t="shared" si="334"/>
        <v>0</v>
      </c>
      <c r="AP415" s="92">
        <f t="shared" si="334"/>
        <v>0</v>
      </c>
      <c r="AQ415" s="92">
        <f t="shared" si="334"/>
        <v>0</v>
      </c>
      <c r="AR415" s="92">
        <f t="shared" si="334"/>
        <v>0</v>
      </c>
      <c r="AS415" s="92">
        <f t="shared" si="334"/>
        <v>0</v>
      </c>
      <c r="AT415" s="3"/>
      <c r="AW415" s="191"/>
      <c r="AY415" s="31">
        <f>+Details!F415-Base!F415</f>
        <v>0</v>
      </c>
      <c r="AZ415" s="92">
        <f>+Details!G415-Base!G415</f>
        <v>0</v>
      </c>
      <c r="BA415" s="92">
        <f>+Details!H415-Base!H415</f>
        <v>0</v>
      </c>
      <c r="BB415" s="92">
        <f>+Details!I415-Base!I415</f>
        <v>0</v>
      </c>
      <c r="BC415" s="92">
        <f>+Details!J415-Base!J415</f>
        <v>0</v>
      </c>
      <c r="BD415" s="92">
        <f>+Details!K415-Base!K415</f>
        <v>0</v>
      </c>
      <c r="BE415" s="92">
        <f>+Details!L415-Base!L415</f>
        <v>0</v>
      </c>
      <c r="BF415" s="92">
        <f>+Details!M415-Base!M415</f>
        <v>0</v>
      </c>
      <c r="BG415" s="92">
        <f>+Details!N415-Base!N415</f>
        <v>0</v>
      </c>
      <c r="BH415" s="92">
        <f>+Details!O415-Base!O415</f>
        <v>0</v>
      </c>
      <c r="BI415" s="92">
        <f>+Details!P415-Base!P415</f>
        <v>0</v>
      </c>
      <c r="BJ415" s="92">
        <f>+Details!Q415-Base!Q415</f>
        <v>0</v>
      </c>
      <c r="BK415" s="92">
        <f>+Details!R415-Base!R415</f>
        <v>0</v>
      </c>
      <c r="BL415" s="92">
        <f>+Details!S415-Base!S415</f>
        <v>0</v>
      </c>
      <c r="BM415" s="92">
        <f>+Details!T415-Base!T415</f>
        <v>0</v>
      </c>
      <c r="BN415" s="92">
        <f>+Details!U415-Base!U415</f>
        <v>0</v>
      </c>
      <c r="BO415" s="92">
        <f>+Details!V415-Base!V415</f>
        <v>0</v>
      </c>
      <c r="BP415" s="92">
        <f>+Details!W415-Base!W415</f>
        <v>0</v>
      </c>
      <c r="BQ415" s="92">
        <f>+Details!X415-Base!X415</f>
        <v>0</v>
      </c>
      <c r="BR415" s="92">
        <f>+Details!Y415-Base!Y415</f>
        <v>0</v>
      </c>
      <c r="BS415" s="92">
        <f>+Details!Z415-Base!Z415</f>
        <v>0</v>
      </c>
      <c r="BT415" s="92">
        <f>+Details!AA415-Base!AA415</f>
        <v>0</v>
      </c>
      <c r="BU415" s="92">
        <f>+Details!AB415-Base!AB415</f>
        <v>0</v>
      </c>
      <c r="BV415" s="92">
        <f>+Details!AC415-Base!AC415</f>
        <v>0</v>
      </c>
      <c r="BW415" s="92">
        <f>+Details!AD415-Base!AD415</f>
        <v>0</v>
      </c>
      <c r="BX415" s="92">
        <f>+Details!AE415-Base!AE415</f>
        <v>0</v>
      </c>
      <c r="BY415" s="92">
        <f>+Details!AF415-Base!AF415</f>
        <v>0</v>
      </c>
      <c r="BZ415" s="92">
        <f>+Details!AG415-Base!AG415</f>
        <v>0</v>
      </c>
      <c r="CA415" s="92">
        <f>+Details!AH415-Base!AH415</f>
        <v>0</v>
      </c>
      <c r="CB415" s="92">
        <f>+Details!AI415-Base!AI415</f>
        <v>0</v>
      </c>
      <c r="CC415" s="92">
        <f>+Details!AJ415-Base!AJ415</f>
        <v>0</v>
      </c>
      <c r="CD415" s="92">
        <f>+Details!AK415-Base!AK415</f>
        <v>0</v>
      </c>
      <c r="CE415" s="92">
        <f>+Details!AL415-Base!AL415</f>
        <v>0</v>
      </c>
      <c r="CF415" s="92">
        <f>+Details!AM415-Base!AM415</f>
        <v>0</v>
      </c>
      <c r="CG415" s="92">
        <f>+Details!AN415-Base!AN415</f>
        <v>0</v>
      </c>
      <c r="CH415" s="92">
        <f>+Details!AO415-Base!AO415</f>
        <v>0</v>
      </c>
      <c r="CI415" s="92">
        <f>+Details!AP415-Base!AP415</f>
        <v>0</v>
      </c>
      <c r="CJ415" s="92">
        <f>+Details!AQ415-Base!AQ415</f>
        <v>0</v>
      </c>
      <c r="CK415" s="92">
        <f>+Details!AR415-Base!AR415</f>
        <v>0</v>
      </c>
      <c r="CL415" s="92">
        <f>+Details!AS415-Base!AS415</f>
        <v>0</v>
      </c>
    </row>
    <row r="416" spans="2:90">
      <c r="B416" s="43" t="s">
        <v>757</v>
      </c>
      <c r="C416" s="90">
        <f>+Bond_Rate</f>
        <v>4.4999999999999998E-2</v>
      </c>
      <c r="D416" s="86"/>
      <c r="E416" s="65">
        <f t="shared" si="333"/>
        <v>0</v>
      </c>
      <c r="F416" s="92">
        <f t="shared" ref="F416:AS416" si="335">ROUND(+F409*$C416/Round_To,0)*Round_To</f>
        <v>0</v>
      </c>
      <c r="G416" s="92">
        <f t="shared" si="335"/>
        <v>0</v>
      </c>
      <c r="H416" s="92">
        <f t="shared" si="335"/>
        <v>0</v>
      </c>
      <c r="I416" s="92">
        <f t="shared" si="335"/>
        <v>0</v>
      </c>
      <c r="J416" s="92">
        <f t="shared" si="335"/>
        <v>0</v>
      </c>
      <c r="K416" s="92">
        <f t="shared" si="335"/>
        <v>0</v>
      </c>
      <c r="L416" s="92">
        <f t="shared" si="335"/>
        <v>0</v>
      </c>
      <c r="M416" s="92">
        <f t="shared" si="335"/>
        <v>0</v>
      </c>
      <c r="N416" s="92">
        <f t="shared" si="335"/>
        <v>0</v>
      </c>
      <c r="O416" s="92">
        <f t="shared" si="335"/>
        <v>0</v>
      </c>
      <c r="P416" s="92">
        <f t="shared" si="335"/>
        <v>0</v>
      </c>
      <c r="Q416" s="92">
        <f t="shared" si="335"/>
        <v>0</v>
      </c>
      <c r="R416" s="92">
        <f t="shared" si="335"/>
        <v>0</v>
      </c>
      <c r="S416" s="92">
        <f t="shared" si="335"/>
        <v>0</v>
      </c>
      <c r="T416" s="92">
        <f t="shared" si="335"/>
        <v>0</v>
      </c>
      <c r="U416" s="92">
        <f t="shared" si="335"/>
        <v>0</v>
      </c>
      <c r="V416" s="92">
        <f t="shared" si="335"/>
        <v>0</v>
      </c>
      <c r="W416" s="92">
        <f t="shared" si="335"/>
        <v>0</v>
      </c>
      <c r="X416" s="92">
        <f t="shared" si="335"/>
        <v>0</v>
      </c>
      <c r="Y416" s="92">
        <f t="shared" si="335"/>
        <v>0</v>
      </c>
      <c r="Z416" s="92">
        <f t="shared" si="335"/>
        <v>0</v>
      </c>
      <c r="AA416" s="92">
        <f t="shared" si="335"/>
        <v>0</v>
      </c>
      <c r="AB416" s="92">
        <f t="shared" si="335"/>
        <v>0</v>
      </c>
      <c r="AC416" s="92">
        <f t="shared" si="335"/>
        <v>0</v>
      </c>
      <c r="AD416" s="92">
        <f t="shared" si="335"/>
        <v>0</v>
      </c>
      <c r="AE416" s="92">
        <f t="shared" si="335"/>
        <v>0</v>
      </c>
      <c r="AF416" s="92">
        <f t="shared" si="335"/>
        <v>0</v>
      </c>
      <c r="AG416" s="92">
        <f t="shared" si="335"/>
        <v>0</v>
      </c>
      <c r="AH416" s="92">
        <f t="shared" si="335"/>
        <v>0</v>
      </c>
      <c r="AI416" s="92">
        <f t="shared" si="335"/>
        <v>0</v>
      </c>
      <c r="AJ416" s="92">
        <f t="shared" si="335"/>
        <v>0</v>
      </c>
      <c r="AK416" s="92">
        <f t="shared" si="335"/>
        <v>0</v>
      </c>
      <c r="AL416" s="92">
        <f t="shared" si="335"/>
        <v>0</v>
      </c>
      <c r="AM416" s="92">
        <f t="shared" si="335"/>
        <v>0</v>
      </c>
      <c r="AN416" s="92">
        <f t="shared" si="335"/>
        <v>0</v>
      </c>
      <c r="AO416" s="92">
        <f t="shared" si="335"/>
        <v>0</v>
      </c>
      <c r="AP416" s="92">
        <f t="shared" si="335"/>
        <v>0</v>
      </c>
      <c r="AQ416" s="92">
        <f t="shared" si="335"/>
        <v>0</v>
      </c>
      <c r="AR416" s="92">
        <f t="shared" si="335"/>
        <v>0</v>
      </c>
      <c r="AS416" s="92">
        <f t="shared" si="335"/>
        <v>0</v>
      </c>
      <c r="AT416" s="3"/>
      <c r="AW416" s="191"/>
      <c r="AY416" s="31">
        <f>+Details!F416-Base!F416</f>
        <v>0</v>
      </c>
      <c r="AZ416" s="92">
        <f>+Details!G416-Base!G416</f>
        <v>0</v>
      </c>
      <c r="BA416" s="92">
        <f>+Details!H416-Base!H416</f>
        <v>0</v>
      </c>
      <c r="BB416" s="92">
        <f>+Details!I416-Base!I416</f>
        <v>0</v>
      </c>
      <c r="BC416" s="92">
        <f>+Details!J416-Base!J416</f>
        <v>0</v>
      </c>
      <c r="BD416" s="92">
        <f>+Details!K416-Base!K416</f>
        <v>0</v>
      </c>
      <c r="BE416" s="92">
        <f>+Details!L416-Base!L416</f>
        <v>0</v>
      </c>
      <c r="BF416" s="92">
        <f>+Details!M416-Base!M416</f>
        <v>0</v>
      </c>
      <c r="BG416" s="92">
        <f>+Details!N416-Base!N416</f>
        <v>0</v>
      </c>
      <c r="BH416" s="92">
        <f>+Details!O416-Base!O416</f>
        <v>0</v>
      </c>
      <c r="BI416" s="92">
        <f>+Details!P416-Base!P416</f>
        <v>0</v>
      </c>
      <c r="BJ416" s="92">
        <f>+Details!Q416-Base!Q416</f>
        <v>0</v>
      </c>
      <c r="BK416" s="92">
        <f>+Details!R416-Base!R416</f>
        <v>0</v>
      </c>
      <c r="BL416" s="92">
        <f>+Details!S416-Base!S416</f>
        <v>0</v>
      </c>
      <c r="BM416" s="92">
        <f>+Details!T416-Base!T416</f>
        <v>0</v>
      </c>
      <c r="BN416" s="92">
        <f>+Details!U416-Base!U416</f>
        <v>0</v>
      </c>
      <c r="BO416" s="92">
        <f>+Details!V416-Base!V416</f>
        <v>0</v>
      </c>
      <c r="BP416" s="92">
        <f>+Details!W416-Base!W416</f>
        <v>0</v>
      </c>
      <c r="BQ416" s="92">
        <f>+Details!X416-Base!X416</f>
        <v>0</v>
      </c>
      <c r="BR416" s="92">
        <f>+Details!Y416-Base!Y416</f>
        <v>0</v>
      </c>
      <c r="BS416" s="92">
        <f>+Details!Z416-Base!Z416</f>
        <v>0</v>
      </c>
      <c r="BT416" s="92">
        <f>+Details!AA416-Base!AA416</f>
        <v>0</v>
      </c>
      <c r="BU416" s="92">
        <f>+Details!AB416-Base!AB416</f>
        <v>0</v>
      </c>
      <c r="BV416" s="92">
        <f>+Details!AC416-Base!AC416</f>
        <v>0</v>
      </c>
      <c r="BW416" s="92">
        <f>+Details!AD416-Base!AD416</f>
        <v>0</v>
      </c>
      <c r="BX416" s="92">
        <f>+Details!AE416-Base!AE416</f>
        <v>0</v>
      </c>
      <c r="BY416" s="92">
        <f>+Details!AF416-Base!AF416</f>
        <v>0</v>
      </c>
      <c r="BZ416" s="92">
        <f>+Details!AG416-Base!AG416</f>
        <v>0</v>
      </c>
      <c r="CA416" s="92">
        <f>+Details!AH416-Base!AH416</f>
        <v>0</v>
      </c>
      <c r="CB416" s="92">
        <f>+Details!AI416-Base!AI416</f>
        <v>0</v>
      </c>
      <c r="CC416" s="92">
        <f>+Details!AJ416-Base!AJ416</f>
        <v>0</v>
      </c>
      <c r="CD416" s="92">
        <f>+Details!AK416-Base!AK416</f>
        <v>0</v>
      </c>
      <c r="CE416" s="92">
        <f>+Details!AL416-Base!AL416</f>
        <v>0</v>
      </c>
      <c r="CF416" s="92">
        <f>+Details!AM416-Base!AM416</f>
        <v>0</v>
      </c>
      <c r="CG416" s="92">
        <f>+Details!AN416-Base!AN416</f>
        <v>0</v>
      </c>
      <c r="CH416" s="92">
        <f>+Details!AO416-Base!AO416</f>
        <v>0</v>
      </c>
      <c r="CI416" s="92">
        <f>+Details!AP416-Base!AP416</f>
        <v>0</v>
      </c>
      <c r="CJ416" s="92">
        <f>+Details!AQ416-Base!AQ416</f>
        <v>0</v>
      </c>
      <c r="CK416" s="92">
        <f>+Details!AR416-Base!AR416</f>
        <v>0</v>
      </c>
      <c r="CL416" s="92">
        <f>+Details!AS416-Base!AS416</f>
        <v>0</v>
      </c>
    </row>
    <row r="417" spans="1:91">
      <c r="B417" s="872" t="s">
        <v>849</v>
      </c>
      <c r="C417" s="594">
        <f>TaxEx_Rate</f>
        <v>0.03</v>
      </c>
      <c r="D417" s="593"/>
      <c r="E417" s="873">
        <f t="shared" si="333"/>
        <v>334400</v>
      </c>
      <c r="F417" s="863">
        <f t="shared" ref="F417:AS417" si="336">ROUND(+F410*$C417/Round_To,0)*Round_To</f>
        <v>2900</v>
      </c>
      <c r="G417" s="863">
        <f t="shared" si="336"/>
        <v>2800</v>
      </c>
      <c r="H417" s="863">
        <f t="shared" si="336"/>
        <v>2700</v>
      </c>
      <c r="I417" s="863">
        <f t="shared" si="336"/>
        <v>2500</v>
      </c>
      <c r="J417" s="863">
        <f t="shared" si="336"/>
        <v>2300</v>
      </c>
      <c r="K417" s="863">
        <f t="shared" si="336"/>
        <v>2300</v>
      </c>
      <c r="L417" s="863">
        <f t="shared" si="336"/>
        <v>2400</v>
      </c>
      <c r="M417" s="863">
        <f t="shared" si="336"/>
        <v>2600</v>
      </c>
      <c r="N417" s="863">
        <f t="shared" si="336"/>
        <v>2800</v>
      </c>
      <c r="O417" s="863">
        <f t="shared" si="336"/>
        <v>3300</v>
      </c>
      <c r="P417" s="863">
        <f t="shared" si="336"/>
        <v>3200</v>
      </c>
      <c r="Q417" s="863">
        <f t="shared" si="336"/>
        <v>3500</v>
      </c>
      <c r="R417" s="863">
        <f t="shared" si="336"/>
        <v>4200</v>
      </c>
      <c r="S417" s="863">
        <f t="shared" si="336"/>
        <v>4700</v>
      </c>
      <c r="T417" s="863">
        <f t="shared" si="336"/>
        <v>4800</v>
      </c>
      <c r="U417" s="863">
        <f t="shared" si="336"/>
        <v>5400</v>
      </c>
      <c r="V417" s="863">
        <f t="shared" si="336"/>
        <v>6700</v>
      </c>
      <c r="W417" s="863">
        <f t="shared" si="336"/>
        <v>7600</v>
      </c>
      <c r="X417" s="863">
        <f t="shared" si="336"/>
        <v>11500</v>
      </c>
      <c r="Y417" s="863">
        <f t="shared" si="336"/>
        <v>12200</v>
      </c>
      <c r="Z417" s="863">
        <f t="shared" si="336"/>
        <v>13000</v>
      </c>
      <c r="AA417" s="863">
        <f t="shared" si="336"/>
        <v>13800</v>
      </c>
      <c r="AB417" s="863">
        <f t="shared" si="336"/>
        <v>17700</v>
      </c>
      <c r="AC417" s="863">
        <f t="shared" si="336"/>
        <v>24100</v>
      </c>
      <c r="AD417" s="863">
        <f t="shared" si="336"/>
        <v>26000</v>
      </c>
      <c r="AE417" s="863">
        <f t="shared" si="336"/>
        <v>28200</v>
      </c>
      <c r="AF417" s="863">
        <f t="shared" si="336"/>
        <v>29100</v>
      </c>
      <c r="AG417" s="863">
        <f t="shared" si="336"/>
        <v>29900</v>
      </c>
      <c r="AH417" s="863">
        <f t="shared" si="336"/>
        <v>30700</v>
      </c>
      <c r="AI417" s="863">
        <f t="shared" si="336"/>
        <v>31500</v>
      </c>
      <c r="AJ417" s="863">
        <f t="shared" si="336"/>
        <v>0</v>
      </c>
      <c r="AK417" s="863">
        <f t="shared" si="336"/>
        <v>0</v>
      </c>
      <c r="AL417" s="863">
        <f t="shared" si="336"/>
        <v>0</v>
      </c>
      <c r="AM417" s="863">
        <f t="shared" si="336"/>
        <v>0</v>
      </c>
      <c r="AN417" s="863">
        <f t="shared" si="336"/>
        <v>0</v>
      </c>
      <c r="AO417" s="863">
        <f t="shared" si="336"/>
        <v>0</v>
      </c>
      <c r="AP417" s="863">
        <f t="shared" si="336"/>
        <v>0</v>
      </c>
      <c r="AQ417" s="863">
        <f t="shared" si="336"/>
        <v>0</v>
      </c>
      <c r="AR417" s="863">
        <f t="shared" si="336"/>
        <v>0</v>
      </c>
      <c r="AS417" s="863">
        <f t="shared" si="336"/>
        <v>0</v>
      </c>
      <c r="AT417" s="3"/>
      <c r="AW417" s="1735"/>
      <c r="AY417" s="31">
        <f>+Details!F417-Base!F417</f>
        <v>0</v>
      </c>
      <c r="AZ417" s="863">
        <f>+Details!G417-Base!G417</f>
        <v>0</v>
      </c>
      <c r="BA417" s="863">
        <f>+Details!H417-Base!H417</f>
        <v>0</v>
      </c>
      <c r="BB417" s="863">
        <f>+Details!I417-Base!I417</f>
        <v>0</v>
      </c>
      <c r="BC417" s="863">
        <f>+Details!J417-Base!J417</f>
        <v>0</v>
      </c>
      <c r="BD417" s="863">
        <f>+Details!K417-Base!K417</f>
        <v>0</v>
      </c>
      <c r="BE417" s="863">
        <f>+Details!L417-Base!L417</f>
        <v>0</v>
      </c>
      <c r="BF417" s="863">
        <f>+Details!M417-Base!M417</f>
        <v>0</v>
      </c>
      <c r="BG417" s="863">
        <f>+Details!N417-Base!N417</f>
        <v>0</v>
      </c>
      <c r="BH417" s="863">
        <f>+Details!O417-Base!O417</f>
        <v>0</v>
      </c>
      <c r="BI417" s="863">
        <f>+Details!P417-Base!P417</f>
        <v>0</v>
      </c>
      <c r="BJ417" s="863">
        <f>+Details!Q417-Base!Q417</f>
        <v>0</v>
      </c>
      <c r="BK417" s="863">
        <f>+Details!R417-Base!R417</f>
        <v>0</v>
      </c>
      <c r="BL417" s="863">
        <f>+Details!S417-Base!S417</f>
        <v>0</v>
      </c>
      <c r="BM417" s="863">
        <f>+Details!T417-Base!T417</f>
        <v>0</v>
      </c>
      <c r="BN417" s="863">
        <f>+Details!U417-Base!U417</f>
        <v>0</v>
      </c>
      <c r="BO417" s="863">
        <f>+Details!V417-Base!V417</f>
        <v>0</v>
      </c>
      <c r="BP417" s="863">
        <f>+Details!W417-Base!W417</f>
        <v>0</v>
      </c>
      <c r="BQ417" s="863">
        <f>+Details!X417-Base!X417</f>
        <v>0</v>
      </c>
      <c r="BR417" s="863">
        <f>+Details!Y417-Base!Y417</f>
        <v>0</v>
      </c>
      <c r="BS417" s="863">
        <f>+Details!Z417-Base!Z417</f>
        <v>0</v>
      </c>
      <c r="BT417" s="863">
        <f>+Details!AA417-Base!AA417</f>
        <v>0</v>
      </c>
      <c r="BU417" s="863">
        <f>+Details!AB417-Base!AB417</f>
        <v>0</v>
      </c>
      <c r="BV417" s="863">
        <f>+Details!AC417-Base!AC417</f>
        <v>0</v>
      </c>
      <c r="BW417" s="863">
        <f>+Details!AD417-Base!AD417</f>
        <v>0</v>
      </c>
      <c r="BX417" s="863">
        <f>+Details!AE417-Base!AE417</f>
        <v>0</v>
      </c>
      <c r="BY417" s="863">
        <f>+Details!AF417-Base!AF417</f>
        <v>0</v>
      </c>
      <c r="BZ417" s="863">
        <f>+Details!AG417-Base!AG417</f>
        <v>0</v>
      </c>
      <c r="CA417" s="863">
        <f>+Details!AH417-Base!AH417</f>
        <v>0</v>
      </c>
      <c r="CB417" s="863">
        <f>+Details!AI417-Base!AI417</f>
        <v>0</v>
      </c>
      <c r="CC417" s="863">
        <f>+Details!AJ417-Base!AJ417</f>
        <v>0</v>
      </c>
      <c r="CD417" s="863">
        <f>+Details!AK417-Base!AK417</f>
        <v>0</v>
      </c>
      <c r="CE417" s="863">
        <f>+Details!AL417-Base!AL417</f>
        <v>0</v>
      </c>
      <c r="CF417" s="863">
        <f>+Details!AM417-Base!AM417</f>
        <v>0</v>
      </c>
      <c r="CG417" s="863">
        <f>+Details!AN417-Base!AN417</f>
        <v>0</v>
      </c>
      <c r="CH417" s="863">
        <f>+Details!AO417-Base!AO417</f>
        <v>0</v>
      </c>
      <c r="CI417" s="863">
        <f>+Details!AP417-Base!AP417</f>
        <v>0</v>
      </c>
      <c r="CJ417" s="863">
        <f>+Details!AQ417-Base!AQ417</f>
        <v>0</v>
      </c>
      <c r="CK417" s="863">
        <f>+Details!AR417-Base!AR417</f>
        <v>0</v>
      </c>
      <c r="CL417" s="863">
        <f>+Details!AS417-Base!AS417</f>
        <v>0</v>
      </c>
    </row>
    <row r="418" spans="1:91">
      <c r="B418" s="43" t="s">
        <v>1600</v>
      </c>
      <c r="C418" s="90">
        <f>+Cash_Rate</f>
        <v>1.4999999999999999E-2</v>
      </c>
      <c r="D418" s="86"/>
      <c r="E418" s="635">
        <f t="shared" si="333"/>
        <v>12700</v>
      </c>
      <c r="F418" s="92">
        <f t="shared" ref="F418:AS418" si="337">ROUND(+F411*$C418/Round_To,0)*Round_To</f>
        <v>100</v>
      </c>
      <c r="G418" s="92">
        <f t="shared" si="337"/>
        <v>100</v>
      </c>
      <c r="H418" s="92">
        <f t="shared" si="337"/>
        <v>100</v>
      </c>
      <c r="I418" s="92">
        <f t="shared" si="337"/>
        <v>100</v>
      </c>
      <c r="J418" s="92">
        <f t="shared" si="337"/>
        <v>100</v>
      </c>
      <c r="K418" s="92">
        <f t="shared" si="337"/>
        <v>100</v>
      </c>
      <c r="L418" s="92">
        <f t="shared" si="337"/>
        <v>100</v>
      </c>
      <c r="M418" s="92">
        <f t="shared" si="337"/>
        <v>100</v>
      </c>
      <c r="N418" s="92">
        <f t="shared" si="337"/>
        <v>100</v>
      </c>
      <c r="O418" s="92">
        <f t="shared" si="337"/>
        <v>200</v>
      </c>
      <c r="P418" s="92">
        <f t="shared" si="337"/>
        <v>200</v>
      </c>
      <c r="Q418" s="92">
        <f t="shared" si="337"/>
        <v>200</v>
      </c>
      <c r="R418" s="92">
        <f t="shared" si="337"/>
        <v>200</v>
      </c>
      <c r="S418" s="92">
        <f t="shared" si="337"/>
        <v>200</v>
      </c>
      <c r="T418" s="92">
        <f t="shared" si="337"/>
        <v>200</v>
      </c>
      <c r="U418" s="92">
        <f t="shared" si="337"/>
        <v>300</v>
      </c>
      <c r="V418" s="92">
        <f t="shared" si="337"/>
        <v>300</v>
      </c>
      <c r="W418" s="92">
        <f t="shared" si="337"/>
        <v>400</v>
      </c>
      <c r="X418" s="92">
        <f t="shared" si="337"/>
        <v>400</v>
      </c>
      <c r="Y418" s="92">
        <f t="shared" si="337"/>
        <v>400</v>
      </c>
      <c r="Z418" s="92">
        <f t="shared" si="337"/>
        <v>500</v>
      </c>
      <c r="AA418" s="92">
        <f t="shared" si="337"/>
        <v>500</v>
      </c>
      <c r="AB418" s="92">
        <f t="shared" si="337"/>
        <v>700</v>
      </c>
      <c r="AC418" s="92">
        <f t="shared" si="337"/>
        <v>900</v>
      </c>
      <c r="AD418" s="92">
        <f t="shared" si="337"/>
        <v>900</v>
      </c>
      <c r="AE418" s="92">
        <f t="shared" si="337"/>
        <v>1000</v>
      </c>
      <c r="AF418" s="92">
        <f t="shared" si="337"/>
        <v>1000</v>
      </c>
      <c r="AG418" s="92">
        <f t="shared" si="337"/>
        <v>1100</v>
      </c>
      <c r="AH418" s="92">
        <f t="shared" si="337"/>
        <v>1100</v>
      </c>
      <c r="AI418" s="92">
        <f t="shared" si="337"/>
        <v>1100</v>
      </c>
      <c r="AJ418" s="92">
        <f t="shared" si="337"/>
        <v>0</v>
      </c>
      <c r="AK418" s="92">
        <f t="shared" si="337"/>
        <v>0</v>
      </c>
      <c r="AL418" s="92">
        <f t="shared" si="337"/>
        <v>0</v>
      </c>
      <c r="AM418" s="92">
        <f t="shared" si="337"/>
        <v>0</v>
      </c>
      <c r="AN418" s="92">
        <f t="shared" si="337"/>
        <v>0</v>
      </c>
      <c r="AO418" s="92">
        <f t="shared" si="337"/>
        <v>0</v>
      </c>
      <c r="AP418" s="92">
        <f t="shared" si="337"/>
        <v>0</v>
      </c>
      <c r="AQ418" s="92">
        <f t="shared" si="337"/>
        <v>0</v>
      </c>
      <c r="AR418" s="92">
        <f t="shared" si="337"/>
        <v>0</v>
      </c>
      <c r="AS418" s="92">
        <f t="shared" si="337"/>
        <v>0</v>
      </c>
      <c r="AT418" s="3"/>
      <c r="AW418" s="191"/>
      <c r="AY418" s="38">
        <f>+Details!F418-Base!F418</f>
        <v>0</v>
      </c>
      <c r="AZ418" s="92">
        <f>+Details!G418-Base!G418</f>
        <v>0</v>
      </c>
      <c r="BA418" s="92">
        <f>+Details!H418-Base!H418</f>
        <v>0</v>
      </c>
      <c r="BB418" s="92">
        <f>+Details!I418-Base!I418</f>
        <v>0</v>
      </c>
      <c r="BC418" s="92">
        <f>+Details!J418-Base!J418</f>
        <v>0</v>
      </c>
      <c r="BD418" s="92">
        <f>+Details!K418-Base!K418</f>
        <v>0</v>
      </c>
      <c r="BE418" s="92">
        <f>+Details!L418-Base!L418</f>
        <v>0</v>
      </c>
      <c r="BF418" s="92">
        <f>+Details!M418-Base!M418</f>
        <v>0</v>
      </c>
      <c r="BG418" s="92">
        <f>+Details!N418-Base!N418</f>
        <v>0</v>
      </c>
      <c r="BH418" s="92">
        <f>+Details!O418-Base!O418</f>
        <v>0</v>
      </c>
      <c r="BI418" s="92">
        <f>+Details!P418-Base!P418</f>
        <v>0</v>
      </c>
      <c r="BJ418" s="92">
        <f>+Details!Q418-Base!Q418</f>
        <v>0</v>
      </c>
      <c r="BK418" s="92">
        <f>+Details!R418-Base!R418</f>
        <v>0</v>
      </c>
      <c r="BL418" s="92">
        <f>+Details!S418-Base!S418</f>
        <v>0</v>
      </c>
      <c r="BM418" s="92">
        <f>+Details!T418-Base!T418</f>
        <v>0</v>
      </c>
      <c r="BN418" s="92">
        <f>+Details!U418-Base!U418</f>
        <v>0</v>
      </c>
      <c r="BO418" s="92">
        <f>+Details!V418-Base!V418</f>
        <v>0</v>
      </c>
      <c r="BP418" s="92">
        <f>+Details!W418-Base!W418</f>
        <v>0</v>
      </c>
      <c r="BQ418" s="92">
        <f>+Details!X418-Base!X418</f>
        <v>0</v>
      </c>
      <c r="BR418" s="92">
        <f>+Details!Y418-Base!Y418</f>
        <v>0</v>
      </c>
      <c r="BS418" s="92">
        <f>+Details!Z418-Base!Z418</f>
        <v>0</v>
      </c>
      <c r="BT418" s="92">
        <f>+Details!AA418-Base!AA418</f>
        <v>0</v>
      </c>
      <c r="BU418" s="92">
        <f>+Details!AB418-Base!AB418</f>
        <v>0</v>
      </c>
      <c r="BV418" s="92">
        <f>+Details!AC418-Base!AC418</f>
        <v>0</v>
      </c>
      <c r="BW418" s="92">
        <f>+Details!AD418-Base!AD418</f>
        <v>0</v>
      </c>
      <c r="BX418" s="92">
        <f>+Details!AE418-Base!AE418</f>
        <v>0</v>
      </c>
      <c r="BY418" s="92">
        <f>+Details!AF418-Base!AF418</f>
        <v>0</v>
      </c>
      <c r="BZ418" s="92">
        <f>+Details!AG418-Base!AG418</f>
        <v>0</v>
      </c>
      <c r="CA418" s="92">
        <f>+Details!AH418-Base!AH418</f>
        <v>0</v>
      </c>
      <c r="CB418" s="92">
        <f>+Details!AI418-Base!AI418</f>
        <v>0</v>
      </c>
      <c r="CC418" s="92">
        <f>+Details!AJ418-Base!AJ418</f>
        <v>0</v>
      </c>
      <c r="CD418" s="92">
        <f>+Details!AK418-Base!AK418</f>
        <v>0</v>
      </c>
      <c r="CE418" s="92">
        <f>+Details!AL418-Base!AL418</f>
        <v>0</v>
      </c>
      <c r="CF418" s="92">
        <f>+Details!AM418-Base!AM418</f>
        <v>0</v>
      </c>
      <c r="CG418" s="92">
        <f>+Details!AN418-Base!AN418</f>
        <v>0</v>
      </c>
      <c r="CH418" s="92">
        <f>+Details!AO418-Base!AO418</f>
        <v>0</v>
      </c>
      <c r="CI418" s="92">
        <f>+Details!AP418-Base!AP418</f>
        <v>0</v>
      </c>
      <c r="CJ418" s="92">
        <f>+Details!AQ418-Base!AQ418</f>
        <v>0</v>
      </c>
      <c r="CK418" s="92">
        <f>+Details!AR418-Base!AR418</f>
        <v>0</v>
      </c>
      <c r="CL418" s="92">
        <f>+Details!AS418-Base!AS418</f>
        <v>0</v>
      </c>
    </row>
    <row r="419" spans="1:91">
      <c r="B419" s="43" t="s">
        <v>293</v>
      </c>
      <c r="C419" s="90">
        <f>+Setup!I66</f>
        <v>0.05</v>
      </c>
      <c r="D419" s="90">
        <f>+Setup!I79</f>
        <v>4.1000000000000002E-2</v>
      </c>
      <c r="E419" s="65">
        <f t="shared" si="333"/>
        <v>743100</v>
      </c>
      <c r="F419" s="862">
        <f t="shared" ref="F419:AS419" si="338">SUM(F415:F418)</f>
        <v>9500</v>
      </c>
      <c r="G419" s="862">
        <f t="shared" si="338"/>
        <v>9200</v>
      </c>
      <c r="H419" s="862">
        <f t="shared" si="338"/>
        <v>8800</v>
      </c>
      <c r="I419" s="862">
        <f t="shared" si="338"/>
        <v>8200</v>
      </c>
      <c r="J419" s="862">
        <f t="shared" si="338"/>
        <v>7600</v>
      </c>
      <c r="K419" s="862">
        <f t="shared" si="338"/>
        <v>7500</v>
      </c>
      <c r="L419" s="862">
        <f t="shared" si="338"/>
        <v>7900</v>
      </c>
      <c r="M419" s="862">
        <f t="shared" si="338"/>
        <v>8500</v>
      </c>
      <c r="N419" s="862">
        <f t="shared" si="338"/>
        <v>9200</v>
      </c>
      <c r="O419" s="862">
        <f t="shared" si="338"/>
        <v>10800</v>
      </c>
      <c r="P419" s="862">
        <f t="shared" si="338"/>
        <v>10600</v>
      </c>
      <c r="Q419" s="862">
        <f t="shared" si="338"/>
        <v>11500</v>
      </c>
      <c r="R419" s="862">
        <f t="shared" si="338"/>
        <v>13900</v>
      </c>
      <c r="S419" s="862">
        <f t="shared" si="338"/>
        <v>15600</v>
      </c>
      <c r="T419" s="862">
        <f t="shared" si="338"/>
        <v>15800</v>
      </c>
      <c r="U419" s="862">
        <f t="shared" si="338"/>
        <v>17900</v>
      </c>
      <c r="V419" s="862">
        <f t="shared" si="338"/>
        <v>22100</v>
      </c>
      <c r="W419" s="862">
        <f t="shared" si="338"/>
        <v>25000</v>
      </c>
      <c r="X419" s="862">
        <f t="shared" si="338"/>
        <v>22400</v>
      </c>
      <c r="Y419" s="862">
        <f t="shared" si="338"/>
        <v>23800</v>
      </c>
      <c r="Z419" s="862">
        <f t="shared" si="338"/>
        <v>25300</v>
      </c>
      <c r="AA419" s="862">
        <f t="shared" si="338"/>
        <v>26900</v>
      </c>
      <c r="AB419" s="862">
        <f t="shared" si="338"/>
        <v>38500</v>
      </c>
      <c r="AC419" s="862">
        <f t="shared" si="338"/>
        <v>46900</v>
      </c>
      <c r="AD419" s="862">
        <f t="shared" si="338"/>
        <v>51300</v>
      </c>
      <c r="AE419" s="862">
        <f t="shared" si="338"/>
        <v>54500</v>
      </c>
      <c r="AF419" s="862">
        <f t="shared" si="338"/>
        <v>56200</v>
      </c>
      <c r="AG419" s="862">
        <f t="shared" si="338"/>
        <v>57700</v>
      </c>
      <c r="AH419" s="862">
        <f t="shared" si="338"/>
        <v>59200</v>
      </c>
      <c r="AI419" s="862">
        <f t="shared" si="338"/>
        <v>60800</v>
      </c>
      <c r="AJ419" s="862">
        <f t="shared" si="338"/>
        <v>0</v>
      </c>
      <c r="AK419" s="862">
        <f t="shared" si="338"/>
        <v>0</v>
      </c>
      <c r="AL419" s="862">
        <f t="shared" si="338"/>
        <v>0</v>
      </c>
      <c r="AM419" s="862">
        <f t="shared" si="338"/>
        <v>0</v>
      </c>
      <c r="AN419" s="862">
        <f t="shared" si="338"/>
        <v>0</v>
      </c>
      <c r="AO419" s="862">
        <f t="shared" si="338"/>
        <v>0</v>
      </c>
      <c r="AP419" s="862">
        <f t="shared" si="338"/>
        <v>0</v>
      </c>
      <c r="AQ419" s="862">
        <f t="shared" si="338"/>
        <v>0</v>
      </c>
      <c r="AR419" s="862">
        <f t="shared" si="338"/>
        <v>0</v>
      </c>
      <c r="AS419" s="862">
        <f t="shared" si="338"/>
        <v>0</v>
      </c>
      <c r="AT419" s="3"/>
      <c r="AW419" s="191"/>
      <c r="AY419" s="31">
        <f>+Details!F419-Base!F419</f>
        <v>0</v>
      </c>
      <c r="AZ419" s="862">
        <f>+Details!G419-Base!G419</f>
        <v>0</v>
      </c>
      <c r="BA419" s="862">
        <f>+Details!H419-Base!H419</f>
        <v>0</v>
      </c>
      <c r="BB419" s="862">
        <f>+Details!I419-Base!I419</f>
        <v>0</v>
      </c>
      <c r="BC419" s="862">
        <f>+Details!J419-Base!J419</f>
        <v>0</v>
      </c>
      <c r="BD419" s="862">
        <f>+Details!K419-Base!K419</f>
        <v>0</v>
      </c>
      <c r="BE419" s="862">
        <f>+Details!L419-Base!L419</f>
        <v>0</v>
      </c>
      <c r="BF419" s="862">
        <f>+Details!M419-Base!M419</f>
        <v>0</v>
      </c>
      <c r="BG419" s="862">
        <f>+Details!N419-Base!N419</f>
        <v>0</v>
      </c>
      <c r="BH419" s="862">
        <f>+Details!O419-Base!O419</f>
        <v>0</v>
      </c>
      <c r="BI419" s="862">
        <f>+Details!P419-Base!P419</f>
        <v>0</v>
      </c>
      <c r="BJ419" s="862">
        <f>+Details!Q419-Base!Q419</f>
        <v>0</v>
      </c>
      <c r="BK419" s="862">
        <f>+Details!R419-Base!R419</f>
        <v>0</v>
      </c>
      <c r="BL419" s="862">
        <f>+Details!S419-Base!S419</f>
        <v>0</v>
      </c>
      <c r="BM419" s="862">
        <f>+Details!T419-Base!T419</f>
        <v>0</v>
      </c>
      <c r="BN419" s="862">
        <f>+Details!U419-Base!U419</f>
        <v>0</v>
      </c>
      <c r="BO419" s="862">
        <f>+Details!V419-Base!V419</f>
        <v>0</v>
      </c>
      <c r="BP419" s="862">
        <f>+Details!W419-Base!W419</f>
        <v>0</v>
      </c>
      <c r="BQ419" s="862">
        <f>+Details!X419-Base!X419</f>
        <v>0</v>
      </c>
      <c r="BR419" s="862">
        <f>+Details!Y419-Base!Y419</f>
        <v>0</v>
      </c>
      <c r="BS419" s="862">
        <f>+Details!Z419-Base!Z419</f>
        <v>0</v>
      </c>
      <c r="BT419" s="862">
        <f>+Details!AA419-Base!AA419</f>
        <v>0</v>
      </c>
      <c r="BU419" s="862">
        <f>+Details!AB419-Base!AB419</f>
        <v>0</v>
      </c>
      <c r="BV419" s="862">
        <f>+Details!AC419-Base!AC419</f>
        <v>0</v>
      </c>
      <c r="BW419" s="862">
        <f>+Details!AD419-Base!AD419</f>
        <v>0</v>
      </c>
      <c r="BX419" s="862">
        <f>+Details!AE419-Base!AE419</f>
        <v>0</v>
      </c>
      <c r="BY419" s="862">
        <f>+Details!AF419-Base!AF419</f>
        <v>0</v>
      </c>
      <c r="BZ419" s="862">
        <f>+Details!AG419-Base!AG419</f>
        <v>0</v>
      </c>
      <c r="CA419" s="862">
        <f>+Details!AH419-Base!AH419</f>
        <v>0</v>
      </c>
      <c r="CB419" s="862">
        <f>+Details!AI419-Base!AI419</f>
        <v>0</v>
      </c>
      <c r="CC419" s="862">
        <f>+Details!AJ419-Base!AJ419</f>
        <v>0</v>
      </c>
      <c r="CD419" s="862">
        <f>+Details!AK419-Base!AK419</f>
        <v>0</v>
      </c>
      <c r="CE419" s="862">
        <f>+Details!AL419-Base!AL419</f>
        <v>0</v>
      </c>
      <c r="CF419" s="862">
        <f>+Details!AM419-Base!AM419</f>
        <v>0</v>
      </c>
      <c r="CG419" s="862">
        <f>+Details!AN419-Base!AN419</f>
        <v>0</v>
      </c>
      <c r="CH419" s="862">
        <f>+Details!AO419-Base!AO419</f>
        <v>0</v>
      </c>
      <c r="CI419" s="862">
        <f>+Details!AP419-Base!AP419</f>
        <v>0</v>
      </c>
      <c r="CJ419" s="862">
        <f>+Details!AQ419-Base!AQ419</f>
        <v>0</v>
      </c>
      <c r="CK419" s="862">
        <f>+Details!AR419-Base!AR419</f>
        <v>0</v>
      </c>
      <c r="CL419" s="862">
        <f>+Details!AS419-Base!AS419</f>
        <v>0</v>
      </c>
    </row>
    <row r="420" spans="1:91">
      <c r="B420" s="43" t="s">
        <v>509</v>
      </c>
      <c r="C420" s="136"/>
      <c r="E420" s="65">
        <f t="shared" si="333"/>
        <v>5611.2000000000262</v>
      </c>
      <c r="F420" s="92">
        <f t="shared" ref="F420:AS420" si="339">+F480-F419</f>
        <v>62.5</v>
      </c>
      <c r="G420" s="92">
        <f t="shared" si="339"/>
        <v>100</v>
      </c>
      <c r="H420" s="92">
        <f t="shared" si="339"/>
        <v>117.5</v>
      </c>
      <c r="I420" s="92">
        <f t="shared" si="339"/>
        <v>77.5</v>
      </c>
      <c r="J420" s="92">
        <f t="shared" si="339"/>
        <v>57.5</v>
      </c>
      <c r="K420" s="92">
        <f t="shared" si="339"/>
        <v>117.5</v>
      </c>
      <c r="L420" s="92">
        <f t="shared" si="339"/>
        <v>150</v>
      </c>
      <c r="M420" s="92">
        <f t="shared" si="339"/>
        <v>62.5</v>
      </c>
      <c r="N420" s="92">
        <f t="shared" si="339"/>
        <v>150</v>
      </c>
      <c r="O420" s="92">
        <f t="shared" si="339"/>
        <v>70</v>
      </c>
      <c r="P420" s="92">
        <f t="shared" si="339"/>
        <v>62.5</v>
      </c>
      <c r="Q420" s="92">
        <f t="shared" si="339"/>
        <v>2.5</v>
      </c>
      <c r="R420" s="92">
        <f t="shared" si="339"/>
        <v>140</v>
      </c>
      <c r="S420" s="92">
        <f t="shared" si="339"/>
        <v>217.5</v>
      </c>
      <c r="T420" s="92">
        <f t="shared" si="339"/>
        <v>212.5</v>
      </c>
      <c r="U420" s="92">
        <f t="shared" si="339"/>
        <v>112.5</v>
      </c>
      <c r="V420" s="92">
        <f t="shared" si="339"/>
        <v>280</v>
      </c>
      <c r="W420" s="92">
        <f t="shared" si="339"/>
        <v>240</v>
      </c>
      <c r="X420" s="92">
        <f t="shared" si="339"/>
        <v>254.54999999999927</v>
      </c>
      <c r="Y420" s="92">
        <f t="shared" si="339"/>
        <v>228.04999999999927</v>
      </c>
      <c r="Z420" s="92">
        <f t="shared" si="339"/>
        <v>193.79999999999927</v>
      </c>
      <c r="AA420" s="92">
        <f t="shared" si="339"/>
        <v>184.60000000000218</v>
      </c>
      <c r="AB420" s="92">
        <f t="shared" si="339"/>
        <v>-1499.5499999999956</v>
      </c>
      <c r="AC420" s="92">
        <f t="shared" si="339"/>
        <v>409.90000000000146</v>
      </c>
      <c r="AD420" s="92">
        <f t="shared" si="339"/>
        <v>157.05000000000291</v>
      </c>
      <c r="AE420" s="92">
        <f t="shared" si="339"/>
        <v>601.95000000000437</v>
      </c>
      <c r="AF420" s="92">
        <f t="shared" si="339"/>
        <v>632.15000000000146</v>
      </c>
      <c r="AG420" s="92">
        <f t="shared" si="339"/>
        <v>729.10000000000582</v>
      </c>
      <c r="AH420" s="92">
        <f t="shared" si="339"/>
        <v>760.45000000000437</v>
      </c>
      <c r="AI420" s="92">
        <f t="shared" si="339"/>
        <v>726.65000000000146</v>
      </c>
      <c r="AJ420" s="92">
        <f t="shared" si="339"/>
        <v>0</v>
      </c>
      <c r="AK420" s="92">
        <f t="shared" si="339"/>
        <v>0</v>
      </c>
      <c r="AL420" s="92">
        <f t="shared" si="339"/>
        <v>0</v>
      </c>
      <c r="AM420" s="92">
        <f t="shared" si="339"/>
        <v>0</v>
      </c>
      <c r="AN420" s="92">
        <f t="shared" si="339"/>
        <v>0</v>
      </c>
      <c r="AO420" s="92">
        <f t="shared" si="339"/>
        <v>0</v>
      </c>
      <c r="AP420" s="92">
        <f t="shared" si="339"/>
        <v>0</v>
      </c>
      <c r="AQ420" s="92">
        <f t="shared" si="339"/>
        <v>0</v>
      </c>
      <c r="AR420" s="92">
        <f t="shared" si="339"/>
        <v>0</v>
      </c>
      <c r="AS420" s="92">
        <f t="shared" si="339"/>
        <v>0</v>
      </c>
      <c r="AT420" s="3"/>
      <c r="AW420" s="191"/>
      <c r="AY420" s="31">
        <f>+Details!F420-Base!F420</f>
        <v>0</v>
      </c>
      <c r="AZ420" s="92">
        <f>+Details!G420-Base!G420</f>
        <v>0</v>
      </c>
      <c r="BA420" s="92">
        <f>+Details!H420-Base!H420</f>
        <v>0</v>
      </c>
      <c r="BB420" s="92">
        <f>+Details!I420-Base!I420</f>
        <v>0</v>
      </c>
      <c r="BC420" s="92">
        <f>+Details!J420-Base!J420</f>
        <v>0</v>
      </c>
      <c r="BD420" s="92">
        <f>+Details!K420-Base!K420</f>
        <v>0</v>
      </c>
      <c r="BE420" s="92">
        <f>+Details!L420-Base!L420</f>
        <v>0</v>
      </c>
      <c r="BF420" s="92">
        <f>+Details!M420-Base!M420</f>
        <v>0</v>
      </c>
      <c r="BG420" s="92">
        <f>+Details!N420-Base!N420</f>
        <v>0</v>
      </c>
      <c r="BH420" s="92">
        <f>+Details!O420-Base!O420</f>
        <v>0</v>
      </c>
      <c r="BI420" s="92">
        <f>+Details!P420-Base!P420</f>
        <v>0</v>
      </c>
      <c r="BJ420" s="92">
        <f>+Details!Q420-Base!Q420</f>
        <v>0</v>
      </c>
      <c r="BK420" s="92">
        <f>+Details!R420-Base!R420</f>
        <v>0</v>
      </c>
      <c r="BL420" s="92">
        <f>+Details!S420-Base!S420</f>
        <v>0</v>
      </c>
      <c r="BM420" s="92">
        <f>+Details!T420-Base!T420</f>
        <v>0</v>
      </c>
      <c r="BN420" s="92">
        <f>+Details!U420-Base!U420</f>
        <v>0</v>
      </c>
      <c r="BO420" s="92">
        <f>+Details!V420-Base!V420</f>
        <v>0</v>
      </c>
      <c r="BP420" s="92">
        <f>+Details!W420-Base!W420</f>
        <v>0</v>
      </c>
      <c r="BQ420" s="92">
        <f>+Details!X420-Base!X420</f>
        <v>0</v>
      </c>
      <c r="BR420" s="92">
        <f>+Details!Y420-Base!Y420</f>
        <v>0</v>
      </c>
      <c r="BS420" s="92">
        <f>+Details!Z420-Base!Z420</f>
        <v>0</v>
      </c>
      <c r="BT420" s="92">
        <f>+Details!AA420-Base!AA420</f>
        <v>0</v>
      </c>
      <c r="BU420" s="92">
        <f>+Details!AB420-Base!AB420</f>
        <v>0</v>
      </c>
      <c r="BV420" s="92">
        <f>+Details!AC420-Base!AC420</f>
        <v>0</v>
      </c>
      <c r="BW420" s="92">
        <f>+Details!AD420-Base!AD420</f>
        <v>0</v>
      </c>
      <c r="BX420" s="92">
        <f>+Details!AE420-Base!AE420</f>
        <v>0</v>
      </c>
      <c r="BY420" s="92">
        <f>+Details!AF420-Base!AF420</f>
        <v>0</v>
      </c>
      <c r="BZ420" s="92">
        <f>+Details!AG420-Base!AG420</f>
        <v>0</v>
      </c>
      <c r="CA420" s="92">
        <f>+Details!AH420-Base!AH420</f>
        <v>0</v>
      </c>
      <c r="CB420" s="92">
        <f>+Details!AI420-Base!AI420</f>
        <v>0</v>
      </c>
      <c r="CC420" s="92">
        <f>+Details!AJ420-Base!AJ420</f>
        <v>0</v>
      </c>
      <c r="CD420" s="92">
        <f>+Details!AK420-Base!AK420</f>
        <v>0</v>
      </c>
      <c r="CE420" s="92">
        <f>+Details!AL420-Base!AL420</f>
        <v>0</v>
      </c>
      <c r="CF420" s="92">
        <f>+Details!AM420-Base!AM420</f>
        <v>0</v>
      </c>
      <c r="CG420" s="92">
        <f>+Details!AN420-Base!AN420</f>
        <v>0</v>
      </c>
      <c r="CH420" s="92">
        <f>+Details!AO420-Base!AO420</f>
        <v>0</v>
      </c>
      <c r="CI420" s="92">
        <f>+Details!AP420-Base!AP420</f>
        <v>0</v>
      </c>
      <c r="CJ420" s="92">
        <f>+Details!AQ420-Base!AQ420</f>
        <v>0</v>
      </c>
      <c r="CK420" s="92">
        <f>+Details!AR420-Base!AR420</f>
        <v>0</v>
      </c>
      <c r="CL420" s="92">
        <f>+Details!AS420-Base!AS420</f>
        <v>0</v>
      </c>
    </row>
    <row r="421" spans="1:91">
      <c r="B421" s="43"/>
      <c r="C421" s="136"/>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2"/>
      <c r="AK421" s="92"/>
      <c r="AL421" s="92"/>
      <c r="AM421" s="92"/>
      <c r="AN421" s="92"/>
      <c r="AO421" s="92"/>
      <c r="AP421" s="92"/>
      <c r="AQ421" s="92"/>
      <c r="AR421" s="92"/>
      <c r="AS421" s="92"/>
      <c r="AT421" s="3"/>
      <c r="AZ421" s="92"/>
      <c r="BA421" s="92"/>
      <c r="BB421" s="92"/>
      <c r="BC421" s="92"/>
      <c r="BD421" s="92"/>
      <c r="BE421" s="92"/>
      <c r="BF421" s="92"/>
      <c r="BG421" s="92"/>
      <c r="BH421" s="92"/>
      <c r="BI421" s="92"/>
      <c r="BJ421" s="92"/>
      <c r="BK421" s="92"/>
      <c r="BL421" s="92"/>
      <c r="BM421" s="92"/>
      <c r="BN421" s="92"/>
      <c r="BO421" s="92"/>
      <c r="BP421" s="92"/>
      <c r="BQ421" s="92"/>
      <c r="BR421" s="92"/>
      <c r="BS421" s="92"/>
      <c r="BT421" s="92"/>
      <c r="BU421" s="92"/>
      <c r="BV421" s="92"/>
      <c r="BW421" s="92"/>
      <c r="BX421" s="92"/>
      <c r="BY421" s="92"/>
      <c r="BZ421" s="92"/>
      <c r="CA421" s="92"/>
      <c r="CB421" s="92"/>
      <c r="CC421" s="92"/>
      <c r="CD421" s="92"/>
      <c r="CE421" s="92"/>
      <c r="CF421" s="92"/>
      <c r="CG421" s="92"/>
      <c r="CH421" s="92"/>
      <c r="CI421" s="92"/>
      <c r="CJ421" s="92"/>
      <c r="CK421" s="92"/>
      <c r="CL421" s="92"/>
    </row>
    <row r="422" spans="1:91" ht="15.6">
      <c r="B422" s="861" t="s">
        <v>468</v>
      </c>
      <c r="C422" s="136"/>
      <c r="E422" s="65">
        <f>SUM(F422:AS422)</f>
        <v>368300</v>
      </c>
      <c r="F422" s="129">
        <f>+F$202+F$227</f>
        <v>5000</v>
      </c>
      <c r="G422" s="129">
        <f t="shared" ref="G422:AS422" si="340">+G$202+G$227</f>
        <v>7400</v>
      </c>
      <c r="H422" s="129">
        <f t="shared" si="340"/>
        <v>5000</v>
      </c>
      <c r="I422" s="129">
        <f t="shared" si="340"/>
        <v>5100</v>
      </c>
      <c r="J422" s="129">
        <f t="shared" si="340"/>
        <v>5200</v>
      </c>
      <c r="K422" s="129">
        <f t="shared" si="340"/>
        <v>7600</v>
      </c>
      <c r="L422" s="129">
        <f t="shared" si="340"/>
        <v>7600</v>
      </c>
      <c r="M422" s="129">
        <f t="shared" si="340"/>
        <v>9100</v>
      </c>
      <c r="N422" s="129">
        <f t="shared" si="340"/>
        <v>4700</v>
      </c>
      <c r="O422" s="129">
        <f t="shared" si="340"/>
        <v>4800</v>
      </c>
      <c r="P422" s="129">
        <f t="shared" si="340"/>
        <v>4900</v>
      </c>
      <c r="Q422" s="129">
        <f t="shared" si="340"/>
        <v>5300</v>
      </c>
      <c r="R422" s="129">
        <f t="shared" si="340"/>
        <v>6800</v>
      </c>
      <c r="S422" s="129">
        <f t="shared" si="340"/>
        <v>7300</v>
      </c>
      <c r="T422" s="129">
        <f t="shared" si="340"/>
        <v>10700</v>
      </c>
      <c r="U422" s="129">
        <f t="shared" si="340"/>
        <v>12600</v>
      </c>
      <c r="V422" s="129">
        <f t="shared" si="340"/>
        <v>12300</v>
      </c>
      <c r="W422" s="129">
        <f t="shared" si="340"/>
        <v>12700</v>
      </c>
      <c r="X422" s="129">
        <f t="shared" si="340"/>
        <v>11700</v>
      </c>
      <c r="Y422" s="129">
        <f t="shared" si="340"/>
        <v>11900</v>
      </c>
      <c r="Z422" s="129">
        <f t="shared" si="340"/>
        <v>12400</v>
      </c>
      <c r="AA422" s="129">
        <f t="shared" si="340"/>
        <v>13100</v>
      </c>
      <c r="AB422" s="129">
        <f t="shared" si="340"/>
        <v>17900</v>
      </c>
      <c r="AC422" s="129">
        <f t="shared" si="340"/>
        <v>19600</v>
      </c>
      <c r="AD422" s="129">
        <f t="shared" si="340"/>
        <v>24500</v>
      </c>
      <c r="AE422" s="129">
        <f t="shared" si="340"/>
        <v>25500</v>
      </c>
      <c r="AF422" s="129">
        <f t="shared" si="340"/>
        <v>25900</v>
      </c>
      <c r="AG422" s="129">
        <f t="shared" si="340"/>
        <v>23800</v>
      </c>
      <c r="AH422" s="129">
        <f t="shared" si="340"/>
        <v>23700</v>
      </c>
      <c r="AI422" s="129">
        <f t="shared" si="340"/>
        <v>24200</v>
      </c>
      <c r="AJ422" s="129">
        <f t="shared" si="340"/>
        <v>0</v>
      </c>
      <c r="AK422" s="129">
        <f t="shared" si="340"/>
        <v>0</v>
      </c>
      <c r="AL422" s="129">
        <f t="shared" si="340"/>
        <v>0</v>
      </c>
      <c r="AM422" s="129">
        <f t="shared" si="340"/>
        <v>0</v>
      </c>
      <c r="AN422" s="129">
        <f t="shared" si="340"/>
        <v>0</v>
      </c>
      <c r="AO422" s="129">
        <f t="shared" si="340"/>
        <v>0</v>
      </c>
      <c r="AP422" s="129">
        <f t="shared" si="340"/>
        <v>0</v>
      </c>
      <c r="AQ422" s="129">
        <f t="shared" si="340"/>
        <v>0</v>
      </c>
      <c r="AR422" s="129">
        <f t="shared" si="340"/>
        <v>0</v>
      </c>
      <c r="AS422" s="129">
        <f t="shared" si="340"/>
        <v>0</v>
      </c>
      <c r="AT422" s="3"/>
      <c r="AW422" s="191"/>
      <c r="AY422" s="31">
        <f>+Details!F422-Base!F422</f>
        <v>0</v>
      </c>
      <c r="AZ422" s="129">
        <f>+Details!G422-Base!G422</f>
        <v>0</v>
      </c>
      <c r="BA422" s="129">
        <f>+Details!H422-Base!H422</f>
        <v>0</v>
      </c>
      <c r="BB422" s="129">
        <f>+Details!I422-Base!I422</f>
        <v>0</v>
      </c>
      <c r="BC422" s="129">
        <f>+Details!J422-Base!J422</f>
        <v>0</v>
      </c>
      <c r="BD422" s="129">
        <f>+Details!K422-Base!K422</f>
        <v>0</v>
      </c>
      <c r="BE422" s="129">
        <f>+Details!L422-Base!L422</f>
        <v>0</v>
      </c>
      <c r="BF422" s="129">
        <f>+Details!M422-Base!M422</f>
        <v>0</v>
      </c>
      <c r="BG422" s="129">
        <f>+Details!N422-Base!N422</f>
        <v>0</v>
      </c>
      <c r="BH422" s="129">
        <f>+Details!O422-Base!O422</f>
        <v>0</v>
      </c>
      <c r="BI422" s="129">
        <f>+Details!P422-Base!P422</f>
        <v>0</v>
      </c>
      <c r="BJ422" s="129">
        <f>+Details!Q422-Base!Q422</f>
        <v>0</v>
      </c>
      <c r="BK422" s="129">
        <f>+Details!R422-Base!R422</f>
        <v>0</v>
      </c>
      <c r="BL422" s="129">
        <f>+Details!S422-Base!S422</f>
        <v>0</v>
      </c>
      <c r="BM422" s="129">
        <f>+Details!T422-Base!T422</f>
        <v>0</v>
      </c>
      <c r="BN422" s="129">
        <f>+Details!U422-Base!U422</f>
        <v>0</v>
      </c>
      <c r="BO422" s="129">
        <f>+Details!V422-Base!V422</f>
        <v>0</v>
      </c>
      <c r="BP422" s="129">
        <f>+Details!W422-Base!W422</f>
        <v>0</v>
      </c>
      <c r="BQ422" s="129">
        <f>+Details!X422-Base!X422</f>
        <v>0</v>
      </c>
      <c r="BR422" s="129">
        <f>+Details!Y422-Base!Y422</f>
        <v>0</v>
      </c>
      <c r="BS422" s="129">
        <f>+Details!Z422-Base!Z422</f>
        <v>0</v>
      </c>
      <c r="BT422" s="129">
        <f>+Details!AA422-Base!AA422</f>
        <v>0</v>
      </c>
      <c r="BU422" s="129">
        <f>+Details!AB422-Base!AB422</f>
        <v>0</v>
      </c>
      <c r="BV422" s="129">
        <f>+Details!AC422-Base!AC422</f>
        <v>0</v>
      </c>
      <c r="BW422" s="129">
        <f>+Details!AD422-Base!AD422</f>
        <v>0</v>
      </c>
      <c r="BX422" s="129">
        <f>+Details!AE422-Base!AE422</f>
        <v>0</v>
      </c>
      <c r="BY422" s="129">
        <f>+Details!AF422-Base!AF422</f>
        <v>0</v>
      </c>
      <c r="BZ422" s="129">
        <f>+Details!AG422-Base!AG422</f>
        <v>0</v>
      </c>
      <c r="CA422" s="129">
        <f>+Details!AH422-Base!AH422</f>
        <v>0</v>
      </c>
      <c r="CB422" s="129">
        <f>+Details!AI422-Base!AI422</f>
        <v>0</v>
      </c>
      <c r="CC422" s="129">
        <f>+Details!AJ422-Base!AJ422</f>
        <v>0</v>
      </c>
      <c r="CD422" s="129">
        <f>+Details!AK422-Base!AK422</f>
        <v>0</v>
      </c>
      <c r="CE422" s="129">
        <f>+Details!AL422-Base!AL422</f>
        <v>0</v>
      </c>
      <c r="CF422" s="129">
        <f>+Details!AM422-Base!AM422</f>
        <v>0</v>
      </c>
      <c r="CG422" s="129">
        <f>+Details!AN422-Base!AN422</f>
        <v>0</v>
      </c>
      <c r="CH422" s="129">
        <f>+Details!AO422-Base!AO422</f>
        <v>0</v>
      </c>
      <c r="CI422" s="129">
        <f>+Details!AP422-Base!AP422</f>
        <v>0</v>
      </c>
      <c r="CJ422" s="129">
        <f>+Details!AQ422-Base!AQ422</f>
        <v>0</v>
      </c>
      <c r="CK422" s="129">
        <f>+Details!AR422-Base!AR422</f>
        <v>0</v>
      </c>
      <c r="CL422" s="129">
        <f>+Details!AS422-Base!AS422</f>
        <v>0</v>
      </c>
    </row>
    <row r="423" spans="1:91">
      <c r="B423" s="43"/>
      <c r="C423" s="136"/>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2"/>
      <c r="AK423" s="92"/>
      <c r="AL423" s="92"/>
      <c r="AM423" s="92"/>
      <c r="AN423" s="92"/>
      <c r="AO423" s="92"/>
      <c r="AP423" s="92"/>
      <c r="AQ423" s="92"/>
      <c r="AR423" s="92"/>
      <c r="AS423" s="92"/>
      <c r="AT423" s="3"/>
      <c r="AZ423" s="92"/>
      <c r="BA423" s="92"/>
      <c r="BB423" s="92"/>
      <c r="BC423" s="92"/>
      <c r="BD423" s="92"/>
      <c r="BE423" s="92"/>
      <c r="BF423" s="92"/>
      <c r="BG423" s="92"/>
      <c r="BH423" s="92"/>
      <c r="BI423" s="92"/>
      <c r="BJ423" s="92"/>
      <c r="BK423" s="92"/>
      <c r="BL423" s="92"/>
      <c r="BM423" s="92"/>
      <c r="BN423" s="92"/>
      <c r="BO423" s="92"/>
      <c r="BP423" s="92"/>
      <c r="BQ423" s="92"/>
      <c r="BR423" s="92"/>
      <c r="BS423" s="92"/>
      <c r="BT423" s="92"/>
      <c r="BU423" s="92"/>
      <c r="BV423" s="92"/>
      <c r="BW423" s="92"/>
      <c r="BX423" s="92"/>
      <c r="BY423" s="92"/>
      <c r="BZ423" s="92"/>
      <c r="CA423" s="92"/>
      <c r="CB423" s="92"/>
      <c r="CC423" s="92"/>
      <c r="CD423" s="92"/>
      <c r="CE423" s="92"/>
      <c r="CF423" s="92"/>
      <c r="CG423" s="92"/>
      <c r="CH423" s="92"/>
      <c r="CI423" s="92"/>
      <c r="CJ423" s="92"/>
      <c r="CK423" s="92"/>
      <c r="CL423" s="92"/>
    </row>
    <row r="424" spans="1:91" ht="15.6">
      <c r="B424" s="861" t="s">
        <v>81</v>
      </c>
      <c r="C424" s="136"/>
      <c r="F424" s="92">
        <f>+F395+F403+F419-F422</f>
        <v>187000</v>
      </c>
      <c r="G424" s="92">
        <f t="shared" ref="G424:AS424" si="341">+G395+G403+G419-G422</f>
        <v>186700</v>
      </c>
      <c r="H424" s="92">
        <f t="shared" si="341"/>
        <v>173700</v>
      </c>
      <c r="I424" s="92">
        <f t="shared" si="341"/>
        <v>160400</v>
      </c>
      <c r="J424" s="92">
        <f t="shared" si="341"/>
        <v>148200</v>
      </c>
      <c r="K424" s="92">
        <f t="shared" si="341"/>
        <v>156300</v>
      </c>
      <c r="L424" s="92">
        <f t="shared" si="341"/>
        <v>165900</v>
      </c>
      <c r="M424" s="92">
        <f t="shared" si="341"/>
        <v>175800</v>
      </c>
      <c r="N424" s="92">
        <f t="shared" si="341"/>
        <v>202600</v>
      </c>
      <c r="O424" s="92">
        <f t="shared" si="341"/>
        <v>238000</v>
      </c>
      <c r="P424" s="92">
        <f t="shared" si="341"/>
        <v>194100</v>
      </c>
      <c r="Q424" s="92">
        <f t="shared" si="341"/>
        <v>272100</v>
      </c>
      <c r="R424" s="92">
        <f t="shared" si="341"/>
        <v>296600</v>
      </c>
      <c r="S424" s="92">
        <f t="shared" si="341"/>
        <v>344300</v>
      </c>
      <c r="T424" s="92">
        <f t="shared" si="341"/>
        <v>301100</v>
      </c>
      <c r="U424" s="92">
        <f t="shared" si="341"/>
        <v>424500</v>
      </c>
      <c r="V424" s="92">
        <f t="shared" si="341"/>
        <v>480400</v>
      </c>
      <c r="W424" s="92">
        <f t="shared" si="341"/>
        <v>541200</v>
      </c>
      <c r="X424" s="92">
        <f t="shared" si="341"/>
        <v>574400</v>
      </c>
      <c r="Y424" s="92">
        <f t="shared" si="341"/>
        <v>609300</v>
      </c>
      <c r="Z424" s="92">
        <f t="shared" si="341"/>
        <v>647000</v>
      </c>
      <c r="AA424" s="92">
        <f t="shared" si="341"/>
        <v>687800</v>
      </c>
      <c r="AB424" s="92">
        <f t="shared" si="341"/>
        <v>1137500</v>
      </c>
      <c r="AC424" s="92">
        <f t="shared" si="341"/>
        <v>1199100</v>
      </c>
      <c r="AD424" s="92">
        <f t="shared" si="341"/>
        <v>1337400</v>
      </c>
      <c r="AE424" s="92">
        <f t="shared" si="341"/>
        <v>1379300</v>
      </c>
      <c r="AF424" s="92">
        <f t="shared" si="341"/>
        <v>1422700</v>
      </c>
      <c r="AG424" s="92">
        <f t="shared" si="341"/>
        <v>1460800</v>
      </c>
      <c r="AH424" s="92">
        <f t="shared" si="341"/>
        <v>1498900</v>
      </c>
      <c r="AI424" s="92">
        <f t="shared" si="341"/>
        <v>1538200</v>
      </c>
      <c r="AJ424" s="92">
        <f t="shared" si="341"/>
        <v>0</v>
      </c>
      <c r="AK424" s="92">
        <f t="shared" si="341"/>
        <v>0</v>
      </c>
      <c r="AL424" s="92">
        <f t="shared" si="341"/>
        <v>0</v>
      </c>
      <c r="AM424" s="92">
        <f t="shared" si="341"/>
        <v>0</v>
      </c>
      <c r="AN424" s="92">
        <f t="shared" si="341"/>
        <v>0</v>
      </c>
      <c r="AO424" s="92">
        <f t="shared" si="341"/>
        <v>0</v>
      </c>
      <c r="AP424" s="92">
        <f t="shared" si="341"/>
        <v>0</v>
      </c>
      <c r="AQ424" s="92">
        <f t="shared" si="341"/>
        <v>0</v>
      </c>
      <c r="AR424" s="92">
        <f t="shared" si="341"/>
        <v>0</v>
      </c>
      <c r="AS424" s="92">
        <f t="shared" si="341"/>
        <v>0</v>
      </c>
      <c r="AT424" s="3"/>
      <c r="AY424" s="31">
        <f>+Details!F424-Base!F424</f>
        <v>0</v>
      </c>
      <c r="AZ424" s="92">
        <f>+Details!G424-Base!G424</f>
        <v>0</v>
      </c>
      <c r="BA424" s="92">
        <f>+Details!H424-Base!H424</f>
        <v>0</v>
      </c>
      <c r="BB424" s="92">
        <f>+Details!I424-Base!I424</f>
        <v>0</v>
      </c>
      <c r="BC424" s="92">
        <f>+Details!J424-Base!J424</f>
        <v>0</v>
      </c>
      <c r="BD424" s="92">
        <f>+Details!K424-Base!K424</f>
        <v>0</v>
      </c>
      <c r="BE424" s="92">
        <f>+Details!L424-Base!L424</f>
        <v>0</v>
      </c>
      <c r="BF424" s="92">
        <f>+Details!M424-Base!M424</f>
        <v>0</v>
      </c>
      <c r="BG424" s="92">
        <f>+Details!N424-Base!N424</f>
        <v>0</v>
      </c>
      <c r="BH424" s="92">
        <f>+Details!O424-Base!O424</f>
        <v>0</v>
      </c>
      <c r="BI424" s="92">
        <f>+Details!P424-Base!P424</f>
        <v>0</v>
      </c>
      <c r="BJ424" s="92">
        <f>+Details!Q424-Base!Q424</f>
        <v>0</v>
      </c>
      <c r="BK424" s="92">
        <f>+Details!R424-Base!R424</f>
        <v>0</v>
      </c>
      <c r="BL424" s="92">
        <f>+Details!S424-Base!S424</f>
        <v>0</v>
      </c>
      <c r="BM424" s="92">
        <f>+Details!T424-Base!T424</f>
        <v>0</v>
      </c>
      <c r="BN424" s="92">
        <f>+Details!U424-Base!U424</f>
        <v>0</v>
      </c>
      <c r="BO424" s="92">
        <f>+Details!V424-Base!V424</f>
        <v>0</v>
      </c>
      <c r="BP424" s="92">
        <f>+Details!W424-Base!W424</f>
        <v>0</v>
      </c>
      <c r="BQ424" s="92">
        <f>+Details!X424-Base!X424</f>
        <v>0</v>
      </c>
      <c r="BR424" s="92">
        <f>+Details!Y424-Base!Y424</f>
        <v>0</v>
      </c>
      <c r="BS424" s="92">
        <f>+Details!Z424-Base!Z424</f>
        <v>0</v>
      </c>
      <c r="BT424" s="92">
        <f>+Details!AA424-Base!AA424</f>
        <v>0</v>
      </c>
      <c r="BU424" s="92">
        <f>+Details!AB424-Base!AB424</f>
        <v>0</v>
      </c>
      <c r="BV424" s="92">
        <f>+Details!AC424-Base!AC424</f>
        <v>0</v>
      </c>
      <c r="BW424" s="92">
        <f>+Details!AD424-Base!AD424</f>
        <v>0</v>
      </c>
      <c r="BX424" s="92">
        <f>+Details!AE424-Base!AE424</f>
        <v>0</v>
      </c>
      <c r="BY424" s="92">
        <f>+Details!AF424-Base!AF424</f>
        <v>0</v>
      </c>
      <c r="BZ424" s="92">
        <f>+Details!AG424-Base!AG424</f>
        <v>0</v>
      </c>
      <c r="CA424" s="92">
        <f>+Details!AH424-Base!AH424</f>
        <v>0</v>
      </c>
      <c r="CB424" s="92">
        <f>+Details!AI424-Base!AI424</f>
        <v>0</v>
      </c>
      <c r="CC424" s="92">
        <f>+Details!AJ424-Base!AJ424</f>
        <v>0</v>
      </c>
      <c r="CD424" s="92">
        <f>+Details!AK424-Base!AK424</f>
        <v>0</v>
      </c>
      <c r="CE424" s="92">
        <f>+Details!AL424-Base!AL424</f>
        <v>0</v>
      </c>
      <c r="CF424" s="92">
        <f>+Details!AM424-Base!AM424</f>
        <v>0</v>
      </c>
      <c r="CG424" s="92">
        <f>+Details!AN424-Base!AN424</f>
        <v>0</v>
      </c>
      <c r="CH424" s="92">
        <f>+Details!AO424-Base!AO424</f>
        <v>0</v>
      </c>
      <c r="CI424" s="92">
        <f>+Details!AP424-Base!AP424</f>
        <v>0</v>
      </c>
      <c r="CJ424" s="92">
        <f>+Details!AQ424-Base!AQ424</f>
        <v>0</v>
      </c>
      <c r="CK424" s="92">
        <f>+Details!AR424-Base!AR424</f>
        <v>0</v>
      </c>
      <c r="CL424" s="92">
        <f>+Details!AS424-Base!AS424</f>
        <v>0</v>
      </c>
    </row>
    <row r="425" spans="1:91">
      <c r="B425" s="43" t="s">
        <v>509</v>
      </c>
      <c r="C425" s="136"/>
      <c r="F425" s="92">
        <f t="shared" ref="F425:AS425" si="342">+F485-F424</f>
        <v>100</v>
      </c>
      <c r="G425" s="92">
        <f t="shared" si="342"/>
        <v>100</v>
      </c>
      <c r="H425" s="92">
        <f t="shared" si="342"/>
        <v>100</v>
      </c>
      <c r="I425" s="92">
        <f t="shared" si="342"/>
        <v>100</v>
      </c>
      <c r="J425" s="92">
        <f t="shared" si="342"/>
        <v>100</v>
      </c>
      <c r="K425" s="92">
        <f t="shared" si="342"/>
        <v>100</v>
      </c>
      <c r="L425" s="92">
        <f t="shared" si="342"/>
        <v>200</v>
      </c>
      <c r="M425" s="92">
        <f t="shared" si="342"/>
        <v>100</v>
      </c>
      <c r="N425" s="92">
        <f t="shared" si="342"/>
        <v>200</v>
      </c>
      <c r="O425" s="92">
        <f t="shared" si="342"/>
        <v>100</v>
      </c>
      <c r="P425" s="92">
        <f t="shared" si="342"/>
        <v>100</v>
      </c>
      <c r="Q425" s="92">
        <f t="shared" si="342"/>
        <v>0</v>
      </c>
      <c r="R425" s="92">
        <f t="shared" si="342"/>
        <v>100</v>
      </c>
      <c r="S425" s="92">
        <f t="shared" si="342"/>
        <v>200</v>
      </c>
      <c r="T425" s="92">
        <f t="shared" si="342"/>
        <v>200</v>
      </c>
      <c r="U425" s="92">
        <f t="shared" si="342"/>
        <v>100</v>
      </c>
      <c r="V425" s="92">
        <f t="shared" si="342"/>
        <v>300</v>
      </c>
      <c r="W425" s="92">
        <f t="shared" si="342"/>
        <v>200</v>
      </c>
      <c r="X425" s="92">
        <f t="shared" si="342"/>
        <v>300</v>
      </c>
      <c r="Y425" s="92">
        <f t="shared" si="342"/>
        <v>200</v>
      </c>
      <c r="Z425" s="92">
        <f t="shared" si="342"/>
        <v>200</v>
      </c>
      <c r="AA425" s="92">
        <f t="shared" si="342"/>
        <v>200</v>
      </c>
      <c r="AB425" s="92">
        <f t="shared" si="342"/>
        <v>-1500</v>
      </c>
      <c r="AC425" s="92">
        <f t="shared" si="342"/>
        <v>400</v>
      </c>
      <c r="AD425" s="92">
        <f t="shared" si="342"/>
        <v>200</v>
      </c>
      <c r="AE425" s="92">
        <f t="shared" si="342"/>
        <v>600</v>
      </c>
      <c r="AF425" s="92">
        <f t="shared" si="342"/>
        <v>600</v>
      </c>
      <c r="AG425" s="92">
        <f t="shared" si="342"/>
        <v>700</v>
      </c>
      <c r="AH425" s="92">
        <f t="shared" si="342"/>
        <v>800</v>
      </c>
      <c r="AI425" s="92">
        <f t="shared" si="342"/>
        <v>700</v>
      </c>
      <c r="AJ425" s="92">
        <f t="shared" si="342"/>
        <v>0</v>
      </c>
      <c r="AK425" s="92">
        <f t="shared" si="342"/>
        <v>0</v>
      </c>
      <c r="AL425" s="92">
        <f t="shared" si="342"/>
        <v>0</v>
      </c>
      <c r="AM425" s="92">
        <f t="shared" si="342"/>
        <v>0</v>
      </c>
      <c r="AN425" s="92">
        <f t="shared" si="342"/>
        <v>0</v>
      </c>
      <c r="AO425" s="92">
        <f t="shared" si="342"/>
        <v>0</v>
      </c>
      <c r="AP425" s="92">
        <f t="shared" si="342"/>
        <v>0</v>
      </c>
      <c r="AQ425" s="92">
        <f t="shared" si="342"/>
        <v>0</v>
      </c>
      <c r="AR425" s="92">
        <f t="shared" si="342"/>
        <v>0</v>
      </c>
      <c r="AS425" s="92">
        <f t="shared" si="342"/>
        <v>0</v>
      </c>
      <c r="AT425" s="3"/>
      <c r="AY425" s="31">
        <f>+Details!F425-Base!F425</f>
        <v>0</v>
      </c>
      <c r="AZ425" s="92">
        <f>+Details!G425-Base!G425</f>
        <v>0</v>
      </c>
      <c r="BA425" s="92">
        <f>+Details!H425-Base!H425</f>
        <v>0</v>
      </c>
      <c r="BB425" s="92">
        <f>+Details!I425-Base!I425</f>
        <v>0</v>
      </c>
      <c r="BC425" s="92">
        <f>+Details!J425-Base!J425</f>
        <v>0</v>
      </c>
      <c r="BD425" s="92">
        <f>+Details!K425-Base!K425</f>
        <v>0</v>
      </c>
      <c r="BE425" s="92">
        <f>+Details!L425-Base!L425</f>
        <v>0</v>
      </c>
      <c r="BF425" s="92">
        <f>+Details!M425-Base!M425</f>
        <v>0</v>
      </c>
      <c r="BG425" s="92">
        <f>+Details!N425-Base!N425</f>
        <v>0</v>
      </c>
      <c r="BH425" s="92">
        <f>+Details!O425-Base!O425</f>
        <v>0</v>
      </c>
      <c r="BI425" s="92">
        <f>+Details!P425-Base!P425</f>
        <v>0</v>
      </c>
      <c r="BJ425" s="92">
        <f>+Details!Q425-Base!Q425</f>
        <v>0</v>
      </c>
      <c r="BK425" s="92">
        <f>+Details!R425-Base!R425</f>
        <v>0</v>
      </c>
      <c r="BL425" s="92">
        <f>+Details!S425-Base!S425</f>
        <v>0</v>
      </c>
      <c r="BM425" s="92">
        <f>+Details!T425-Base!T425</f>
        <v>0</v>
      </c>
      <c r="BN425" s="92">
        <f>+Details!U425-Base!U425</f>
        <v>0</v>
      </c>
      <c r="BO425" s="92">
        <f>+Details!V425-Base!V425</f>
        <v>0</v>
      </c>
      <c r="BP425" s="92">
        <f>+Details!W425-Base!W425</f>
        <v>0</v>
      </c>
      <c r="BQ425" s="92">
        <f>+Details!X425-Base!X425</f>
        <v>0</v>
      </c>
      <c r="BR425" s="92">
        <f>+Details!Y425-Base!Y425</f>
        <v>0</v>
      </c>
      <c r="BS425" s="92">
        <f>+Details!Z425-Base!Z425</f>
        <v>0</v>
      </c>
      <c r="BT425" s="92">
        <f>+Details!AA425-Base!AA425</f>
        <v>0</v>
      </c>
      <c r="BU425" s="92">
        <f>+Details!AB425-Base!AB425</f>
        <v>0</v>
      </c>
      <c r="BV425" s="92">
        <f>+Details!AC425-Base!AC425</f>
        <v>0</v>
      </c>
      <c r="BW425" s="92">
        <f>+Details!AD425-Base!AD425</f>
        <v>0</v>
      </c>
      <c r="BX425" s="92">
        <f>+Details!AE425-Base!AE425</f>
        <v>0</v>
      </c>
      <c r="BY425" s="92">
        <f>+Details!AF425-Base!AF425</f>
        <v>0</v>
      </c>
      <c r="BZ425" s="92">
        <f>+Details!AG425-Base!AG425</f>
        <v>0</v>
      </c>
      <c r="CA425" s="92">
        <f>+Details!AH425-Base!AH425</f>
        <v>0</v>
      </c>
      <c r="CB425" s="92">
        <f>+Details!AI425-Base!AI425</f>
        <v>0</v>
      </c>
      <c r="CC425" s="92">
        <f>+Details!AJ425-Base!AJ425</f>
        <v>0</v>
      </c>
      <c r="CD425" s="92">
        <f>+Details!AK425-Base!AK425</f>
        <v>0</v>
      </c>
      <c r="CE425" s="92">
        <f>+Details!AL425-Base!AL425</f>
        <v>0</v>
      </c>
      <c r="CF425" s="92">
        <f>+Details!AM425-Base!AM425</f>
        <v>0</v>
      </c>
      <c r="CG425" s="92">
        <f>+Details!AN425-Base!AN425</f>
        <v>0</v>
      </c>
      <c r="CH425" s="92">
        <f>+Details!AO425-Base!AO425</f>
        <v>0</v>
      </c>
      <c r="CI425" s="92">
        <f>+Details!AP425-Base!AP425</f>
        <v>0</v>
      </c>
      <c r="CJ425" s="92">
        <f>+Details!AQ425-Base!AQ425</f>
        <v>0</v>
      </c>
      <c r="CK425" s="92">
        <f>+Details!AR425-Base!AR425</f>
        <v>0</v>
      </c>
      <c r="CL425" s="92">
        <f>+Details!AS425-Base!AS425</f>
        <v>0</v>
      </c>
    </row>
    <row r="426" spans="1:91" s="3" customFormat="1">
      <c r="A426" s="1430"/>
      <c r="F426" s="92"/>
      <c r="G426" s="92"/>
      <c r="H426" s="92"/>
      <c r="I426" s="92"/>
      <c r="J426" s="92"/>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s="524"/>
      <c r="AU426" s="524"/>
      <c r="AV426" s="524"/>
      <c r="AW426" s="1"/>
      <c r="AY426"/>
      <c r="AZ426" s="92"/>
      <c r="BA426" s="92"/>
      <c r="BB426" s="92"/>
      <c r="BC426" s="92"/>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s="524"/>
    </row>
    <row r="427" spans="1:91" s="3" customFormat="1">
      <c r="A427" s="1430"/>
      <c r="B427" s="524"/>
      <c r="C427" s="524"/>
      <c r="D427" s="524"/>
      <c r="E427" s="524"/>
      <c r="AT427" s="524"/>
      <c r="AU427" s="524"/>
      <c r="AV427" s="524"/>
      <c r="AW427" s="1"/>
      <c r="AY427"/>
      <c r="CM427" s="524"/>
    </row>
    <row r="428" spans="1:91" ht="17.399999999999999">
      <c r="B428" s="865" t="s">
        <v>1052</v>
      </c>
      <c r="C428" s="399"/>
      <c r="F428" s="523"/>
    </row>
    <row r="429" spans="1:91" ht="16.2" thickBot="1">
      <c r="B429" s="509" t="s">
        <v>641</v>
      </c>
      <c r="C429" s="268"/>
      <c r="F429" s="523"/>
    </row>
    <row r="430" spans="1:91" ht="15.6">
      <c r="B430" s="552" t="s">
        <v>642</v>
      </c>
      <c r="C430" s="437"/>
      <c r="D430" s="108" t="s">
        <v>322</v>
      </c>
      <c r="F430" s="44">
        <f t="shared" ref="F430:AS430" si="343">+F22</f>
        <v>0.05</v>
      </c>
      <c r="G430" s="44">
        <f t="shared" si="343"/>
        <v>0.05</v>
      </c>
      <c r="H430" s="44">
        <f t="shared" si="343"/>
        <v>0.05</v>
      </c>
      <c r="I430" s="44">
        <f t="shared" si="343"/>
        <v>0.05</v>
      </c>
      <c r="J430" s="44">
        <f t="shared" si="343"/>
        <v>0.05</v>
      </c>
      <c r="K430" s="44">
        <f t="shared" si="343"/>
        <v>0.05</v>
      </c>
      <c r="L430" s="44">
        <f t="shared" si="343"/>
        <v>0.05</v>
      </c>
      <c r="M430" s="44">
        <f t="shared" si="343"/>
        <v>0.05</v>
      </c>
      <c r="N430" s="44">
        <f t="shared" si="343"/>
        <v>0.05</v>
      </c>
      <c r="O430" s="44">
        <f t="shared" si="343"/>
        <v>0.05</v>
      </c>
      <c r="P430" s="44">
        <f t="shared" si="343"/>
        <v>0.05</v>
      </c>
      <c r="Q430" s="44">
        <f t="shared" si="343"/>
        <v>0.05</v>
      </c>
      <c r="R430" s="44">
        <f t="shared" si="343"/>
        <v>0.05</v>
      </c>
      <c r="S430" s="44">
        <f t="shared" si="343"/>
        <v>0.05</v>
      </c>
      <c r="T430" s="44">
        <f t="shared" si="343"/>
        <v>0.05</v>
      </c>
      <c r="U430" s="44">
        <f t="shared" si="343"/>
        <v>0.05</v>
      </c>
      <c r="V430" s="44">
        <f t="shared" si="343"/>
        <v>0.05</v>
      </c>
      <c r="W430" s="44">
        <f t="shared" si="343"/>
        <v>0.05</v>
      </c>
      <c r="X430" s="44">
        <f t="shared" si="343"/>
        <v>4.1000000000000002E-2</v>
      </c>
      <c r="Y430" s="44">
        <f t="shared" si="343"/>
        <v>4.1000000000000002E-2</v>
      </c>
      <c r="Z430" s="44">
        <f t="shared" si="343"/>
        <v>4.1000000000000002E-2</v>
      </c>
      <c r="AA430" s="44">
        <f t="shared" si="343"/>
        <v>4.1000000000000002E-2</v>
      </c>
      <c r="AB430" s="44">
        <f t="shared" si="343"/>
        <v>4.1000000000000002E-2</v>
      </c>
      <c r="AC430" s="44">
        <f t="shared" si="343"/>
        <v>4.1000000000000002E-2</v>
      </c>
      <c r="AD430" s="44">
        <f t="shared" si="343"/>
        <v>4.1000000000000002E-2</v>
      </c>
      <c r="AE430" s="44">
        <f t="shared" si="343"/>
        <v>4.1000000000000002E-2</v>
      </c>
      <c r="AF430" s="44">
        <f t="shared" si="343"/>
        <v>4.1000000000000002E-2</v>
      </c>
      <c r="AG430" s="44">
        <f t="shared" si="343"/>
        <v>4.1000000000000002E-2</v>
      </c>
      <c r="AH430" s="44">
        <f t="shared" si="343"/>
        <v>4.1000000000000002E-2</v>
      </c>
      <c r="AI430" s="44">
        <f t="shared" si="343"/>
        <v>4.1000000000000002E-2</v>
      </c>
      <c r="AJ430" s="44">
        <f t="shared" si="343"/>
        <v>4.1000000000000002E-2</v>
      </c>
      <c r="AK430" s="44">
        <f t="shared" si="343"/>
        <v>4.1000000000000002E-2</v>
      </c>
      <c r="AL430" s="44">
        <f t="shared" si="343"/>
        <v>4.1000000000000002E-2</v>
      </c>
      <c r="AM430" s="44">
        <f t="shared" si="343"/>
        <v>4.1000000000000002E-2</v>
      </c>
      <c r="AN430" s="44">
        <f t="shared" si="343"/>
        <v>4.1000000000000002E-2</v>
      </c>
      <c r="AO430" s="44">
        <f t="shared" si="343"/>
        <v>4.1000000000000002E-2</v>
      </c>
      <c r="AP430" s="44">
        <f t="shared" si="343"/>
        <v>4.1000000000000002E-2</v>
      </c>
      <c r="AQ430" s="44">
        <f t="shared" si="343"/>
        <v>4.1000000000000002E-2</v>
      </c>
      <c r="AR430" s="44">
        <f t="shared" si="343"/>
        <v>4.1000000000000002E-2</v>
      </c>
      <c r="AS430" s="44">
        <f t="shared" si="343"/>
        <v>4.1000000000000002E-2</v>
      </c>
      <c r="AY430" s="44">
        <f>+Details!F430-Base!F430</f>
        <v>0</v>
      </c>
      <c r="AZ430" s="44">
        <f>+Details!G430-Base!G430</f>
        <v>0</v>
      </c>
      <c r="BA430" s="44">
        <f>+Details!H430-Base!H430</f>
        <v>0</v>
      </c>
      <c r="BB430" s="44">
        <f>+Details!I430-Base!I430</f>
        <v>0</v>
      </c>
      <c r="BC430" s="44">
        <f>+Details!J430-Base!J430</f>
        <v>0</v>
      </c>
      <c r="BD430" s="44">
        <f>+Details!K430-Base!K430</f>
        <v>0</v>
      </c>
      <c r="BE430" s="44">
        <f>+Details!L430-Base!L430</f>
        <v>0</v>
      </c>
      <c r="BF430" s="44">
        <f>+Details!M430-Base!M430</f>
        <v>0</v>
      </c>
      <c r="BG430" s="44">
        <f>+Details!N430-Base!N430</f>
        <v>0</v>
      </c>
      <c r="BH430" s="44">
        <f>+Details!O430-Base!O430</f>
        <v>0</v>
      </c>
      <c r="BI430" s="44">
        <f>+Details!P430-Base!P430</f>
        <v>0</v>
      </c>
      <c r="BJ430" s="44">
        <f>+Details!Q430-Base!Q430</f>
        <v>0</v>
      </c>
      <c r="BK430" s="44">
        <f>+Details!R430-Base!R430</f>
        <v>0</v>
      </c>
      <c r="BL430" s="44">
        <f>+Details!S430-Base!S430</f>
        <v>0</v>
      </c>
      <c r="BM430" s="44">
        <f>+Details!T430-Base!T430</f>
        <v>0</v>
      </c>
      <c r="BN430" s="44">
        <f>+Details!U430-Base!U430</f>
        <v>0</v>
      </c>
      <c r="BO430" s="44">
        <f>+Details!V430-Base!V430</f>
        <v>0</v>
      </c>
      <c r="BP430" s="44">
        <f>+Details!W430-Base!W430</f>
        <v>0</v>
      </c>
      <c r="BQ430" s="44">
        <f>+Details!X430-Base!X430</f>
        <v>0</v>
      </c>
      <c r="BR430" s="44">
        <f>+Details!Y430-Base!Y430</f>
        <v>0</v>
      </c>
      <c r="BS430" s="44">
        <f>+Details!Z430-Base!Z430</f>
        <v>0</v>
      </c>
      <c r="BT430" s="44">
        <f>+Details!AA430-Base!AA430</f>
        <v>0</v>
      </c>
      <c r="BU430" s="44">
        <f>+Details!AB430-Base!AB430</f>
        <v>0</v>
      </c>
      <c r="BV430" s="44">
        <f>+Details!AC430-Base!AC430</f>
        <v>0</v>
      </c>
      <c r="BW430" s="44">
        <f>+Details!AD430-Base!AD430</f>
        <v>0</v>
      </c>
      <c r="BX430" s="44">
        <f>+Details!AE430-Base!AE430</f>
        <v>0</v>
      </c>
      <c r="BY430" s="44">
        <f>+Details!AF430-Base!AF430</f>
        <v>0</v>
      </c>
      <c r="BZ430" s="44">
        <f>+Details!AG430-Base!AG430</f>
        <v>0</v>
      </c>
      <c r="CA430" s="44">
        <f>+Details!AH430-Base!AH430</f>
        <v>0</v>
      </c>
      <c r="CB430" s="44">
        <f>+Details!AI430-Base!AI430</f>
        <v>0</v>
      </c>
      <c r="CC430" s="44">
        <f>+Details!AJ430-Base!AJ430</f>
        <v>0</v>
      </c>
      <c r="CD430" s="44">
        <f>+Details!AK430-Base!AK430</f>
        <v>0</v>
      </c>
      <c r="CE430" s="44">
        <f>+Details!AL430-Base!AL430</f>
        <v>0</v>
      </c>
      <c r="CF430" s="44">
        <f>+Details!AM430-Base!AM430</f>
        <v>0</v>
      </c>
      <c r="CG430" s="44">
        <f>+Details!AN430-Base!AN430</f>
        <v>0</v>
      </c>
      <c r="CH430" s="44">
        <f>+Details!AO430-Base!AO430</f>
        <v>0</v>
      </c>
      <c r="CI430" s="44">
        <f>+Details!AP430-Base!AP430</f>
        <v>0</v>
      </c>
      <c r="CJ430" s="44">
        <f>+Details!AQ430-Base!AQ430</f>
        <v>0</v>
      </c>
      <c r="CK430" s="44">
        <f>+Details!AR430-Base!AR430</f>
        <v>0</v>
      </c>
      <c r="CL430" s="44">
        <f>+Details!AS430-Base!AS430</f>
        <v>0</v>
      </c>
    </row>
    <row r="431" spans="1:91" ht="15.6">
      <c r="B431" s="552" t="s">
        <v>174</v>
      </c>
      <c r="C431" s="437"/>
      <c r="D431" s="611">
        <f>IF(Change_Age&gt;0,Change_Age-Your_Age+First_Year,First_Year)</f>
        <v>2037</v>
      </c>
      <c r="F431" s="44">
        <f t="shared" ref="F431:AS431" si="344">+F23</f>
        <v>6.5000000000000002E-2</v>
      </c>
      <c r="G431" s="44">
        <f t="shared" si="344"/>
        <v>6.5000000000000002E-2</v>
      </c>
      <c r="H431" s="44">
        <f t="shared" si="344"/>
        <v>6.5000000000000002E-2</v>
      </c>
      <c r="I431" s="44">
        <f t="shared" si="344"/>
        <v>6.5000000000000002E-2</v>
      </c>
      <c r="J431" s="44">
        <f t="shared" si="344"/>
        <v>6.5000000000000002E-2</v>
      </c>
      <c r="K431" s="44">
        <f t="shared" si="344"/>
        <v>6.5000000000000002E-2</v>
      </c>
      <c r="L431" s="44">
        <f t="shared" si="344"/>
        <v>6.5000000000000002E-2</v>
      </c>
      <c r="M431" s="44">
        <f t="shared" si="344"/>
        <v>6.5000000000000002E-2</v>
      </c>
      <c r="N431" s="44">
        <f t="shared" si="344"/>
        <v>6.5000000000000002E-2</v>
      </c>
      <c r="O431" s="44">
        <f t="shared" si="344"/>
        <v>6.5000000000000002E-2</v>
      </c>
      <c r="P431" s="44">
        <f t="shared" si="344"/>
        <v>6.5000000000000002E-2</v>
      </c>
      <c r="Q431" s="44">
        <f t="shared" si="344"/>
        <v>6.5000000000000002E-2</v>
      </c>
      <c r="R431" s="44">
        <f t="shared" si="344"/>
        <v>6.5000000000000002E-2</v>
      </c>
      <c r="S431" s="44">
        <f t="shared" si="344"/>
        <v>6.5000000000000002E-2</v>
      </c>
      <c r="T431" s="44">
        <f t="shared" si="344"/>
        <v>6.5000000000000002E-2</v>
      </c>
      <c r="U431" s="44">
        <f t="shared" si="344"/>
        <v>6.5000000000000002E-2</v>
      </c>
      <c r="V431" s="44">
        <f t="shared" si="344"/>
        <v>6.5000000000000002E-2</v>
      </c>
      <c r="W431" s="44">
        <f t="shared" si="344"/>
        <v>6.5000000000000002E-2</v>
      </c>
      <c r="X431" s="44">
        <f t="shared" si="344"/>
        <v>5.6000000000000001E-2</v>
      </c>
      <c r="Y431" s="44">
        <f t="shared" si="344"/>
        <v>5.6000000000000001E-2</v>
      </c>
      <c r="Z431" s="44">
        <f t="shared" si="344"/>
        <v>5.6000000000000001E-2</v>
      </c>
      <c r="AA431" s="44">
        <f t="shared" si="344"/>
        <v>5.6000000000000001E-2</v>
      </c>
      <c r="AB431" s="44">
        <f t="shared" si="344"/>
        <v>5.6000000000000001E-2</v>
      </c>
      <c r="AC431" s="44">
        <f t="shared" si="344"/>
        <v>5.6000000000000001E-2</v>
      </c>
      <c r="AD431" s="44">
        <f t="shared" si="344"/>
        <v>5.6000000000000001E-2</v>
      </c>
      <c r="AE431" s="44">
        <f t="shared" si="344"/>
        <v>5.6000000000000001E-2</v>
      </c>
      <c r="AF431" s="44">
        <f t="shared" si="344"/>
        <v>5.6000000000000001E-2</v>
      </c>
      <c r="AG431" s="44">
        <f t="shared" si="344"/>
        <v>5.6000000000000001E-2</v>
      </c>
      <c r="AH431" s="44">
        <f t="shared" si="344"/>
        <v>5.6000000000000001E-2</v>
      </c>
      <c r="AI431" s="44">
        <f t="shared" si="344"/>
        <v>5.6000000000000001E-2</v>
      </c>
      <c r="AJ431" s="44">
        <f t="shared" si="344"/>
        <v>5.6000000000000001E-2</v>
      </c>
      <c r="AK431" s="44">
        <f t="shared" si="344"/>
        <v>5.6000000000000001E-2</v>
      </c>
      <c r="AL431" s="44">
        <f t="shared" si="344"/>
        <v>5.6000000000000001E-2</v>
      </c>
      <c r="AM431" s="44">
        <f t="shared" si="344"/>
        <v>5.6000000000000001E-2</v>
      </c>
      <c r="AN431" s="44">
        <f t="shared" si="344"/>
        <v>5.6000000000000001E-2</v>
      </c>
      <c r="AO431" s="44">
        <f t="shared" si="344"/>
        <v>5.6000000000000001E-2</v>
      </c>
      <c r="AP431" s="44">
        <f t="shared" si="344"/>
        <v>5.6000000000000001E-2</v>
      </c>
      <c r="AQ431" s="44">
        <f t="shared" si="344"/>
        <v>5.6000000000000001E-2</v>
      </c>
      <c r="AR431" s="44">
        <f t="shared" si="344"/>
        <v>5.6000000000000001E-2</v>
      </c>
      <c r="AS431" s="44">
        <f t="shared" si="344"/>
        <v>5.6000000000000001E-2</v>
      </c>
      <c r="AY431" s="44">
        <f>+Details!F431-Base!F431</f>
        <v>0</v>
      </c>
      <c r="AZ431" s="44">
        <f>+Details!G431-Base!G431</f>
        <v>0</v>
      </c>
      <c r="BA431" s="44">
        <f>+Details!H431-Base!H431</f>
        <v>0</v>
      </c>
      <c r="BB431" s="44">
        <f>+Details!I431-Base!I431</f>
        <v>0</v>
      </c>
      <c r="BC431" s="44">
        <f>+Details!J431-Base!J431</f>
        <v>0</v>
      </c>
      <c r="BD431" s="44">
        <f>+Details!K431-Base!K431</f>
        <v>0</v>
      </c>
      <c r="BE431" s="44">
        <f>+Details!L431-Base!L431</f>
        <v>0</v>
      </c>
      <c r="BF431" s="44">
        <f>+Details!M431-Base!M431</f>
        <v>0</v>
      </c>
      <c r="BG431" s="44">
        <f>+Details!N431-Base!N431</f>
        <v>0</v>
      </c>
      <c r="BH431" s="44">
        <f>+Details!O431-Base!O431</f>
        <v>0</v>
      </c>
      <c r="BI431" s="44">
        <f>+Details!P431-Base!P431</f>
        <v>0</v>
      </c>
      <c r="BJ431" s="44">
        <f>+Details!Q431-Base!Q431</f>
        <v>0</v>
      </c>
      <c r="BK431" s="44">
        <f>+Details!R431-Base!R431</f>
        <v>0</v>
      </c>
      <c r="BL431" s="44">
        <f>+Details!S431-Base!S431</f>
        <v>0</v>
      </c>
      <c r="BM431" s="44">
        <f>+Details!T431-Base!T431</f>
        <v>0</v>
      </c>
      <c r="BN431" s="44">
        <f>+Details!U431-Base!U431</f>
        <v>0</v>
      </c>
      <c r="BO431" s="44">
        <f>+Details!V431-Base!V431</f>
        <v>0</v>
      </c>
      <c r="BP431" s="44">
        <f>+Details!W431-Base!W431</f>
        <v>0</v>
      </c>
      <c r="BQ431" s="44">
        <f>+Details!X431-Base!X431</f>
        <v>0</v>
      </c>
      <c r="BR431" s="44">
        <f>+Details!Y431-Base!Y431</f>
        <v>0</v>
      </c>
      <c r="BS431" s="44">
        <f>+Details!Z431-Base!Z431</f>
        <v>0</v>
      </c>
      <c r="BT431" s="44">
        <f>+Details!AA431-Base!AA431</f>
        <v>0</v>
      </c>
      <c r="BU431" s="44">
        <f>+Details!AB431-Base!AB431</f>
        <v>0</v>
      </c>
      <c r="BV431" s="44">
        <f>+Details!AC431-Base!AC431</f>
        <v>0</v>
      </c>
      <c r="BW431" s="44">
        <f>+Details!AD431-Base!AD431</f>
        <v>0</v>
      </c>
      <c r="BX431" s="44">
        <f>+Details!AE431-Base!AE431</f>
        <v>0</v>
      </c>
      <c r="BY431" s="44">
        <f>+Details!AF431-Base!AF431</f>
        <v>0</v>
      </c>
      <c r="BZ431" s="44">
        <f>+Details!AG431-Base!AG431</f>
        <v>0</v>
      </c>
      <c r="CA431" s="44">
        <f>+Details!AH431-Base!AH431</f>
        <v>0</v>
      </c>
      <c r="CB431" s="44">
        <f>+Details!AI431-Base!AI431</f>
        <v>0</v>
      </c>
      <c r="CC431" s="44">
        <f>+Details!AJ431-Base!AJ431</f>
        <v>0</v>
      </c>
      <c r="CD431" s="44">
        <f>+Details!AK431-Base!AK431</f>
        <v>0</v>
      </c>
      <c r="CE431" s="44">
        <f>+Details!AL431-Base!AL431</f>
        <v>0</v>
      </c>
      <c r="CF431" s="44">
        <f>+Details!AM431-Base!AM431</f>
        <v>0</v>
      </c>
      <c r="CG431" s="44">
        <f>+Details!AN431-Base!AN431</f>
        <v>0</v>
      </c>
      <c r="CH431" s="44">
        <f>+Details!AO431-Base!AO431</f>
        <v>0</v>
      </c>
      <c r="CI431" s="44">
        <f>+Details!AP431-Base!AP431</f>
        <v>0</v>
      </c>
      <c r="CJ431" s="44">
        <f>+Details!AQ431-Base!AQ431</f>
        <v>0</v>
      </c>
      <c r="CK431" s="44">
        <f>+Details!AR431-Base!AR431</f>
        <v>0</v>
      </c>
      <c r="CL431" s="44">
        <f>+Details!AS431-Base!AS431</f>
        <v>0</v>
      </c>
    </row>
    <row r="432" spans="1:91" ht="15.6">
      <c r="B432" s="552" t="s">
        <v>725</v>
      </c>
      <c r="C432" s="437"/>
      <c r="D432" s="32"/>
      <c r="F432" s="44">
        <f t="shared" ref="F432:AS432" si="345">+F24</f>
        <v>5.8999999999999997E-2</v>
      </c>
      <c r="G432" s="44">
        <f t="shared" si="345"/>
        <v>5.8999999999999997E-2</v>
      </c>
      <c r="H432" s="44">
        <f t="shared" si="345"/>
        <v>5.8999999999999997E-2</v>
      </c>
      <c r="I432" s="44">
        <f t="shared" si="345"/>
        <v>5.8999999999999997E-2</v>
      </c>
      <c r="J432" s="44">
        <f t="shared" si="345"/>
        <v>5.8999999999999997E-2</v>
      </c>
      <c r="K432" s="44">
        <f t="shared" si="345"/>
        <v>5.8999999999999997E-2</v>
      </c>
      <c r="L432" s="44">
        <f t="shared" si="345"/>
        <v>5.8999999999999997E-2</v>
      </c>
      <c r="M432" s="44">
        <f t="shared" si="345"/>
        <v>5.8999999999999997E-2</v>
      </c>
      <c r="N432" s="44">
        <f t="shared" si="345"/>
        <v>5.8999999999999997E-2</v>
      </c>
      <c r="O432" s="44">
        <f t="shared" si="345"/>
        <v>5.8999999999999997E-2</v>
      </c>
      <c r="P432" s="44">
        <f t="shared" si="345"/>
        <v>5.8999999999999997E-2</v>
      </c>
      <c r="Q432" s="44">
        <f t="shared" si="345"/>
        <v>5.8999999999999997E-2</v>
      </c>
      <c r="R432" s="44">
        <f t="shared" si="345"/>
        <v>5.8999999999999997E-2</v>
      </c>
      <c r="S432" s="44">
        <f t="shared" si="345"/>
        <v>5.8999999999999997E-2</v>
      </c>
      <c r="T432" s="44">
        <f t="shared" si="345"/>
        <v>5.8999999999999997E-2</v>
      </c>
      <c r="U432" s="44">
        <f t="shared" si="345"/>
        <v>5.8999999999999997E-2</v>
      </c>
      <c r="V432" s="44">
        <f t="shared" si="345"/>
        <v>5.8999999999999997E-2</v>
      </c>
      <c r="W432" s="44">
        <f t="shared" si="345"/>
        <v>5.8999999999999997E-2</v>
      </c>
      <c r="X432" s="44">
        <f t="shared" si="345"/>
        <v>5.2999999999999999E-2</v>
      </c>
      <c r="Y432" s="44">
        <f t="shared" si="345"/>
        <v>5.2999999999999999E-2</v>
      </c>
      <c r="Z432" s="44">
        <f t="shared" si="345"/>
        <v>5.2999999999999999E-2</v>
      </c>
      <c r="AA432" s="44">
        <f t="shared" si="345"/>
        <v>5.2999999999999999E-2</v>
      </c>
      <c r="AB432" s="44">
        <f t="shared" si="345"/>
        <v>5.2999999999999999E-2</v>
      </c>
      <c r="AC432" s="44">
        <f t="shared" si="345"/>
        <v>5.2999999999999999E-2</v>
      </c>
      <c r="AD432" s="44">
        <f t="shared" si="345"/>
        <v>5.2999999999999999E-2</v>
      </c>
      <c r="AE432" s="44">
        <f t="shared" si="345"/>
        <v>5.2999999999999999E-2</v>
      </c>
      <c r="AF432" s="44">
        <f t="shared" si="345"/>
        <v>5.2999999999999999E-2</v>
      </c>
      <c r="AG432" s="44">
        <f t="shared" si="345"/>
        <v>5.2999999999999999E-2</v>
      </c>
      <c r="AH432" s="44">
        <f t="shared" si="345"/>
        <v>5.2999999999999999E-2</v>
      </c>
      <c r="AI432" s="44">
        <f t="shared" si="345"/>
        <v>5.2999999999999999E-2</v>
      </c>
      <c r="AJ432" s="44">
        <f t="shared" si="345"/>
        <v>5.2999999999999999E-2</v>
      </c>
      <c r="AK432" s="44">
        <f t="shared" si="345"/>
        <v>5.2999999999999999E-2</v>
      </c>
      <c r="AL432" s="44">
        <f t="shared" si="345"/>
        <v>5.2999999999999999E-2</v>
      </c>
      <c r="AM432" s="44">
        <f t="shared" si="345"/>
        <v>5.2999999999999999E-2</v>
      </c>
      <c r="AN432" s="44">
        <f t="shared" si="345"/>
        <v>5.2999999999999999E-2</v>
      </c>
      <c r="AO432" s="44">
        <f t="shared" si="345"/>
        <v>5.2999999999999999E-2</v>
      </c>
      <c r="AP432" s="44">
        <f t="shared" si="345"/>
        <v>5.2999999999999999E-2</v>
      </c>
      <c r="AQ432" s="44">
        <f t="shared" si="345"/>
        <v>5.2999999999999999E-2</v>
      </c>
      <c r="AR432" s="44">
        <f t="shared" si="345"/>
        <v>5.2999999999999999E-2</v>
      </c>
      <c r="AS432" s="44">
        <f t="shared" si="345"/>
        <v>5.2999999999999999E-2</v>
      </c>
      <c r="AY432" s="44">
        <f>+Details!F432-Base!F432</f>
        <v>0</v>
      </c>
      <c r="AZ432" s="44">
        <f>+Details!G432-Base!G432</f>
        <v>0</v>
      </c>
      <c r="BA432" s="44">
        <f>+Details!H432-Base!H432</f>
        <v>0</v>
      </c>
      <c r="BB432" s="44">
        <f>+Details!I432-Base!I432</f>
        <v>0</v>
      </c>
      <c r="BC432" s="44">
        <f>+Details!J432-Base!J432</f>
        <v>0</v>
      </c>
      <c r="BD432" s="44">
        <f>+Details!K432-Base!K432</f>
        <v>0</v>
      </c>
      <c r="BE432" s="44">
        <f>+Details!L432-Base!L432</f>
        <v>0</v>
      </c>
      <c r="BF432" s="44">
        <f>+Details!M432-Base!M432</f>
        <v>0</v>
      </c>
      <c r="BG432" s="44">
        <f>+Details!N432-Base!N432</f>
        <v>0</v>
      </c>
      <c r="BH432" s="44">
        <f>+Details!O432-Base!O432</f>
        <v>0</v>
      </c>
      <c r="BI432" s="44">
        <f>+Details!P432-Base!P432</f>
        <v>0</v>
      </c>
      <c r="BJ432" s="44">
        <f>+Details!Q432-Base!Q432</f>
        <v>0</v>
      </c>
      <c r="BK432" s="44">
        <f>+Details!R432-Base!R432</f>
        <v>0</v>
      </c>
      <c r="BL432" s="44">
        <f>+Details!S432-Base!S432</f>
        <v>0</v>
      </c>
      <c r="BM432" s="44">
        <f>+Details!T432-Base!T432</f>
        <v>0</v>
      </c>
      <c r="BN432" s="44">
        <f>+Details!U432-Base!U432</f>
        <v>0</v>
      </c>
      <c r="BO432" s="44">
        <f>+Details!V432-Base!V432</f>
        <v>0</v>
      </c>
      <c r="BP432" s="44">
        <f>+Details!W432-Base!W432</f>
        <v>0</v>
      </c>
      <c r="BQ432" s="44">
        <f>+Details!X432-Base!X432</f>
        <v>0</v>
      </c>
      <c r="BR432" s="44">
        <f>+Details!Y432-Base!Y432</f>
        <v>0</v>
      </c>
      <c r="BS432" s="44">
        <f>+Details!Z432-Base!Z432</f>
        <v>0</v>
      </c>
      <c r="BT432" s="44">
        <f>+Details!AA432-Base!AA432</f>
        <v>0</v>
      </c>
      <c r="BU432" s="44">
        <f>+Details!AB432-Base!AB432</f>
        <v>0</v>
      </c>
      <c r="BV432" s="44">
        <f>+Details!AC432-Base!AC432</f>
        <v>0</v>
      </c>
      <c r="BW432" s="44">
        <f>+Details!AD432-Base!AD432</f>
        <v>0</v>
      </c>
      <c r="BX432" s="44">
        <f>+Details!AE432-Base!AE432</f>
        <v>0</v>
      </c>
      <c r="BY432" s="44">
        <f>+Details!AF432-Base!AF432</f>
        <v>0</v>
      </c>
      <c r="BZ432" s="44">
        <f>+Details!AG432-Base!AG432</f>
        <v>0</v>
      </c>
      <c r="CA432" s="44">
        <f>+Details!AH432-Base!AH432</f>
        <v>0</v>
      </c>
      <c r="CB432" s="44">
        <f>+Details!AI432-Base!AI432</f>
        <v>0</v>
      </c>
      <c r="CC432" s="44">
        <f>+Details!AJ432-Base!AJ432</f>
        <v>0</v>
      </c>
      <c r="CD432" s="44">
        <f>+Details!AK432-Base!AK432</f>
        <v>0</v>
      </c>
      <c r="CE432" s="44">
        <f>+Details!AL432-Base!AL432</f>
        <v>0</v>
      </c>
      <c r="CF432" s="44">
        <f>+Details!AM432-Base!AM432</f>
        <v>0</v>
      </c>
      <c r="CG432" s="44">
        <f>+Details!AN432-Base!AN432</f>
        <v>0</v>
      </c>
      <c r="CH432" s="44">
        <f>+Details!AO432-Base!AO432</f>
        <v>0</v>
      </c>
      <c r="CI432" s="44">
        <f>+Details!AP432-Base!AP432</f>
        <v>0</v>
      </c>
      <c r="CJ432" s="44">
        <f>+Details!AQ432-Base!AQ432</f>
        <v>0</v>
      </c>
      <c r="CK432" s="44">
        <f>+Details!AR432-Base!AR432</f>
        <v>0</v>
      </c>
      <c r="CL432" s="44">
        <f>+Details!AS432-Base!AS432</f>
        <v>0</v>
      </c>
    </row>
    <row r="433" spans="2:90" ht="15.6">
      <c r="B433" s="1603" t="s">
        <v>922</v>
      </c>
      <c r="C433" s="437"/>
      <c r="D433" s="32"/>
      <c r="F433" s="44">
        <f t="shared" ref="F433:AS433" si="346">+F25</f>
        <v>6.2E-2</v>
      </c>
      <c r="G433" s="44">
        <f t="shared" si="346"/>
        <v>6.2E-2</v>
      </c>
      <c r="H433" s="44">
        <f t="shared" si="346"/>
        <v>6.2E-2</v>
      </c>
      <c r="I433" s="44">
        <f t="shared" si="346"/>
        <v>6.2E-2</v>
      </c>
      <c r="J433" s="44">
        <f t="shared" si="346"/>
        <v>6.2E-2</v>
      </c>
      <c r="K433" s="44">
        <f t="shared" si="346"/>
        <v>6.2E-2</v>
      </c>
      <c r="L433" s="44">
        <f t="shared" si="346"/>
        <v>6.2E-2</v>
      </c>
      <c r="M433" s="44">
        <f t="shared" si="346"/>
        <v>6.2E-2</v>
      </c>
      <c r="N433" s="44">
        <f t="shared" si="346"/>
        <v>6.2E-2</v>
      </c>
      <c r="O433" s="44">
        <f t="shared" si="346"/>
        <v>6.2E-2</v>
      </c>
      <c r="P433" s="44">
        <f t="shared" si="346"/>
        <v>6.2E-2</v>
      </c>
      <c r="Q433" s="44">
        <f t="shared" si="346"/>
        <v>6.2E-2</v>
      </c>
      <c r="R433" s="44">
        <f t="shared" si="346"/>
        <v>6.2E-2</v>
      </c>
      <c r="S433" s="44">
        <f t="shared" si="346"/>
        <v>6.2E-2</v>
      </c>
      <c r="T433" s="44">
        <f t="shared" si="346"/>
        <v>6.2E-2</v>
      </c>
      <c r="U433" s="44">
        <f t="shared" si="346"/>
        <v>6.2E-2</v>
      </c>
      <c r="V433" s="44">
        <f t="shared" si="346"/>
        <v>6.2E-2</v>
      </c>
      <c r="W433" s="44">
        <f t="shared" si="346"/>
        <v>6.2E-2</v>
      </c>
      <c r="X433" s="44">
        <f t="shared" si="346"/>
        <v>5.2999999999999999E-2</v>
      </c>
      <c r="Y433" s="44">
        <f t="shared" si="346"/>
        <v>5.2999999999999999E-2</v>
      </c>
      <c r="Z433" s="44">
        <f t="shared" si="346"/>
        <v>5.2999999999999999E-2</v>
      </c>
      <c r="AA433" s="44">
        <f t="shared" si="346"/>
        <v>5.2999999999999999E-2</v>
      </c>
      <c r="AB433" s="44">
        <f t="shared" si="346"/>
        <v>5.2999999999999999E-2</v>
      </c>
      <c r="AC433" s="44">
        <f t="shared" si="346"/>
        <v>5.2999999999999999E-2</v>
      </c>
      <c r="AD433" s="44">
        <f t="shared" si="346"/>
        <v>5.2999999999999999E-2</v>
      </c>
      <c r="AE433" s="44">
        <f t="shared" si="346"/>
        <v>5.2999999999999999E-2</v>
      </c>
      <c r="AF433" s="44">
        <f t="shared" si="346"/>
        <v>5.2999999999999999E-2</v>
      </c>
      <c r="AG433" s="44">
        <f t="shared" si="346"/>
        <v>5.2999999999999999E-2</v>
      </c>
      <c r="AH433" s="44">
        <f t="shared" si="346"/>
        <v>5.2999999999999999E-2</v>
      </c>
      <c r="AI433" s="44">
        <f t="shared" si="346"/>
        <v>5.2999999999999999E-2</v>
      </c>
      <c r="AJ433" s="44">
        <f t="shared" si="346"/>
        <v>5.2999999999999999E-2</v>
      </c>
      <c r="AK433" s="44">
        <f t="shared" si="346"/>
        <v>5.2999999999999999E-2</v>
      </c>
      <c r="AL433" s="44">
        <f t="shared" si="346"/>
        <v>5.2999999999999999E-2</v>
      </c>
      <c r="AM433" s="44">
        <f t="shared" si="346"/>
        <v>5.2999999999999999E-2</v>
      </c>
      <c r="AN433" s="44">
        <f t="shared" si="346"/>
        <v>5.2999999999999999E-2</v>
      </c>
      <c r="AO433" s="44">
        <f t="shared" si="346"/>
        <v>5.2999999999999999E-2</v>
      </c>
      <c r="AP433" s="44">
        <f t="shared" si="346"/>
        <v>5.2999999999999999E-2</v>
      </c>
      <c r="AQ433" s="44">
        <f t="shared" si="346"/>
        <v>5.2999999999999999E-2</v>
      </c>
      <c r="AR433" s="44">
        <f t="shared" si="346"/>
        <v>5.2999999999999999E-2</v>
      </c>
      <c r="AS433" s="44">
        <f t="shared" si="346"/>
        <v>5.2999999999999999E-2</v>
      </c>
      <c r="AY433" s="44">
        <f>+Details!F433-Base!F433</f>
        <v>0</v>
      </c>
      <c r="AZ433" s="44">
        <f>+Details!G433-Base!G433</f>
        <v>0</v>
      </c>
      <c r="BA433" s="44">
        <f>+Details!H433-Base!H433</f>
        <v>0</v>
      </c>
      <c r="BB433" s="44">
        <f>+Details!I433-Base!I433</f>
        <v>0</v>
      </c>
      <c r="BC433" s="44">
        <f>+Details!J433-Base!J433</f>
        <v>0</v>
      </c>
      <c r="BD433" s="44">
        <f>+Details!K433-Base!K433</f>
        <v>0</v>
      </c>
      <c r="BE433" s="44">
        <f>+Details!L433-Base!L433</f>
        <v>0</v>
      </c>
      <c r="BF433" s="44">
        <f>+Details!M433-Base!M433</f>
        <v>0</v>
      </c>
      <c r="BG433" s="44">
        <f>+Details!N433-Base!N433</f>
        <v>0</v>
      </c>
      <c r="BH433" s="44">
        <f>+Details!O433-Base!O433</f>
        <v>0</v>
      </c>
      <c r="BI433" s="44">
        <f>+Details!P433-Base!P433</f>
        <v>0</v>
      </c>
      <c r="BJ433" s="44">
        <f>+Details!Q433-Base!Q433</f>
        <v>0</v>
      </c>
      <c r="BK433" s="44">
        <f>+Details!R433-Base!R433</f>
        <v>0</v>
      </c>
      <c r="BL433" s="44">
        <f>+Details!S433-Base!S433</f>
        <v>0</v>
      </c>
      <c r="BM433" s="44">
        <f>+Details!T433-Base!T433</f>
        <v>0</v>
      </c>
      <c r="BN433" s="44">
        <f>+Details!U433-Base!U433</f>
        <v>0</v>
      </c>
      <c r="BO433" s="44">
        <f>+Details!V433-Base!V433</f>
        <v>0</v>
      </c>
      <c r="BP433" s="44">
        <f>+Details!W433-Base!W433</f>
        <v>0</v>
      </c>
      <c r="BQ433" s="44">
        <f>+Details!X433-Base!X433</f>
        <v>0</v>
      </c>
      <c r="BR433" s="44">
        <f>+Details!Y433-Base!Y433</f>
        <v>0</v>
      </c>
      <c r="BS433" s="44">
        <f>+Details!Z433-Base!Z433</f>
        <v>0</v>
      </c>
      <c r="BT433" s="44">
        <f>+Details!AA433-Base!AA433</f>
        <v>0</v>
      </c>
      <c r="BU433" s="44">
        <f>+Details!AB433-Base!AB433</f>
        <v>0</v>
      </c>
      <c r="BV433" s="44">
        <f>+Details!AC433-Base!AC433</f>
        <v>0</v>
      </c>
      <c r="BW433" s="44">
        <f>+Details!AD433-Base!AD433</f>
        <v>0</v>
      </c>
      <c r="BX433" s="44">
        <f>+Details!AE433-Base!AE433</f>
        <v>0</v>
      </c>
      <c r="BY433" s="44">
        <f>+Details!AF433-Base!AF433</f>
        <v>0</v>
      </c>
      <c r="BZ433" s="44">
        <f>+Details!AG433-Base!AG433</f>
        <v>0</v>
      </c>
      <c r="CA433" s="44">
        <f>+Details!AH433-Base!AH433</f>
        <v>0</v>
      </c>
      <c r="CB433" s="44">
        <f>+Details!AI433-Base!AI433</f>
        <v>0</v>
      </c>
      <c r="CC433" s="44">
        <f>+Details!AJ433-Base!AJ433</f>
        <v>0</v>
      </c>
      <c r="CD433" s="44">
        <f>+Details!AK433-Base!AK433</f>
        <v>0</v>
      </c>
      <c r="CE433" s="44">
        <f>+Details!AL433-Base!AL433</f>
        <v>0</v>
      </c>
      <c r="CF433" s="44">
        <f>+Details!AM433-Base!AM433</f>
        <v>0</v>
      </c>
      <c r="CG433" s="44">
        <f>+Details!AN433-Base!AN433</f>
        <v>0</v>
      </c>
      <c r="CH433" s="44">
        <f>+Details!AO433-Base!AO433</f>
        <v>0</v>
      </c>
      <c r="CI433" s="44">
        <f>+Details!AP433-Base!AP433</f>
        <v>0</v>
      </c>
      <c r="CJ433" s="44">
        <f>+Details!AQ433-Base!AQ433</f>
        <v>0</v>
      </c>
      <c r="CK433" s="44">
        <f>+Details!AR433-Base!AR433</f>
        <v>0</v>
      </c>
      <c r="CL433" s="44">
        <f>+Details!AS433-Base!AS433</f>
        <v>0</v>
      </c>
    </row>
    <row r="434" spans="2:90" ht="15.6">
      <c r="B434" s="1603" t="s">
        <v>894</v>
      </c>
      <c r="C434" s="437"/>
      <c r="D434" s="32"/>
      <c r="F434" s="44">
        <f t="shared" ref="F434:AS434" si="347">+F26</f>
        <v>5.7000000000000002E-2</v>
      </c>
      <c r="G434" s="44">
        <f t="shared" si="347"/>
        <v>5.7000000000000002E-2</v>
      </c>
      <c r="H434" s="44">
        <f t="shared" si="347"/>
        <v>5.7000000000000002E-2</v>
      </c>
      <c r="I434" s="44">
        <f t="shared" si="347"/>
        <v>5.7000000000000002E-2</v>
      </c>
      <c r="J434" s="44">
        <f t="shared" si="347"/>
        <v>5.7000000000000002E-2</v>
      </c>
      <c r="K434" s="44">
        <f t="shared" si="347"/>
        <v>5.7000000000000002E-2</v>
      </c>
      <c r="L434" s="44">
        <f t="shared" si="347"/>
        <v>5.7000000000000002E-2</v>
      </c>
      <c r="M434" s="44">
        <f t="shared" si="347"/>
        <v>5.7000000000000002E-2</v>
      </c>
      <c r="N434" s="44">
        <f t="shared" si="347"/>
        <v>5.7000000000000002E-2</v>
      </c>
      <c r="O434" s="44">
        <f t="shared" si="347"/>
        <v>5.7000000000000002E-2</v>
      </c>
      <c r="P434" s="44">
        <f t="shared" si="347"/>
        <v>5.7000000000000002E-2</v>
      </c>
      <c r="Q434" s="44">
        <f t="shared" si="347"/>
        <v>5.7000000000000002E-2</v>
      </c>
      <c r="R434" s="44">
        <f t="shared" si="347"/>
        <v>5.7000000000000002E-2</v>
      </c>
      <c r="S434" s="44">
        <f t="shared" si="347"/>
        <v>5.7000000000000002E-2</v>
      </c>
      <c r="T434" s="44">
        <f t="shared" si="347"/>
        <v>5.7000000000000002E-2</v>
      </c>
      <c r="U434" s="44">
        <f t="shared" si="347"/>
        <v>5.7000000000000002E-2</v>
      </c>
      <c r="V434" s="44">
        <f t="shared" si="347"/>
        <v>5.7000000000000002E-2</v>
      </c>
      <c r="W434" s="44">
        <f t="shared" si="347"/>
        <v>5.7000000000000002E-2</v>
      </c>
      <c r="X434" s="44">
        <f t="shared" si="347"/>
        <v>5.2999999999999999E-2</v>
      </c>
      <c r="Y434" s="44">
        <f t="shared" si="347"/>
        <v>5.2999999999999999E-2</v>
      </c>
      <c r="Z434" s="44">
        <f t="shared" si="347"/>
        <v>5.2999999999999999E-2</v>
      </c>
      <c r="AA434" s="44">
        <f t="shared" si="347"/>
        <v>5.2999999999999999E-2</v>
      </c>
      <c r="AB434" s="44">
        <f t="shared" si="347"/>
        <v>5.2999999999999999E-2</v>
      </c>
      <c r="AC434" s="44">
        <f t="shared" si="347"/>
        <v>5.2999999999999999E-2</v>
      </c>
      <c r="AD434" s="44">
        <f t="shared" si="347"/>
        <v>5.2999999999999999E-2</v>
      </c>
      <c r="AE434" s="44">
        <f t="shared" si="347"/>
        <v>5.2999999999999999E-2</v>
      </c>
      <c r="AF434" s="44">
        <f t="shared" si="347"/>
        <v>5.2999999999999999E-2</v>
      </c>
      <c r="AG434" s="44">
        <f t="shared" si="347"/>
        <v>5.2999999999999999E-2</v>
      </c>
      <c r="AH434" s="44">
        <f t="shared" si="347"/>
        <v>5.2999999999999999E-2</v>
      </c>
      <c r="AI434" s="44">
        <f t="shared" si="347"/>
        <v>5.2999999999999999E-2</v>
      </c>
      <c r="AJ434" s="44">
        <f t="shared" si="347"/>
        <v>5.2999999999999999E-2</v>
      </c>
      <c r="AK434" s="44">
        <f t="shared" si="347"/>
        <v>5.2999999999999999E-2</v>
      </c>
      <c r="AL434" s="44">
        <f t="shared" si="347"/>
        <v>5.2999999999999999E-2</v>
      </c>
      <c r="AM434" s="44">
        <f t="shared" si="347"/>
        <v>5.2999999999999999E-2</v>
      </c>
      <c r="AN434" s="44">
        <f t="shared" si="347"/>
        <v>5.2999999999999999E-2</v>
      </c>
      <c r="AO434" s="44">
        <f t="shared" si="347"/>
        <v>5.2999999999999999E-2</v>
      </c>
      <c r="AP434" s="44">
        <f t="shared" si="347"/>
        <v>5.2999999999999999E-2</v>
      </c>
      <c r="AQ434" s="44">
        <f t="shared" si="347"/>
        <v>5.2999999999999999E-2</v>
      </c>
      <c r="AR434" s="44">
        <f t="shared" si="347"/>
        <v>5.2999999999999999E-2</v>
      </c>
      <c r="AS434" s="44">
        <f t="shared" si="347"/>
        <v>5.2999999999999999E-2</v>
      </c>
      <c r="AY434" s="44">
        <f>+Details!F434-Base!F434</f>
        <v>0</v>
      </c>
      <c r="AZ434" s="44">
        <f>+Details!G434-Base!G434</f>
        <v>0</v>
      </c>
      <c r="BA434" s="44">
        <f>+Details!H434-Base!H434</f>
        <v>0</v>
      </c>
      <c r="BB434" s="44">
        <f>+Details!I434-Base!I434</f>
        <v>0</v>
      </c>
      <c r="BC434" s="44">
        <f>+Details!J434-Base!J434</f>
        <v>0</v>
      </c>
      <c r="BD434" s="44">
        <f>+Details!K434-Base!K434</f>
        <v>0</v>
      </c>
      <c r="BE434" s="44">
        <f>+Details!L434-Base!L434</f>
        <v>0</v>
      </c>
      <c r="BF434" s="44">
        <f>+Details!M434-Base!M434</f>
        <v>0</v>
      </c>
      <c r="BG434" s="44">
        <f>+Details!N434-Base!N434</f>
        <v>0</v>
      </c>
      <c r="BH434" s="44">
        <f>+Details!O434-Base!O434</f>
        <v>0</v>
      </c>
      <c r="BI434" s="44">
        <f>+Details!P434-Base!P434</f>
        <v>0</v>
      </c>
      <c r="BJ434" s="44">
        <f>+Details!Q434-Base!Q434</f>
        <v>0</v>
      </c>
      <c r="BK434" s="44">
        <f>+Details!R434-Base!R434</f>
        <v>0</v>
      </c>
      <c r="BL434" s="44">
        <f>+Details!S434-Base!S434</f>
        <v>0</v>
      </c>
      <c r="BM434" s="44">
        <f>+Details!T434-Base!T434</f>
        <v>0</v>
      </c>
      <c r="BN434" s="44">
        <f>+Details!U434-Base!U434</f>
        <v>0</v>
      </c>
      <c r="BO434" s="44">
        <f>+Details!V434-Base!V434</f>
        <v>0</v>
      </c>
      <c r="BP434" s="44">
        <f>+Details!W434-Base!W434</f>
        <v>0</v>
      </c>
      <c r="BQ434" s="44">
        <f>+Details!X434-Base!X434</f>
        <v>0</v>
      </c>
      <c r="BR434" s="44">
        <f>+Details!Y434-Base!Y434</f>
        <v>0</v>
      </c>
      <c r="BS434" s="44">
        <f>+Details!Z434-Base!Z434</f>
        <v>0</v>
      </c>
      <c r="BT434" s="44">
        <f>+Details!AA434-Base!AA434</f>
        <v>0</v>
      </c>
      <c r="BU434" s="44">
        <f>+Details!AB434-Base!AB434</f>
        <v>0</v>
      </c>
      <c r="BV434" s="44">
        <f>+Details!AC434-Base!AC434</f>
        <v>0</v>
      </c>
      <c r="BW434" s="44">
        <f>+Details!AD434-Base!AD434</f>
        <v>0</v>
      </c>
      <c r="BX434" s="44">
        <f>+Details!AE434-Base!AE434</f>
        <v>0</v>
      </c>
      <c r="BY434" s="44">
        <f>+Details!AF434-Base!AF434</f>
        <v>0</v>
      </c>
      <c r="BZ434" s="44">
        <f>+Details!AG434-Base!AG434</f>
        <v>0</v>
      </c>
      <c r="CA434" s="44">
        <f>+Details!AH434-Base!AH434</f>
        <v>0</v>
      </c>
      <c r="CB434" s="44">
        <f>+Details!AI434-Base!AI434</f>
        <v>0</v>
      </c>
      <c r="CC434" s="44">
        <f>+Details!AJ434-Base!AJ434</f>
        <v>0</v>
      </c>
      <c r="CD434" s="44">
        <f>+Details!AK434-Base!AK434</f>
        <v>0</v>
      </c>
      <c r="CE434" s="44">
        <f>+Details!AL434-Base!AL434</f>
        <v>0</v>
      </c>
      <c r="CF434" s="44">
        <f>+Details!AM434-Base!AM434</f>
        <v>0</v>
      </c>
      <c r="CG434" s="44">
        <f>+Details!AN434-Base!AN434</f>
        <v>0</v>
      </c>
      <c r="CH434" s="44">
        <f>+Details!AO434-Base!AO434</f>
        <v>0</v>
      </c>
      <c r="CI434" s="44">
        <f>+Details!AP434-Base!AP434</f>
        <v>0</v>
      </c>
      <c r="CJ434" s="44">
        <f>+Details!AQ434-Base!AQ434</f>
        <v>0</v>
      </c>
      <c r="CK434" s="44">
        <f>+Details!AR434-Base!AR434</f>
        <v>0</v>
      </c>
      <c r="CL434" s="44">
        <f>+Details!AS434-Base!AS434</f>
        <v>0</v>
      </c>
    </row>
    <row r="435" spans="2:90" ht="15.6">
      <c r="B435" s="1603" t="s">
        <v>1504</v>
      </c>
      <c r="C435" s="437"/>
      <c r="D435" s="32"/>
      <c r="F435" s="44">
        <f t="shared" ref="F435:AS435" si="348">+F27</f>
        <v>6.3E-2</v>
      </c>
      <c r="G435" s="44">
        <f t="shared" si="348"/>
        <v>6.3E-2</v>
      </c>
      <c r="H435" s="44">
        <f t="shared" si="348"/>
        <v>6.3E-2</v>
      </c>
      <c r="I435" s="44">
        <f t="shared" si="348"/>
        <v>6.3E-2</v>
      </c>
      <c r="J435" s="44">
        <f t="shared" si="348"/>
        <v>6.3E-2</v>
      </c>
      <c r="K435" s="44">
        <f t="shared" si="348"/>
        <v>6.3E-2</v>
      </c>
      <c r="L435" s="44">
        <f t="shared" si="348"/>
        <v>6.3E-2</v>
      </c>
      <c r="M435" s="44">
        <f t="shared" si="348"/>
        <v>6.3E-2</v>
      </c>
      <c r="N435" s="44">
        <f t="shared" si="348"/>
        <v>6.3E-2</v>
      </c>
      <c r="O435" s="44">
        <f t="shared" si="348"/>
        <v>6.3E-2</v>
      </c>
      <c r="P435" s="44">
        <f t="shared" si="348"/>
        <v>6.3E-2</v>
      </c>
      <c r="Q435" s="44">
        <f t="shared" si="348"/>
        <v>6.3E-2</v>
      </c>
      <c r="R435" s="44">
        <f t="shared" si="348"/>
        <v>6.3E-2</v>
      </c>
      <c r="S435" s="44">
        <f t="shared" si="348"/>
        <v>6.3E-2</v>
      </c>
      <c r="T435" s="44">
        <f t="shared" si="348"/>
        <v>6.3E-2</v>
      </c>
      <c r="U435" s="44">
        <f t="shared" si="348"/>
        <v>6.3E-2</v>
      </c>
      <c r="V435" s="44">
        <f t="shared" si="348"/>
        <v>6.3E-2</v>
      </c>
      <c r="W435" s="44">
        <f t="shared" si="348"/>
        <v>6.3E-2</v>
      </c>
      <c r="X435" s="44">
        <f t="shared" si="348"/>
        <v>5.2999999999999999E-2</v>
      </c>
      <c r="Y435" s="44">
        <f t="shared" si="348"/>
        <v>5.2999999999999999E-2</v>
      </c>
      <c r="Z435" s="44">
        <f t="shared" si="348"/>
        <v>5.2999999999999999E-2</v>
      </c>
      <c r="AA435" s="44">
        <f t="shared" si="348"/>
        <v>5.2999999999999999E-2</v>
      </c>
      <c r="AB435" s="44">
        <f t="shared" si="348"/>
        <v>5.2999999999999999E-2</v>
      </c>
      <c r="AC435" s="44">
        <f t="shared" si="348"/>
        <v>5.2999999999999999E-2</v>
      </c>
      <c r="AD435" s="44">
        <f t="shared" si="348"/>
        <v>5.2999999999999999E-2</v>
      </c>
      <c r="AE435" s="44">
        <f t="shared" si="348"/>
        <v>5.2999999999999999E-2</v>
      </c>
      <c r="AF435" s="44">
        <f t="shared" si="348"/>
        <v>5.2999999999999999E-2</v>
      </c>
      <c r="AG435" s="44">
        <f t="shared" si="348"/>
        <v>5.2999999999999999E-2</v>
      </c>
      <c r="AH435" s="44">
        <f t="shared" si="348"/>
        <v>5.2999999999999999E-2</v>
      </c>
      <c r="AI435" s="44">
        <f t="shared" si="348"/>
        <v>5.2999999999999999E-2</v>
      </c>
      <c r="AJ435" s="44">
        <f t="shared" si="348"/>
        <v>5.2999999999999999E-2</v>
      </c>
      <c r="AK435" s="44">
        <f t="shared" si="348"/>
        <v>5.2999999999999999E-2</v>
      </c>
      <c r="AL435" s="44">
        <f t="shared" si="348"/>
        <v>5.2999999999999999E-2</v>
      </c>
      <c r="AM435" s="44">
        <f t="shared" si="348"/>
        <v>5.2999999999999999E-2</v>
      </c>
      <c r="AN435" s="44">
        <f t="shared" si="348"/>
        <v>5.2999999999999999E-2</v>
      </c>
      <c r="AO435" s="44">
        <f t="shared" si="348"/>
        <v>5.2999999999999999E-2</v>
      </c>
      <c r="AP435" s="44">
        <f t="shared" si="348"/>
        <v>5.2999999999999999E-2</v>
      </c>
      <c r="AQ435" s="44">
        <f t="shared" si="348"/>
        <v>5.2999999999999999E-2</v>
      </c>
      <c r="AR435" s="44">
        <f t="shared" si="348"/>
        <v>5.2999999999999999E-2</v>
      </c>
      <c r="AS435" s="44">
        <f t="shared" si="348"/>
        <v>5.2999999999999999E-2</v>
      </c>
      <c r="AY435" s="44">
        <f>+Details!F435-Base!F435</f>
        <v>0</v>
      </c>
      <c r="AZ435" s="44">
        <f>+Details!G435-Base!G435</f>
        <v>0</v>
      </c>
      <c r="BA435" s="44">
        <f>+Details!H435-Base!H435</f>
        <v>0</v>
      </c>
      <c r="BB435" s="44">
        <f>+Details!I435-Base!I435</f>
        <v>0</v>
      </c>
      <c r="BC435" s="44">
        <f>+Details!J435-Base!J435</f>
        <v>0</v>
      </c>
      <c r="BD435" s="44">
        <f>+Details!K435-Base!K435</f>
        <v>0</v>
      </c>
      <c r="BE435" s="44">
        <f>+Details!L435-Base!L435</f>
        <v>0</v>
      </c>
      <c r="BF435" s="44">
        <f>+Details!M435-Base!M435</f>
        <v>0</v>
      </c>
      <c r="BG435" s="44">
        <f>+Details!N435-Base!N435</f>
        <v>0</v>
      </c>
      <c r="BH435" s="44">
        <f>+Details!O435-Base!O435</f>
        <v>0</v>
      </c>
      <c r="BI435" s="44">
        <f>+Details!P435-Base!P435</f>
        <v>0</v>
      </c>
      <c r="BJ435" s="44">
        <f>+Details!Q435-Base!Q435</f>
        <v>0</v>
      </c>
      <c r="BK435" s="44">
        <f>+Details!R435-Base!R435</f>
        <v>0</v>
      </c>
      <c r="BL435" s="44">
        <f>+Details!S435-Base!S435</f>
        <v>0</v>
      </c>
      <c r="BM435" s="44">
        <f>+Details!T435-Base!T435</f>
        <v>0</v>
      </c>
      <c r="BN435" s="44">
        <f>+Details!U435-Base!U435</f>
        <v>0</v>
      </c>
      <c r="BO435" s="44">
        <f>+Details!V435-Base!V435</f>
        <v>0</v>
      </c>
      <c r="BP435" s="44">
        <f>+Details!W435-Base!W435</f>
        <v>0</v>
      </c>
      <c r="BQ435" s="44">
        <f>+Details!X435-Base!X435</f>
        <v>0</v>
      </c>
      <c r="BR435" s="44">
        <f>+Details!Y435-Base!Y435</f>
        <v>0</v>
      </c>
      <c r="BS435" s="44">
        <f>+Details!Z435-Base!Z435</f>
        <v>0</v>
      </c>
      <c r="BT435" s="44">
        <f>+Details!AA435-Base!AA435</f>
        <v>0</v>
      </c>
      <c r="BU435" s="44">
        <f>+Details!AB435-Base!AB435</f>
        <v>0</v>
      </c>
      <c r="BV435" s="44">
        <f>+Details!AC435-Base!AC435</f>
        <v>0</v>
      </c>
      <c r="BW435" s="44">
        <f>+Details!AD435-Base!AD435</f>
        <v>0</v>
      </c>
      <c r="BX435" s="44">
        <f>+Details!AE435-Base!AE435</f>
        <v>0</v>
      </c>
      <c r="BY435" s="44">
        <f>+Details!AF435-Base!AF435</f>
        <v>0</v>
      </c>
      <c r="BZ435" s="44">
        <f>+Details!AG435-Base!AG435</f>
        <v>0</v>
      </c>
      <c r="CA435" s="44">
        <f>+Details!AH435-Base!AH435</f>
        <v>0</v>
      </c>
      <c r="CB435" s="44">
        <f>+Details!AI435-Base!AI435</f>
        <v>0</v>
      </c>
      <c r="CC435" s="44">
        <f>+Details!AJ435-Base!AJ435</f>
        <v>0</v>
      </c>
      <c r="CD435" s="44">
        <f>+Details!AK435-Base!AK435</f>
        <v>0</v>
      </c>
      <c r="CE435" s="44">
        <f>+Details!AL435-Base!AL435</f>
        <v>0</v>
      </c>
      <c r="CF435" s="44">
        <f>+Details!AM435-Base!AM435</f>
        <v>0</v>
      </c>
      <c r="CG435" s="44">
        <f>+Details!AN435-Base!AN435</f>
        <v>0</v>
      </c>
      <c r="CH435" s="44">
        <f>+Details!AO435-Base!AO435</f>
        <v>0</v>
      </c>
      <c r="CI435" s="44">
        <f>+Details!AP435-Base!AP435</f>
        <v>0</v>
      </c>
      <c r="CJ435" s="44">
        <f>+Details!AQ435-Base!AQ435</f>
        <v>0</v>
      </c>
      <c r="CK435" s="44">
        <f>+Details!AR435-Base!AR435</f>
        <v>0</v>
      </c>
      <c r="CL435" s="44">
        <f>+Details!AS435-Base!AS435</f>
        <v>0</v>
      </c>
    </row>
    <row r="436" spans="2:90" ht="15.6">
      <c r="B436" s="552"/>
      <c r="C436" s="437"/>
      <c r="D436" s="32"/>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Z436" s="44"/>
      <c r="BA436" s="44"/>
      <c r="BB436" s="44"/>
      <c r="BC436" s="44"/>
      <c r="BD436" s="44"/>
      <c r="BE436" s="44"/>
      <c r="BF436" s="44"/>
      <c r="BG436" s="44"/>
      <c r="BH436" s="44"/>
      <c r="BI436" s="44"/>
      <c r="BJ436" s="44"/>
      <c r="BK436" s="44"/>
      <c r="BL436" s="44"/>
      <c r="BM436" s="44"/>
      <c r="BN436" s="44"/>
      <c r="BO436" s="44"/>
      <c r="BP436" s="44"/>
      <c r="BQ436" s="44"/>
      <c r="BR436" s="44"/>
      <c r="BS436" s="44"/>
      <c r="BT436" s="44"/>
      <c r="BU436" s="44"/>
      <c r="BV436" s="44"/>
      <c r="BW436" s="44"/>
      <c r="BX436" s="44"/>
      <c r="BY436" s="44"/>
      <c r="BZ436" s="44"/>
      <c r="CA436" s="44"/>
      <c r="CB436" s="44"/>
      <c r="CC436" s="44"/>
      <c r="CD436" s="44"/>
      <c r="CE436" s="44"/>
      <c r="CF436" s="44"/>
      <c r="CG436" s="44"/>
      <c r="CH436" s="44"/>
      <c r="CI436" s="44"/>
      <c r="CJ436" s="44"/>
      <c r="CK436" s="44"/>
      <c r="CL436" s="44"/>
    </row>
    <row r="437" spans="2:90" ht="16.2" thickBot="1">
      <c r="B437" s="509" t="s">
        <v>680</v>
      </c>
      <c r="C437" s="437"/>
      <c r="D437" s="32"/>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Z437" s="44"/>
      <c r="BA437" s="44"/>
      <c r="BB437" s="44"/>
      <c r="BC437" s="44"/>
      <c r="BD437" s="44"/>
      <c r="BE437" s="44"/>
      <c r="BF437" s="44"/>
      <c r="BG437" s="44"/>
      <c r="BH437" s="44"/>
      <c r="BI437" s="44"/>
      <c r="BJ437" s="44"/>
      <c r="BK437" s="44"/>
      <c r="BL437" s="44"/>
      <c r="BM437" s="44"/>
      <c r="BN437" s="44"/>
      <c r="BO437" s="44"/>
      <c r="BP437" s="44"/>
      <c r="BQ437" s="44"/>
      <c r="BR437" s="44"/>
      <c r="BS437" s="44"/>
      <c r="BT437" s="44"/>
      <c r="BU437" s="44"/>
      <c r="BV437" s="44"/>
      <c r="BW437" s="44"/>
      <c r="BX437" s="44"/>
      <c r="BY437" s="44"/>
      <c r="BZ437" s="44"/>
      <c r="CA437" s="44"/>
      <c r="CB437" s="44"/>
      <c r="CC437" s="44"/>
      <c r="CD437" s="44"/>
      <c r="CE437" s="44"/>
      <c r="CF437" s="44"/>
      <c r="CG437" s="44"/>
      <c r="CH437" s="44"/>
      <c r="CI437" s="44"/>
      <c r="CJ437" s="44"/>
      <c r="CK437" s="44"/>
      <c r="CL437" s="44"/>
    </row>
    <row r="438" spans="2:90" ht="15.6">
      <c r="B438" s="552" t="s">
        <v>979</v>
      </c>
      <c r="C438" s="437"/>
      <c r="D438" s="32"/>
      <c r="E438" s="65">
        <f t="shared" ref="E438:E444" si="349">SUM(F438:AS438)</f>
        <v>748900</v>
      </c>
      <c r="F438" s="31">
        <f t="shared" ref="F438:AS438" si="350">+F28</f>
        <v>9600</v>
      </c>
      <c r="G438" s="1124">
        <f t="shared" si="350"/>
        <v>9300</v>
      </c>
      <c r="H438" s="1124">
        <f t="shared" si="350"/>
        <v>8900</v>
      </c>
      <c r="I438" s="1124">
        <f t="shared" si="350"/>
        <v>8300</v>
      </c>
      <c r="J438" s="1124">
        <f t="shared" si="350"/>
        <v>7700</v>
      </c>
      <c r="K438" s="1124">
        <f t="shared" si="350"/>
        <v>7600</v>
      </c>
      <c r="L438" s="1124">
        <f t="shared" si="350"/>
        <v>8100</v>
      </c>
      <c r="M438" s="1124">
        <f t="shared" si="350"/>
        <v>8600</v>
      </c>
      <c r="N438" s="1124">
        <f t="shared" si="350"/>
        <v>9400</v>
      </c>
      <c r="O438" s="1124">
        <f t="shared" si="350"/>
        <v>10900</v>
      </c>
      <c r="P438" s="1124">
        <f t="shared" si="350"/>
        <v>10700</v>
      </c>
      <c r="Q438" s="1124">
        <f t="shared" si="350"/>
        <v>11500</v>
      </c>
      <c r="R438" s="1124">
        <f t="shared" si="350"/>
        <v>14000</v>
      </c>
      <c r="S438" s="1124">
        <f t="shared" si="350"/>
        <v>15800</v>
      </c>
      <c r="T438" s="1124">
        <f t="shared" si="350"/>
        <v>16000</v>
      </c>
      <c r="U438" s="1124">
        <f t="shared" si="350"/>
        <v>18000</v>
      </c>
      <c r="V438" s="1124">
        <f t="shared" si="350"/>
        <v>22400</v>
      </c>
      <c r="W438" s="1124">
        <f t="shared" si="350"/>
        <v>25200</v>
      </c>
      <c r="X438" s="1124">
        <f t="shared" si="350"/>
        <v>22700</v>
      </c>
      <c r="Y438" s="1124">
        <f t="shared" si="350"/>
        <v>24000</v>
      </c>
      <c r="Z438" s="1124">
        <f t="shared" si="350"/>
        <v>25500</v>
      </c>
      <c r="AA438" s="1124">
        <f t="shared" si="350"/>
        <v>27100</v>
      </c>
      <c r="AB438" s="1124">
        <f t="shared" si="350"/>
        <v>37000</v>
      </c>
      <c r="AC438" s="1124">
        <f t="shared" si="350"/>
        <v>47300</v>
      </c>
      <c r="AD438" s="1124">
        <f t="shared" si="350"/>
        <v>51500</v>
      </c>
      <c r="AE438" s="1124">
        <f t="shared" si="350"/>
        <v>55100</v>
      </c>
      <c r="AF438" s="1124">
        <f t="shared" si="350"/>
        <v>56800</v>
      </c>
      <c r="AG438" s="1124">
        <f t="shared" si="350"/>
        <v>58400</v>
      </c>
      <c r="AH438" s="1124">
        <f t="shared" si="350"/>
        <v>60000</v>
      </c>
      <c r="AI438" s="1124">
        <f t="shared" si="350"/>
        <v>61500</v>
      </c>
      <c r="AJ438" s="1124">
        <f t="shared" si="350"/>
        <v>0</v>
      </c>
      <c r="AK438" s="1124">
        <f t="shared" si="350"/>
        <v>0</v>
      </c>
      <c r="AL438" s="1124">
        <f t="shared" si="350"/>
        <v>0</v>
      </c>
      <c r="AM438" s="1124">
        <f t="shared" si="350"/>
        <v>0</v>
      </c>
      <c r="AN438" s="1124">
        <f t="shared" si="350"/>
        <v>0</v>
      </c>
      <c r="AO438" s="1124">
        <f t="shared" si="350"/>
        <v>0</v>
      </c>
      <c r="AP438" s="1124">
        <f t="shared" si="350"/>
        <v>0</v>
      </c>
      <c r="AQ438" s="1124">
        <f t="shared" si="350"/>
        <v>0</v>
      </c>
      <c r="AR438" s="1124">
        <f t="shared" si="350"/>
        <v>0</v>
      </c>
      <c r="AS438" s="1124">
        <f t="shared" si="350"/>
        <v>0</v>
      </c>
      <c r="AW438" s="191"/>
      <c r="AY438" s="31">
        <f>+Details!F438-Base!F438</f>
        <v>0</v>
      </c>
      <c r="AZ438" s="1124">
        <f>+Details!G438-Base!G438</f>
        <v>0</v>
      </c>
      <c r="BA438" s="1124">
        <f>+Details!H438-Base!H438</f>
        <v>0</v>
      </c>
      <c r="BB438" s="1124">
        <f>+Details!I438-Base!I438</f>
        <v>0</v>
      </c>
      <c r="BC438" s="1124">
        <f>+Details!J438-Base!J438</f>
        <v>0</v>
      </c>
      <c r="BD438" s="1124">
        <f>+Details!K438-Base!K438</f>
        <v>0</v>
      </c>
      <c r="BE438" s="1124">
        <f>+Details!L438-Base!L438</f>
        <v>0</v>
      </c>
      <c r="BF438" s="1124">
        <f>+Details!M438-Base!M438</f>
        <v>0</v>
      </c>
      <c r="BG438" s="1124">
        <f>+Details!N438-Base!N438</f>
        <v>0</v>
      </c>
      <c r="BH438" s="1124">
        <f>+Details!O438-Base!O438</f>
        <v>0</v>
      </c>
      <c r="BI438" s="1124">
        <f>+Details!P438-Base!P438</f>
        <v>0</v>
      </c>
      <c r="BJ438" s="1124">
        <f>+Details!Q438-Base!Q438</f>
        <v>0</v>
      </c>
      <c r="BK438" s="1124">
        <f>+Details!R438-Base!R438</f>
        <v>0</v>
      </c>
      <c r="BL438" s="1124">
        <f>+Details!S438-Base!S438</f>
        <v>0</v>
      </c>
      <c r="BM438" s="1124">
        <f>+Details!T438-Base!T438</f>
        <v>0</v>
      </c>
      <c r="BN438" s="1124">
        <f>+Details!U438-Base!U438</f>
        <v>0</v>
      </c>
      <c r="BO438" s="1124">
        <f>+Details!V438-Base!V438</f>
        <v>0</v>
      </c>
      <c r="BP438" s="1124">
        <f>+Details!W438-Base!W438</f>
        <v>0</v>
      </c>
      <c r="BQ438" s="1124">
        <f>+Details!X438-Base!X438</f>
        <v>0</v>
      </c>
      <c r="BR438" s="1124">
        <f>+Details!Y438-Base!Y438</f>
        <v>0</v>
      </c>
      <c r="BS438" s="1124">
        <f>+Details!Z438-Base!Z438</f>
        <v>0</v>
      </c>
      <c r="BT438" s="1124">
        <f>+Details!AA438-Base!AA438</f>
        <v>0</v>
      </c>
      <c r="BU438" s="1124">
        <f>+Details!AB438-Base!AB438</f>
        <v>0</v>
      </c>
      <c r="BV438" s="1124">
        <f>+Details!AC438-Base!AC438</f>
        <v>0</v>
      </c>
      <c r="BW438" s="1124">
        <f>+Details!AD438-Base!AD438</f>
        <v>0</v>
      </c>
      <c r="BX438" s="1124">
        <f>+Details!AE438-Base!AE438</f>
        <v>0</v>
      </c>
      <c r="BY438" s="1124">
        <f>+Details!AF438-Base!AF438</f>
        <v>0</v>
      </c>
      <c r="BZ438" s="1124">
        <f>+Details!AG438-Base!AG438</f>
        <v>0</v>
      </c>
      <c r="CA438" s="1124">
        <f>+Details!AH438-Base!AH438</f>
        <v>0</v>
      </c>
      <c r="CB438" s="1124">
        <f>+Details!AI438-Base!AI438</f>
        <v>0</v>
      </c>
      <c r="CC438" s="1124">
        <f>+Details!AJ438-Base!AJ438</f>
        <v>0</v>
      </c>
      <c r="CD438" s="1124">
        <f>+Details!AK438-Base!AK438</f>
        <v>0</v>
      </c>
      <c r="CE438" s="1124">
        <f>+Details!AL438-Base!AL438</f>
        <v>0</v>
      </c>
      <c r="CF438" s="1124">
        <f>+Details!AM438-Base!AM438</f>
        <v>0</v>
      </c>
      <c r="CG438" s="1124">
        <f>+Details!AN438-Base!AN438</f>
        <v>0</v>
      </c>
      <c r="CH438" s="1124">
        <f>+Details!AO438-Base!AO438</f>
        <v>0</v>
      </c>
      <c r="CI438" s="1124">
        <f>+Details!AP438-Base!AP438</f>
        <v>0</v>
      </c>
      <c r="CJ438" s="1124">
        <f>+Details!AQ438-Base!AQ438</f>
        <v>0</v>
      </c>
      <c r="CK438" s="1124">
        <f>+Details!AR438-Base!AR438</f>
        <v>0</v>
      </c>
      <c r="CL438" s="1124">
        <f>+Details!AS438-Base!AS438</f>
        <v>0</v>
      </c>
    </row>
    <row r="439" spans="2:90" ht="15.6">
      <c r="B439" s="552" t="s">
        <v>981</v>
      </c>
      <c r="C439" s="437"/>
      <c r="D439" s="32"/>
      <c r="E439" s="65">
        <f t="shared" si="349"/>
        <v>1431700</v>
      </c>
      <c r="F439" s="31">
        <f t="shared" ref="F439:AS439" si="351">+F31+F34</f>
        <v>43200</v>
      </c>
      <c r="G439" s="1124">
        <f t="shared" si="351"/>
        <v>43700</v>
      </c>
      <c r="H439" s="1124">
        <f t="shared" si="351"/>
        <v>44100</v>
      </c>
      <c r="I439" s="1124">
        <f t="shared" si="351"/>
        <v>44500</v>
      </c>
      <c r="J439" s="1124">
        <f t="shared" si="351"/>
        <v>44800</v>
      </c>
      <c r="K439" s="1124">
        <f t="shared" si="351"/>
        <v>45000</v>
      </c>
      <c r="L439" s="1124">
        <f t="shared" si="351"/>
        <v>45100</v>
      </c>
      <c r="M439" s="1124">
        <f t="shared" si="351"/>
        <v>45200</v>
      </c>
      <c r="N439" s="1124">
        <f t="shared" si="351"/>
        <v>46500</v>
      </c>
      <c r="O439" s="1124">
        <f t="shared" si="351"/>
        <v>47900</v>
      </c>
      <c r="P439" s="1124">
        <f t="shared" si="351"/>
        <v>48500</v>
      </c>
      <c r="Q439" s="1124">
        <f t="shared" si="351"/>
        <v>49100</v>
      </c>
      <c r="R439" s="1124">
        <f t="shared" si="351"/>
        <v>53100</v>
      </c>
      <c r="S439" s="1124">
        <f t="shared" si="351"/>
        <v>53600</v>
      </c>
      <c r="T439" s="1124">
        <f t="shared" si="351"/>
        <v>54100</v>
      </c>
      <c r="U439" s="1124">
        <f t="shared" si="351"/>
        <v>54800</v>
      </c>
      <c r="V439" s="1124">
        <f t="shared" si="351"/>
        <v>57600</v>
      </c>
      <c r="W439" s="1124">
        <f t="shared" si="351"/>
        <v>57600</v>
      </c>
      <c r="X439" s="1124">
        <f t="shared" si="351"/>
        <v>50700</v>
      </c>
      <c r="Y439" s="1124">
        <f t="shared" si="351"/>
        <v>50400</v>
      </c>
      <c r="Z439" s="1124">
        <f t="shared" si="351"/>
        <v>50000</v>
      </c>
      <c r="AA439" s="1124">
        <f t="shared" si="351"/>
        <v>49400</v>
      </c>
      <c r="AB439" s="1124">
        <f t="shared" si="351"/>
        <v>48600</v>
      </c>
      <c r="AC439" s="1124">
        <f t="shared" si="351"/>
        <v>47600</v>
      </c>
      <c r="AD439" s="1124">
        <f t="shared" si="351"/>
        <v>46400</v>
      </c>
      <c r="AE439" s="1124">
        <f t="shared" si="351"/>
        <v>45100</v>
      </c>
      <c r="AF439" s="1124">
        <f t="shared" si="351"/>
        <v>43300</v>
      </c>
      <c r="AG439" s="1124">
        <f t="shared" si="351"/>
        <v>41900</v>
      </c>
      <c r="AH439" s="1124">
        <f t="shared" si="351"/>
        <v>40700</v>
      </c>
      <c r="AI439" s="1124">
        <f t="shared" si="351"/>
        <v>39200</v>
      </c>
      <c r="AJ439" s="1124">
        <f t="shared" si="351"/>
        <v>0</v>
      </c>
      <c r="AK439" s="1124">
        <f t="shared" si="351"/>
        <v>0</v>
      </c>
      <c r="AL439" s="1124">
        <f t="shared" si="351"/>
        <v>0</v>
      </c>
      <c r="AM439" s="1124">
        <f t="shared" si="351"/>
        <v>0</v>
      </c>
      <c r="AN439" s="1124">
        <f t="shared" si="351"/>
        <v>0</v>
      </c>
      <c r="AO439" s="1124">
        <f t="shared" si="351"/>
        <v>0</v>
      </c>
      <c r="AP439" s="1124">
        <f t="shared" si="351"/>
        <v>0</v>
      </c>
      <c r="AQ439" s="1124">
        <f t="shared" si="351"/>
        <v>0</v>
      </c>
      <c r="AR439" s="1124">
        <f t="shared" si="351"/>
        <v>0</v>
      </c>
      <c r="AS439" s="1124">
        <f t="shared" si="351"/>
        <v>0</v>
      </c>
      <c r="AW439" s="191"/>
      <c r="AY439" s="31">
        <f>+Details!F439-Base!F439</f>
        <v>0</v>
      </c>
      <c r="AZ439" s="1124">
        <f>+Details!G439-Base!G439</f>
        <v>0</v>
      </c>
      <c r="BA439" s="1124">
        <f>+Details!H439-Base!H439</f>
        <v>0</v>
      </c>
      <c r="BB439" s="1124">
        <f>+Details!I439-Base!I439</f>
        <v>0</v>
      </c>
      <c r="BC439" s="1124">
        <f>+Details!J439-Base!J439</f>
        <v>0</v>
      </c>
      <c r="BD439" s="1124">
        <f>+Details!K439-Base!K439</f>
        <v>0</v>
      </c>
      <c r="BE439" s="1124">
        <f>+Details!L439-Base!L439</f>
        <v>0</v>
      </c>
      <c r="BF439" s="1124">
        <f>+Details!M439-Base!M439</f>
        <v>0</v>
      </c>
      <c r="BG439" s="1124">
        <f>+Details!N439-Base!N439</f>
        <v>0</v>
      </c>
      <c r="BH439" s="1124">
        <f>+Details!O439-Base!O439</f>
        <v>0</v>
      </c>
      <c r="BI439" s="1124">
        <f>+Details!P439-Base!P439</f>
        <v>0</v>
      </c>
      <c r="BJ439" s="1124">
        <f>+Details!Q439-Base!Q439</f>
        <v>0</v>
      </c>
      <c r="BK439" s="1124">
        <f>+Details!R439-Base!R439</f>
        <v>0</v>
      </c>
      <c r="BL439" s="1124">
        <f>+Details!S439-Base!S439</f>
        <v>0</v>
      </c>
      <c r="BM439" s="1124">
        <f>+Details!T439-Base!T439</f>
        <v>0</v>
      </c>
      <c r="BN439" s="1124">
        <f>+Details!U439-Base!U439</f>
        <v>0</v>
      </c>
      <c r="BO439" s="1124">
        <f>+Details!V439-Base!V439</f>
        <v>0</v>
      </c>
      <c r="BP439" s="1124">
        <f>+Details!W439-Base!W439</f>
        <v>0</v>
      </c>
      <c r="BQ439" s="1124">
        <f>+Details!X439-Base!X439</f>
        <v>0</v>
      </c>
      <c r="BR439" s="1124">
        <f>+Details!Y439-Base!Y439</f>
        <v>0</v>
      </c>
      <c r="BS439" s="1124">
        <f>+Details!Z439-Base!Z439</f>
        <v>0</v>
      </c>
      <c r="BT439" s="1124">
        <f>+Details!AA439-Base!AA439</f>
        <v>0</v>
      </c>
      <c r="BU439" s="1124">
        <f>+Details!AB439-Base!AB439</f>
        <v>0</v>
      </c>
      <c r="BV439" s="1124">
        <f>+Details!AC439-Base!AC439</f>
        <v>0</v>
      </c>
      <c r="BW439" s="1124">
        <f>+Details!AD439-Base!AD439</f>
        <v>0</v>
      </c>
      <c r="BX439" s="1124">
        <f>+Details!AE439-Base!AE439</f>
        <v>0</v>
      </c>
      <c r="BY439" s="1124">
        <f>+Details!AF439-Base!AF439</f>
        <v>0</v>
      </c>
      <c r="BZ439" s="1124">
        <f>+Details!AG439-Base!AG439</f>
        <v>0</v>
      </c>
      <c r="CA439" s="1124">
        <f>+Details!AH439-Base!AH439</f>
        <v>0</v>
      </c>
      <c r="CB439" s="1124">
        <f>+Details!AI439-Base!AI439</f>
        <v>0</v>
      </c>
      <c r="CC439" s="1124">
        <f>+Details!AJ439-Base!AJ439</f>
        <v>0</v>
      </c>
      <c r="CD439" s="1124">
        <f>+Details!AK439-Base!AK439</f>
        <v>0</v>
      </c>
      <c r="CE439" s="1124">
        <f>+Details!AL439-Base!AL439</f>
        <v>0</v>
      </c>
      <c r="CF439" s="1124">
        <f>+Details!AM439-Base!AM439</f>
        <v>0</v>
      </c>
      <c r="CG439" s="1124">
        <f>+Details!AN439-Base!AN439</f>
        <v>0</v>
      </c>
      <c r="CH439" s="1124">
        <f>+Details!AO439-Base!AO439</f>
        <v>0</v>
      </c>
      <c r="CI439" s="1124">
        <f>+Details!AP439-Base!AP439</f>
        <v>0</v>
      </c>
      <c r="CJ439" s="1124">
        <f>+Details!AQ439-Base!AQ439</f>
        <v>0</v>
      </c>
      <c r="CK439" s="1124">
        <f>+Details!AR439-Base!AR439</f>
        <v>0</v>
      </c>
      <c r="CL439" s="1124">
        <f>+Details!AS439-Base!AS439</f>
        <v>0</v>
      </c>
    </row>
    <row r="440" spans="2:90" ht="15.6">
      <c r="B440" s="552" t="s">
        <v>1134</v>
      </c>
      <c r="C440" s="437"/>
      <c r="D440" s="32"/>
      <c r="E440" s="65">
        <f t="shared" si="349"/>
        <v>383900</v>
      </c>
      <c r="F440" s="31">
        <f t="shared" ref="F440:AS440" si="352">+F37+F38</f>
        <v>6100</v>
      </c>
      <c r="G440" s="1124">
        <f t="shared" si="352"/>
        <v>6500</v>
      </c>
      <c r="H440" s="1124">
        <f t="shared" si="352"/>
        <v>7000</v>
      </c>
      <c r="I440" s="1124">
        <f t="shared" si="352"/>
        <v>7500</v>
      </c>
      <c r="J440" s="1124">
        <f t="shared" si="352"/>
        <v>8000</v>
      </c>
      <c r="K440" s="1124">
        <f t="shared" si="352"/>
        <v>8500</v>
      </c>
      <c r="L440" s="1124">
        <f t="shared" si="352"/>
        <v>9000</v>
      </c>
      <c r="M440" s="1124">
        <f t="shared" si="352"/>
        <v>9600</v>
      </c>
      <c r="N440" s="1124">
        <f t="shared" si="352"/>
        <v>10000</v>
      </c>
      <c r="O440" s="1124">
        <f t="shared" si="352"/>
        <v>10300</v>
      </c>
      <c r="P440" s="1124">
        <f t="shared" si="352"/>
        <v>10600</v>
      </c>
      <c r="Q440" s="1124">
        <f t="shared" si="352"/>
        <v>10900</v>
      </c>
      <c r="R440" s="1124">
        <f t="shared" si="352"/>
        <v>11200</v>
      </c>
      <c r="S440" s="1124">
        <f t="shared" si="352"/>
        <v>11400</v>
      </c>
      <c r="T440" s="1124">
        <f t="shared" si="352"/>
        <v>11900</v>
      </c>
      <c r="U440" s="1124">
        <f t="shared" si="352"/>
        <v>12600</v>
      </c>
      <c r="V440" s="1124">
        <f t="shared" si="352"/>
        <v>13400</v>
      </c>
      <c r="W440" s="1124">
        <f t="shared" si="352"/>
        <v>14200</v>
      </c>
      <c r="X440" s="1124">
        <f t="shared" si="352"/>
        <v>12900</v>
      </c>
      <c r="Y440" s="1124">
        <f t="shared" si="352"/>
        <v>13500</v>
      </c>
      <c r="Z440" s="1124">
        <f t="shared" si="352"/>
        <v>14300</v>
      </c>
      <c r="AA440" s="1124">
        <f t="shared" si="352"/>
        <v>14900</v>
      </c>
      <c r="AB440" s="1124">
        <f t="shared" si="352"/>
        <v>15600</v>
      </c>
      <c r="AC440" s="1124">
        <f t="shared" si="352"/>
        <v>16500</v>
      </c>
      <c r="AD440" s="1124">
        <f t="shared" si="352"/>
        <v>17200</v>
      </c>
      <c r="AE440" s="1124">
        <f t="shared" si="352"/>
        <v>18200</v>
      </c>
      <c r="AF440" s="1124">
        <f t="shared" si="352"/>
        <v>19000</v>
      </c>
      <c r="AG440" s="1124">
        <f t="shared" si="352"/>
        <v>20000</v>
      </c>
      <c r="AH440" s="1124">
        <f t="shared" si="352"/>
        <v>21000</v>
      </c>
      <c r="AI440" s="1124">
        <f t="shared" si="352"/>
        <v>22100</v>
      </c>
      <c r="AJ440" s="1124">
        <f t="shared" si="352"/>
        <v>0</v>
      </c>
      <c r="AK440" s="1124">
        <f t="shared" si="352"/>
        <v>0</v>
      </c>
      <c r="AL440" s="1124">
        <f t="shared" si="352"/>
        <v>0</v>
      </c>
      <c r="AM440" s="1124">
        <f t="shared" si="352"/>
        <v>0</v>
      </c>
      <c r="AN440" s="1124">
        <f t="shared" si="352"/>
        <v>0</v>
      </c>
      <c r="AO440" s="1124">
        <f t="shared" si="352"/>
        <v>0</v>
      </c>
      <c r="AP440" s="1124">
        <f t="shared" si="352"/>
        <v>0</v>
      </c>
      <c r="AQ440" s="1124">
        <f t="shared" si="352"/>
        <v>0</v>
      </c>
      <c r="AR440" s="1124">
        <f t="shared" si="352"/>
        <v>0</v>
      </c>
      <c r="AS440" s="1124">
        <f t="shared" si="352"/>
        <v>0</v>
      </c>
      <c r="AW440" s="191"/>
      <c r="AY440" s="31">
        <f>+Details!F440-Base!F440</f>
        <v>0</v>
      </c>
      <c r="AZ440" s="1124">
        <f>+Details!G440-Base!G440</f>
        <v>0</v>
      </c>
      <c r="BA440" s="1124">
        <f>+Details!H440-Base!H440</f>
        <v>0</v>
      </c>
      <c r="BB440" s="1124">
        <f>+Details!I440-Base!I440</f>
        <v>0</v>
      </c>
      <c r="BC440" s="1124">
        <f>+Details!J440-Base!J440</f>
        <v>0</v>
      </c>
      <c r="BD440" s="1124">
        <f>+Details!K440-Base!K440</f>
        <v>0</v>
      </c>
      <c r="BE440" s="1124">
        <f>+Details!L440-Base!L440</f>
        <v>0</v>
      </c>
      <c r="BF440" s="1124">
        <f>+Details!M440-Base!M440</f>
        <v>0</v>
      </c>
      <c r="BG440" s="1124">
        <f>+Details!N440-Base!N440</f>
        <v>0</v>
      </c>
      <c r="BH440" s="1124">
        <f>+Details!O440-Base!O440</f>
        <v>0</v>
      </c>
      <c r="BI440" s="1124">
        <f>+Details!P440-Base!P440</f>
        <v>0</v>
      </c>
      <c r="BJ440" s="1124">
        <f>+Details!Q440-Base!Q440</f>
        <v>0</v>
      </c>
      <c r="BK440" s="1124">
        <f>+Details!R440-Base!R440</f>
        <v>0</v>
      </c>
      <c r="BL440" s="1124">
        <f>+Details!S440-Base!S440</f>
        <v>0</v>
      </c>
      <c r="BM440" s="1124">
        <f>+Details!T440-Base!T440</f>
        <v>0</v>
      </c>
      <c r="BN440" s="1124">
        <f>+Details!U440-Base!U440</f>
        <v>0</v>
      </c>
      <c r="BO440" s="1124">
        <f>+Details!V440-Base!V440</f>
        <v>0</v>
      </c>
      <c r="BP440" s="1124">
        <f>+Details!W440-Base!W440</f>
        <v>0</v>
      </c>
      <c r="BQ440" s="1124">
        <f>+Details!X440-Base!X440</f>
        <v>0</v>
      </c>
      <c r="BR440" s="1124">
        <f>+Details!Y440-Base!Y440</f>
        <v>0</v>
      </c>
      <c r="BS440" s="1124">
        <f>+Details!Z440-Base!Z440</f>
        <v>0</v>
      </c>
      <c r="BT440" s="1124">
        <f>+Details!AA440-Base!AA440</f>
        <v>0</v>
      </c>
      <c r="BU440" s="1124">
        <f>+Details!AB440-Base!AB440</f>
        <v>0</v>
      </c>
      <c r="BV440" s="1124">
        <f>+Details!AC440-Base!AC440</f>
        <v>0</v>
      </c>
      <c r="BW440" s="1124">
        <f>+Details!AD440-Base!AD440</f>
        <v>0</v>
      </c>
      <c r="BX440" s="1124">
        <f>+Details!AE440-Base!AE440</f>
        <v>0</v>
      </c>
      <c r="BY440" s="1124">
        <f>+Details!AF440-Base!AF440</f>
        <v>0</v>
      </c>
      <c r="BZ440" s="1124">
        <f>+Details!AG440-Base!AG440</f>
        <v>0</v>
      </c>
      <c r="CA440" s="1124">
        <f>+Details!AH440-Base!AH440</f>
        <v>0</v>
      </c>
      <c r="CB440" s="1124">
        <f>+Details!AI440-Base!AI440</f>
        <v>0</v>
      </c>
      <c r="CC440" s="1124">
        <f>+Details!AJ440-Base!AJ440</f>
        <v>0</v>
      </c>
      <c r="CD440" s="1124">
        <f>+Details!AK440-Base!AK440</f>
        <v>0</v>
      </c>
      <c r="CE440" s="1124">
        <f>+Details!AL440-Base!AL440</f>
        <v>0</v>
      </c>
      <c r="CF440" s="1124">
        <f>+Details!AM440-Base!AM440</f>
        <v>0</v>
      </c>
      <c r="CG440" s="1124">
        <f>+Details!AN440-Base!AN440</f>
        <v>0</v>
      </c>
      <c r="CH440" s="1124">
        <f>+Details!AO440-Base!AO440</f>
        <v>0</v>
      </c>
      <c r="CI440" s="1124">
        <f>+Details!AP440-Base!AP440</f>
        <v>0</v>
      </c>
      <c r="CJ440" s="1124">
        <f>+Details!AQ440-Base!AQ440</f>
        <v>0</v>
      </c>
      <c r="CK440" s="1124">
        <f>+Details!AR440-Base!AR440</f>
        <v>0</v>
      </c>
      <c r="CL440" s="1124">
        <f>+Details!AS440-Base!AS440</f>
        <v>0</v>
      </c>
    </row>
    <row r="441" spans="2:90" ht="15.6">
      <c r="B441" s="552" t="s">
        <v>195</v>
      </c>
      <c r="C441" s="437"/>
      <c r="D441" s="32"/>
      <c r="E441" s="65">
        <f t="shared" si="349"/>
        <v>1516900</v>
      </c>
      <c r="F441" s="31">
        <f t="shared" ref="F441:AS441" si="353">+F61</f>
        <v>0</v>
      </c>
      <c r="G441" s="1124">
        <f t="shared" si="353"/>
        <v>0</v>
      </c>
      <c r="H441" s="1124">
        <f t="shared" si="353"/>
        <v>0</v>
      </c>
      <c r="I441" s="1124">
        <f t="shared" si="353"/>
        <v>0</v>
      </c>
      <c r="J441" s="1124">
        <f t="shared" si="353"/>
        <v>0</v>
      </c>
      <c r="K441" s="1124">
        <f t="shared" si="353"/>
        <v>22100</v>
      </c>
      <c r="L441" s="1124">
        <f t="shared" si="353"/>
        <v>22500</v>
      </c>
      <c r="M441" s="1124">
        <f t="shared" si="353"/>
        <v>23000</v>
      </c>
      <c r="N441" s="1124">
        <f t="shared" si="353"/>
        <v>69900</v>
      </c>
      <c r="O441" s="1124">
        <f t="shared" si="353"/>
        <v>71300</v>
      </c>
      <c r="P441" s="1124">
        <f t="shared" si="353"/>
        <v>72700</v>
      </c>
      <c r="Q441" s="1124">
        <f t="shared" si="353"/>
        <v>74200</v>
      </c>
      <c r="R441" s="1124">
        <f t="shared" si="353"/>
        <v>75700</v>
      </c>
      <c r="S441" s="1124">
        <f t="shared" si="353"/>
        <v>77200</v>
      </c>
      <c r="T441" s="1124">
        <f t="shared" si="353"/>
        <v>78700</v>
      </c>
      <c r="U441" s="1124">
        <f t="shared" si="353"/>
        <v>80200</v>
      </c>
      <c r="V441" s="1124">
        <f t="shared" si="353"/>
        <v>63000</v>
      </c>
      <c r="W441" s="1124">
        <f t="shared" si="353"/>
        <v>64200</v>
      </c>
      <c r="X441" s="1124">
        <f t="shared" si="353"/>
        <v>65500</v>
      </c>
      <c r="Y441" s="1124">
        <f t="shared" si="353"/>
        <v>66800</v>
      </c>
      <c r="Z441" s="1124">
        <f t="shared" si="353"/>
        <v>68100</v>
      </c>
      <c r="AA441" s="1124">
        <f t="shared" si="353"/>
        <v>69500</v>
      </c>
      <c r="AB441" s="1124">
        <f t="shared" si="353"/>
        <v>70900</v>
      </c>
      <c r="AC441" s="1124">
        <f t="shared" si="353"/>
        <v>72300</v>
      </c>
      <c r="AD441" s="1124">
        <f t="shared" si="353"/>
        <v>49000</v>
      </c>
      <c r="AE441" s="1124">
        <f t="shared" si="353"/>
        <v>50000</v>
      </c>
      <c r="AF441" s="1124">
        <f t="shared" si="353"/>
        <v>51000</v>
      </c>
      <c r="AG441" s="1124">
        <f t="shared" si="353"/>
        <v>52000</v>
      </c>
      <c r="AH441" s="1124">
        <f t="shared" si="353"/>
        <v>53000</v>
      </c>
      <c r="AI441" s="1124">
        <f t="shared" si="353"/>
        <v>54100</v>
      </c>
      <c r="AJ441" s="1124">
        <f t="shared" si="353"/>
        <v>0</v>
      </c>
      <c r="AK441" s="1124">
        <f t="shared" si="353"/>
        <v>0</v>
      </c>
      <c r="AL441" s="1124">
        <f t="shared" si="353"/>
        <v>0</v>
      </c>
      <c r="AM441" s="1124">
        <f t="shared" si="353"/>
        <v>0</v>
      </c>
      <c r="AN441" s="1124">
        <f t="shared" si="353"/>
        <v>0</v>
      </c>
      <c r="AO441" s="1124">
        <f t="shared" si="353"/>
        <v>0</v>
      </c>
      <c r="AP441" s="1124">
        <f t="shared" si="353"/>
        <v>0</v>
      </c>
      <c r="AQ441" s="1124">
        <f t="shared" si="353"/>
        <v>0</v>
      </c>
      <c r="AR441" s="1124">
        <f t="shared" si="353"/>
        <v>0</v>
      </c>
      <c r="AS441" s="1124">
        <f t="shared" si="353"/>
        <v>0</v>
      </c>
      <c r="AW441" s="191"/>
      <c r="AY441" s="31">
        <f>+Details!F441-Base!F441</f>
        <v>0</v>
      </c>
      <c r="AZ441" s="1124">
        <f>+Details!G441-Base!G441</f>
        <v>0</v>
      </c>
      <c r="BA441" s="1124">
        <f>+Details!H441-Base!H441</f>
        <v>0</v>
      </c>
      <c r="BB441" s="1124">
        <f>+Details!I441-Base!I441</f>
        <v>0</v>
      </c>
      <c r="BC441" s="1124">
        <f>+Details!J441-Base!J441</f>
        <v>0</v>
      </c>
      <c r="BD441" s="1124">
        <f>+Details!K441-Base!K441</f>
        <v>0</v>
      </c>
      <c r="BE441" s="1124">
        <f>+Details!L441-Base!L441</f>
        <v>0</v>
      </c>
      <c r="BF441" s="1124">
        <f>+Details!M441-Base!M441</f>
        <v>0</v>
      </c>
      <c r="BG441" s="1124">
        <f>+Details!N441-Base!N441</f>
        <v>0</v>
      </c>
      <c r="BH441" s="1124">
        <f>+Details!O441-Base!O441</f>
        <v>0</v>
      </c>
      <c r="BI441" s="1124">
        <f>+Details!P441-Base!P441</f>
        <v>0</v>
      </c>
      <c r="BJ441" s="1124">
        <f>+Details!Q441-Base!Q441</f>
        <v>0</v>
      </c>
      <c r="BK441" s="1124">
        <f>+Details!R441-Base!R441</f>
        <v>0</v>
      </c>
      <c r="BL441" s="1124">
        <f>+Details!S441-Base!S441</f>
        <v>0</v>
      </c>
      <c r="BM441" s="1124">
        <f>+Details!T441-Base!T441</f>
        <v>0</v>
      </c>
      <c r="BN441" s="1124">
        <f>+Details!U441-Base!U441</f>
        <v>0</v>
      </c>
      <c r="BO441" s="1124">
        <f>+Details!V441-Base!V441</f>
        <v>0</v>
      </c>
      <c r="BP441" s="1124">
        <f>+Details!W441-Base!W441</f>
        <v>0</v>
      </c>
      <c r="BQ441" s="1124">
        <f>+Details!X441-Base!X441</f>
        <v>0</v>
      </c>
      <c r="BR441" s="1124">
        <f>+Details!Y441-Base!Y441</f>
        <v>0</v>
      </c>
      <c r="BS441" s="1124">
        <f>+Details!Z441-Base!Z441</f>
        <v>0</v>
      </c>
      <c r="BT441" s="1124">
        <f>+Details!AA441-Base!AA441</f>
        <v>0</v>
      </c>
      <c r="BU441" s="1124">
        <f>+Details!AB441-Base!AB441</f>
        <v>0</v>
      </c>
      <c r="BV441" s="1124">
        <f>+Details!AC441-Base!AC441</f>
        <v>0</v>
      </c>
      <c r="BW441" s="1124">
        <f>+Details!AD441-Base!AD441</f>
        <v>0</v>
      </c>
      <c r="BX441" s="1124">
        <f>+Details!AE441-Base!AE441</f>
        <v>0</v>
      </c>
      <c r="BY441" s="1124">
        <f>+Details!AF441-Base!AF441</f>
        <v>0</v>
      </c>
      <c r="BZ441" s="1124">
        <f>+Details!AG441-Base!AG441</f>
        <v>0</v>
      </c>
      <c r="CA441" s="1124">
        <f>+Details!AH441-Base!AH441</f>
        <v>0</v>
      </c>
      <c r="CB441" s="1124">
        <f>+Details!AI441-Base!AI441</f>
        <v>0</v>
      </c>
      <c r="CC441" s="1124">
        <f>+Details!AJ441-Base!AJ441</f>
        <v>0</v>
      </c>
      <c r="CD441" s="1124">
        <f>+Details!AK441-Base!AK441</f>
        <v>0</v>
      </c>
      <c r="CE441" s="1124">
        <f>+Details!AL441-Base!AL441</f>
        <v>0</v>
      </c>
      <c r="CF441" s="1124">
        <f>+Details!AM441-Base!AM441</f>
        <v>0</v>
      </c>
      <c r="CG441" s="1124">
        <f>+Details!AN441-Base!AN441</f>
        <v>0</v>
      </c>
      <c r="CH441" s="1124">
        <f>+Details!AO441-Base!AO441</f>
        <v>0</v>
      </c>
      <c r="CI441" s="1124">
        <f>+Details!AP441-Base!AP441</f>
        <v>0</v>
      </c>
      <c r="CJ441" s="1124">
        <f>+Details!AQ441-Base!AQ441</f>
        <v>0</v>
      </c>
      <c r="CK441" s="1124">
        <f>+Details!AR441-Base!AR441</f>
        <v>0</v>
      </c>
      <c r="CL441" s="1124">
        <f>+Details!AS441-Base!AS441</f>
        <v>0</v>
      </c>
    </row>
    <row r="442" spans="2:90" ht="15.6">
      <c r="B442" s="552" t="s">
        <v>88</v>
      </c>
      <c r="C442" s="437"/>
      <c r="D442" s="32"/>
      <c r="E442" s="65">
        <f t="shared" si="349"/>
        <v>144000</v>
      </c>
      <c r="F442" s="31">
        <f t="shared" ref="F442:AS442" si="354">+F65</f>
        <v>0</v>
      </c>
      <c r="G442" s="1124">
        <f t="shared" si="354"/>
        <v>0</v>
      </c>
      <c r="H442" s="1124">
        <f t="shared" si="354"/>
        <v>0</v>
      </c>
      <c r="I442" s="1124">
        <f t="shared" si="354"/>
        <v>0</v>
      </c>
      <c r="J442" s="1124">
        <f t="shared" si="354"/>
        <v>0</v>
      </c>
      <c r="K442" s="1124">
        <f t="shared" si="354"/>
        <v>0</v>
      </c>
      <c r="L442" s="1124">
        <f t="shared" si="354"/>
        <v>0</v>
      </c>
      <c r="M442" s="1124">
        <f t="shared" si="354"/>
        <v>0</v>
      </c>
      <c r="N442" s="1124">
        <f t="shared" si="354"/>
        <v>0</v>
      </c>
      <c r="O442" s="1124">
        <f t="shared" si="354"/>
        <v>0</v>
      </c>
      <c r="P442" s="1124">
        <f t="shared" si="354"/>
        <v>0</v>
      </c>
      <c r="Q442" s="1124">
        <f t="shared" si="354"/>
        <v>0</v>
      </c>
      <c r="R442" s="1124">
        <f t="shared" si="354"/>
        <v>0</v>
      </c>
      <c r="S442" s="1124">
        <f t="shared" si="354"/>
        <v>0</v>
      </c>
      <c r="T442" s="1124">
        <f t="shared" si="354"/>
        <v>9000</v>
      </c>
      <c r="U442" s="1124">
        <f t="shared" si="354"/>
        <v>9000</v>
      </c>
      <c r="V442" s="1124">
        <f t="shared" si="354"/>
        <v>9000</v>
      </c>
      <c r="W442" s="1124">
        <f t="shared" si="354"/>
        <v>9000</v>
      </c>
      <c r="X442" s="1124">
        <f t="shared" si="354"/>
        <v>9000</v>
      </c>
      <c r="Y442" s="1124">
        <f t="shared" si="354"/>
        <v>9000</v>
      </c>
      <c r="Z442" s="1124">
        <f t="shared" si="354"/>
        <v>9000</v>
      </c>
      <c r="AA442" s="1124">
        <f t="shared" si="354"/>
        <v>9000</v>
      </c>
      <c r="AB442" s="1124">
        <f t="shared" si="354"/>
        <v>9000</v>
      </c>
      <c r="AC442" s="1124">
        <f t="shared" si="354"/>
        <v>9000</v>
      </c>
      <c r="AD442" s="1124">
        <f t="shared" si="354"/>
        <v>9000</v>
      </c>
      <c r="AE442" s="1124">
        <f t="shared" si="354"/>
        <v>9000</v>
      </c>
      <c r="AF442" s="1124">
        <f t="shared" si="354"/>
        <v>9000</v>
      </c>
      <c r="AG442" s="1124">
        <f t="shared" si="354"/>
        <v>9000</v>
      </c>
      <c r="AH442" s="1124">
        <f t="shared" si="354"/>
        <v>9000</v>
      </c>
      <c r="AI442" s="1124">
        <f t="shared" si="354"/>
        <v>9000</v>
      </c>
      <c r="AJ442" s="1124">
        <f t="shared" si="354"/>
        <v>0</v>
      </c>
      <c r="AK442" s="1124">
        <f t="shared" si="354"/>
        <v>0</v>
      </c>
      <c r="AL442" s="1124">
        <f t="shared" si="354"/>
        <v>0</v>
      </c>
      <c r="AM442" s="1124">
        <f t="shared" si="354"/>
        <v>0</v>
      </c>
      <c r="AN442" s="1124">
        <f t="shared" si="354"/>
        <v>0</v>
      </c>
      <c r="AO442" s="1124">
        <f t="shared" si="354"/>
        <v>0</v>
      </c>
      <c r="AP442" s="1124">
        <f t="shared" si="354"/>
        <v>0</v>
      </c>
      <c r="AQ442" s="1124">
        <f t="shared" si="354"/>
        <v>0</v>
      </c>
      <c r="AR442" s="1124">
        <f t="shared" si="354"/>
        <v>0</v>
      </c>
      <c r="AS442" s="1124">
        <f t="shared" si="354"/>
        <v>0</v>
      </c>
      <c r="AW442" s="191"/>
      <c r="AY442" s="31">
        <f>+Details!F442-Base!F442</f>
        <v>0</v>
      </c>
      <c r="AZ442" s="1124">
        <f>+Details!G442-Base!G442</f>
        <v>0</v>
      </c>
      <c r="BA442" s="1124">
        <f>+Details!H442-Base!H442</f>
        <v>0</v>
      </c>
      <c r="BB442" s="1124">
        <f>+Details!I442-Base!I442</f>
        <v>0</v>
      </c>
      <c r="BC442" s="1124">
        <f>+Details!J442-Base!J442</f>
        <v>0</v>
      </c>
      <c r="BD442" s="1124">
        <f>+Details!K442-Base!K442</f>
        <v>0</v>
      </c>
      <c r="BE442" s="1124">
        <f>+Details!L442-Base!L442</f>
        <v>0</v>
      </c>
      <c r="BF442" s="1124">
        <f>+Details!M442-Base!M442</f>
        <v>0</v>
      </c>
      <c r="BG442" s="1124">
        <f>+Details!N442-Base!N442</f>
        <v>0</v>
      </c>
      <c r="BH442" s="1124">
        <f>+Details!O442-Base!O442</f>
        <v>0</v>
      </c>
      <c r="BI442" s="1124">
        <f>+Details!P442-Base!P442</f>
        <v>0</v>
      </c>
      <c r="BJ442" s="1124">
        <f>+Details!Q442-Base!Q442</f>
        <v>0</v>
      </c>
      <c r="BK442" s="1124">
        <f>+Details!R442-Base!R442</f>
        <v>0</v>
      </c>
      <c r="BL442" s="1124">
        <f>+Details!S442-Base!S442</f>
        <v>0</v>
      </c>
      <c r="BM442" s="1124">
        <f>+Details!T442-Base!T442</f>
        <v>0</v>
      </c>
      <c r="BN442" s="1124">
        <f>+Details!U442-Base!U442</f>
        <v>0</v>
      </c>
      <c r="BO442" s="1124">
        <f>+Details!V442-Base!V442</f>
        <v>0</v>
      </c>
      <c r="BP442" s="1124">
        <f>+Details!W442-Base!W442</f>
        <v>0</v>
      </c>
      <c r="BQ442" s="1124">
        <f>+Details!X442-Base!X442</f>
        <v>0</v>
      </c>
      <c r="BR442" s="1124">
        <f>+Details!Y442-Base!Y442</f>
        <v>0</v>
      </c>
      <c r="BS442" s="1124">
        <f>+Details!Z442-Base!Z442</f>
        <v>0</v>
      </c>
      <c r="BT442" s="1124">
        <f>+Details!AA442-Base!AA442</f>
        <v>0</v>
      </c>
      <c r="BU442" s="1124">
        <f>+Details!AB442-Base!AB442</f>
        <v>0</v>
      </c>
      <c r="BV442" s="1124">
        <f>+Details!AC442-Base!AC442</f>
        <v>0</v>
      </c>
      <c r="BW442" s="1124">
        <f>+Details!AD442-Base!AD442</f>
        <v>0</v>
      </c>
      <c r="BX442" s="1124">
        <f>+Details!AE442-Base!AE442</f>
        <v>0</v>
      </c>
      <c r="BY442" s="1124">
        <f>+Details!AF442-Base!AF442</f>
        <v>0</v>
      </c>
      <c r="BZ442" s="1124">
        <f>+Details!AG442-Base!AG442</f>
        <v>0</v>
      </c>
      <c r="CA442" s="1124">
        <f>+Details!AH442-Base!AH442</f>
        <v>0</v>
      </c>
      <c r="CB442" s="1124">
        <f>+Details!AI442-Base!AI442</f>
        <v>0</v>
      </c>
      <c r="CC442" s="1124">
        <f>+Details!AJ442-Base!AJ442</f>
        <v>0</v>
      </c>
      <c r="CD442" s="1124">
        <f>+Details!AK442-Base!AK442</f>
        <v>0</v>
      </c>
      <c r="CE442" s="1124">
        <f>+Details!AL442-Base!AL442</f>
        <v>0</v>
      </c>
      <c r="CF442" s="1124">
        <f>+Details!AM442-Base!AM442</f>
        <v>0</v>
      </c>
      <c r="CG442" s="1124">
        <f>+Details!AN442-Base!AN442</f>
        <v>0</v>
      </c>
      <c r="CH442" s="1124">
        <f>+Details!AO442-Base!AO442</f>
        <v>0</v>
      </c>
      <c r="CI442" s="1124">
        <f>+Details!AP442-Base!AP442</f>
        <v>0</v>
      </c>
      <c r="CJ442" s="1124">
        <f>+Details!AQ442-Base!AQ442</f>
        <v>0</v>
      </c>
      <c r="CK442" s="1124">
        <f>+Details!AR442-Base!AR442</f>
        <v>0</v>
      </c>
      <c r="CL442" s="1124">
        <f>+Details!AS442-Base!AS442</f>
        <v>0</v>
      </c>
    </row>
    <row r="443" spans="2:90" ht="15.6">
      <c r="B443" s="552" t="s">
        <v>614</v>
      </c>
      <c r="C443" s="437"/>
      <c r="D443" s="32"/>
      <c r="E443" s="635">
        <f t="shared" si="349"/>
        <v>549600</v>
      </c>
      <c r="F443" s="38">
        <f t="shared" ref="F443:AS443" si="355">+F70</f>
        <v>20000</v>
      </c>
      <c r="G443" s="1125">
        <f t="shared" si="355"/>
        <v>35600</v>
      </c>
      <c r="H443" s="1125">
        <f t="shared" si="355"/>
        <v>21200</v>
      </c>
      <c r="I443" s="1125">
        <f t="shared" si="355"/>
        <v>21900</v>
      </c>
      <c r="J443" s="1125">
        <f t="shared" si="355"/>
        <v>22600</v>
      </c>
      <c r="K443" s="1125">
        <f t="shared" si="355"/>
        <v>23400</v>
      </c>
      <c r="L443" s="1125">
        <f t="shared" si="355"/>
        <v>24200</v>
      </c>
      <c r="M443" s="1125">
        <f t="shared" si="355"/>
        <v>25000</v>
      </c>
      <c r="N443" s="1125">
        <f t="shared" si="355"/>
        <v>25800</v>
      </c>
      <c r="O443" s="1125">
        <f t="shared" si="355"/>
        <v>12500</v>
      </c>
      <c r="P443" s="1125">
        <f t="shared" si="355"/>
        <v>12800</v>
      </c>
      <c r="Q443" s="1125">
        <f t="shared" si="355"/>
        <v>13100</v>
      </c>
      <c r="R443" s="1125">
        <f t="shared" si="355"/>
        <v>13400</v>
      </c>
      <c r="S443" s="1125">
        <f t="shared" si="355"/>
        <v>13700</v>
      </c>
      <c r="T443" s="1125">
        <f t="shared" si="355"/>
        <v>14100</v>
      </c>
      <c r="U443" s="1125">
        <f t="shared" si="355"/>
        <v>14500</v>
      </c>
      <c r="V443" s="1125">
        <f t="shared" si="355"/>
        <v>14900</v>
      </c>
      <c r="W443" s="1125">
        <f t="shared" si="355"/>
        <v>15300</v>
      </c>
      <c r="X443" s="1125">
        <f t="shared" si="355"/>
        <v>15700</v>
      </c>
      <c r="Y443" s="1125">
        <f t="shared" si="355"/>
        <v>16100</v>
      </c>
      <c r="Z443" s="1125">
        <f t="shared" si="355"/>
        <v>16500</v>
      </c>
      <c r="AA443" s="1125">
        <f t="shared" si="355"/>
        <v>16900</v>
      </c>
      <c r="AB443" s="1125">
        <f t="shared" si="355"/>
        <v>17300</v>
      </c>
      <c r="AC443" s="1125">
        <f t="shared" si="355"/>
        <v>17800</v>
      </c>
      <c r="AD443" s="1125">
        <f t="shared" si="355"/>
        <v>16300</v>
      </c>
      <c r="AE443" s="1125">
        <f t="shared" si="355"/>
        <v>16800</v>
      </c>
      <c r="AF443" s="1125">
        <f t="shared" si="355"/>
        <v>17300</v>
      </c>
      <c r="AG443" s="1125">
        <f t="shared" si="355"/>
        <v>17800</v>
      </c>
      <c r="AH443" s="1125">
        <f t="shared" si="355"/>
        <v>18300</v>
      </c>
      <c r="AI443" s="1125">
        <f t="shared" si="355"/>
        <v>18800</v>
      </c>
      <c r="AJ443" s="1125">
        <f t="shared" si="355"/>
        <v>0</v>
      </c>
      <c r="AK443" s="1125">
        <f t="shared" si="355"/>
        <v>0</v>
      </c>
      <c r="AL443" s="1125">
        <f t="shared" si="355"/>
        <v>0</v>
      </c>
      <c r="AM443" s="1125">
        <f t="shared" si="355"/>
        <v>0</v>
      </c>
      <c r="AN443" s="1125">
        <f t="shared" si="355"/>
        <v>0</v>
      </c>
      <c r="AO443" s="1125">
        <f t="shared" si="355"/>
        <v>0</v>
      </c>
      <c r="AP443" s="1125">
        <f t="shared" si="355"/>
        <v>0</v>
      </c>
      <c r="AQ443" s="1125">
        <f t="shared" si="355"/>
        <v>0</v>
      </c>
      <c r="AR443" s="1125">
        <f t="shared" si="355"/>
        <v>0</v>
      </c>
      <c r="AS443" s="1125">
        <f t="shared" si="355"/>
        <v>0</v>
      </c>
      <c r="AW443" s="191"/>
      <c r="AY443" s="38">
        <f>+Details!F443-Base!F443</f>
        <v>0</v>
      </c>
      <c r="AZ443" s="1125">
        <f>+Details!G443-Base!G443</f>
        <v>0</v>
      </c>
      <c r="BA443" s="1125">
        <f>+Details!H443-Base!H443</f>
        <v>0</v>
      </c>
      <c r="BB443" s="1125">
        <f>+Details!I443-Base!I443</f>
        <v>0</v>
      </c>
      <c r="BC443" s="1125">
        <f>+Details!J443-Base!J443</f>
        <v>0</v>
      </c>
      <c r="BD443" s="1125">
        <f>+Details!K443-Base!K443</f>
        <v>0</v>
      </c>
      <c r="BE443" s="1125">
        <f>+Details!L443-Base!L443</f>
        <v>0</v>
      </c>
      <c r="BF443" s="1125">
        <f>+Details!M443-Base!M443</f>
        <v>0</v>
      </c>
      <c r="BG443" s="1125">
        <f>+Details!N443-Base!N443</f>
        <v>0</v>
      </c>
      <c r="BH443" s="1125">
        <f>+Details!O443-Base!O443</f>
        <v>0</v>
      </c>
      <c r="BI443" s="1125">
        <f>+Details!P443-Base!P443</f>
        <v>0</v>
      </c>
      <c r="BJ443" s="1125">
        <f>+Details!Q443-Base!Q443</f>
        <v>0</v>
      </c>
      <c r="BK443" s="1125">
        <f>+Details!R443-Base!R443</f>
        <v>0</v>
      </c>
      <c r="BL443" s="1125">
        <f>+Details!S443-Base!S443</f>
        <v>0</v>
      </c>
      <c r="BM443" s="1125">
        <f>+Details!T443-Base!T443</f>
        <v>0</v>
      </c>
      <c r="BN443" s="1125">
        <f>+Details!U443-Base!U443</f>
        <v>0</v>
      </c>
      <c r="BO443" s="1125">
        <f>+Details!V443-Base!V443</f>
        <v>0</v>
      </c>
      <c r="BP443" s="1125">
        <f>+Details!W443-Base!W443</f>
        <v>0</v>
      </c>
      <c r="BQ443" s="1125">
        <f>+Details!X443-Base!X443</f>
        <v>0</v>
      </c>
      <c r="BR443" s="1125">
        <f>+Details!Y443-Base!Y443</f>
        <v>0</v>
      </c>
      <c r="BS443" s="1125">
        <f>+Details!Z443-Base!Z443</f>
        <v>0</v>
      </c>
      <c r="BT443" s="1125">
        <f>+Details!AA443-Base!AA443</f>
        <v>0</v>
      </c>
      <c r="BU443" s="1125">
        <f>+Details!AB443-Base!AB443</f>
        <v>0</v>
      </c>
      <c r="BV443" s="1125">
        <f>+Details!AC443-Base!AC443</f>
        <v>0</v>
      </c>
      <c r="BW443" s="1125">
        <f>+Details!AD443-Base!AD443</f>
        <v>0</v>
      </c>
      <c r="BX443" s="1125">
        <f>+Details!AE443-Base!AE443</f>
        <v>0</v>
      </c>
      <c r="BY443" s="1125">
        <f>+Details!AF443-Base!AF443</f>
        <v>0</v>
      </c>
      <c r="BZ443" s="1125">
        <f>+Details!AG443-Base!AG443</f>
        <v>0</v>
      </c>
      <c r="CA443" s="1125">
        <f>+Details!AH443-Base!AH443</f>
        <v>0</v>
      </c>
      <c r="CB443" s="1125">
        <f>+Details!AI443-Base!AI443</f>
        <v>0</v>
      </c>
      <c r="CC443" s="1125">
        <f>+Details!AJ443-Base!AJ443</f>
        <v>0</v>
      </c>
      <c r="CD443" s="1125">
        <f>+Details!AK443-Base!AK443</f>
        <v>0</v>
      </c>
      <c r="CE443" s="1125">
        <f>+Details!AL443-Base!AL443</f>
        <v>0</v>
      </c>
      <c r="CF443" s="1125">
        <f>+Details!AM443-Base!AM443</f>
        <v>0</v>
      </c>
      <c r="CG443" s="1125">
        <f>+Details!AN443-Base!AN443</f>
        <v>0</v>
      </c>
      <c r="CH443" s="1125">
        <f>+Details!AO443-Base!AO443</f>
        <v>0</v>
      </c>
      <c r="CI443" s="1125">
        <f>+Details!AP443-Base!AP443</f>
        <v>0</v>
      </c>
      <c r="CJ443" s="1125">
        <f>+Details!AQ443-Base!AQ443</f>
        <v>0</v>
      </c>
      <c r="CK443" s="1125">
        <f>+Details!AR443-Base!AR443</f>
        <v>0</v>
      </c>
      <c r="CL443" s="1125">
        <f>+Details!AS443-Base!AS443</f>
        <v>0</v>
      </c>
    </row>
    <row r="444" spans="2:90" ht="15.6">
      <c r="B444" s="552" t="s">
        <v>635</v>
      </c>
      <c r="C444" s="437"/>
      <c r="D444" s="32"/>
      <c r="E444" s="65">
        <f t="shared" si="349"/>
        <v>4775000</v>
      </c>
      <c r="F444" s="31">
        <f>SUM(F438:F443)</f>
        <v>78900</v>
      </c>
      <c r="G444" s="1124">
        <f t="shared" ref="G444:AS444" si="356">SUM(G438:G443)</f>
        <v>95100</v>
      </c>
      <c r="H444" s="1124">
        <f t="shared" si="356"/>
        <v>81200</v>
      </c>
      <c r="I444" s="1124">
        <f t="shared" si="356"/>
        <v>82200</v>
      </c>
      <c r="J444" s="1124">
        <f t="shared" si="356"/>
        <v>83100</v>
      </c>
      <c r="K444" s="1124">
        <f t="shared" si="356"/>
        <v>106600</v>
      </c>
      <c r="L444" s="1124">
        <f t="shared" si="356"/>
        <v>108900</v>
      </c>
      <c r="M444" s="1124">
        <f t="shared" si="356"/>
        <v>111400</v>
      </c>
      <c r="N444" s="1124">
        <f t="shared" si="356"/>
        <v>161600</v>
      </c>
      <c r="O444" s="1124">
        <f t="shared" si="356"/>
        <v>152900</v>
      </c>
      <c r="P444" s="1124">
        <f t="shared" si="356"/>
        <v>155300</v>
      </c>
      <c r="Q444" s="1124">
        <f t="shared" si="356"/>
        <v>158800</v>
      </c>
      <c r="R444" s="1124">
        <f t="shared" si="356"/>
        <v>167400</v>
      </c>
      <c r="S444" s="1124">
        <f t="shared" si="356"/>
        <v>171700</v>
      </c>
      <c r="T444" s="1124">
        <f t="shared" si="356"/>
        <v>183800</v>
      </c>
      <c r="U444" s="1124">
        <f t="shared" si="356"/>
        <v>189100</v>
      </c>
      <c r="V444" s="1124">
        <f t="shared" si="356"/>
        <v>180300</v>
      </c>
      <c r="W444" s="1124">
        <f t="shared" si="356"/>
        <v>185500</v>
      </c>
      <c r="X444" s="1124">
        <f t="shared" si="356"/>
        <v>176500</v>
      </c>
      <c r="Y444" s="1124">
        <f t="shared" si="356"/>
        <v>179800</v>
      </c>
      <c r="Z444" s="1124">
        <f t="shared" si="356"/>
        <v>183400</v>
      </c>
      <c r="AA444" s="1124">
        <f t="shared" si="356"/>
        <v>186800</v>
      </c>
      <c r="AB444" s="1124">
        <f t="shared" si="356"/>
        <v>198400</v>
      </c>
      <c r="AC444" s="1124">
        <f t="shared" si="356"/>
        <v>210500</v>
      </c>
      <c r="AD444" s="1124">
        <f t="shared" si="356"/>
        <v>189400</v>
      </c>
      <c r="AE444" s="1124">
        <f t="shared" si="356"/>
        <v>194200</v>
      </c>
      <c r="AF444" s="1124">
        <f t="shared" si="356"/>
        <v>196400</v>
      </c>
      <c r="AG444" s="1124">
        <f t="shared" si="356"/>
        <v>199100</v>
      </c>
      <c r="AH444" s="1124">
        <f t="shared" si="356"/>
        <v>202000</v>
      </c>
      <c r="AI444" s="1124">
        <f t="shared" si="356"/>
        <v>204700</v>
      </c>
      <c r="AJ444" s="1124">
        <f t="shared" si="356"/>
        <v>0</v>
      </c>
      <c r="AK444" s="1124">
        <f t="shared" si="356"/>
        <v>0</v>
      </c>
      <c r="AL444" s="1124">
        <f t="shared" si="356"/>
        <v>0</v>
      </c>
      <c r="AM444" s="1124">
        <f t="shared" si="356"/>
        <v>0</v>
      </c>
      <c r="AN444" s="1124">
        <f t="shared" si="356"/>
        <v>0</v>
      </c>
      <c r="AO444" s="1124">
        <f t="shared" si="356"/>
        <v>0</v>
      </c>
      <c r="AP444" s="1124">
        <f t="shared" si="356"/>
        <v>0</v>
      </c>
      <c r="AQ444" s="1124">
        <f t="shared" si="356"/>
        <v>0</v>
      </c>
      <c r="AR444" s="1124">
        <f t="shared" si="356"/>
        <v>0</v>
      </c>
      <c r="AS444" s="1124">
        <f t="shared" si="356"/>
        <v>0</v>
      </c>
      <c r="AW444" s="191"/>
      <c r="AY444" s="31">
        <f>+Details!F444-Base!F444</f>
        <v>0</v>
      </c>
      <c r="AZ444" s="1124">
        <f>+Details!G444-Base!G444</f>
        <v>0</v>
      </c>
      <c r="BA444" s="1124">
        <f>+Details!H444-Base!H444</f>
        <v>0</v>
      </c>
      <c r="BB444" s="1124">
        <f>+Details!I444-Base!I444</f>
        <v>0</v>
      </c>
      <c r="BC444" s="1124">
        <f>+Details!J444-Base!J444</f>
        <v>0</v>
      </c>
      <c r="BD444" s="1124">
        <f>+Details!K444-Base!K444</f>
        <v>0</v>
      </c>
      <c r="BE444" s="1124">
        <f>+Details!L444-Base!L444</f>
        <v>0</v>
      </c>
      <c r="BF444" s="1124">
        <f>+Details!M444-Base!M444</f>
        <v>0</v>
      </c>
      <c r="BG444" s="1124">
        <f>+Details!N444-Base!N444</f>
        <v>0</v>
      </c>
      <c r="BH444" s="1124">
        <f>+Details!O444-Base!O444</f>
        <v>0</v>
      </c>
      <c r="BI444" s="1124">
        <f>+Details!P444-Base!P444</f>
        <v>0</v>
      </c>
      <c r="BJ444" s="1124">
        <f>+Details!Q444-Base!Q444</f>
        <v>0</v>
      </c>
      <c r="BK444" s="1124">
        <f>+Details!R444-Base!R444</f>
        <v>0</v>
      </c>
      <c r="BL444" s="1124">
        <f>+Details!S444-Base!S444</f>
        <v>0</v>
      </c>
      <c r="BM444" s="1124">
        <f>+Details!T444-Base!T444</f>
        <v>0</v>
      </c>
      <c r="BN444" s="1124">
        <f>+Details!U444-Base!U444</f>
        <v>0</v>
      </c>
      <c r="BO444" s="1124">
        <f>+Details!V444-Base!V444</f>
        <v>0</v>
      </c>
      <c r="BP444" s="1124">
        <f>+Details!W444-Base!W444</f>
        <v>0</v>
      </c>
      <c r="BQ444" s="1124">
        <f>+Details!X444-Base!X444</f>
        <v>0</v>
      </c>
      <c r="BR444" s="1124">
        <f>+Details!Y444-Base!Y444</f>
        <v>0</v>
      </c>
      <c r="BS444" s="1124">
        <f>+Details!Z444-Base!Z444</f>
        <v>0</v>
      </c>
      <c r="BT444" s="1124">
        <f>+Details!AA444-Base!AA444</f>
        <v>0</v>
      </c>
      <c r="BU444" s="1124">
        <f>+Details!AB444-Base!AB444</f>
        <v>0</v>
      </c>
      <c r="BV444" s="1124">
        <f>+Details!AC444-Base!AC444</f>
        <v>0</v>
      </c>
      <c r="BW444" s="1124">
        <f>+Details!AD444-Base!AD444</f>
        <v>0</v>
      </c>
      <c r="BX444" s="1124">
        <f>+Details!AE444-Base!AE444</f>
        <v>0</v>
      </c>
      <c r="BY444" s="1124">
        <f>+Details!AF444-Base!AF444</f>
        <v>0</v>
      </c>
      <c r="BZ444" s="1124">
        <f>+Details!AG444-Base!AG444</f>
        <v>0</v>
      </c>
      <c r="CA444" s="1124">
        <f>+Details!AH444-Base!AH444</f>
        <v>0</v>
      </c>
      <c r="CB444" s="1124">
        <f>+Details!AI444-Base!AI444</f>
        <v>0</v>
      </c>
      <c r="CC444" s="1124">
        <f>+Details!AJ444-Base!AJ444</f>
        <v>0</v>
      </c>
      <c r="CD444" s="1124">
        <f>+Details!AK444-Base!AK444</f>
        <v>0</v>
      </c>
      <c r="CE444" s="1124">
        <f>+Details!AL444-Base!AL444</f>
        <v>0</v>
      </c>
      <c r="CF444" s="1124">
        <f>+Details!AM444-Base!AM444</f>
        <v>0</v>
      </c>
      <c r="CG444" s="1124">
        <f>+Details!AN444-Base!AN444</f>
        <v>0</v>
      </c>
      <c r="CH444" s="1124">
        <f>+Details!AO444-Base!AO444</f>
        <v>0</v>
      </c>
      <c r="CI444" s="1124">
        <f>+Details!AP444-Base!AP444</f>
        <v>0</v>
      </c>
      <c r="CJ444" s="1124">
        <f>+Details!AQ444-Base!AQ444</f>
        <v>0</v>
      </c>
      <c r="CK444" s="1124">
        <f>+Details!AR444-Base!AR444</f>
        <v>0</v>
      </c>
      <c r="CL444" s="1124">
        <f>+Details!AS444-Base!AS444</f>
        <v>0</v>
      </c>
    </row>
    <row r="445" spans="2:90" ht="15.6">
      <c r="B445" s="552"/>
      <c r="C445" s="437"/>
      <c r="D445" s="32"/>
      <c r="F445" s="523"/>
    </row>
    <row r="446" spans="2:90" ht="18" thickBot="1">
      <c r="B446" s="866" t="s">
        <v>75</v>
      </c>
      <c r="C446" s="525"/>
      <c r="G446" s="92"/>
      <c r="AZ446" s="92"/>
    </row>
    <row r="447" spans="2:90">
      <c r="B447" t="s">
        <v>453</v>
      </c>
      <c r="C447" s="136"/>
      <c r="E447" s="65">
        <f>SUM(F447:AS447)</f>
        <v>16808200</v>
      </c>
      <c r="F447" s="92">
        <f t="shared" ref="F447:AS447" si="357">+F8</f>
        <v>200000</v>
      </c>
      <c r="G447" s="92">
        <f t="shared" si="357"/>
        <v>187100</v>
      </c>
      <c r="H447" s="92">
        <f t="shared" si="357"/>
        <v>186800</v>
      </c>
      <c r="I447" s="92">
        <f t="shared" si="357"/>
        <v>173800</v>
      </c>
      <c r="J447" s="92">
        <f t="shared" si="357"/>
        <v>160500</v>
      </c>
      <c r="K447" s="92">
        <f t="shared" si="357"/>
        <v>148300</v>
      </c>
      <c r="L447" s="92">
        <f t="shared" si="357"/>
        <v>156400</v>
      </c>
      <c r="M447" s="92">
        <f t="shared" si="357"/>
        <v>166100</v>
      </c>
      <c r="N447" s="92">
        <f t="shared" si="357"/>
        <v>175900</v>
      </c>
      <c r="O447" s="92">
        <f t="shared" si="357"/>
        <v>202800</v>
      </c>
      <c r="P447" s="92">
        <f t="shared" si="357"/>
        <v>238100</v>
      </c>
      <c r="Q447" s="92">
        <f t="shared" si="357"/>
        <v>194200</v>
      </c>
      <c r="R447" s="92">
        <f t="shared" si="357"/>
        <v>272100</v>
      </c>
      <c r="S447" s="92">
        <f t="shared" si="357"/>
        <v>296700</v>
      </c>
      <c r="T447" s="92">
        <f t="shared" si="357"/>
        <v>344500</v>
      </c>
      <c r="U447" s="92">
        <f t="shared" si="357"/>
        <v>301300</v>
      </c>
      <c r="V447" s="92">
        <f t="shared" si="357"/>
        <v>424600</v>
      </c>
      <c r="W447" s="92">
        <f t="shared" si="357"/>
        <v>480700</v>
      </c>
      <c r="X447" s="92">
        <f t="shared" si="357"/>
        <v>541400</v>
      </c>
      <c r="Y447" s="92">
        <f t="shared" si="357"/>
        <v>574700</v>
      </c>
      <c r="Z447" s="92">
        <f t="shared" si="357"/>
        <v>609500</v>
      </c>
      <c r="AA447" s="92">
        <f t="shared" si="357"/>
        <v>647200</v>
      </c>
      <c r="AB447" s="92">
        <f t="shared" si="357"/>
        <v>688000</v>
      </c>
      <c r="AC447" s="92">
        <f t="shared" si="357"/>
        <v>1136000</v>
      </c>
      <c r="AD447" s="92">
        <f t="shared" si="357"/>
        <v>1199500</v>
      </c>
      <c r="AE447" s="92">
        <f t="shared" si="357"/>
        <v>1337600</v>
      </c>
      <c r="AF447" s="92">
        <f t="shared" si="357"/>
        <v>1379900</v>
      </c>
      <c r="AG447" s="92">
        <f t="shared" si="357"/>
        <v>1423300</v>
      </c>
      <c r="AH447" s="92">
        <f t="shared" si="357"/>
        <v>1461500</v>
      </c>
      <c r="AI447" s="92">
        <f t="shared" si="357"/>
        <v>1499700</v>
      </c>
      <c r="AJ447" s="92">
        <f t="shared" si="357"/>
        <v>0</v>
      </c>
      <c r="AK447" s="92">
        <f t="shared" si="357"/>
        <v>0</v>
      </c>
      <c r="AL447" s="92">
        <f t="shared" si="357"/>
        <v>0</v>
      </c>
      <c r="AM447" s="92">
        <f t="shared" si="357"/>
        <v>0</v>
      </c>
      <c r="AN447" s="92">
        <f t="shared" si="357"/>
        <v>0</v>
      </c>
      <c r="AO447" s="92">
        <f t="shared" si="357"/>
        <v>0</v>
      </c>
      <c r="AP447" s="92">
        <f t="shared" si="357"/>
        <v>0</v>
      </c>
      <c r="AQ447" s="92">
        <f t="shared" si="357"/>
        <v>0</v>
      </c>
      <c r="AR447" s="92">
        <f t="shared" si="357"/>
        <v>0</v>
      </c>
      <c r="AS447" s="92">
        <f t="shared" si="357"/>
        <v>0</v>
      </c>
      <c r="AW447" s="191"/>
      <c r="AY447" s="31">
        <f>+Details!F447-Base!F447</f>
        <v>0</v>
      </c>
      <c r="AZ447" s="92">
        <f>+Details!G447-Base!G447</f>
        <v>0</v>
      </c>
      <c r="BA447" s="92">
        <f>+Details!H447-Base!H447</f>
        <v>0</v>
      </c>
      <c r="BB447" s="92">
        <f>+Details!I447-Base!I447</f>
        <v>0</v>
      </c>
      <c r="BC447" s="92">
        <f>+Details!J447-Base!J447</f>
        <v>0</v>
      </c>
      <c r="BD447" s="92">
        <f>+Details!K447-Base!K447</f>
        <v>0</v>
      </c>
      <c r="BE447" s="92">
        <f>+Details!L447-Base!L447</f>
        <v>0</v>
      </c>
      <c r="BF447" s="92">
        <f>+Details!M447-Base!M447</f>
        <v>0</v>
      </c>
      <c r="BG447" s="92">
        <f>+Details!N447-Base!N447</f>
        <v>0</v>
      </c>
      <c r="BH447" s="92">
        <f>+Details!O447-Base!O447</f>
        <v>0</v>
      </c>
      <c r="BI447" s="92">
        <f>+Details!P447-Base!P447</f>
        <v>0</v>
      </c>
      <c r="BJ447" s="92">
        <f>+Details!Q447-Base!Q447</f>
        <v>0</v>
      </c>
      <c r="BK447" s="92">
        <f>+Details!R447-Base!R447</f>
        <v>0</v>
      </c>
      <c r="BL447" s="92">
        <f>+Details!S447-Base!S447</f>
        <v>0</v>
      </c>
      <c r="BM447" s="92">
        <f>+Details!T447-Base!T447</f>
        <v>0</v>
      </c>
      <c r="BN447" s="92">
        <f>+Details!U447-Base!U447</f>
        <v>0</v>
      </c>
      <c r="BO447" s="92">
        <f>+Details!V447-Base!V447</f>
        <v>0</v>
      </c>
      <c r="BP447" s="92">
        <f>+Details!W447-Base!W447</f>
        <v>0</v>
      </c>
      <c r="BQ447" s="92">
        <f>+Details!X447-Base!X447</f>
        <v>0</v>
      </c>
      <c r="BR447" s="92">
        <f>+Details!Y447-Base!Y447</f>
        <v>0</v>
      </c>
      <c r="BS447" s="92">
        <f>+Details!Z447-Base!Z447</f>
        <v>0</v>
      </c>
      <c r="BT447" s="92">
        <f>+Details!AA447-Base!AA447</f>
        <v>0</v>
      </c>
      <c r="BU447" s="92">
        <f>+Details!AB447-Base!AB447</f>
        <v>0</v>
      </c>
      <c r="BV447" s="92">
        <f>+Details!AC447-Base!AC447</f>
        <v>0</v>
      </c>
      <c r="BW447" s="92">
        <f>+Details!AD447-Base!AD447</f>
        <v>0</v>
      </c>
      <c r="BX447" s="92">
        <f>+Details!AE447-Base!AE447</f>
        <v>0</v>
      </c>
      <c r="BY447" s="92">
        <f>+Details!AF447-Base!AF447</f>
        <v>0</v>
      </c>
      <c r="BZ447" s="92">
        <f>+Details!AG447-Base!AG447</f>
        <v>0</v>
      </c>
      <c r="CA447" s="92">
        <f>+Details!AH447-Base!AH447</f>
        <v>0</v>
      </c>
      <c r="CB447" s="92">
        <f>+Details!AI447-Base!AI447</f>
        <v>0</v>
      </c>
      <c r="CC447" s="92">
        <f>+Details!AJ447-Base!AJ447</f>
        <v>0</v>
      </c>
      <c r="CD447" s="92">
        <f>+Details!AK447-Base!AK447</f>
        <v>0</v>
      </c>
      <c r="CE447" s="92">
        <f>+Details!AL447-Base!AL447</f>
        <v>0</v>
      </c>
      <c r="CF447" s="92">
        <f>+Details!AM447-Base!AM447</f>
        <v>0</v>
      </c>
      <c r="CG447" s="92">
        <f>+Details!AN447-Base!AN447</f>
        <v>0</v>
      </c>
      <c r="CH447" s="92">
        <f>+Details!AO447-Base!AO447</f>
        <v>0</v>
      </c>
      <c r="CI447" s="92">
        <f>+Details!AP447-Base!AP447</f>
        <v>0</v>
      </c>
      <c r="CJ447" s="92">
        <f>+Details!AQ447-Base!AQ447</f>
        <v>0</v>
      </c>
      <c r="CK447" s="92">
        <f>+Details!AR447-Base!AR447</f>
        <v>0</v>
      </c>
      <c r="CL447" s="92">
        <f>+Details!AS447-Base!AS447</f>
        <v>0</v>
      </c>
    </row>
    <row r="448" spans="2:90">
      <c r="C448" s="136"/>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2"/>
      <c r="AK448" s="92"/>
      <c r="AL448" s="92"/>
      <c r="AM448" s="92"/>
      <c r="AN448" s="92"/>
      <c r="AO448" s="92"/>
      <c r="AP448" s="92"/>
      <c r="AQ448" s="92"/>
      <c r="AR448" s="92"/>
      <c r="AS448" s="92"/>
      <c r="AZ448" s="92"/>
      <c r="BA448" s="92"/>
      <c r="BB448" s="92"/>
      <c r="BC448" s="92"/>
      <c r="BD448" s="92"/>
      <c r="BE448" s="92"/>
      <c r="BF448" s="92"/>
      <c r="BG448" s="92"/>
      <c r="BH448" s="92"/>
      <c r="BI448" s="92"/>
      <c r="BJ448" s="92"/>
      <c r="BK448" s="92"/>
      <c r="BL448" s="92"/>
      <c r="BM448" s="92"/>
      <c r="BN448" s="92"/>
      <c r="BO448" s="92"/>
      <c r="BP448" s="92"/>
      <c r="BQ448" s="92"/>
      <c r="BR448" s="92"/>
      <c r="BS448" s="92"/>
      <c r="BT448" s="92"/>
      <c r="BU448" s="92"/>
      <c r="BV448" s="92"/>
      <c r="BW448" s="92"/>
      <c r="BX448" s="92"/>
      <c r="BY448" s="92"/>
      <c r="BZ448" s="92"/>
      <c r="CA448" s="92"/>
      <c r="CB448" s="92"/>
      <c r="CC448" s="92"/>
      <c r="CD448" s="92"/>
      <c r="CE448" s="92"/>
      <c r="CF448" s="92"/>
      <c r="CG448" s="92"/>
      <c r="CH448" s="92"/>
      <c r="CI448" s="92"/>
      <c r="CJ448" s="92"/>
      <c r="CK448" s="92"/>
      <c r="CL448" s="92"/>
    </row>
    <row r="449" spans="2:90" ht="15.6">
      <c r="B449" s="22" t="s">
        <v>79</v>
      </c>
      <c r="C449" s="136"/>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2"/>
      <c r="AK449" s="92"/>
      <c r="AL449" s="92"/>
      <c r="AM449" s="92"/>
      <c r="AN449" s="92"/>
      <c r="AO449" s="92"/>
      <c r="AP449" s="92"/>
      <c r="AQ449" s="92"/>
      <c r="AR449" s="92"/>
      <c r="AS449" s="92"/>
      <c r="AZ449" s="92"/>
      <c r="BA449" s="92"/>
      <c r="BB449" s="92"/>
      <c r="BC449" s="92"/>
      <c r="BD449" s="92"/>
      <c r="BE449" s="92"/>
      <c r="BF449" s="92"/>
      <c r="BG449" s="92"/>
      <c r="BH449" s="92"/>
      <c r="BI449" s="92"/>
      <c r="BJ449" s="92"/>
      <c r="BK449" s="92"/>
      <c r="BL449" s="92"/>
      <c r="BM449" s="92"/>
      <c r="BN449" s="92"/>
      <c r="BO449" s="92"/>
      <c r="BP449" s="92"/>
      <c r="BQ449" s="92"/>
      <c r="BR449" s="92"/>
      <c r="BS449" s="92"/>
      <c r="BT449" s="92"/>
      <c r="BU449" s="92"/>
      <c r="BV449" s="92"/>
      <c r="BW449" s="92"/>
      <c r="BX449" s="92"/>
      <c r="BY449" s="92"/>
      <c r="BZ449" s="92"/>
      <c r="CA449" s="92"/>
      <c r="CB449" s="92"/>
      <c r="CC449" s="92"/>
      <c r="CD449" s="92"/>
      <c r="CE449" s="92"/>
      <c r="CF449" s="92"/>
      <c r="CG449" s="92"/>
      <c r="CH449" s="92"/>
      <c r="CI449" s="92"/>
      <c r="CJ449" s="92"/>
      <c r="CK449" s="92"/>
      <c r="CL449" s="92"/>
    </row>
    <row r="450" spans="2:90">
      <c r="B450" s="43" t="s">
        <v>1500</v>
      </c>
      <c r="C450" t="s">
        <v>1604</v>
      </c>
      <c r="F450" s="92">
        <f t="shared" ref="F450:AS450" si="358">+F8</f>
        <v>200000</v>
      </c>
      <c r="G450" s="92">
        <f t="shared" si="358"/>
        <v>187100</v>
      </c>
      <c r="H450" s="92">
        <f t="shared" si="358"/>
        <v>186800</v>
      </c>
      <c r="I450" s="92">
        <f t="shared" si="358"/>
        <v>173800</v>
      </c>
      <c r="J450" s="92">
        <f t="shared" si="358"/>
        <v>160500</v>
      </c>
      <c r="K450" s="92">
        <f t="shared" si="358"/>
        <v>148300</v>
      </c>
      <c r="L450" s="92">
        <f t="shared" si="358"/>
        <v>156400</v>
      </c>
      <c r="M450" s="92">
        <f t="shared" si="358"/>
        <v>166100</v>
      </c>
      <c r="N450" s="92">
        <f t="shared" si="358"/>
        <v>175900</v>
      </c>
      <c r="O450" s="92">
        <f t="shared" si="358"/>
        <v>202800</v>
      </c>
      <c r="P450" s="92">
        <f t="shared" si="358"/>
        <v>238100</v>
      </c>
      <c r="Q450" s="92">
        <f t="shared" si="358"/>
        <v>194200</v>
      </c>
      <c r="R450" s="92">
        <f t="shared" si="358"/>
        <v>272100</v>
      </c>
      <c r="S450" s="92">
        <f t="shared" si="358"/>
        <v>296700</v>
      </c>
      <c r="T450" s="92">
        <f t="shared" si="358"/>
        <v>344500</v>
      </c>
      <c r="U450" s="92">
        <f t="shared" si="358"/>
        <v>301300</v>
      </c>
      <c r="V450" s="92">
        <f t="shared" si="358"/>
        <v>424600</v>
      </c>
      <c r="W450" s="92">
        <f t="shared" si="358"/>
        <v>480700</v>
      </c>
      <c r="X450" s="92">
        <f t="shared" si="358"/>
        <v>541400</v>
      </c>
      <c r="Y450" s="92">
        <f t="shared" si="358"/>
        <v>574700</v>
      </c>
      <c r="Z450" s="92">
        <f t="shared" si="358"/>
        <v>609500</v>
      </c>
      <c r="AA450" s="92">
        <f t="shared" si="358"/>
        <v>647200</v>
      </c>
      <c r="AB450" s="92">
        <f t="shared" si="358"/>
        <v>688000</v>
      </c>
      <c r="AC450" s="92">
        <f t="shared" si="358"/>
        <v>1136000</v>
      </c>
      <c r="AD450" s="92">
        <f t="shared" si="358"/>
        <v>1199500</v>
      </c>
      <c r="AE450" s="92">
        <f t="shared" si="358"/>
        <v>1337600</v>
      </c>
      <c r="AF450" s="92">
        <f t="shared" si="358"/>
        <v>1379900</v>
      </c>
      <c r="AG450" s="92">
        <f t="shared" si="358"/>
        <v>1423300</v>
      </c>
      <c r="AH450" s="92">
        <f t="shared" si="358"/>
        <v>1461500</v>
      </c>
      <c r="AI450" s="92">
        <f t="shared" si="358"/>
        <v>1499700</v>
      </c>
      <c r="AJ450" s="92">
        <f t="shared" si="358"/>
        <v>0</v>
      </c>
      <c r="AK450" s="92">
        <f t="shared" si="358"/>
        <v>0</v>
      </c>
      <c r="AL450" s="92">
        <f t="shared" si="358"/>
        <v>0</v>
      </c>
      <c r="AM450" s="92">
        <f t="shared" si="358"/>
        <v>0</v>
      </c>
      <c r="AN450" s="92">
        <f t="shared" si="358"/>
        <v>0</v>
      </c>
      <c r="AO450" s="92">
        <f t="shared" si="358"/>
        <v>0</v>
      </c>
      <c r="AP450" s="92">
        <f t="shared" si="358"/>
        <v>0</v>
      </c>
      <c r="AQ450" s="92">
        <f t="shared" si="358"/>
        <v>0</v>
      </c>
      <c r="AR450" s="92">
        <f t="shared" si="358"/>
        <v>0</v>
      </c>
      <c r="AS450" s="92">
        <f t="shared" si="358"/>
        <v>0</v>
      </c>
      <c r="AW450" s="191"/>
      <c r="AY450" s="31">
        <f>+Details!F450-Base!F450</f>
        <v>0</v>
      </c>
      <c r="AZ450" s="92">
        <f>+Details!G450-Base!G450</f>
        <v>0</v>
      </c>
      <c r="BA450" s="92">
        <f>+Details!H450-Base!H450</f>
        <v>0</v>
      </c>
      <c r="BB450" s="92">
        <f>+Details!I450-Base!I450</f>
        <v>0</v>
      </c>
      <c r="BC450" s="92">
        <f>+Details!J450-Base!J450</f>
        <v>0</v>
      </c>
      <c r="BD450" s="92">
        <f>+Details!K450-Base!K450</f>
        <v>0</v>
      </c>
      <c r="BE450" s="92">
        <f>+Details!L450-Base!L450</f>
        <v>0</v>
      </c>
      <c r="BF450" s="92">
        <f>+Details!M450-Base!M450</f>
        <v>0</v>
      </c>
      <c r="BG450" s="92">
        <f>+Details!N450-Base!N450</f>
        <v>0</v>
      </c>
      <c r="BH450" s="92">
        <f>+Details!O450-Base!O450</f>
        <v>0</v>
      </c>
      <c r="BI450" s="92">
        <f>+Details!P450-Base!P450</f>
        <v>0</v>
      </c>
      <c r="BJ450" s="92">
        <f>+Details!Q450-Base!Q450</f>
        <v>0</v>
      </c>
      <c r="BK450" s="92">
        <f>+Details!R450-Base!R450</f>
        <v>0</v>
      </c>
      <c r="BL450" s="92">
        <f>+Details!S450-Base!S450</f>
        <v>0</v>
      </c>
      <c r="BM450" s="92">
        <f>+Details!T450-Base!T450</f>
        <v>0</v>
      </c>
      <c r="BN450" s="92">
        <f>+Details!U450-Base!U450</f>
        <v>0</v>
      </c>
      <c r="BO450" s="92">
        <f>+Details!V450-Base!V450</f>
        <v>0</v>
      </c>
      <c r="BP450" s="92">
        <f>+Details!W450-Base!W450</f>
        <v>0</v>
      </c>
      <c r="BQ450" s="92">
        <f>+Details!X450-Base!X450</f>
        <v>0</v>
      </c>
      <c r="BR450" s="92">
        <f>+Details!Y450-Base!Y450</f>
        <v>0</v>
      </c>
      <c r="BS450" s="92">
        <f>+Details!Z450-Base!Z450</f>
        <v>0</v>
      </c>
      <c r="BT450" s="92">
        <f>+Details!AA450-Base!AA450</f>
        <v>0</v>
      </c>
      <c r="BU450" s="92">
        <f>+Details!AB450-Base!AB450</f>
        <v>0</v>
      </c>
      <c r="BV450" s="92">
        <f>+Details!AC450-Base!AC450</f>
        <v>0</v>
      </c>
      <c r="BW450" s="92">
        <f>+Details!AD450-Base!AD450</f>
        <v>0</v>
      </c>
      <c r="BX450" s="92">
        <f>+Details!AE450-Base!AE450</f>
        <v>0</v>
      </c>
      <c r="BY450" s="92">
        <f>+Details!AF450-Base!AF450</f>
        <v>0</v>
      </c>
      <c r="BZ450" s="92">
        <f>+Details!AG450-Base!AG450</f>
        <v>0</v>
      </c>
      <c r="CA450" s="92">
        <f>+Details!AH450-Base!AH450</f>
        <v>0</v>
      </c>
      <c r="CB450" s="92">
        <f>+Details!AI450-Base!AI450</f>
        <v>0</v>
      </c>
      <c r="CC450" s="92">
        <f>+Details!AJ450-Base!AJ450</f>
        <v>0</v>
      </c>
      <c r="CD450" s="92">
        <f>+Details!AK450-Base!AK450</f>
        <v>0</v>
      </c>
      <c r="CE450" s="92">
        <f>+Details!AL450-Base!AL450</f>
        <v>0</v>
      </c>
      <c r="CF450" s="92">
        <f>+Details!AM450-Base!AM450</f>
        <v>0</v>
      </c>
      <c r="CG450" s="92">
        <f>+Details!AN450-Base!AN450</f>
        <v>0</v>
      </c>
      <c r="CH450" s="92">
        <f>+Details!AO450-Base!AO450</f>
        <v>0</v>
      </c>
      <c r="CI450" s="92">
        <f>+Details!AP450-Base!AP450</f>
        <v>0</v>
      </c>
      <c r="CJ450" s="92">
        <f>+Details!AQ450-Base!AQ450</f>
        <v>0</v>
      </c>
      <c r="CK450" s="92">
        <f>+Details!AR450-Base!AR450</f>
        <v>0</v>
      </c>
      <c r="CL450" s="92">
        <f>+Details!AS450-Base!AS450</f>
        <v>0</v>
      </c>
    </row>
    <row r="451" spans="2:90">
      <c r="B451" s="43" t="s">
        <v>1306</v>
      </c>
      <c r="C451" t="s">
        <v>1605</v>
      </c>
      <c r="E451" s="65">
        <f t="shared" ref="E451:E472" si="359">SUM(F451:AS451)</f>
        <v>1516900</v>
      </c>
      <c r="F451" s="92">
        <f t="shared" ref="F451:AS451" si="360">+F61</f>
        <v>0</v>
      </c>
      <c r="G451" s="92">
        <f t="shared" si="360"/>
        <v>0</v>
      </c>
      <c r="H451" s="92">
        <f t="shared" si="360"/>
        <v>0</v>
      </c>
      <c r="I451" s="92">
        <f t="shared" si="360"/>
        <v>0</v>
      </c>
      <c r="J451" s="92">
        <f t="shared" si="360"/>
        <v>0</v>
      </c>
      <c r="K451" s="92">
        <f t="shared" si="360"/>
        <v>22100</v>
      </c>
      <c r="L451" s="92">
        <f t="shared" si="360"/>
        <v>22500</v>
      </c>
      <c r="M451" s="92">
        <f t="shared" si="360"/>
        <v>23000</v>
      </c>
      <c r="N451" s="92">
        <f t="shared" si="360"/>
        <v>69900</v>
      </c>
      <c r="O451" s="92">
        <f t="shared" si="360"/>
        <v>71300</v>
      </c>
      <c r="P451" s="92">
        <f t="shared" si="360"/>
        <v>72700</v>
      </c>
      <c r="Q451" s="92">
        <f t="shared" si="360"/>
        <v>74200</v>
      </c>
      <c r="R451" s="92">
        <f t="shared" si="360"/>
        <v>75700</v>
      </c>
      <c r="S451" s="92">
        <f t="shared" si="360"/>
        <v>77200</v>
      </c>
      <c r="T451" s="92">
        <f t="shared" si="360"/>
        <v>78700</v>
      </c>
      <c r="U451" s="92">
        <f t="shared" si="360"/>
        <v>80200</v>
      </c>
      <c r="V451" s="92">
        <f t="shared" si="360"/>
        <v>63000</v>
      </c>
      <c r="W451" s="92">
        <f t="shared" si="360"/>
        <v>64200</v>
      </c>
      <c r="X451" s="92">
        <f t="shared" si="360"/>
        <v>65500</v>
      </c>
      <c r="Y451" s="92">
        <f t="shared" si="360"/>
        <v>66800</v>
      </c>
      <c r="Z451" s="92">
        <f t="shared" si="360"/>
        <v>68100</v>
      </c>
      <c r="AA451" s="92">
        <f t="shared" si="360"/>
        <v>69500</v>
      </c>
      <c r="AB451" s="92">
        <f t="shared" si="360"/>
        <v>70900</v>
      </c>
      <c r="AC451" s="92">
        <f t="shared" si="360"/>
        <v>72300</v>
      </c>
      <c r="AD451" s="92">
        <f t="shared" si="360"/>
        <v>49000</v>
      </c>
      <c r="AE451" s="92">
        <f t="shared" si="360"/>
        <v>50000</v>
      </c>
      <c r="AF451" s="92">
        <f t="shared" si="360"/>
        <v>51000</v>
      </c>
      <c r="AG451" s="92">
        <f t="shared" si="360"/>
        <v>52000</v>
      </c>
      <c r="AH451" s="92">
        <f t="shared" si="360"/>
        <v>53000</v>
      </c>
      <c r="AI451" s="92">
        <f t="shared" si="360"/>
        <v>54100</v>
      </c>
      <c r="AJ451" s="92">
        <f t="shared" si="360"/>
        <v>0</v>
      </c>
      <c r="AK451" s="92">
        <f t="shared" si="360"/>
        <v>0</v>
      </c>
      <c r="AL451" s="92">
        <f t="shared" si="360"/>
        <v>0</v>
      </c>
      <c r="AM451" s="92">
        <f t="shared" si="360"/>
        <v>0</v>
      </c>
      <c r="AN451" s="92">
        <f t="shared" si="360"/>
        <v>0</v>
      </c>
      <c r="AO451" s="92">
        <f t="shared" si="360"/>
        <v>0</v>
      </c>
      <c r="AP451" s="92">
        <f t="shared" si="360"/>
        <v>0</v>
      </c>
      <c r="AQ451" s="92">
        <f t="shared" si="360"/>
        <v>0</v>
      </c>
      <c r="AR451" s="92">
        <f t="shared" si="360"/>
        <v>0</v>
      </c>
      <c r="AS451" s="92">
        <f t="shared" si="360"/>
        <v>0</v>
      </c>
      <c r="AW451" s="191"/>
      <c r="AY451" s="31">
        <f>+Details!F451-Base!F451</f>
        <v>0</v>
      </c>
      <c r="AZ451" s="92">
        <f>+Details!G451-Base!G451</f>
        <v>0</v>
      </c>
      <c r="BA451" s="92">
        <f>+Details!H451-Base!H451</f>
        <v>0</v>
      </c>
      <c r="BB451" s="92">
        <f>+Details!I451-Base!I451</f>
        <v>0</v>
      </c>
      <c r="BC451" s="92">
        <f>+Details!J451-Base!J451</f>
        <v>0</v>
      </c>
      <c r="BD451" s="92">
        <f>+Details!K451-Base!K451</f>
        <v>0</v>
      </c>
      <c r="BE451" s="92">
        <f>+Details!L451-Base!L451</f>
        <v>0</v>
      </c>
      <c r="BF451" s="92">
        <f>+Details!M451-Base!M451</f>
        <v>0</v>
      </c>
      <c r="BG451" s="92">
        <f>+Details!N451-Base!N451</f>
        <v>0</v>
      </c>
      <c r="BH451" s="92">
        <f>+Details!O451-Base!O451</f>
        <v>0</v>
      </c>
      <c r="BI451" s="92">
        <f>+Details!P451-Base!P451</f>
        <v>0</v>
      </c>
      <c r="BJ451" s="92">
        <f>+Details!Q451-Base!Q451</f>
        <v>0</v>
      </c>
      <c r="BK451" s="92">
        <f>+Details!R451-Base!R451</f>
        <v>0</v>
      </c>
      <c r="BL451" s="92">
        <f>+Details!S451-Base!S451</f>
        <v>0</v>
      </c>
      <c r="BM451" s="92">
        <f>+Details!T451-Base!T451</f>
        <v>0</v>
      </c>
      <c r="BN451" s="92">
        <f>+Details!U451-Base!U451</f>
        <v>0</v>
      </c>
      <c r="BO451" s="92">
        <f>+Details!V451-Base!V451</f>
        <v>0</v>
      </c>
      <c r="BP451" s="92">
        <f>+Details!W451-Base!W451</f>
        <v>0</v>
      </c>
      <c r="BQ451" s="92">
        <f>+Details!X451-Base!X451</f>
        <v>0</v>
      </c>
      <c r="BR451" s="92">
        <f>+Details!Y451-Base!Y451</f>
        <v>0</v>
      </c>
      <c r="BS451" s="92">
        <f>+Details!Z451-Base!Z451</f>
        <v>0</v>
      </c>
      <c r="BT451" s="92">
        <f>+Details!AA451-Base!AA451</f>
        <v>0</v>
      </c>
      <c r="BU451" s="92">
        <f>+Details!AB451-Base!AB451</f>
        <v>0</v>
      </c>
      <c r="BV451" s="92">
        <f>+Details!AC451-Base!AC451</f>
        <v>0</v>
      </c>
      <c r="BW451" s="92">
        <f>+Details!AD451-Base!AD451</f>
        <v>0</v>
      </c>
      <c r="BX451" s="92">
        <f>+Details!AE451-Base!AE451</f>
        <v>0</v>
      </c>
      <c r="BY451" s="92">
        <f>+Details!AF451-Base!AF451</f>
        <v>0</v>
      </c>
      <c r="BZ451" s="92">
        <f>+Details!AG451-Base!AG451</f>
        <v>0</v>
      </c>
      <c r="CA451" s="92">
        <f>+Details!AH451-Base!AH451</f>
        <v>0</v>
      </c>
      <c r="CB451" s="92">
        <f>+Details!AI451-Base!AI451</f>
        <v>0</v>
      </c>
      <c r="CC451" s="92">
        <f>+Details!AJ451-Base!AJ451</f>
        <v>0</v>
      </c>
      <c r="CD451" s="92">
        <f>+Details!AK451-Base!AK451</f>
        <v>0</v>
      </c>
      <c r="CE451" s="92">
        <f>+Details!AL451-Base!AL451</f>
        <v>0</v>
      </c>
      <c r="CF451" s="92">
        <f>+Details!AM451-Base!AM451</f>
        <v>0</v>
      </c>
      <c r="CG451" s="92">
        <f>+Details!AN451-Base!AN451</f>
        <v>0</v>
      </c>
      <c r="CH451" s="92">
        <f>+Details!AO451-Base!AO451</f>
        <v>0</v>
      </c>
      <c r="CI451" s="92">
        <f>+Details!AP451-Base!AP451</f>
        <v>0</v>
      </c>
      <c r="CJ451" s="92">
        <f>+Details!AQ451-Base!AQ451</f>
        <v>0</v>
      </c>
      <c r="CK451" s="92">
        <f>+Details!AR451-Base!AR451</f>
        <v>0</v>
      </c>
      <c r="CL451" s="92">
        <f>+Details!AS451-Base!AS451</f>
        <v>0</v>
      </c>
    </row>
    <row r="452" spans="2:90">
      <c r="B452" s="43" t="s">
        <v>945</v>
      </c>
      <c r="C452" t="s">
        <v>1606</v>
      </c>
      <c r="E452" s="65">
        <f t="shared" si="359"/>
        <v>144000</v>
      </c>
      <c r="F452" s="92">
        <f t="shared" ref="F452:AS452" si="361">+F62</f>
        <v>0</v>
      </c>
      <c r="G452" s="92">
        <f t="shared" si="361"/>
        <v>0</v>
      </c>
      <c r="H452" s="92">
        <f t="shared" si="361"/>
        <v>0</v>
      </c>
      <c r="I452" s="92">
        <f t="shared" si="361"/>
        <v>0</v>
      </c>
      <c r="J452" s="92">
        <f t="shared" si="361"/>
        <v>0</v>
      </c>
      <c r="K452" s="92">
        <f t="shared" si="361"/>
        <v>0</v>
      </c>
      <c r="L452" s="92">
        <f t="shared" si="361"/>
        <v>0</v>
      </c>
      <c r="M452" s="92">
        <f t="shared" si="361"/>
        <v>0</v>
      </c>
      <c r="N452" s="92">
        <f t="shared" si="361"/>
        <v>0</v>
      </c>
      <c r="O452" s="92">
        <f t="shared" si="361"/>
        <v>0</v>
      </c>
      <c r="P452" s="92">
        <f t="shared" si="361"/>
        <v>0</v>
      </c>
      <c r="Q452" s="92">
        <f t="shared" si="361"/>
        <v>0</v>
      </c>
      <c r="R452" s="92">
        <f t="shared" si="361"/>
        <v>0</v>
      </c>
      <c r="S452" s="92">
        <f t="shared" si="361"/>
        <v>0</v>
      </c>
      <c r="T452" s="92">
        <f t="shared" si="361"/>
        <v>9000</v>
      </c>
      <c r="U452" s="92">
        <f t="shared" si="361"/>
        <v>9000</v>
      </c>
      <c r="V452" s="92">
        <f t="shared" si="361"/>
        <v>9000</v>
      </c>
      <c r="W452" s="92">
        <f t="shared" si="361"/>
        <v>9000</v>
      </c>
      <c r="X452" s="92">
        <f t="shared" si="361"/>
        <v>9000</v>
      </c>
      <c r="Y452" s="92">
        <f t="shared" si="361"/>
        <v>9000</v>
      </c>
      <c r="Z452" s="92">
        <f t="shared" si="361"/>
        <v>9000</v>
      </c>
      <c r="AA452" s="92">
        <f t="shared" si="361"/>
        <v>9000</v>
      </c>
      <c r="AB452" s="92">
        <f t="shared" si="361"/>
        <v>9000</v>
      </c>
      <c r="AC452" s="92">
        <f t="shared" si="361"/>
        <v>9000</v>
      </c>
      <c r="AD452" s="92">
        <f t="shared" si="361"/>
        <v>9000</v>
      </c>
      <c r="AE452" s="92">
        <f t="shared" si="361"/>
        <v>9000</v>
      </c>
      <c r="AF452" s="92">
        <f t="shared" si="361"/>
        <v>9000</v>
      </c>
      <c r="AG452" s="92">
        <f t="shared" si="361"/>
        <v>9000</v>
      </c>
      <c r="AH452" s="92">
        <f t="shared" si="361"/>
        <v>9000</v>
      </c>
      <c r="AI452" s="92">
        <f t="shared" si="361"/>
        <v>9000</v>
      </c>
      <c r="AJ452" s="92">
        <f t="shared" si="361"/>
        <v>0</v>
      </c>
      <c r="AK452" s="92">
        <f t="shared" si="361"/>
        <v>0</v>
      </c>
      <c r="AL452" s="92">
        <f t="shared" si="361"/>
        <v>0</v>
      </c>
      <c r="AM452" s="92">
        <f t="shared" si="361"/>
        <v>0</v>
      </c>
      <c r="AN452" s="92">
        <f t="shared" si="361"/>
        <v>0</v>
      </c>
      <c r="AO452" s="92">
        <f t="shared" si="361"/>
        <v>0</v>
      </c>
      <c r="AP452" s="92">
        <f t="shared" si="361"/>
        <v>0</v>
      </c>
      <c r="AQ452" s="92">
        <f t="shared" si="361"/>
        <v>0</v>
      </c>
      <c r="AR452" s="92">
        <f t="shared" si="361"/>
        <v>0</v>
      </c>
      <c r="AS452" s="92">
        <f t="shared" si="361"/>
        <v>0</v>
      </c>
      <c r="AW452" s="191"/>
      <c r="AY452" s="31">
        <f>+Details!F452-Base!F452</f>
        <v>0</v>
      </c>
      <c r="AZ452" s="92">
        <f>+Details!G452-Base!G452</f>
        <v>0</v>
      </c>
      <c r="BA452" s="92">
        <f>+Details!H452-Base!H452</f>
        <v>0</v>
      </c>
      <c r="BB452" s="92">
        <f>+Details!I452-Base!I452</f>
        <v>0</v>
      </c>
      <c r="BC452" s="92">
        <f>+Details!J452-Base!J452</f>
        <v>0</v>
      </c>
      <c r="BD452" s="92">
        <f>+Details!K452-Base!K452</f>
        <v>0</v>
      </c>
      <c r="BE452" s="92">
        <f>+Details!L452-Base!L452</f>
        <v>0</v>
      </c>
      <c r="BF452" s="92">
        <f>+Details!M452-Base!M452</f>
        <v>0</v>
      </c>
      <c r="BG452" s="92">
        <f>+Details!N452-Base!N452</f>
        <v>0</v>
      </c>
      <c r="BH452" s="92">
        <f>+Details!O452-Base!O452</f>
        <v>0</v>
      </c>
      <c r="BI452" s="92">
        <f>+Details!P452-Base!P452</f>
        <v>0</v>
      </c>
      <c r="BJ452" s="92">
        <f>+Details!Q452-Base!Q452</f>
        <v>0</v>
      </c>
      <c r="BK452" s="92">
        <f>+Details!R452-Base!R452</f>
        <v>0</v>
      </c>
      <c r="BL452" s="92">
        <f>+Details!S452-Base!S452</f>
        <v>0</v>
      </c>
      <c r="BM452" s="92">
        <f>+Details!T452-Base!T452</f>
        <v>0</v>
      </c>
      <c r="BN452" s="92">
        <f>+Details!U452-Base!U452</f>
        <v>0</v>
      </c>
      <c r="BO452" s="92">
        <f>+Details!V452-Base!V452</f>
        <v>0</v>
      </c>
      <c r="BP452" s="92">
        <f>+Details!W452-Base!W452</f>
        <v>0</v>
      </c>
      <c r="BQ452" s="92">
        <f>+Details!X452-Base!X452</f>
        <v>0</v>
      </c>
      <c r="BR452" s="92">
        <f>+Details!Y452-Base!Y452</f>
        <v>0</v>
      </c>
      <c r="BS452" s="92">
        <f>+Details!Z452-Base!Z452</f>
        <v>0</v>
      </c>
      <c r="BT452" s="92">
        <f>+Details!AA452-Base!AA452</f>
        <v>0</v>
      </c>
      <c r="BU452" s="92">
        <f>+Details!AB452-Base!AB452</f>
        <v>0</v>
      </c>
      <c r="BV452" s="92">
        <f>+Details!AC452-Base!AC452</f>
        <v>0</v>
      </c>
      <c r="BW452" s="92">
        <f>+Details!AD452-Base!AD452</f>
        <v>0</v>
      </c>
      <c r="BX452" s="92">
        <f>+Details!AE452-Base!AE452</f>
        <v>0</v>
      </c>
      <c r="BY452" s="92">
        <f>+Details!AF452-Base!AF452</f>
        <v>0</v>
      </c>
      <c r="BZ452" s="92">
        <f>+Details!AG452-Base!AG452</f>
        <v>0</v>
      </c>
      <c r="CA452" s="92">
        <f>+Details!AH452-Base!AH452</f>
        <v>0</v>
      </c>
      <c r="CB452" s="92">
        <f>+Details!AI452-Base!AI452</f>
        <v>0</v>
      </c>
      <c r="CC452" s="92">
        <f>+Details!AJ452-Base!AJ452</f>
        <v>0</v>
      </c>
      <c r="CD452" s="92">
        <f>+Details!AK452-Base!AK452</f>
        <v>0</v>
      </c>
      <c r="CE452" s="92">
        <f>+Details!AL452-Base!AL452</f>
        <v>0</v>
      </c>
      <c r="CF452" s="92">
        <f>+Details!AM452-Base!AM452</f>
        <v>0</v>
      </c>
      <c r="CG452" s="92">
        <f>+Details!AN452-Base!AN452</f>
        <v>0</v>
      </c>
      <c r="CH452" s="92">
        <f>+Details!AO452-Base!AO452</f>
        <v>0</v>
      </c>
      <c r="CI452" s="92">
        <f>+Details!AP452-Base!AP452</f>
        <v>0</v>
      </c>
      <c r="CJ452" s="92">
        <f>+Details!AQ452-Base!AQ452</f>
        <v>0</v>
      </c>
      <c r="CK452" s="92">
        <f>+Details!AR452-Base!AR452</f>
        <v>0</v>
      </c>
      <c r="CL452" s="92">
        <f>+Details!AS452-Base!AS452</f>
        <v>0</v>
      </c>
    </row>
    <row r="453" spans="2:90">
      <c r="B453" s="43" t="s">
        <v>1307</v>
      </c>
      <c r="C453" t="s">
        <v>1607</v>
      </c>
      <c r="E453" s="65">
        <f t="shared" si="359"/>
        <v>549600</v>
      </c>
      <c r="F453" s="92">
        <f t="shared" ref="F453:AS453" si="362">+F70</f>
        <v>20000</v>
      </c>
      <c r="G453" s="92">
        <f t="shared" si="362"/>
        <v>35600</v>
      </c>
      <c r="H453" s="92">
        <f t="shared" si="362"/>
        <v>21200</v>
      </c>
      <c r="I453" s="92">
        <f t="shared" si="362"/>
        <v>21900</v>
      </c>
      <c r="J453" s="92">
        <f t="shared" si="362"/>
        <v>22600</v>
      </c>
      <c r="K453" s="92">
        <f t="shared" si="362"/>
        <v>23400</v>
      </c>
      <c r="L453" s="92">
        <f t="shared" si="362"/>
        <v>24200</v>
      </c>
      <c r="M453" s="92">
        <f t="shared" si="362"/>
        <v>25000</v>
      </c>
      <c r="N453" s="92">
        <f t="shared" si="362"/>
        <v>25800</v>
      </c>
      <c r="O453" s="92">
        <f t="shared" si="362"/>
        <v>12500</v>
      </c>
      <c r="P453" s="92">
        <f t="shared" si="362"/>
        <v>12800</v>
      </c>
      <c r="Q453" s="92">
        <f t="shared" si="362"/>
        <v>13100</v>
      </c>
      <c r="R453" s="92">
        <f t="shared" si="362"/>
        <v>13400</v>
      </c>
      <c r="S453" s="92">
        <f t="shared" si="362"/>
        <v>13700</v>
      </c>
      <c r="T453" s="92">
        <f t="shared" si="362"/>
        <v>14100</v>
      </c>
      <c r="U453" s="92">
        <f t="shared" si="362"/>
        <v>14500</v>
      </c>
      <c r="V453" s="92">
        <f t="shared" si="362"/>
        <v>14900</v>
      </c>
      <c r="W453" s="92">
        <f t="shared" si="362"/>
        <v>15300</v>
      </c>
      <c r="X453" s="92">
        <f t="shared" si="362"/>
        <v>15700</v>
      </c>
      <c r="Y453" s="92">
        <f t="shared" si="362"/>
        <v>16100</v>
      </c>
      <c r="Z453" s="92">
        <f t="shared" si="362"/>
        <v>16500</v>
      </c>
      <c r="AA453" s="92">
        <f t="shared" si="362"/>
        <v>16900</v>
      </c>
      <c r="AB453" s="92">
        <f t="shared" si="362"/>
        <v>17300</v>
      </c>
      <c r="AC453" s="92">
        <f t="shared" si="362"/>
        <v>17800</v>
      </c>
      <c r="AD453" s="92">
        <f t="shared" si="362"/>
        <v>16300</v>
      </c>
      <c r="AE453" s="92">
        <f t="shared" si="362"/>
        <v>16800</v>
      </c>
      <c r="AF453" s="92">
        <f t="shared" si="362"/>
        <v>17300</v>
      </c>
      <c r="AG453" s="92">
        <f t="shared" si="362"/>
        <v>17800</v>
      </c>
      <c r="AH453" s="92">
        <f t="shared" si="362"/>
        <v>18300</v>
      </c>
      <c r="AI453" s="92">
        <f t="shared" si="362"/>
        <v>18800</v>
      </c>
      <c r="AJ453" s="92">
        <f t="shared" si="362"/>
        <v>0</v>
      </c>
      <c r="AK453" s="92">
        <f t="shared" si="362"/>
        <v>0</v>
      </c>
      <c r="AL453" s="92">
        <f t="shared" si="362"/>
        <v>0</v>
      </c>
      <c r="AM453" s="92">
        <f t="shared" si="362"/>
        <v>0</v>
      </c>
      <c r="AN453" s="92">
        <f t="shared" si="362"/>
        <v>0</v>
      </c>
      <c r="AO453" s="92">
        <f t="shared" si="362"/>
        <v>0</v>
      </c>
      <c r="AP453" s="92">
        <f t="shared" si="362"/>
        <v>0</v>
      </c>
      <c r="AQ453" s="92">
        <f t="shared" si="362"/>
        <v>0</v>
      </c>
      <c r="AR453" s="92">
        <f t="shared" si="362"/>
        <v>0</v>
      </c>
      <c r="AS453" s="92">
        <f t="shared" si="362"/>
        <v>0</v>
      </c>
      <c r="AW453" s="191"/>
      <c r="AY453" s="31">
        <f>+Details!F453-Base!F453</f>
        <v>0</v>
      </c>
      <c r="AZ453" s="92">
        <f>+Details!G453-Base!G453</f>
        <v>0</v>
      </c>
      <c r="BA453" s="92">
        <f>+Details!H453-Base!H453</f>
        <v>0</v>
      </c>
      <c r="BB453" s="92">
        <f>+Details!I453-Base!I453</f>
        <v>0</v>
      </c>
      <c r="BC453" s="92">
        <f>+Details!J453-Base!J453</f>
        <v>0</v>
      </c>
      <c r="BD453" s="92">
        <f>+Details!K453-Base!K453</f>
        <v>0</v>
      </c>
      <c r="BE453" s="92">
        <f>+Details!L453-Base!L453</f>
        <v>0</v>
      </c>
      <c r="BF453" s="92">
        <f>+Details!M453-Base!M453</f>
        <v>0</v>
      </c>
      <c r="BG453" s="92">
        <f>+Details!N453-Base!N453</f>
        <v>0</v>
      </c>
      <c r="BH453" s="92">
        <f>+Details!O453-Base!O453</f>
        <v>0</v>
      </c>
      <c r="BI453" s="92">
        <f>+Details!P453-Base!P453</f>
        <v>0</v>
      </c>
      <c r="BJ453" s="92">
        <f>+Details!Q453-Base!Q453</f>
        <v>0</v>
      </c>
      <c r="BK453" s="92">
        <f>+Details!R453-Base!R453</f>
        <v>0</v>
      </c>
      <c r="BL453" s="92">
        <f>+Details!S453-Base!S453</f>
        <v>0</v>
      </c>
      <c r="BM453" s="92">
        <f>+Details!T453-Base!T453</f>
        <v>0</v>
      </c>
      <c r="BN453" s="92">
        <f>+Details!U453-Base!U453</f>
        <v>0</v>
      </c>
      <c r="BO453" s="92">
        <f>+Details!V453-Base!V453</f>
        <v>0</v>
      </c>
      <c r="BP453" s="92">
        <f>+Details!W453-Base!W453</f>
        <v>0</v>
      </c>
      <c r="BQ453" s="92">
        <f>+Details!X453-Base!X453</f>
        <v>0</v>
      </c>
      <c r="BR453" s="92">
        <f>+Details!Y453-Base!Y453</f>
        <v>0</v>
      </c>
      <c r="BS453" s="92">
        <f>+Details!Z453-Base!Z453</f>
        <v>0</v>
      </c>
      <c r="BT453" s="92">
        <f>+Details!AA453-Base!AA453</f>
        <v>0</v>
      </c>
      <c r="BU453" s="92">
        <f>+Details!AB453-Base!AB453</f>
        <v>0</v>
      </c>
      <c r="BV453" s="92">
        <f>+Details!AC453-Base!AC453</f>
        <v>0</v>
      </c>
      <c r="BW453" s="92">
        <f>+Details!AD453-Base!AD453</f>
        <v>0</v>
      </c>
      <c r="BX453" s="92">
        <f>+Details!AE453-Base!AE453</f>
        <v>0</v>
      </c>
      <c r="BY453" s="92">
        <f>+Details!AF453-Base!AF453</f>
        <v>0</v>
      </c>
      <c r="BZ453" s="92">
        <f>+Details!AG453-Base!AG453</f>
        <v>0</v>
      </c>
      <c r="CA453" s="92">
        <f>+Details!AH453-Base!AH453</f>
        <v>0</v>
      </c>
      <c r="CB453" s="92">
        <f>+Details!AI453-Base!AI453</f>
        <v>0</v>
      </c>
      <c r="CC453" s="92">
        <f>+Details!AJ453-Base!AJ453</f>
        <v>0</v>
      </c>
      <c r="CD453" s="92">
        <f>+Details!AK453-Base!AK453</f>
        <v>0</v>
      </c>
      <c r="CE453" s="92">
        <f>+Details!AL453-Base!AL453</f>
        <v>0</v>
      </c>
      <c r="CF453" s="92">
        <f>+Details!AM453-Base!AM453</f>
        <v>0</v>
      </c>
      <c r="CG453" s="92">
        <f>+Details!AN453-Base!AN453</f>
        <v>0</v>
      </c>
      <c r="CH453" s="92">
        <f>+Details!AO453-Base!AO453</f>
        <v>0</v>
      </c>
      <c r="CI453" s="92">
        <f>+Details!AP453-Base!AP453</f>
        <v>0</v>
      </c>
      <c r="CJ453" s="92">
        <f>+Details!AQ453-Base!AQ453</f>
        <v>0</v>
      </c>
      <c r="CK453" s="92">
        <f>+Details!AR453-Base!AR453</f>
        <v>0</v>
      </c>
      <c r="CL453" s="92">
        <f>+Details!AS453-Base!AS453</f>
        <v>0</v>
      </c>
    </row>
    <row r="454" spans="2:90">
      <c r="B454" s="1446" t="s">
        <v>1813</v>
      </c>
      <c r="E454" s="65"/>
      <c r="F454" s="92">
        <f>+F74</f>
        <v>0</v>
      </c>
      <c r="G454" s="92">
        <f>+G74</f>
        <v>0</v>
      </c>
      <c r="H454" s="92">
        <f t="shared" ref="H454:AS454" si="363">+H74</f>
        <v>0</v>
      </c>
      <c r="I454" s="92">
        <f t="shared" si="363"/>
        <v>0</v>
      </c>
      <c r="J454" s="92">
        <f t="shared" si="363"/>
        <v>0</v>
      </c>
      <c r="K454" s="92">
        <f t="shared" si="363"/>
        <v>0</v>
      </c>
      <c r="L454" s="92">
        <f t="shared" si="363"/>
        <v>0</v>
      </c>
      <c r="M454" s="92">
        <f t="shared" si="363"/>
        <v>0</v>
      </c>
      <c r="N454" s="92">
        <f t="shared" si="363"/>
        <v>0</v>
      </c>
      <c r="O454" s="92">
        <f t="shared" si="363"/>
        <v>0</v>
      </c>
      <c r="P454" s="92">
        <f t="shared" si="363"/>
        <v>0</v>
      </c>
      <c r="Q454" s="92">
        <f t="shared" si="363"/>
        <v>0</v>
      </c>
      <c r="R454" s="92">
        <f t="shared" si="363"/>
        <v>0</v>
      </c>
      <c r="S454" s="92">
        <f t="shared" si="363"/>
        <v>0</v>
      </c>
      <c r="T454" s="92">
        <f t="shared" si="363"/>
        <v>0</v>
      </c>
      <c r="U454" s="92">
        <f t="shared" si="363"/>
        <v>0</v>
      </c>
      <c r="V454" s="92">
        <f t="shared" si="363"/>
        <v>0</v>
      </c>
      <c r="W454" s="92">
        <f t="shared" si="363"/>
        <v>0</v>
      </c>
      <c r="X454" s="92">
        <f t="shared" si="363"/>
        <v>0</v>
      </c>
      <c r="Y454" s="92">
        <f t="shared" si="363"/>
        <v>0</v>
      </c>
      <c r="Z454" s="92">
        <f t="shared" si="363"/>
        <v>0</v>
      </c>
      <c r="AA454" s="92">
        <f t="shared" si="363"/>
        <v>0</v>
      </c>
      <c r="AB454" s="92">
        <f t="shared" si="363"/>
        <v>0</v>
      </c>
      <c r="AC454" s="92">
        <f t="shared" si="363"/>
        <v>0</v>
      </c>
      <c r="AD454" s="92">
        <f t="shared" si="363"/>
        <v>0</v>
      </c>
      <c r="AE454" s="92">
        <f t="shared" si="363"/>
        <v>0</v>
      </c>
      <c r="AF454" s="92">
        <f t="shared" si="363"/>
        <v>0</v>
      </c>
      <c r="AG454" s="92">
        <f t="shared" si="363"/>
        <v>0</v>
      </c>
      <c r="AH454" s="92">
        <f t="shared" si="363"/>
        <v>0</v>
      </c>
      <c r="AI454" s="92">
        <f t="shared" si="363"/>
        <v>0</v>
      </c>
      <c r="AJ454" s="92">
        <f t="shared" si="363"/>
        <v>0</v>
      </c>
      <c r="AK454" s="92">
        <f t="shared" si="363"/>
        <v>0</v>
      </c>
      <c r="AL454" s="92">
        <f t="shared" si="363"/>
        <v>0</v>
      </c>
      <c r="AM454" s="92">
        <f t="shared" si="363"/>
        <v>0</v>
      </c>
      <c r="AN454" s="92">
        <f t="shared" si="363"/>
        <v>0</v>
      </c>
      <c r="AO454" s="92">
        <f t="shared" si="363"/>
        <v>0</v>
      </c>
      <c r="AP454" s="92">
        <f t="shared" si="363"/>
        <v>0</v>
      </c>
      <c r="AQ454" s="92">
        <f t="shared" si="363"/>
        <v>0</v>
      </c>
      <c r="AR454" s="92">
        <f t="shared" si="363"/>
        <v>0</v>
      </c>
      <c r="AS454" s="92">
        <f t="shared" si="363"/>
        <v>0</v>
      </c>
      <c r="AW454" s="191"/>
      <c r="AY454" s="31"/>
      <c r="AZ454" s="92"/>
      <c r="BA454" s="92"/>
      <c r="BB454" s="92"/>
      <c r="BC454" s="92"/>
      <c r="BD454" s="92"/>
      <c r="BE454" s="92"/>
      <c r="BF454" s="92"/>
      <c r="BG454" s="92"/>
      <c r="BH454" s="92"/>
      <c r="BI454" s="92"/>
      <c r="BJ454" s="92"/>
      <c r="BK454" s="92"/>
      <c r="BL454" s="92"/>
      <c r="BM454" s="92"/>
      <c r="BN454" s="92"/>
      <c r="BO454" s="92"/>
      <c r="BP454" s="92"/>
      <c r="BQ454" s="92"/>
      <c r="BR454" s="92"/>
      <c r="BS454" s="92"/>
      <c r="BT454" s="92"/>
      <c r="BU454" s="92"/>
      <c r="BV454" s="92"/>
      <c r="BW454" s="92"/>
      <c r="BX454" s="92"/>
      <c r="BY454" s="92"/>
      <c r="BZ454" s="92"/>
      <c r="CA454" s="92"/>
      <c r="CB454" s="92"/>
      <c r="CC454" s="92"/>
      <c r="CD454" s="92"/>
      <c r="CE454" s="92"/>
      <c r="CF454" s="92"/>
      <c r="CG454" s="92"/>
      <c r="CH454" s="92"/>
      <c r="CI454" s="92"/>
      <c r="CJ454" s="92"/>
      <c r="CK454" s="92"/>
      <c r="CL454" s="92"/>
    </row>
    <row r="455" spans="2:90">
      <c r="B455" s="43" t="s">
        <v>257</v>
      </c>
      <c r="C455" t="s">
        <v>1608</v>
      </c>
      <c r="E455" s="65">
        <f t="shared" si="359"/>
        <v>402600</v>
      </c>
      <c r="F455" s="92">
        <f t="shared" ref="F455:AS455" si="364">-F91</f>
        <v>40000</v>
      </c>
      <c r="G455" s="92">
        <f t="shared" si="364"/>
        <v>41200</v>
      </c>
      <c r="H455" s="92">
        <f t="shared" si="364"/>
        <v>42400</v>
      </c>
      <c r="I455" s="92">
        <f t="shared" si="364"/>
        <v>43700</v>
      </c>
      <c r="J455" s="92">
        <f t="shared" si="364"/>
        <v>45000</v>
      </c>
      <c r="K455" s="92">
        <f t="shared" si="364"/>
        <v>46400</v>
      </c>
      <c r="L455" s="92">
        <f t="shared" si="364"/>
        <v>47800</v>
      </c>
      <c r="M455" s="92">
        <f t="shared" si="364"/>
        <v>49200</v>
      </c>
      <c r="N455" s="92">
        <f t="shared" si="364"/>
        <v>10000</v>
      </c>
      <c r="O455" s="92">
        <f t="shared" si="364"/>
        <v>9000</v>
      </c>
      <c r="P455" s="92">
        <f t="shared" si="364"/>
        <v>8100</v>
      </c>
      <c r="Q455" s="92">
        <f t="shared" si="364"/>
        <v>7300</v>
      </c>
      <c r="R455" s="92">
        <f t="shared" si="364"/>
        <v>6600</v>
      </c>
      <c r="S455" s="92">
        <f t="shared" si="364"/>
        <v>5900</v>
      </c>
      <c r="T455" s="92">
        <f t="shared" si="364"/>
        <v>0</v>
      </c>
      <c r="U455" s="92">
        <f t="shared" si="364"/>
        <v>0</v>
      </c>
      <c r="V455" s="92">
        <f t="shared" si="364"/>
        <v>0</v>
      </c>
      <c r="W455" s="92">
        <f t="shared" si="364"/>
        <v>0</v>
      </c>
      <c r="X455" s="92">
        <f t="shared" si="364"/>
        <v>0</v>
      </c>
      <c r="Y455" s="92">
        <f t="shared" si="364"/>
        <v>0</v>
      </c>
      <c r="Z455" s="92">
        <f t="shared" si="364"/>
        <v>0</v>
      </c>
      <c r="AA455" s="92">
        <f t="shared" si="364"/>
        <v>0</v>
      </c>
      <c r="AB455" s="92">
        <f t="shared" si="364"/>
        <v>0</v>
      </c>
      <c r="AC455" s="92">
        <f t="shared" si="364"/>
        <v>0</v>
      </c>
      <c r="AD455" s="92">
        <f t="shared" si="364"/>
        <v>0</v>
      </c>
      <c r="AE455" s="92">
        <f t="shared" si="364"/>
        <v>0</v>
      </c>
      <c r="AF455" s="92">
        <f t="shared" si="364"/>
        <v>0</v>
      </c>
      <c r="AG455" s="92">
        <f t="shared" si="364"/>
        <v>0</v>
      </c>
      <c r="AH455" s="92">
        <f t="shared" si="364"/>
        <v>0</v>
      </c>
      <c r="AI455" s="92">
        <f t="shared" si="364"/>
        <v>0</v>
      </c>
      <c r="AJ455" s="92">
        <f t="shared" si="364"/>
        <v>0</v>
      </c>
      <c r="AK455" s="92">
        <f t="shared" si="364"/>
        <v>0</v>
      </c>
      <c r="AL455" s="92">
        <f t="shared" si="364"/>
        <v>0</v>
      </c>
      <c r="AM455" s="92">
        <f t="shared" si="364"/>
        <v>0</v>
      </c>
      <c r="AN455" s="92">
        <f t="shared" si="364"/>
        <v>0</v>
      </c>
      <c r="AO455" s="92">
        <f t="shared" si="364"/>
        <v>0</v>
      </c>
      <c r="AP455" s="92">
        <f t="shared" si="364"/>
        <v>0</v>
      </c>
      <c r="AQ455" s="92">
        <f t="shared" si="364"/>
        <v>0</v>
      </c>
      <c r="AR455" s="92">
        <f t="shared" si="364"/>
        <v>0</v>
      </c>
      <c r="AS455" s="92">
        <f t="shared" si="364"/>
        <v>0</v>
      </c>
      <c r="AW455" s="191"/>
      <c r="AY455" s="31">
        <f>+Details!F455-Base!F455</f>
        <v>0</v>
      </c>
      <c r="AZ455" s="92">
        <f>+Details!G455-Base!G455</f>
        <v>0</v>
      </c>
      <c r="BA455" s="92">
        <f>+Details!H455-Base!H455</f>
        <v>0</v>
      </c>
      <c r="BB455" s="92">
        <f>+Details!I455-Base!I455</f>
        <v>0</v>
      </c>
      <c r="BC455" s="92">
        <f>+Details!J455-Base!J455</f>
        <v>0</v>
      </c>
      <c r="BD455" s="92">
        <f>+Details!K455-Base!K455</f>
        <v>0</v>
      </c>
      <c r="BE455" s="92">
        <f>+Details!L455-Base!L455</f>
        <v>0</v>
      </c>
      <c r="BF455" s="92">
        <f>+Details!M455-Base!M455</f>
        <v>0</v>
      </c>
      <c r="BG455" s="92">
        <f>+Details!N455-Base!N455</f>
        <v>0</v>
      </c>
      <c r="BH455" s="92">
        <f>+Details!O455-Base!O455</f>
        <v>0</v>
      </c>
      <c r="BI455" s="92">
        <f>+Details!P455-Base!P455</f>
        <v>0</v>
      </c>
      <c r="BJ455" s="92">
        <f>+Details!Q455-Base!Q455</f>
        <v>0</v>
      </c>
      <c r="BK455" s="92">
        <f>+Details!R455-Base!R455</f>
        <v>0</v>
      </c>
      <c r="BL455" s="92">
        <f>+Details!S455-Base!S455</f>
        <v>0</v>
      </c>
      <c r="BM455" s="92">
        <f>+Details!T455-Base!T455</f>
        <v>0</v>
      </c>
      <c r="BN455" s="92">
        <f>+Details!U455-Base!U455</f>
        <v>0</v>
      </c>
      <c r="BO455" s="92">
        <f>+Details!V455-Base!V455</f>
        <v>0</v>
      </c>
      <c r="BP455" s="92">
        <f>+Details!W455-Base!W455</f>
        <v>0</v>
      </c>
      <c r="BQ455" s="92">
        <f>+Details!X455-Base!X455</f>
        <v>0</v>
      </c>
      <c r="BR455" s="92">
        <f>+Details!Y455-Base!Y455</f>
        <v>0</v>
      </c>
      <c r="BS455" s="92">
        <f>+Details!Z455-Base!Z455</f>
        <v>0</v>
      </c>
      <c r="BT455" s="92">
        <f>+Details!AA455-Base!AA455</f>
        <v>0</v>
      </c>
      <c r="BU455" s="92">
        <f>+Details!AB455-Base!AB455</f>
        <v>0</v>
      </c>
      <c r="BV455" s="92">
        <f>+Details!AC455-Base!AC455</f>
        <v>0</v>
      </c>
      <c r="BW455" s="92">
        <f>+Details!AD455-Base!AD455</f>
        <v>0</v>
      </c>
      <c r="BX455" s="92">
        <f>+Details!AE455-Base!AE455</f>
        <v>0</v>
      </c>
      <c r="BY455" s="92">
        <f>+Details!AF455-Base!AF455</f>
        <v>0</v>
      </c>
      <c r="BZ455" s="92">
        <f>+Details!AG455-Base!AG455</f>
        <v>0</v>
      </c>
      <c r="CA455" s="92">
        <f>+Details!AH455-Base!AH455</f>
        <v>0</v>
      </c>
      <c r="CB455" s="92">
        <f>+Details!AI455-Base!AI455</f>
        <v>0</v>
      </c>
      <c r="CC455" s="92">
        <f>+Details!AJ455-Base!AJ455</f>
        <v>0</v>
      </c>
      <c r="CD455" s="92">
        <f>+Details!AK455-Base!AK455</f>
        <v>0</v>
      </c>
      <c r="CE455" s="92">
        <f>+Details!AL455-Base!AL455</f>
        <v>0</v>
      </c>
      <c r="CF455" s="92">
        <f>+Details!AM455-Base!AM455</f>
        <v>0</v>
      </c>
      <c r="CG455" s="92">
        <f>+Details!AN455-Base!AN455</f>
        <v>0</v>
      </c>
      <c r="CH455" s="92">
        <f>+Details!AO455-Base!AO455</f>
        <v>0</v>
      </c>
      <c r="CI455" s="92">
        <f>+Details!AP455-Base!AP455</f>
        <v>0</v>
      </c>
      <c r="CJ455" s="92">
        <f>+Details!AQ455-Base!AQ455</f>
        <v>0</v>
      </c>
      <c r="CK455" s="92">
        <f>+Details!AR455-Base!AR455</f>
        <v>0</v>
      </c>
      <c r="CL455" s="92">
        <f>+Details!AS455-Base!AS455</f>
        <v>0</v>
      </c>
    </row>
    <row r="456" spans="2:90">
      <c r="B456" s="43" t="s">
        <v>1641</v>
      </c>
      <c r="C456" t="s">
        <v>1609</v>
      </c>
      <c r="E456" s="65">
        <f t="shared" si="359"/>
        <v>487400</v>
      </c>
      <c r="F456" s="92">
        <f t="shared" ref="F456:AS456" si="365">-F94</f>
        <v>0</v>
      </c>
      <c r="G456" s="92">
        <f t="shared" si="365"/>
        <v>0</v>
      </c>
      <c r="H456" s="92">
        <f t="shared" si="365"/>
        <v>0</v>
      </c>
      <c r="I456" s="92">
        <f t="shared" si="365"/>
        <v>0</v>
      </c>
      <c r="J456" s="92">
        <f t="shared" si="365"/>
        <v>0</v>
      </c>
      <c r="K456" s="92">
        <f t="shared" si="365"/>
        <v>0</v>
      </c>
      <c r="L456" s="92">
        <f t="shared" si="365"/>
        <v>0</v>
      </c>
      <c r="M456" s="92">
        <f t="shared" si="365"/>
        <v>0</v>
      </c>
      <c r="N456" s="92">
        <f t="shared" si="365"/>
        <v>0</v>
      </c>
      <c r="O456" s="92">
        <f t="shared" si="365"/>
        <v>14500</v>
      </c>
      <c r="P456" s="92">
        <f t="shared" si="365"/>
        <v>15000</v>
      </c>
      <c r="Q456" s="92">
        <f t="shared" si="365"/>
        <v>15600</v>
      </c>
      <c r="R456" s="92">
        <f t="shared" si="365"/>
        <v>16200</v>
      </c>
      <c r="S456" s="92">
        <f t="shared" si="365"/>
        <v>16900</v>
      </c>
      <c r="T456" s="92">
        <f t="shared" si="365"/>
        <v>17700</v>
      </c>
      <c r="U456" s="92">
        <f t="shared" si="365"/>
        <v>18700</v>
      </c>
      <c r="V456" s="92">
        <f t="shared" si="365"/>
        <v>19900</v>
      </c>
      <c r="W456" s="92">
        <f t="shared" si="365"/>
        <v>21000</v>
      </c>
      <c r="X456" s="92">
        <f t="shared" si="365"/>
        <v>22100</v>
      </c>
      <c r="Y456" s="92">
        <f t="shared" si="365"/>
        <v>23100</v>
      </c>
      <c r="Z456" s="92">
        <f t="shared" si="365"/>
        <v>24200</v>
      </c>
      <c r="AA456" s="92">
        <f t="shared" si="365"/>
        <v>25300</v>
      </c>
      <c r="AB456" s="92">
        <f t="shared" si="365"/>
        <v>26400</v>
      </c>
      <c r="AC456" s="92">
        <f t="shared" si="365"/>
        <v>27300</v>
      </c>
      <c r="AD456" s="92">
        <f t="shared" si="365"/>
        <v>28300</v>
      </c>
      <c r="AE456" s="92">
        <f t="shared" si="365"/>
        <v>29300</v>
      </c>
      <c r="AF456" s="92">
        <f t="shared" si="365"/>
        <v>30300</v>
      </c>
      <c r="AG456" s="92">
        <f t="shared" si="365"/>
        <v>31200</v>
      </c>
      <c r="AH456" s="92">
        <f t="shared" si="365"/>
        <v>31900</v>
      </c>
      <c r="AI456" s="92">
        <f t="shared" si="365"/>
        <v>32500</v>
      </c>
      <c r="AJ456" s="92">
        <f t="shared" si="365"/>
        <v>0</v>
      </c>
      <c r="AK456" s="92">
        <f t="shared" si="365"/>
        <v>0</v>
      </c>
      <c r="AL456" s="92">
        <f t="shared" si="365"/>
        <v>0</v>
      </c>
      <c r="AM456" s="92">
        <f t="shared" si="365"/>
        <v>0</v>
      </c>
      <c r="AN456" s="92">
        <f t="shared" si="365"/>
        <v>0</v>
      </c>
      <c r="AO456" s="92">
        <f t="shared" si="365"/>
        <v>0</v>
      </c>
      <c r="AP456" s="92">
        <f t="shared" si="365"/>
        <v>0</v>
      </c>
      <c r="AQ456" s="92">
        <f t="shared" si="365"/>
        <v>0</v>
      </c>
      <c r="AR456" s="92">
        <f t="shared" si="365"/>
        <v>0</v>
      </c>
      <c r="AS456" s="92">
        <f t="shared" si="365"/>
        <v>0</v>
      </c>
      <c r="AW456" s="191"/>
      <c r="AY456" s="31">
        <f>+Details!F456-Base!F456</f>
        <v>0</v>
      </c>
      <c r="AZ456" s="92">
        <f>+Details!G456-Base!G456</f>
        <v>0</v>
      </c>
      <c r="BA456" s="92">
        <f>+Details!H456-Base!H456</f>
        <v>0</v>
      </c>
      <c r="BB456" s="92">
        <f>+Details!I456-Base!I456</f>
        <v>0</v>
      </c>
      <c r="BC456" s="92">
        <f>+Details!J456-Base!J456</f>
        <v>0</v>
      </c>
      <c r="BD456" s="92">
        <f>+Details!K456-Base!K456</f>
        <v>0</v>
      </c>
      <c r="BE456" s="92">
        <f>+Details!L456-Base!L456</f>
        <v>0</v>
      </c>
      <c r="BF456" s="92">
        <f>+Details!M456-Base!M456</f>
        <v>0</v>
      </c>
      <c r="BG456" s="92">
        <f>+Details!N456-Base!N456</f>
        <v>0</v>
      </c>
      <c r="BH456" s="92">
        <f>+Details!O456-Base!O456</f>
        <v>0</v>
      </c>
      <c r="BI456" s="92">
        <f>+Details!P456-Base!P456</f>
        <v>0</v>
      </c>
      <c r="BJ456" s="92">
        <f>+Details!Q456-Base!Q456</f>
        <v>0</v>
      </c>
      <c r="BK456" s="92">
        <f>+Details!R456-Base!R456</f>
        <v>0</v>
      </c>
      <c r="BL456" s="92">
        <f>+Details!S456-Base!S456</f>
        <v>0</v>
      </c>
      <c r="BM456" s="92">
        <f>+Details!T456-Base!T456</f>
        <v>0</v>
      </c>
      <c r="BN456" s="92">
        <f>+Details!U456-Base!U456</f>
        <v>0</v>
      </c>
      <c r="BO456" s="92">
        <f>+Details!V456-Base!V456</f>
        <v>0</v>
      </c>
      <c r="BP456" s="92">
        <f>+Details!W456-Base!W456</f>
        <v>0</v>
      </c>
      <c r="BQ456" s="92">
        <f>+Details!X456-Base!X456</f>
        <v>0</v>
      </c>
      <c r="BR456" s="92">
        <f>+Details!Y456-Base!Y456</f>
        <v>0</v>
      </c>
      <c r="BS456" s="92">
        <f>+Details!Z456-Base!Z456</f>
        <v>0</v>
      </c>
      <c r="BT456" s="92">
        <f>+Details!AA456-Base!AA456</f>
        <v>0</v>
      </c>
      <c r="BU456" s="92">
        <f>+Details!AB456-Base!AB456</f>
        <v>0</v>
      </c>
      <c r="BV456" s="92">
        <f>+Details!AC456-Base!AC456</f>
        <v>0</v>
      </c>
      <c r="BW456" s="92">
        <f>+Details!AD456-Base!AD456</f>
        <v>0</v>
      </c>
      <c r="BX456" s="92">
        <f>+Details!AE456-Base!AE456</f>
        <v>0</v>
      </c>
      <c r="BY456" s="92">
        <f>+Details!AF456-Base!AF456</f>
        <v>0</v>
      </c>
      <c r="BZ456" s="92">
        <f>+Details!AG456-Base!AG456</f>
        <v>0</v>
      </c>
      <c r="CA456" s="92">
        <f>+Details!AH456-Base!AH456</f>
        <v>0</v>
      </c>
      <c r="CB456" s="92">
        <f>+Details!AI456-Base!AI456</f>
        <v>0</v>
      </c>
      <c r="CC456" s="92">
        <f>+Details!AJ456-Base!AJ456</f>
        <v>0</v>
      </c>
      <c r="CD456" s="92">
        <f>+Details!AK456-Base!AK456</f>
        <v>0</v>
      </c>
      <c r="CE456" s="92">
        <f>+Details!AL456-Base!AL456</f>
        <v>0</v>
      </c>
      <c r="CF456" s="92">
        <f>+Details!AM456-Base!AM456</f>
        <v>0</v>
      </c>
      <c r="CG456" s="92">
        <f>+Details!AN456-Base!AN456</f>
        <v>0</v>
      </c>
      <c r="CH456" s="92">
        <f>+Details!AO456-Base!AO456</f>
        <v>0</v>
      </c>
      <c r="CI456" s="92">
        <f>+Details!AP456-Base!AP456</f>
        <v>0</v>
      </c>
      <c r="CJ456" s="92">
        <f>+Details!AQ456-Base!AQ456</f>
        <v>0</v>
      </c>
      <c r="CK456" s="92">
        <f>+Details!AR456-Base!AR456</f>
        <v>0</v>
      </c>
      <c r="CL456" s="92">
        <f>+Details!AS456-Base!AS456</f>
        <v>0</v>
      </c>
    </row>
    <row r="457" spans="2:90">
      <c r="B457" s="43" t="s">
        <v>1161</v>
      </c>
      <c r="C457" t="s">
        <v>1610</v>
      </c>
      <c r="E457" s="65">
        <f t="shared" si="359"/>
        <v>0</v>
      </c>
      <c r="F457" s="92">
        <f t="shared" ref="F457:AS457" si="366">-F95</f>
        <v>0</v>
      </c>
      <c r="G457" s="92">
        <f t="shared" si="366"/>
        <v>0</v>
      </c>
      <c r="H457" s="92">
        <f t="shared" si="366"/>
        <v>0</v>
      </c>
      <c r="I457" s="92">
        <f t="shared" si="366"/>
        <v>0</v>
      </c>
      <c r="J457" s="92">
        <f t="shared" si="366"/>
        <v>0</v>
      </c>
      <c r="K457" s="92">
        <f t="shared" si="366"/>
        <v>0</v>
      </c>
      <c r="L457" s="92">
        <f t="shared" si="366"/>
        <v>0</v>
      </c>
      <c r="M457" s="92">
        <f t="shared" si="366"/>
        <v>0</v>
      </c>
      <c r="N457" s="92">
        <f t="shared" si="366"/>
        <v>0</v>
      </c>
      <c r="O457" s="92">
        <f t="shared" si="366"/>
        <v>0</v>
      </c>
      <c r="P457" s="92">
        <f t="shared" si="366"/>
        <v>0</v>
      </c>
      <c r="Q457" s="92">
        <f t="shared" si="366"/>
        <v>0</v>
      </c>
      <c r="R457" s="92">
        <f t="shared" si="366"/>
        <v>0</v>
      </c>
      <c r="S457" s="92">
        <f t="shared" si="366"/>
        <v>0</v>
      </c>
      <c r="T457" s="92">
        <f t="shared" si="366"/>
        <v>0</v>
      </c>
      <c r="U457" s="92">
        <f t="shared" si="366"/>
        <v>0</v>
      </c>
      <c r="V457" s="92">
        <f t="shared" si="366"/>
        <v>0</v>
      </c>
      <c r="W457" s="92">
        <f t="shared" si="366"/>
        <v>0</v>
      </c>
      <c r="X457" s="92">
        <f t="shared" si="366"/>
        <v>0</v>
      </c>
      <c r="Y457" s="92">
        <f t="shared" si="366"/>
        <v>0</v>
      </c>
      <c r="Z457" s="92">
        <f t="shared" si="366"/>
        <v>0</v>
      </c>
      <c r="AA457" s="92">
        <f t="shared" si="366"/>
        <v>0</v>
      </c>
      <c r="AB457" s="92">
        <f t="shared" si="366"/>
        <v>0</v>
      </c>
      <c r="AC457" s="92">
        <f t="shared" si="366"/>
        <v>0</v>
      </c>
      <c r="AD457" s="92">
        <f t="shared" si="366"/>
        <v>0</v>
      </c>
      <c r="AE457" s="92">
        <f t="shared" si="366"/>
        <v>0</v>
      </c>
      <c r="AF457" s="92">
        <f t="shared" si="366"/>
        <v>0</v>
      </c>
      <c r="AG457" s="92">
        <f t="shared" si="366"/>
        <v>0</v>
      </c>
      <c r="AH457" s="92">
        <f t="shared" si="366"/>
        <v>0</v>
      </c>
      <c r="AI457" s="92">
        <f t="shared" si="366"/>
        <v>0</v>
      </c>
      <c r="AJ457" s="92">
        <f t="shared" si="366"/>
        <v>0</v>
      </c>
      <c r="AK457" s="92">
        <f t="shared" si="366"/>
        <v>0</v>
      </c>
      <c r="AL457" s="92">
        <f t="shared" si="366"/>
        <v>0</v>
      </c>
      <c r="AM457" s="92">
        <f t="shared" si="366"/>
        <v>0</v>
      </c>
      <c r="AN457" s="92">
        <f t="shared" si="366"/>
        <v>0</v>
      </c>
      <c r="AO457" s="92">
        <f t="shared" si="366"/>
        <v>0</v>
      </c>
      <c r="AP457" s="92">
        <f t="shared" si="366"/>
        <v>0</v>
      </c>
      <c r="AQ457" s="92">
        <f t="shared" si="366"/>
        <v>0</v>
      </c>
      <c r="AR457" s="92">
        <f t="shared" si="366"/>
        <v>0</v>
      </c>
      <c r="AS457" s="92">
        <f t="shared" si="366"/>
        <v>0</v>
      </c>
      <c r="AW457" s="191"/>
      <c r="AY457" s="31">
        <f>+Details!F457-Base!F457</f>
        <v>0</v>
      </c>
      <c r="AZ457" s="92">
        <f>+Details!G457-Base!G457</f>
        <v>0</v>
      </c>
      <c r="BA457" s="92">
        <f>+Details!H457-Base!H457</f>
        <v>0</v>
      </c>
      <c r="BB457" s="92">
        <f>+Details!I457-Base!I457</f>
        <v>0</v>
      </c>
      <c r="BC457" s="92">
        <f>+Details!J457-Base!J457</f>
        <v>0</v>
      </c>
      <c r="BD457" s="92">
        <f>+Details!K457-Base!K457</f>
        <v>0</v>
      </c>
      <c r="BE457" s="92">
        <f>+Details!L457-Base!L457</f>
        <v>0</v>
      </c>
      <c r="BF457" s="92">
        <f>+Details!M457-Base!M457</f>
        <v>0</v>
      </c>
      <c r="BG457" s="92">
        <f>+Details!N457-Base!N457</f>
        <v>0</v>
      </c>
      <c r="BH457" s="92">
        <f>+Details!O457-Base!O457</f>
        <v>0</v>
      </c>
      <c r="BI457" s="92">
        <f>+Details!P457-Base!P457</f>
        <v>0</v>
      </c>
      <c r="BJ457" s="92">
        <f>+Details!Q457-Base!Q457</f>
        <v>0</v>
      </c>
      <c r="BK457" s="92">
        <f>+Details!R457-Base!R457</f>
        <v>0</v>
      </c>
      <c r="BL457" s="92">
        <f>+Details!S457-Base!S457</f>
        <v>0</v>
      </c>
      <c r="BM457" s="92">
        <f>+Details!T457-Base!T457</f>
        <v>0</v>
      </c>
      <c r="BN457" s="92">
        <f>+Details!U457-Base!U457</f>
        <v>0</v>
      </c>
      <c r="BO457" s="92">
        <f>+Details!V457-Base!V457</f>
        <v>0</v>
      </c>
      <c r="BP457" s="92">
        <f>+Details!W457-Base!W457</f>
        <v>0</v>
      </c>
      <c r="BQ457" s="92">
        <f>+Details!X457-Base!X457</f>
        <v>0</v>
      </c>
      <c r="BR457" s="92">
        <f>+Details!Y457-Base!Y457</f>
        <v>0</v>
      </c>
      <c r="BS457" s="92">
        <f>+Details!Z457-Base!Z457</f>
        <v>0</v>
      </c>
      <c r="BT457" s="92">
        <f>+Details!AA457-Base!AA457</f>
        <v>0</v>
      </c>
      <c r="BU457" s="92">
        <f>+Details!AB457-Base!AB457</f>
        <v>0</v>
      </c>
      <c r="BV457" s="92">
        <f>+Details!AC457-Base!AC457</f>
        <v>0</v>
      </c>
      <c r="BW457" s="92">
        <f>+Details!AD457-Base!AD457</f>
        <v>0</v>
      </c>
      <c r="BX457" s="92">
        <f>+Details!AE457-Base!AE457</f>
        <v>0</v>
      </c>
      <c r="BY457" s="92">
        <f>+Details!AF457-Base!AF457</f>
        <v>0</v>
      </c>
      <c r="BZ457" s="92">
        <f>+Details!AG457-Base!AG457</f>
        <v>0</v>
      </c>
      <c r="CA457" s="92">
        <f>+Details!AH457-Base!AH457</f>
        <v>0</v>
      </c>
      <c r="CB457" s="92">
        <f>+Details!AI457-Base!AI457</f>
        <v>0</v>
      </c>
      <c r="CC457" s="92">
        <f>+Details!AJ457-Base!AJ457</f>
        <v>0</v>
      </c>
      <c r="CD457" s="92">
        <f>+Details!AK457-Base!AK457</f>
        <v>0</v>
      </c>
      <c r="CE457" s="92">
        <f>+Details!AL457-Base!AL457</f>
        <v>0</v>
      </c>
      <c r="CF457" s="92">
        <f>+Details!AM457-Base!AM457</f>
        <v>0</v>
      </c>
      <c r="CG457" s="92">
        <f>+Details!AN457-Base!AN457</f>
        <v>0</v>
      </c>
      <c r="CH457" s="92">
        <f>+Details!AO457-Base!AO457</f>
        <v>0</v>
      </c>
      <c r="CI457" s="92">
        <f>+Details!AP457-Base!AP457</f>
        <v>0</v>
      </c>
      <c r="CJ457" s="92">
        <f>+Details!AQ457-Base!AQ457</f>
        <v>0</v>
      </c>
      <c r="CK457" s="92">
        <f>+Details!AR457-Base!AR457</f>
        <v>0</v>
      </c>
      <c r="CL457" s="92">
        <f>+Details!AS457-Base!AS457</f>
        <v>0</v>
      </c>
    </row>
    <row r="458" spans="2:90">
      <c r="B458" s="1446" t="s">
        <v>1816</v>
      </c>
      <c r="E458" s="65"/>
      <c r="F458" s="92">
        <f>+F75</f>
        <v>-6500</v>
      </c>
      <c r="G458" s="92">
        <f>+G75</f>
        <v>-6500</v>
      </c>
      <c r="H458" s="92">
        <f t="shared" ref="H458:AS458" si="367">+H75</f>
        <v>-6500</v>
      </c>
      <c r="I458" s="92">
        <f t="shared" si="367"/>
        <v>-6500</v>
      </c>
      <c r="J458" s="92">
        <f t="shared" si="367"/>
        <v>-6500</v>
      </c>
      <c r="K458" s="92">
        <f t="shared" si="367"/>
        <v>-6500</v>
      </c>
      <c r="L458" s="92">
        <f t="shared" si="367"/>
        <v>-6500</v>
      </c>
      <c r="M458" s="92">
        <f t="shared" si="367"/>
        <v>-6500</v>
      </c>
      <c r="N458" s="92">
        <f t="shared" si="367"/>
        <v>-6500</v>
      </c>
      <c r="O458" s="92">
        <f t="shared" si="367"/>
        <v>0</v>
      </c>
      <c r="P458" s="92">
        <f t="shared" si="367"/>
        <v>0</v>
      </c>
      <c r="Q458" s="92">
        <f t="shared" si="367"/>
        <v>0</v>
      </c>
      <c r="R458" s="92">
        <f t="shared" si="367"/>
        <v>0</v>
      </c>
      <c r="S458" s="92">
        <f t="shared" si="367"/>
        <v>0</v>
      </c>
      <c r="T458" s="92">
        <f t="shared" si="367"/>
        <v>0</v>
      </c>
      <c r="U458" s="92">
        <f t="shared" si="367"/>
        <v>0</v>
      </c>
      <c r="V458" s="92">
        <f t="shared" si="367"/>
        <v>0</v>
      </c>
      <c r="W458" s="92">
        <f t="shared" si="367"/>
        <v>0</v>
      </c>
      <c r="X458" s="92">
        <f t="shared" si="367"/>
        <v>0</v>
      </c>
      <c r="Y458" s="92">
        <f t="shared" si="367"/>
        <v>0</v>
      </c>
      <c r="Z458" s="92">
        <f t="shared" si="367"/>
        <v>0</v>
      </c>
      <c r="AA458" s="92">
        <f t="shared" si="367"/>
        <v>0</v>
      </c>
      <c r="AB458" s="92">
        <f t="shared" si="367"/>
        <v>0</v>
      </c>
      <c r="AC458" s="92">
        <f t="shared" si="367"/>
        <v>0</v>
      </c>
      <c r="AD458" s="92">
        <f t="shared" si="367"/>
        <v>0</v>
      </c>
      <c r="AE458" s="92">
        <f t="shared" si="367"/>
        <v>0</v>
      </c>
      <c r="AF458" s="92">
        <f t="shared" si="367"/>
        <v>0</v>
      </c>
      <c r="AG458" s="92">
        <f t="shared" si="367"/>
        <v>0</v>
      </c>
      <c r="AH458" s="92">
        <f t="shared" si="367"/>
        <v>0</v>
      </c>
      <c r="AI458" s="92">
        <f t="shared" si="367"/>
        <v>0</v>
      </c>
      <c r="AJ458" s="92">
        <f t="shared" si="367"/>
        <v>0</v>
      </c>
      <c r="AK458" s="92">
        <f t="shared" si="367"/>
        <v>0</v>
      </c>
      <c r="AL458" s="92">
        <f t="shared" si="367"/>
        <v>0</v>
      </c>
      <c r="AM458" s="92">
        <f t="shared" si="367"/>
        <v>0</v>
      </c>
      <c r="AN458" s="92">
        <f t="shared" si="367"/>
        <v>0</v>
      </c>
      <c r="AO458" s="92">
        <f t="shared" si="367"/>
        <v>0</v>
      </c>
      <c r="AP458" s="92">
        <f t="shared" si="367"/>
        <v>0</v>
      </c>
      <c r="AQ458" s="92">
        <f t="shared" si="367"/>
        <v>0</v>
      </c>
      <c r="AR458" s="92">
        <f t="shared" si="367"/>
        <v>0</v>
      </c>
      <c r="AS458" s="92">
        <f t="shared" si="367"/>
        <v>0</v>
      </c>
      <c r="AW458" s="191"/>
      <c r="AY458" s="31"/>
      <c r="AZ458" s="92"/>
      <c r="BA458" s="92"/>
      <c r="BB458" s="92"/>
      <c r="BC458" s="92"/>
      <c r="BD458" s="92"/>
      <c r="BE458" s="92"/>
      <c r="BF458" s="92"/>
      <c r="BG458" s="92"/>
      <c r="BH458" s="92"/>
      <c r="BI458" s="92"/>
      <c r="BJ458" s="92"/>
      <c r="BK458" s="92"/>
      <c r="BL458" s="92"/>
      <c r="BM458" s="92"/>
      <c r="BN458" s="92"/>
      <c r="BO458" s="92"/>
      <c r="BP458" s="92"/>
      <c r="BQ458" s="92"/>
      <c r="BR458" s="92"/>
      <c r="BS458" s="92"/>
      <c r="BT458" s="92"/>
      <c r="BU458" s="92"/>
      <c r="BV458" s="92"/>
      <c r="BW458" s="92"/>
      <c r="BX458" s="92"/>
      <c r="BY458" s="92"/>
      <c r="BZ458" s="92"/>
      <c r="CA458" s="92"/>
      <c r="CB458" s="92"/>
      <c r="CC458" s="92"/>
      <c r="CD458" s="92"/>
      <c r="CE458" s="92"/>
      <c r="CF458" s="92"/>
      <c r="CG458" s="92"/>
      <c r="CH458" s="92"/>
      <c r="CI458" s="92"/>
      <c r="CJ458" s="92"/>
      <c r="CK458" s="92"/>
      <c r="CL458" s="92"/>
    </row>
    <row r="459" spans="2:90">
      <c r="B459" s="43" t="s">
        <v>1642</v>
      </c>
      <c r="C459" s="136"/>
      <c r="E459" s="65">
        <f t="shared" si="359"/>
        <v>0</v>
      </c>
      <c r="F459" s="92">
        <f>-F99</f>
        <v>0</v>
      </c>
      <c r="G459" s="92">
        <f>-G99</f>
        <v>0</v>
      </c>
      <c r="H459" s="92">
        <f>-H99</f>
        <v>0</v>
      </c>
      <c r="I459" s="92">
        <f>-I99</f>
        <v>0</v>
      </c>
      <c r="J459" s="92">
        <f>-J99</f>
        <v>0</v>
      </c>
      <c r="K459" s="92">
        <f t="shared" ref="K459:AS459" si="368">-K99</f>
        <v>0</v>
      </c>
      <c r="L459" s="92">
        <f t="shared" si="368"/>
        <v>0</v>
      </c>
      <c r="M459" s="92">
        <f t="shared" si="368"/>
        <v>0</v>
      </c>
      <c r="N459" s="92">
        <f t="shared" si="368"/>
        <v>0</v>
      </c>
      <c r="O459" s="92">
        <f t="shared" si="368"/>
        <v>0</v>
      </c>
      <c r="P459" s="92">
        <f t="shared" si="368"/>
        <v>0</v>
      </c>
      <c r="Q459" s="92">
        <f t="shared" si="368"/>
        <v>0</v>
      </c>
      <c r="R459" s="92">
        <f t="shared" si="368"/>
        <v>0</v>
      </c>
      <c r="S459" s="92">
        <f t="shared" si="368"/>
        <v>0</v>
      </c>
      <c r="T459" s="92">
        <f t="shared" si="368"/>
        <v>0</v>
      </c>
      <c r="U459" s="92">
        <f t="shared" si="368"/>
        <v>0</v>
      </c>
      <c r="V459" s="92">
        <f t="shared" si="368"/>
        <v>0</v>
      </c>
      <c r="W459" s="92">
        <f t="shared" si="368"/>
        <v>0</v>
      </c>
      <c r="X459" s="92">
        <f t="shared" si="368"/>
        <v>0</v>
      </c>
      <c r="Y459" s="92">
        <f t="shared" si="368"/>
        <v>0</v>
      </c>
      <c r="Z459" s="92">
        <f t="shared" si="368"/>
        <v>0</v>
      </c>
      <c r="AA459" s="92">
        <f t="shared" si="368"/>
        <v>0</v>
      </c>
      <c r="AB459" s="92">
        <f t="shared" si="368"/>
        <v>0</v>
      </c>
      <c r="AC459" s="92">
        <f t="shared" si="368"/>
        <v>0</v>
      </c>
      <c r="AD459" s="92">
        <f t="shared" si="368"/>
        <v>0</v>
      </c>
      <c r="AE459" s="92">
        <f t="shared" si="368"/>
        <v>0</v>
      </c>
      <c r="AF459" s="92">
        <f t="shared" si="368"/>
        <v>0</v>
      </c>
      <c r="AG459" s="92">
        <f t="shared" si="368"/>
        <v>0</v>
      </c>
      <c r="AH459" s="92">
        <f t="shared" si="368"/>
        <v>0</v>
      </c>
      <c r="AI459" s="92">
        <f t="shared" si="368"/>
        <v>0</v>
      </c>
      <c r="AJ459" s="92">
        <f t="shared" si="368"/>
        <v>0</v>
      </c>
      <c r="AK459" s="92">
        <f t="shared" si="368"/>
        <v>0</v>
      </c>
      <c r="AL459" s="92">
        <f t="shared" si="368"/>
        <v>0</v>
      </c>
      <c r="AM459" s="92">
        <f t="shared" si="368"/>
        <v>0</v>
      </c>
      <c r="AN459" s="92">
        <f t="shared" si="368"/>
        <v>0</v>
      </c>
      <c r="AO459" s="92">
        <f t="shared" si="368"/>
        <v>0</v>
      </c>
      <c r="AP459" s="92">
        <f t="shared" si="368"/>
        <v>0</v>
      </c>
      <c r="AQ459" s="92">
        <f t="shared" si="368"/>
        <v>0</v>
      </c>
      <c r="AR459" s="92">
        <f t="shared" si="368"/>
        <v>0</v>
      </c>
      <c r="AS459" s="92">
        <f t="shared" si="368"/>
        <v>0</v>
      </c>
      <c r="AW459" s="191"/>
      <c r="AY459" s="31">
        <f>+Details!F459-Base!F459</f>
        <v>0</v>
      </c>
      <c r="AZ459" s="92">
        <f>+Details!G459-Base!G459</f>
        <v>0</v>
      </c>
      <c r="BA459" s="92">
        <f>+Details!H459-Base!H459</f>
        <v>0</v>
      </c>
      <c r="BB459" s="92">
        <f>+Details!I459-Base!I459</f>
        <v>0</v>
      </c>
      <c r="BC459" s="92">
        <f>+Details!J459-Base!J459</f>
        <v>0</v>
      </c>
      <c r="BD459" s="92">
        <f>+Details!K459-Base!K459</f>
        <v>0</v>
      </c>
      <c r="BE459" s="92">
        <f>+Details!L459-Base!L459</f>
        <v>0</v>
      </c>
      <c r="BF459" s="92">
        <f>+Details!M459-Base!M459</f>
        <v>0</v>
      </c>
      <c r="BG459" s="92">
        <f>+Details!N459-Base!N459</f>
        <v>0</v>
      </c>
      <c r="BH459" s="92">
        <f>+Details!O459-Base!O459</f>
        <v>0</v>
      </c>
      <c r="BI459" s="92">
        <f>+Details!P459-Base!P459</f>
        <v>0</v>
      </c>
      <c r="BJ459" s="92">
        <f>+Details!Q459-Base!Q459</f>
        <v>0</v>
      </c>
      <c r="BK459" s="92">
        <f>+Details!R459-Base!R459</f>
        <v>0</v>
      </c>
      <c r="BL459" s="92">
        <f>+Details!S459-Base!S459</f>
        <v>0</v>
      </c>
      <c r="BM459" s="92">
        <f>+Details!T459-Base!T459</f>
        <v>0</v>
      </c>
      <c r="BN459" s="92">
        <f>+Details!U459-Base!U459</f>
        <v>0</v>
      </c>
      <c r="BO459" s="92">
        <f>+Details!V459-Base!V459</f>
        <v>0</v>
      </c>
      <c r="BP459" s="92">
        <f>+Details!W459-Base!W459</f>
        <v>0</v>
      </c>
      <c r="BQ459" s="92">
        <f>+Details!X459-Base!X459</f>
        <v>0</v>
      </c>
      <c r="BR459" s="92">
        <f>+Details!Y459-Base!Y459</f>
        <v>0</v>
      </c>
      <c r="BS459" s="92">
        <f>+Details!Z459-Base!Z459</f>
        <v>0</v>
      </c>
      <c r="BT459" s="92">
        <f>+Details!AA459-Base!AA459</f>
        <v>0</v>
      </c>
      <c r="BU459" s="92">
        <f>+Details!AB459-Base!AB459</f>
        <v>0</v>
      </c>
      <c r="BV459" s="92">
        <f>+Details!AC459-Base!AC459</f>
        <v>0</v>
      </c>
      <c r="BW459" s="92">
        <f>+Details!AD459-Base!AD459</f>
        <v>0</v>
      </c>
      <c r="BX459" s="92">
        <f>+Details!AE459-Base!AE459</f>
        <v>0</v>
      </c>
      <c r="BY459" s="92">
        <f>+Details!AF459-Base!AF459</f>
        <v>0</v>
      </c>
      <c r="BZ459" s="92">
        <f>+Details!AG459-Base!AG459</f>
        <v>0</v>
      </c>
      <c r="CA459" s="92">
        <f>+Details!AH459-Base!AH459</f>
        <v>0</v>
      </c>
      <c r="CB459" s="92">
        <f>+Details!AI459-Base!AI459</f>
        <v>0</v>
      </c>
      <c r="CC459" s="92">
        <f>+Details!AJ459-Base!AJ459</f>
        <v>0</v>
      </c>
      <c r="CD459" s="92">
        <f>+Details!AK459-Base!AK459</f>
        <v>0</v>
      </c>
      <c r="CE459" s="92">
        <f>+Details!AL459-Base!AL459</f>
        <v>0</v>
      </c>
      <c r="CF459" s="92">
        <f>+Details!AM459-Base!AM459</f>
        <v>0</v>
      </c>
      <c r="CG459" s="92">
        <f>+Details!AN459-Base!AN459</f>
        <v>0</v>
      </c>
      <c r="CH459" s="92">
        <f>+Details!AO459-Base!AO459</f>
        <v>0</v>
      </c>
      <c r="CI459" s="92">
        <f>+Details!AP459-Base!AP459</f>
        <v>0</v>
      </c>
      <c r="CJ459" s="92">
        <f>+Details!AQ459-Base!AQ459</f>
        <v>0</v>
      </c>
      <c r="CK459" s="92">
        <f>+Details!AR459-Base!AR459</f>
        <v>0</v>
      </c>
      <c r="CL459" s="92">
        <f>+Details!AS459-Base!AS459</f>
        <v>0</v>
      </c>
    </row>
    <row r="460" spans="2:90">
      <c r="B460" s="43" t="s">
        <v>349</v>
      </c>
      <c r="C460" s="136"/>
      <c r="E460" s="65">
        <f t="shared" si="359"/>
        <v>530400</v>
      </c>
      <c r="F460" s="92">
        <f>-F102</f>
        <v>0</v>
      </c>
      <c r="G460" s="92">
        <f>-G102</f>
        <v>0</v>
      </c>
      <c r="H460" s="92">
        <f>-H102</f>
        <v>0</v>
      </c>
      <c r="I460" s="92">
        <f>-I102</f>
        <v>0</v>
      </c>
      <c r="J460" s="92">
        <f>-J102</f>
        <v>0</v>
      </c>
      <c r="K460" s="92">
        <f t="shared" ref="K460:AS460" si="369">-K102</f>
        <v>0</v>
      </c>
      <c r="L460" s="92">
        <f t="shared" si="369"/>
        <v>0</v>
      </c>
      <c r="M460" s="92">
        <f t="shared" si="369"/>
        <v>0</v>
      </c>
      <c r="N460" s="92">
        <f t="shared" si="369"/>
        <v>0</v>
      </c>
      <c r="O460" s="92">
        <f t="shared" si="369"/>
        <v>15000</v>
      </c>
      <c r="P460" s="92">
        <f t="shared" si="369"/>
        <v>15900</v>
      </c>
      <c r="Q460" s="92">
        <f t="shared" si="369"/>
        <v>16800</v>
      </c>
      <c r="R460" s="92">
        <f t="shared" si="369"/>
        <v>17700</v>
      </c>
      <c r="S460" s="92">
        <f t="shared" si="369"/>
        <v>18700</v>
      </c>
      <c r="T460" s="92">
        <f t="shared" si="369"/>
        <v>19700</v>
      </c>
      <c r="U460" s="92">
        <f t="shared" si="369"/>
        <v>20800</v>
      </c>
      <c r="V460" s="92">
        <f t="shared" si="369"/>
        <v>21900</v>
      </c>
      <c r="W460" s="92">
        <f t="shared" si="369"/>
        <v>23100</v>
      </c>
      <c r="X460" s="92">
        <f t="shared" si="369"/>
        <v>24200</v>
      </c>
      <c r="Y460" s="92">
        <f t="shared" si="369"/>
        <v>25300</v>
      </c>
      <c r="Z460" s="92">
        <f t="shared" si="369"/>
        <v>26300</v>
      </c>
      <c r="AA460" s="92">
        <f t="shared" si="369"/>
        <v>27500</v>
      </c>
      <c r="AB460" s="92">
        <f t="shared" si="369"/>
        <v>28600</v>
      </c>
      <c r="AC460" s="92">
        <f t="shared" si="369"/>
        <v>29800</v>
      </c>
      <c r="AD460" s="92">
        <f t="shared" si="369"/>
        <v>30800</v>
      </c>
      <c r="AE460" s="92">
        <f t="shared" si="369"/>
        <v>31800</v>
      </c>
      <c r="AF460" s="92">
        <f t="shared" si="369"/>
        <v>32700</v>
      </c>
      <c r="AG460" s="92">
        <f t="shared" si="369"/>
        <v>33700</v>
      </c>
      <c r="AH460" s="92">
        <f t="shared" si="369"/>
        <v>34700</v>
      </c>
      <c r="AI460" s="92">
        <f t="shared" si="369"/>
        <v>35400</v>
      </c>
      <c r="AJ460" s="92">
        <f t="shared" si="369"/>
        <v>0</v>
      </c>
      <c r="AK460" s="92">
        <f t="shared" si="369"/>
        <v>0</v>
      </c>
      <c r="AL460" s="92">
        <f t="shared" si="369"/>
        <v>0</v>
      </c>
      <c r="AM460" s="92">
        <f t="shared" si="369"/>
        <v>0</v>
      </c>
      <c r="AN460" s="92">
        <f t="shared" si="369"/>
        <v>0</v>
      </c>
      <c r="AO460" s="92">
        <f t="shared" si="369"/>
        <v>0</v>
      </c>
      <c r="AP460" s="92">
        <f t="shared" si="369"/>
        <v>0</v>
      </c>
      <c r="AQ460" s="92">
        <f t="shared" si="369"/>
        <v>0</v>
      </c>
      <c r="AR460" s="92">
        <f t="shared" si="369"/>
        <v>0</v>
      </c>
      <c r="AS460" s="92">
        <f t="shared" si="369"/>
        <v>0</v>
      </c>
      <c r="AW460" s="191"/>
      <c r="AY460" s="31">
        <f>+Details!F460-Base!F460</f>
        <v>0</v>
      </c>
      <c r="AZ460" s="92">
        <f>+Details!G460-Base!G460</f>
        <v>0</v>
      </c>
      <c r="BA460" s="92">
        <f>+Details!H460-Base!H460</f>
        <v>0</v>
      </c>
      <c r="BB460" s="92">
        <f>+Details!I460-Base!I460</f>
        <v>0</v>
      </c>
      <c r="BC460" s="92">
        <f>+Details!J460-Base!J460</f>
        <v>0</v>
      </c>
      <c r="BD460" s="92">
        <f>+Details!K460-Base!K460</f>
        <v>0</v>
      </c>
      <c r="BE460" s="92">
        <f>+Details!L460-Base!L460</f>
        <v>0</v>
      </c>
      <c r="BF460" s="92">
        <f>+Details!M460-Base!M460</f>
        <v>0</v>
      </c>
      <c r="BG460" s="92">
        <f>+Details!N460-Base!N460</f>
        <v>0</v>
      </c>
      <c r="BH460" s="92">
        <f>+Details!O460-Base!O460</f>
        <v>0</v>
      </c>
      <c r="BI460" s="92">
        <f>+Details!P460-Base!P460</f>
        <v>0</v>
      </c>
      <c r="BJ460" s="92">
        <f>+Details!Q460-Base!Q460</f>
        <v>0</v>
      </c>
      <c r="BK460" s="92">
        <f>+Details!R460-Base!R460</f>
        <v>0</v>
      </c>
      <c r="BL460" s="92">
        <f>+Details!S460-Base!S460</f>
        <v>0</v>
      </c>
      <c r="BM460" s="92">
        <f>+Details!T460-Base!T460</f>
        <v>0</v>
      </c>
      <c r="BN460" s="92">
        <f>+Details!U460-Base!U460</f>
        <v>0</v>
      </c>
      <c r="BO460" s="92">
        <f>+Details!V460-Base!V460</f>
        <v>0</v>
      </c>
      <c r="BP460" s="92">
        <f>+Details!W460-Base!W460</f>
        <v>0</v>
      </c>
      <c r="BQ460" s="92">
        <f>+Details!X460-Base!X460</f>
        <v>0</v>
      </c>
      <c r="BR460" s="92">
        <f>+Details!Y460-Base!Y460</f>
        <v>0</v>
      </c>
      <c r="BS460" s="92">
        <f>+Details!Z460-Base!Z460</f>
        <v>0</v>
      </c>
      <c r="BT460" s="92">
        <f>+Details!AA460-Base!AA460</f>
        <v>0</v>
      </c>
      <c r="BU460" s="92">
        <f>+Details!AB460-Base!AB460</f>
        <v>0</v>
      </c>
      <c r="BV460" s="92">
        <f>+Details!AC460-Base!AC460</f>
        <v>0</v>
      </c>
      <c r="BW460" s="92">
        <f>+Details!AD460-Base!AD460</f>
        <v>0</v>
      </c>
      <c r="BX460" s="92">
        <f>+Details!AE460-Base!AE460</f>
        <v>0</v>
      </c>
      <c r="BY460" s="92">
        <f>+Details!AF460-Base!AF460</f>
        <v>0</v>
      </c>
      <c r="BZ460" s="92">
        <f>+Details!AG460-Base!AG460</f>
        <v>0</v>
      </c>
      <c r="CA460" s="92">
        <f>+Details!AH460-Base!AH460</f>
        <v>0</v>
      </c>
      <c r="CB460" s="92">
        <f>+Details!AI460-Base!AI460</f>
        <v>0</v>
      </c>
      <c r="CC460" s="92">
        <f>+Details!AJ460-Base!AJ460</f>
        <v>0</v>
      </c>
      <c r="CD460" s="92">
        <f>+Details!AK460-Base!AK460</f>
        <v>0</v>
      </c>
      <c r="CE460" s="92">
        <f>+Details!AL460-Base!AL460</f>
        <v>0</v>
      </c>
      <c r="CF460" s="92">
        <f>+Details!AM460-Base!AM460</f>
        <v>0</v>
      </c>
      <c r="CG460" s="92">
        <f>+Details!AN460-Base!AN460</f>
        <v>0</v>
      </c>
      <c r="CH460" s="92">
        <f>+Details!AO460-Base!AO460</f>
        <v>0</v>
      </c>
      <c r="CI460" s="92">
        <f>+Details!AP460-Base!AP460</f>
        <v>0</v>
      </c>
      <c r="CJ460" s="92">
        <f>+Details!AQ460-Base!AQ460</f>
        <v>0</v>
      </c>
      <c r="CK460" s="92">
        <f>+Details!AR460-Base!AR460</f>
        <v>0</v>
      </c>
      <c r="CL460" s="92">
        <f>+Details!AS460-Base!AS460</f>
        <v>0</v>
      </c>
    </row>
    <row r="461" spans="2:90">
      <c r="B461" s="43" t="s">
        <v>1162</v>
      </c>
      <c r="C461" s="136"/>
      <c r="E461" s="65">
        <f t="shared" si="359"/>
        <v>0</v>
      </c>
      <c r="F461" s="92">
        <f>-F103</f>
        <v>0</v>
      </c>
      <c r="G461" s="92">
        <f t="shared" ref="G461:AS461" si="370">-G103</f>
        <v>0</v>
      </c>
      <c r="H461" s="92">
        <f t="shared" si="370"/>
        <v>0</v>
      </c>
      <c r="I461" s="92">
        <f t="shared" si="370"/>
        <v>0</v>
      </c>
      <c r="J461" s="92">
        <f t="shared" si="370"/>
        <v>0</v>
      </c>
      <c r="K461" s="92">
        <f t="shared" si="370"/>
        <v>0</v>
      </c>
      <c r="L461" s="92">
        <f t="shared" si="370"/>
        <v>0</v>
      </c>
      <c r="M461" s="92">
        <f t="shared" si="370"/>
        <v>0</v>
      </c>
      <c r="N461" s="92">
        <f t="shared" si="370"/>
        <v>0</v>
      </c>
      <c r="O461" s="92">
        <f t="shared" si="370"/>
        <v>0</v>
      </c>
      <c r="P461" s="92">
        <f t="shared" si="370"/>
        <v>0</v>
      </c>
      <c r="Q461" s="92">
        <f t="shared" si="370"/>
        <v>0</v>
      </c>
      <c r="R461" s="92">
        <f t="shared" si="370"/>
        <v>0</v>
      </c>
      <c r="S461" s="92">
        <f t="shared" si="370"/>
        <v>0</v>
      </c>
      <c r="T461" s="92">
        <f t="shared" si="370"/>
        <v>0</v>
      </c>
      <c r="U461" s="92">
        <f t="shared" si="370"/>
        <v>0</v>
      </c>
      <c r="V461" s="92">
        <f t="shared" si="370"/>
        <v>0</v>
      </c>
      <c r="W461" s="92">
        <f t="shared" si="370"/>
        <v>0</v>
      </c>
      <c r="X461" s="92">
        <f t="shared" si="370"/>
        <v>0</v>
      </c>
      <c r="Y461" s="92">
        <f t="shared" si="370"/>
        <v>0</v>
      </c>
      <c r="Z461" s="92">
        <f t="shared" si="370"/>
        <v>0</v>
      </c>
      <c r="AA461" s="92">
        <f t="shared" si="370"/>
        <v>0</v>
      </c>
      <c r="AB461" s="92">
        <f t="shared" si="370"/>
        <v>0</v>
      </c>
      <c r="AC461" s="92">
        <f t="shared" si="370"/>
        <v>0</v>
      </c>
      <c r="AD461" s="92">
        <f t="shared" si="370"/>
        <v>0</v>
      </c>
      <c r="AE461" s="92">
        <f t="shared" si="370"/>
        <v>0</v>
      </c>
      <c r="AF461" s="92">
        <f t="shared" si="370"/>
        <v>0</v>
      </c>
      <c r="AG461" s="92">
        <f t="shared" si="370"/>
        <v>0</v>
      </c>
      <c r="AH461" s="92">
        <f t="shared" si="370"/>
        <v>0</v>
      </c>
      <c r="AI461" s="92">
        <f t="shared" si="370"/>
        <v>0</v>
      </c>
      <c r="AJ461" s="92">
        <f t="shared" si="370"/>
        <v>0</v>
      </c>
      <c r="AK461" s="92">
        <f t="shared" si="370"/>
        <v>0</v>
      </c>
      <c r="AL461" s="92">
        <f t="shared" si="370"/>
        <v>0</v>
      </c>
      <c r="AM461" s="92">
        <f t="shared" si="370"/>
        <v>0</v>
      </c>
      <c r="AN461" s="92">
        <f t="shared" si="370"/>
        <v>0</v>
      </c>
      <c r="AO461" s="92">
        <f t="shared" si="370"/>
        <v>0</v>
      </c>
      <c r="AP461" s="92">
        <f t="shared" si="370"/>
        <v>0</v>
      </c>
      <c r="AQ461" s="92">
        <f t="shared" si="370"/>
        <v>0</v>
      </c>
      <c r="AR461" s="92">
        <f t="shared" si="370"/>
        <v>0</v>
      </c>
      <c r="AS461" s="92">
        <f t="shared" si="370"/>
        <v>0</v>
      </c>
      <c r="AW461" s="191"/>
      <c r="AY461" s="31">
        <f>+Details!F461-Base!F461</f>
        <v>0</v>
      </c>
      <c r="AZ461" s="92">
        <f>+Details!G461-Base!G461</f>
        <v>0</v>
      </c>
      <c r="BA461" s="92">
        <f>+Details!H461-Base!H461</f>
        <v>0</v>
      </c>
      <c r="BB461" s="92">
        <f>+Details!I461-Base!I461</f>
        <v>0</v>
      </c>
      <c r="BC461" s="92">
        <f>+Details!J461-Base!J461</f>
        <v>0</v>
      </c>
      <c r="BD461" s="92">
        <f>+Details!K461-Base!K461</f>
        <v>0</v>
      </c>
      <c r="BE461" s="92">
        <f>+Details!L461-Base!L461</f>
        <v>0</v>
      </c>
      <c r="BF461" s="92">
        <f>+Details!M461-Base!M461</f>
        <v>0</v>
      </c>
      <c r="BG461" s="92">
        <f>+Details!N461-Base!N461</f>
        <v>0</v>
      </c>
      <c r="BH461" s="92">
        <f>+Details!O461-Base!O461</f>
        <v>0</v>
      </c>
      <c r="BI461" s="92">
        <f>+Details!P461-Base!P461</f>
        <v>0</v>
      </c>
      <c r="BJ461" s="92">
        <f>+Details!Q461-Base!Q461</f>
        <v>0</v>
      </c>
      <c r="BK461" s="92">
        <f>+Details!R461-Base!R461</f>
        <v>0</v>
      </c>
      <c r="BL461" s="92">
        <f>+Details!S461-Base!S461</f>
        <v>0</v>
      </c>
      <c r="BM461" s="92">
        <f>+Details!T461-Base!T461</f>
        <v>0</v>
      </c>
      <c r="BN461" s="92">
        <f>+Details!U461-Base!U461</f>
        <v>0</v>
      </c>
      <c r="BO461" s="92">
        <f>+Details!V461-Base!V461</f>
        <v>0</v>
      </c>
      <c r="BP461" s="92">
        <f>+Details!W461-Base!W461</f>
        <v>0</v>
      </c>
      <c r="BQ461" s="92">
        <f>+Details!X461-Base!X461</f>
        <v>0</v>
      </c>
      <c r="BR461" s="92">
        <f>+Details!Y461-Base!Y461</f>
        <v>0</v>
      </c>
      <c r="BS461" s="92">
        <f>+Details!Z461-Base!Z461</f>
        <v>0</v>
      </c>
      <c r="BT461" s="92">
        <f>+Details!AA461-Base!AA461</f>
        <v>0</v>
      </c>
      <c r="BU461" s="92">
        <f>+Details!AB461-Base!AB461</f>
        <v>0</v>
      </c>
      <c r="BV461" s="92">
        <f>+Details!AC461-Base!AC461</f>
        <v>0</v>
      </c>
      <c r="BW461" s="92">
        <f>+Details!AD461-Base!AD461</f>
        <v>0</v>
      </c>
      <c r="BX461" s="92">
        <f>+Details!AE461-Base!AE461</f>
        <v>0</v>
      </c>
      <c r="BY461" s="92">
        <f>+Details!AF461-Base!AF461</f>
        <v>0</v>
      </c>
      <c r="BZ461" s="92">
        <f>+Details!AG461-Base!AG461</f>
        <v>0</v>
      </c>
      <c r="CA461" s="92">
        <f>+Details!AH461-Base!AH461</f>
        <v>0</v>
      </c>
      <c r="CB461" s="92">
        <f>+Details!AI461-Base!AI461</f>
        <v>0</v>
      </c>
      <c r="CC461" s="92">
        <f>+Details!AJ461-Base!AJ461</f>
        <v>0</v>
      </c>
      <c r="CD461" s="92">
        <f>+Details!AK461-Base!AK461</f>
        <v>0</v>
      </c>
      <c r="CE461" s="92">
        <f>+Details!AL461-Base!AL461</f>
        <v>0</v>
      </c>
      <c r="CF461" s="92">
        <f>+Details!AM461-Base!AM461</f>
        <v>0</v>
      </c>
      <c r="CG461" s="92">
        <f>+Details!AN461-Base!AN461</f>
        <v>0</v>
      </c>
      <c r="CH461" s="92">
        <f>+Details!AO461-Base!AO461</f>
        <v>0</v>
      </c>
      <c r="CI461" s="92">
        <f>+Details!AP461-Base!AP461</f>
        <v>0</v>
      </c>
      <c r="CJ461" s="92">
        <f>+Details!AQ461-Base!AQ461</f>
        <v>0</v>
      </c>
      <c r="CK461" s="92">
        <f>+Details!AR461-Base!AR461</f>
        <v>0</v>
      </c>
      <c r="CL461" s="92">
        <f>+Details!AS461-Base!AS461</f>
        <v>0</v>
      </c>
    </row>
    <row r="462" spans="2:90">
      <c r="B462" s="43" t="s">
        <v>259</v>
      </c>
      <c r="C462" s="136"/>
      <c r="E462" s="65">
        <f>SUM(F462:AS462)</f>
        <v>15300</v>
      </c>
      <c r="F462" s="92">
        <f>-F115</f>
        <v>0</v>
      </c>
      <c r="G462" s="92">
        <f t="shared" ref="G462:AS462" si="371">-G115</f>
        <v>0</v>
      </c>
      <c r="H462" s="92">
        <f t="shared" si="371"/>
        <v>0</v>
      </c>
      <c r="I462" s="92">
        <f t="shared" si="371"/>
        <v>0</v>
      </c>
      <c r="J462" s="92">
        <f t="shared" si="371"/>
        <v>0</v>
      </c>
      <c r="K462" s="92">
        <f t="shared" si="371"/>
        <v>0</v>
      </c>
      <c r="L462" s="92">
        <f t="shared" si="371"/>
        <v>0</v>
      </c>
      <c r="M462" s="92">
        <f t="shared" si="371"/>
        <v>0</v>
      </c>
      <c r="N462" s="92">
        <f t="shared" si="371"/>
        <v>0</v>
      </c>
      <c r="O462" s="92">
        <f t="shared" si="371"/>
        <v>0</v>
      </c>
      <c r="P462" s="92">
        <f t="shared" si="371"/>
        <v>0</v>
      </c>
      <c r="Q462" s="92">
        <f t="shared" si="371"/>
        <v>0</v>
      </c>
      <c r="R462" s="92">
        <f t="shared" si="371"/>
        <v>0</v>
      </c>
      <c r="S462" s="92">
        <f t="shared" si="371"/>
        <v>0</v>
      </c>
      <c r="T462" s="92">
        <f t="shared" si="371"/>
        <v>0</v>
      </c>
      <c r="U462" s="92">
        <f t="shared" si="371"/>
        <v>4000</v>
      </c>
      <c r="V462" s="92">
        <f t="shared" si="371"/>
        <v>5000</v>
      </c>
      <c r="W462" s="92">
        <f t="shared" si="371"/>
        <v>5100</v>
      </c>
      <c r="X462" s="92">
        <f t="shared" si="371"/>
        <v>1200</v>
      </c>
      <c r="Y462" s="92">
        <f t="shared" si="371"/>
        <v>0</v>
      </c>
      <c r="Z462" s="92">
        <f t="shared" si="371"/>
        <v>0</v>
      </c>
      <c r="AA462" s="92">
        <f t="shared" si="371"/>
        <v>0</v>
      </c>
      <c r="AB462" s="92">
        <f t="shared" si="371"/>
        <v>0</v>
      </c>
      <c r="AC462" s="92">
        <f t="shared" si="371"/>
        <v>0</v>
      </c>
      <c r="AD462" s="92">
        <f t="shared" si="371"/>
        <v>0</v>
      </c>
      <c r="AE462" s="92">
        <f t="shared" si="371"/>
        <v>0</v>
      </c>
      <c r="AF462" s="92">
        <f t="shared" si="371"/>
        <v>0</v>
      </c>
      <c r="AG462" s="92">
        <f t="shared" si="371"/>
        <v>0</v>
      </c>
      <c r="AH462" s="92">
        <f t="shared" si="371"/>
        <v>0</v>
      </c>
      <c r="AI462" s="92">
        <f t="shared" si="371"/>
        <v>0</v>
      </c>
      <c r="AJ462" s="92">
        <f t="shared" si="371"/>
        <v>0</v>
      </c>
      <c r="AK462" s="92">
        <f t="shared" si="371"/>
        <v>0</v>
      </c>
      <c r="AL462" s="92">
        <f t="shared" si="371"/>
        <v>0</v>
      </c>
      <c r="AM462" s="92">
        <f t="shared" si="371"/>
        <v>0</v>
      </c>
      <c r="AN462" s="92">
        <f t="shared" si="371"/>
        <v>0</v>
      </c>
      <c r="AO462" s="92">
        <f t="shared" si="371"/>
        <v>0</v>
      </c>
      <c r="AP462" s="92">
        <f t="shared" si="371"/>
        <v>0</v>
      </c>
      <c r="AQ462" s="92">
        <f t="shared" si="371"/>
        <v>0</v>
      </c>
      <c r="AR462" s="92">
        <f t="shared" si="371"/>
        <v>0</v>
      </c>
      <c r="AS462" s="92">
        <f t="shared" si="371"/>
        <v>0</v>
      </c>
      <c r="AW462" s="191"/>
      <c r="AY462" s="31">
        <f>+Details!F462-Base!F462</f>
        <v>0</v>
      </c>
      <c r="AZ462" s="92">
        <f>+Details!G462-Base!G462</f>
        <v>0</v>
      </c>
      <c r="BA462" s="92">
        <f>+Details!H462-Base!H462</f>
        <v>0</v>
      </c>
      <c r="BB462" s="92">
        <f>+Details!I462-Base!I462</f>
        <v>0</v>
      </c>
      <c r="BC462" s="92">
        <f>+Details!J462-Base!J462</f>
        <v>0</v>
      </c>
      <c r="BD462" s="92">
        <f>+Details!K462-Base!K462</f>
        <v>0</v>
      </c>
      <c r="BE462" s="92">
        <f>+Details!L462-Base!L462</f>
        <v>0</v>
      </c>
      <c r="BF462" s="92">
        <f>+Details!M462-Base!M462</f>
        <v>0</v>
      </c>
      <c r="BG462" s="92">
        <f>+Details!N462-Base!N462</f>
        <v>0</v>
      </c>
      <c r="BH462" s="92">
        <f>+Details!O462-Base!O462</f>
        <v>0</v>
      </c>
      <c r="BI462" s="92">
        <f>+Details!P462-Base!P462</f>
        <v>0</v>
      </c>
      <c r="BJ462" s="92">
        <f>+Details!Q462-Base!Q462</f>
        <v>0</v>
      </c>
      <c r="BK462" s="92">
        <f>+Details!R462-Base!R462</f>
        <v>0</v>
      </c>
      <c r="BL462" s="92">
        <f>+Details!S462-Base!S462</f>
        <v>0</v>
      </c>
      <c r="BM462" s="92">
        <f>+Details!T462-Base!T462</f>
        <v>0</v>
      </c>
      <c r="BN462" s="92">
        <f>+Details!U462-Base!U462</f>
        <v>0</v>
      </c>
      <c r="BO462" s="92">
        <f>+Details!V462-Base!V462</f>
        <v>0</v>
      </c>
      <c r="BP462" s="92">
        <f>+Details!W462-Base!W462</f>
        <v>0</v>
      </c>
      <c r="BQ462" s="92">
        <f>+Details!X462-Base!X462</f>
        <v>0</v>
      </c>
      <c r="BR462" s="92">
        <f>+Details!Y462-Base!Y462</f>
        <v>0</v>
      </c>
      <c r="BS462" s="92">
        <f>+Details!Z462-Base!Z462</f>
        <v>0</v>
      </c>
      <c r="BT462" s="92">
        <f>+Details!AA462-Base!AA462</f>
        <v>0</v>
      </c>
      <c r="BU462" s="92">
        <f>+Details!AB462-Base!AB462</f>
        <v>0</v>
      </c>
      <c r="BV462" s="92">
        <f>+Details!AC462-Base!AC462</f>
        <v>0</v>
      </c>
      <c r="BW462" s="92">
        <f>+Details!AD462-Base!AD462</f>
        <v>0</v>
      </c>
      <c r="BX462" s="92">
        <f>+Details!AE462-Base!AE462</f>
        <v>0</v>
      </c>
      <c r="BY462" s="92">
        <f>+Details!AF462-Base!AF462</f>
        <v>0</v>
      </c>
      <c r="BZ462" s="92">
        <f>+Details!AG462-Base!AG462</f>
        <v>0</v>
      </c>
      <c r="CA462" s="92">
        <f>+Details!AH462-Base!AH462</f>
        <v>0</v>
      </c>
      <c r="CB462" s="92">
        <f>+Details!AI462-Base!AI462</f>
        <v>0</v>
      </c>
      <c r="CC462" s="92">
        <f>+Details!AJ462-Base!AJ462</f>
        <v>0</v>
      </c>
      <c r="CD462" s="92">
        <f>+Details!AK462-Base!AK462</f>
        <v>0</v>
      </c>
      <c r="CE462" s="92">
        <f>+Details!AL462-Base!AL462</f>
        <v>0</v>
      </c>
      <c r="CF462" s="92">
        <f>+Details!AM462-Base!AM462</f>
        <v>0</v>
      </c>
      <c r="CG462" s="92">
        <f>+Details!AN462-Base!AN462</f>
        <v>0</v>
      </c>
      <c r="CH462" s="92">
        <f>+Details!AO462-Base!AO462</f>
        <v>0</v>
      </c>
      <c r="CI462" s="92">
        <f>+Details!AP462-Base!AP462</f>
        <v>0</v>
      </c>
      <c r="CJ462" s="92">
        <f>+Details!AQ462-Base!AQ462</f>
        <v>0</v>
      </c>
      <c r="CK462" s="92">
        <f>+Details!AR462-Base!AR462</f>
        <v>0</v>
      </c>
      <c r="CL462" s="92">
        <f>+Details!AS462-Base!AS462</f>
        <v>0</v>
      </c>
    </row>
    <row r="463" spans="2:90">
      <c r="B463" s="43" t="s">
        <v>1181</v>
      </c>
      <c r="C463" s="136"/>
      <c r="E463" s="65">
        <f t="shared" si="359"/>
        <v>128700</v>
      </c>
      <c r="F463" s="92">
        <f>-F112</f>
        <v>0</v>
      </c>
      <c r="G463" s="92">
        <f>-G112</f>
        <v>0</v>
      </c>
      <c r="H463" s="92">
        <f>-H112</f>
        <v>0</v>
      </c>
      <c r="I463" s="92">
        <f>-I112</f>
        <v>0</v>
      </c>
      <c r="J463" s="92">
        <f>-J112</f>
        <v>0</v>
      </c>
      <c r="K463" s="92">
        <f t="shared" ref="K463:AS463" si="372">-K112</f>
        <v>0</v>
      </c>
      <c r="L463" s="92">
        <f t="shared" si="372"/>
        <v>0</v>
      </c>
      <c r="M463" s="92">
        <f t="shared" si="372"/>
        <v>0</v>
      </c>
      <c r="N463" s="92">
        <f t="shared" si="372"/>
        <v>0</v>
      </c>
      <c r="O463" s="92">
        <f t="shared" si="372"/>
        <v>0</v>
      </c>
      <c r="P463" s="92">
        <f t="shared" si="372"/>
        <v>0</v>
      </c>
      <c r="Q463" s="92">
        <f t="shared" si="372"/>
        <v>0</v>
      </c>
      <c r="R463" s="92">
        <f t="shared" si="372"/>
        <v>4100</v>
      </c>
      <c r="S463" s="92">
        <f t="shared" si="372"/>
        <v>4300</v>
      </c>
      <c r="T463" s="92">
        <f t="shared" si="372"/>
        <v>4600</v>
      </c>
      <c r="U463" s="92">
        <f t="shared" si="372"/>
        <v>4800</v>
      </c>
      <c r="V463" s="92">
        <f t="shared" si="372"/>
        <v>8300</v>
      </c>
      <c r="W463" s="92">
        <f t="shared" si="372"/>
        <v>8400</v>
      </c>
      <c r="X463" s="92">
        <f t="shared" si="372"/>
        <v>8400</v>
      </c>
      <c r="Y463" s="92">
        <f t="shared" si="372"/>
        <v>8600</v>
      </c>
      <c r="Z463" s="92">
        <f t="shared" si="372"/>
        <v>9100</v>
      </c>
      <c r="AA463" s="92">
        <f t="shared" si="372"/>
        <v>9700</v>
      </c>
      <c r="AB463" s="92">
        <f t="shared" si="372"/>
        <v>10300</v>
      </c>
      <c r="AC463" s="92">
        <f t="shared" si="372"/>
        <v>10800</v>
      </c>
      <c r="AD463" s="92">
        <f t="shared" si="372"/>
        <v>11500</v>
      </c>
      <c r="AE463" s="92">
        <f t="shared" si="372"/>
        <v>12300</v>
      </c>
      <c r="AF463" s="92">
        <f t="shared" si="372"/>
        <v>11500</v>
      </c>
      <c r="AG463" s="92">
        <f t="shared" si="372"/>
        <v>2000</v>
      </c>
      <c r="AH463" s="92">
        <f t="shared" si="372"/>
        <v>0</v>
      </c>
      <c r="AI463" s="92">
        <f t="shared" si="372"/>
        <v>0</v>
      </c>
      <c r="AJ463" s="92">
        <f t="shared" si="372"/>
        <v>0</v>
      </c>
      <c r="AK463" s="92">
        <f t="shared" si="372"/>
        <v>0</v>
      </c>
      <c r="AL463" s="92">
        <f t="shared" si="372"/>
        <v>0</v>
      </c>
      <c r="AM463" s="92">
        <f t="shared" si="372"/>
        <v>0</v>
      </c>
      <c r="AN463" s="92">
        <f t="shared" si="372"/>
        <v>0</v>
      </c>
      <c r="AO463" s="92">
        <f t="shared" si="372"/>
        <v>0</v>
      </c>
      <c r="AP463" s="92">
        <f t="shared" si="372"/>
        <v>0</v>
      </c>
      <c r="AQ463" s="92">
        <f t="shared" si="372"/>
        <v>0</v>
      </c>
      <c r="AR463" s="92">
        <f t="shared" si="372"/>
        <v>0</v>
      </c>
      <c r="AS463" s="92">
        <f t="shared" si="372"/>
        <v>0</v>
      </c>
      <c r="AW463" s="191"/>
      <c r="AY463" s="31">
        <f>+Details!F463-Base!F463</f>
        <v>0</v>
      </c>
      <c r="AZ463" s="92">
        <f>+Details!G463-Base!G463</f>
        <v>0</v>
      </c>
      <c r="BA463" s="92">
        <f>+Details!H463-Base!H463</f>
        <v>0</v>
      </c>
      <c r="BB463" s="92">
        <f>+Details!I463-Base!I463</f>
        <v>0</v>
      </c>
      <c r="BC463" s="92">
        <f>+Details!J463-Base!J463</f>
        <v>0</v>
      </c>
      <c r="BD463" s="92">
        <f>+Details!K463-Base!K463</f>
        <v>0</v>
      </c>
      <c r="BE463" s="92">
        <f>+Details!L463-Base!L463</f>
        <v>0</v>
      </c>
      <c r="BF463" s="92">
        <f>+Details!M463-Base!M463</f>
        <v>0</v>
      </c>
      <c r="BG463" s="92">
        <f>+Details!N463-Base!N463</f>
        <v>0</v>
      </c>
      <c r="BH463" s="92">
        <f>+Details!O463-Base!O463</f>
        <v>0</v>
      </c>
      <c r="BI463" s="92">
        <f>+Details!P463-Base!P463</f>
        <v>0</v>
      </c>
      <c r="BJ463" s="92">
        <f>+Details!Q463-Base!Q463</f>
        <v>0</v>
      </c>
      <c r="BK463" s="92">
        <f>+Details!R463-Base!R463</f>
        <v>0</v>
      </c>
      <c r="BL463" s="92">
        <f>+Details!S463-Base!S463</f>
        <v>0</v>
      </c>
      <c r="BM463" s="92">
        <f>+Details!T463-Base!T463</f>
        <v>0</v>
      </c>
      <c r="BN463" s="92">
        <f>+Details!U463-Base!U463</f>
        <v>0</v>
      </c>
      <c r="BO463" s="92">
        <f>+Details!V463-Base!V463</f>
        <v>0</v>
      </c>
      <c r="BP463" s="92">
        <f>+Details!W463-Base!W463</f>
        <v>0</v>
      </c>
      <c r="BQ463" s="92">
        <f>+Details!X463-Base!X463</f>
        <v>0</v>
      </c>
      <c r="BR463" s="92">
        <f>+Details!Y463-Base!Y463</f>
        <v>0</v>
      </c>
      <c r="BS463" s="92">
        <f>+Details!Z463-Base!Z463</f>
        <v>0</v>
      </c>
      <c r="BT463" s="92">
        <f>+Details!AA463-Base!AA463</f>
        <v>0</v>
      </c>
      <c r="BU463" s="92">
        <f>+Details!AB463-Base!AB463</f>
        <v>0</v>
      </c>
      <c r="BV463" s="92">
        <f>+Details!AC463-Base!AC463</f>
        <v>0</v>
      </c>
      <c r="BW463" s="92">
        <f>+Details!AD463-Base!AD463</f>
        <v>0</v>
      </c>
      <c r="BX463" s="92">
        <f>+Details!AE463-Base!AE463</f>
        <v>0</v>
      </c>
      <c r="BY463" s="92">
        <f>+Details!AF463-Base!AF463</f>
        <v>0</v>
      </c>
      <c r="BZ463" s="92">
        <f>+Details!AG463-Base!AG463</f>
        <v>0</v>
      </c>
      <c r="CA463" s="92">
        <f>+Details!AH463-Base!AH463</f>
        <v>0</v>
      </c>
      <c r="CB463" s="92">
        <f>+Details!AI463-Base!AI463</f>
        <v>0</v>
      </c>
      <c r="CC463" s="92">
        <f>+Details!AJ463-Base!AJ463</f>
        <v>0</v>
      </c>
      <c r="CD463" s="92">
        <f>+Details!AK463-Base!AK463</f>
        <v>0</v>
      </c>
      <c r="CE463" s="92">
        <f>+Details!AL463-Base!AL463</f>
        <v>0</v>
      </c>
      <c r="CF463" s="92">
        <f>+Details!AM463-Base!AM463</f>
        <v>0</v>
      </c>
      <c r="CG463" s="92">
        <f>+Details!AN463-Base!AN463</f>
        <v>0</v>
      </c>
      <c r="CH463" s="92">
        <f>+Details!AO463-Base!AO463</f>
        <v>0</v>
      </c>
      <c r="CI463" s="92">
        <f>+Details!AP463-Base!AP463</f>
        <v>0</v>
      </c>
      <c r="CJ463" s="92">
        <f>+Details!AQ463-Base!AQ463</f>
        <v>0</v>
      </c>
      <c r="CK463" s="92">
        <f>+Details!AR463-Base!AR463</f>
        <v>0</v>
      </c>
      <c r="CL463" s="92">
        <f>+Details!AS463-Base!AS463</f>
        <v>0</v>
      </c>
    </row>
    <row r="464" spans="2:90">
      <c r="B464" s="43" t="s">
        <v>1163</v>
      </c>
      <c r="C464" s="136"/>
      <c r="E464" s="65">
        <f t="shared" si="359"/>
        <v>0</v>
      </c>
      <c r="F464" s="92">
        <f>-F118</f>
        <v>0</v>
      </c>
      <c r="G464" s="92">
        <f t="shared" ref="G464:AS464" si="373">-G118</f>
        <v>0</v>
      </c>
      <c r="H464" s="92">
        <f t="shared" si="373"/>
        <v>0</v>
      </c>
      <c r="I464" s="92">
        <f t="shared" si="373"/>
        <v>0</v>
      </c>
      <c r="J464" s="92">
        <f t="shared" si="373"/>
        <v>0</v>
      </c>
      <c r="K464" s="92">
        <f t="shared" si="373"/>
        <v>0</v>
      </c>
      <c r="L464" s="92">
        <f t="shared" si="373"/>
        <v>0</v>
      </c>
      <c r="M464" s="92">
        <f t="shared" si="373"/>
        <v>0</v>
      </c>
      <c r="N464" s="92">
        <f t="shared" si="373"/>
        <v>0</v>
      </c>
      <c r="O464" s="92">
        <f t="shared" si="373"/>
        <v>0</v>
      </c>
      <c r="P464" s="92">
        <f t="shared" si="373"/>
        <v>0</v>
      </c>
      <c r="Q464" s="92">
        <f t="shared" si="373"/>
        <v>0</v>
      </c>
      <c r="R464" s="92">
        <f t="shared" si="373"/>
        <v>0</v>
      </c>
      <c r="S464" s="92">
        <f t="shared" si="373"/>
        <v>0</v>
      </c>
      <c r="T464" s="92">
        <f t="shared" si="373"/>
        <v>0</v>
      </c>
      <c r="U464" s="92">
        <f t="shared" si="373"/>
        <v>0</v>
      </c>
      <c r="V464" s="92">
        <f t="shared" si="373"/>
        <v>0</v>
      </c>
      <c r="W464" s="92">
        <f t="shared" si="373"/>
        <v>0</v>
      </c>
      <c r="X464" s="92">
        <f t="shared" si="373"/>
        <v>0</v>
      </c>
      <c r="Y464" s="92">
        <f t="shared" si="373"/>
        <v>0</v>
      </c>
      <c r="Z464" s="92">
        <f t="shared" si="373"/>
        <v>0</v>
      </c>
      <c r="AA464" s="92">
        <f t="shared" si="373"/>
        <v>0</v>
      </c>
      <c r="AB464" s="92">
        <f t="shared" si="373"/>
        <v>0</v>
      </c>
      <c r="AC464" s="92">
        <f t="shared" si="373"/>
        <v>0</v>
      </c>
      <c r="AD464" s="92">
        <f t="shared" si="373"/>
        <v>0</v>
      </c>
      <c r="AE464" s="92">
        <f t="shared" si="373"/>
        <v>0</v>
      </c>
      <c r="AF464" s="92">
        <f t="shared" si="373"/>
        <v>0</v>
      </c>
      <c r="AG464" s="92">
        <f t="shared" si="373"/>
        <v>0</v>
      </c>
      <c r="AH464" s="92">
        <f t="shared" si="373"/>
        <v>0</v>
      </c>
      <c r="AI464" s="92">
        <f t="shared" si="373"/>
        <v>0</v>
      </c>
      <c r="AJ464" s="92">
        <f t="shared" si="373"/>
        <v>0</v>
      </c>
      <c r="AK464" s="92">
        <f t="shared" si="373"/>
        <v>0</v>
      </c>
      <c r="AL464" s="92">
        <f t="shared" si="373"/>
        <v>0</v>
      </c>
      <c r="AM464" s="92">
        <f t="shared" si="373"/>
        <v>0</v>
      </c>
      <c r="AN464" s="92">
        <f t="shared" si="373"/>
        <v>0</v>
      </c>
      <c r="AO464" s="92">
        <f t="shared" si="373"/>
        <v>0</v>
      </c>
      <c r="AP464" s="92">
        <f t="shared" si="373"/>
        <v>0</v>
      </c>
      <c r="AQ464" s="92">
        <f t="shared" si="373"/>
        <v>0</v>
      </c>
      <c r="AR464" s="92">
        <f t="shared" si="373"/>
        <v>0</v>
      </c>
      <c r="AS464" s="92">
        <f t="shared" si="373"/>
        <v>0</v>
      </c>
      <c r="AW464" s="191"/>
      <c r="AY464" s="31">
        <f>+Details!F464-Base!F464</f>
        <v>0</v>
      </c>
      <c r="AZ464" s="92">
        <f>+Details!G464-Base!G464</f>
        <v>0</v>
      </c>
      <c r="BA464" s="92">
        <f>+Details!H464-Base!H464</f>
        <v>0</v>
      </c>
      <c r="BB464" s="92">
        <f>+Details!I464-Base!I464</f>
        <v>0</v>
      </c>
      <c r="BC464" s="92">
        <f>+Details!J464-Base!J464</f>
        <v>0</v>
      </c>
      <c r="BD464" s="92">
        <f>+Details!K464-Base!K464</f>
        <v>0</v>
      </c>
      <c r="BE464" s="92">
        <f>+Details!L464-Base!L464</f>
        <v>0</v>
      </c>
      <c r="BF464" s="92">
        <f>+Details!M464-Base!M464</f>
        <v>0</v>
      </c>
      <c r="BG464" s="92">
        <f>+Details!N464-Base!N464</f>
        <v>0</v>
      </c>
      <c r="BH464" s="92">
        <f>+Details!O464-Base!O464</f>
        <v>0</v>
      </c>
      <c r="BI464" s="92">
        <f>+Details!P464-Base!P464</f>
        <v>0</v>
      </c>
      <c r="BJ464" s="92">
        <f>+Details!Q464-Base!Q464</f>
        <v>0</v>
      </c>
      <c r="BK464" s="92">
        <f>+Details!R464-Base!R464</f>
        <v>0</v>
      </c>
      <c r="BL464" s="92">
        <f>+Details!S464-Base!S464</f>
        <v>0</v>
      </c>
      <c r="BM464" s="92">
        <f>+Details!T464-Base!T464</f>
        <v>0</v>
      </c>
      <c r="BN464" s="92">
        <f>+Details!U464-Base!U464</f>
        <v>0</v>
      </c>
      <c r="BO464" s="92">
        <f>+Details!V464-Base!V464</f>
        <v>0</v>
      </c>
      <c r="BP464" s="92">
        <f>+Details!W464-Base!W464</f>
        <v>0</v>
      </c>
      <c r="BQ464" s="92">
        <f>+Details!X464-Base!X464</f>
        <v>0</v>
      </c>
      <c r="BR464" s="92">
        <f>+Details!Y464-Base!Y464</f>
        <v>0</v>
      </c>
      <c r="BS464" s="92">
        <f>+Details!Z464-Base!Z464</f>
        <v>0</v>
      </c>
      <c r="BT464" s="92">
        <f>+Details!AA464-Base!AA464</f>
        <v>0</v>
      </c>
      <c r="BU464" s="92">
        <f>+Details!AB464-Base!AB464</f>
        <v>0</v>
      </c>
      <c r="BV464" s="92">
        <f>+Details!AC464-Base!AC464</f>
        <v>0</v>
      </c>
      <c r="BW464" s="92">
        <f>+Details!AD464-Base!AD464</f>
        <v>0</v>
      </c>
      <c r="BX464" s="92">
        <f>+Details!AE464-Base!AE464</f>
        <v>0</v>
      </c>
      <c r="BY464" s="92">
        <f>+Details!AF464-Base!AF464</f>
        <v>0</v>
      </c>
      <c r="BZ464" s="92">
        <f>+Details!AG464-Base!AG464</f>
        <v>0</v>
      </c>
      <c r="CA464" s="92">
        <f>+Details!AH464-Base!AH464</f>
        <v>0</v>
      </c>
      <c r="CB464" s="92">
        <f>+Details!AI464-Base!AI464</f>
        <v>0</v>
      </c>
      <c r="CC464" s="92">
        <f>+Details!AJ464-Base!AJ464</f>
        <v>0</v>
      </c>
      <c r="CD464" s="92">
        <f>+Details!AK464-Base!AK464</f>
        <v>0</v>
      </c>
      <c r="CE464" s="92">
        <f>+Details!AL464-Base!AL464</f>
        <v>0</v>
      </c>
      <c r="CF464" s="92">
        <f>+Details!AM464-Base!AM464</f>
        <v>0</v>
      </c>
      <c r="CG464" s="92">
        <f>+Details!AN464-Base!AN464</f>
        <v>0</v>
      </c>
      <c r="CH464" s="92">
        <f>+Details!AO464-Base!AO464</f>
        <v>0</v>
      </c>
      <c r="CI464" s="92">
        <f>+Details!AP464-Base!AP464</f>
        <v>0</v>
      </c>
      <c r="CJ464" s="92">
        <f>+Details!AQ464-Base!AQ464</f>
        <v>0</v>
      </c>
      <c r="CK464" s="92">
        <f>+Details!AR464-Base!AR464</f>
        <v>0</v>
      </c>
      <c r="CL464" s="92">
        <f>+Details!AS464-Base!AS464</f>
        <v>0</v>
      </c>
    </row>
    <row r="465" spans="2:90">
      <c r="B465" s="1446" t="s">
        <v>2304</v>
      </c>
      <c r="C465" s="136"/>
      <c r="E465" s="65">
        <f t="shared" ref="E465" si="374">SUM(F465:AS465)</f>
        <v>-4600</v>
      </c>
      <c r="F465" s="92">
        <f>F76</f>
        <v>-1000</v>
      </c>
      <c r="G465" s="92">
        <f>G76</f>
        <v>-1100</v>
      </c>
      <c r="H465" s="92">
        <f t="shared" ref="H465:AS465" si="375">H76</f>
        <v>-1200</v>
      </c>
      <c r="I465" s="92">
        <f t="shared" si="375"/>
        <v>-1300</v>
      </c>
      <c r="J465" s="92">
        <f t="shared" si="375"/>
        <v>0</v>
      </c>
      <c r="K465" s="92">
        <f t="shared" si="375"/>
        <v>0</v>
      </c>
      <c r="L465" s="92">
        <f t="shared" si="375"/>
        <v>0</v>
      </c>
      <c r="M465" s="92">
        <f t="shared" si="375"/>
        <v>0</v>
      </c>
      <c r="N465" s="92">
        <f t="shared" si="375"/>
        <v>0</v>
      </c>
      <c r="O465" s="92">
        <f t="shared" si="375"/>
        <v>0</v>
      </c>
      <c r="P465" s="92">
        <f t="shared" si="375"/>
        <v>0</v>
      </c>
      <c r="Q465" s="92">
        <f t="shared" si="375"/>
        <v>0</v>
      </c>
      <c r="R465" s="92">
        <f t="shared" si="375"/>
        <v>0</v>
      </c>
      <c r="S465" s="92">
        <f t="shared" si="375"/>
        <v>0</v>
      </c>
      <c r="T465" s="92">
        <f t="shared" si="375"/>
        <v>0</v>
      </c>
      <c r="U465" s="92">
        <f t="shared" si="375"/>
        <v>0</v>
      </c>
      <c r="V465" s="92">
        <f t="shared" si="375"/>
        <v>0</v>
      </c>
      <c r="W465" s="92">
        <f t="shared" si="375"/>
        <v>0</v>
      </c>
      <c r="X465" s="92">
        <f t="shared" si="375"/>
        <v>0</v>
      </c>
      <c r="Y465" s="92">
        <f t="shared" si="375"/>
        <v>0</v>
      </c>
      <c r="Z465" s="92">
        <f t="shared" si="375"/>
        <v>0</v>
      </c>
      <c r="AA465" s="92">
        <f t="shared" si="375"/>
        <v>0</v>
      </c>
      <c r="AB465" s="92">
        <f t="shared" si="375"/>
        <v>0</v>
      </c>
      <c r="AC465" s="92">
        <f t="shared" si="375"/>
        <v>0</v>
      </c>
      <c r="AD465" s="92">
        <f t="shared" si="375"/>
        <v>0</v>
      </c>
      <c r="AE465" s="92">
        <f t="shared" si="375"/>
        <v>0</v>
      </c>
      <c r="AF465" s="92">
        <f t="shared" si="375"/>
        <v>0</v>
      </c>
      <c r="AG465" s="92">
        <f t="shared" si="375"/>
        <v>0</v>
      </c>
      <c r="AH465" s="92">
        <f t="shared" si="375"/>
        <v>0</v>
      </c>
      <c r="AI465" s="92">
        <f t="shared" si="375"/>
        <v>0</v>
      </c>
      <c r="AJ465" s="92">
        <f t="shared" si="375"/>
        <v>0</v>
      </c>
      <c r="AK465" s="92">
        <f t="shared" si="375"/>
        <v>0</v>
      </c>
      <c r="AL465" s="92">
        <f t="shared" si="375"/>
        <v>0</v>
      </c>
      <c r="AM465" s="92">
        <f t="shared" si="375"/>
        <v>0</v>
      </c>
      <c r="AN465" s="92">
        <f t="shared" si="375"/>
        <v>0</v>
      </c>
      <c r="AO465" s="92">
        <f t="shared" si="375"/>
        <v>0</v>
      </c>
      <c r="AP465" s="92">
        <f t="shared" si="375"/>
        <v>0</v>
      </c>
      <c r="AQ465" s="92">
        <f t="shared" si="375"/>
        <v>0</v>
      </c>
      <c r="AR465" s="92">
        <f t="shared" si="375"/>
        <v>0</v>
      </c>
      <c r="AS465" s="92">
        <f t="shared" si="375"/>
        <v>0</v>
      </c>
      <c r="AW465" s="191"/>
      <c r="AY465" s="31"/>
      <c r="AZ465" s="92"/>
      <c r="BA465" s="92"/>
      <c r="BB465" s="92"/>
      <c r="BC465" s="92"/>
      <c r="BD465" s="92"/>
      <c r="BE465" s="92"/>
      <c r="BF465" s="92"/>
      <c r="BG465" s="92"/>
      <c r="BH465" s="92"/>
      <c r="BI465" s="92"/>
      <c r="BJ465" s="92"/>
      <c r="BK465" s="92"/>
      <c r="BL465" s="92"/>
      <c r="BM465" s="92"/>
      <c r="BN465" s="92"/>
      <c r="BO465" s="92"/>
      <c r="BP465" s="92"/>
      <c r="BQ465" s="92"/>
      <c r="BR465" s="92"/>
      <c r="BS465" s="92"/>
      <c r="BT465" s="92"/>
      <c r="BU465" s="92"/>
      <c r="BV465" s="92"/>
      <c r="BW465" s="92"/>
      <c r="BX465" s="92"/>
      <c r="BY465" s="92"/>
      <c r="BZ465" s="92"/>
      <c r="CA465" s="92"/>
      <c r="CB465" s="92"/>
      <c r="CC465" s="92"/>
      <c r="CD465" s="92"/>
      <c r="CE465" s="92"/>
      <c r="CF465" s="92"/>
      <c r="CG465" s="92"/>
      <c r="CH465" s="92"/>
      <c r="CI465" s="92"/>
      <c r="CJ465" s="92"/>
      <c r="CK465" s="92"/>
      <c r="CL465" s="92"/>
    </row>
    <row r="466" spans="2:90">
      <c r="B466" s="43" t="s">
        <v>420</v>
      </c>
      <c r="C466" s="136"/>
      <c r="E466" s="65">
        <f t="shared" si="359"/>
        <v>50800</v>
      </c>
      <c r="F466" s="92">
        <f>-F125</f>
        <v>0</v>
      </c>
      <c r="G466" s="92">
        <f>-G125</f>
        <v>0</v>
      </c>
      <c r="H466" s="92">
        <f>-H125</f>
        <v>0</v>
      </c>
      <c r="I466" s="92">
        <f>-I125</f>
        <v>0</v>
      </c>
      <c r="J466" s="92">
        <f>-J125</f>
        <v>0</v>
      </c>
      <c r="K466" s="92">
        <f t="shared" ref="K466:AS466" si="376">-K125</f>
        <v>0</v>
      </c>
      <c r="L466" s="92">
        <f t="shared" si="376"/>
        <v>0</v>
      </c>
      <c r="M466" s="92">
        <f t="shared" si="376"/>
        <v>0</v>
      </c>
      <c r="N466" s="92">
        <f t="shared" si="376"/>
        <v>5000</v>
      </c>
      <c r="O466" s="92">
        <f t="shared" si="376"/>
        <v>5500</v>
      </c>
      <c r="P466" s="92">
        <f t="shared" si="376"/>
        <v>6100</v>
      </c>
      <c r="Q466" s="92">
        <f t="shared" si="376"/>
        <v>6700</v>
      </c>
      <c r="R466" s="92">
        <f t="shared" si="376"/>
        <v>7400</v>
      </c>
      <c r="S466" s="92">
        <f t="shared" si="376"/>
        <v>8100</v>
      </c>
      <c r="T466" s="92">
        <f t="shared" si="376"/>
        <v>0</v>
      </c>
      <c r="U466" s="92">
        <f t="shared" si="376"/>
        <v>0</v>
      </c>
      <c r="V466" s="92">
        <f t="shared" si="376"/>
        <v>0</v>
      </c>
      <c r="W466" s="92">
        <f t="shared" si="376"/>
        <v>0</v>
      </c>
      <c r="X466" s="92">
        <f t="shared" si="376"/>
        <v>1000</v>
      </c>
      <c r="Y466" s="92">
        <f t="shared" si="376"/>
        <v>1000</v>
      </c>
      <c r="Z466" s="92">
        <f t="shared" si="376"/>
        <v>1000</v>
      </c>
      <c r="AA466" s="92">
        <f t="shared" si="376"/>
        <v>1000</v>
      </c>
      <c r="AB466" s="92">
        <f t="shared" si="376"/>
        <v>1000</v>
      </c>
      <c r="AC466" s="92">
        <f t="shared" si="376"/>
        <v>1000</v>
      </c>
      <c r="AD466" s="92">
        <f t="shared" si="376"/>
        <v>1000</v>
      </c>
      <c r="AE466" s="92">
        <f t="shared" si="376"/>
        <v>1000</v>
      </c>
      <c r="AF466" s="92">
        <f t="shared" si="376"/>
        <v>1000</v>
      </c>
      <c r="AG466" s="92">
        <f t="shared" si="376"/>
        <v>1000</v>
      </c>
      <c r="AH466" s="92">
        <f t="shared" si="376"/>
        <v>1000</v>
      </c>
      <c r="AI466" s="92">
        <f t="shared" si="376"/>
        <v>1000</v>
      </c>
      <c r="AJ466" s="92">
        <f t="shared" si="376"/>
        <v>0</v>
      </c>
      <c r="AK466" s="92">
        <f t="shared" si="376"/>
        <v>0</v>
      </c>
      <c r="AL466" s="92">
        <f t="shared" si="376"/>
        <v>0</v>
      </c>
      <c r="AM466" s="92">
        <f t="shared" si="376"/>
        <v>0</v>
      </c>
      <c r="AN466" s="92">
        <f t="shared" si="376"/>
        <v>0</v>
      </c>
      <c r="AO466" s="92">
        <f t="shared" si="376"/>
        <v>0</v>
      </c>
      <c r="AP466" s="92">
        <f t="shared" si="376"/>
        <v>0</v>
      </c>
      <c r="AQ466" s="92">
        <f t="shared" si="376"/>
        <v>0</v>
      </c>
      <c r="AR466" s="92">
        <f t="shared" si="376"/>
        <v>0</v>
      </c>
      <c r="AS466" s="92">
        <f t="shared" si="376"/>
        <v>0</v>
      </c>
      <c r="AW466" s="191"/>
      <c r="AY466" s="31">
        <f>+Details!F466-Base!F466</f>
        <v>0</v>
      </c>
      <c r="AZ466" s="92">
        <f>+Details!G466-Base!G466</f>
        <v>0</v>
      </c>
      <c r="BA466" s="92">
        <f>+Details!H466-Base!H466</f>
        <v>0</v>
      </c>
      <c r="BB466" s="92">
        <f>+Details!I466-Base!I466</f>
        <v>0</v>
      </c>
      <c r="BC466" s="92">
        <f>+Details!J466-Base!J466</f>
        <v>0</v>
      </c>
      <c r="BD466" s="92">
        <f>+Details!K466-Base!K466</f>
        <v>0</v>
      </c>
      <c r="BE466" s="92">
        <f>+Details!L466-Base!L466</f>
        <v>0</v>
      </c>
      <c r="BF466" s="92">
        <f>+Details!M466-Base!M466</f>
        <v>0</v>
      </c>
      <c r="BG466" s="92">
        <f>+Details!N466-Base!N466</f>
        <v>0</v>
      </c>
      <c r="BH466" s="92">
        <f>+Details!O466-Base!O466</f>
        <v>0</v>
      </c>
      <c r="BI466" s="92">
        <f>+Details!P466-Base!P466</f>
        <v>0</v>
      </c>
      <c r="BJ466" s="92">
        <f>+Details!Q466-Base!Q466</f>
        <v>0</v>
      </c>
      <c r="BK466" s="92">
        <f>+Details!R466-Base!R466</f>
        <v>0</v>
      </c>
      <c r="BL466" s="92">
        <f>+Details!S466-Base!S466</f>
        <v>0</v>
      </c>
      <c r="BM466" s="92">
        <f>+Details!T466-Base!T466</f>
        <v>0</v>
      </c>
      <c r="BN466" s="92">
        <f>+Details!U466-Base!U466</f>
        <v>0</v>
      </c>
      <c r="BO466" s="92">
        <f>+Details!V466-Base!V466</f>
        <v>0</v>
      </c>
      <c r="BP466" s="92">
        <f>+Details!W466-Base!W466</f>
        <v>0</v>
      </c>
      <c r="BQ466" s="92">
        <f>+Details!X466-Base!X466</f>
        <v>0</v>
      </c>
      <c r="BR466" s="92">
        <f>+Details!Y466-Base!Y466</f>
        <v>0</v>
      </c>
      <c r="BS466" s="92">
        <f>+Details!Z466-Base!Z466</f>
        <v>0</v>
      </c>
      <c r="BT466" s="92">
        <f>+Details!AA466-Base!AA466</f>
        <v>0</v>
      </c>
      <c r="BU466" s="92">
        <f>+Details!AB466-Base!AB466</f>
        <v>0</v>
      </c>
      <c r="BV466" s="92">
        <f>+Details!AC466-Base!AC466</f>
        <v>0</v>
      </c>
      <c r="BW466" s="92">
        <f>+Details!AD466-Base!AD466</f>
        <v>0</v>
      </c>
      <c r="BX466" s="92">
        <f>+Details!AE466-Base!AE466</f>
        <v>0</v>
      </c>
      <c r="BY466" s="92">
        <f>+Details!AF466-Base!AF466</f>
        <v>0</v>
      </c>
      <c r="BZ466" s="92">
        <f>+Details!AG466-Base!AG466</f>
        <v>0</v>
      </c>
      <c r="CA466" s="92">
        <f>+Details!AH466-Base!AH466</f>
        <v>0</v>
      </c>
      <c r="CB466" s="92">
        <f>+Details!AI466-Base!AI466</f>
        <v>0</v>
      </c>
      <c r="CC466" s="92">
        <f>+Details!AJ466-Base!AJ466</f>
        <v>0</v>
      </c>
      <c r="CD466" s="92">
        <f>+Details!AK466-Base!AK466</f>
        <v>0</v>
      </c>
      <c r="CE466" s="92">
        <f>+Details!AL466-Base!AL466</f>
        <v>0</v>
      </c>
      <c r="CF466" s="92">
        <f>+Details!AM466-Base!AM466</f>
        <v>0</v>
      </c>
      <c r="CG466" s="92">
        <f>+Details!AN466-Base!AN466</f>
        <v>0</v>
      </c>
      <c r="CH466" s="92">
        <f>+Details!AO466-Base!AO466</f>
        <v>0</v>
      </c>
      <c r="CI466" s="92">
        <f>+Details!AP466-Base!AP466</f>
        <v>0</v>
      </c>
      <c r="CJ466" s="92">
        <f>+Details!AQ466-Base!AQ466</f>
        <v>0</v>
      </c>
      <c r="CK466" s="92">
        <f>+Details!AR466-Base!AR466</f>
        <v>0</v>
      </c>
      <c r="CL466" s="92">
        <f>+Details!AS466-Base!AS466</f>
        <v>0</v>
      </c>
    </row>
    <row r="467" spans="2:90">
      <c r="B467" s="43" t="s">
        <v>9</v>
      </c>
      <c r="C467" s="136"/>
      <c r="E467" s="65">
        <f t="shared" si="359"/>
        <v>0</v>
      </c>
      <c r="F467" s="92">
        <f>-F126</f>
        <v>0</v>
      </c>
      <c r="G467" s="92">
        <f t="shared" ref="G467:AS467" si="377">-G126</f>
        <v>0</v>
      </c>
      <c r="H467" s="92">
        <f t="shared" si="377"/>
        <v>0</v>
      </c>
      <c r="I467" s="92">
        <f t="shared" si="377"/>
        <v>0</v>
      </c>
      <c r="J467" s="92">
        <f t="shared" si="377"/>
        <v>0</v>
      </c>
      <c r="K467" s="92">
        <f t="shared" si="377"/>
        <v>0</v>
      </c>
      <c r="L467" s="92">
        <f t="shared" si="377"/>
        <v>0</v>
      </c>
      <c r="M467" s="92">
        <f t="shared" si="377"/>
        <v>0</v>
      </c>
      <c r="N467" s="92">
        <f t="shared" si="377"/>
        <v>0</v>
      </c>
      <c r="O467" s="92">
        <f t="shared" si="377"/>
        <v>0</v>
      </c>
      <c r="P467" s="92">
        <f t="shared" si="377"/>
        <v>0</v>
      </c>
      <c r="Q467" s="92">
        <f t="shared" si="377"/>
        <v>0</v>
      </c>
      <c r="R467" s="92">
        <f t="shared" si="377"/>
        <v>0</v>
      </c>
      <c r="S467" s="92">
        <f t="shared" si="377"/>
        <v>0</v>
      </c>
      <c r="T467" s="92">
        <f t="shared" si="377"/>
        <v>0</v>
      </c>
      <c r="U467" s="92">
        <f t="shared" si="377"/>
        <v>0</v>
      </c>
      <c r="V467" s="92">
        <f t="shared" si="377"/>
        <v>0</v>
      </c>
      <c r="W467" s="92">
        <f t="shared" si="377"/>
        <v>0</v>
      </c>
      <c r="X467" s="92">
        <f t="shared" si="377"/>
        <v>0</v>
      </c>
      <c r="Y467" s="92">
        <f t="shared" si="377"/>
        <v>0</v>
      </c>
      <c r="Z467" s="92">
        <f t="shared" si="377"/>
        <v>0</v>
      </c>
      <c r="AA467" s="92">
        <f t="shared" si="377"/>
        <v>0</v>
      </c>
      <c r="AB467" s="92">
        <f t="shared" si="377"/>
        <v>0</v>
      </c>
      <c r="AC467" s="92">
        <f t="shared" si="377"/>
        <v>0</v>
      </c>
      <c r="AD467" s="92">
        <f t="shared" si="377"/>
        <v>0</v>
      </c>
      <c r="AE467" s="92">
        <f t="shared" si="377"/>
        <v>0</v>
      </c>
      <c r="AF467" s="92">
        <f t="shared" si="377"/>
        <v>0</v>
      </c>
      <c r="AG467" s="92">
        <f t="shared" si="377"/>
        <v>0</v>
      </c>
      <c r="AH467" s="92">
        <f t="shared" si="377"/>
        <v>0</v>
      </c>
      <c r="AI467" s="92">
        <f t="shared" si="377"/>
        <v>0</v>
      </c>
      <c r="AJ467" s="92">
        <f t="shared" si="377"/>
        <v>0</v>
      </c>
      <c r="AK467" s="92">
        <f t="shared" si="377"/>
        <v>0</v>
      </c>
      <c r="AL467" s="92">
        <f t="shared" si="377"/>
        <v>0</v>
      </c>
      <c r="AM467" s="92">
        <f t="shared" si="377"/>
        <v>0</v>
      </c>
      <c r="AN467" s="92">
        <f t="shared" si="377"/>
        <v>0</v>
      </c>
      <c r="AO467" s="92">
        <f t="shared" si="377"/>
        <v>0</v>
      </c>
      <c r="AP467" s="92">
        <f t="shared" si="377"/>
        <v>0</v>
      </c>
      <c r="AQ467" s="92">
        <f t="shared" si="377"/>
        <v>0</v>
      </c>
      <c r="AR467" s="92">
        <f t="shared" si="377"/>
        <v>0</v>
      </c>
      <c r="AS467" s="92">
        <f t="shared" si="377"/>
        <v>0</v>
      </c>
      <c r="AW467" s="191"/>
      <c r="AY467" s="31">
        <f>+Details!F467-Base!F467</f>
        <v>0</v>
      </c>
      <c r="AZ467" s="92">
        <f>+Details!G467-Base!G467</f>
        <v>0</v>
      </c>
      <c r="BA467" s="92">
        <f>+Details!H467-Base!H467</f>
        <v>0</v>
      </c>
      <c r="BB467" s="92">
        <f>+Details!I467-Base!I467</f>
        <v>0</v>
      </c>
      <c r="BC467" s="92">
        <f>+Details!J467-Base!J467</f>
        <v>0</v>
      </c>
      <c r="BD467" s="92">
        <f>+Details!K467-Base!K467</f>
        <v>0</v>
      </c>
      <c r="BE467" s="92">
        <f>+Details!L467-Base!L467</f>
        <v>0</v>
      </c>
      <c r="BF467" s="92">
        <f>+Details!M467-Base!M467</f>
        <v>0</v>
      </c>
      <c r="BG467" s="92">
        <f>+Details!N467-Base!N467</f>
        <v>0</v>
      </c>
      <c r="BH467" s="92">
        <f>+Details!O467-Base!O467</f>
        <v>0</v>
      </c>
      <c r="BI467" s="92">
        <f>+Details!P467-Base!P467</f>
        <v>0</v>
      </c>
      <c r="BJ467" s="92">
        <f>+Details!Q467-Base!Q467</f>
        <v>0</v>
      </c>
      <c r="BK467" s="92">
        <f>+Details!R467-Base!R467</f>
        <v>0</v>
      </c>
      <c r="BL467" s="92">
        <f>+Details!S467-Base!S467</f>
        <v>0</v>
      </c>
      <c r="BM467" s="92">
        <f>+Details!T467-Base!T467</f>
        <v>0</v>
      </c>
      <c r="BN467" s="92">
        <f>+Details!U467-Base!U467</f>
        <v>0</v>
      </c>
      <c r="BO467" s="92">
        <f>+Details!V467-Base!V467</f>
        <v>0</v>
      </c>
      <c r="BP467" s="92">
        <f>+Details!W467-Base!W467</f>
        <v>0</v>
      </c>
      <c r="BQ467" s="92">
        <f>+Details!X467-Base!X467</f>
        <v>0</v>
      </c>
      <c r="BR467" s="92">
        <f>+Details!Y467-Base!Y467</f>
        <v>0</v>
      </c>
      <c r="BS467" s="92">
        <f>+Details!Z467-Base!Z467</f>
        <v>0</v>
      </c>
      <c r="BT467" s="92">
        <f>+Details!AA467-Base!AA467</f>
        <v>0</v>
      </c>
      <c r="BU467" s="92">
        <f>+Details!AB467-Base!AB467</f>
        <v>0</v>
      </c>
      <c r="BV467" s="92">
        <f>+Details!AC467-Base!AC467</f>
        <v>0</v>
      </c>
      <c r="BW467" s="92">
        <f>+Details!AD467-Base!AD467</f>
        <v>0</v>
      </c>
      <c r="BX467" s="92">
        <f>+Details!AE467-Base!AE467</f>
        <v>0</v>
      </c>
      <c r="BY467" s="92">
        <f>+Details!AF467-Base!AF467</f>
        <v>0</v>
      </c>
      <c r="BZ467" s="92">
        <f>+Details!AG467-Base!AG467</f>
        <v>0</v>
      </c>
      <c r="CA467" s="92">
        <f>+Details!AH467-Base!AH467</f>
        <v>0</v>
      </c>
      <c r="CB467" s="92">
        <f>+Details!AI467-Base!AI467</f>
        <v>0</v>
      </c>
      <c r="CC467" s="92">
        <f>+Details!AJ467-Base!AJ467</f>
        <v>0</v>
      </c>
      <c r="CD467" s="92">
        <f>+Details!AK467-Base!AK467</f>
        <v>0</v>
      </c>
      <c r="CE467" s="92">
        <f>+Details!AL467-Base!AL467</f>
        <v>0</v>
      </c>
      <c r="CF467" s="92">
        <f>+Details!AM467-Base!AM467</f>
        <v>0</v>
      </c>
      <c r="CG467" s="92">
        <f>+Details!AN467-Base!AN467</f>
        <v>0</v>
      </c>
      <c r="CH467" s="92">
        <f>+Details!AO467-Base!AO467</f>
        <v>0</v>
      </c>
      <c r="CI467" s="92">
        <f>+Details!AP467-Base!AP467</f>
        <v>0</v>
      </c>
      <c r="CJ467" s="92">
        <f>+Details!AQ467-Base!AQ467</f>
        <v>0</v>
      </c>
      <c r="CK467" s="92">
        <f>+Details!AR467-Base!AR467</f>
        <v>0</v>
      </c>
      <c r="CL467" s="92">
        <f>+Details!AS467-Base!AS467</f>
        <v>0</v>
      </c>
    </row>
    <row r="468" spans="2:90">
      <c r="B468" s="43" t="s">
        <v>421</v>
      </c>
      <c r="C468" s="136"/>
      <c r="E468" s="65">
        <f t="shared" si="359"/>
        <v>0</v>
      </c>
      <c r="F468" s="92">
        <f>-F134</f>
        <v>0</v>
      </c>
      <c r="G468" s="92">
        <f>-G134</f>
        <v>0</v>
      </c>
      <c r="H468" s="92">
        <f>-H134</f>
        <v>0</v>
      </c>
      <c r="I468" s="92">
        <f>-I134</f>
        <v>0</v>
      </c>
      <c r="J468" s="92">
        <f>-J134</f>
        <v>0</v>
      </c>
      <c r="K468" s="92">
        <f t="shared" ref="K468:AS468" si="378">-K134</f>
        <v>0</v>
      </c>
      <c r="L468" s="92">
        <f t="shared" si="378"/>
        <v>0</v>
      </c>
      <c r="M468" s="92">
        <f t="shared" si="378"/>
        <v>0</v>
      </c>
      <c r="N468" s="92">
        <f t="shared" si="378"/>
        <v>0</v>
      </c>
      <c r="O468" s="92">
        <f t="shared" si="378"/>
        <v>0</v>
      </c>
      <c r="P468" s="92">
        <f t="shared" si="378"/>
        <v>0</v>
      </c>
      <c r="Q468" s="92">
        <f t="shared" si="378"/>
        <v>0</v>
      </c>
      <c r="R468" s="92">
        <f t="shared" si="378"/>
        <v>0</v>
      </c>
      <c r="S468" s="92">
        <f t="shared" si="378"/>
        <v>0</v>
      </c>
      <c r="T468" s="92">
        <f t="shared" si="378"/>
        <v>0</v>
      </c>
      <c r="U468" s="92">
        <f t="shared" si="378"/>
        <v>0</v>
      </c>
      <c r="V468" s="92">
        <f t="shared" si="378"/>
        <v>0</v>
      </c>
      <c r="W468" s="92">
        <f t="shared" si="378"/>
        <v>0</v>
      </c>
      <c r="X468" s="92">
        <f t="shared" si="378"/>
        <v>0</v>
      </c>
      <c r="Y468" s="92">
        <f t="shared" si="378"/>
        <v>0</v>
      </c>
      <c r="Z468" s="92">
        <f t="shared" si="378"/>
        <v>0</v>
      </c>
      <c r="AA468" s="92">
        <f t="shared" si="378"/>
        <v>0</v>
      </c>
      <c r="AB468" s="92">
        <f t="shared" si="378"/>
        <v>0</v>
      </c>
      <c r="AC468" s="92">
        <f t="shared" si="378"/>
        <v>0</v>
      </c>
      <c r="AD468" s="92">
        <f t="shared" si="378"/>
        <v>0</v>
      </c>
      <c r="AE468" s="92">
        <f t="shared" si="378"/>
        <v>0</v>
      </c>
      <c r="AF468" s="92">
        <f t="shared" si="378"/>
        <v>0</v>
      </c>
      <c r="AG468" s="92">
        <f t="shared" si="378"/>
        <v>0</v>
      </c>
      <c r="AH468" s="92">
        <f t="shared" si="378"/>
        <v>0</v>
      </c>
      <c r="AI468" s="92">
        <f t="shared" si="378"/>
        <v>0</v>
      </c>
      <c r="AJ468" s="92">
        <f t="shared" si="378"/>
        <v>0</v>
      </c>
      <c r="AK468" s="92">
        <f t="shared" si="378"/>
        <v>0</v>
      </c>
      <c r="AL468" s="92">
        <f t="shared" si="378"/>
        <v>0</v>
      </c>
      <c r="AM468" s="92">
        <f t="shared" si="378"/>
        <v>0</v>
      </c>
      <c r="AN468" s="92">
        <f t="shared" si="378"/>
        <v>0</v>
      </c>
      <c r="AO468" s="92">
        <f t="shared" si="378"/>
        <v>0</v>
      </c>
      <c r="AP468" s="92">
        <f t="shared" si="378"/>
        <v>0</v>
      </c>
      <c r="AQ468" s="92">
        <f t="shared" si="378"/>
        <v>0</v>
      </c>
      <c r="AR468" s="92">
        <f t="shared" si="378"/>
        <v>0</v>
      </c>
      <c r="AS468" s="92">
        <f t="shared" si="378"/>
        <v>0</v>
      </c>
      <c r="AW468" s="191"/>
      <c r="AY468" s="31">
        <f>+Details!F468-Base!F468</f>
        <v>0</v>
      </c>
      <c r="AZ468" s="92">
        <f>+Details!G468-Base!G468</f>
        <v>0</v>
      </c>
      <c r="BA468" s="92">
        <f>+Details!H468-Base!H468</f>
        <v>0</v>
      </c>
      <c r="BB468" s="92">
        <f>+Details!I468-Base!I468</f>
        <v>0</v>
      </c>
      <c r="BC468" s="92">
        <f>+Details!J468-Base!J468</f>
        <v>0</v>
      </c>
      <c r="BD468" s="92">
        <f>+Details!K468-Base!K468</f>
        <v>0</v>
      </c>
      <c r="BE468" s="92">
        <f>+Details!L468-Base!L468</f>
        <v>0</v>
      </c>
      <c r="BF468" s="92">
        <f>+Details!M468-Base!M468</f>
        <v>0</v>
      </c>
      <c r="BG468" s="92">
        <f>+Details!N468-Base!N468</f>
        <v>0</v>
      </c>
      <c r="BH468" s="92">
        <f>+Details!O468-Base!O468</f>
        <v>0</v>
      </c>
      <c r="BI468" s="92">
        <f>+Details!P468-Base!P468</f>
        <v>0</v>
      </c>
      <c r="BJ468" s="92">
        <f>+Details!Q468-Base!Q468</f>
        <v>0</v>
      </c>
      <c r="BK468" s="92">
        <f>+Details!R468-Base!R468</f>
        <v>0</v>
      </c>
      <c r="BL468" s="92">
        <f>+Details!S468-Base!S468</f>
        <v>0</v>
      </c>
      <c r="BM468" s="92">
        <f>+Details!T468-Base!T468</f>
        <v>0</v>
      </c>
      <c r="BN468" s="92">
        <f>+Details!U468-Base!U468</f>
        <v>0</v>
      </c>
      <c r="BO468" s="92">
        <f>+Details!V468-Base!V468</f>
        <v>0</v>
      </c>
      <c r="BP468" s="92">
        <f>+Details!W468-Base!W468</f>
        <v>0</v>
      </c>
      <c r="BQ468" s="92">
        <f>+Details!X468-Base!X468</f>
        <v>0</v>
      </c>
      <c r="BR468" s="92">
        <f>+Details!Y468-Base!Y468</f>
        <v>0</v>
      </c>
      <c r="BS468" s="92">
        <f>+Details!Z468-Base!Z468</f>
        <v>0</v>
      </c>
      <c r="BT468" s="92">
        <f>+Details!AA468-Base!AA468</f>
        <v>0</v>
      </c>
      <c r="BU468" s="92">
        <f>+Details!AB468-Base!AB468</f>
        <v>0</v>
      </c>
      <c r="BV468" s="92">
        <f>+Details!AC468-Base!AC468</f>
        <v>0</v>
      </c>
      <c r="BW468" s="92">
        <f>+Details!AD468-Base!AD468</f>
        <v>0</v>
      </c>
      <c r="BX468" s="92">
        <f>+Details!AE468-Base!AE468</f>
        <v>0</v>
      </c>
      <c r="BY468" s="92">
        <f>+Details!AF468-Base!AF468</f>
        <v>0</v>
      </c>
      <c r="BZ468" s="92">
        <f>+Details!AG468-Base!AG468</f>
        <v>0</v>
      </c>
      <c r="CA468" s="92">
        <f>+Details!AH468-Base!AH468</f>
        <v>0</v>
      </c>
      <c r="CB468" s="92">
        <f>+Details!AI468-Base!AI468</f>
        <v>0</v>
      </c>
      <c r="CC468" s="92">
        <f>+Details!AJ468-Base!AJ468</f>
        <v>0</v>
      </c>
      <c r="CD468" s="92">
        <f>+Details!AK468-Base!AK468</f>
        <v>0</v>
      </c>
      <c r="CE468" s="92">
        <f>+Details!AL468-Base!AL468</f>
        <v>0</v>
      </c>
      <c r="CF468" s="92">
        <f>+Details!AM468-Base!AM468</f>
        <v>0</v>
      </c>
      <c r="CG468" s="92">
        <f>+Details!AN468-Base!AN468</f>
        <v>0</v>
      </c>
      <c r="CH468" s="92">
        <f>+Details!AO468-Base!AO468</f>
        <v>0</v>
      </c>
      <c r="CI468" s="92">
        <f>+Details!AP468-Base!AP468</f>
        <v>0</v>
      </c>
      <c r="CJ468" s="92">
        <f>+Details!AQ468-Base!AQ468</f>
        <v>0</v>
      </c>
      <c r="CK468" s="92">
        <f>+Details!AR468-Base!AR468</f>
        <v>0</v>
      </c>
      <c r="CL468" s="92">
        <f>+Details!AS468-Base!AS468</f>
        <v>0</v>
      </c>
    </row>
    <row r="469" spans="2:90">
      <c r="B469" s="43" t="s">
        <v>1499</v>
      </c>
      <c r="C469" s="136"/>
      <c r="E469" s="65">
        <f t="shared" si="359"/>
        <v>0</v>
      </c>
      <c r="F469" s="92">
        <f>-F135</f>
        <v>0</v>
      </c>
      <c r="G469" s="92">
        <f t="shared" ref="G469:AS469" si="379">-G135</f>
        <v>0</v>
      </c>
      <c r="H469" s="92">
        <f t="shared" si="379"/>
        <v>0</v>
      </c>
      <c r="I469" s="92">
        <f t="shared" si="379"/>
        <v>0</v>
      </c>
      <c r="J469" s="92">
        <f t="shared" si="379"/>
        <v>0</v>
      </c>
      <c r="K469" s="92">
        <f t="shared" si="379"/>
        <v>0</v>
      </c>
      <c r="L469" s="92">
        <f t="shared" si="379"/>
        <v>0</v>
      </c>
      <c r="M469" s="92">
        <f t="shared" si="379"/>
        <v>0</v>
      </c>
      <c r="N469" s="92">
        <f t="shared" si="379"/>
        <v>0</v>
      </c>
      <c r="O469" s="92">
        <f t="shared" si="379"/>
        <v>0</v>
      </c>
      <c r="P469" s="92">
        <f t="shared" si="379"/>
        <v>0</v>
      </c>
      <c r="Q469" s="92">
        <f t="shared" si="379"/>
        <v>0</v>
      </c>
      <c r="R469" s="92">
        <f t="shared" si="379"/>
        <v>0</v>
      </c>
      <c r="S469" s="92">
        <f t="shared" si="379"/>
        <v>0</v>
      </c>
      <c r="T469" s="92">
        <f t="shared" si="379"/>
        <v>0</v>
      </c>
      <c r="U469" s="92">
        <f t="shared" si="379"/>
        <v>0</v>
      </c>
      <c r="V469" s="92">
        <f t="shared" si="379"/>
        <v>0</v>
      </c>
      <c r="W469" s="92">
        <f t="shared" si="379"/>
        <v>0</v>
      </c>
      <c r="X469" s="92">
        <f t="shared" si="379"/>
        <v>0</v>
      </c>
      <c r="Y469" s="92">
        <f t="shared" si="379"/>
        <v>0</v>
      </c>
      <c r="Z469" s="92">
        <f t="shared" si="379"/>
        <v>0</v>
      </c>
      <c r="AA469" s="92">
        <f t="shared" si="379"/>
        <v>0</v>
      </c>
      <c r="AB469" s="92">
        <f t="shared" si="379"/>
        <v>0</v>
      </c>
      <c r="AC469" s="92">
        <f t="shared" si="379"/>
        <v>0</v>
      </c>
      <c r="AD469" s="92">
        <f t="shared" si="379"/>
        <v>0</v>
      </c>
      <c r="AE469" s="92">
        <f t="shared" si="379"/>
        <v>0</v>
      </c>
      <c r="AF469" s="92">
        <f t="shared" si="379"/>
        <v>0</v>
      </c>
      <c r="AG469" s="92">
        <f t="shared" si="379"/>
        <v>0</v>
      </c>
      <c r="AH469" s="92">
        <f t="shared" si="379"/>
        <v>0</v>
      </c>
      <c r="AI469" s="92">
        <f t="shared" si="379"/>
        <v>0</v>
      </c>
      <c r="AJ469" s="92">
        <f t="shared" si="379"/>
        <v>0</v>
      </c>
      <c r="AK469" s="92">
        <f t="shared" si="379"/>
        <v>0</v>
      </c>
      <c r="AL469" s="92">
        <f t="shared" si="379"/>
        <v>0</v>
      </c>
      <c r="AM469" s="92">
        <f t="shared" si="379"/>
        <v>0</v>
      </c>
      <c r="AN469" s="92">
        <f t="shared" si="379"/>
        <v>0</v>
      </c>
      <c r="AO469" s="92">
        <f t="shared" si="379"/>
        <v>0</v>
      </c>
      <c r="AP469" s="92">
        <f t="shared" si="379"/>
        <v>0</v>
      </c>
      <c r="AQ469" s="92">
        <f t="shared" si="379"/>
        <v>0</v>
      </c>
      <c r="AR469" s="92">
        <f t="shared" si="379"/>
        <v>0</v>
      </c>
      <c r="AS469" s="92">
        <f t="shared" si="379"/>
        <v>0</v>
      </c>
      <c r="AW469" s="191"/>
      <c r="AY469" s="31">
        <f>+Details!F469-Base!F469</f>
        <v>0</v>
      </c>
      <c r="AZ469" s="92">
        <f>+Details!G469-Base!G469</f>
        <v>0</v>
      </c>
      <c r="BA469" s="92">
        <f>+Details!H469-Base!H469</f>
        <v>0</v>
      </c>
      <c r="BB469" s="92">
        <f>+Details!I469-Base!I469</f>
        <v>0</v>
      </c>
      <c r="BC469" s="92">
        <f>+Details!J469-Base!J469</f>
        <v>0</v>
      </c>
      <c r="BD469" s="92">
        <f>+Details!K469-Base!K469</f>
        <v>0</v>
      </c>
      <c r="BE469" s="92">
        <f>+Details!L469-Base!L469</f>
        <v>0</v>
      </c>
      <c r="BF469" s="92">
        <f>+Details!M469-Base!M469</f>
        <v>0</v>
      </c>
      <c r="BG469" s="92">
        <f>+Details!N469-Base!N469</f>
        <v>0</v>
      </c>
      <c r="BH469" s="92">
        <f>+Details!O469-Base!O469</f>
        <v>0</v>
      </c>
      <c r="BI469" s="92">
        <f>+Details!P469-Base!P469</f>
        <v>0</v>
      </c>
      <c r="BJ469" s="92">
        <f>+Details!Q469-Base!Q469</f>
        <v>0</v>
      </c>
      <c r="BK469" s="92">
        <f>+Details!R469-Base!R469</f>
        <v>0</v>
      </c>
      <c r="BL469" s="92">
        <f>+Details!S469-Base!S469</f>
        <v>0</v>
      </c>
      <c r="BM469" s="92">
        <f>+Details!T469-Base!T469</f>
        <v>0</v>
      </c>
      <c r="BN469" s="92">
        <f>+Details!U469-Base!U469</f>
        <v>0</v>
      </c>
      <c r="BO469" s="92">
        <f>+Details!V469-Base!V469</f>
        <v>0</v>
      </c>
      <c r="BP469" s="92">
        <f>+Details!W469-Base!W469</f>
        <v>0</v>
      </c>
      <c r="BQ469" s="92">
        <f>+Details!X469-Base!X469</f>
        <v>0</v>
      </c>
      <c r="BR469" s="92">
        <f>+Details!Y469-Base!Y469</f>
        <v>0</v>
      </c>
      <c r="BS469" s="92">
        <f>+Details!Z469-Base!Z469</f>
        <v>0</v>
      </c>
      <c r="BT469" s="92">
        <f>+Details!AA469-Base!AA469</f>
        <v>0</v>
      </c>
      <c r="BU469" s="92">
        <f>+Details!AB469-Base!AB469</f>
        <v>0</v>
      </c>
      <c r="BV469" s="92">
        <f>+Details!AC469-Base!AC469</f>
        <v>0</v>
      </c>
      <c r="BW469" s="92">
        <f>+Details!AD469-Base!AD469</f>
        <v>0</v>
      </c>
      <c r="BX469" s="92">
        <f>+Details!AE469-Base!AE469</f>
        <v>0</v>
      </c>
      <c r="BY469" s="92">
        <f>+Details!AF469-Base!AF469</f>
        <v>0</v>
      </c>
      <c r="BZ469" s="92">
        <f>+Details!AG469-Base!AG469</f>
        <v>0</v>
      </c>
      <c r="CA469" s="92">
        <f>+Details!AH469-Base!AH469</f>
        <v>0</v>
      </c>
      <c r="CB469" s="92">
        <f>+Details!AI469-Base!AI469</f>
        <v>0</v>
      </c>
      <c r="CC469" s="92">
        <f>+Details!AJ469-Base!AJ469</f>
        <v>0</v>
      </c>
      <c r="CD469" s="92">
        <f>+Details!AK469-Base!AK469</f>
        <v>0</v>
      </c>
      <c r="CE469" s="92">
        <f>+Details!AL469-Base!AL469</f>
        <v>0</v>
      </c>
      <c r="CF469" s="92">
        <f>+Details!AM469-Base!AM469</f>
        <v>0</v>
      </c>
      <c r="CG469" s="92">
        <f>+Details!AN469-Base!AN469</f>
        <v>0</v>
      </c>
      <c r="CH469" s="92">
        <f>+Details!AO469-Base!AO469</f>
        <v>0</v>
      </c>
      <c r="CI469" s="92">
        <f>+Details!AP469-Base!AP469</f>
        <v>0</v>
      </c>
      <c r="CJ469" s="92">
        <f>+Details!AQ469-Base!AQ469</f>
        <v>0</v>
      </c>
      <c r="CK469" s="92">
        <f>+Details!AR469-Base!AR469</f>
        <v>0</v>
      </c>
      <c r="CL469" s="92">
        <f>+Details!AS469-Base!AS469</f>
        <v>0</v>
      </c>
    </row>
    <row r="470" spans="2:90">
      <c r="B470" s="43" t="s">
        <v>535</v>
      </c>
      <c r="C470" s="136"/>
      <c r="E470" s="65">
        <f t="shared" si="359"/>
        <v>300000</v>
      </c>
      <c r="F470" s="92">
        <f t="shared" ref="F470:AS470" si="380">+F85+F137</f>
        <v>0</v>
      </c>
      <c r="G470" s="92">
        <f t="shared" si="380"/>
        <v>0</v>
      </c>
      <c r="H470" s="92">
        <f t="shared" si="380"/>
        <v>0</v>
      </c>
      <c r="I470" s="92">
        <f t="shared" si="380"/>
        <v>0</v>
      </c>
      <c r="J470" s="92">
        <f t="shared" si="380"/>
        <v>0</v>
      </c>
      <c r="K470" s="92">
        <f t="shared" si="380"/>
        <v>0</v>
      </c>
      <c r="L470" s="92">
        <f t="shared" si="380"/>
        <v>0</v>
      </c>
      <c r="M470" s="92">
        <f t="shared" si="380"/>
        <v>0</v>
      </c>
      <c r="N470" s="92">
        <f t="shared" si="380"/>
        <v>0</v>
      </c>
      <c r="O470" s="92">
        <f t="shared" si="380"/>
        <v>-15000</v>
      </c>
      <c r="P470" s="92">
        <f t="shared" si="380"/>
        <v>-95000</v>
      </c>
      <c r="Q470" s="92">
        <f t="shared" si="380"/>
        <v>25000</v>
      </c>
      <c r="R470" s="92">
        <f t="shared" si="380"/>
        <v>-35000</v>
      </c>
      <c r="S470" s="92">
        <f t="shared" si="380"/>
        <v>-15000</v>
      </c>
      <c r="T470" s="92">
        <f t="shared" si="380"/>
        <v>-100000</v>
      </c>
      <c r="U470" s="92">
        <f t="shared" si="380"/>
        <v>60000</v>
      </c>
      <c r="V470" s="92">
        <f t="shared" si="380"/>
        <v>0</v>
      </c>
      <c r="W470" s="92">
        <f t="shared" si="380"/>
        <v>0</v>
      </c>
      <c r="X470" s="92">
        <f t="shared" si="380"/>
        <v>-5000</v>
      </c>
      <c r="Y470" s="92">
        <f t="shared" si="380"/>
        <v>-5000</v>
      </c>
      <c r="Z470" s="92">
        <f t="shared" si="380"/>
        <v>-5000</v>
      </c>
      <c r="AA470" s="92">
        <f t="shared" si="380"/>
        <v>-5000</v>
      </c>
      <c r="AB470" s="92">
        <f t="shared" si="380"/>
        <v>395000</v>
      </c>
      <c r="AC470" s="92">
        <f t="shared" si="380"/>
        <v>0</v>
      </c>
      <c r="AD470" s="92">
        <f t="shared" si="380"/>
        <v>100000</v>
      </c>
      <c r="AE470" s="92">
        <f t="shared" si="380"/>
        <v>0</v>
      </c>
      <c r="AF470" s="92">
        <f t="shared" si="380"/>
        <v>0</v>
      </c>
      <c r="AG470" s="92">
        <f t="shared" si="380"/>
        <v>0</v>
      </c>
      <c r="AH470" s="92">
        <f t="shared" si="380"/>
        <v>0</v>
      </c>
      <c r="AI470" s="92">
        <f t="shared" si="380"/>
        <v>0</v>
      </c>
      <c r="AJ470" s="92">
        <f t="shared" si="380"/>
        <v>0</v>
      </c>
      <c r="AK470" s="92">
        <f t="shared" si="380"/>
        <v>0</v>
      </c>
      <c r="AL470" s="92">
        <f t="shared" si="380"/>
        <v>0</v>
      </c>
      <c r="AM470" s="92">
        <f t="shared" si="380"/>
        <v>0</v>
      </c>
      <c r="AN470" s="92">
        <f t="shared" si="380"/>
        <v>0</v>
      </c>
      <c r="AO470" s="92">
        <f t="shared" si="380"/>
        <v>0</v>
      </c>
      <c r="AP470" s="92">
        <f t="shared" si="380"/>
        <v>0</v>
      </c>
      <c r="AQ470" s="92">
        <f t="shared" si="380"/>
        <v>0</v>
      </c>
      <c r="AR470" s="92">
        <f t="shared" si="380"/>
        <v>0</v>
      </c>
      <c r="AS470" s="92">
        <f t="shared" si="380"/>
        <v>0</v>
      </c>
      <c r="AW470" s="191"/>
      <c r="AY470" s="31">
        <f>+Details!F470-Base!F470</f>
        <v>0</v>
      </c>
      <c r="AZ470" s="92">
        <f>+Details!G470-Base!G470</f>
        <v>0</v>
      </c>
      <c r="BA470" s="92">
        <f>+Details!H470-Base!H470</f>
        <v>0</v>
      </c>
      <c r="BB470" s="92">
        <f>+Details!I470-Base!I470</f>
        <v>0</v>
      </c>
      <c r="BC470" s="92">
        <f>+Details!J470-Base!J470</f>
        <v>0</v>
      </c>
      <c r="BD470" s="92">
        <f>+Details!K470-Base!K470</f>
        <v>0</v>
      </c>
      <c r="BE470" s="92">
        <f>+Details!L470-Base!L470</f>
        <v>0</v>
      </c>
      <c r="BF470" s="92">
        <f>+Details!M470-Base!M470</f>
        <v>0</v>
      </c>
      <c r="BG470" s="92">
        <f>+Details!N470-Base!N470</f>
        <v>0</v>
      </c>
      <c r="BH470" s="92">
        <f>+Details!O470-Base!O470</f>
        <v>0</v>
      </c>
      <c r="BI470" s="92">
        <f>+Details!P470-Base!P470</f>
        <v>0</v>
      </c>
      <c r="BJ470" s="92">
        <f>+Details!Q470-Base!Q470</f>
        <v>0</v>
      </c>
      <c r="BK470" s="92">
        <f>+Details!R470-Base!R470</f>
        <v>0</v>
      </c>
      <c r="BL470" s="92">
        <f>+Details!S470-Base!S470</f>
        <v>0</v>
      </c>
      <c r="BM470" s="92">
        <f>+Details!T470-Base!T470</f>
        <v>0</v>
      </c>
      <c r="BN470" s="92">
        <f>+Details!U470-Base!U470</f>
        <v>0</v>
      </c>
      <c r="BO470" s="92">
        <f>+Details!V470-Base!V470</f>
        <v>0</v>
      </c>
      <c r="BP470" s="92">
        <f>+Details!W470-Base!W470</f>
        <v>0</v>
      </c>
      <c r="BQ470" s="92">
        <f>+Details!X470-Base!X470</f>
        <v>0</v>
      </c>
      <c r="BR470" s="92">
        <f>+Details!Y470-Base!Y470</f>
        <v>0</v>
      </c>
      <c r="BS470" s="92">
        <f>+Details!Z470-Base!Z470</f>
        <v>0</v>
      </c>
      <c r="BT470" s="92">
        <f>+Details!AA470-Base!AA470</f>
        <v>0</v>
      </c>
      <c r="BU470" s="92">
        <f>+Details!AB470-Base!AB470</f>
        <v>0</v>
      </c>
      <c r="BV470" s="92">
        <f>+Details!AC470-Base!AC470</f>
        <v>0</v>
      </c>
      <c r="BW470" s="92">
        <f>+Details!AD470-Base!AD470</f>
        <v>0</v>
      </c>
      <c r="BX470" s="92">
        <f>+Details!AE470-Base!AE470</f>
        <v>0</v>
      </c>
      <c r="BY470" s="92">
        <f>+Details!AF470-Base!AF470</f>
        <v>0</v>
      </c>
      <c r="BZ470" s="92">
        <f>+Details!AG470-Base!AG470</f>
        <v>0</v>
      </c>
      <c r="CA470" s="92">
        <f>+Details!AH470-Base!AH470</f>
        <v>0</v>
      </c>
      <c r="CB470" s="92">
        <f>+Details!AI470-Base!AI470</f>
        <v>0</v>
      </c>
      <c r="CC470" s="92">
        <f>+Details!AJ470-Base!AJ470</f>
        <v>0</v>
      </c>
      <c r="CD470" s="92">
        <f>+Details!AK470-Base!AK470</f>
        <v>0</v>
      </c>
      <c r="CE470" s="92">
        <f>+Details!AL470-Base!AL470</f>
        <v>0</v>
      </c>
      <c r="CF470" s="92">
        <f>+Details!AM470-Base!AM470</f>
        <v>0</v>
      </c>
      <c r="CG470" s="92">
        <f>+Details!AN470-Base!AN470</f>
        <v>0</v>
      </c>
      <c r="CH470" s="92">
        <f>+Details!AO470-Base!AO470</f>
        <v>0</v>
      </c>
      <c r="CI470" s="92">
        <f>+Details!AP470-Base!AP470</f>
        <v>0</v>
      </c>
      <c r="CJ470" s="92">
        <f>+Details!AQ470-Base!AQ470</f>
        <v>0</v>
      </c>
      <c r="CK470" s="92">
        <f>+Details!AR470-Base!AR470</f>
        <v>0</v>
      </c>
      <c r="CL470" s="92">
        <f>+Details!AS470-Base!AS470</f>
        <v>0</v>
      </c>
    </row>
    <row r="471" spans="2:90">
      <c r="B471" s="43" t="s">
        <v>1132</v>
      </c>
      <c r="C471" s="136"/>
      <c r="E471" s="635">
        <f t="shared" si="359"/>
        <v>-3104300</v>
      </c>
      <c r="F471" s="566">
        <f>-F144</f>
        <v>-70000</v>
      </c>
      <c r="G471" s="566">
        <f>-G144</f>
        <v>-71400</v>
      </c>
      <c r="H471" s="566">
        <f>-H144</f>
        <v>-72800</v>
      </c>
      <c r="I471" s="566">
        <f>-I144</f>
        <v>-74300</v>
      </c>
      <c r="J471" s="566">
        <f>-J144</f>
        <v>-75800</v>
      </c>
      <c r="K471" s="566">
        <f t="shared" ref="K471:AS471" si="381">-K144</f>
        <v>-77300</v>
      </c>
      <c r="L471" s="566">
        <f t="shared" si="381"/>
        <v>-78800</v>
      </c>
      <c r="M471" s="566">
        <f t="shared" si="381"/>
        <v>-80400</v>
      </c>
      <c r="N471" s="566">
        <f t="shared" si="381"/>
        <v>-82000</v>
      </c>
      <c r="O471" s="566">
        <f t="shared" si="381"/>
        <v>-83600</v>
      </c>
      <c r="P471" s="566">
        <f t="shared" si="381"/>
        <v>-85300</v>
      </c>
      <c r="Q471" s="566">
        <f t="shared" si="381"/>
        <v>-87000</v>
      </c>
      <c r="R471" s="566">
        <f t="shared" si="381"/>
        <v>-88700</v>
      </c>
      <c r="S471" s="566">
        <f t="shared" si="381"/>
        <v>-90500</v>
      </c>
      <c r="T471" s="566">
        <f t="shared" si="381"/>
        <v>-92300</v>
      </c>
      <c r="U471" s="566">
        <f t="shared" si="381"/>
        <v>-94100</v>
      </c>
      <c r="V471" s="566">
        <f t="shared" si="381"/>
        <v>-96000</v>
      </c>
      <c r="W471" s="566">
        <f t="shared" si="381"/>
        <v>-97900</v>
      </c>
      <c r="X471" s="566">
        <f t="shared" si="381"/>
        <v>-119800</v>
      </c>
      <c r="Y471" s="566">
        <f t="shared" si="381"/>
        <v>-122200</v>
      </c>
      <c r="Z471" s="566">
        <f t="shared" si="381"/>
        <v>-124600</v>
      </c>
      <c r="AA471" s="566">
        <f t="shared" si="381"/>
        <v>-127100</v>
      </c>
      <c r="AB471" s="566">
        <f t="shared" si="381"/>
        <v>-129600</v>
      </c>
      <c r="AC471" s="566">
        <f t="shared" si="381"/>
        <v>-132200</v>
      </c>
      <c r="AD471" s="566">
        <f t="shared" si="381"/>
        <v>-134800</v>
      </c>
      <c r="AE471" s="566">
        <f t="shared" si="381"/>
        <v>-137500</v>
      </c>
      <c r="AF471" s="566">
        <f t="shared" si="381"/>
        <v>-140300</v>
      </c>
      <c r="AG471" s="566">
        <f t="shared" si="381"/>
        <v>-143100</v>
      </c>
      <c r="AH471" s="566">
        <f t="shared" si="381"/>
        <v>-146000</v>
      </c>
      <c r="AI471" s="566">
        <f t="shared" si="381"/>
        <v>-148900</v>
      </c>
      <c r="AJ471" s="566">
        <f t="shared" si="381"/>
        <v>0</v>
      </c>
      <c r="AK471" s="566">
        <f t="shared" si="381"/>
        <v>0</v>
      </c>
      <c r="AL471" s="566">
        <f t="shared" si="381"/>
        <v>0</v>
      </c>
      <c r="AM471" s="566">
        <f t="shared" si="381"/>
        <v>0</v>
      </c>
      <c r="AN471" s="566">
        <f t="shared" si="381"/>
        <v>0</v>
      </c>
      <c r="AO471" s="566">
        <f t="shared" si="381"/>
        <v>0</v>
      </c>
      <c r="AP471" s="566">
        <f t="shared" si="381"/>
        <v>0</v>
      </c>
      <c r="AQ471" s="566">
        <f t="shared" si="381"/>
        <v>0</v>
      </c>
      <c r="AR471" s="566">
        <f t="shared" si="381"/>
        <v>0</v>
      </c>
      <c r="AS471" s="566">
        <f t="shared" si="381"/>
        <v>0</v>
      </c>
      <c r="AW471" s="191"/>
      <c r="AY471" s="38">
        <f>+Details!F471-Base!F471</f>
        <v>0</v>
      </c>
      <c r="AZ471" s="566">
        <f>+Details!G471-Base!G471</f>
        <v>0</v>
      </c>
      <c r="BA471" s="566">
        <f>+Details!H471-Base!H471</f>
        <v>0</v>
      </c>
      <c r="BB471" s="566">
        <f>+Details!I471-Base!I471</f>
        <v>0</v>
      </c>
      <c r="BC471" s="566">
        <f>+Details!J471-Base!J471</f>
        <v>0</v>
      </c>
      <c r="BD471" s="566">
        <f>+Details!K471-Base!K471</f>
        <v>0</v>
      </c>
      <c r="BE471" s="566">
        <f>+Details!L471-Base!L471</f>
        <v>0</v>
      </c>
      <c r="BF471" s="566">
        <f>+Details!M471-Base!M471</f>
        <v>0</v>
      </c>
      <c r="BG471" s="566">
        <f>+Details!N471-Base!N471</f>
        <v>0</v>
      </c>
      <c r="BH471" s="566">
        <f>+Details!O471-Base!O471</f>
        <v>0</v>
      </c>
      <c r="BI471" s="566">
        <f>+Details!P471-Base!P471</f>
        <v>0</v>
      </c>
      <c r="BJ471" s="566">
        <f>+Details!Q471-Base!Q471</f>
        <v>0</v>
      </c>
      <c r="BK471" s="566">
        <f>+Details!R471-Base!R471</f>
        <v>0</v>
      </c>
      <c r="BL471" s="566">
        <f>+Details!S471-Base!S471</f>
        <v>0</v>
      </c>
      <c r="BM471" s="566">
        <f>+Details!T471-Base!T471</f>
        <v>0</v>
      </c>
      <c r="BN471" s="566">
        <f>+Details!U471-Base!U471</f>
        <v>0</v>
      </c>
      <c r="BO471" s="566">
        <f>+Details!V471-Base!V471</f>
        <v>0</v>
      </c>
      <c r="BP471" s="566">
        <f>+Details!W471-Base!W471</f>
        <v>0</v>
      </c>
      <c r="BQ471" s="566">
        <f>+Details!X471-Base!X471</f>
        <v>0</v>
      </c>
      <c r="BR471" s="566">
        <f>+Details!Y471-Base!Y471</f>
        <v>0</v>
      </c>
      <c r="BS471" s="566">
        <f>+Details!Z471-Base!Z471</f>
        <v>0</v>
      </c>
      <c r="BT471" s="566">
        <f>+Details!AA471-Base!AA471</f>
        <v>0</v>
      </c>
      <c r="BU471" s="566">
        <f>+Details!AB471-Base!AB471</f>
        <v>0</v>
      </c>
      <c r="BV471" s="566">
        <f>+Details!AC471-Base!AC471</f>
        <v>0</v>
      </c>
      <c r="BW471" s="566">
        <f>+Details!AD471-Base!AD471</f>
        <v>0</v>
      </c>
      <c r="BX471" s="566">
        <f>+Details!AE471-Base!AE471</f>
        <v>0</v>
      </c>
      <c r="BY471" s="566">
        <f>+Details!AF471-Base!AF471</f>
        <v>0</v>
      </c>
      <c r="BZ471" s="566">
        <f>+Details!AG471-Base!AG471</f>
        <v>0</v>
      </c>
      <c r="CA471" s="566">
        <f>+Details!AH471-Base!AH471</f>
        <v>0</v>
      </c>
      <c r="CB471" s="566">
        <f>+Details!AI471-Base!AI471</f>
        <v>0</v>
      </c>
      <c r="CC471" s="566">
        <f>+Details!AJ471-Base!AJ471</f>
        <v>0</v>
      </c>
      <c r="CD471" s="566">
        <f>+Details!AK471-Base!AK471</f>
        <v>0</v>
      </c>
      <c r="CE471" s="566">
        <f>+Details!AL471-Base!AL471</f>
        <v>0</v>
      </c>
      <c r="CF471" s="566">
        <f>+Details!AM471-Base!AM471</f>
        <v>0</v>
      </c>
      <c r="CG471" s="566">
        <f>+Details!AN471-Base!AN471</f>
        <v>0</v>
      </c>
      <c r="CH471" s="566">
        <f>+Details!AO471-Base!AO471</f>
        <v>0</v>
      </c>
      <c r="CI471" s="566">
        <f>+Details!AP471-Base!AP471</f>
        <v>0</v>
      </c>
      <c r="CJ471" s="566">
        <f>+Details!AQ471-Base!AQ471</f>
        <v>0</v>
      </c>
      <c r="CK471" s="566">
        <f>+Details!AR471-Base!AR471</f>
        <v>0</v>
      </c>
      <c r="CL471" s="566">
        <f>+Details!AS471-Base!AS471</f>
        <v>0</v>
      </c>
    </row>
    <row r="472" spans="2:90">
      <c r="B472" s="43" t="s">
        <v>290</v>
      </c>
      <c r="C472" s="136"/>
      <c r="E472" s="65">
        <f t="shared" si="359"/>
        <v>958300</v>
      </c>
      <c r="F472" s="135">
        <f>SUM(F451:F471)</f>
        <v>-17500</v>
      </c>
      <c r="G472" s="135">
        <f t="shared" ref="G472:AS472" si="382">SUM(G451:G471)</f>
        <v>-2200</v>
      </c>
      <c r="H472" s="135">
        <f t="shared" si="382"/>
        <v>-16900</v>
      </c>
      <c r="I472" s="135">
        <f t="shared" si="382"/>
        <v>-16500</v>
      </c>
      <c r="J472" s="135">
        <f t="shared" si="382"/>
        <v>-14700</v>
      </c>
      <c r="K472" s="135">
        <f t="shared" si="382"/>
        <v>8100</v>
      </c>
      <c r="L472" s="135">
        <f t="shared" si="382"/>
        <v>9200</v>
      </c>
      <c r="M472" s="135">
        <f t="shared" si="382"/>
        <v>10300</v>
      </c>
      <c r="N472" s="135">
        <f t="shared" si="382"/>
        <v>22200</v>
      </c>
      <c r="O472" s="135">
        <f t="shared" si="382"/>
        <v>29200</v>
      </c>
      <c r="P472" s="135">
        <f t="shared" si="382"/>
        <v>-49700</v>
      </c>
      <c r="Q472" s="135">
        <f t="shared" si="382"/>
        <v>71700</v>
      </c>
      <c r="R472" s="135">
        <f t="shared" si="382"/>
        <v>17400</v>
      </c>
      <c r="S472" s="135">
        <f t="shared" si="382"/>
        <v>39300</v>
      </c>
      <c r="T472" s="135">
        <f t="shared" si="382"/>
        <v>-48500</v>
      </c>
      <c r="U472" s="135">
        <f t="shared" si="382"/>
        <v>117900</v>
      </c>
      <c r="V472" s="135">
        <f t="shared" si="382"/>
        <v>46000</v>
      </c>
      <c r="W472" s="135">
        <f t="shared" si="382"/>
        <v>48200</v>
      </c>
      <c r="X472" s="135">
        <f t="shared" si="382"/>
        <v>22300</v>
      </c>
      <c r="Y472" s="135">
        <f t="shared" si="382"/>
        <v>22700</v>
      </c>
      <c r="Z472" s="135">
        <f t="shared" si="382"/>
        <v>24600</v>
      </c>
      <c r="AA472" s="135">
        <f t="shared" si="382"/>
        <v>26800</v>
      </c>
      <c r="AB472" s="135">
        <f t="shared" si="382"/>
        <v>428900</v>
      </c>
      <c r="AC472" s="135">
        <f t="shared" si="382"/>
        <v>35800</v>
      </c>
      <c r="AD472" s="135">
        <f t="shared" si="382"/>
        <v>111100</v>
      </c>
      <c r="AE472" s="135">
        <f t="shared" si="382"/>
        <v>12700</v>
      </c>
      <c r="AF472" s="135">
        <f t="shared" si="382"/>
        <v>12500</v>
      </c>
      <c r="AG472" s="135">
        <f t="shared" si="382"/>
        <v>3600</v>
      </c>
      <c r="AH472" s="135">
        <f t="shared" si="382"/>
        <v>1900</v>
      </c>
      <c r="AI472" s="135">
        <f t="shared" si="382"/>
        <v>1900</v>
      </c>
      <c r="AJ472" s="135">
        <f t="shared" si="382"/>
        <v>0</v>
      </c>
      <c r="AK472" s="135">
        <f t="shared" si="382"/>
        <v>0</v>
      </c>
      <c r="AL472" s="135">
        <f t="shared" si="382"/>
        <v>0</v>
      </c>
      <c r="AM472" s="135">
        <f t="shared" si="382"/>
        <v>0</v>
      </c>
      <c r="AN472" s="135">
        <f t="shared" si="382"/>
        <v>0</v>
      </c>
      <c r="AO472" s="135">
        <f t="shared" si="382"/>
        <v>0</v>
      </c>
      <c r="AP472" s="135">
        <f t="shared" si="382"/>
        <v>0</v>
      </c>
      <c r="AQ472" s="135">
        <f t="shared" si="382"/>
        <v>0</v>
      </c>
      <c r="AR472" s="135">
        <f t="shared" si="382"/>
        <v>0</v>
      </c>
      <c r="AS472" s="135">
        <f t="shared" si="382"/>
        <v>0</v>
      </c>
      <c r="AW472" s="191"/>
      <c r="AY472" s="31">
        <f>+Details!F472-Base!F472</f>
        <v>0</v>
      </c>
      <c r="AZ472" s="135">
        <f>+Details!G472-Base!G472</f>
        <v>0</v>
      </c>
      <c r="BA472" s="135">
        <f>+Details!H472-Base!H472</f>
        <v>0</v>
      </c>
      <c r="BB472" s="135">
        <f>+Details!I472-Base!I472</f>
        <v>0</v>
      </c>
      <c r="BC472" s="135">
        <f>+Details!J472-Base!J472</f>
        <v>0</v>
      </c>
      <c r="BD472" s="135">
        <f>+Details!K472-Base!K472</f>
        <v>0</v>
      </c>
      <c r="BE472" s="135">
        <f>+Details!L472-Base!L472</f>
        <v>0</v>
      </c>
      <c r="BF472" s="135">
        <f>+Details!M472-Base!M472</f>
        <v>0</v>
      </c>
      <c r="BG472" s="135">
        <f>+Details!N472-Base!N472</f>
        <v>0</v>
      </c>
      <c r="BH472" s="135">
        <f>+Details!O472-Base!O472</f>
        <v>0</v>
      </c>
      <c r="BI472" s="135">
        <f>+Details!P472-Base!P472</f>
        <v>0</v>
      </c>
      <c r="BJ472" s="135">
        <f>+Details!Q472-Base!Q472</f>
        <v>0</v>
      </c>
      <c r="BK472" s="135">
        <f>+Details!R472-Base!R472</f>
        <v>0</v>
      </c>
      <c r="BL472" s="135">
        <f>+Details!S472-Base!S472</f>
        <v>0</v>
      </c>
      <c r="BM472" s="135">
        <f>+Details!T472-Base!T472</f>
        <v>0</v>
      </c>
      <c r="BN472" s="135">
        <f>+Details!U472-Base!U472</f>
        <v>0</v>
      </c>
      <c r="BO472" s="135">
        <f>+Details!V472-Base!V472</f>
        <v>0</v>
      </c>
      <c r="BP472" s="135">
        <f>+Details!W472-Base!W472</f>
        <v>0</v>
      </c>
      <c r="BQ472" s="135">
        <f>+Details!X472-Base!X472</f>
        <v>0</v>
      </c>
      <c r="BR472" s="135">
        <f>+Details!Y472-Base!Y472</f>
        <v>0</v>
      </c>
      <c r="BS472" s="135">
        <f>+Details!Z472-Base!Z472</f>
        <v>0</v>
      </c>
      <c r="BT472" s="135">
        <f>+Details!AA472-Base!AA472</f>
        <v>0</v>
      </c>
      <c r="BU472" s="135">
        <f>+Details!AB472-Base!AB472</f>
        <v>0</v>
      </c>
      <c r="BV472" s="135">
        <f>+Details!AC472-Base!AC472</f>
        <v>0</v>
      </c>
      <c r="BW472" s="135">
        <f>+Details!AD472-Base!AD472</f>
        <v>0</v>
      </c>
      <c r="BX472" s="135">
        <f>+Details!AE472-Base!AE472</f>
        <v>0</v>
      </c>
      <c r="BY472" s="135">
        <f>+Details!AF472-Base!AF472</f>
        <v>0</v>
      </c>
      <c r="BZ472" s="135">
        <f>+Details!AG472-Base!AG472</f>
        <v>0</v>
      </c>
      <c r="CA472" s="135">
        <f>+Details!AH472-Base!AH472</f>
        <v>0</v>
      </c>
      <c r="CB472" s="135">
        <f>+Details!AI472-Base!AI472</f>
        <v>0</v>
      </c>
      <c r="CC472" s="135">
        <f>+Details!AJ472-Base!AJ472</f>
        <v>0</v>
      </c>
      <c r="CD472" s="135">
        <f>+Details!AK472-Base!AK472</f>
        <v>0</v>
      </c>
      <c r="CE472" s="135">
        <f>+Details!AL472-Base!AL472</f>
        <v>0</v>
      </c>
      <c r="CF472" s="135">
        <f>+Details!AM472-Base!AM472</f>
        <v>0</v>
      </c>
      <c r="CG472" s="135">
        <f>+Details!AN472-Base!AN472</f>
        <v>0</v>
      </c>
      <c r="CH472" s="135">
        <f>+Details!AO472-Base!AO472</f>
        <v>0</v>
      </c>
      <c r="CI472" s="135">
        <f>+Details!AP472-Base!AP472</f>
        <v>0</v>
      </c>
      <c r="CJ472" s="135">
        <f>+Details!AQ472-Base!AQ472</f>
        <v>0</v>
      </c>
      <c r="CK472" s="135">
        <f>+Details!AR472-Base!AR472</f>
        <v>0</v>
      </c>
      <c r="CL472" s="135">
        <f>+Details!AS472-Base!AS472</f>
        <v>0</v>
      </c>
    </row>
    <row r="473" spans="2:90">
      <c r="B473" s="43"/>
      <c r="C473" s="136"/>
      <c r="F473" s="135"/>
      <c r="G473" s="135"/>
      <c r="H473" s="135"/>
      <c r="I473" s="135"/>
      <c r="J473" s="135"/>
      <c r="K473" s="135"/>
      <c r="L473" s="135"/>
      <c r="M473" s="135"/>
      <c r="N473" s="135"/>
      <c r="O473" s="135"/>
      <c r="P473" s="135"/>
      <c r="Q473" s="135"/>
      <c r="R473" s="135"/>
      <c r="S473" s="135"/>
      <c r="T473" s="135"/>
      <c r="U473" s="135"/>
      <c r="V473" s="135"/>
      <c r="W473" s="135"/>
      <c r="X473" s="135"/>
      <c r="Y473" s="135"/>
      <c r="Z473" s="135"/>
      <c r="AA473" s="135"/>
      <c r="AB473" s="135"/>
      <c r="AC473" s="135"/>
      <c r="AD473" s="135"/>
      <c r="AE473" s="135"/>
      <c r="AF473" s="135"/>
      <c r="AG473" s="135"/>
      <c r="AH473" s="135"/>
      <c r="AI473" s="135"/>
      <c r="AJ473" s="135"/>
      <c r="AK473" s="135"/>
      <c r="AL473" s="135"/>
      <c r="AM473" s="135"/>
      <c r="AN473" s="135"/>
      <c r="AO473" s="135"/>
      <c r="AP473" s="135"/>
      <c r="AQ473" s="135"/>
      <c r="AR473" s="135"/>
      <c r="AS473" s="135"/>
      <c r="AY473" s="31"/>
      <c r="AZ473" s="135"/>
      <c r="BA473" s="135"/>
      <c r="BB473" s="135"/>
      <c r="BC473" s="135"/>
      <c r="BD473" s="135"/>
      <c r="BE473" s="135"/>
      <c r="BF473" s="135"/>
      <c r="BG473" s="135"/>
      <c r="BH473" s="135"/>
      <c r="BI473" s="135"/>
      <c r="BJ473" s="135"/>
      <c r="BK473" s="135"/>
      <c r="BL473" s="135"/>
      <c r="BM473" s="135"/>
      <c r="BN473" s="135"/>
      <c r="BO473" s="135"/>
      <c r="BP473" s="135"/>
      <c r="BQ473" s="135"/>
      <c r="BR473" s="135"/>
      <c r="BS473" s="135"/>
      <c r="BT473" s="135"/>
      <c r="BU473" s="135"/>
      <c r="BV473" s="135"/>
      <c r="BW473" s="135"/>
      <c r="BX473" s="135"/>
      <c r="BY473" s="135"/>
      <c r="BZ473" s="135"/>
      <c r="CA473" s="135"/>
      <c r="CB473" s="135"/>
      <c r="CC473" s="135"/>
      <c r="CD473" s="135"/>
      <c r="CE473" s="135"/>
      <c r="CF473" s="135"/>
      <c r="CG473" s="135"/>
      <c r="CH473" s="135"/>
      <c r="CI473" s="135"/>
      <c r="CJ473" s="135"/>
      <c r="CK473" s="135"/>
      <c r="CL473" s="135"/>
    </row>
    <row r="474" spans="2:90" ht="15.6">
      <c r="B474" s="861" t="s">
        <v>933</v>
      </c>
      <c r="C474" s="136"/>
      <c r="F474" s="92">
        <f>SUM(F450:F471)</f>
        <v>182500</v>
      </c>
      <c r="G474" s="92">
        <f>SUM(G450:G471)</f>
        <v>184900</v>
      </c>
      <c r="H474" s="92">
        <f>SUM(H450:H471)</f>
        <v>169900</v>
      </c>
      <c r="I474" s="92">
        <f>SUM(I450:I471)</f>
        <v>157300</v>
      </c>
      <c r="J474" s="92">
        <f>SUM(J450:J471)</f>
        <v>145800</v>
      </c>
      <c r="K474" s="92">
        <f t="shared" ref="K474:AS474" si="383">SUM(K450:K471)</f>
        <v>156400</v>
      </c>
      <c r="L474" s="92">
        <f t="shared" si="383"/>
        <v>165600</v>
      </c>
      <c r="M474" s="92">
        <f t="shared" si="383"/>
        <v>176400</v>
      </c>
      <c r="N474" s="92">
        <f t="shared" si="383"/>
        <v>198100</v>
      </c>
      <c r="O474" s="92">
        <f t="shared" si="383"/>
        <v>232000</v>
      </c>
      <c r="P474" s="92">
        <f t="shared" si="383"/>
        <v>188400</v>
      </c>
      <c r="Q474" s="92">
        <f t="shared" si="383"/>
        <v>265900</v>
      </c>
      <c r="R474" s="92">
        <f t="shared" si="383"/>
        <v>289500</v>
      </c>
      <c r="S474" s="92">
        <f t="shared" si="383"/>
        <v>336000</v>
      </c>
      <c r="T474" s="92">
        <f t="shared" si="383"/>
        <v>296000</v>
      </c>
      <c r="U474" s="92">
        <f t="shared" si="383"/>
        <v>419200</v>
      </c>
      <c r="V474" s="92">
        <f t="shared" si="383"/>
        <v>470600</v>
      </c>
      <c r="W474" s="92">
        <f t="shared" si="383"/>
        <v>528900</v>
      </c>
      <c r="X474" s="92">
        <f t="shared" si="383"/>
        <v>563700</v>
      </c>
      <c r="Y474" s="92">
        <f t="shared" si="383"/>
        <v>597400</v>
      </c>
      <c r="Z474" s="92">
        <f t="shared" si="383"/>
        <v>634100</v>
      </c>
      <c r="AA474" s="92">
        <f t="shared" si="383"/>
        <v>674000</v>
      </c>
      <c r="AB474" s="92">
        <f t="shared" si="383"/>
        <v>1116900</v>
      </c>
      <c r="AC474" s="92">
        <f t="shared" si="383"/>
        <v>1171800</v>
      </c>
      <c r="AD474" s="92">
        <f t="shared" si="383"/>
        <v>1310600</v>
      </c>
      <c r="AE474" s="92">
        <f t="shared" si="383"/>
        <v>1350300</v>
      </c>
      <c r="AF474" s="92">
        <f t="shared" si="383"/>
        <v>1392400</v>
      </c>
      <c r="AG474" s="92">
        <f t="shared" si="383"/>
        <v>1426900</v>
      </c>
      <c r="AH474" s="92">
        <f t="shared" si="383"/>
        <v>1463400</v>
      </c>
      <c r="AI474" s="92">
        <f t="shared" si="383"/>
        <v>1501600</v>
      </c>
      <c r="AJ474" s="92">
        <f t="shared" si="383"/>
        <v>0</v>
      </c>
      <c r="AK474" s="92">
        <f t="shared" si="383"/>
        <v>0</v>
      </c>
      <c r="AL474" s="92">
        <f t="shared" si="383"/>
        <v>0</v>
      </c>
      <c r="AM474" s="92">
        <f t="shared" si="383"/>
        <v>0</v>
      </c>
      <c r="AN474" s="92">
        <f t="shared" si="383"/>
        <v>0</v>
      </c>
      <c r="AO474" s="92">
        <f t="shared" si="383"/>
        <v>0</v>
      </c>
      <c r="AP474" s="92">
        <f t="shared" si="383"/>
        <v>0</v>
      </c>
      <c r="AQ474" s="92">
        <f t="shared" si="383"/>
        <v>0</v>
      </c>
      <c r="AR474" s="92">
        <f t="shared" si="383"/>
        <v>0</v>
      </c>
      <c r="AS474" s="92">
        <f t="shared" si="383"/>
        <v>0</v>
      </c>
      <c r="AW474" s="123"/>
      <c r="AY474" s="535">
        <f>+Details!F474-Base!F474</f>
        <v>0</v>
      </c>
      <c r="AZ474" s="92">
        <f>+Details!G474-Base!G474</f>
        <v>0</v>
      </c>
      <c r="BA474" s="92">
        <f>+Details!H474-Base!H474</f>
        <v>0</v>
      </c>
      <c r="BB474" s="92">
        <f>+Details!I474-Base!I474</f>
        <v>0</v>
      </c>
      <c r="BC474" s="92">
        <f>+Details!J474-Base!J474</f>
        <v>0</v>
      </c>
      <c r="BD474" s="92">
        <f>+Details!K474-Base!K474</f>
        <v>0</v>
      </c>
      <c r="BE474" s="92">
        <f>+Details!L474-Base!L474</f>
        <v>0</v>
      </c>
      <c r="BF474" s="92">
        <f>+Details!M474-Base!M474</f>
        <v>0</v>
      </c>
      <c r="BG474" s="92">
        <f>+Details!N474-Base!N474</f>
        <v>0</v>
      </c>
      <c r="BH474" s="92">
        <f>+Details!O474-Base!O474</f>
        <v>0</v>
      </c>
      <c r="BI474" s="92">
        <f>+Details!P474-Base!P474</f>
        <v>0</v>
      </c>
      <c r="BJ474" s="92">
        <f>+Details!Q474-Base!Q474</f>
        <v>0</v>
      </c>
      <c r="BK474" s="92">
        <f>+Details!R474-Base!R474</f>
        <v>0</v>
      </c>
      <c r="BL474" s="92">
        <f>+Details!S474-Base!S474</f>
        <v>0</v>
      </c>
      <c r="BM474" s="92">
        <f>+Details!T474-Base!T474</f>
        <v>0</v>
      </c>
      <c r="BN474" s="92">
        <f>+Details!U474-Base!U474</f>
        <v>0</v>
      </c>
      <c r="BO474" s="92">
        <f>+Details!V474-Base!V474</f>
        <v>0</v>
      </c>
      <c r="BP474" s="92">
        <f>+Details!W474-Base!W474</f>
        <v>0</v>
      </c>
      <c r="BQ474" s="92">
        <f>+Details!X474-Base!X474</f>
        <v>0</v>
      </c>
      <c r="BR474" s="92">
        <f>+Details!Y474-Base!Y474</f>
        <v>0</v>
      </c>
      <c r="BS474" s="92">
        <f>+Details!Z474-Base!Z474</f>
        <v>0</v>
      </c>
      <c r="BT474" s="92">
        <f>+Details!AA474-Base!AA474</f>
        <v>0</v>
      </c>
      <c r="BU474" s="92">
        <f>+Details!AB474-Base!AB474</f>
        <v>0</v>
      </c>
      <c r="BV474" s="92">
        <f>+Details!AC474-Base!AC474</f>
        <v>0</v>
      </c>
      <c r="BW474" s="92">
        <f>+Details!AD474-Base!AD474</f>
        <v>0</v>
      </c>
      <c r="BX474" s="92">
        <f>+Details!AE474-Base!AE474</f>
        <v>0</v>
      </c>
      <c r="BY474" s="92">
        <f>+Details!AF474-Base!AF474</f>
        <v>0</v>
      </c>
      <c r="BZ474" s="92">
        <f>+Details!AG474-Base!AG474</f>
        <v>0</v>
      </c>
      <c r="CA474" s="92">
        <f>+Details!AH474-Base!AH474</f>
        <v>0</v>
      </c>
      <c r="CB474" s="92">
        <f>+Details!AI474-Base!AI474</f>
        <v>0</v>
      </c>
      <c r="CC474" s="92">
        <f>+Details!AJ474-Base!AJ474</f>
        <v>0</v>
      </c>
      <c r="CD474" s="92">
        <f>+Details!AK474-Base!AK474</f>
        <v>0</v>
      </c>
      <c r="CE474" s="92">
        <f>+Details!AL474-Base!AL474</f>
        <v>0</v>
      </c>
      <c r="CF474" s="92">
        <f>+Details!AM474-Base!AM474</f>
        <v>0</v>
      </c>
      <c r="CG474" s="92">
        <f>+Details!AN474-Base!AN474</f>
        <v>0</v>
      </c>
      <c r="CH474" s="92">
        <f>+Details!AO474-Base!AO474</f>
        <v>0</v>
      </c>
      <c r="CI474" s="92">
        <f>+Details!AP474-Base!AP474</f>
        <v>0</v>
      </c>
      <c r="CJ474" s="92">
        <f>+Details!AQ474-Base!AQ474</f>
        <v>0</v>
      </c>
      <c r="CK474" s="92">
        <f>+Details!AR474-Base!AR474</f>
        <v>0</v>
      </c>
      <c r="CL474" s="92">
        <f>+Details!AS474-Base!AS474</f>
        <v>0</v>
      </c>
    </row>
    <row r="475" spans="2:90">
      <c r="B475" s="43"/>
      <c r="C475" s="136"/>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2"/>
      <c r="AK475" s="92"/>
      <c r="AL475" s="92"/>
      <c r="AM475" s="92"/>
      <c r="AN475" s="92"/>
      <c r="AO475" s="92"/>
      <c r="AP475" s="92"/>
      <c r="AQ475" s="92"/>
      <c r="AR475" s="92"/>
      <c r="AS475" s="92"/>
      <c r="AZ475" s="92"/>
      <c r="BA475" s="92"/>
      <c r="BB475" s="92"/>
      <c r="BC475" s="92"/>
      <c r="BD475" s="92"/>
      <c r="BE475" s="92"/>
      <c r="BF475" s="92"/>
      <c r="BG475" s="92"/>
      <c r="BH475" s="92"/>
      <c r="BI475" s="92"/>
      <c r="BJ475" s="92"/>
      <c r="BK475" s="92"/>
      <c r="BL475" s="92"/>
      <c r="BM475" s="92"/>
      <c r="BN475" s="92"/>
      <c r="BO475" s="92"/>
      <c r="BP475" s="92"/>
      <c r="BQ475" s="92"/>
      <c r="BR475" s="92"/>
      <c r="BS475" s="92"/>
      <c r="BT475" s="92"/>
      <c r="BU475" s="92"/>
      <c r="BV475" s="92"/>
      <c r="BW475" s="92"/>
      <c r="BX475" s="92"/>
      <c r="BY475" s="92"/>
      <c r="BZ475" s="92"/>
      <c r="CA475" s="92"/>
      <c r="CB475" s="92"/>
      <c r="CC475" s="92"/>
      <c r="CD475" s="92"/>
      <c r="CE475" s="92"/>
      <c r="CF475" s="92"/>
      <c r="CG475" s="92"/>
      <c r="CH475" s="92"/>
      <c r="CI475" s="92"/>
      <c r="CJ475" s="92"/>
      <c r="CK475" s="92"/>
      <c r="CL475" s="92"/>
    </row>
    <row r="476" spans="2:90">
      <c r="B476" s="43" t="s">
        <v>790</v>
      </c>
      <c r="C476" s="136"/>
      <c r="F476" s="92">
        <f>+F447+F474</f>
        <v>382500</v>
      </c>
      <c r="G476" s="92">
        <f>+G447+G474</f>
        <v>372000</v>
      </c>
      <c r="H476" s="92">
        <f>+H447+H474</f>
        <v>356700</v>
      </c>
      <c r="I476" s="92">
        <f>+I447+I474</f>
        <v>331100</v>
      </c>
      <c r="J476" s="92">
        <f>+J447+J474</f>
        <v>306300</v>
      </c>
      <c r="K476" s="92">
        <f t="shared" ref="K476:AS476" si="384">+K447+K474</f>
        <v>304700</v>
      </c>
      <c r="L476" s="92">
        <f t="shared" si="384"/>
        <v>322000</v>
      </c>
      <c r="M476" s="92">
        <f t="shared" si="384"/>
        <v>342500</v>
      </c>
      <c r="N476" s="92">
        <f t="shared" si="384"/>
        <v>374000</v>
      </c>
      <c r="O476" s="92">
        <f t="shared" si="384"/>
        <v>434800</v>
      </c>
      <c r="P476" s="92">
        <f t="shared" si="384"/>
        <v>426500</v>
      </c>
      <c r="Q476" s="92">
        <f t="shared" si="384"/>
        <v>460100</v>
      </c>
      <c r="R476" s="92">
        <f t="shared" si="384"/>
        <v>561600</v>
      </c>
      <c r="S476" s="92">
        <f t="shared" si="384"/>
        <v>632700</v>
      </c>
      <c r="T476" s="92">
        <f t="shared" si="384"/>
        <v>640500</v>
      </c>
      <c r="U476" s="92">
        <f t="shared" si="384"/>
        <v>720500</v>
      </c>
      <c r="V476" s="92">
        <f t="shared" si="384"/>
        <v>895200</v>
      </c>
      <c r="W476" s="92">
        <f t="shared" si="384"/>
        <v>1009600</v>
      </c>
      <c r="X476" s="92">
        <f t="shared" si="384"/>
        <v>1105100</v>
      </c>
      <c r="Y476" s="92">
        <f t="shared" si="384"/>
        <v>1172100</v>
      </c>
      <c r="Z476" s="92">
        <f t="shared" si="384"/>
        <v>1243600</v>
      </c>
      <c r="AA476" s="92">
        <f t="shared" si="384"/>
        <v>1321200</v>
      </c>
      <c r="AB476" s="92">
        <f t="shared" si="384"/>
        <v>1804900</v>
      </c>
      <c r="AC476" s="92">
        <f t="shared" si="384"/>
        <v>2307800</v>
      </c>
      <c r="AD476" s="92">
        <f t="shared" si="384"/>
        <v>2510100</v>
      </c>
      <c r="AE476" s="92">
        <f t="shared" si="384"/>
        <v>2687900</v>
      </c>
      <c r="AF476" s="92">
        <f t="shared" si="384"/>
        <v>2772300</v>
      </c>
      <c r="AG476" s="92">
        <f t="shared" si="384"/>
        <v>2850200</v>
      </c>
      <c r="AH476" s="92">
        <f t="shared" si="384"/>
        <v>2924900</v>
      </c>
      <c r="AI476" s="92">
        <f t="shared" si="384"/>
        <v>3001300</v>
      </c>
      <c r="AJ476" s="92">
        <f t="shared" si="384"/>
        <v>0</v>
      </c>
      <c r="AK476" s="92">
        <f t="shared" si="384"/>
        <v>0</v>
      </c>
      <c r="AL476" s="92">
        <f t="shared" si="384"/>
        <v>0</v>
      </c>
      <c r="AM476" s="92">
        <f t="shared" si="384"/>
        <v>0</v>
      </c>
      <c r="AN476" s="92">
        <f t="shared" si="384"/>
        <v>0</v>
      </c>
      <c r="AO476" s="92">
        <f t="shared" si="384"/>
        <v>0</v>
      </c>
      <c r="AP476" s="92">
        <f t="shared" si="384"/>
        <v>0</v>
      </c>
      <c r="AQ476" s="92">
        <f t="shared" si="384"/>
        <v>0</v>
      </c>
      <c r="AR476" s="92">
        <f t="shared" si="384"/>
        <v>0</v>
      </c>
      <c r="AS476" s="92">
        <f t="shared" si="384"/>
        <v>0</v>
      </c>
      <c r="AW476" s="191"/>
      <c r="AY476" s="31">
        <f>+Details!F476-Base!F476</f>
        <v>0</v>
      </c>
      <c r="AZ476" s="92">
        <f>+Details!G476-Base!G476</f>
        <v>0</v>
      </c>
      <c r="BA476" s="92">
        <f>+Details!H476-Base!H476</f>
        <v>0</v>
      </c>
      <c r="BB476" s="92">
        <f>+Details!I476-Base!I476</f>
        <v>0</v>
      </c>
      <c r="BC476" s="92">
        <f>+Details!J476-Base!J476</f>
        <v>0</v>
      </c>
      <c r="BD476" s="92">
        <f>+Details!K476-Base!K476</f>
        <v>0</v>
      </c>
      <c r="BE476" s="92">
        <f>+Details!L476-Base!L476</f>
        <v>0</v>
      </c>
      <c r="BF476" s="92">
        <f>+Details!M476-Base!M476</f>
        <v>0</v>
      </c>
      <c r="BG476" s="92">
        <f>+Details!N476-Base!N476</f>
        <v>0</v>
      </c>
      <c r="BH476" s="92">
        <f>+Details!O476-Base!O476</f>
        <v>0</v>
      </c>
      <c r="BI476" s="92">
        <f>+Details!P476-Base!P476</f>
        <v>0</v>
      </c>
      <c r="BJ476" s="92">
        <f>+Details!Q476-Base!Q476</f>
        <v>0</v>
      </c>
      <c r="BK476" s="92">
        <f>+Details!R476-Base!R476</f>
        <v>0</v>
      </c>
      <c r="BL476" s="92">
        <f>+Details!S476-Base!S476</f>
        <v>0</v>
      </c>
      <c r="BM476" s="92">
        <f>+Details!T476-Base!T476</f>
        <v>0</v>
      </c>
      <c r="BN476" s="92">
        <f>+Details!U476-Base!U476</f>
        <v>0</v>
      </c>
      <c r="BO476" s="92">
        <f>+Details!V476-Base!V476</f>
        <v>0</v>
      </c>
      <c r="BP476" s="92">
        <f>+Details!W476-Base!W476</f>
        <v>0</v>
      </c>
      <c r="BQ476" s="92">
        <f>+Details!X476-Base!X476</f>
        <v>0</v>
      </c>
      <c r="BR476" s="92">
        <f>+Details!Y476-Base!Y476</f>
        <v>0</v>
      </c>
      <c r="BS476" s="92">
        <f>+Details!Z476-Base!Z476</f>
        <v>0</v>
      </c>
      <c r="BT476" s="92">
        <f>+Details!AA476-Base!AA476</f>
        <v>0</v>
      </c>
      <c r="BU476" s="92">
        <f>+Details!AB476-Base!AB476</f>
        <v>0</v>
      </c>
      <c r="BV476" s="92">
        <f>+Details!AC476-Base!AC476</f>
        <v>0</v>
      </c>
      <c r="BW476" s="92">
        <f>+Details!AD476-Base!AD476</f>
        <v>0</v>
      </c>
      <c r="BX476" s="92">
        <f>+Details!AE476-Base!AE476</f>
        <v>0</v>
      </c>
      <c r="BY476" s="92">
        <f>+Details!AF476-Base!AF476</f>
        <v>0</v>
      </c>
      <c r="BZ476" s="92">
        <f>+Details!AG476-Base!AG476</f>
        <v>0</v>
      </c>
      <c r="CA476" s="92">
        <f>+Details!AH476-Base!AH476</f>
        <v>0</v>
      </c>
      <c r="CB476" s="92">
        <f>+Details!AI476-Base!AI476</f>
        <v>0</v>
      </c>
      <c r="CC476" s="92">
        <f>+Details!AJ476-Base!AJ476</f>
        <v>0</v>
      </c>
      <c r="CD476" s="92">
        <f>+Details!AK476-Base!AK476</f>
        <v>0</v>
      </c>
      <c r="CE476" s="92">
        <f>+Details!AL476-Base!AL476</f>
        <v>0</v>
      </c>
      <c r="CF476" s="92">
        <f>+Details!AM476-Base!AM476</f>
        <v>0</v>
      </c>
      <c r="CG476" s="92">
        <f>+Details!AN476-Base!AN476</f>
        <v>0</v>
      </c>
      <c r="CH476" s="92">
        <f>+Details!AO476-Base!AO476</f>
        <v>0</v>
      </c>
      <c r="CI476" s="92">
        <f>+Details!AP476-Base!AP476</f>
        <v>0</v>
      </c>
      <c r="CJ476" s="92">
        <f>+Details!AQ476-Base!AQ476</f>
        <v>0</v>
      </c>
      <c r="CK476" s="92">
        <f>+Details!AR476-Base!AR476</f>
        <v>0</v>
      </c>
      <c r="CL476" s="92">
        <f>+Details!AS476-Base!AS476</f>
        <v>0</v>
      </c>
    </row>
    <row r="477" spans="2:90">
      <c r="B477" s="43" t="s">
        <v>791</v>
      </c>
      <c r="C477" s="136"/>
      <c r="F477" s="92">
        <v>2</v>
      </c>
      <c r="G477" s="92">
        <v>2</v>
      </c>
      <c r="H477" s="92">
        <v>2</v>
      </c>
      <c r="I477" s="92">
        <v>2</v>
      </c>
      <c r="J477" s="92">
        <v>2</v>
      </c>
      <c r="K477" s="92">
        <v>2</v>
      </c>
      <c r="L477" s="92">
        <v>2</v>
      </c>
      <c r="M477" s="92">
        <v>2</v>
      </c>
      <c r="N477" s="92">
        <v>2</v>
      </c>
      <c r="O477" s="92">
        <v>2</v>
      </c>
      <c r="P477" s="92">
        <v>2</v>
      </c>
      <c r="Q477" s="92">
        <v>2</v>
      </c>
      <c r="R477" s="92">
        <v>2</v>
      </c>
      <c r="S477" s="92">
        <v>2</v>
      </c>
      <c r="T477" s="92">
        <v>2</v>
      </c>
      <c r="U477" s="92">
        <v>2</v>
      </c>
      <c r="V477" s="92">
        <v>2</v>
      </c>
      <c r="W477" s="92">
        <v>2</v>
      </c>
      <c r="X477" s="92">
        <v>2</v>
      </c>
      <c r="Y477" s="92">
        <v>2</v>
      </c>
      <c r="Z477" s="92">
        <v>2</v>
      </c>
      <c r="AA477" s="92">
        <v>2</v>
      </c>
      <c r="AB477" s="92">
        <v>2</v>
      </c>
      <c r="AC477" s="92">
        <v>2</v>
      </c>
      <c r="AD477" s="92">
        <v>2</v>
      </c>
      <c r="AE477" s="92">
        <v>2</v>
      </c>
      <c r="AF477" s="92">
        <v>2</v>
      </c>
      <c r="AG477" s="92">
        <v>2</v>
      </c>
      <c r="AH477" s="92">
        <v>2</v>
      </c>
      <c r="AI477" s="92">
        <v>2</v>
      </c>
      <c r="AJ477" s="92">
        <v>2</v>
      </c>
      <c r="AK477" s="92">
        <v>2</v>
      </c>
      <c r="AL477" s="92">
        <v>2</v>
      </c>
      <c r="AM477" s="92">
        <v>2</v>
      </c>
      <c r="AN477" s="92">
        <v>2</v>
      </c>
      <c r="AO477" s="92">
        <v>2</v>
      </c>
      <c r="AP477" s="92">
        <v>2</v>
      </c>
      <c r="AQ477" s="92">
        <v>2</v>
      </c>
      <c r="AR477" s="92">
        <v>2</v>
      </c>
      <c r="AS477" s="92">
        <v>2</v>
      </c>
      <c r="AW477" s="191"/>
      <c r="AY477" s="31">
        <f>+Details!F477-Base!F477</f>
        <v>0</v>
      </c>
      <c r="AZ477" s="92">
        <f>+Details!G477-Base!G477</f>
        <v>0</v>
      </c>
      <c r="BA477" s="92">
        <f>+Details!H477-Base!H477</f>
        <v>0</v>
      </c>
      <c r="BB477" s="92">
        <f>+Details!I477-Base!I477</f>
        <v>0</v>
      </c>
      <c r="BC477" s="92">
        <f>+Details!J477-Base!J477</f>
        <v>0</v>
      </c>
      <c r="BD477" s="92">
        <f>+Details!K477-Base!K477</f>
        <v>0</v>
      </c>
      <c r="BE477" s="92">
        <f>+Details!L477-Base!L477</f>
        <v>0</v>
      </c>
      <c r="BF477" s="92">
        <f>+Details!M477-Base!M477</f>
        <v>0</v>
      </c>
      <c r="BG477" s="92">
        <f>+Details!N477-Base!N477</f>
        <v>0</v>
      </c>
      <c r="BH477" s="92">
        <f>+Details!O477-Base!O477</f>
        <v>0</v>
      </c>
      <c r="BI477" s="92">
        <f>+Details!P477-Base!P477</f>
        <v>0</v>
      </c>
      <c r="BJ477" s="92">
        <f>+Details!Q477-Base!Q477</f>
        <v>0</v>
      </c>
      <c r="BK477" s="92">
        <f>+Details!R477-Base!R477</f>
        <v>0</v>
      </c>
      <c r="BL477" s="92">
        <f>+Details!S477-Base!S477</f>
        <v>0</v>
      </c>
      <c r="BM477" s="92">
        <f>+Details!T477-Base!T477</f>
        <v>0</v>
      </c>
      <c r="BN477" s="92">
        <f>+Details!U477-Base!U477</f>
        <v>0</v>
      </c>
      <c r="BO477" s="92">
        <f>+Details!V477-Base!V477</f>
        <v>0</v>
      </c>
      <c r="BP477" s="92">
        <f>+Details!W477-Base!W477</f>
        <v>0</v>
      </c>
      <c r="BQ477" s="92">
        <f>+Details!X477-Base!X477</f>
        <v>0</v>
      </c>
      <c r="BR477" s="92">
        <f>+Details!Y477-Base!Y477</f>
        <v>0</v>
      </c>
      <c r="BS477" s="92">
        <f>+Details!Z477-Base!Z477</f>
        <v>0</v>
      </c>
      <c r="BT477" s="92">
        <f>+Details!AA477-Base!AA477</f>
        <v>0</v>
      </c>
      <c r="BU477" s="92">
        <f>+Details!AB477-Base!AB477</f>
        <v>0</v>
      </c>
      <c r="BV477" s="92">
        <f>+Details!AC477-Base!AC477</f>
        <v>0</v>
      </c>
      <c r="BW477" s="92">
        <f>+Details!AD477-Base!AD477</f>
        <v>0</v>
      </c>
      <c r="BX477" s="92">
        <f>+Details!AE477-Base!AE477</f>
        <v>0</v>
      </c>
      <c r="BY477" s="92">
        <f>+Details!AF477-Base!AF477</f>
        <v>0</v>
      </c>
      <c r="BZ477" s="92">
        <f>+Details!AG477-Base!AG477</f>
        <v>0</v>
      </c>
      <c r="CA477" s="92">
        <f>+Details!AH477-Base!AH477</f>
        <v>0</v>
      </c>
      <c r="CB477" s="92">
        <f>+Details!AI477-Base!AI477</f>
        <v>0</v>
      </c>
      <c r="CC477" s="92">
        <f>+Details!AJ477-Base!AJ477</f>
        <v>0</v>
      </c>
      <c r="CD477" s="92">
        <f>+Details!AK477-Base!AK477</f>
        <v>0</v>
      </c>
      <c r="CE477" s="92">
        <f>+Details!AL477-Base!AL477</f>
        <v>0</v>
      </c>
      <c r="CF477" s="92">
        <f>+Details!AM477-Base!AM477</f>
        <v>0</v>
      </c>
      <c r="CG477" s="92">
        <f>+Details!AN477-Base!AN477</f>
        <v>0</v>
      </c>
      <c r="CH477" s="92">
        <f>+Details!AO477-Base!AO477</f>
        <v>0</v>
      </c>
      <c r="CI477" s="92">
        <f>+Details!AP477-Base!AP477</f>
        <v>0</v>
      </c>
      <c r="CJ477" s="92">
        <f>+Details!AQ477-Base!AQ477</f>
        <v>0</v>
      </c>
      <c r="CK477" s="92">
        <f>+Details!AR477-Base!AR477</f>
        <v>0</v>
      </c>
      <c r="CL477" s="92">
        <f>+Details!AS477-Base!AS477</f>
        <v>0</v>
      </c>
    </row>
    <row r="478" spans="2:90" ht="15.6">
      <c r="B478" s="861" t="s">
        <v>451</v>
      </c>
      <c r="C478" s="66"/>
      <c r="D478" s="22"/>
      <c r="E478" s="869">
        <f>SUM(F478:AS478)/Total_Years</f>
        <v>576245</v>
      </c>
      <c r="F478" s="870">
        <f>+F476/F477</f>
        <v>191250</v>
      </c>
      <c r="G478" s="870">
        <f>+G476/G477</f>
        <v>186000</v>
      </c>
      <c r="H478" s="870">
        <f>+H476/H477</f>
        <v>178350</v>
      </c>
      <c r="I478" s="870">
        <f>+I476/I477</f>
        <v>165550</v>
      </c>
      <c r="J478" s="870">
        <f>+J476/J477</f>
        <v>153150</v>
      </c>
      <c r="K478" s="870">
        <f t="shared" ref="K478:AS478" si="385">+K476/K477</f>
        <v>152350</v>
      </c>
      <c r="L478" s="870">
        <f t="shared" si="385"/>
        <v>161000</v>
      </c>
      <c r="M478" s="870">
        <f t="shared" si="385"/>
        <v>171250</v>
      </c>
      <c r="N478" s="870">
        <f t="shared" si="385"/>
        <v>187000</v>
      </c>
      <c r="O478" s="870">
        <f t="shared" si="385"/>
        <v>217400</v>
      </c>
      <c r="P478" s="870">
        <f t="shared" si="385"/>
        <v>213250</v>
      </c>
      <c r="Q478" s="870">
        <f t="shared" si="385"/>
        <v>230050</v>
      </c>
      <c r="R478" s="870">
        <f t="shared" si="385"/>
        <v>280800</v>
      </c>
      <c r="S478" s="870">
        <f t="shared" si="385"/>
        <v>316350</v>
      </c>
      <c r="T478" s="870">
        <f t="shared" si="385"/>
        <v>320250</v>
      </c>
      <c r="U478" s="870">
        <f t="shared" si="385"/>
        <v>360250</v>
      </c>
      <c r="V478" s="870">
        <f t="shared" si="385"/>
        <v>447600</v>
      </c>
      <c r="W478" s="870">
        <f t="shared" si="385"/>
        <v>504800</v>
      </c>
      <c r="X478" s="870">
        <f t="shared" si="385"/>
        <v>552550</v>
      </c>
      <c r="Y478" s="870">
        <f t="shared" si="385"/>
        <v>586050</v>
      </c>
      <c r="Z478" s="870">
        <f t="shared" si="385"/>
        <v>621800</v>
      </c>
      <c r="AA478" s="870">
        <f t="shared" si="385"/>
        <v>660600</v>
      </c>
      <c r="AB478" s="870">
        <f t="shared" si="385"/>
        <v>902450</v>
      </c>
      <c r="AC478" s="870">
        <f t="shared" si="385"/>
        <v>1153900</v>
      </c>
      <c r="AD478" s="870">
        <f t="shared" si="385"/>
        <v>1255050</v>
      </c>
      <c r="AE478" s="870">
        <f t="shared" si="385"/>
        <v>1343950</v>
      </c>
      <c r="AF478" s="870">
        <f t="shared" si="385"/>
        <v>1386150</v>
      </c>
      <c r="AG478" s="870">
        <f t="shared" si="385"/>
        <v>1425100</v>
      </c>
      <c r="AH478" s="870">
        <f t="shared" si="385"/>
        <v>1462450</v>
      </c>
      <c r="AI478" s="870">
        <f t="shared" si="385"/>
        <v>1500650</v>
      </c>
      <c r="AJ478" s="870">
        <f t="shared" si="385"/>
        <v>0</v>
      </c>
      <c r="AK478" s="870">
        <f t="shared" si="385"/>
        <v>0</v>
      </c>
      <c r="AL478" s="870">
        <f t="shared" si="385"/>
        <v>0</v>
      </c>
      <c r="AM478" s="870">
        <f t="shared" si="385"/>
        <v>0</v>
      </c>
      <c r="AN478" s="870">
        <f t="shared" si="385"/>
        <v>0</v>
      </c>
      <c r="AO478" s="870">
        <f t="shared" si="385"/>
        <v>0</v>
      </c>
      <c r="AP478" s="870">
        <f t="shared" si="385"/>
        <v>0</v>
      </c>
      <c r="AQ478" s="870">
        <f t="shared" si="385"/>
        <v>0</v>
      </c>
      <c r="AR478" s="870">
        <f t="shared" si="385"/>
        <v>0</v>
      </c>
      <c r="AS478" s="870">
        <f t="shared" si="385"/>
        <v>0</v>
      </c>
      <c r="AW478" s="123"/>
      <c r="AY478" s="535">
        <f>+Details!F478-Base!F478</f>
        <v>0</v>
      </c>
      <c r="AZ478" s="870">
        <f>+Details!G478-Base!G478</f>
        <v>0</v>
      </c>
      <c r="BA478" s="870">
        <f>+Details!H478-Base!H478</f>
        <v>0</v>
      </c>
      <c r="BB478" s="870">
        <f>+Details!I478-Base!I478</f>
        <v>0</v>
      </c>
      <c r="BC478" s="870">
        <f>+Details!J478-Base!J478</f>
        <v>0</v>
      </c>
      <c r="BD478" s="870">
        <f>+Details!K478-Base!K478</f>
        <v>0</v>
      </c>
      <c r="BE478" s="870">
        <f>+Details!L478-Base!L478</f>
        <v>0</v>
      </c>
      <c r="BF478" s="870">
        <f>+Details!M478-Base!M478</f>
        <v>0</v>
      </c>
      <c r="BG478" s="870">
        <f>+Details!N478-Base!N478</f>
        <v>0</v>
      </c>
      <c r="BH478" s="870">
        <f>+Details!O478-Base!O478</f>
        <v>0</v>
      </c>
      <c r="BI478" s="870">
        <f>+Details!P478-Base!P478</f>
        <v>0</v>
      </c>
      <c r="BJ478" s="870">
        <f>+Details!Q478-Base!Q478</f>
        <v>0</v>
      </c>
      <c r="BK478" s="870">
        <f>+Details!R478-Base!R478</f>
        <v>0</v>
      </c>
      <c r="BL478" s="870">
        <f>+Details!S478-Base!S478</f>
        <v>0</v>
      </c>
      <c r="BM478" s="870">
        <f>+Details!T478-Base!T478</f>
        <v>0</v>
      </c>
      <c r="BN478" s="870">
        <f>+Details!U478-Base!U478</f>
        <v>0</v>
      </c>
      <c r="BO478" s="870">
        <f>+Details!V478-Base!V478</f>
        <v>0</v>
      </c>
      <c r="BP478" s="870">
        <f>+Details!W478-Base!W478</f>
        <v>0</v>
      </c>
      <c r="BQ478" s="870">
        <f>+Details!X478-Base!X478</f>
        <v>0</v>
      </c>
      <c r="BR478" s="870">
        <f>+Details!Y478-Base!Y478</f>
        <v>0</v>
      </c>
      <c r="BS478" s="870">
        <f>+Details!Z478-Base!Z478</f>
        <v>0</v>
      </c>
      <c r="BT478" s="870">
        <f>+Details!AA478-Base!AA478</f>
        <v>0</v>
      </c>
      <c r="BU478" s="870">
        <f>+Details!AB478-Base!AB478</f>
        <v>0</v>
      </c>
      <c r="BV478" s="870">
        <f>+Details!AC478-Base!AC478</f>
        <v>0</v>
      </c>
      <c r="BW478" s="870">
        <f>+Details!AD478-Base!AD478</f>
        <v>0</v>
      </c>
      <c r="BX478" s="870">
        <f>+Details!AE478-Base!AE478</f>
        <v>0</v>
      </c>
      <c r="BY478" s="870">
        <f>+Details!AF478-Base!AF478</f>
        <v>0</v>
      </c>
      <c r="BZ478" s="870">
        <f>+Details!AG478-Base!AG478</f>
        <v>0</v>
      </c>
      <c r="CA478" s="870">
        <f>+Details!AH478-Base!AH478</f>
        <v>0</v>
      </c>
      <c r="CB478" s="870">
        <f>+Details!AI478-Base!AI478</f>
        <v>0</v>
      </c>
      <c r="CC478" s="870">
        <f>+Details!AJ478-Base!AJ478</f>
        <v>0</v>
      </c>
      <c r="CD478" s="870">
        <f>+Details!AK478-Base!AK478</f>
        <v>0</v>
      </c>
      <c r="CE478" s="870">
        <f>+Details!AL478-Base!AL478</f>
        <v>0</v>
      </c>
      <c r="CF478" s="870">
        <f>+Details!AM478-Base!AM478</f>
        <v>0</v>
      </c>
      <c r="CG478" s="870">
        <f>+Details!AN478-Base!AN478</f>
        <v>0</v>
      </c>
      <c r="CH478" s="870">
        <f>+Details!AO478-Base!AO478</f>
        <v>0</v>
      </c>
      <c r="CI478" s="870">
        <f>+Details!AP478-Base!AP478</f>
        <v>0</v>
      </c>
      <c r="CJ478" s="870">
        <f>+Details!AQ478-Base!AQ478</f>
        <v>0</v>
      </c>
      <c r="CK478" s="870">
        <f>+Details!AR478-Base!AR478</f>
        <v>0</v>
      </c>
      <c r="CL478" s="870">
        <f>+Details!AS478-Base!AS478</f>
        <v>0</v>
      </c>
    </row>
    <row r="479" spans="2:90">
      <c r="B479" s="43" t="s">
        <v>452</v>
      </c>
      <c r="C479" s="136"/>
      <c r="F479" s="117">
        <f t="shared" ref="F479:AS479" si="386">IF(AND(Use_Class="c",F$4&gt;=Change_Age),Taxable_Return2,Taxable_Return)</f>
        <v>0.05</v>
      </c>
      <c r="G479" s="117">
        <f t="shared" si="386"/>
        <v>0.05</v>
      </c>
      <c r="H479" s="117">
        <f t="shared" si="386"/>
        <v>0.05</v>
      </c>
      <c r="I479" s="117">
        <f t="shared" si="386"/>
        <v>0.05</v>
      </c>
      <c r="J479" s="117">
        <f t="shared" si="386"/>
        <v>0.05</v>
      </c>
      <c r="K479" s="117">
        <f t="shared" si="386"/>
        <v>0.05</v>
      </c>
      <c r="L479" s="117">
        <f t="shared" si="386"/>
        <v>0.05</v>
      </c>
      <c r="M479" s="117">
        <f t="shared" si="386"/>
        <v>0.05</v>
      </c>
      <c r="N479" s="117">
        <f t="shared" si="386"/>
        <v>0.05</v>
      </c>
      <c r="O479" s="117">
        <f t="shared" si="386"/>
        <v>0.05</v>
      </c>
      <c r="P479" s="117">
        <f t="shared" si="386"/>
        <v>0.05</v>
      </c>
      <c r="Q479" s="117">
        <f t="shared" si="386"/>
        <v>0.05</v>
      </c>
      <c r="R479" s="117">
        <f t="shared" si="386"/>
        <v>0.05</v>
      </c>
      <c r="S479" s="117">
        <f t="shared" si="386"/>
        <v>0.05</v>
      </c>
      <c r="T479" s="117">
        <f t="shared" si="386"/>
        <v>0.05</v>
      </c>
      <c r="U479" s="117">
        <f t="shared" si="386"/>
        <v>0.05</v>
      </c>
      <c r="V479" s="117">
        <f t="shared" si="386"/>
        <v>0.05</v>
      </c>
      <c r="W479" s="117">
        <f t="shared" si="386"/>
        <v>0.05</v>
      </c>
      <c r="X479" s="117">
        <f t="shared" si="386"/>
        <v>4.1000000000000002E-2</v>
      </c>
      <c r="Y479" s="117">
        <f t="shared" si="386"/>
        <v>4.1000000000000002E-2</v>
      </c>
      <c r="Z479" s="117">
        <f t="shared" si="386"/>
        <v>4.1000000000000002E-2</v>
      </c>
      <c r="AA479" s="117">
        <f t="shared" si="386"/>
        <v>4.1000000000000002E-2</v>
      </c>
      <c r="AB479" s="117">
        <f t="shared" si="386"/>
        <v>4.1000000000000002E-2</v>
      </c>
      <c r="AC479" s="117">
        <f t="shared" si="386"/>
        <v>4.1000000000000002E-2</v>
      </c>
      <c r="AD479" s="117">
        <f t="shared" si="386"/>
        <v>4.1000000000000002E-2</v>
      </c>
      <c r="AE479" s="117">
        <f t="shared" si="386"/>
        <v>4.1000000000000002E-2</v>
      </c>
      <c r="AF479" s="117">
        <f t="shared" si="386"/>
        <v>4.1000000000000002E-2</v>
      </c>
      <c r="AG479" s="117">
        <f t="shared" si="386"/>
        <v>4.1000000000000002E-2</v>
      </c>
      <c r="AH479" s="117">
        <f t="shared" si="386"/>
        <v>4.1000000000000002E-2</v>
      </c>
      <c r="AI479" s="117">
        <f t="shared" si="386"/>
        <v>4.1000000000000002E-2</v>
      </c>
      <c r="AJ479" s="117">
        <f t="shared" si="386"/>
        <v>4.1000000000000002E-2</v>
      </c>
      <c r="AK479" s="117">
        <f t="shared" si="386"/>
        <v>4.1000000000000002E-2</v>
      </c>
      <c r="AL479" s="117">
        <f t="shared" si="386"/>
        <v>4.1000000000000002E-2</v>
      </c>
      <c r="AM479" s="117">
        <f t="shared" si="386"/>
        <v>4.1000000000000002E-2</v>
      </c>
      <c r="AN479" s="117">
        <f t="shared" si="386"/>
        <v>4.1000000000000002E-2</v>
      </c>
      <c r="AO479" s="117">
        <f t="shared" si="386"/>
        <v>4.1000000000000002E-2</v>
      </c>
      <c r="AP479" s="117">
        <f t="shared" si="386"/>
        <v>4.1000000000000002E-2</v>
      </c>
      <c r="AQ479" s="117">
        <f t="shared" si="386"/>
        <v>4.1000000000000002E-2</v>
      </c>
      <c r="AR479" s="117">
        <f t="shared" si="386"/>
        <v>4.1000000000000002E-2</v>
      </c>
      <c r="AS479" s="117">
        <f t="shared" si="386"/>
        <v>4.1000000000000002E-2</v>
      </c>
      <c r="AW479" s="191"/>
      <c r="AY479" s="31">
        <f>+Details!F479-Base!F479</f>
        <v>0</v>
      </c>
      <c r="AZ479" s="117">
        <f>+Details!G479-Base!G479</f>
        <v>0</v>
      </c>
      <c r="BA479" s="117">
        <f>+Details!H479-Base!H479</f>
        <v>0</v>
      </c>
      <c r="BB479" s="117">
        <f>+Details!I479-Base!I479</f>
        <v>0</v>
      </c>
      <c r="BC479" s="117">
        <f>+Details!J479-Base!J479</f>
        <v>0</v>
      </c>
      <c r="BD479" s="117">
        <f>+Details!K479-Base!K479</f>
        <v>0</v>
      </c>
      <c r="BE479" s="117">
        <f>+Details!L479-Base!L479</f>
        <v>0</v>
      </c>
      <c r="BF479" s="117">
        <f>+Details!M479-Base!M479</f>
        <v>0</v>
      </c>
      <c r="BG479" s="117">
        <f>+Details!N479-Base!N479</f>
        <v>0</v>
      </c>
      <c r="BH479" s="117">
        <f>+Details!O479-Base!O479</f>
        <v>0</v>
      </c>
      <c r="BI479" s="117">
        <f>+Details!P479-Base!P479</f>
        <v>0</v>
      </c>
      <c r="BJ479" s="117">
        <f>+Details!Q479-Base!Q479</f>
        <v>0</v>
      </c>
      <c r="BK479" s="117">
        <f>+Details!R479-Base!R479</f>
        <v>0</v>
      </c>
      <c r="BL479" s="117">
        <f>+Details!S479-Base!S479</f>
        <v>0</v>
      </c>
      <c r="BM479" s="117">
        <f>+Details!T479-Base!T479</f>
        <v>0</v>
      </c>
      <c r="BN479" s="117">
        <f>+Details!U479-Base!U479</f>
        <v>0</v>
      </c>
      <c r="BO479" s="117">
        <f>+Details!V479-Base!V479</f>
        <v>0</v>
      </c>
      <c r="BP479" s="117">
        <f>+Details!W479-Base!W479</f>
        <v>0</v>
      </c>
      <c r="BQ479" s="117">
        <f>+Details!X479-Base!X479</f>
        <v>0</v>
      </c>
      <c r="BR479" s="117">
        <f>+Details!Y479-Base!Y479</f>
        <v>0</v>
      </c>
      <c r="BS479" s="117">
        <f>+Details!Z479-Base!Z479</f>
        <v>0</v>
      </c>
      <c r="BT479" s="117">
        <f>+Details!AA479-Base!AA479</f>
        <v>0</v>
      </c>
      <c r="BU479" s="117">
        <f>+Details!AB479-Base!AB479</f>
        <v>0</v>
      </c>
      <c r="BV479" s="117">
        <f>+Details!AC479-Base!AC479</f>
        <v>0</v>
      </c>
      <c r="BW479" s="117">
        <f>+Details!AD479-Base!AD479</f>
        <v>0</v>
      </c>
      <c r="BX479" s="117">
        <f>+Details!AE479-Base!AE479</f>
        <v>0</v>
      </c>
      <c r="BY479" s="117">
        <f>+Details!AF479-Base!AF479</f>
        <v>0</v>
      </c>
      <c r="BZ479" s="117">
        <f>+Details!AG479-Base!AG479</f>
        <v>0</v>
      </c>
      <c r="CA479" s="117">
        <f>+Details!AH479-Base!AH479</f>
        <v>0</v>
      </c>
      <c r="CB479" s="117">
        <f>+Details!AI479-Base!AI479</f>
        <v>0</v>
      </c>
      <c r="CC479" s="117">
        <f>+Details!AJ479-Base!AJ479</f>
        <v>0</v>
      </c>
      <c r="CD479" s="117">
        <f>+Details!AK479-Base!AK479</f>
        <v>0</v>
      </c>
      <c r="CE479" s="117">
        <f>+Details!AL479-Base!AL479</f>
        <v>0</v>
      </c>
      <c r="CF479" s="117">
        <f>+Details!AM479-Base!AM479</f>
        <v>0</v>
      </c>
      <c r="CG479" s="117">
        <f>+Details!AN479-Base!AN479</f>
        <v>0</v>
      </c>
      <c r="CH479" s="117">
        <f>+Details!AO479-Base!AO479</f>
        <v>0</v>
      </c>
      <c r="CI479" s="117">
        <f>+Details!AP479-Base!AP479</f>
        <v>0</v>
      </c>
      <c r="CJ479" s="117">
        <f>+Details!AQ479-Base!AQ479</f>
        <v>0</v>
      </c>
      <c r="CK479" s="117">
        <f>+Details!AR479-Base!AR479</f>
        <v>0</v>
      </c>
      <c r="CL479" s="117">
        <f>+Details!AS479-Base!AS479</f>
        <v>0</v>
      </c>
    </row>
    <row r="480" spans="2:90">
      <c r="B480" s="43" t="s">
        <v>454</v>
      </c>
      <c r="C480" s="136"/>
      <c r="E480" s="65">
        <f>SUM(F480:AS480)</f>
        <v>748711.2</v>
      </c>
      <c r="F480" s="92">
        <f>+F478*F479</f>
        <v>9562.5</v>
      </c>
      <c r="G480" s="92">
        <f>+G478*G479</f>
        <v>9300</v>
      </c>
      <c r="H480" s="92">
        <f>+H478*H479</f>
        <v>8917.5</v>
      </c>
      <c r="I480" s="92">
        <f>+I478*I479</f>
        <v>8277.5</v>
      </c>
      <c r="J480" s="92">
        <f>+J478*J479</f>
        <v>7657.5</v>
      </c>
      <c r="K480" s="92">
        <f t="shared" ref="K480:AS480" si="387">+K478*K479</f>
        <v>7617.5</v>
      </c>
      <c r="L480" s="92">
        <f t="shared" si="387"/>
        <v>8050</v>
      </c>
      <c r="M480" s="92">
        <f t="shared" si="387"/>
        <v>8562.5</v>
      </c>
      <c r="N480" s="92">
        <f t="shared" si="387"/>
        <v>9350</v>
      </c>
      <c r="O480" s="92">
        <f t="shared" si="387"/>
        <v>10870</v>
      </c>
      <c r="P480" s="92">
        <f t="shared" si="387"/>
        <v>10662.5</v>
      </c>
      <c r="Q480" s="92">
        <f t="shared" si="387"/>
        <v>11502.5</v>
      </c>
      <c r="R480" s="92">
        <f t="shared" si="387"/>
        <v>14040</v>
      </c>
      <c r="S480" s="92">
        <f t="shared" si="387"/>
        <v>15817.5</v>
      </c>
      <c r="T480" s="92">
        <f t="shared" si="387"/>
        <v>16012.5</v>
      </c>
      <c r="U480" s="92">
        <f t="shared" si="387"/>
        <v>18012.5</v>
      </c>
      <c r="V480" s="92">
        <f t="shared" si="387"/>
        <v>22380</v>
      </c>
      <c r="W480" s="92">
        <f t="shared" si="387"/>
        <v>25240</v>
      </c>
      <c r="X480" s="92">
        <f t="shared" si="387"/>
        <v>22654.55</v>
      </c>
      <c r="Y480" s="92">
        <f t="shared" si="387"/>
        <v>24028.05</v>
      </c>
      <c r="Z480" s="92">
        <f t="shared" si="387"/>
        <v>25493.8</v>
      </c>
      <c r="AA480" s="92">
        <f t="shared" si="387"/>
        <v>27084.600000000002</v>
      </c>
      <c r="AB480" s="92">
        <f t="shared" si="387"/>
        <v>37000.450000000004</v>
      </c>
      <c r="AC480" s="92">
        <f t="shared" si="387"/>
        <v>47309.9</v>
      </c>
      <c r="AD480" s="92">
        <f t="shared" si="387"/>
        <v>51457.05</v>
      </c>
      <c r="AE480" s="92">
        <f t="shared" si="387"/>
        <v>55101.950000000004</v>
      </c>
      <c r="AF480" s="92">
        <f t="shared" si="387"/>
        <v>56832.15</v>
      </c>
      <c r="AG480" s="92">
        <f t="shared" si="387"/>
        <v>58429.100000000006</v>
      </c>
      <c r="AH480" s="92">
        <f t="shared" si="387"/>
        <v>59960.450000000004</v>
      </c>
      <c r="AI480" s="92">
        <f t="shared" si="387"/>
        <v>61526.65</v>
      </c>
      <c r="AJ480" s="92">
        <f t="shared" si="387"/>
        <v>0</v>
      </c>
      <c r="AK480" s="92">
        <f t="shared" si="387"/>
        <v>0</v>
      </c>
      <c r="AL480" s="92">
        <f t="shared" si="387"/>
        <v>0</v>
      </c>
      <c r="AM480" s="92">
        <f t="shared" si="387"/>
        <v>0</v>
      </c>
      <c r="AN480" s="92">
        <f t="shared" si="387"/>
        <v>0</v>
      </c>
      <c r="AO480" s="92">
        <f t="shared" si="387"/>
        <v>0</v>
      </c>
      <c r="AP480" s="92">
        <f t="shared" si="387"/>
        <v>0</v>
      </c>
      <c r="AQ480" s="92">
        <f t="shared" si="387"/>
        <v>0</v>
      </c>
      <c r="AR480" s="92">
        <f t="shared" si="387"/>
        <v>0</v>
      </c>
      <c r="AS480" s="92">
        <f t="shared" si="387"/>
        <v>0</v>
      </c>
      <c r="AW480" s="191"/>
      <c r="AY480" s="31">
        <f>+Details!F480-Base!F480</f>
        <v>0</v>
      </c>
      <c r="AZ480" s="92">
        <f>+Details!G480-Base!G480</f>
        <v>0</v>
      </c>
      <c r="BA480" s="92">
        <f>+Details!H480-Base!H480</f>
        <v>0</v>
      </c>
      <c r="BB480" s="92">
        <f>+Details!I480-Base!I480</f>
        <v>0</v>
      </c>
      <c r="BC480" s="92">
        <f>+Details!J480-Base!J480</f>
        <v>0</v>
      </c>
      <c r="BD480" s="92">
        <f>+Details!K480-Base!K480</f>
        <v>0</v>
      </c>
      <c r="BE480" s="92">
        <f>+Details!L480-Base!L480</f>
        <v>0</v>
      </c>
      <c r="BF480" s="92">
        <f>+Details!M480-Base!M480</f>
        <v>0</v>
      </c>
      <c r="BG480" s="92">
        <f>+Details!N480-Base!N480</f>
        <v>0</v>
      </c>
      <c r="BH480" s="92">
        <f>+Details!O480-Base!O480</f>
        <v>0</v>
      </c>
      <c r="BI480" s="92">
        <f>+Details!P480-Base!P480</f>
        <v>0</v>
      </c>
      <c r="BJ480" s="92">
        <f>+Details!Q480-Base!Q480</f>
        <v>0</v>
      </c>
      <c r="BK480" s="92">
        <f>+Details!R480-Base!R480</f>
        <v>0</v>
      </c>
      <c r="BL480" s="92">
        <f>+Details!S480-Base!S480</f>
        <v>0</v>
      </c>
      <c r="BM480" s="92">
        <f>+Details!T480-Base!T480</f>
        <v>0</v>
      </c>
      <c r="BN480" s="92">
        <f>+Details!U480-Base!U480</f>
        <v>0</v>
      </c>
      <c r="BO480" s="92">
        <f>+Details!V480-Base!V480</f>
        <v>0</v>
      </c>
      <c r="BP480" s="92">
        <f>+Details!W480-Base!W480</f>
        <v>0</v>
      </c>
      <c r="BQ480" s="92">
        <f>+Details!X480-Base!X480</f>
        <v>0</v>
      </c>
      <c r="BR480" s="92">
        <f>+Details!Y480-Base!Y480</f>
        <v>0</v>
      </c>
      <c r="BS480" s="92">
        <f>+Details!Z480-Base!Z480</f>
        <v>0</v>
      </c>
      <c r="BT480" s="92">
        <f>+Details!AA480-Base!AA480</f>
        <v>0</v>
      </c>
      <c r="BU480" s="92">
        <f>+Details!AB480-Base!AB480</f>
        <v>0</v>
      </c>
      <c r="BV480" s="92">
        <f>+Details!AC480-Base!AC480</f>
        <v>0</v>
      </c>
      <c r="BW480" s="92">
        <f>+Details!AD480-Base!AD480</f>
        <v>0</v>
      </c>
      <c r="BX480" s="92">
        <f>+Details!AE480-Base!AE480</f>
        <v>0</v>
      </c>
      <c r="BY480" s="92">
        <f>+Details!AF480-Base!AF480</f>
        <v>0</v>
      </c>
      <c r="BZ480" s="92">
        <f>+Details!AG480-Base!AG480</f>
        <v>0</v>
      </c>
      <c r="CA480" s="92">
        <f>+Details!AH480-Base!AH480</f>
        <v>0</v>
      </c>
      <c r="CB480" s="92">
        <f>+Details!AI480-Base!AI480</f>
        <v>0</v>
      </c>
      <c r="CC480" s="92">
        <f>+Details!AJ480-Base!AJ480</f>
        <v>0</v>
      </c>
      <c r="CD480" s="92">
        <f>+Details!AK480-Base!AK480</f>
        <v>0</v>
      </c>
      <c r="CE480" s="92">
        <f>+Details!AL480-Base!AL480</f>
        <v>0</v>
      </c>
      <c r="CF480" s="92">
        <f>+Details!AM480-Base!AM480</f>
        <v>0</v>
      </c>
      <c r="CG480" s="92">
        <f>+Details!AN480-Base!AN480</f>
        <v>0</v>
      </c>
      <c r="CH480" s="92">
        <f>+Details!AO480-Base!AO480</f>
        <v>0</v>
      </c>
      <c r="CI480" s="92">
        <f>+Details!AP480-Base!AP480</f>
        <v>0</v>
      </c>
      <c r="CJ480" s="92">
        <f>+Details!AQ480-Base!AQ480</f>
        <v>0</v>
      </c>
      <c r="CK480" s="92">
        <f>+Details!AR480-Base!AR480</f>
        <v>0</v>
      </c>
      <c r="CL480" s="92">
        <f>+Details!AS480-Base!AS480</f>
        <v>0</v>
      </c>
    </row>
    <row r="481" spans="2:90" ht="15.6">
      <c r="B481" s="861" t="s">
        <v>1603</v>
      </c>
      <c r="C481" s="66"/>
      <c r="D481" s="22"/>
      <c r="E481" s="869">
        <f>SUM(F481:AS481)</f>
        <v>748900</v>
      </c>
      <c r="F481" s="870">
        <f t="shared" ref="F481:AS481" si="388">ROUND(+F480/Round_To,0)*Round_To</f>
        <v>9600</v>
      </c>
      <c r="G481" s="870">
        <f t="shared" si="388"/>
        <v>9300</v>
      </c>
      <c r="H481" s="870">
        <f t="shared" si="388"/>
        <v>8900</v>
      </c>
      <c r="I481" s="870">
        <f t="shared" si="388"/>
        <v>8300</v>
      </c>
      <c r="J481" s="870">
        <f t="shared" si="388"/>
        <v>7700</v>
      </c>
      <c r="K481" s="870">
        <f t="shared" si="388"/>
        <v>7600</v>
      </c>
      <c r="L481" s="870">
        <f t="shared" si="388"/>
        <v>8100</v>
      </c>
      <c r="M481" s="870">
        <f t="shared" si="388"/>
        <v>8600</v>
      </c>
      <c r="N481" s="870">
        <f t="shared" si="388"/>
        <v>9400</v>
      </c>
      <c r="O481" s="870">
        <f t="shared" si="388"/>
        <v>10900</v>
      </c>
      <c r="P481" s="870">
        <f t="shared" si="388"/>
        <v>10700</v>
      </c>
      <c r="Q481" s="870">
        <f t="shared" si="388"/>
        <v>11500</v>
      </c>
      <c r="R481" s="870">
        <f t="shared" si="388"/>
        <v>14000</v>
      </c>
      <c r="S481" s="870">
        <f t="shared" si="388"/>
        <v>15800</v>
      </c>
      <c r="T481" s="870">
        <f t="shared" si="388"/>
        <v>16000</v>
      </c>
      <c r="U481" s="870">
        <f t="shared" si="388"/>
        <v>18000</v>
      </c>
      <c r="V481" s="870">
        <f t="shared" si="388"/>
        <v>22400</v>
      </c>
      <c r="W481" s="870">
        <f t="shared" si="388"/>
        <v>25200</v>
      </c>
      <c r="X481" s="870">
        <f t="shared" si="388"/>
        <v>22700</v>
      </c>
      <c r="Y481" s="870">
        <f t="shared" si="388"/>
        <v>24000</v>
      </c>
      <c r="Z481" s="870">
        <f t="shared" si="388"/>
        <v>25500</v>
      </c>
      <c r="AA481" s="870">
        <f t="shared" si="388"/>
        <v>27100</v>
      </c>
      <c r="AB481" s="870">
        <f t="shared" si="388"/>
        <v>37000</v>
      </c>
      <c r="AC481" s="870">
        <f t="shared" si="388"/>
        <v>47300</v>
      </c>
      <c r="AD481" s="870">
        <f t="shared" si="388"/>
        <v>51500</v>
      </c>
      <c r="AE481" s="870">
        <f t="shared" si="388"/>
        <v>55100</v>
      </c>
      <c r="AF481" s="870">
        <f t="shared" si="388"/>
        <v>56800</v>
      </c>
      <c r="AG481" s="870">
        <f t="shared" si="388"/>
        <v>58400</v>
      </c>
      <c r="AH481" s="870">
        <f t="shared" si="388"/>
        <v>60000</v>
      </c>
      <c r="AI481" s="870">
        <f t="shared" si="388"/>
        <v>61500</v>
      </c>
      <c r="AJ481" s="870">
        <f t="shared" si="388"/>
        <v>0</v>
      </c>
      <c r="AK481" s="870">
        <f t="shared" si="388"/>
        <v>0</v>
      </c>
      <c r="AL481" s="870">
        <f t="shared" si="388"/>
        <v>0</v>
      </c>
      <c r="AM481" s="870">
        <f t="shared" si="388"/>
        <v>0</v>
      </c>
      <c r="AN481" s="870">
        <f t="shared" si="388"/>
        <v>0</v>
      </c>
      <c r="AO481" s="870">
        <f t="shared" si="388"/>
        <v>0</v>
      </c>
      <c r="AP481" s="870">
        <f t="shared" si="388"/>
        <v>0</v>
      </c>
      <c r="AQ481" s="870">
        <f t="shared" si="388"/>
        <v>0</v>
      </c>
      <c r="AR481" s="870">
        <f t="shared" si="388"/>
        <v>0</v>
      </c>
      <c r="AS481" s="870">
        <f t="shared" si="388"/>
        <v>0</v>
      </c>
      <c r="AW481" s="123"/>
      <c r="AY481" s="535">
        <f>+Details!F481-Base!F481</f>
        <v>0</v>
      </c>
      <c r="AZ481" s="870">
        <f>+Details!G481-Base!G481</f>
        <v>0</v>
      </c>
      <c r="BA481" s="870">
        <f>+Details!H481-Base!H481</f>
        <v>0</v>
      </c>
      <c r="BB481" s="870">
        <f>+Details!I481-Base!I481</f>
        <v>0</v>
      </c>
      <c r="BC481" s="870">
        <f>+Details!J481-Base!J481</f>
        <v>0</v>
      </c>
      <c r="BD481" s="870">
        <f>+Details!K481-Base!K481</f>
        <v>0</v>
      </c>
      <c r="BE481" s="870">
        <f>+Details!L481-Base!L481</f>
        <v>0</v>
      </c>
      <c r="BF481" s="870">
        <f>+Details!M481-Base!M481</f>
        <v>0</v>
      </c>
      <c r="BG481" s="870">
        <f>+Details!N481-Base!N481</f>
        <v>0</v>
      </c>
      <c r="BH481" s="870">
        <f>+Details!O481-Base!O481</f>
        <v>0</v>
      </c>
      <c r="BI481" s="870">
        <f>+Details!P481-Base!P481</f>
        <v>0</v>
      </c>
      <c r="BJ481" s="870">
        <f>+Details!Q481-Base!Q481</f>
        <v>0</v>
      </c>
      <c r="BK481" s="870">
        <f>+Details!R481-Base!R481</f>
        <v>0</v>
      </c>
      <c r="BL481" s="870">
        <f>+Details!S481-Base!S481</f>
        <v>0</v>
      </c>
      <c r="BM481" s="870">
        <f>+Details!T481-Base!T481</f>
        <v>0</v>
      </c>
      <c r="BN481" s="870">
        <f>+Details!U481-Base!U481</f>
        <v>0</v>
      </c>
      <c r="BO481" s="870">
        <f>+Details!V481-Base!V481</f>
        <v>0</v>
      </c>
      <c r="BP481" s="870">
        <f>+Details!W481-Base!W481</f>
        <v>0</v>
      </c>
      <c r="BQ481" s="870">
        <f>+Details!X481-Base!X481</f>
        <v>0</v>
      </c>
      <c r="BR481" s="870">
        <f>+Details!Y481-Base!Y481</f>
        <v>0</v>
      </c>
      <c r="BS481" s="870">
        <f>+Details!Z481-Base!Z481</f>
        <v>0</v>
      </c>
      <c r="BT481" s="870">
        <f>+Details!AA481-Base!AA481</f>
        <v>0</v>
      </c>
      <c r="BU481" s="870">
        <f>+Details!AB481-Base!AB481</f>
        <v>0</v>
      </c>
      <c r="BV481" s="870">
        <f>+Details!AC481-Base!AC481</f>
        <v>0</v>
      </c>
      <c r="BW481" s="870">
        <f>+Details!AD481-Base!AD481</f>
        <v>0</v>
      </c>
      <c r="BX481" s="870">
        <f>+Details!AE481-Base!AE481</f>
        <v>0</v>
      </c>
      <c r="BY481" s="870">
        <f>+Details!AF481-Base!AF481</f>
        <v>0</v>
      </c>
      <c r="BZ481" s="870">
        <f>+Details!AG481-Base!AG481</f>
        <v>0</v>
      </c>
      <c r="CA481" s="870">
        <f>+Details!AH481-Base!AH481</f>
        <v>0</v>
      </c>
      <c r="CB481" s="870">
        <f>+Details!AI481-Base!AI481</f>
        <v>0</v>
      </c>
      <c r="CC481" s="870">
        <f>+Details!AJ481-Base!AJ481</f>
        <v>0</v>
      </c>
      <c r="CD481" s="870">
        <f>+Details!AK481-Base!AK481</f>
        <v>0</v>
      </c>
      <c r="CE481" s="870">
        <f>+Details!AL481-Base!AL481</f>
        <v>0</v>
      </c>
      <c r="CF481" s="870">
        <f>+Details!AM481-Base!AM481</f>
        <v>0</v>
      </c>
      <c r="CG481" s="870">
        <f>+Details!AN481-Base!AN481</f>
        <v>0</v>
      </c>
      <c r="CH481" s="870">
        <f>+Details!AO481-Base!AO481</f>
        <v>0</v>
      </c>
      <c r="CI481" s="870">
        <f>+Details!AP481-Base!AP481</f>
        <v>0</v>
      </c>
      <c r="CJ481" s="870">
        <f>+Details!AQ481-Base!AQ481</f>
        <v>0</v>
      </c>
      <c r="CK481" s="870">
        <f>+Details!AR481-Base!AR481</f>
        <v>0</v>
      </c>
      <c r="CL481" s="870">
        <f>+Details!AS481-Base!AS481</f>
        <v>0</v>
      </c>
    </row>
    <row r="482" spans="2:90">
      <c r="B482" s="43" t="s">
        <v>397</v>
      </c>
      <c r="C482" s="136"/>
      <c r="E482" s="65">
        <f>SUM(F482:AS482)</f>
        <v>0</v>
      </c>
      <c r="F482" s="92">
        <f t="shared" ref="F482:AS482" si="389">+F28-F481</f>
        <v>0</v>
      </c>
      <c r="G482" s="92">
        <f t="shared" si="389"/>
        <v>0</v>
      </c>
      <c r="H482" s="92">
        <f t="shared" si="389"/>
        <v>0</v>
      </c>
      <c r="I482" s="92">
        <f t="shared" si="389"/>
        <v>0</v>
      </c>
      <c r="J482" s="92">
        <f t="shared" si="389"/>
        <v>0</v>
      </c>
      <c r="K482" s="92">
        <f t="shared" si="389"/>
        <v>0</v>
      </c>
      <c r="L482" s="92">
        <f t="shared" si="389"/>
        <v>0</v>
      </c>
      <c r="M482" s="92">
        <f t="shared" si="389"/>
        <v>0</v>
      </c>
      <c r="N482" s="92">
        <f t="shared" si="389"/>
        <v>0</v>
      </c>
      <c r="O482" s="92">
        <f t="shared" si="389"/>
        <v>0</v>
      </c>
      <c r="P482" s="92">
        <f t="shared" si="389"/>
        <v>0</v>
      </c>
      <c r="Q482" s="92">
        <f t="shared" si="389"/>
        <v>0</v>
      </c>
      <c r="R482" s="92">
        <f t="shared" si="389"/>
        <v>0</v>
      </c>
      <c r="S482" s="92">
        <f t="shared" si="389"/>
        <v>0</v>
      </c>
      <c r="T482" s="92">
        <f t="shared" si="389"/>
        <v>0</v>
      </c>
      <c r="U482" s="92">
        <f t="shared" si="389"/>
        <v>0</v>
      </c>
      <c r="V482" s="92">
        <f t="shared" si="389"/>
        <v>0</v>
      </c>
      <c r="W482" s="92">
        <f t="shared" si="389"/>
        <v>0</v>
      </c>
      <c r="X482" s="92">
        <f t="shared" si="389"/>
        <v>0</v>
      </c>
      <c r="Y482" s="92">
        <f t="shared" si="389"/>
        <v>0</v>
      </c>
      <c r="Z482" s="92">
        <f t="shared" si="389"/>
        <v>0</v>
      </c>
      <c r="AA482" s="92">
        <f t="shared" si="389"/>
        <v>0</v>
      </c>
      <c r="AB482" s="92">
        <f t="shared" si="389"/>
        <v>0</v>
      </c>
      <c r="AC482" s="92">
        <f t="shared" si="389"/>
        <v>0</v>
      </c>
      <c r="AD482" s="92">
        <f t="shared" si="389"/>
        <v>0</v>
      </c>
      <c r="AE482" s="92">
        <f t="shared" si="389"/>
        <v>0</v>
      </c>
      <c r="AF482" s="92">
        <f t="shared" si="389"/>
        <v>0</v>
      </c>
      <c r="AG482" s="92">
        <f t="shared" si="389"/>
        <v>0</v>
      </c>
      <c r="AH482" s="92">
        <f t="shared" si="389"/>
        <v>0</v>
      </c>
      <c r="AI482" s="92">
        <f t="shared" si="389"/>
        <v>0</v>
      </c>
      <c r="AJ482" s="92">
        <f t="shared" si="389"/>
        <v>0</v>
      </c>
      <c r="AK482" s="92">
        <f t="shared" si="389"/>
        <v>0</v>
      </c>
      <c r="AL482" s="92">
        <f t="shared" si="389"/>
        <v>0</v>
      </c>
      <c r="AM482" s="92">
        <f t="shared" si="389"/>
        <v>0</v>
      </c>
      <c r="AN482" s="92">
        <f t="shared" si="389"/>
        <v>0</v>
      </c>
      <c r="AO482" s="92">
        <f t="shared" si="389"/>
        <v>0</v>
      </c>
      <c r="AP482" s="92">
        <f t="shared" si="389"/>
        <v>0</v>
      </c>
      <c r="AQ482" s="92">
        <f t="shared" si="389"/>
        <v>0</v>
      </c>
      <c r="AR482" s="92">
        <f t="shared" si="389"/>
        <v>0</v>
      </c>
      <c r="AS482" s="92">
        <f t="shared" si="389"/>
        <v>0</v>
      </c>
      <c r="AW482" s="191"/>
      <c r="AY482" s="31">
        <f>+Details!F482-Base!F482</f>
        <v>0</v>
      </c>
      <c r="AZ482" s="92">
        <f>+Details!G482-Base!G482</f>
        <v>0</v>
      </c>
      <c r="BA482" s="92">
        <f>+Details!H482-Base!H482</f>
        <v>0</v>
      </c>
      <c r="BB482" s="92">
        <f>+Details!I482-Base!I482</f>
        <v>0</v>
      </c>
      <c r="BC482" s="92">
        <f>+Details!J482-Base!J482</f>
        <v>0</v>
      </c>
      <c r="BD482" s="92">
        <f>+Details!K482-Base!K482</f>
        <v>0</v>
      </c>
      <c r="BE482" s="92">
        <f>+Details!L482-Base!L482</f>
        <v>0</v>
      </c>
      <c r="BF482" s="92">
        <f>+Details!M482-Base!M482</f>
        <v>0</v>
      </c>
      <c r="BG482" s="92">
        <f>+Details!N482-Base!N482</f>
        <v>0</v>
      </c>
      <c r="BH482" s="92">
        <f>+Details!O482-Base!O482</f>
        <v>0</v>
      </c>
      <c r="BI482" s="92">
        <f>+Details!P482-Base!P482</f>
        <v>0</v>
      </c>
      <c r="BJ482" s="92">
        <f>+Details!Q482-Base!Q482</f>
        <v>0</v>
      </c>
      <c r="BK482" s="92">
        <f>+Details!R482-Base!R482</f>
        <v>0</v>
      </c>
      <c r="BL482" s="92">
        <f>+Details!S482-Base!S482</f>
        <v>0</v>
      </c>
      <c r="BM482" s="92">
        <f>+Details!T482-Base!T482</f>
        <v>0</v>
      </c>
      <c r="BN482" s="92">
        <f>+Details!U482-Base!U482</f>
        <v>0</v>
      </c>
      <c r="BO482" s="92">
        <f>+Details!V482-Base!V482</f>
        <v>0</v>
      </c>
      <c r="BP482" s="92">
        <f>+Details!W482-Base!W482</f>
        <v>0</v>
      </c>
      <c r="BQ482" s="92">
        <f>+Details!X482-Base!X482</f>
        <v>0</v>
      </c>
      <c r="BR482" s="92">
        <f>+Details!Y482-Base!Y482</f>
        <v>0</v>
      </c>
      <c r="BS482" s="92">
        <f>+Details!Z482-Base!Z482</f>
        <v>0</v>
      </c>
      <c r="BT482" s="92">
        <f>+Details!AA482-Base!AA482</f>
        <v>0</v>
      </c>
      <c r="BU482" s="92">
        <f>+Details!AB482-Base!AB482</f>
        <v>0</v>
      </c>
      <c r="BV482" s="92">
        <f>+Details!AC482-Base!AC482</f>
        <v>0</v>
      </c>
      <c r="BW482" s="92">
        <f>+Details!AD482-Base!AD482</f>
        <v>0</v>
      </c>
      <c r="BX482" s="92">
        <f>+Details!AE482-Base!AE482</f>
        <v>0</v>
      </c>
      <c r="BY482" s="92">
        <f>+Details!AF482-Base!AF482</f>
        <v>0</v>
      </c>
      <c r="BZ482" s="92">
        <f>+Details!AG482-Base!AG482</f>
        <v>0</v>
      </c>
      <c r="CA482" s="92">
        <f>+Details!AH482-Base!AH482</f>
        <v>0</v>
      </c>
      <c r="CB482" s="92">
        <f>+Details!AI482-Base!AI482</f>
        <v>0</v>
      </c>
      <c r="CC482" s="92">
        <f>+Details!AJ482-Base!AJ482</f>
        <v>0</v>
      </c>
      <c r="CD482" s="92">
        <f>+Details!AK482-Base!AK482</f>
        <v>0</v>
      </c>
      <c r="CE482" s="92">
        <f>+Details!AL482-Base!AL482</f>
        <v>0</v>
      </c>
      <c r="CF482" s="92">
        <f>+Details!AM482-Base!AM482</f>
        <v>0</v>
      </c>
      <c r="CG482" s="92">
        <f>+Details!AN482-Base!AN482</f>
        <v>0</v>
      </c>
      <c r="CH482" s="92">
        <f>+Details!AO482-Base!AO482</f>
        <v>0</v>
      </c>
      <c r="CI482" s="92">
        <f>+Details!AP482-Base!AP482</f>
        <v>0</v>
      </c>
      <c r="CJ482" s="92">
        <f>+Details!AQ482-Base!AQ482</f>
        <v>0</v>
      </c>
      <c r="CK482" s="92">
        <f>+Details!AR482-Base!AR482</f>
        <v>0</v>
      </c>
      <c r="CL482" s="92">
        <f>+Details!AS482-Base!AS482</f>
        <v>0</v>
      </c>
    </row>
    <row r="483" spans="2:90" ht="15.6">
      <c r="B483" s="43"/>
      <c r="C483" s="136"/>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2"/>
      <c r="AK483" s="92"/>
      <c r="AL483" s="92"/>
      <c r="AM483" s="92"/>
      <c r="AN483" s="92"/>
      <c r="AO483" s="92"/>
      <c r="AP483" s="92"/>
      <c r="AQ483" s="92"/>
      <c r="AR483" s="92"/>
      <c r="AS483" s="92"/>
      <c r="AW483" s="123"/>
      <c r="AY483" s="31"/>
      <c r="AZ483" s="92"/>
      <c r="BA483" s="92"/>
      <c r="BB483" s="92"/>
      <c r="BC483" s="92"/>
      <c r="BD483" s="92"/>
      <c r="BE483" s="92"/>
      <c r="BF483" s="92"/>
      <c r="BG483" s="92"/>
      <c r="BH483" s="92"/>
      <c r="BI483" s="92"/>
      <c r="BJ483" s="92"/>
      <c r="BK483" s="92"/>
      <c r="BL483" s="92"/>
      <c r="BM483" s="92"/>
      <c r="BN483" s="92"/>
      <c r="BO483" s="92"/>
      <c r="BP483" s="92"/>
      <c r="BQ483" s="92"/>
      <c r="BR483" s="92"/>
      <c r="BS483" s="92"/>
      <c r="BT483" s="92"/>
      <c r="BU483" s="92"/>
      <c r="BV483" s="92"/>
      <c r="BW483" s="92"/>
      <c r="BX483" s="92"/>
      <c r="BY483" s="92"/>
      <c r="BZ483" s="92"/>
      <c r="CA483" s="92"/>
      <c r="CB483" s="92"/>
      <c r="CC483" s="92"/>
      <c r="CD483" s="92"/>
      <c r="CE483" s="92"/>
      <c r="CF483" s="92"/>
      <c r="CG483" s="92"/>
      <c r="CH483" s="92"/>
      <c r="CI483" s="92"/>
      <c r="CJ483" s="92"/>
      <c r="CK483" s="92"/>
      <c r="CL483" s="92"/>
    </row>
    <row r="484" spans="2:90">
      <c r="B484" s="43" t="s">
        <v>468</v>
      </c>
      <c r="C484" s="136"/>
      <c r="E484" s="65">
        <f>SUM(F484:AS484)</f>
        <v>-368300</v>
      </c>
      <c r="F484" s="92">
        <f>-F202-F227</f>
        <v>-5000</v>
      </c>
      <c r="G484" s="92">
        <f>-G202-G227</f>
        <v>-7400</v>
      </c>
      <c r="H484" s="92">
        <f t="shared" ref="H484:AS484" si="390">-H202-H227</f>
        <v>-5000</v>
      </c>
      <c r="I484" s="92">
        <f t="shared" si="390"/>
        <v>-5100</v>
      </c>
      <c r="J484" s="92">
        <f t="shared" si="390"/>
        <v>-5200</v>
      </c>
      <c r="K484" s="92">
        <f t="shared" si="390"/>
        <v>-7600</v>
      </c>
      <c r="L484" s="92">
        <f t="shared" si="390"/>
        <v>-7600</v>
      </c>
      <c r="M484" s="92">
        <f t="shared" si="390"/>
        <v>-9100</v>
      </c>
      <c r="N484" s="92">
        <f t="shared" si="390"/>
        <v>-4700</v>
      </c>
      <c r="O484" s="92">
        <f t="shared" si="390"/>
        <v>-4800</v>
      </c>
      <c r="P484" s="92">
        <f t="shared" si="390"/>
        <v>-4900</v>
      </c>
      <c r="Q484" s="92">
        <f t="shared" si="390"/>
        <v>-5300</v>
      </c>
      <c r="R484" s="92">
        <f t="shared" si="390"/>
        <v>-6800</v>
      </c>
      <c r="S484" s="92">
        <f t="shared" si="390"/>
        <v>-7300</v>
      </c>
      <c r="T484" s="92">
        <f t="shared" si="390"/>
        <v>-10700</v>
      </c>
      <c r="U484" s="92">
        <f t="shared" si="390"/>
        <v>-12600</v>
      </c>
      <c r="V484" s="92">
        <f t="shared" si="390"/>
        <v>-12300</v>
      </c>
      <c r="W484" s="92">
        <f t="shared" si="390"/>
        <v>-12700</v>
      </c>
      <c r="X484" s="92">
        <f t="shared" si="390"/>
        <v>-11700</v>
      </c>
      <c r="Y484" s="92">
        <f t="shared" si="390"/>
        <v>-11900</v>
      </c>
      <c r="Z484" s="92">
        <f t="shared" si="390"/>
        <v>-12400</v>
      </c>
      <c r="AA484" s="92">
        <f t="shared" si="390"/>
        <v>-13100</v>
      </c>
      <c r="AB484" s="92">
        <f t="shared" si="390"/>
        <v>-17900</v>
      </c>
      <c r="AC484" s="92">
        <f t="shared" si="390"/>
        <v>-19600</v>
      </c>
      <c r="AD484" s="92">
        <f t="shared" si="390"/>
        <v>-24500</v>
      </c>
      <c r="AE484" s="92">
        <f t="shared" si="390"/>
        <v>-25500</v>
      </c>
      <c r="AF484" s="92">
        <f t="shared" si="390"/>
        <v>-25900</v>
      </c>
      <c r="AG484" s="92">
        <f t="shared" si="390"/>
        <v>-23800</v>
      </c>
      <c r="AH484" s="92">
        <f t="shared" si="390"/>
        <v>-23700</v>
      </c>
      <c r="AI484" s="92">
        <f t="shared" si="390"/>
        <v>-24200</v>
      </c>
      <c r="AJ484" s="92">
        <f t="shared" si="390"/>
        <v>0</v>
      </c>
      <c r="AK484" s="92">
        <f t="shared" si="390"/>
        <v>0</v>
      </c>
      <c r="AL484" s="92">
        <f t="shared" si="390"/>
        <v>0</v>
      </c>
      <c r="AM484" s="92">
        <f t="shared" si="390"/>
        <v>0</v>
      </c>
      <c r="AN484" s="92">
        <f t="shared" si="390"/>
        <v>0</v>
      </c>
      <c r="AO484" s="92">
        <f t="shared" si="390"/>
        <v>0</v>
      </c>
      <c r="AP484" s="92">
        <f t="shared" si="390"/>
        <v>0</v>
      </c>
      <c r="AQ484" s="92">
        <f t="shared" si="390"/>
        <v>0</v>
      </c>
      <c r="AR484" s="92">
        <f t="shared" si="390"/>
        <v>0</v>
      </c>
      <c r="AS484" s="92">
        <f t="shared" si="390"/>
        <v>0</v>
      </c>
      <c r="AW484" s="191"/>
      <c r="AY484" s="31">
        <f>+Details!F484-Base!F484</f>
        <v>0</v>
      </c>
      <c r="AZ484" s="92">
        <f>+Details!G484-Base!G484</f>
        <v>0</v>
      </c>
      <c r="BA484" s="92">
        <f>+Details!H484-Base!H484</f>
        <v>0</v>
      </c>
      <c r="BB484" s="92">
        <f>+Details!I484-Base!I484</f>
        <v>0</v>
      </c>
      <c r="BC484" s="92">
        <f>+Details!J484-Base!J484</f>
        <v>0</v>
      </c>
      <c r="BD484" s="92">
        <f>+Details!K484-Base!K484</f>
        <v>0</v>
      </c>
      <c r="BE484" s="92">
        <f>+Details!L484-Base!L484</f>
        <v>0</v>
      </c>
      <c r="BF484" s="92">
        <f>+Details!M484-Base!M484</f>
        <v>0</v>
      </c>
      <c r="BG484" s="92">
        <f>+Details!N484-Base!N484</f>
        <v>0</v>
      </c>
      <c r="BH484" s="92">
        <f>+Details!O484-Base!O484</f>
        <v>0</v>
      </c>
      <c r="BI484" s="92">
        <f>+Details!P484-Base!P484</f>
        <v>0</v>
      </c>
      <c r="BJ484" s="92">
        <f>+Details!Q484-Base!Q484</f>
        <v>0</v>
      </c>
      <c r="BK484" s="92">
        <f>+Details!R484-Base!R484</f>
        <v>0</v>
      </c>
      <c r="BL484" s="92">
        <f>+Details!S484-Base!S484</f>
        <v>0</v>
      </c>
      <c r="BM484" s="92">
        <f>+Details!T484-Base!T484</f>
        <v>0</v>
      </c>
      <c r="BN484" s="92">
        <f>+Details!U484-Base!U484</f>
        <v>0</v>
      </c>
      <c r="BO484" s="92">
        <f>+Details!V484-Base!V484</f>
        <v>0</v>
      </c>
      <c r="BP484" s="92">
        <f>+Details!W484-Base!W484</f>
        <v>0</v>
      </c>
      <c r="BQ484" s="92">
        <f>+Details!X484-Base!X484</f>
        <v>0</v>
      </c>
      <c r="BR484" s="92">
        <f>+Details!Y484-Base!Y484</f>
        <v>0</v>
      </c>
      <c r="BS484" s="92">
        <f>+Details!Z484-Base!Z484</f>
        <v>0</v>
      </c>
      <c r="BT484" s="92">
        <f>+Details!AA484-Base!AA484</f>
        <v>0</v>
      </c>
      <c r="BU484" s="92">
        <f>+Details!AB484-Base!AB484</f>
        <v>0</v>
      </c>
      <c r="BV484" s="92">
        <f>+Details!AC484-Base!AC484</f>
        <v>0</v>
      </c>
      <c r="BW484" s="92">
        <f>+Details!AD484-Base!AD484</f>
        <v>0</v>
      </c>
      <c r="BX484" s="92">
        <f>+Details!AE484-Base!AE484</f>
        <v>0</v>
      </c>
      <c r="BY484" s="92">
        <f>+Details!AF484-Base!AF484</f>
        <v>0</v>
      </c>
      <c r="BZ484" s="92">
        <f>+Details!AG484-Base!AG484</f>
        <v>0</v>
      </c>
      <c r="CA484" s="92">
        <f>+Details!AH484-Base!AH484</f>
        <v>0</v>
      </c>
      <c r="CB484" s="92">
        <f>+Details!AI484-Base!AI484</f>
        <v>0</v>
      </c>
      <c r="CC484" s="92">
        <f>+Details!AJ484-Base!AJ484</f>
        <v>0</v>
      </c>
      <c r="CD484" s="92">
        <f>+Details!AK484-Base!AK484</f>
        <v>0</v>
      </c>
      <c r="CE484" s="92">
        <f>+Details!AL484-Base!AL484</f>
        <v>0</v>
      </c>
      <c r="CF484" s="92">
        <f>+Details!AM484-Base!AM484</f>
        <v>0</v>
      </c>
      <c r="CG484" s="92">
        <f>+Details!AN484-Base!AN484</f>
        <v>0</v>
      </c>
      <c r="CH484" s="92">
        <f>+Details!AO484-Base!AO484</f>
        <v>0</v>
      </c>
      <c r="CI484" s="92">
        <f>+Details!AP484-Base!AP484</f>
        <v>0</v>
      </c>
      <c r="CJ484" s="92">
        <f>+Details!AQ484-Base!AQ484</f>
        <v>0</v>
      </c>
      <c r="CK484" s="92">
        <f>+Details!AR484-Base!AR484</f>
        <v>0</v>
      </c>
      <c r="CL484" s="92">
        <f>+Details!AS484-Base!AS484</f>
        <v>0</v>
      </c>
    </row>
    <row r="485" spans="2:90" ht="15.6">
      <c r="B485" s="861" t="s">
        <v>934</v>
      </c>
      <c r="C485" s="136"/>
      <c r="E485" s="65"/>
      <c r="F485" s="92">
        <f>+F474+F481+F484</f>
        <v>187100</v>
      </c>
      <c r="G485" s="92">
        <f>+G474+G481+G484</f>
        <v>186800</v>
      </c>
      <c r="H485" s="92">
        <f t="shared" ref="H485:AS485" si="391">+H474+H481+H484</f>
        <v>173800</v>
      </c>
      <c r="I485" s="92">
        <f t="shared" si="391"/>
        <v>160500</v>
      </c>
      <c r="J485" s="92">
        <f t="shared" si="391"/>
        <v>148300</v>
      </c>
      <c r="K485" s="92">
        <f t="shared" si="391"/>
        <v>156400</v>
      </c>
      <c r="L485" s="92">
        <f t="shared" si="391"/>
        <v>166100</v>
      </c>
      <c r="M485" s="92">
        <f t="shared" si="391"/>
        <v>175900</v>
      </c>
      <c r="N485" s="92">
        <f t="shared" si="391"/>
        <v>202800</v>
      </c>
      <c r="O485" s="92">
        <f t="shared" si="391"/>
        <v>238100</v>
      </c>
      <c r="P485" s="92">
        <f t="shared" si="391"/>
        <v>194200</v>
      </c>
      <c r="Q485" s="92">
        <f t="shared" si="391"/>
        <v>272100</v>
      </c>
      <c r="R485" s="92">
        <f t="shared" si="391"/>
        <v>296700</v>
      </c>
      <c r="S485" s="92">
        <f t="shared" si="391"/>
        <v>344500</v>
      </c>
      <c r="T485" s="92">
        <f t="shared" si="391"/>
        <v>301300</v>
      </c>
      <c r="U485" s="92">
        <f t="shared" si="391"/>
        <v>424600</v>
      </c>
      <c r="V485" s="92">
        <f t="shared" si="391"/>
        <v>480700</v>
      </c>
      <c r="W485" s="92">
        <f t="shared" si="391"/>
        <v>541400</v>
      </c>
      <c r="X485" s="92">
        <f t="shared" si="391"/>
        <v>574700</v>
      </c>
      <c r="Y485" s="92">
        <f t="shared" si="391"/>
        <v>609500</v>
      </c>
      <c r="Z485" s="92">
        <f t="shared" si="391"/>
        <v>647200</v>
      </c>
      <c r="AA485" s="92">
        <f t="shared" si="391"/>
        <v>688000</v>
      </c>
      <c r="AB485" s="92">
        <f t="shared" si="391"/>
        <v>1136000</v>
      </c>
      <c r="AC485" s="92">
        <f t="shared" si="391"/>
        <v>1199500</v>
      </c>
      <c r="AD485" s="92">
        <f t="shared" si="391"/>
        <v>1337600</v>
      </c>
      <c r="AE485" s="92">
        <f t="shared" si="391"/>
        <v>1379900</v>
      </c>
      <c r="AF485" s="92">
        <f t="shared" si="391"/>
        <v>1423300</v>
      </c>
      <c r="AG485" s="92">
        <f t="shared" si="391"/>
        <v>1461500</v>
      </c>
      <c r="AH485" s="92">
        <f t="shared" si="391"/>
        <v>1499700</v>
      </c>
      <c r="AI485" s="92">
        <f t="shared" si="391"/>
        <v>1538900</v>
      </c>
      <c r="AJ485" s="92">
        <f t="shared" si="391"/>
        <v>0</v>
      </c>
      <c r="AK485" s="92">
        <f t="shared" si="391"/>
        <v>0</v>
      </c>
      <c r="AL485" s="92">
        <f t="shared" si="391"/>
        <v>0</v>
      </c>
      <c r="AM485" s="92">
        <f t="shared" si="391"/>
        <v>0</v>
      </c>
      <c r="AN485" s="92">
        <f t="shared" si="391"/>
        <v>0</v>
      </c>
      <c r="AO485" s="92">
        <f t="shared" si="391"/>
        <v>0</v>
      </c>
      <c r="AP485" s="92">
        <f t="shared" si="391"/>
        <v>0</v>
      </c>
      <c r="AQ485" s="92">
        <f t="shared" si="391"/>
        <v>0</v>
      </c>
      <c r="AR485" s="92">
        <f t="shared" si="391"/>
        <v>0</v>
      </c>
      <c r="AS485" s="92">
        <f t="shared" si="391"/>
        <v>0</v>
      </c>
      <c r="AW485" s="123"/>
      <c r="AY485" s="535">
        <f>+Details!F485-Base!F485</f>
        <v>0</v>
      </c>
      <c r="AZ485" s="92">
        <f>+Details!G485-Base!G485</f>
        <v>0</v>
      </c>
      <c r="BA485" s="92">
        <f>+Details!H485-Base!H485</f>
        <v>0</v>
      </c>
      <c r="BB485" s="92">
        <f>+Details!I485-Base!I485</f>
        <v>0</v>
      </c>
      <c r="BC485" s="92">
        <f>+Details!J485-Base!J485</f>
        <v>0</v>
      </c>
      <c r="BD485" s="92">
        <f>+Details!K485-Base!K485</f>
        <v>0</v>
      </c>
      <c r="BE485" s="92">
        <f>+Details!L485-Base!L485</f>
        <v>0</v>
      </c>
      <c r="BF485" s="92">
        <f>+Details!M485-Base!M485</f>
        <v>0</v>
      </c>
      <c r="BG485" s="92">
        <f>+Details!N485-Base!N485</f>
        <v>0</v>
      </c>
      <c r="BH485" s="92">
        <f>+Details!O485-Base!O485</f>
        <v>0</v>
      </c>
      <c r="BI485" s="92">
        <f>+Details!P485-Base!P485</f>
        <v>0</v>
      </c>
      <c r="BJ485" s="92">
        <f>+Details!Q485-Base!Q485</f>
        <v>0</v>
      </c>
      <c r="BK485" s="92">
        <f>+Details!R485-Base!R485</f>
        <v>0</v>
      </c>
      <c r="BL485" s="92">
        <f>+Details!S485-Base!S485</f>
        <v>0</v>
      </c>
      <c r="BM485" s="92">
        <f>+Details!T485-Base!T485</f>
        <v>0</v>
      </c>
      <c r="BN485" s="92">
        <f>+Details!U485-Base!U485</f>
        <v>0</v>
      </c>
      <c r="BO485" s="92">
        <f>+Details!V485-Base!V485</f>
        <v>0</v>
      </c>
      <c r="BP485" s="92">
        <f>+Details!W485-Base!W485</f>
        <v>0</v>
      </c>
      <c r="BQ485" s="92">
        <f>+Details!X485-Base!X485</f>
        <v>0</v>
      </c>
      <c r="BR485" s="92">
        <f>+Details!Y485-Base!Y485</f>
        <v>0</v>
      </c>
      <c r="BS485" s="92">
        <f>+Details!Z485-Base!Z485</f>
        <v>0</v>
      </c>
      <c r="BT485" s="92">
        <f>+Details!AA485-Base!AA485</f>
        <v>0</v>
      </c>
      <c r="BU485" s="92">
        <f>+Details!AB485-Base!AB485</f>
        <v>0</v>
      </c>
      <c r="BV485" s="92">
        <f>+Details!AC485-Base!AC485</f>
        <v>0</v>
      </c>
      <c r="BW485" s="92">
        <f>+Details!AD485-Base!AD485</f>
        <v>0</v>
      </c>
      <c r="BX485" s="92">
        <f>+Details!AE485-Base!AE485</f>
        <v>0</v>
      </c>
      <c r="BY485" s="92">
        <f>+Details!AF485-Base!AF485</f>
        <v>0</v>
      </c>
      <c r="BZ485" s="92">
        <f>+Details!AG485-Base!AG485</f>
        <v>0</v>
      </c>
      <c r="CA485" s="92">
        <f>+Details!AH485-Base!AH485</f>
        <v>0</v>
      </c>
      <c r="CB485" s="92">
        <f>+Details!AI485-Base!AI485</f>
        <v>0</v>
      </c>
      <c r="CC485" s="92">
        <f>+Details!AJ485-Base!AJ485</f>
        <v>0</v>
      </c>
      <c r="CD485" s="92">
        <f>+Details!AK485-Base!AK485</f>
        <v>0</v>
      </c>
      <c r="CE485" s="92">
        <f>+Details!AL485-Base!AL485</f>
        <v>0</v>
      </c>
      <c r="CF485" s="92">
        <f>+Details!AM485-Base!AM485</f>
        <v>0</v>
      </c>
      <c r="CG485" s="92">
        <f>+Details!AN485-Base!AN485</f>
        <v>0</v>
      </c>
      <c r="CH485" s="92">
        <f>+Details!AO485-Base!AO485</f>
        <v>0</v>
      </c>
      <c r="CI485" s="92">
        <f>+Details!AP485-Base!AP485</f>
        <v>0</v>
      </c>
      <c r="CJ485" s="92">
        <f>+Details!AQ485-Base!AQ485</f>
        <v>0</v>
      </c>
      <c r="CK485" s="92">
        <f>+Details!AR485-Base!AR485</f>
        <v>0</v>
      </c>
      <c r="CL485" s="92">
        <f>+Details!AS485-Base!AS485</f>
        <v>0</v>
      </c>
    </row>
    <row r="486" spans="2:90">
      <c r="B486" s="43" t="s">
        <v>397</v>
      </c>
      <c r="C486" s="136"/>
      <c r="E486" s="65">
        <f>SUM(F486:AS486)</f>
        <v>0</v>
      </c>
      <c r="F486" s="92">
        <f t="shared" ref="F486:AS486" si="392">IF(F$4&gt;=Your_Age_End,0,+G8-F485)</f>
        <v>0</v>
      </c>
      <c r="G486" s="92">
        <f t="shared" si="392"/>
        <v>0</v>
      </c>
      <c r="H486" s="92">
        <f t="shared" si="392"/>
        <v>0</v>
      </c>
      <c r="I486" s="92">
        <f t="shared" si="392"/>
        <v>0</v>
      </c>
      <c r="J486" s="92">
        <f t="shared" si="392"/>
        <v>0</v>
      </c>
      <c r="K486" s="92">
        <f t="shared" si="392"/>
        <v>0</v>
      </c>
      <c r="L486" s="92">
        <f t="shared" si="392"/>
        <v>0</v>
      </c>
      <c r="M486" s="92">
        <f t="shared" si="392"/>
        <v>0</v>
      </c>
      <c r="N486" s="92">
        <f t="shared" si="392"/>
        <v>0</v>
      </c>
      <c r="O486" s="92">
        <f t="shared" si="392"/>
        <v>0</v>
      </c>
      <c r="P486" s="92">
        <f t="shared" si="392"/>
        <v>0</v>
      </c>
      <c r="Q486" s="92">
        <f t="shared" si="392"/>
        <v>0</v>
      </c>
      <c r="R486" s="92">
        <f t="shared" si="392"/>
        <v>0</v>
      </c>
      <c r="S486" s="92">
        <f t="shared" si="392"/>
        <v>0</v>
      </c>
      <c r="T486" s="92">
        <f t="shared" si="392"/>
        <v>0</v>
      </c>
      <c r="U486" s="92">
        <f t="shared" si="392"/>
        <v>0</v>
      </c>
      <c r="V486" s="92">
        <f t="shared" si="392"/>
        <v>0</v>
      </c>
      <c r="W486" s="92">
        <f t="shared" si="392"/>
        <v>0</v>
      </c>
      <c r="X486" s="92">
        <f t="shared" si="392"/>
        <v>0</v>
      </c>
      <c r="Y486" s="92">
        <f t="shared" si="392"/>
        <v>0</v>
      </c>
      <c r="Z486" s="92">
        <f t="shared" si="392"/>
        <v>0</v>
      </c>
      <c r="AA486" s="92">
        <f t="shared" si="392"/>
        <v>0</v>
      </c>
      <c r="AB486" s="92">
        <f t="shared" si="392"/>
        <v>0</v>
      </c>
      <c r="AC486" s="92">
        <f t="shared" si="392"/>
        <v>0</v>
      </c>
      <c r="AD486" s="92">
        <f t="shared" si="392"/>
        <v>0</v>
      </c>
      <c r="AE486" s="92">
        <f t="shared" si="392"/>
        <v>0</v>
      </c>
      <c r="AF486" s="92">
        <f t="shared" si="392"/>
        <v>0</v>
      </c>
      <c r="AG486" s="92">
        <f t="shared" si="392"/>
        <v>0</v>
      </c>
      <c r="AH486" s="92">
        <f t="shared" si="392"/>
        <v>0</v>
      </c>
      <c r="AI486" s="92">
        <f t="shared" si="392"/>
        <v>0</v>
      </c>
      <c r="AJ486" s="92">
        <f t="shared" si="392"/>
        <v>0</v>
      </c>
      <c r="AK486" s="92">
        <f t="shared" si="392"/>
        <v>0</v>
      </c>
      <c r="AL486" s="92">
        <f t="shared" si="392"/>
        <v>0</v>
      </c>
      <c r="AM486" s="92">
        <f t="shared" si="392"/>
        <v>0</v>
      </c>
      <c r="AN486" s="92">
        <f t="shared" si="392"/>
        <v>0</v>
      </c>
      <c r="AO486" s="92">
        <f t="shared" si="392"/>
        <v>0</v>
      </c>
      <c r="AP486" s="92">
        <f t="shared" si="392"/>
        <v>0</v>
      </c>
      <c r="AQ486" s="92">
        <f t="shared" si="392"/>
        <v>0</v>
      </c>
      <c r="AR486" s="92">
        <f t="shared" si="392"/>
        <v>0</v>
      </c>
      <c r="AS486" s="92">
        <f t="shared" si="392"/>
        <v>0</v>
      </c>
      <c r="AW486" s="191"/>
      <c r="AY486" s="31">
        <f>+Details!F486-Base!F486</f>
        <v>0</v>
      </c>
      <c r="AZ486" s="92">
        <f>+Details!G486-Base!G486</f>
        <v>0</v>
      </c>
      <c r="BA486" s="92">
        <f>+Details!H486-Base!H486</f>
        <v>0</v>
      </c>
      <c r="BB486" s="92">
        <f>+Details!I486-Base!I486</f>
        <v>0</v>
      </c>
      <c r="BC486" s="92">
        <f>+Details!J486-Base!J486</f>
        <v>0</v>
      </c>
      <c r="BD486" s="92">
        <f>+Details!K486-Base!K486</f>
        <v>0</v>
      </c>
      <c r="BE486" s="92">
        <f>+Details!L486-Base!L486</f>
        <v>0</v>
      </c>
      <c r="BF486" s="92">
        <f>+Details!M486-Base!M486</f>
        <v>0</v>
      </c>
      <c r="BG486" s="92">
        <f>+Details!N486-Base!N486</f>
        <v>0</v>
      </c>
      <c r="BH486" s="92">
        <f>+Details!O486-Base!O486</f>
        <v>0</v>
      </c>
      <c r="BI486" s="92">
        <f>+Details!P486-Base!P486</f>
        <v>0</v>
      </c>
      <c r="BJ486" s="92">
        <f>+Details!Q486-Base!Q486</f>
        <v>0</v>
      </c>
      <c r="BK486" s="92">
        <f>+Details!R486-Base!R486</f>
        <v>0</v>
      </c>
      <c r="BL486" s="92">
        <f>+Details!S486-Base!S486</f>
        <v>0</v>
      </c>
      <c r="BM486" s="92">
        <f>+Details!T486-Base!T486</f>
        <v>0</v>
      </c>
      <c r="BN486" s="92">
        <f>+Details!U486-Base!U486</f>
        <v>0</v>
      </c>
      <c r="BO486" s="92">
        <f>+Details!V486-Base!V486</f>
        <v>0</v>
      </c>
      <c r="BP486" s="92">
        <f>+Details!W486-Base!W486</f>
        <v>0</v>
      </c>
      <c r="BQ486" s="92">
        <f>+Details!X486-Base!X486</f>
        <v>0</v>
      </c>
      <c r="BR486" s="92">
        <f>+Details!Y486-Base!Y486</f>
        <v>0</v>
      </c>
      <c r="BS486" s="92">
        <f>+Details!Z486-Base!Z486</f>
        <v>0</v>
      </c>
      <c r="BT486" s="92">
        <f>+Details!AA486-Base!AA486</f>
        <v>0</v>
      </c>
      <c r="BU486" s="92">
        <f>+Details!AB486-Base!AB486</f>
        <v>0</v>
      </c>
      <c r="BV486" s="92">
        <f>+Details!AC486-Base!AC486</f>
        <v>0</v>
      </c>
      <c r="BW486" s="92">
        <f>+Details!AD486-Base!AD486</f>
        <v>0</v>
      </c>
      <c r="BX486" s="92">
        <f>+Details!AE486-Base!AE486</f>
        <v>0</v>
      </c>
      <c r="BY486" s="92">
        <f>+Details!AF486-Base!AF486</f>
        <v>0</v>
      </c>
      <c r="BZ486" s="92">
        <f>+Details!AG486-Base!AG486</f>
        <v>0</v>
      </c>
      <c r="CA486" s="92">
        <f>+Details!AH486-Base!AH486</f>
        <v>0</v>
      </c>
      <c r="CB486" s="92">
        <f>+Details!AI486-Base!AI486</f>
        <v>0</v>
      </c>
      <c r="CC486" s="92">
        <f>+Details!AJ486-Base!AJ486</f>
        <v>0</v>
      </c>
      <c r="CD486" s="92">
        <f>+Details!AK486-Base!AK486</f>
        <v>0</v>
      </c>
      <c r="CE486" s="92">
        <f>+Details!AL486-Base!AL486</f>
        <v>0</v>
      </c>
      <c r="CF486" s="92">
        <f>+Details!AM486-Base!AM486</f>
        <v>0</v>
      </c>
      <c r="CG486" s="92">
        <f>+Details!AN486-Base!AN486</f>
        <v>0</v>
      </c>
      <c r="CH486" s="92">
        <f>+Details!AO486-Base!AO486</f>
        <v>0</v>
      </c>
      <c r="CI486" s="92">
        <f>+Details!AP486-Base!AP486</f>
        <v>0</v>
      </c>
      <c r="CJ486" s="92">
        <f>+Details!AQ486-Base!AQ486</f>
        <v>0</v>
      </c>
      <c r="CK486" s="92">
        <f>+Details!AR486-Base!AR486</f>
        <v>0</v>
      </c>
      <c r="CL486" s="92">
        <f>+Details!AS486-Base!AS486</f>
        <v>0</v>
      </c>
    </row>
    <row r="487" spans="2:90">
      <c r="B487" s="43"/>
      <c r="C487" s="136"/>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2"/>
      <c r="AK487" s="92"/>
      <c r="AL487" s="92"/>
      <c r="AM487" s="92"/>
      <c r="AN487" s="92"/>
      <c r="AO487" s="92"/>
      <c r="AP487" s="92"/>
      <c r="AQ487" s="92"/>
      <c r="AR487" s="92"/>
      <c r="AS487" s="92"/>
      <c r="AW487" s="191"/>
      <c r="AY487" s="31">
        <f>+Details!F487-Base!F487</f>
        <v>0</v>
      </c>
      <c r="AZ487" s="92">
        <f>+Details!G487-Base!G487</f>
        <v>0</v>
      </c>
      <c r="BA487" s="92">
        <f>+Details!H487-Base!H487</f>
        <v>0</v>
      </c>
      <c r="BB487" s="92">
        <f>+Details!I487-Base!I487</f>
        <v>0</v>
      </c>
      <c r="BC487" s="92">
        <f>+Details!J487-Base!J487</f>
        <v>0</v>
      </c>
      <c r="BD487" s="92">
        <f>+Details!K487-Base!K487</f>
        <v>0</v>
      </c>
      <c r="BE487" s="92">
        <f>+Details!L487-Base!L487</f>
        <v>0</v>
      </c>
      <c r="BF487" s="92">
        <f>+Details!M487-Base!M487</f>
        <v>0</v>
      </c>
      <c r="BG487" s="92">
        <f>+Details!N487-Base!N487</f>
        <v>0</v>
      </c>
      <c r="BH487" s="92">
        <f>+Details!O487-Base!O487</f>
        <v>0</v>
      </c>
      <c r="BI487" s="92">
        <f>+Details!P487-Base!P487</f>
        <v>0</v>
      </c>
      <c r="BJ487" s="92">
        <f>+Details!Q487-Base!Q487</f>
        <v>0</v>
      </c>
      <c r="BK487" s="92">
        <f>+Details!R487-Base!R487</f>
        <v>0</v>
      </c>
      <c r="BL487" s="92">
        <f>+Details!S487-Base!S487</f>
        <v>0</v>
      </c>
      <c r="BM487" s="92">
        <f>+Details!T487-Base!T487</f>
        <v>0</v>
      </c>
      <c r="BN487" s="92">
        <f>+Details!U487-Base!U487</f>
        <v>0</v>
      </c>
      <c r="BO487" s="92">
        <f>+Details!V487-Base!V487</f>
        <v>0</v>
      </c>
      <c r="BP487" s="92">
        <f>+Details!W487-Base!W487</f>
        <v>0</v>
      </c>
      <c r="BQ487" s="92">
        <f>+Details!X487-Base!X487</f>
        <v>0</v>
      </c>
      <c r="BR487" s="92">
        <f>+Details!Y487-Base!Y487</f>
        <v>0</v>
      </c>
      <c r="BS487" s="92">
        <f>+Details!Z487-Base!Z487</f>
        <v>0</v>
      </c>
      <c r="BT487" s="92">
        <f>+Details!AA487-Base!AA487</f>
        <v>0</v>
      </c>
      <c r="BU487" s="92">
        <f>+Details!AB487-Base!AB487</f>
        <v>0</v>
      </c>
      <c r="BV487" s="92">
        <f>+Details!AC487-Base!AC487</f>
        <v>0</v>
      </c>
      <c r="BW487" s="92">
        <f>+Details!AD487-Base!AD487</f>
        <v>0</v>
      </c>
      <c r="BX487" s="92">
        <f>+Details!AE487-Base!AE487</f>
        <v>0</v>
      </c>
      <c r="BY487" s="92">
        <f>+Details!AF487-Base!AF487</f>
        <v>0</v>
      </c>
      <c r="BZ487" s="92">
        <f>+Details!AG487-Base!AG487</f>
        <v>0</v>
      </c>
      <c r="CA487" s="92">
        <f>+Details!AH487-Base!AH487</f>
        <v>0</v>
      </c>
      <c r="CB487" s="92">
        <f>+Details!AI487-Base!AI487</f>
        <v>0</v>
      </c>
      <c r="CC487" s="92">
        <f>+Details!AJ487-Base!AJ487</f>
        <v>0</v>
      </c>
      <c r="CD487" s="92">
        <f>+Details!AK487-Base!AK487</f>
        <v>0</v>
      </c>
      <c r="CE487" s="92">
        <f>+Details!AL487-Base!AL487</f>
        <v>0</v>
      </c>
      <c r="CF487" s="92">
        <f>+Details!AM487-Base!AM487</f>
        <v>0</v>
      </c>
      <c r="CG487" s="92">
        <f>+Details!AN487-Base!AN487</f>
        <v>0</v>
      </c>
      <c r="CH487" s="92">
        <f>+Details!AO487-Base!AO487</f>
        <v>0</v>
      </c>
      <c r="CI487" s="92">
        <f>+Details!AP487-Base!AP487</f>
        <v>0</v>
      </c>
      <c r="CJ487" s="92">
        <f>+Details!AQ487-Base!AQ487</f>
        <v>0</v>
      </c>
      <c r="CK487" s="92">
        <f>+Details!AR487-Base!AR487</f>
        <v>0</v>
      </c>
      <c r="CL487" s="92">
        <f>+Details!AS487-Base!AS487</f>
        <v>0</v>
      </c>
    </row>
    <row r="488" spans="2:90" ht="18" thickBot="1">
      <c r="B488" s="871" t="s">
        <v>1535</v>
      </c>
      <c r="C488" s="525"/>
      <c r="F488" s="92"/>
      <c r="G488" s="92"/>
      <c r="H488" s="92"/>
      <c r="I488" s="92"/>
      <c r="J488" s="92"/>
      <c r="AZ488" s="92"/>
      <c r="BA488" s="92"/>
      <c r="BB488" s="92"/>
      <c r="BC488" s="92"/>
    </row>
    <row r="489" spans="2:90">
      <c r="B489" s="43" t="s">
        <v>453</v>
      </c>
      <c r="C489" s="136"/>
      <c r="F489" s="92">
        <f t="shared" ref="F489:AS489" si="393">+F9</f>
        <v>500000</v>
      </c>
      <c r="G489" s="92">
        <f t="shared" si="393"/>
        <v>491200</v>
      </c>
      <c r="H489" s="92">
        <f t="shared" si="393"/>
        <v>480600</v>
      </c>
      <c r="I489" s="92">
        <f t="shared" si="393"/>
        <v>468100</v>
      </c>
      <c r="J489" s="92">
        <f t="shared" si="393"/>
        <v>453400</v>
      </c>
      <c r="K489" s="92">
        <f t="shared" si="393"/>
        <v>436400</v>
      </c>
      <c r="L489" s="92">
        <f t="shared" si="393"/>
        <v>416900</v>
      </c>
      <c r="M489" s="92">
        <f t="shared" si="393"/>
        <v>394600</v>
      </c>
      <c r="N489" s="92">
        <f t="shared" si="393"/>
        <v>369500</v>
      </c>
      <c r="O489" s="92">
        <f t="shared" si="393"/>
        <v>383200</v>
      </c>
      <c r="P489" s="92">
        <f t="shared" si="393"/>
        <v>383800</v>
      </c>
      <c r="Q489" s="92">
        <f t="shared" si="393"/>
        <v>384900</v>
      </c>
      <c r="R489" s="92">
        <f t="shared" si="393"/>
        <v>386300</v>
      </c>
      <c r="S489" s="92">
        <f t="shared" si="393"/>
        <v>387900</v>
      </c>
      <c r="T489" s="92">
        <f t="shared" si="393"/>
        <v>389600</v>
      </c>
      <c r="U489" s="92">
        <f t="shared" si="393"/>
        <v>396600</v>
      </c>
      <c r="V489" s="92">
        <f t="shared" si="393"/>
        <v>403100</v>
      </c>
      <c r="W489" s="92">
        <f t="shared" si="393"/>
        <v>408800</v>
      </c>
      <c r="X489" s="92">
        <f t="shared" si="393"/>
        <v>413700</v>
      </c>
      <c r="Y489" s="92">
        <f t="shared" si="393"/>
        <v>414100</v>
      </c>
      <c r="Z489" s="92">
        <f t="shared" si="393"/>
        <v>413500</v>
      </c>
      <c r="AA489" s="92">
        <f t="shared" si="393"/>
        <v>411800</v>
      </c>
      <c r="AB489" s="92">
        <f t="shared" si="393"/>
        <v>408900</v>
      </c>
      <c r="AC489" s="92">
        <f t="shared" si="393"/>
        <v>404700</v>
      </c>
      <c r="AD489" s="92">
        <f t="shared" si="393"/>
        <v>399300</v>
      </c>
      <c r="AE489" s="92">
        <f t="shared" si="393"/>
        <v>392600</v>
      </c>
      <c r="AF489" s="92">
        <f t="shared" si="393"/>
        <v>384500</v>
      </c>
      <c r="AG489" s="92">
        <f t="shared" si="393"/>
        <v>374900</v>
      </c>
      <c r="AH489" s="92">
        <f t="shared" si="393"/>
        <v>363800</v>
      </c>
      <c r="AI489" s="92">
        <f t="shared" si="393"/>
        <v>351400</v>
      </c>
      <c r="AJ489" s="92">
        <f t="shared" si="393"/>
        <v>0</v>
      </c>
      <c r="AK489" s="92">
        <f t="shared" si="393"/>
        <v>0</v>
      </c>
      <c r="AL489" s="92">
        <f t="shared" si="393"/>
        <v>0</v>
      </c>
      <c r="AM489" s="92">
        <f t="shared" si="393"/>
        <v>0</v>
      </c>
      <c r="AN489" s="92">
        <f t="shared" si="393"/>
        <v>0</v>
      </c>
      <c r="AO489" s="92">
        <f t="shared" si="393"/>
        <v>0</v>
      </c>
      <c r="AP489" s="92">
        <f t="shared" si="393"/>
        <v>0</v>
      </c>
      <c r="AQ489" s="92">
        <f t="shared" si="393"/>
        <v>0</v>
      </c>
      <c r="AR489" s="92">
        <f t="shared" si="393"/>
        <v>0</v>
      </c>
      <c r="AS489" s="92">
        <f t="shared" si="393"/>
        <v>0</v>
      </c>
      <c r="AW489" s="191"/>
      <c r="AY489" s="31">
        <f>+Details!F489-Base!F489</f>
        <v>0</v>
      </c>
      <c r="AZ489" s="92">
        <f>+Details!G489-Base!G489</f>
        <v>0</v>
      </c>
      <c r="BA489" s="92">
        <f>+Details!H489-Base!H489</f>
        <v>0</v>
      </c>
      <c r="BB489" s="92">
        <f>+Details!I489-Base!I489</f>
        <v>0</v>
      </c>
      <c r="BC489" s="92">
        <f>+Details!J489-Base!J489</f>
        <v>0</v>
      </c>
      <c r="BD489" s="92">
        <f>+Details!K489-Base!K489</f>
        <v>0</v>
      </c>
      <c r="BE489" s="92">
        <f>+Details!L489-Base!L489</f>
        <v>0</v>
      </c>
      <c r="BF489" s="92">
        <f>+Details!M489-Base!M489</f>
        <v>0</v>
      </c>
      <c r="BG489" s="92">
        <f>+Details!N489-Base!N489</f>
        <v>0</v>
      </c>
      <c r="BH489" s="92">
        <f>+Details!O489-Base!O489</f>
        <v>0</v>
      </c>
      <c r="BI489" s="92">
        <f>+Details!P489-Base!P489</f>
        <v>0</v>
      </c>
      <c r="BJ489" s="92">
        <f>+Details!Q489-Base!Q489</f>
        <v>0</v>
      </c>
      <c r="BK489" s="92">
        <f>+Details!R489-Base!R489</f>
        <v>0</v>
      </c>
      <c r="BL489" s="92">
        <f>+Details!S489-Base!S489</f>
        <v>0</v>
      </c>
      <c r="BM489" s="92">
        <f>+Details!T489-Base!T489</f>
        <v>0</v>
      </c>
      <c r="BN489" s="92">
        <f>+Details!U489-Base!U489</f>
        <v>0</v>
      </c>
      <c r="BO489" s="92">
        <f>+Details!V489-Base!V489</f>
        <v>0</v>
      </c>
      <c r="BP489" s="92">
        <f>+Details!W489-Base!W489</f>
        <v>0</v>
      </c>
      <c r="BQ489" s="92">
        <f>+Details!X489-Base!X489</f>
        <v>0</v>
      </c>
      <c r="BR489" s="92">
        <f>+Details!Y489-Base!Y489</f>
        <v>0</v>
      </c>
      <c r="BS489" s="92">
        <f>+Details!Z489-Base!Z489</f>
        <v>0</v>
      </c>
      <c r="BT489" s="92">
        <f>+Details!AA489-Base!AA489</f>
        <v>0</v>
      </c>
      <c r="BU489" s="92">
        <f>+Details!AB489-Base!AB489</f>
        <v>0</v>
      </c>
      <c r="BV489" s="92">
        <f>+Details!AC489-Base!AC489</f>
        <v>0</v>
      </c>
      <c r="BW489" s="92">
        <f>+Details!AD489-Base!AD489</f>
        <v>0</v>
      </c>
      <c r="BX489" s="92">
        <f>+Details!AE489-Base!AE489</f>
        <v>0</v>
      </c>
      <c r="BY489" s="92">
        <f>+Details!AF489-Base!AF489</f>
        <v>0</v>
      </c>
      <c r="BZ489" s="92">
        <f>+Details!AG489-Base!AG489</f>
        <v>0</v>
      </c>
      <c r="CA489" s="92">
        <f>+Details!AH489-Base!AH489</f>
        <v>0</v>
      </c>
      <c r="CB489" s="92">
        <f>+Details!AI489-Base!AI489</f>
        <v>0</v>
      </c>
      <c r="CC489" s="92">
        <f>+Details!AJ489-Base!AJ489</f>
        <v>0</v>
      </c>
      <c r="CD489" s="92">
        <f>+Details!AK489-Base!AK489</f>
        <v>0</v>
      </c>
      <c r="CE489" s="92">
        <f>+Details!AL489-Base!AL489</f>
        <v>0</v>
      </c>
      <c r="CF489" s="92">
        <f>+Details!AM489-Base!AM489</f>
        <v>0</v>
      </c>
      <c r="CG489" s="92">
        <f>+Details!AN489-Base!AN489</f>
        <v>0</v>
      </c>
      <c r="CH489" s="92">
        <f>+Details!AO489-Base!AO489</f>
        <v>0</v>
      </c>
      <c r="CI489" s="92">
        <f>+Details!AP489-Base!AP489</f>
        <v>0</v>
      </c>
      <c r="CJ489" s="92">
        <f>+Details!AQ489-Base!AQ489</f>
        <v>0</v>
      </c>
      <c r="CK489" s="92">
        <f>+Details!AR489-Base!AR489</f>
        <v>0</v>
      </c>
      <c r="CL489" s="92">
        <f>+Details!AS489-Base!AS489</f>
        <v>0</v>
      </c>
    </row>
    <row r="490" spans="2:90">
      <c r="B490" s="1446" t="s">
        <v>1825</v>
      </c>
      <c r="C490" s="136"/>
      <c r="D490" s="3"/>
      <c r="E490" s="65">
        <f>SUM(F490:AS490)</f>
        <v>0</v>
      </c>
      <c r="F490" s="92">
        <f>+F87</f>
        <v>0</v>
      </c>
      <c r="G490" s="92">
        <f>+G87</f>
        <v>0</v>
      </c>
      <c r="H490" s="92">
        <f t="shared" ref="H490:AS490" si="394">+H87</f>
        <v>0</v>
      </c>
      <c r="I490" s="92">
        <f t="shared" si="394"/>
        <v>0</v>
      </c>
      <c r="J490" s="92">
        <f t="shared" si="394"/>
        <v>0</v>
      </c>
      <c r="K490" s="92">
        <f t="shared" si="394"/>
        <v>0</v>
      </c>
      <c r="L490" s="92">
        <f t="shared" si="394"/>
        <v>0</v>
      </c>
      <c r="M490" s="92">
        <f t="shared" si="394"/>
        <v>0</v>
      </c>
      <c r="N490" s="92">
        <f t="shared" si="394"/>
        <v>0</v>
      </c>
      <c r="O490" s="92">
        <f t="shared" si="394"/>
        <v>0</v>
      </c>
      <c r="P490" s="92">
        <f t="shared" si="394"/>
        <v>0</v>
      </c>
      <c r="Q490" s="92">
        <f t="shared" si="394"/>
        <v>0</v>
      </c>
      <c r="R490" s="92">
        <f t="shared" si="394"/>
        <v>0</v>
      </c>
      <c r="S490" s="92">
        <f t="shared" si="394"/>
        <v>0</v>
      </c>
      <c r="T490" s="92">
        <f t="shared" si="394"/>
        <v>0</v>
      </c>
      <c r="U490" s="92">
        <f t="shared" si="394"/>
        <v>0</v>
      </c>
      <c r="V490" s="92">
        <f t="shared" si="394"/>
        <v>0</v>
      </c>
      <c r="W490" s="92">
        <f t="shared" si="394"/>
        <v>0</v>
      </c>
      <c r="X490" s="92">
        <f t="shared" si="394"/>
        <v>0</v>
      </c>
      <c r="Y490" s="92">
        <f t="shared" si="394"/>
        <v>0</v>
      </c>
      <c r="Z490" s="92">
        <f t="shared" si="394"/>
        <v>0</v>
      </c>
      <c r="AA490" s="92">
        <f t="shared" si="394"/>
        <v>0</v>
      </c>
      <c r="AB490" s="92">
        <f t="shared" si="394"/>
        <v>0</v>
      </c>
      <c r="AC490" s="92">
        <f t="shared" si="394"/>
        <v>0</v>
      </c>
      <c r="AD490" s="92">
        <f t="shared" si="394"/>
        <v>0</v>
      </c>
      <c r="AE490" s="92">
        <f t="shared" si="394"/>
        <v>0</v>
      </c>
      <c r="AF490" s="92">
        <f t="shared" si="394"/>
        <v>0</v>
      </c>
      <c r="AG490" s="92">
        <f t="shared" si="394"/>
        <v>0</v>
      </c>
      <c r="AH490" s="92">
        <f t="shared" si="394"/>
        <v>0</v>
      </c>
      <c r="AI490" s="92">
        <f t="shared" si="394"/>
        <v>0</v>
      </c>
      <c r="AJ490" s="92">
        <f t="shared" si="394"/>
        <v>0</v>
      </c>
      <c r="AK490" s="92">
        <f t="shared" si="394"/>
        <v>0</v>
      </c>
      <c r="AL490" s="92">
        <f t="shared" si="394"/>
        <v>0</v>
      </c>
      <c r="AM490" s="92">
        <f t="shared" si="394"/>
        <v>0</v>
      </c>
      <c r="AN490" s="92">
        <f t="shared" si="394"/>
        <v>0</v>
      </c>
      <c r="AO490" s="92">
        <f t="shared" si="394"/>
        <v>0</v>
      </c>
      <c r="AP490" s="92">
        <f t="shared" si="394"/>
        <v>0</v>
      </c>
      <c r="AQ490" s="92">
        <f t="shared" si="394"/>
        <v>0</v>
      </c>
      <c r="AR490" s="92">
        <f t="shared" si="394"/>
        <v>0</v>
      </c>
      <c r="AS490" s="92">
        <f t="shared" si="394"/>
        <v>0</v>
      </c>
      <c r="AW490" s="191"/>
      <c r="AY490" s="31">
        <f>+Details!F490-Base!F490</f>
        <v>0</v>
      </c>
      <c r="AZ490" s="92">
        <f>+Details!G490-Base!G490</f>
        <v>0</v>
      </c>
      <c r="BA490" s="92">
        <f>+Details!H490-Base!H490</f>
        <v>0</v>
      </c>
      <c r="BB490" s="92">
        <f>+Details!I490-Base!I490</f>
        <v>0</v>
      </c>
      <c r="BC490" s="92">
        <f>+Details!J490-Base!J490</f>
        <v>0</v>
      </c>
      <c r="BD490" s="92">
        <f>+Details!K490-Base!K490</f>
        <v>0</v>
      </c>
      <c r="BE490" s="92">
        <f>+Details!L490-Base!L490</f>
        <v>0</v>
      </c>
      <c r="BF490" s="92">
        <f>+Details!M490-Base!M490</f>
        <v>0</v>
      </c>
      <c r="BG490" s="92">
        <f>+Details!N490-Base!N490</f>
        <v>0</v>
      </c>
      <c r="BH490" s="92">
        <f>+Details!O490-Base!O490</f>
        <v>0</v>
      </c>
      <c r="BI490" s="92">
        <f>+Details!P490-Base!P490</f>
        <v>0</v>
      </c>
      <c r="BJ490" s="92">
        <f>+Details!Q490-Base!Q490</f>
        <v>0</v>
      </c>
      <c r="BK490" s="92">
        <f>+Details!R490-Base!R490</f>
        <v>0</v>
      </c>
      <c r="BL490" s="92">
        <f>+Details!S490-Base!S490</f>
        <v>0</v>
      </c>
      <c r="BM490" s="92">
        <f>+Details!T490-Base!T490</f>
        <v>0</v>
      </c>
      <c r="BN490" s="92">
        <f>+Details!U490-Base!U490</f>
        <v>0</v>
      </c>
      <c r="BO490" s="92">
        <f>+Details!V490-Base!V490</f>
        <v>0</v>
      </c>
      <c r="BP490" s="92">
        <f>+Details!W490-Base!W490</f>
        <v>0</v>
      </c>
      <c r="BQ490" s="92">
        <f>+Details!X490-Base!X490</f>
        <v>0</v>
      </c>
      <c r="BR490" s="92">
        <f>+Details!Y490-Base!Y490</f>
        <v>0</v>
      </c>
      <c r="BS490" s="92">
        <f>+Details!Z490-Base!Z490</f>
        <v>0</v>
      </c>
      <c r="BT490" s="92">
        <f>+Details!AA490-Base!AA490</f>
        <v>0</v>
      </c>
      <c r="BU490" s="92">
        <f>+Details!AB490-Base!AB490</f>
        <v>0</v>
      </c>
      <c r="BV490" s="92">
        <f>+Details!AC490-Base!AC490</f>
        <v>0</v>
      </c>
      <c r="BW490" s="92">
        <f>+Details!AD490-Base!AD490</f>
        <v>0</v>
      </c>
      <c r="BX490" s="92">
        <f>+Details!AE490-Base!AE490</f>
        <v>0</v>
      </c>
      <c r="BY490" s="92">
        <f>+Details!AF490-Base!AF490</f>
        <v>0</v>
      </c>
      <c r="BZ490" s="92">
        <f>+Details!AG490-Base!AG490</f>
        <v>0</v>
      </c>
      <c r="CA490" s="92">
        <f>+Details!AH490-Base!AH490</f>
        <v>0</v>
      </c>
      <c r="CB490" s="92">
        <f>+Details!AI490-Base!AI490</f>
        <v>0</v>
      </c>
      <c r="CC490" s="92">
        <f>+Details!AJ490-Base!AJ490</f>
        <v>0</v>
      </c>
      <c r="CD490" s="92">
        <f>+Details!AK490-Base!AK490</f>
        <v>0</v>
      </c>
      <c r="CE490" s="92">
        <f>+Details!AL490-Base!AL490</f>
        <v>0</v>
      </c>
      <c r="CF490" s="92">
        <f>+Details!AM490-Base!AM490</f>
        <v>0</v>
      </c>
      <c r="CG490" s="92">
        <f>+Details!AN490-Base!AN490</f>
        <v>0</v>
      </c>
      <c r="CH490" s="92">
        <f>+Details!AO490-Base!AO490</f>
        <v>0</v>
      </c>
      <c r="CI490" s="92">
        <f>+Details!AP490-Base!AP490</f>
        <v>0</v>
      </c>
      <c r="CJ490" s="92">
        <f>+Details!AQ490-Base!AQ490</f>
        <v>0</v>
      </c>
      <c r="CK490" s="92">
        <f>+Details!AR490-Base!AR490</f>
        <v>0</v>
      </c>
      <c r="CL490" s="92">
        <f>+Details!AS490-Base!AS490</f>
        <v>0</v>
      </c>
    </row>
    <row r="491" spans="2:90">
      <c r="B491" s="43" t="s">
        <v>395</v>
      </c>
      <c r="E491" s="65">
        <f>SUM(F491:AS491)</f>
        <v>-890000</v>
      </c>
      <c r="F491" s="92">
        <f t="shared" ref="F491:AS491" si="395">+F91+F94+F96</f>
        <v>-40000</v>
      </c>
      <c r="G491" s="92">
        <f t="shared" si="395"/>
        <v>-41200</v>
      </c>
      <c r="H491" s="92">
        <f t="shared" si="395"/>
        <v>-42400</v>
      </c>
      <c r="I491" s="92">
        <f t="shared" si="395"/>
        <v>-43700</v>
      </c>
      <c r="J491" s="92">
        <f t="shared" si="395"/>
        <v>-45000</v>
      </c>
      <c r="K491" s="92">
        <f t="shared" si="395"/>
        <v>-46400</v>
      </c>
      <c r="L491" s="92">
        <f t="shared" si="395"/>
        <v>-47800</v>
      </c>
      <c r="M491" s="92">
        <f t="shared" si="395"/>
        <v>-49200</v>
      </c>
      <c r="N491" s="92">
        <f t="shared" si="395"/>
        <v>-10000</v>
      </c>
      <c r="O491" s="92">
        <f t="shared" si="395"/>
        <v>-23500</v>
      </c>
      <c r="P491" s="92">
        <f t="shared" si="395"/>
        <v>-23100</v>
      </c>
      <c r="Q491" s="92">
        <f t="shared" si="395"/>
        <v>-22900</v>
      </c>
      <c r="R491" s="92">
        <f t="shared" si="395"/>
        <v>-22800</v>
      </c>
      <c r="S491" s="92">
        <f t="shared" si="395"/>
        <v>-22800</v>
      </c>
      <c r="T491" s="92">
        <f t="shared" si="395"/>
        <v>-17700</v>
      </c>
      <c r="U491" s="92">
        <f t="shared" si="395"/>
        <v>-18700</v>
      </c>
      <c r="V491" s="92">
        <f t="shared" si="395"/>
        <v>-19900</v>
      </c>
      <c r="W491" s="92">
        <f t="shared" si="395"/>
        <v>-21000</v>
      </c>
      <c r="X491" s="92">
        <f t="shared" si="395"/>
        <v>-22100</v>
      </c>
      <c r="Y491" s="92">
        <f t="shared" si="395"/>
        <v>-23100</v>
      </c>
      <c r="Z491" s="92">
        <f t="shared" si="395"/>
        <v>-24200</v>
      </c>
      <c r="AA491" s="92">
        <f t="shared" si="395"/>
        <v>-25300</v>
      </c>
      <c r="AB491" s="92">
        <f t="shared" si="395"/>
        <v>-26400</v>
      </c>
      <c r="AC491" s="92">
        <f t="shared" si="395"/>
        <v>-27300</v>
      </c>
      <c r="AD491" s="92">
        <f t="shared" si="395"/>
        <v>-28300</v>
      </c>
      <c r="AE491" s="92">
        <f t="shared" si="395"/>
        <v>-29300</v>
      </c>
      <c r="AF491" s="92">
        <f t="shared" si="395"/>
        <v>-30300</v>
      </c>
      <c r="AG491" s="92">
        <f t="shared" si="395"/>
        <v>-31200</v>
      </c>
      <c r="AH491" s="92">
        <f t="shared" si="395"/>
        <v>-31900</v>
      </c>
      <c r="AI491" s="92">
        <f t="shared" si="395"/>
        <v>-32500</v>
      </c>
      <c r="AJ491" s="92">
        <f t="shared" si="395"/>
        <v>0</v>
      </c>
      <c r="AK491" s="92">
        <f t="shared" si="395"/>
        <v>0</v>
      </c>
      <c r="AL491" s="92">
        <f t="shared" si="395"/>
        <v>0</v>
      </c>
      <c r="AM491" s="92">
        <f t="shared" si="395"/>
        <v>0</v>
      </c>
      <c r="AN491" s="92">
        <f t="shared" si="395"/>
        <v>0</v>
      </c>
      <c r="AO491" s="92">
        <f t="shared" si="395"/>
        <v>0</v>
      </c>
      <c r="AP491" s="92">
        <f t="shared" si="395"/>
        <v>0</v>
      </c>
      <c r="AQ491" s="92">
        <f t="shared" si="395"/>
        <v>0</v>
      </c>
      <c r="AR491" s="92">
        <f t="shared" si="395"/>
        <v>0</v>
      </c>
      <c r="AS491" s="92">
        <f t="shared" si="395"/>
        <v>0</v>
      </c>
      <c r="AW491" s="191"/>
      <c r="AY491" s="31">
        <f>+Details!F491-Base!F491</f>
        <v>0</v>
      </c>
      <c r="AZ491" s="92">
        <f>+Details!G491-Base!G491</f>
        <v>0</v>
      </c>
      <c r="BA491" s="92">
        <f>+Details!H491-Base!H491</f>
        <v>0</v>
      </c>
      <c r="BB491" s="92">
        <f>+Details!I491-Base!I491</f>
        <v>0</v>
      </c>
      <c r="BC491" s="92">
        <f>+Details!J491-Base!J491</f>
        <v>0</v>
      </c>
      <c r="BD491" s="92">
        <f>+Details!K491-Base!K491</f>
        <v>0</v>
      </c>
      <c r="BE491" s="92">
        <f>+Details!L491-Base!L491</f>
        <v>0</v>
      </c>
      <c r="BF491" s="92">
        <f>+Details!M491-Base!M491</f>
        <v>0</v>
      </c>
      <c r="BG491" s="92">
        <f>+Details!N491-Base!N491</f>
        <v>0</v>
      </c>
      <c r="BH491" s="92">
        <f>+Details!O491-Base!O491</f>
        <v>0</v>
      </c>
      <c r="BI491" s="92">
        <f>+Details!P491-Base!P491</f>
        <v>0</v>
      </c>
      <c r="BJ491" s="92">
        <f>+Details!Q491-Base!Q491</f>
        <v>0</v>
      </c>
      <c r="BK491" s="92">
        <f>+Details!R491-Base!R491</f>
        <v>0</v>
      </c>
      <c r="BL491" s="92">
        <f>+Details!S491-Base!S491</f>
        <v>0</v>
      </c>
      <c r="BM491" s="92">
        <f>+Details!T491-Base!T491</f>
        <v>0</v>
      </c>
      <c r="BN491" s="92">
        <f>+Details!U491-Base!U491</f>
        <v>0</v>
      </c>
      <c r="BO491" s="92">
        <f>+Details!V491-Base!V491</f>
        <v>0</v>
      </c>
      <c r="BP491" s="92">
        <f>+Details!W491-Base!W491</f>
        <v>0</v>
      </c>
      <c r="BQ491" s="92">
        <f>+Details!X491-Base!X491</f>
        <v>0</v>
      </c>
      <c r="BR491" s="92">
        <f>+Details!Y491-Base!Y491</f>
        <v>0</v>
      </c>
      <c r="BS491" s="92">
        <f>+Details!Z491-Base!Z491</f>
        <v>0</v>
      </c>
      <c r="BT491" s="92">
        <f>+Details!AA491-Base!AA491</f>
        <v>0</v>
      </c>
      <c r="BU491" s="92">
        <f>+Details!AB491-Base!AB491</f>
        <v>0</v>
      </c>
      <c r="BV491" s="92">
        <f>+Details!AC491-Base!AC491</f>
        <v>0</v>
      </c>
      <c r="BW491" s="92">
        <f>+Details!AD491-Base!AD491</f>
        <v>0</v>
      </c>
      <c r="BX491" s="92">
        <f>+Details!AE491-Base!AE491</f>
        <v>0</v>
      </c>
      <c r="BY491" s="92">
        <f>+Details!AF491-Base!AF491</f>
        <v>0</v>
      </c>
      <c r="BZ491" s="92">
        <f>+Details!AG491-Base!AG491</f>
        <v>0</v>
      </c>
      <c r="CA491" s="92">
        <f>+Details!AH491-Base!AH491</f>
        <v>0</v>
      </c>
      <c r="CB491" s="92">
        <f>+Details!AI491-Base!AI491</f>
        <v>0</v>
      </c>
      <c r="CC491" s="92">
        <f>+Details!AJ491-Base!AJ491</f>
        <v>0</v>
      </c>
      <c r="CD491" s="92">
        <f>+Details!AK491-Base!AK491</f>
        <v>0</v>
      </c>
      <c r="CE491" s="92">
        <f>+Details!AL491-Base!AL491</f>
        <v>0</v>
      </c>
      <c r="CF491" s="92">
        <f>+Details!AM491-Base!AM491</f>
        <v>0</v>
      </c>
      <c r="CG491" s="92">
        <f>+Details!AN491-Base!AN491</f>
        <v>0</v>
      </c>
      <c r="CH491" s="92">
        <f>+Details!AO491-Base!AO491</f>
        <v>0</v>
      </c>
      <c r="CI491" s="92">
        <f>+Details!AP491-Base!AP491</f>
        <v>0</v>
      </c>
      <c r="CJ491" s="92">
        <f>+Details!AQ491-Base!AQ491</f>
        <v>0</v>
      </c>
      <c r="CK491" s="92">
        <f>+Details!AR491-Base!AR491</f>
        <v>0</v>
      </c>
      <c r="CL491" s="92">
        <f>+Details!AS491-Base!AS491</f>
        <v>0</v>
      </c>
    </row>
    <row r="492" spans="2:90">
      <c r="B492" s="43" t="s">
        <v>365</v>
      </c>
      <c r="E492" s="65">
        <f>SUM(F492:AS492)</f>
        <v>0</v>
      </c>
      <c r="F492" s="566">
        <f>-F133</f>
        <v>0</v>
      </c>
      <c r="G492" s="566">
        <f>-G133</f>
        <v>0</v>
      </c>
      <c r="H492" s="566">
        <f>-H133</f>
        <v>0</v>
      </c>
      <c r="I492" s="566">
        <f>-I133</f>
        <v>0</v>
      </c>
      <c r="J492" s="566">
        <f>-J133</f>
        <v>0</v>
      </c>
      <c r="K492" s="566">
        <f t="shared" ref="K492:AS492" si="396">-K133</f>
        <v>0</v>
      </c>
      <c r="L492" s="566">
        <f t="shared" si="396"/>
        <v>0</v>
      </c>
      <c r="M492" s="566">
        <f t="shared" si="396"/>
        <v>0</v>
      </c>
      <c r="N492" s="566">
        <f t="shared" si="396"/>
        <v>0</v>
      </c>
      <c r="O492" s="566">
        <f t="shared" si="396"/>
        <v>0</v>
      </c>
      <c r="P492" s="566">
        <f t="shared" si="396"/>
        <v>0</v>
      </c>
      <c r="Q492" s="566">
        <f t="shared" si="396"/>
        <v>0</v>
      </c>
      <c r="R492" s="566">
        <f t="shared" si="396"/>
        <v>0</v>
      </c>
      <c r="S492" s="566">
        <f t="shared" si="396"/>
        <v>0</v>
      </c>
      <c r="T492" s="566">
        <f t="shared" si="396"/>
        <v>0</v>
      </c>
      <c r="U492" s="566">
        <f t="shared" si="396"/>
        <v>0</v>
      </c>
      <c r="V492" s="566">
        <f t="shared" si="396"/>
        <v>0</v>
      </c>
      <c r="W492" s="566">
        <f t="shared" si="396"/>
        <v>0</v>
      </c>
      <c r="X492" s="566">
        <f t="shared" si="396"/>
        <v>0</v>
      </c>
      <c r="Y492" s="566">
        <f t="shared" si="396"/>
        <v>0</v>
      </c>
      <c r="Z492" s="566">
        <f t="shared" si="396"/>
        <v>0</v>
      </c>
      <c r="AA492" s="566">
        <f t="shared" si="396"/>
        <v>0</v>
      </c>
      <c r="AB492" s="566">
        <f t="shared" si="396"/>
        <v>0</v>
      </c>
      <c r="AC492" s="566">
        <f t="shared" si="396"/>
        <v>0</v>
      </c>
      <c r="AD492" s="566">
        <f t="shared" si="396"/>
        <v>0</v>
      </c>
      <c r="AE492" s="566">
        <f t="shared" si="396"/>
        <v>0</v>
      </c>
      <c r="AF492" s="566">
        <f t="shared" si="396"/>
        <v>0</v>
      </c>
      <c r="AG492" s="566">
        <f t="shared" si="396"/>
        <v>0</v>
      </c>
      <c r="AH492" s="566">
        <f t="shared" si="396"/>
        <v>0</v>
      </c>
      <c r="AI492" s="566">
        <f t="shared" si="396"/>
        <v>0</v>
      </c>
      <c r="AJ492" s="566">
        <f t="shared" si="396"/>
        <v>0</v>
      </c>
      <c r="AK492" s="566">
        <f t="shared" si="396"/>
        <v>0</v>
      </c>
      <c r="AL492" s="566">
        <f t="shared" si="396"/>
        <v>0</v>
      </c>
      <c r="AM492" s="566">
        <f t="shared" si="396"/>
        <v>0</v>
      </c>
      <c r="AN492" s="566">
        <f t="shared" si="396"/>
        <v>0</v>
      </c>
      <c r="AO492" s="566">
        <f t="shared" si="396"/>
        <v>0</v>
      </c>
      <c r="AP492" s="566">
        <f t="shared" si="396"/>
        <v>0</v>
      </c>
      <c r="AQ492" s="566">
        <f t="shared" si="396"/>
        <v>0</v>
      </c>
      <c r="AR492" s="566">
        <f t="shared" si="396"/>
        <v>0</v>
      </c>
      <c r="AS492" s="566">
        <f t="shared" si="396"/>
        <v>0</v>
      </c>
      <c r="AW492" s="191"/>
      <c r="AY492" s="38">
        <f>+Details!F492-Base!F492</f>
        <v>0</v>
      </c>
      <c r="AZ492" s="566">
        <f>+Details!G492-Base!G492</f>
        <v>0</v>
      </c>
      <c r="BA492" s="566">
        <f>+Details!H492-Base!H492</f>
        <v>0</v>
      </c>
      <c r="BB492" s="566">
        <f>+Details!I492-Base!I492</f>
        <v>0</v>
      </c>
      <c r="BC492" s="566">
        <f>+Details!J492-Base!J492</f>
        <v>0</v>
      </c>
      <c r="BD492" s="566">
        <f>+Details!K492-Base!K492</f>
        <v>0</v>
      </c>
      <c r="BE492" s="566">
        <f>+Details!L492-Base!L492</f>
        <v>0</v>
      </c>
      <c r="BF492" s="566">
        <f>+Details!M492-Base!M492</f>
        <v>0</v>
      </c>
      <c r="BG492" s="566">
        <f>+Details!N492-Base!N492</f>
        <v>0</v>
      </c>
      <c r="BH492" s="566">
        <f>+Details!O492-Base!O492</f>
        <v>0</v>
      </c>
      <c r="BI492" s="566">
        <f>+Details!P492-Base!P492</f>
        <v>0</v>
      </c>
      <c r="BJ492" s="566">
        <f>+Details!Q492-Base!Q492</f>
        <v>0</v>
      </c>
      <c r="BK492" s="566">
        <f>+Details!R492-Base!R492</f>
        <v>0</v>
      </c>
      <c r="BL492" s="566">
        <f>+Details!S492-Base!S492</f>
        <v>0</v>
      </c>
      <c r="BM492" s="566">
        <f>+Details!T492-Base!T492</f>
        <v>0</v>
      </c>
      <c r="BN492" s="566">
        <f>+Details!U492-Base!U492</f>
        <v>0</v>
      </c>
      <c r="BO492" s="566">
        <f>+Details!V492-Base!V492</f>
        <v>0</v>
      </c>
      <c r="BP492" s="566">
        <f>+Details!W492-Base!W492</f>
        <v>0</v>
      </c>
      <c r="BQ492" s="566">
        <f>+Details!X492-Base!X492</f>
        <v>0</v>
      </c>
      <c r="BR492" s="566">
        <f>+Details!Y492-Base!Y492</f>
        <v>0</v>
      </c>
      <c r="BS492" s="566">
        <f>+Details!Z492-Base!Z492</f>
        <v>0</v>
      </c>
      <c r="BT492" s="566">
        <f>+Details!AA492-Base!AA492</f>
        <v>0</v>
      </c>
      <c r="BU492" s="566">
        <f>+Details!AB492-Base!AB492</f>
        <v>0</v>
      </c>
      <c r="BV492" s="566">
        <f>+Details!AC492-Base!AC492</f>
        <v>0</v>
      </c>
      <c r="BW492" s="566">
        <f>+Details!AD492-Base!AD492</f>
        <v>0</v>
      </c>
      <c r="BX492" s="566">
        <f>+Details!AE492-Base!AE492</f>
        <v>0</v>
      </c>
      <c r="BY492" s="566">
        <f>+Details!AF492-Base!AF492</f>
        <v>0</v>
      </c>
      <c r="BZ492" s="566">
        <f>+Details!AG492-Base!AG492</f>
        <v>0</v>
      </c>
      <c r="CA492" s="566">
        <f>+Details!AH492-Base!AH492</f>
        <v>0</v>
      </c>
      <c r="CB492" s="566">
        <f>+Details!AI492-Base!AI492</f>
        <v>0</v>
      </c>
      <c r="CC492" s="566">
        <f>+Details!AJ492-Base!AJ492</f>
        <v>0</v>
      </c>
      <c r="CD492" s="566">
        <f>+Details!AK492-Base!AK492</f>
        <v>0</v>
      </c>
      <c r="CE492" s="566">
        <f>+Details!AL492-Base!AL492</f>
        <v>0</v>
      </c>
      <c r="CF492" s="566">
        <f>+Details!AM492-Base!AM492</f>
        <v>0</v>
      </c>
      <c r="CG492" s="566">
        <f>+Details!AN492-Base!AN492</f>
        <v>0</v>
      </c>
      <c r="CH492" s="566">
        <f>+Details!AO492-Base!AO492</f>
        <v>0</v>
      </c>
      <c r="CI492" s="566">
        <f>+Details!AP492-Base!AP492</f>
        <v>0</v>
      </c>
      <c r="CJ492" s="566">
        <f>+Details!AQ492-Base!AQ492</f>
        <v>0</v>
      </c>
      <c r="CK492" s="566">
        <f>+Details!AR492-Base!AR492</f>
        <v>0</v>
      </c>
      <c r="CL492" s="566">
        <f>+Details!AS492-Base!AS492</f>
        <v>0</v>
      </c>
    </row>
    <row r="493" spans="2:90">
      <c r="B493" s="43" t="s">
        <v>396</v>
      </c>
      <c r="F493" s="92">
        <f>+F489+F490+F491+F492</f>
        <v>460000</v>
      </c>
      <c r="G493" s="92">
        <f>+G489+G490+G491+G492</f>
        <v>450000</v>
      </c>
      <c r="H493" s="92">
        <f t="shared" ref="H493:AS493" si="397">+H489+H490+H491+H492</f>
        <v>438200</v>
      </c>
      <c r="I493" s="92">
        <f t="shared" si="397"/>
        <v>424400</v>
      </c>
      <c r="J493" s="92">
        <f t="shared" si="397"/>
        <v>408400</v>
      </c>
      <c r="K493" s="92">
        <f t="shared" si="397"/>
        <v>390000</v>
      </c>
      <c r="L493" s="92">
        <f t="shared" si="397"/>
        <v>369100</v>
      </c>
      <c r="M493" s="92">
        <f t="shared" si="397"/>
        <v>345400</v>
      </c>
      <c r="N493" s="92">
        <f t="shared" si="397"/>
        <v>359500</v>
      </c>
      <c r="O493" s="92">
        <f t="shared" si="397"/>
        <v>359700</v>
      </c>
      <c r="P493" s="92">
        <f t="shared" si="397"/>
        <v>360700</v>
      </c>
      <c r="Q493" s="92">
        <f t="shared" si="397"/>
        <v>362000</v>
      </c>
      <c r="R493" s="92">
        <f t="shared" si="397"/>
        <v>363500</v>
      </c>
      <c r="S493" s="92">
        <f t="shared" si="397"/>
        <v>365100</v>
      </c>
      <c r="T493" s="92">
        <f t="shared" si="397"/>
        <v>371900</v>
      </c>
      <c r="U493" s="92">
        <f t="shared" si="397"/>
        <v>377900</v>
      </c>
      <c r="V493" s="92">
        <f t="shared" si="397"/>
        <v>383200</v>
      </c>
      <c r="W493" s="92">
        <f t="shared" si="397"/>
        <v>387800</v>
      </c>
      <c r="X493" s="92">
        <f t="shared" si="397"/>
        <v>391600</v>
      </c>
      <c r="Y493" s="92">
        <f t="shared" si="397"/>
        <v>391000</v>
      </c>
      <c r="Z493" s="92">
        <f t="shared" si="397"/>
        <v>389300</v>
      </c>
      <c r="AA493" s="92">
        <f t="shared" si="397"/>
        <v>386500</v>
      </c>
      <c r="AB493" s="92">
        <f t="shared" si="397"/>
        <v>382500</v>
      </c>
      <c r="AC493" s="92">
        <f t="shared" si="397"/>
        <v>377400</v>
      </c>
      <c r="AD493" s="92">
        <f t="shared" si="397"/>
        <v>371000</v>
      </c>
      <c r="AE493" s="92">
        <f t="shared" si="397"/>
        <v>363300</v>
      </c>
      <c r="AF493" s="92">
        <f t="shared" si="397"/>
        <v>354200</v>
      </c>
      <c r="AG493" s="92">
        <f t="shared" si="397"/>
        <v>343700</v>
      </c>
      <c r="AH493" s="92">
        <f t="shared" si="397"/>
        <v>331900</v>
      </c>
      <c r="AI493" s="92">
        <f t="shared" si="397"/>
        <v>318900</v>
      </c>
      <c r="AJ493" s="92">
        <f t="shared" si="397"/>
        <v>0</v>
      </c>
      <c r="AK493" s="92">
        <f t="shared" si="397"/>
        <v>0</v>
      </c>
      <c r="AL493" s="92">
        <f t="shared" si="397"/>
        <v>0</v>
      </c>
      <c r="AM493" s="92">
        <f t="shared" si="397"/>
        <v>0</v>
      </c>
      <c r="AN493" s="92">
        <f t="shared" si="397"/>
        <v>0</v>
      </c>
      <c r="AO493" s="92">
        <f t="shared" si="397"/>
        <v>0</v>
      </c>
      <c r="AP493" s="92">
        <f t="shared" si="397"/>
        <v>0</v>
      </c>
      <c r="AQ493" s="92">
        <f t="shared" si="397"/>
        <v>0</v>
      </c>
      <c r="AR493" s="92">
        <f t="shared" si="397"/>
        <v>0</v>
      </c>
      <c r="AS493" s="92">
        <f t="shared" si="397"/>
        <v>0</v>
      </c>
      <c r="AY493" s="31">
        <f>+Details!F493-Base!F493</f>
        <v>0</v>
      </c>
      <c r="AZ493" s="92">
        <f>+Details!G493-Base!G493</f>
        <v>0</v>
      </c>
      <c r="BA493" s="92">
        <f>+Details!H493-Base!H493</f>
        <v>0</v>
      </c>
      <c r="BB493" s="92">
        <f>+Details!I493-Base!I493</f>
        <v>0</v>
      </c>
      <c r="BC493" s="92">
        <f>+Details!J493-Base!J493</f>
        <v>0</v>
      </c>
      <c r="BD493" s="92">
        <f>+Details!K493-Base!K493</f>
        <v>0</v>
      </c>
      <c r="BE493" s="92">
        <f>+Details!L493-Base!L493</f>
        <v>0</v>
      </c>
      <c r="BF493" s="92">
        <f>+Details!M493-Base!M493</f>
        <v>0</v>
      </c>
      <c r="BG493" s="92">
        <f>+Details!N493-Base!N493</f>
        <v>0</v>
      </c>
      <c r="BH493" s="92">
        <f>+Details!O493-Base!O493</f>
        <v>0</v>
      </c>
      <c r="BI493" s="92">
        <f>+Details!P493-Base!P493</f>
        <v>0</v>
      </c>
      <c r="BJ493" s="92">
        <f>+Details!Q493-Base!Q493</f>
        <v>0</v>
      </c>
      <c r="BK493" s="92">
        <f>+Details!R493-Base!R493</f>
        <v>0</v>
      </c>
      <c r="BL493" s="92">
        <f>+Details!S493-Base!S493</f>
        <v>0</v>
      </c>
      <c r="BM493" s="92">
        <f>+Details!T493-Base!T493</f>
        <v>0</v>
      </c>
      <c r="BN493" s="92">
        <f>+Details!U493-Base!U493</f>
        <v>0</v>
      </c>
      <c r="BO493" s="92">
        <f>+Details!V493-Base!V493</f>
        <v>0</v>
      </c>
      <c r="BP493" s="92">
        <f>+Details!W493-Base!W493</f>
        <v>0</v>
      </c>
      <c r="BQ493" s="92">
        <f>+Details!X493-Base!X493</f>
        <v>0</v>
      </c>
      <c r="BR493" s="92">
        <f>+Details!Y493-Base!Y493</f>
        <v>0</v>
      </c>
      <c r="BS493" s="92">
        <f>+Details!Z493-Base!Z493</f>
        <v>0</v>
      </c>
      <c r="BT493" s="92">
        <f>+Details!AA493-Base!AA493</f>
        <v>0</v>
      </c>
      <c r="BU493" s="92">
        <f>+Details!AB493-Base!AB493</f>
        <v>0</v>
      </c>
      <c r="BV493" s="92">
        <f>+Details!AC493-Base!AC493</f>
        <v>0</v>
      </c>
      <c r="BW493" s="92">
        <f>+Details!AD493-Base!AD493</f>
        <v>0</v>
      </c>
      <c r="BX493" s="92">
        <f>+Details!AE493-Base!AE493</f>
        <v>0</v>
      </c>
      <c r="BY493" s="92">
        <f>+Details!AF493-Base!AF493</f>
        <v>0</v>
      </c>
      <c r="BZ493" s="92">
        <f>+Details!AG493-Base!AG493</f>
        <v>0</v>
      </c>
      <c r="CA493" s="92">
        <f>+Details!AH493-Base!AH493</f>
        <v>0</v>
      </c>
      <c r="CB493" s="92">
        <f>+Details!AI493-Base!AI493</f>
        <v>0</v>
      </c>
      <c r="CC493" s="92">
        <f>+Details!AJ493-Base!AJ493</f>
        <v>0</v>
      </c>
      <c r="CD493" s="92">
        <f>+Details!AK493-Base!AK493</f>
        <v>0</v>
      </c>
      <c r="CE493" s="92">
        <f>+Details!AL493-Base!AL493</f>
        <v>0</v>
      </c>
      <c r="CF493" s="92">
        <f>+Details!AM493-Base!AM493</f>
        <v>0</v>
      </c>
      <c r="CG493" s="92">
        <f>+Details!AN493-Base!AN493</f>
        <v>0</v>
      </c>
      <c r="CH493" s="92">
        <f>+Details!AO493-Base!AO493</f>
        <v>0</v>
      </c>
      <c r="CI493" s="92">
        <f>+Details!AP493-Base!AP493</f>
        <v>0</v>
      </c>
      <c r="CJ493" s="92">
        <f>+Details!AQ493-Base!AQ493</f>
        <v>0</v>
      </c>
      <c r="CK493" s="92">
        <f>+Details!AR493-Base!AR493</f>
        <v>0</v>
      </c>
      <c r="CL493" s="92">
        <f>+Details!AS493-Base!AS493</f>
        <v>0</v>
      </c>
    </row>
    <row r="494" spans="2:90">
      <c r="B494" s="43" t="s">
        <v>254</v>
      </c>
      <c r="F494" s="92">
        <f>(+F489+F493)/2</f>
        <v>480000</v>
      </c>
      <c r="G494" s="92">
        <f>(+G489+G493)/2</f>
        <v>470600</v>
      </c>
      <c r="H494" s="92">
        <f>(+H489+H493)/2</f>
        <v>459400</v>
      </c>
      <c r="I494" s="92">
        <f>(+I489+I493)/2</f>
        <v>446250</v>
      </c>
      <c r="J494" s="92">
        <f>(+J489+J493)/2</f>
        <v>430900</v>
      </c>
      <c r="K494" s="92">
        <f t="shared" ref="K494:AS494" si="398">(+K489+K493)/2</f>
        <v>413200</v>
      </c>
      <c r="L494" s="92">
        <f t="shared" si="398"/>
        <v>393000</v>
      </c>
      <c r="M494" s="92">
        <f t="shared" si="398"/>
        <v>370000</v>
      </c>
      <c r="N494" s="92">
        <f t="shared" si="398"/>
        <v>364500</v>
      </c>
      <c r="O494" s="92">
        <f t="shared" si="398"/>
        <v>371450</v>
      </c>
      <c r="P494" s="92">
        <f t="shared" si="398"/>
        <v>372250</v>
      </c>
      <c r="Q494" s="92">
        <f t="shared" si="398"/>
        <v>373450</v>
      </c>
      <c r="R494" s="92">
        <f t="shared" si="398"/>
        <v>374900</v>
      </c>
      <c r="S494" s="92">
        <f t="shared" si="398"/>
        <v>376500</v>
      </c>
      <c r="T494" s="92">
        <f t="shared" si="398"/>
        <v>380750</v>
      </c>
      <c r="U494" s="92">
        <f t="shared" si="398"/>
        <v>387250</v>
      </c>
      <c r="V494" s="92">
        <f t="shared" si="398"/>
        <v>393150</v>
      </c>
      <c r="W494" s="92">
        <f t="shared" si="398"/>
        <v>398300</v>
      </c>
      <c r="X494" s="92">
        <f t="shared" si="398"/>
        <v>402650</v>
      </c>
      <c r="Y494" s="92">
        <f t="shared" si="398"/>
        <v>402550</v>
      </c>
      <c r="Z494" s="92">
        <f t="shared" si="398"/>
        <v>401400</v>
      </c>
      <c r="AA494" s="92">
        <f t="shared" si="398"/>
        <v>399150</v>
      </c>
      <c r="AB494" s="92">
        <f t="shared" si="398"/>
        <v>395700</v>
      </c>
      <c r="AC494" s="92">
        <f t="shared" si="398"/>
        <v>391050</v>
      </c>
      <c r="AD494" s="92">
        <f t="shared" si="398"/>
        <v>385150</v>
      </c>
      <c r="AE494" s="92">
        <f t="shared" si="398"/>
        <v>377950</v>
      </c>
      <c r="AF494" s="92">
        <f t="shared" si="398"/>
        <v>369350</v>
      </c>
      <c r="AG494" s="92">
        <f t="shared" si="398"/>
        <v>359300</v>
      </c>
      <c r="AH494" s="92">
        <f t="shared" si="398"/>
        <v>347850</v>
      </c>
      <c r="AI494" s="92">
        <f t="shared" si="398"/>
        <v>335150</v>
      </c>
      <c r="AJ494" s="92">
        <f t="shared" si="398"/>
        <v>0</v>
      </c>
      <c r="AK494" s="92">
        <f t="shared" si="398"/>
        <v>0</v>
      </c>
      <c r="AL494" s="92">
        <f t="shared" si="398"/>
        <v>0</v>
      </c>
      <c r="AM494" s="92">
        <f t="shared" si="398"/>
        <v>0</v>
      </c>
      <c r="AN494" s="92">
        <f t="shared" si="398"/>
        <v>0</v>
      </c>
      <c r="AO494" s="92">
        <f t="shared" si="398"/>
        <v>0</v>
      </c>
      <c r="AP494" s="92">
        <f t="shared" si="398"/>
        <v>0</v>
      </c>
      <c r="AQ494" s="92">
        <f t="shared" si="398"/>
        <v>0</v>
      </c>
      <c r="AR494" s="92">
        <f t="shared" si="398"/>
        <v>0</v>
      </c>
      <c r="AS494" s="92">
        <f t="shared" si="398"/>
        <v>0</v>
      </c>
      <c r="AY494" s="31">
        <f>+Details!F494-Base!F494</f>
        <v>0</v>
      </c>
      <c r="AZ494" s="92">
        <f>+Details!G494-Base!G494</f>
        <v>0</v>
      </c>
      <c r="BA494" s="92">
        <f>+Details!H494-Base!H494</f>
        <v>0</v>
      </c>
      <c r="BB494" s="92">
        <f>+Details!I494-Base!I494</f>
        <v>0</v>
      </c>
      <c r="BC494" s="92">
        <f>+Details!J494-Base!J494</f>
        <v>0</v>
      </c>
      <c r="BD494" s="92">
        <f>+Details!K494-Base!K494</f>
        <v>0</v>
      </c>
      <c r="BE494" s="92">
        <f>+Details!L494-Base!L494</f>
        <v>0</v>
      </c>
      <c r="BF494" s="92">
        <f>+Details!M494-Base!M494</f>
        <v>0</v>
      </c>
      <c r="BG494" s="92">
        <f>+Details!N494-Base!N494</f>
        <v>0</v>
      </c>
      <c r="BH494" s="92">
        <f>+Details!O494-Base!O494</f>
        <v>0</v>
      </c>
      <c r="BI494" s="92">
        <f>+Details!P494-Base!P494</f>
        <v>0</v>
      </c>
      <c r="BJ494" s="92">
        <f>+Details!Q494-Base!Q494</f>
        <v>0</v>
      </c>
      <c r="BK494" s="92">
        <f>+Details!R494-Base!R494</f>
        <v>0</v>
      </c>
      <c r="BL494" s="92">
        <f>+Details!S494-Base!S494</f>
        <v>0</v>
      </c>
      <c r="BM494" s="92">
        <f>+Details!T494-Base!T494</f>
        <v>0</v>
      </c>
      <c r="BN494" s="92">
        <f>+Details!U494-Base!U494</f>
        <v>0</v>
      </c>
      <c r="BO494" s="92">
        <f>+Details!V494-Base!V494</f>
        <v>0</v>
      </c>
      <c r="BP494" s="92">
        <f>+Details!W494-Base!W494</f>
        <v>0</v>
      </c>
      <c r="BQ494" s="92">
        <f>+Details!X494-Base!X494</f>
        <v>0</v>
      </c>
      <c r="BR494" s="92">
        <f>+Details!Y494-Base!Y494</f>
        <v>0</v>
      </c>
      <c r="BS494" s="92">
        <f>+Details!Z494-Base!Z494</f>
        <v>0</v>
      </c>
      <c r="BT494" s="92">
        <f>+Details!AA494-Base!AA494</f>
        <v>0</v>
      </c>
      <c r="BU494" s="92">
        <f>+Details!AB494-Base!AB494</f>
        <v>0</v>
      </c>
      <c r="BV494" s="92">
        <f>+Details!AC494-Base!AC494</f>
        <v>0</v>
      </c>
      <c r="BW494" s="92">
        <f>+Details!AD494-Base!AD494</f>
        <v>0</v>
      </c>
      <c r="BX494" s="92">
        <f>+Details!AE494-Base!AE494</f>
        <v>0</v>
      </c>
      <c r="BY494" s="92">
        <f>+Details!AF494-Base!AF494</f>
        <v>0</v>
      </c>
      <c r="BZ494" s="92">
        <f>+Details!AG494-Base!AG494</f>
        <v>0</v>
      </c>
      <c r="CA494" s="92">
        <f>+Details!AH494-Base!AH494</f>
        <v>0</v>
      </c>
      <c r="CB494" s="92">
        <f>+Details!AI494-Base!AI494</f>
        <v>0</v>
      </c>
      <c r="CC494" s="92">
        <f>+Details!AJ494-Base!AJ494</f>
        <v>0</v>
      </c>
      <c r="CD494" s="92">
        <f>+Details!AK494-Base!AK494</f>
        <v>0</v>
      </c>
      <c r="CE494" s="92">
        <f>+Details!AL494-Base!AL494</f>
        <v>0</v>
      </c>
      <c r="CF494" s="92">
        <f>+Details!AM494-Base!AM494</f>
        <v>0</v>
      </c>
      <c r="CG494" s="92">
        <f>+Details!AN494-Base!AN494</f>
        <v>0</v>
      </c>
      <c r="CH494" s="92">
        <f>+Details!AO494-Base!AO494</f>
        <v>0</v>
      </c>
      <c r="CI494" s="92">
        <f>+Details!AP494-Base!AP494</f>
        <v>0</v>
      </c>
      <c r="CJ494" s="92">
        <f>+Details!AQ494-Base!AQ494</f>
        <v>0</v>
      </c>
      <c r="CK494" s="92">
        <f>+Details!AR494-Base!AR494</f>
        <v>0</v>
      </c>
      <c r="CL494" s="92">
        <f>+Details!AS494-Base!AS494</f>
        <v>0</v>
      </c>
    </row>
    <row r="495" spans="2:90">
      <c r="B495" s="43" t="s">
        <v>393</v>
      </c>
      <c r="F495" s="117">
        <f t="shared" ref="F495:AS495" si="399">IF(AND(Use_Class="c",F$4&gt;=Change_Age),tIRA_Return2,tIRA_Return)</f>
        <v>6.5000000000000002E-2</v>
      </c>
      <c r="G495" s="117">
        <f t="shared" si="399"/>
        <v>6.5000000000000002E-2</v>
      </c>
      <c r="H495" s="117">
        <f t="shared" si="399"/>
        <v>6.5000000000000002E-2</v>
      </c>
      <c r="I495" s="117">
        <f t="shared" si="399"/>
        <v>6.5000000000000002E-2</v>
      </c>
      <c r="J495" s="117">
        <f t="shared" si="399"/>
        <v>6.5000000000000002E-2</v>
      </c>
      <c r="K495" s="117">
        <f t="shared" si="399"/>
        <v>6.5000000000000002E-2</v>
      </c>
      <c r="L495" s="117">
        <f t="shared" si="399"/>
        <v>6.5000000000000002E-2</v>
      </c>
      <c r="M495" s="117">
        <f t="shared" si="399"/>
        <v>6.5000000000000002E-2</v>
      </c>
      <c r="N495" s="117">
        <f t="shared" si="399"/>
        <v>6.5000000000000002E-2</v>
      </c>
      <c r="O495" s="117">
        <f t="shared" si="399"/>
        <v>6.5000000000000002E-2</v>
      </c>
      <c r="P495" s="117">
        <f t="shared" si="399"/>
        <v>6.5000000000000002E-2</v>
      </c>
      <c r="Q495" s="117">
        <f t="shared" si="399"/>
        <v>6.5000000000000002E-2</v>
      </c>
      <c r="R495" s="117">
        <f t="shared" si="399"/>
        <v>6.5000000000000002E-2</v>
      </c>
      <c r="S495" s="117">
        <f t="shared" si="399"/>
        <v>6.5000000000000002E-2</v>
      </c>
      <c r="T495" s="117">
        <f t="shared" si="399"/>
        <v>6.5000000000000002E-2</v>
      </c>
      <c r="U495" s="117">
        <f t="shared" si="399"/>
        <v>6.5000000000000002E-2</v>
      </c>
      <c r="V495" s="117">
        <f t="shared" si="399"/>
        <v>6.5000000000000002E-2</v>
      </c>
      <c r="W495" s="117">
        <f t="shared" si="399"/>
        <v>6.5000000000000002E-2</v>
      </c>
      <c r="X495" s="117">
        <f t="shared" si="399"/>
        <v>5.6000000000000001E-2</v>
      </c>
      <c r="Y495" s="117">
        <f t="shared" si="399"/>
        <v>5.6000000000000001E-2</v>
      </c>
      <c r="Z495" s="117">
        <f t="shared" si="399"/>
        <v>5.6000000000000001E-2</v>
      </c>
      <c r="AA495" s="117">
        <f t="shared" si="399"/>
        <v>5.6000000000000001E-2</v>
      </c>
      <c r="AB495" s="117">
        <f t="shared" si="399"/>
        <v>5.6000000000000001E-2</v>
      </c>
      <c r="AC495" s="117">
        <f t="shared" si="399"/>
        <v>5.6000000000000001E-2</v>
      </c>
      <c r="AD495" s="117">
        <f t="shared" si="399"/>
        <v>5.6000000000000001E-2</v>
      </c>
      <c r="AE495" s="117">
        <f t="shared" si="399"/>
        <v>5.6000000000000001E-2</v>
      </c>
      <c r="AF495" s="117">
        <f t="shared" si="399"/>
        <v>5.6000000000000001E-2</v>
      </c>
      <c r="AG495" s="117">
        <f t="shared" si="399"/>
        <v>5.6000000000000001E-2</v>
      </c>
      <c r="AH495" s="117">
        <f t="shared" si="399"/>
        <v>5.6000000000000001E-2</v>
      </c>
      <c r="AI495" s="117">
        <f t="shared" si="399"/>
        <v>5.6000000000000001E-2</v>
      </c>
      <c r="AJ495" s="117">
        <f t="shared" si="399"/>
        <v>5.6000000000000001E-2</v>
      </c>
      <c r="AK495" s="117">
        <f t="shared" si="399"/>
        <v>5.6000000000000001E-2</v>
      </c>
      <c r="AL495" s="117">
        <f t="shared" si="399"/>
        <v>5.6000000000000001E-2</v>
      </c>
      <c r="AM495" s="117">
        <f t="shared" si="399"/>
        <v>5.6000000000000001E-2</v>
      </c>
      <c r="AN495" s="117">
        <f t="shared" si="399"/>
        <v>5.6000000000000001E-2</v>
      </c>
      <c r="AO495" s="117">
        <f t="shared" si="399"/>
        <v>5.6000000000000001E-2</v>
      </c>
      <c r="AP495" s="117">
        <f t="shared" si="399"/>
        <v>5.6000000000000001E-2</v>
      </c>
      <c r="AQ495" s="117">
        <f t="shared" si="399"/>
        <v>5.6000000000000001E-2</v>
      </c>
      <c r="AR495" s="117">
        <f t="shared" si="399"/>
        <v>5.6000000000000001E-2</v>
      </c>
      <c r="AS495" s="117">
        <f t="shared" si="399"/>
        <v>5.6000000000000001E-2</v>
      </c>
      <c r="AY495" s="117">
        <f>+Details!F495-Base!F495</f>
        <v>0</v>
      </c>
      <c r="AZ495" s="117">
        <f>+Details!G495-Base!G495</f>
        <v>0</v>
      </c>
      <c r="BA495" s="117">
        <f>+Details!H495-Base!H495</f>
        <v>0</v>
      </c>
      <c r="BB495" s="117">
        <f>+Details!I495-Base!I495</f>
        <v>0</v>
      </c>
      <c r="BC495" s="117">
        <f>+Details!J495-Base!J495</f>
        <v>0</v>
      </c>
      <c r="BD495" s="117">
        <f>+Details!K495-Base!K495</f>
        <v>0</v>
      </c>
      <c r="BE495" s="117">
        <f>+Details!L495-Base!L495</f>
        <v>0</v>
      </c>
      <c r="BF495" s="117">
        <f>+Details!M495-Base!M495</f>
        <v>0</v>
      </c>
      <c r="BG495" s="117">
        <f>+Details!N495-Base!N495</f>
        <v>0</v>
      </c>
      <c r="BH495" s="117">
        <f>+Details!O495-Base!O495</f>
        <v>0</v>
      </c>
      <c r="BI495" s="117">
        <f>+Details!P495-Base!P495</f>
        <v>0</v>
      </c>
      <c r="BJ495" s="117">
        <f>+Details!Q495-Base!Q495</f>
        <v>0</v>
      </c>
      <c r="BK495" s="117">
        <f>+Details!R495-Base!R495</f>
        <v>0</v>
      </c>
      <c r="BL495" s="117">
        <f>+Details!S495-Base!S495</f>
        <v>0</v>
      </c>
      <c r="BM495" s="117">
        <f>+Details!T495-Base!T495</f>
        <v>0</v>
      </c>
      <c r="BN495" s="117">
        <f>+Details!U495-Base!U495</f>
        <v>0</v>
      </c>
      <c r="BO495" s="117">
        <f>+Details!V495-Base!V495</f>
        <v>0</v>
      </c>
      <c r="BP495" s="117">
        <f>+Details!W495-Base!W495</f>
        <v>0</v>
      </c>
      <c r="BQ495" s="117">
        <f>+Details!X495-Base!X495</f>
        <v>0</v>
      </c>
      <c r="BR495" s="117">
        <f>+Details!Y495-Base!Y495</f>
        <v>0</v>
      </c>
      <c r="BS495" s="117">
        <f>+Details!Z495-Base!Z495</f>
        <v>0</v>
      </c>
      <c r="BT495" s="117">
        <f>+Details!AA495-Base!AA495</f>
        <v>0</v>
      </c>
      <c r="BU495" s="117">
        <f>+Details!AB495-Base!AB495</f>
        <v>0</v>
      </c>
      <c r="BV495" s="117">
        <f>+Details!AC495-Base!AC495</f>
        <v>0</v>
      </c>
      <c r="BW495" s="117">
        <f>+Details!AD495-Base!AD495</f>
        <v>0</v>
      </c>
      <c r="BX495" s="117">
        <f>+Details!AE495-Base!AE495</f>
        <v>0</v>
      </c>
      <c r="BY495" s="117">
        <f>+Details!AF495-Base!AF495</f>
        <v>0</v>
      </c>
      <c r="BZ495" s="117">
        <f>+Details!AG495-Base!AG495</f>
        <v>0</v>
      </c>
      <c r="CA495" s="117">
        <f>+Details!AH495-Base!AH495</f>
        <v>0</v>
      </c>
      <c r="CB495" s="117">
        <f>+Details!AI495-Base!AI495</f>
        <v>0</v>
      </c>
      <c r="CC495" s="117">
        <f>+Details!AJ495-Base!AJ495</f>
        <v>0</v>
      </c>
      <c r="CD495" s="117">
        <f>+Details!AK495-Base!AK495</f>
        <v>0</v>
      </c>
      <c r="CE495" s="117">
        <f>+Details!AL495-Base!AL495</f>
        <v>0</v>
      </c>
      <c r="CF495" s="117">
        <f>+Details!AM495-Base!AM495</f>
        <v>0</v>
      </c>
      <c r="CG495" s="117">
        <f>+Details!AN495-Base!AN495</f>
        <v>0</v>
      </c>
      <c r="CH495" s="117">
        <f>+Details!AO495-Base!AO495</f>
        <v>0</v>
      </c>
      <c r="CI495" s="117">
        <f>+Details!AP495-Base!AP495</f>
        <v>0</v>
      </c>
      <c r="CJ495" s="117">
        <f>+Details!AQ495-Base!AQ495</f>
        <v>0</v>
      </c>
      <c r="CK495" s="117">
        <f>+Details!AR495-Base!AR495</f>
        <v>0</v>
      </c>
      <c r="CL495" s="117">
        <f>+Details!AS495-Base!AS495</f>
        <v>0</v>
      </c>
    </row>
    <row r="496" spans="2:90">
      <c r="B496" s="43" t="s">
        <v>1218</v>
      </c>
      <c r="D496" s="1"/>
      <c r="E496" s="65">
        <f>SUM(F496:AS496)</f>
        <v>727396.25</v>
      </c>
      <c r="F496" s="92">
        <f t="shared" ref="F496:M496" si="400">IF(F493=0,0,+F494*F495)</f>
        <v>31200</v>
      </c>
      <c r="G496" s="92">
        <f t="shared" si="400"/>
        <v>30589</v>
      </c>
      <c r="H496" s="92">
        <f t="shared" si="400"/>
        <v>29861</v>
      </c>
      <c r="I496" s="92">
        <f t="shared" si="400"/>
        <v>29006.25</v>
      </c>
      <c r="J496" s="92">
        <f t="shared" si="400"/>
        <v>28008.5</v>
      </c>
      <c r="K496" s="92">
        <f t="shared" si="400"/>
        <v>26858</v>
      </c>
      <c r="L496" s="92">
        <f t="shared" si="400"/>
        <v>25545</v>
      </c>
      <c r="M496" s="92">
        <f t="shared" si="400"/>
        <v>24050</v>
      </c>
      <c r="N496" s="92">
        <f>IF(N493=0,0,+N494*N495)</f>
        <v>23692.5</v>
      </c>
      <c r="O496" s="92">
        <f t="shared" ref="O496:AS496" si="401">IF(O493=0,0,+O494*O495)</f>
        <v>24144.25</v>
      </c>
      <c r="P496" s="92">
        <f t="shared" si="401"/>
        <v>24196.25</v>
      </c>
      <c r="Q496" s="92">
        <f t="shared" si="401"/>
        <v>24274.25</v>
      </c>
      <c r="R496" s="92">
        <f t="shared" si="401"/>
        <v>24368.5</v>
      </c>
      <c r="S496" s="92">
        <f t="shared" si="401"/>
        <v>24472.5</v>
      </c>
      <c r="T496" s="92">
        <f t="shared" si="401"/>
        <v>24748.75</v>
      </c>
      <c r="U496" s="92">
        <f t="shared" si="401"/>
        <v>25171.25</v>
      </c>
      <c r="V496" s="92">
        <f t="shared" si="401"/>
        <v>25554.75</v>
      </c>
      <c r="W496" s="92">
        <f t="shared" si="401"/>
        <v>25889.5</v>
      </c>
      <c r="X496" s="92">
        <f t="shared" si="401"/>
        <v>22548.400000000001</v>
      </c>
      <c r="Y496" s="92">
        <f t="shared" si="401"/>
        <v>22542.799999999999</v>
      </c>
      <c r="Z496" s="92">
        <f t="shared" si="401"/>
        <v>22478.400000000001</v>
      </c>
      <c r="AA496" s="92">
        <f t="shared" si="401"/>
        <v>22352.400000000001</v>
      </c>
      <c r="AB496" s="92">
        <f t="shared" si="401"/>
        <v>22159.200000000001</v>
      </c>
      <c r="AC496" s="92">
        <f t="shared" si="401"/>
        <v>21898.799999999999</v>
      </c>
      <c r="AD496" s="92">
        <f t="shared" si="401"/>
        <v>21568.400000000001</v>
      </c>
      <c r="AE496" s="92">
        <f t="shared" si="401"/>
        <v>21165.200000000001</v>
      </c>
      <c r="AF496" s="92">
        <f t="shared" si="401"/>
        <v>20683.600000000002</v>
      </c>
      <c r="AG496" s="92">
        <f t="shared" si="401"/>
        <v>20120.8</v>
      </c>
      <c r="AH496" s="92">
        <f t="shared" si="401"/>
        <v>19479.600000000002</v>
      </c>
      <c r="AI496" s="92">
        <f t="shared" si="401"/>
        <v>18768.400000000001</v>
      </c>
      <c r="AJ496" s="92">
        <f t="shared" si="401"/>
        <v>0</v>
      </c>
      <c r="AK496" s="92">
        <f t="shared" si="401"/>
        <v>0</v>
      </c>
      <c r="AL496" s="92">
        <f t="shared" si="401"/>
        <v>0</v>
      </c>
      <c r="AM496" s="92">
        <f t="shared" si="401"/>
        <v>0</v>
      </c>
      <c r="AN496" s="92">
        <f t="shared" si="401"/>
        <v>0</v>
      </c>
      <c r="AO496" s="92">
        <f t="shared" si="401"/>
        <v>0</v>
      </c>
      <c r="AP496" s="92">
        <f t="shared" si="401"/>
        <v>0</v>
      </c>
      <c r="AQ496" s="92">
        <f t="shared" si="401"/>
        <v>0</v>
      </c>
      <c r="AR496" s="92">
        <f t="shared" si="401"/>
        <v>0</v>
      </c>
      <c r="AS496" s="92">
        <f t="shared" si="401"/>
        <v>0</v>
      </c>
      <c r="AW496" s="191"/>
      <c r="AY496" s="31">
        <f>+Details!F496-Base!F496</f>
        <v>0</v>
      </c>
      <c r="AZ496" s="92">
        <f>+Details!G496-Base!G496</f>
        <v>0</v>
      </c>
      <c r="BA496" s="92">
        <f>+Details!H496-Base!H496</f>
        <v>0</v>
      </c>
      <c r="BB496" s="92">
        <f>+Details!I496-Base!I496</f>
        <v>0</v>
      </c>
      <c r="BC496" s="92">
        <f>+Details!J496-Base!J496</f>
        <v>0</v>
      </c>
      <c r="BD496" s="92">
        <f>+Details!K496-Base!K496</f>
        <v>0</v>
      </c>
      <c r="BE496" s="92">
        <f>+Details!L496-Base!L496</f>
        <v>0</v>
      </c>
      <c r="BF496" s="92">
        <f>+Details!M496-Base!M496</f>
        <v>0</v>
      </c>
      <c r="BG496" s="92">
        <f>+Details!N496-Base!N496</f>
        <v>0</v>
      </c>
      <c r="BH496" s="92">
        <f>+Details!O496-Base!O496</f>
        <v>0</v>
      </c>
      <c r="BI496" s="92">
        <f>+Details!P496-Base!P496</f>
        <v>0</v>
      </c>
      <c r="BJ496" s="92">
        <f>+Details!Q496-Base!Q496</f>
        <v>0</v>
      </c>
      <c r="BK496" s="92">
        <f>+Details!R496-Base!R496</f>
        <v>0</v>
      </c>
      <c r="BL496" s="92">
        <f>+Details!S496-Base!S496</f>
        <v>0</v>
      </c>
      <c r="BM496" s="92">
        <f>+Details!T496-Base!T496</f>
        <v>0</v>
      </c>
      <c r="BN496" s="92">
        <f>+Details!U496-Base!U496</f>
        <v>0</v>
      </c>
      <c r="BO496" s="92">
        <f>+Details!V496-Base!V496</f>
        <v>0</v>
      </c>
      <c r="BP496" s="92">
        <f>+Details!W496-Base!W496</f>
        <v>0</v>
      </c>
      <c r="BQ496" s="92">
        <f>+Details!X496-Base!X496</f>
        <v>0</v>
      </c>
      <c r="BR496" s="92">
        <f>+Details!Y496-Base!Y496</f>
        <v>0</v>
      </c>
      <c r="BS496" s="92">
        <f>+Details!Z496-Base!Z496</f>
        <v>0</v>
      </c>
      <c r="BT496" s="92">
        <f>+Details!AA496-Base!AA496</f>
        <v>0</v>
      </c>
      <c r="BU496" s="92">
        <f>+Details!AB496-Base!AB496</f>
        <v>0</v>
      </c>
      <c r="BV496" s="92">
        <f>+Details!AC496-Base!AC496</f>
        <v>0</v>
      </c>
      <c r="BW496" s="92">
        <f>+Details!AD496-Base!AD496</f>
        <v>0</v>
      </c>
      <c r="BX496" s="92">
        <f>+Details!AE496-Base!AE496</f>
        <v>0</v>
      </c>
      <c r="BY496" s="92">
        <f>+Details!AF496-Base!AF496</f>
        <v>0</v>
      </c>
      <c r="BZ496" s="92">
        <f>+Details!AG496-Base!AG496</f>
        <v>0</v>
      </c>
      <c r="CA496" s="92">
        <f>+Details!AH496-Base!AH496</f>
        <v>0</v>
      </c>
      <c r="CB496" s="92">
        <f>+Details!AI496-Base!AI496</f>
        <v>0</v>
      </c>
      <c r="CC496" s="92">
        <f>+Details!AJ496-Base!AJ496</f>
        <v>0</v>
      </c>
      <c r="CD496" s="92">
        <f>+Details!AK496-Base!AK496</f>
        <v>0</v>
      </c>
      <c r="CE496" s="92">
        <f>+Details!AL496-Base!AL496</f>
        <v>0</v>
      </c>
      <c r="CF496" s="92">
        <f>+Details!AM496-Base!AM496</f>
        <v>0</v>
      </c>
      <c r="CG496" s="92">
        <f>+Details!AN496-Base!AN496</f>
        <v>0</v>
      </c>
      <c r="CH496" s="92">
        <f>+Details!AO496-Base!AO496</f>
        <v>0</v>
      </c>
      <c r="CI496" s="92">
        <f>+Details!AP496-Base!AP496</f>
        <v>0</v>
      </c>
      <c r="CJ496" s="92">
        <f>+Details!AQ496-Base!AQ496</f>
        <v>0</v>
      </c>
      <c r="CK496" s="92">
        <f>+Details!AR496-Base!AR496</f>
        <v>0</v>
      </c>
      <c r="CL496" s="92">
        <f>+Details!AS496-Base!AS496</f>
        <v>0</v>
      </c>
    </row>
    <row r="497" spans="2:90">
      <c r="B497" s="43" t="s">
        <v>455</v>
      </c>
      <c r="C497" s="136"/>
      <c r="E497" s="65">
        <f>SUM(F497:AS497)</f>
        <v>727700</v>
      </c>
      <c r="F497" s="92">
        <f t="shared" ref="F497:AS497" si="402">ROUND(+F496/Round_To,0)*Round_To</f>
        <v>31200</v>
      </c>
      <c r="G497" s="92">
        <f t="shared" si="402"/>
        <v>30600</v>
      </c>
      <c r="H497" s="92">
        <f t="shared" si="402"/>
        <v>29900</v>
      </c>
      <c r="I497" s="92">
        <f t="shared" si="402"/>
        <v>29000</v>
      </c>
      <c r="J497" s="92">
        <f t="shared" si="402"/>
        <v>28000</v>
      </c>
      <c r="K497" s="92">
        <f t="shared" si="402"/>
        <v>26900</v>
      </c>
      <c r="L497" s="92">
        <f t="shared" si="402"/>
        <v>25500</v>
      </c>
      <c r="M497" s="92">
        <f t="shared" si="402"/>
        <v>24100</v>
      </c>
      <c r="N497" s="92">
        <f t="shared" si="402"/>
        <v>23700</v>
      </c>
      <c r="O497" s="92">
        <f t="shared" si="402"/>
        <v>24100</v>
      </c>
      <c r="P497" s="92">
        <f t="shared" si="402"/>
        <v>24200</v>
      </c>
      <c r="Q497" s="92">
        <f t="shared" si="402"/>
        <v>24300</v>
      </c>
      <c r="R497" s="92">
        <f t="shared" si="402"/>
        <v>24400</v>
      </c>
      <c r="S497" s="92">
        <f t="shared" si="402"/>
        <v>24500</v>
      </c>
      <c r="T497" s="92">
        <f t="shared" si="402"/>
        <v>24700</v>
      </c>
      <c r="U497" s="92">
        <f t="shared" si="402"/>
        <v>25200</v>
      </c>
      <c r="V497" s="92">
        <f t="shared" si="402"/>
        <v>25600</v>
      </c>
      <c r="W497" s="92">
        <f t="shared" si="402"/>
        <v>25900</v>
      </c>
      <c r="X497" s="92">
        <f t="shared" si="402"/>
        <v>22500</v>
      </c>
      <c r="Y497" s="92">
        <f t="shared" si="402"/>
        <v>22500</v>
      </c>
      <c r="Z497" s="92">
        <f t="shared" si="402"/>
        <v>22500</v>
      </c>
      <c r="AA497" s="92">
        <f t="shared" si="402"/>
        <v>22400</v>
      </c>
      <c r="AB497" s="92">
        <f t="shared" si="402"/>
        <v>22200</v>
      </c>
      <c r="AC497" s="92">
        <f t="shared" si="402"/>
        <v>21900</v>
      </c>
      <c r="AD497" s="92">
        <f t="shared" si="402"/>
        <v>21600</v>
      </c>
      <c r="AE497" s="92">
        <f t="shared" si="402"/>
        <v>21200</v>
      </c>
      <c r="AF497" s="92">
        <f t="shared" si="402"/>
        <v>20700</v>
      </c>
      <c r="AG497" s="92">
        <f t="shared" si="402"/>
        <v>20100</v>
      </c>
      <c r="AH497" s="92">
        <f t="shared" si="402"/>
        <v>19500</v>
      </c>
      <c r="AI497" s="92">
        <f t="shared" si="402"/>
        <v>18800</v>
      </c>
      <c r="AJ497" s="92">
        <f t="shared" si="402"/>
        <v>0</v>
      </c>
      <c r="AK497" s="92">
        <f t="shared" si="402"/>
        <v>0</v>
      </c>
      <c r="AL497" s="92">
        <f t="shared" si="402"/>
        <v>0</v>
      </c>
      <c r="AM497" s="92">
        <f t="shared" si="402"/>
        <v>0</v>
      </c>
      <c r="AN497" s="92">
        <f t="shared" si="402"/>
        <v>0</v>
      </c>
      <c r="AO497" s="92">
        <f t="shared" si="402"/>
        <v>0</v>
      </c>
      <c r="AP497" s="92">
        <f t="shared" si="402"/>
        <v>0</v>
      </c>
      <c r="AQ497" s="92">
        <f t="shared" si="402"/>
        <v>0</v>
      </c>
      <c r="AR497" s="92">
        <f t="shared" si="402"/>
        <v>0</v>
      </c>
      <c r="AS497" s="92">
        <f t="shared" si="402"/>
        <v>0</v>
      </c>
      <c r="AW497" s="191"/>
      <c r="AY497" s="31">
        <f>+Details!F497-Base!F497</f>
        <v>0</v>
      </c>
      <c r="AZ497" s="92">
        <f>+Details!G497-Base!G497</f>
        <v>0</v>
      </c>
      <c r="BA497" s="92">
        <f>+Details!H497-Base!H497</f>
        <v>0</v>
      </c>
      <c r="BB497" s="92">
        <f>+Details!I497-Base!I497</f>
        <v>0</v>
      </c>
      <c r="BC497" s="92">
        <f>+Details!J497-Base!J497</f>
        <v>0</v>
      </c>
      <c r="BD497" s="92">
        <f>+Details!K497-Base!K497</f>
        <v>0</v>
      </c>
      <c r="BE497" s="92">
        <f>+Details!L497-Base!L497</f>
        <v>0</v>
      </c>
      <c r="BF497" s="92">
        <f>+Details!M497-Base!M497</f>
        <v>0</v>
      </c>
      <c r="BG497" s="92">
        <f>+Details!N497-Base!N497</f>
        <v>0</v>
      </c>
      <c r="BH497" s="92">
        <f>+Details!O497-Base!O497</f>
        <v>0</v>
      </c>
      <c r="BI497" s="92">
        <f>+Details!P497-Base!P497</f>
        <v>0</v>
      </c>
      <c r="BJ497" s="92">
        <f>+Details!Q497-Base!Q497</f>
        <v>0</v>
      </c>
      <c r="BK497" s="92">
        <f>+Details!R497-Base!R497</f>
        <v>0</v>
      </c>
      <c r="BL497" s="92">
        <f>+Details!S497-Base!S497</f>
        <v>0</v>
      </c>
      <c r="BM497" s="92">
        <f>+Details!T497-Base!T497</f>
        <v>0</v>
      </c>
      <c r="BN497" s="92">
        <f>+Details!U497-Base!U497</f>
        <v>0</v>
      </c>
      <c r="BO497" s="92">
        <f>+Details!V497-Base!V497</f>
        <v>0</v>
      </c>
      <c r="BP497" s="92">
        <f>+Details!W497-Base!W497</f>
        <v>0</v>
      </c>
      <c r="BQ497" s="92">
        <f>+Details!X497-Base!X497</f>
        <v>0</v>
      </c>
      <c r="BR497" s="92">
        <f>+Details!Y497-Base!Y497</f>
        <v>0</v>
      </c>
      <c r="BS497" s="92">
        <f>+Details!Z497-Base!Z497</f>
        <v>0</v>
      </c>
      <c r="BT497" s="92">
        <f>+Details!AA497-Base!AA497</f>
        <v>0</v>
      </c>
      <c r="BU497" s="92">
        <f>+Details!AB497-Base!AB497</f>
        <v>0</v>
      </c>
      <c r="BV497" s="92">
        <f>+Details!AC497-Base!AC497</f>
        <v>0</v>
      </c>
      <c r="BW497" s="92">
        <f>+Details!AD497-Base!AD497</f>
        <v>0</v>
      </c>
      <c r="BX497" s="92">
        <f>+Details!AE497-Base!AE497</f>
        <v>0</v>
      </c>
      <c r="BY497" s="92">
        <f>+Details!AF497-Base!AF497</f>
        <v>0</v>
      </c>
      <c r="BZ497" s="92">
        <f>+Details!AG497-Base!AG497</f>
        <v>0</v>
      </c>
      <c r="CA497" s="92">
        <f>+Details!AH497-Base!AH497</f>
        <v>0</v>
      </c>
      <c r="CB497" s="92">
        <f>+Details!AI497-Base!AI497</f>
        <v>0</v>
      </c>
      <c r="CC497" s="92">
        <f>+Details!AJ497-Base!AJ497</f>
        <v>0</v>
      </c>
      <c r="CD497" s="92">
        <f>+Details!AK497-Base!AK497</f>
        <v>0</v>
      </c>
      <c r="CE497" s="92">
        <f>+Details!AL497-Base!AL497</f>
        <v>0</v>
      </c>
      <c r="CF497" s="92">
        <f>+Details!AM497-Base!AM497</f>
        <v>0</v>
      </c>
      <c r="CG497" s="92">
        <f>+Details!AN497-Base!AN497</f>
        <v>0</v>
      </c>
      <c r="CH497" s="92">
        <f>+Details!AO497-Base!AO497</f>
        <v>0</v>
      </c>
      <c r="CI497" s="92">
        <f>+Details!AP497-Base!AP497</f>
        <v>0</v>
      </c>
      <c r="CJ497" s="92">
        <f>+Details!AQ497-Base!AQ497</f>
        <v>0</v>
      </c>
      <c r="CK497" s="92">
        <f>+Details!AR497-Base!AR497</f>
        <v>0</v>
      </c>
      <c r="CL497" s="92">
        <f>+Details!AS497-Base!AS497</f>
        <v>0</v>
      </c>
    </row>
    <row r="498" spans="2:90">
      <c r="B498" s="43" t="s">
        <v>397</v>
      </c>
      <c r="C498" s="136"/>
      <c r="E498" s="65">
        <f>SUM(F498:AS498)</f>
        <v>0</v>
      </c>
      <c r="F498" s="92">
        <f t="shared" ref="F498:AS498" si="403">+F29-F497</f>
        <v>0</v>
      </c>
      <c r="G498" s="92">
        <f t="shared" si="403"/>
        <v>0</v>
      </c>
      <c r="H498" s="92">
        <f t="shared" si="403"/>
        <v>0</v>
      </c>
      <c r="I498" s="92">
        <f t="shared" si="403"/>
        <v>0</v>
      </c>
      <c r="J498" s="92">
        <f t="shared" si="403"/>
        <v>0</v>
      </c>
      <c r="K498" s="92">
        <f t="shared" si="403"/>
        <v>0</v>
      </c>
      <c r="L498" s="92">
        <f t="shared" si="403"/>
        <v>0</v>
      </c>
      <c r="M498" s="92">
        <f t="shared" si="403"/>
        <v>0</v>
      </c>
      <c r="N498" s="92">
        <f t="shared" si="403"/>
        <v>0</v>
      </c>
      <c r="O498" s="92">
        <f t="shared" si="403"/>
        <v>0</v>
      </c>
      <c r="P498" s="92">
        <f t="shared" si="403"/>
        <v>0</v>
      </c>
      <c r="Q498" s="92">
        <f t="shared" si="403"/>
        <v>0</v>
      </c>
      <c r="R498" s="92">
        <f t="shared" si="403"/>
        <v>0</v>
      </c>
      <c r="S498" s="92">
        <f t="shared" si="403"/>
        <v>0</v>
      </c>
      <c r="T498" s="92">
        <f t="shared" si="403"/>
        <v>0</v>
      </c>
      <c r="U498" s="92">
        <f t="shared" si="403"/>
        <v>0</v>
      </c>
      <c r="V498" s="92">
        <f t="shared" si="403"/>
        <v>0</v>
      </c>
      <c r="W498" s="92">
        <f t="shared" si="403"/>
        <v>0</v>
      </c>
      <c r="X498" s="92">
        <f t="shared" si="403"/>
        <v>0</v>
      </c>
      <c r="Y498" s="92">
        <f t="shared" si="403"/>
        <v>0</v>
      </c>
      <c r="Z498" s="92">
        <f t="shared" si="403"/>
        <v>0</v>
      </c>
      <c r="AA498" s="92">
        <f t="shared" si="403"/>
        <v>0</v>
      </c>
      <c r="AB498" s="92">
        <f t="shared" si="403"/>
        <v>0</v>
      </c>
      <c r="AC498" s="92">
        <f t="shared" si="403"/>
        <v>0</v>
      </c>
      <c r="AD498" s="92">
        <f t="shared" si="403"/>
        <v>0</v>
      </c>
      <c r="AE498" s="92">
        <f t="shared" si="403"/>
        <v>0</v>
      </c>
      <c r="AF498" s="92">
        <f t="shared" si="403"/>
        <v>0</v>
      </c>
      <c r="AG498" s="92">
        <f t="shared" si="403"/>
        <v>0</v>
      </c>
      <c r="AH498" s="92">
        <f t="shared" si="403"/>
        <v>0</v>
      </c>
      <c r="AI498" s="92">
        <f t="shared" si="403"/>
        <v>0</v>
      </c>
      <c r="AJ498" s="92">
        <f t="shared" si="403"/>
        <v>0</v>
      </c>
      <c r="AK498" s="92">
        <f t="shared" si="403"/>
        <v>0</v>
      </c>
      <c r="AL498" s="92">
        <f t="shared" si="403"/>
        <v>0</v>
      </c>
      <c r="AM498" s="92">
        <f t="shared" si="403"/>
        <v>0</v>
      </c>
      <c r="AN498" s="92">
        <f t="shared" si="403"/>
        <v>0</v>
      </c>
      <c r="AO498" s="92">
        <f t="shared" si="403"/>
        <v>0</v>
      </c>
      <c r="AP498" s="92">
        <f t="shared" si="403"/>
        <v>0</v>
      </c>
      <c r="AQ498" s="92">
        <f t="shared" si="403"/>
        <v>0</v>
      </c>
      <c r="AR498" s="92">
        <f t="shared" si="403"/>
        <v>0</v>
      </c>
      <c r="AS498" s="92">
        <f t="shared" si="403"/>
        <v>0</v>
      </c>
      <c r="AW498" s="191"/>
      <c r="AY498" s="31">
        <f>+Details!F498-Base!F498</f>
        <v>0</v>
      </c>
      <c r="AZ498" s="92">
        <f>+Details!G498-Base!G498</f>
        <v>0</v>
      </c>
      <c r="BA498" s="92">
        <f>+Details!H498-Base!H498</f>
        <v>0</v>
      </c>
      <c r="BB498" s="92">
        <f>+Details!I498-Base!I498</f>
        <v>0</v>
      </c>
      <c r="BC498" s="92">
        <f>+Details!J498-Base!J498</f>
        <v>0</v>
      </c>
      <c r="BD498" s="92">
        <f>+Details!K498-Base!K498</f>
        <v>0</v>
      </c>
      <c r="BE498" s="92">
        <f>+Details!L498-Base!L498</f>
        <v>0</v>
      </c>
      <c r="BF498" s="92">
        <f>+Details!M498-Base!M498</f>
        <v>0</v>
      </c>
      <c r="BG498" s="92">
        <f>+Details!N498-Base!N498</f>
        <v>0</v>
      </c>
      <c r="BH498" s="92">
        <f>+Details!O498-Base!O498</f>
        <v>0</v>
      </c>
      <c r="BI498" s="92">
        <f>+Details!P498-Base!P498</f>
        <v>0</v>
      </c>
      <c r="BJ498" s="92">
        <f>+Details!Q498-Base!Q498</f>
        <v>0</v>
      </c>
      <c r="BK498" s="92">
        <f>+Details!R498-Base!R498</f>
        <v>0</v>
      </c>
      <c r="BL498" s="92">
        <f>+Details!S498-Base!S498</f>
        <v>0</v>
      </c>
      <c r="BM498" s="92">
        <f>+Details!T498-Base!T498</f>
        <v>0</v>
      </c>
      <c r="BN498" s="92">
        <f>+Details!U498-Base!U498</f>
        <v>0</v>
      </c>
      <c r="BO498" s="92">
        <f>+Details!V498-Base!V498</f>
        <v>0</v>
      </c>
      <c r="BP498" s="92">
        <f>+Details!W498-Base!W498</f>
        <v>0</v>
      </c>
      <c r="BQ498" s="92">
        <f>+Details!X498-Base!X498</f>
        <v>0</v>
      </c>
      <c r="BR498" s="92">
        <f>+Details!Y498-Base!Y498</f>
        <v>0</v>
      </c>
      <c r="BS498" s="92">
        <f>+Details!Z498-Base!Z498</f>
        <v>0</v>
      </c>
      <c r="BT498" s="92">
        <f>+Details!AA498-Base!AA498</f>
        <v>0</v>
      </c>
      <c r="BU498" s="92">
        <f>+Details!AB498-Base!AB498</f>
        <v>0</v>
      </c>
      <c r="BV498" s="92">
        <f>+Details!AC498-Base!AC498</f>
        <v>0</v>
      </c>
      <c r="BW498" s="92">
        <f>+Details!AD498-Base!AD498</f>
        <v>0</v>
      </c>
      <c r="BX498" s="92">
        <f>+Details!AE498-Base!AE498</f>
        <v>0</v>
      </c>
      <c r="BY498" s="92">
        <f>+Details!AF498-Base!AF498</f>
        <v>0</v>
      </c>
      <c r="BZ498" s="92">
        <f>+Details!AG498-Base!AG498</f>
        <v>0</v>
      </c>
      <c r="CA498" s="92">
        <f>+Details!AH498-Base!AH498</f>
        <v>0</v>
      </c>
      <c r="CB498" s="92">
        <f>+Details!AI498-Base!AI498</f>
        <v>0</v>
      </c>
      <c r="CC498" s="92">
        <f>+Details!AJ498-Base!AJ498</f>
        <v>0</v>
      </c>
      <c r="CD498" s="92">
        <f>+Details!AK498-Base!AK498</f>
        <v>0</v>
      </c>
      <c r="CE498" s="92">
        <f>+Details!AL498-Base!AL498</f>
        <v>0</v>
      </c>
      <c r="CF498" s="92">
        <f>+Details!AM498-Base!AM498</f>
        <v>0</v>
      </c>
      <c r="CG498" s="92">
        <f>+Details!AN498-Base!AN498</f>
        <v>0</v>
      </c>
      <c r="CH498" s="92">
        <f>+Details!AO498-Base!AO498</f>
        <v>0</v>
      </c>
      <c r="CI498" s="92">
        <f>+Details!AP498-Base!AP498</f>
        <v>0</v>
      </c>
      <c r="CJ498" s="92">
        <f>+Details!AQ498-Base!AQ498</f>
        <v>0</v>
      </c>
      <c r="CK498" s="92">
        <f>+Details!AR498-Base!AR498</f>
        <v>0</v>
      </c>
      <c r="CL498" s="92">
        <f>+Details!AS498-Base!AS498</f>
        <v>0</v>
      </c>
    </row>
    <row r="499" spans="2:90">
      <c r="B499" s="43"/>
      <c r="D499" s="1"/>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2"/>
      <c r="AK499" s="92"/>
      <c r="AL499" s="92"/>
      <c r="AM499" s="92"/>
      <c r="AN499" s="92"/>
      <c r="AO499" s="92"/>
      <c r="AP499" s="92"/>
      <c r="AQ499" s="92"/>
      <c r="AR499" s="92"/>
      <c r="AS499" s="92"/>
      <c r="AZ499" s="92"/>
      <c r="BA499" s="92"/>
      <c r="BB499" s="92"/>
      <c r="BC499" s="92"/>
      <c r="BD499" s="92"/>
      <c r="BE499" s="92"/>
      <c r="BF499" s="92"/>
      <c r="BG499" s="92"/>
      <c r="BH499" s="92"/>
      <c r="BI499" s="92"/>
      <c r="BJ499" s="92"/>
      <c r="BK499" s="92"/>
      <c r="BL499" s="92"/>
      <c r="BM499" s="92"/>
      <c r="BN499" s="92"/>
      <c r="BO499" s="92"/>
      <c r="BP499" s="92"/>
      <c r="BQ499" s="92"/>
      <c r="BR499" s="92"/>
      <c r="BS499" s="92"/>
      <c r="BT499" s="92"/>
      <c r="BU499" s="92"/>
      <c r="BV499" s="92"/>
      <c r="BW499" s="92"/>
      <c r="BX499" s="92"/>
      <c r="BY499" s="92"/>
      <c r="BZ499" s="92"/>
      <c r="CA499" s="92"/>
      <c r="CB499" s="92"/>
      <c r="CC499" s="92"/>
      <c r="CD499" s="92"/>
      <c r="CE499" s="92"/>
      <c r="CF499" s="92"/>
      <c r="CG499" s="92"/>
      <c r="CH499" s="92"/>
      <c r="CI499" s="92"/>
      <c r="CJ499" s="92"/>
      <c r="CK499" s="92"/>
      <c r="CL499" s="92"/>
    </row>
    <row r="500" spans="2:90" ht="15.6">
      <c r="B500" s="861" t="s">
        <v>1744</v>
      </c>
      <c r="C500" s="136"/>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2"/>
      <c r="AK500" s="92"/>
      <c r="AL500" s="92"/>
      <c r="AM500" s="92"/>
      <c r="AN500" s="92"/>
      <c r="AO500" s="92"/>
      <c r="AP500" s="92"/>
      <c r="AQ500" s="92"/>
      <c r="AR500" s="92"/>
      <c r="AS500" s="92"/>
      <c r="AZ500" s="92"/>
      <c r="BA500" s="92"/>
      <c r="BB500" s="92"/>
      <c r="BC500" s="92"/>
      <c r="BD500" s="92"/>
      <c r="BE500" s="92"/>
      <c r="BF500" s="92"/>
      <c r="BG500" s="92"/>
      <c r="BH500" s="92"/>
      <c r="BI500" s="92"/>
      <c r="BJ500" s="92"/>
      <c r="BK500" s="92"/>
      <c r="BL500" s="92"/>
      <c r="BM500" s="92"/>
      <c r="BN500" s="92"/>
      <c r="BO500" s="92"/>
      <c r="BP500" s="92"/>
      <c r="BQ500" s="92"/>
      <c r="BR500" s="92"/>
      <c r="BS500" s="92"/>
      <c r="BT500" s="92"/>
      <c r="BU500" s="92"/>
      <c r="BV500" s="92"/>
      <c r="BW500" s="92"/>
      <c r="BX500" s="92"/>
      <c r="BY500" s="92"/>
      <c r="BZ500" s="92"/>
      <c r="CA500" s="92"/>
      <c r="CB500" s="92"/>
      <c r="CC500" s="92"/>
      <c r="CD500" s="92"/>
      <c r="CE500" s="92"/>
      <c r="CF500" s="92"/>
      <c r="CG500" s="92"/>
      <c r="CH500" s="92"/>
      <c r="CI500" s="92"/>
      <c r="CJ500" s="92"/>
      <c r="CK500" s="92"/>
      <c r="CL500" s="92"/>
    </row>
    <row r="501" spans="2:90">
      <c r="B501" s="43" t="s">
        <v>1737</v>
      </c>
      <c r="C501" s="136" t="str">
        <f>IF(+QCD_Src1="i1","IRA 1",IF(+QCD_Src1="i2","IRA 2",IF(+QCD_Src1="h1","Inherited RA 1",IF(+QCD_Src1="h2","Inherited IRA 2",""))))</f>
        <v>IRA 2</v>
      </c>
      <c r="E501" s="65">
        <f t="shared" ref="E501:E513" si="404">SUM(F501:AS501)</f>
        <v>0</v>
      </c>
      <c r="F501" s="92">
        <f t="shared" ref="F501:AS501" si="405">IF(QCD_Src1="i1",-F91-F95-F96,0)+IF(QCD_Src1="i2",-F99-F103,0)+IF(QCD_Src1="h1",-F113-F116,0)+IF(QCD_Src1="h2",-F114-F117,0)</f>
        <v>0</v>
      </c>
      <c r="G501" s="92">
        <f t="shared" si="405"/>
        <v>0</v>
      </c>
      <c r="H501" s="92">
        <f t="shared" si="405"/>
        <v>0</v>
      </c>
      <c r="I501" s="92">
        <f t="shared" si="405"/>
        <v>0</v>
      </c>
      <c r="J501" s="92">
        <f t="shared" si="405"/>
        <v>0</v>
      </c>
      <c r="K501" s="92">
        <f t="shared" si="405"/>
        <v>0</v>
      </c>
      <c r="L501" s="92">
        <f t="shared" si="405"/>
        <v>0</v>
      </c>
      <c r="M501" s="92">
        <f t="shared" si="405"/>
        <v>0</v>
      </c>
      <c r="N501" s="92">
        <f t="shared" si="405"/>
        <v>0</v>
      </c>
      <c r="O501" s="92">
        <f t="shared" si="405"/>
        <v>0</v>
      </c>
      <c r="P501" s="92">
        <f t="shared" si="405"/>
        <v>0</v>
      </c>
      <c r="Q501" s="92">
        <f t="shared" si="405"/>
        <v>0</v>
      </c>
      <c r="R501" s="92">
        <f t="shared" si="405"/>
        <v>0</v>
      </c>
      <c r="S501" s="92">
        <f t="shared" si="405"/>
        <v>0</v>
      </c>
      <c r="T501" s="92">
        <f t="shared" si="405"/>
        <v>0</v>
      </c>
      <c r="U501" s="92">
        <f t="shared" si="405"/>
        <v>0</v>
      </c>
      <c r="V501" s="92">
        <f t="shared" si="405"/>
        <v>0</v>
      </c>
      <c r="W501" s="92">
        <f t="shared" si="405"/>
        <v>0</v>
      </c>
      <c r="X501" s="92">
        <f t="shared" si="405"/>
        <v>0</v>
      </c>
      <c r="Y501" s="92">
        <f t="shared" si="405"/>
        <v>0</v>
      </c>
      <c r="Z501" s="92">
        <f t="shared" si="405"/>
        <v>0</v>
      </c>
      <c r="AA501" s="92">
        <f t="shared" si="405"/>
        <v>0</v>
      </c>
      <c r="AB501" s="92">
        <f t="shared" si="405"/>
        <v>0</v>
      </c>
      <c r="AC501" s="92">
        <f t="shared" si="405"/>
        <v>0</v>
      </c>
      <c r="AD501" s="92">
        <f t="shared" si="405"/>
        <v>0</v>
      </c>
      <c r="AE501" s="92">
        <f t="shared" si="405"/>
        <v>0</v>
      </c>
      <c r="AF501" s="92">
        <f t="shared" si="405"/>
        <v>0</v>
      </c>
      <c r="AG501" s="92">
        <f t="shared" si="405"/>
        <v>0</v>
      </c>
      <c r="AH501" s="92">
        <f t="shared" si="405"/>
        <v>0</v>
      </c>
      <c r="AI501" s="92">
        <f t="shared" si="405"/>
        <v>0</v>
      </c>
      <c r="AJ501" s="92">
        <f t="shared" si="405"/>
        <v>0</v>
      </c>
      <c r="AK501" s="92">
        <f t="shared" si="405"/>
        <v>0</v>
      </c>
      <c r="AL501" s="92">
        <f t="shared" si="405"/>
        <v>0</v>
      </c>
      <c r="AM501" s="92">
        <f t="shared" si="405"/>
        <v>0</v>
      </c>
      <c r="AN501" s="92">
        <f t="shared" si="405"/>
        <v>0</v>
      </c>
      <c r="AO501" s="92">
        <f t="shared" si="405"/>
        <v>0</v>
      </c>
      <c r="AP501" s="92">
        <f t="shared" si="405"/>
        <v>0</v>
      </c>
      <c r="AQ501" s="92">
        <f t="shared" si="405"/>
        <v>0</v>
      </c>
      <c r="AR501" s="92">
        <f t="shared" si="405"/>
        <v>0</v>
      </c>
      <c r="AS501" s="92">
        <f t="shared" si="405"/>
        <v>0</v>
      </c>
      <c r="AW501" s="191"/>
      <c r="AY501" s="31">
        <f>+Details!F501-Base!F501</f>
        <v>0</v>
      </c>
      <c r="AZ501" s="92">
        <f>+Details!G501-Base!G501</f>
        <v>0</v>
      </c>
      <c r="BA501" s="92">
        <f>+Details!H501-Base!H501</f>
        <v>0</v>
      </c>
      <c r="BB501" s="92">
        <f>+Details!I501-Base!I501</f>
        <v>0</v>
      </c>
      <c r="BC501" s="92">
        <f>+Details!J501-Base!J501</f>
        <v>0</v>
      </c>
      <c r="BD501" s="92">
        <f>+Details!K501-Base!K501</f>
        <v>0</v>
      </c>
      <c r="BE501" s="92">
        <f>+Details!L501-Base!L501</f>
        <v>0</v>
      </c>
      <c r="BF501" s="92">
        <f>+Details!M501-Base!M501</f>
        <v>0</v>
      </c>
      <c r="BG501" s="92">
        <f>+Details!N501-Base!N501</f>
        <v>0</v>
      </c>
      <c r="BH501" s="92">
        <f>+Details!O501-Base!O501</f>
        <v>0</v>
      </c>
      <c r="BI501" s="92">
        <f>+Details!P501-Base!P501</f>
        <v>0</v>
      </c>
      <c r="BJ501" s="92">
        <f>+Details!Q501-Base!Q501</f>
        <v>0</v>
      </c>
      <c r="BK501" s="92">
        <f>+Details!R501-Base!R501</f>
        <v>0</v>
      </c>
      <c r="BL501" s="92">
        <f>+Details!S501-Base!S501</f>
        <v>0</v>
      </c>
      <c r="BM501" s="92">
        <f>+Details!T501-Base!T501</f>
        <v>0</v>
      </c>
      <c r="BN501" s="92">
        <f>+Details!U501-Base!U501</f>
        <v>0</v>
      </c>
      <c r="BO501" s="92">
        <f>+Details!V501-Base!V501</f>
        <v>0</v>
      </c>
      <c r="BP501" s="92">
        <f>+Details!W501-Base!W501</f>
        <v>0</v>
      </c>
      <c r="BQ501" s="92">
        <f>+Details!X501-Base!X501</f>
        <v>0</v>
      </c>
      <c r="BR501" s="92">
        <f>+Details!Y501-Base!Y501</f>
        <v>0</v>
      </c>
      <c r="BS501" s="92">
        <f>+Details!Z501-Base!Z501</f>
        <v>0</v>
      </c>
      <c r="BT501" s="92">
        <f>+Details!AA501-Base!AA501</f>
        <v>0</v>
      </c>
      <c r="BU501" s="92">
        <f>+Details!AB501-Base!AB501</f>
        <v>0</v>
      </c>
      <c r="BV501" s="92">
        <f>+Details!AC501-Base!AC501</f>
        <v>0</v>
      </c>
      <c r="BW501" s="92">
        <f>+Details!AD501-Base!AD501</f>
        <v>0</v>
      </c>
      <c r="BX501" s="92">
        <f>+Details!AE501-Base!AE501</f>
        <v>0</v>
      </c>
      <c r="BY501" s="92">
        <f>+Details!AF501-Base!AF501</f>
        <v>0</v>
      </c>
      <c r="BZ501" s="92">
        <f>+Details!AG501-Base!AG501</f>
        <v>0</v>
      </c>
      <c r="CA501" s="92">
        <f>+Details!AH501-Base!AH501</f>
        <v>0</v>
      </c>
      <c r="CB501" s="92">
        <f>+Details!AI501-Base!AI501</f>
        <v>0</v>
      </c>
      <c r="CC501" s="92">
        <f>+Details!AJ501-Base!AJ501</f>
        <v>0</v>
      </c>
      <c r="CD501" s="92">
        <f>+Details!AK501-Base!AK501</f>
        <v>0</v>
      </c>
      <c r="CE501" s="92">
        <f>+Details!AL501-Base!AL501</f>
        <v>0</v>
      </c>
      <c r="CF501" s="92">
        <f>+Details!AM501-Base!AM501</f>
        <v>0</v>
      </c>
      <c r="CG501" s="92">
        <f>+Details!AN501-Base!AN501</f>
        <v>0</v>
      </c>
      <c r="CH501" s="92">
        <f>+Details!AO501-Base!AO501</f>
        <v>0</v>
      </c>
      <c r="CI501" s="92">
        <f>+Details!AP501-Base!AP501</f>
        <v>0</v>
      </c>
      <c r="CJ501" s="92">
        <f>+Details!AQ501-Base!AQ501</f>
        <v>0</v>
      </c>
      <c r="CK501" s="92">
        <f>+Details!AR501-Base!AR501</f>
        <v>0</v>
      </c>
      <c r="CL501" s="92">
        <f>+Details!AS501-Base!AS501</f>
        <v>0</v>
      </c>
    </row>
    <row r="502" spans="2:90">
      <c r="B502" s="43" t="s">
        <v>469</v>
      </c>
      <c r="C502" s="136"/>
      <c r="E502" s="635">
        <f t="shared" si="404"/>
        <v>530400</v>
      </c>
      <c r="F502" s="566">
        <f t="shared" ref="F502:AS502" si="406">IF(QCD_Src1="i1",-F94,0)+IF(QCD_Src1="i2",-F102,0)+IF(QCD_Src1="h1",-F110,0)+IF(QCD_Src1="h2",-F111,0)</f>
        <v>0</v>
      </c>
      <c r="G502" s="566">
        <f t="shared" si="406"/>
        <v>0</v>
      </c>
      <c r="H502" s="566">
        <f t="shared" si="406"/>
        <v>0</v>
      </c>
      <c r="I502" s="566">
        <f t="shared" si="406"/>
        <v>0</v>
      </c>
      <c r="J502" s="566">
        <f t="shared" si="406"/>
        <v>0</v>
      </c>
      <c r="K502" s="566">
        <f t="shared" si="406"/>
        <v>0</v>
      </c>
      <c r="L502" s="566">
        <f t="shared" si="406"/>
        <v>0</v>
      </c>
      <c r="M502" s="566">
        <f t="shared" si="406"/>
        <v>0</v>
      </c>
      <c r="N502" s="566">
        <f t="shared" si="406"/>
        <v>0</v>
      </c>
      <c r="O502" s="566">
        <f t="shared" si="406"/>
        <v>15000</v>
      </c>
      <c r="P502" s="566">
        <f t="shared" si="406"/>
        <v>15900</v>
      </c>
      <c r="Q502" s="566">
        <f t="shared" si="406"/>
        <v>16800</v>
      </c>
      <c r="R502" s="566">
        <f t="shared" si="406"/>
        <v>17700</v>
      </c>
      <c r="S502" s="566">
        <f t="shared" si="406"/>
        <v>18700</v>
      </c>
      <c r="T502" s="566">
        <f t="shared" si="406"/>
        <v>19700</v>
      </c>
      <c r="U502" s="566">
        <f t="shared" si="406"/>
        <v>20800</v>
      </c>
      <c r="V502" s="566">
        <f t="shared" si="406"/>
        <v>21900</v>
      </c>
      <c r="W502" s="566">
        <f t="shared" si="406"/>
        <v>23100</v>
      </c>
      <c r="X502" s="566">
        <f t="shared" si="406"/>
        <v>24200</v>
      </c>
      <c r="Y502" s="566">
        <f t="shared" si="406"/>
        <v>25300</v>
      </c>
      <c r="Z502" s="566">
        <f t="shared" si="406"/>
        <v>26300</v>
      </c>
      <c r="AA502" s="566">
        <f t="shared" si="406"/>
        <v>27500</v>
      </c>
      <c r="AB502" s="566">
        <f t="shared" si="406"/>
        <v>28600</v>
      </c>
      <c r="AC502" s="566">
        <f t="shared" si="406"/>
        <v>29800</v>
      </c>
      <c r="AD502" s="566">
        <f t="shared" si="406"/>
        <v>30800</v>
      </c>
      <c r="AE502" s="566">
        <f t="shared" si="406"/>
        <v>31800</v>
      </c>
      <c r="AF502" s="566">
        <f t="shared" si="406"/>
        <v>32700</v>
      </c>
      <c r="AG502" s="566">
        <f t="shared" si="406"/>
        <v>33700</v>
      </c>
      <c r="AH502" s="566">
        <f t="shared" si="406"/>
        <v>34700</v>
      </c>
      <c r="AI502" s="566">
        <f t="shared" si="406"/>
        <v>35400</v>
      </c>
      <c r="AJ502" s="566">
        <f t="shared" si="406"/>
        <v>0</v>
      </c>
      <c r="AK502" s="566">
        <f t="shared" si="406"/>
        <v>0</v>
      </c>
      <c r="AL502" s="566">
        <f t="shared" si="406"/>
        <v>0</v>
      </c>
      <c r="AM502" s="566">
        <f t="shared" si="406"/>
        <v>0</v>
      </c>
      <c r="AN502" s="566">
        <f t="shared" si="406"/>
        <v>0</v>
      </c>
      <c r="AO502" s="566">
        <f t="shared" si="406"/>
        <v>0</v>
      </c>
      <c r="AP502" s="566">
        <f t="shared" si="406"/>
        <v>0</v>
      </c>
      <c r="AQ502" s="566">
        <f t="shared" si="406"/>
        <v>0</v>
      </c>
      <c r="AR502" s="566">
        <f t="shared" si="406"/>
        <v>0</v>
      </c>
      <c r="AS502" s="566">
        <f t="shared" si="406"/>
        <v>0</v>
      </c>
      <c r="AW502" s="191"/>
      <c r="AY502" s="38">
        <f>+Details!F502-Base!F502</f>
        <v>0</v>
      </c>
      <c r="AZ502" s="566">
        <f>+Details!G502-Base!G502</f>
        <v>0</v>
      </c>
      <c r="BA502" s="566">
        <f>+Details!H502-Base!H502</f>
        <v>0</v>
      </c>
      <c r="BB502" s="566">
        <f>+Details!I502-Base!I502</f>
        <v>0</v>
      </c>
      <c r="BC502" s="566">
        <f>+Details!J502-Base!J502</f>
        <v>0</v>
      </c>
      <c r="BD502" s="566">
        <f>+Details!K502-Base!K502</f>
        <v>0</v>
      </c>
      <c r="BE502" s="566">
        <f>+Details!L502-Base!L502</f>
        <v>0</v>
      </c>
      <c r="BF502" s="566">
        <f>+Details!M502-Base!M502</f>
        <v>0</v>
      </c>
      <c r="BG502" s="566">
        <f>+Details!N502-Base!N502</f>
        <v>0</v>
      </c>
      <c r="BH502" s="566">
        <f>+Details!O502-Base!O502</f>
        <v>0</v>
      </c>
      <c r="BI502" s="566">
        <f>+Details!P502-Base!P502</f>
        <v>0</v>
      </c>
      <c r="BJ502" s="566">
        <f>+Details!Q502-Base!Q502</f>
        <v>0</v>
      </c>
      <c r="BK502" s="566">
        <f>+Details!R502-Base!R502</f>
        <v>0</v>
      </c>
      <c r="BL502" s="566">
        <f>+Details!S502-Base!S502</f>
        <v>0</v>
      </c>
      <c r="BM502" s="566">
        <f>+Details!T502-Base!T502</f>
        <v>0</v>
      </c>
      <c r="BN502" s="566">
        <f>+Details!U502-Base!U502</f>
        <v>0</v>
      </c>
      <c r="BO502" s="566">
        <f>+Details!V502-Base!V502</f>
        <v>0</v>
      </c>
      <c r="BP502" s="566">
        <f>+Details!W502-Base!W502</f>
        <v>0</v>
      </c>
      <c r="BQ502" s="566">
        <f>+Details!X502-Base!X502</f>
        <v>0</v>
      </c>
      <c r="BR502" s="566">
        <f>+Details!Y502-Base!Y502</f>
        <v>0</v>
      </c>
      <c r="BS502" s="566">
        <f>+Details!Z502-Base!Z502</f>
        <v>0</v>
      </c>
      <c r="BT502" s="566">
        <f>+Details!AA502-Base!AA502</f>
        <v>0</v>
      </c>
      <c r="BU502" s="566">
        <f>+Details!AB502-Base!AB502</f>
        <v>0</v>
      </c>
      <c r="BV502" s="566">
        <f>+Details!AC502-Base!AC502</f>
        <v>0</v>
      </c>
      <c r="BW502" s="566">
        <f>+Details!AD502-Base!AD502</f>
        <v>0</v>
      </c>
      <c r="BX502" s="566">
        <f>+Details!AE502-Base!AE502</f>
        <v>0</v>
      </c>
      <c r="BY502" s="566">
        <f>+Details!AF502-Base!AF502</f>
        <v>0</v>
      </c>
      <c r="BZ502" s="566">
        <f>+Details!AG502-Base!AG502</f>
        <v>0</v>
      </c>
      <c r="CA502" s="566">
        <f>+Details!AH502-Base!AH502</f>
        <v>0</v>
      </c>
      <c r="CB502" s="566">
        <f>+Details!AI502-Base!AI502</f>
        <v>0</v>
      </c>
      <c r="CC502" s="566">
        <f>+Details!AJ502-Base!AJ502</f>
        <v>0</v>
      </c>
      <c r="CD502" s="566">
        <f>+Details!AK502-Base!AK502</f>
        <v>0</v>
      </c>
      <c r="CE502" s="566">
        <f>+Details!AL502-Base!AL502</f>
        <v>0</v>
      </c>
      <c r="CF502" s="566">
        <f>+Details!AM502-Base!AM502</f>
        <v>0</v>
      </c>
      <c r="CG502" s="566">
        <f>+Details!AN502-Base!AN502</f>
        <v>0</v>
      </c>
      <c r="CH502" s="566">
        <f>+Details!AO502-Base!AO502</f>
        <v>0</v>
      </c>
      <c r="CI502" s="566">
        <f>+Details!AP502-Base!AP502</f>
        <v>0</v>
      </c>
      <c r="CJ502" s="566">
        <f>+Details!AQ502-Base!AQ502</f>
        <v>0</v>
      </c>
      <c r="CK502" s="566">
        <f>+Details!AR502-Base!AR502</f>
        <v>0</v>
      </c>
      <c r="CL502" s="566">
        <f>+Details!AS502-Base!AS502</f>
        <v>0</v>
      </c>
    </row>
    <row r="503" spans="2:90">
      <c r="B503" s="113" t="s">
        <v>1740</v>
      </c>
      <c r="C503" s="136"/>
      <c r="E503" s="65">
        <f t="shared" si="404"/>
        <v>530400</v>
      </c>
      <c r="F503" s="92">
        <f>+F501+F502</f>
        <v>0</v>
      </c>
      <c r="G503" s="92">
        <f t="shared" ref="G503:AS503" si="407">+G501+G502</f>
        <v>0</v>
      </c>
      <c r="H503" s="92">
        <f t="shared" si="407"/>
        <v>0</v>
      </c>
      <c r="I503" s="92">
        <f t="shared" si="407"/>
        <v>0</v>
      </c>
      <c r="J503" s="92">
        <f t="shared" si="407"/>
        <v>0</v>
      </c>
      <c r="K503" s="92">
        <f t="shared" si="407"/>
        <v>0</v>
      </c>
      <c r="L503" s="92">
        <f t="shared" si="407"/>
        <v>0</v>
      </c>
      <c r="M503" s="92">
        <f t="shared" si="407"/>
        <v>0</v>
      </c>
      <c r="N503" s="92">
        <f t="shared" si="407"/>
        <v>0</v>
      </c>
      <c r="O503" s="92">
        <f t="shared" si="407"/>
        <v>15000</v>
      </c>
      <c r="P503" s="92">
        <f t="shared" si="407"/>
        <v>15900</v>
      </c>
      <c r="Q503" s="92">
        <f t="shared" si="407"/>
        <v>16800</v>
      </c>
      <c r="R503" s="92">
        <f t="shared" si="407"/>
        <v>17700</v>
      </c>
      <c r="S503" s="92">
        <f t="shared" si="407"/>
        <v>18700</v>
      </c>
      <c r="T503" s="92">
        <f t="shared" si="407"/>
        <v>19700</v>
      </c>
      <c r="U503" s="92">
        <f t="shared" si="407"/>
        <v>20800</v>
      </c>
      <c r="V503" s="92">
        <f t="shared" si="407"/>
        <v>21900</v>
      </c>
      <c r="W503" s="92">
        <f t="shared" si="407"/>
        <v>23100</v>
      </c>
      <c r="X503" s="92">
        <f t="shared" si="407"/>
        <v>24200</v>
      </c>
      <c r="Y503" s="92">
        <f t="shared" si="407"/>
        <v>25300</v>
      </c>
      <c r="Z503" s="92">
        <f t="shared" si="407"/>
        <v>26300</v>
      </c>
      <c r="AA503" s="92">
        <f t="shared" si="407"/>
        <v>27500</v>
      </c>
      <c r="AB503" s="92">
        <f t="shared" si="407"/>
        <v>28600</v>
      </c>
      <c r="AC503" s="92">
        <f t="shared" si="407"/>
        <v>29800</v>
      </c>
      <c r="AD503" s="92">
        <f t="shared" si="407"/>
        <v>30800</v>
      </c>
      <c r="AE503" s="92">
        <f t="shared" si="407"/>
        <v>31800</v>
      </c>
      <c r="AF503" s="92">
        <f t="shared" si="407"/>
        <v>32700</v>
      </c>
      <c r="AG503" s="92">
        <f t="shared" si="407"/>
        <v>33700</v>
      </c>
      <c r="AH503" s="92">
        <f t="shared" si="407"/>
        <v>34700</v>
      </c>
      <c r="AI503" s="92">
        <f t="shared" si="407"/>
        <v>35400</v>
      </c>
      <c r="AJ503" s="92">
        <f t="shared" si="407"/>
        <v>0</v>
      </c>
      <c r="AK503" s="92">
        <f t="shared" si="407"/>
        <v>0</v>
      </c>
      <c r="AL503" s="92">
        <f t="shared" si="407"/>
        <v>0</v>
      </c>
      <c r="AM503" s="92">
        <f t="shared" si="407"/>
        <v>0</v>
      </c>
      <c r="AN503" s="92">
        <f t="shared" si="407"/>
        <v>0</v>
      </c>
      <c r="AO503" s="92">
        <f t="shared" si="407"/>
        <v>0</v>
      </c>
      <c r="AP503" s="92">
        <f t="shared" si="407"/>
        <v>0</v>
      </c>
      <c r="AQ503" s="92">
        <f t="shared" si="407"/>
        <v>0</v>
      </c>
      <c r="AR503" s="92">
        <f t="shared" si="407"/>
        <v>0</v>
      </c>
      <c r="AS503" s="92">
        <f t="shared" si="407"/>
        <v>0</v>
      </c>
      <c r="AW503" s="191"/>
      <c r="AY503" s="31">
        <f>+Details!F503-Base!F503</f>
        <v>0</v>
      </c>
      <c r="AZ503" s="92">
        <f>+Details!G503-Base!G503</f>
        <v>0</v>
      </c>
      <c r="BA503" s="92">
        <f>+Details!H503-Base!H503</f>
        <v>0</v>
      </c>
      <c r="BB503" s="92">
        <f>+Details!I503-Base!I503</f>
        <v>0</v>
      </c>
      <c r="BC503" s="92">
        <f>+Details!J503-Base!J503</f>
        <v>0</v>
      </c>
      <c r="BD503" s="92">
        <f>+Details!K503-Base!K503</f>
        <v>0</v>
      </c>
      <c r="BE503" s="92">
        <f>+Details!L503-Base!L503</f>
        <v>0</v>
      </c>
      <c r="BF503" s="92">
        <f>+Details!M503-Base!M503</f>
        <v>0</v>
      </c>
      <c r="BG503" s="92">
        <f>+Details!N503-Base!N503</f>
        <v>0</v>
      </c>
      <c r="BH503" s="92">
        <f>+Details!O503-Base!O503</f>
        <v>0</v>
      </c>
      <c r="BI503" s="92">
        <f>+Details!P503-Base!P503</f>
        <v>0</v>
      </c>
      <c r="BJ503" s="92">
        <f>+Details!Q503-Base!Q503</f>
        <v>0</v>
      </c>
      <c r="BK503" s="92">
        <f>+Details!R503-Base!R503</f>
        <v>0</v>
      </c>
      <c r="BL503" s="92">
        <f>+Details!S503-Base!S503</f>
        <v>0</v>
      </c>
      <c r="BM503" s="92">
        <f>+Details!T503-Base!T503</f>
        <v>0</v>
      </c>
      <c r="BN503" s="92">
        <f>+Details!U503-Base!U503</f>
        <v>0</v>
      </c>
      <c r="BO503" s="92">
        <f>+Details!V503-Base!V503</f>
        <v>0</v>
      </c>
      <c r="BP503" s="92">
        <f>+Details!W503-Base!W503</f>
        <v>0</v>
      </c>
      <c r="BQ503" s="92">
        <f>+Details!X503-Base!X503</f>
        <v>0</v>
      </c>
      <c r="BR503" s="92">
        <f>+Details!Y503-Base!Y503</f>
        <v>0</v>
      </c>
      <c r="BS503" s="92">
        <f>+Details!Z503-Base!Z503</f>
        <v>0</v>
      </c>
      <c r="BT503" s="92">
        <f>+Details!AA503-Base!AA503</f>
        <v>0</v>
      </c>
      <c r="BU503" s="92">
        <f>+Details!AB503-Base!AB503</f>
        <v>0</v>
      </c>
      <c r="BV503" s="92">
        <f>+Details!AC503-Base!AC503</f>
        <v>0</v>
      </c>
      <c r="BW503" s="92">
        <f>+Details!AD503-Base!AD503</f>
        <v>0</v>
      </c>
      <c r="BX503" s="92">
        <f>+Details!AE503-Base!AE503</f>
        <v>0</v>
      </c>
      <c r="BY503" s="92">
        <f>+Details!AF503-Base!AF503</f>
        <v>0</v>
      </c>
      <c r="BZ503" s="92">
        <f>+Details!AG503-Base!AG503</f>
        <v>0</v>
      </c>
      <c r="CA503" s="92">
        <f>+Details!AH503-Base!AH503</f>
        <v>0</v>
      </c>
      <c r="CB503" s="92">
        <f>+Details!AI503-Base!AI503</f>
        <v>0</v>
      </c>
      <c r="CC503" s="92">
        <f>+Details!AJ503-Base!AJ503</f>
        <v>0</v>
      </c>
      <c r="CD503" s="92">
        <f>+Details!AK503-Base!AK503</f>
        <v>0</v>
      </c>
      <c r="CE503" s="92">
        <f>+Details!AL503-Base!AL503</f>
        <v>0</v>
      </c>
      <c r="CF503" s="92">
        <f>+Details!AM503-Base!AM503</f>
        <v>0</v>
      </c>
      <c r="CG503" s="92">
        <f>+Details!AN503-Base!AN503</f>
        <v>0</v>
      </c>
      <c r="CH503" s="92">
        <f>+Details!AO503-Base!AO503</f>
        <v>0</v>
      </c>
      <c r="CI503" s="92">
        <f>+Details!AP503-Base!AP503</f>
        <v>0</v>
      </c>
      <c r="CJ503" s="92">
        <f>+Details!AQ503-Base!AQ503</f>
        <v>0</v>
      </c>
      <c r="CK503" s="92">
        <f>+Details!AR503-Base!AR503</f>
        <v>0</v>
      </c>
      <c r="CL503" s="92">
        <f>+Details!AS503-Base!AS503</f>
        <v>0</v>
      </c>
    </row>
    <row r="504" spans="2:90">
      <c r="B504" s="113" t="s">
        <v>1739</v>
      </c>
      <c r="C504" s="136"/>
      <c r="E504" s="635">
        <f t="shared" si="404"/>
        <v>-75000</v>
      </c>
      <c r="F504" s="34">
        <f t="shared" ref="F504:AS504" si="408">ROUND((-IF(OR(QCD_Age1=F$4,AND(QCD_Age1&lt;F$4,(QCD_Age1+QCD1_Cnt)&gt;F$4)),QCD_Amt1,0))*IF(Qual1="y",1,0)/Round_To,0)*Round_To</f>
        <v>0</v>
      </c>
      <c r="G504" s="34">
        <f t="shared" si="408"/>
        <v>0</v>
      </c>
      <c r="H504" s="34">
        <f t="shared" si="408"/>
        <v>0</v>
      </c>
      <c r="I504" s="34">
        <f t="shared" si="408"/>
        <v>0</v>
      </c>
      <c r="J504" s="34">
        <f t="shared" si="408"/>
        <v>0</v>
      </c>
      <c r="K504" s="34">
        <f t="shared" si="408"/>
        <v>0</v>
      </c>
      <c r="L504" s="34">
        <f t="shared" si="408"/>
        <v>0</v>
      </c>
      <c r="M504" s="34">
        <f t="shared" si="408"/>
        <v>0</v>
      </c>
      <c r="N504" s="34">
        <f t="shared" si="408"/>
        <v>0</v>
      </c>
      <c r="O504" s="34">
        <f t="shared" si="408"/>
        <v>-15000</v>
      </c>
      <c r="P504" s="34">
        <f t="shared" si="408"/>
        <v>-15000</v>
      </c>
      <c r="Q504" s="34">
        <f t="shared" si="408"/>
        <v>-15000</v>
      </c>
      <c r="R504" s="34">
        <f t="shared" si="408"/>
        <v>-15000</v>
      </c>
      <c r="S504" s="34">
        <f t="shared" si="408"/>
        <v>-15000</v>
      </c>
      <c r="T504" s="34">
        <f t="shared" si="408"/>
        <v>0</v>
      </c>
      <c r="U504" s="34">
        <f t="shared" si="408"/>
        <v>0</v>
      </c>
      <c r="V504" s="34">
        <f t="shared" si="408"/>
        <v>0</v>
      </c>
      <c r="W504" s="34">
        <f t="shared" si="408"/>
        <v>0</v>
      </c>
      <c r="X504" s="34">
        <f t="shared" si="408"/>
        <v>0</v>
      </c>
      <c r="Y504" s="34">
        <f t="shared" si="408"/>
        <v>0</v>
      </c>
      <c r="Z504" s="34">
        <f t="shared" si="408"/>
        <v>0</v>
      </c>
      <c r="AA504" s="34">
        <f t="shared" si="408"/>
        <v>0</v>
      </c>
      <c r="AB504" s="34">
        <f t="shared" si="408"/>
        <v>0</v>
      </c>
      <c r="AC504" s="34">
        <f t="shared" si="408"/>
        <v>0</v>
      </c>
      <c r="AD504" s="34">
        <f t="shared" si="408"/>
        <v>0</v>
      </c>
      <c r="AE504" s="34">
        <f t="shared" si="408"/>
        <v>0</v>
      </c>
      <c r="AF504" s="34">
        <f t="shared" si="408"/>
        <v>0</v>
      </c>
      <c r="AG504" s="34">
        <f t="shared" si="408"/>
        <v>0</v>
      </c>
      <c r="AH504" s="34">
        <f t="shared" si="408"/>
        <v>0</v>
      </c>
      <c r="AI504" s="34">
        <f t="shared" si="408"/>
        <v>0</v>
      </c>
      <c r="AJ504" s="34">
        <f t="shared" si="408"/>
        <v>0</v>
      </c>
      <c r="AK504" s="34">
        <f t="shared" si="408"/>
        <v>0</v>
      </c>
      <c r="AL504" s="34">
        <f t="shared" si="408"/>
        <v>0</v>
      </c>
      <c r="AM504" s="34">
        <f t="shared" si="408"/>
        <v>0</v>
      </c>
      <c r="AN504" s="34">
        <f t="shared" si="408"/>
        <v>0</v>
      </c>
      <c r="AO504" s="34">
        <f t="shared" si="408"/>
        <v>0</v>
      </c>
      <c r="AP504" s="34">
        <f t="shared" si="408"/>
        <v>0</v>
      </c>
      <c r="AQ504" s="34">
        <f t="shared" si="408"/>
        <v>0</v>
      </c>
      <c r="AR504" s="34">
        <f t="shared" si="408"/>
        <v>0</v>
      </c>
      <c r="AS504" s="34">
        <f t="shared" si="408"/>
        <v>0</v>
      </c>
      <c r="AW504" s="191"/>
      <c r="AY504" s="38">
        <f>+Details!F504-Base!F504</f>
        <v>0</v>
      </c>
      <c r="AZ504" s="34">
        <f>+Details!G504-Base!G504</f>
        <v>0</v>
      </c>
      <c r="BA504" s="34">
        <f>+Details!H504-Base!H504</f>
        <v>0</v>
      </c>
      <c r="BB504" s="34">
        <f>+Details!I504-Base!I504</f>
        <v>0</v>
      </c>
      <c r="BC504" s="34">
        <f>+Details!J504-Base!J504</f>
        <v>0</v>
      </c>
      <c r="BD504" s="34">
        <f>+Details!K504-Base!K504</f>
        <v>0</v>
      </c>
      <c r="BE504" s="34">
        <f>+Details!L504-Base!L504</f>
        <v>0</v>
      </c>
      <c r="BF504" s="34">
        <f>+Details!M504-Base!M504</f>
        <v>0</v>
      </c>
      <c r="BG504" s="34">
        <f>+Details!N504-Base!N504</f>
        <v>0</v>
      </c>
      <c r="BH504" s="34">
        <f>+Details!O504-Base!O504</f>
        <v>0</v>
      </c>
      <c r="BI504" s="34">
        <f>+Details!P504-Base!P504</f>
        <v>0</v>
      </c>
      <c r="BJ504" s="34">
        <f>+Details!Q504-Base!Q504</f>
        <v>0</v>
      </c>
      <c r="BK504" s="34">
        <f>+Details!R504-Base!R504</f>
        <v>0</v>
      </c>
      <c r="BL504" s="34">
        <f>+Details!S504-Base!S504</f>
        <v>0</v>
      </c>
      <c r="BM504" s="34">
        <f>+Details!T504-Base!T504</f>
        <v>0</v>
      </c>
      <c r="BN504" s="34">
        <f>+Details!U504-Base!U504</f>
        <v>0</v>
      </c>
      <c r="BO504" s="34">
        <f>+Details!V504-Base!V504</f>
        <v>0</v>
      </c>
      <c r="BP504" s="34">
        <f>+Details!W504-Base!W504</f>
        <v>0</v>
      </c>
      <c r="BQ504" s="34">
        <f>+Details!X504-Base!X504</f>
        <v>0</v>
      </c>
      <c r="BR504" s="34">
        <f>+Details!Y504-Base!Y504</f>
        <v>0</v>
      </c>
      <c r="BS504" s="34">
        <f>+Details!Z504-Base!Z504</f>
        <v>0</v>
      </c>
      <c r="BT504" s="34">
        <f>+Details!AA504-Base!AA504</f>
        <v>0</v>
      </c>
      <c r="BU504" s="34">
        <f>+Details!AB504-Base!AB504</f>
        <v>0</v>
      </c>
      <c r="BV504" s="34">
        <f>+Details!AC504-Base!AC504</f>
        <v>0</v>
      </c>
      <c r="BW504" s="34">
        <f>+Details!AD504-Base!AD504</f>
        <v>0</v>
      </c>
      <c r="BX504" s="34">
        <f>+Details!AE504-Base!AE504</f>
        <v>0</v>
      </c>
      <c r="BY504" s="34">
        <f>+Details!AF504-Base!AF504</f>
        <v>0</v>
      </c>
      <c r="BZ504" s="34">
        <f>+Details!AG504-Base!AG504</f>
        <v>0</v>
      </c>
      <c r="CA504" s="34">
        <f>+Details!AH504-Base!AH504</f>
        <v>0</v>
      </c>
      <c r="CB504" s="34">
        <f>+Details!AI504-Base!AI504</f>
        <v>0</v>
      </c>
      <c r="CC504" s="34">
        <f>+Details!AJ504-Base!AJ504</f>
        <v>0</v>
      </c>
      <c r="CD504" s="34">
        <f>+Details!AK504-Base!AK504</f>
        <v>0</v>
      </c>
      <c r="CE504" s="34">
        <f>+Details!AL504-Base!AL504</f>
        <v>0</v>
      </c>
      <c r="CF504" s="34">
        <f>+Details!AM504-Base!AM504</f>
        <v>0</v>
      </c>
      <c r="CG504" s="34">
        <f>+Details!AN504-Base!AN504</f>
        <v>0</v>
      </c>
      <c r="CH504" s="34">
        <f>+Details!AO504-Base!AO504</f>
        <v>0</v>
      </c>
      <c r="CI504" s="34">
        <f>+Details!AP504-Base!AP504</f>
        <v>0</v>
      </c>
      <c r="CJ504" s="34">
        <f>+Details!AQ504-Base!AQ504</f>
        <v>0</v>
      </c>
      <c r="CK504" s="34">
        <f>+Details!AR504-Base!AR504</f>
        <v>0</v>
      </c>
      <c r="CL504" s="34">
        <f>+Details!AS504-Base!AS504</f>
        <v>0</v>
      </c>
    </row>
    <row r="505" spans="2:90">
      <c r="B505" s="43" t="s">
        <v>1698</v>
      </c>
      <c r="C505" s="136"/>
      <c r="E505" s="65">
        <f t="shared" si="404"/>
        <v>455400</v>
      </c>
      <c r="F505" s="92">
        <f>+F503+F504</f>
        <v>0</v>
      </c>
      <c r="G505" s="92">
        <f t="shared" ref="G505:AS505" si="409">+G503+G504</f>
        <v>0</v>
      </c>
      <c r="H505" s="92">
        <f t="shared" si="409"/>
        <v>0</v>
      </c>
      <c r="I505" s="92">
        <f t="shared" si="409"/>
        <v>0</v>
      </c>
      <c r="J505" s="92">
        <f t="shared" si="409"/>
        <v>0</v>
      </c>
      <c r="K505" s="92">
        <f t="shared" si="409"/>
        <v>0</v>
      </c>
      <c r="L505" s="92">
        <f t="shared" si="409"/>
        <v>0</v>
      </c>
      <c r="M505" s="92">
        <f t="shared" si="409"/>
        <v>0</v>
      </c>
      <c r="N505" s="92">
        <f t="shared" si="409"/>
        <v>0</v>
      </c>
      <c r="O505" s="92">
        <f t="shared" si="409"/>
        <v>0</v>
      </c>
      <c r="P505" s="92">
        <f t="shared" si="409"/>
        <v>900</v>
      </c>
      <c r="Q505" s="92">
        <f t="shared" si="409"/>
        <v>1800</v>
      </c>
      <c r="R505" s="92">
        <f t="shared" si="409"/>
        <v>2700</v>
      </c>
      <c r="S505" s="92">
        <f t="shared" si="409"/>
        <v>3700</v>
      </c>
      <c r="T505" s="92">
        <f t="shared" si="409"/>
        <v>19700</v>
      </c>
      <c r="U505" s="92">
        <f t="shared" si="409"/>
        <v>20800</v>
      </c>
      <c r="V505" s="92">
        <f t="shared" si="409"/>
        <v>21900</v>
      </c>
      <c r="W505" s="92">
        <f t="shared" si="409"/>
        <v>23100</v>
      </c>
      <c r="X505" s="92">
        <f t="shared" si="409"/>
        <v>24200</v>
      </c>
      <c r="Y505" s="92">
        <f t="shared" si="409"/>
        <v>25300</v>
      </c>
      <c r="Z505" s="92">
        <f t="shared" si="409"/>
        <v>26300</v>
      </c>
      <c r="AA505" s="92">
        <f t="shared" si="409"/>
        <v>27500</v>
      </c>
      <c r="AB505" s="92">
        <f t="shared" si="409"/>
        <v>28600</v>
      </c>
      <c r="AC505" s="92">
        <f t="shared" si="409"/>
        <v>29800</v>
      </c>
      <c r="AD505" s="92">
        <f t="shared" si="409"/>
        <v>30800</v>
      </c>
      <c r="AE505" s="92">
        <f t="shared" si="409"/>
        <v>31800</v>
      </c>
      <c r="AF505" s="92">
        <f t="shared" si="409"/>
        <v>32700</v>
      </c>
      <c r="AG505" s="92">
        <f t="shared" si="409"/>
        <v>33700</v>
      </c>
      <c r="AH505" s="92">
        <f t="shared" si="409"/>
        <v>34700</v>
      </c>
      <c r="AI505" s="92">
        <f t="shared" si="409"/>
        <v>35400</v>
      </c>
      <c r="AJ505" s="92">
        <f t="shared" si="409"/>
        <v>0</v>
      </c>
      <c r="AK505" s="92">
        <f t="shared" si="409"/>
        <v>0</v>
      </c>
      <c r="AL505" s="92">
        <f t="shared" si="409"/>
        <v>0</v>
      </c>
      <c r="AM505" s="92">
        <f t="shared" si="409"/>
        <v>0</v>
      </c>
      <c r="AN505" s="92">
        <f t="shared" si="409"/>
        <v>0</v>
      </c>
      <c r="AO505" s="92">
        <f t="shared" si="409"/>
        <v>0</v>
      </c>
      <c r="AP505" s="92">
        <f t="shared" si="409"/>
        <v>0</v>
      </c>
      <c r="AQ505" s="92">
        <f t="shared" si="409"/>
        <v>0</v>
      </c>
      <c r="AR505" s="92">
        <f t="shared" si="409"/>
        <v>0</v>
      </c>
      <c r="AS505" s="92">
        <f t="shared" si="409"/>
        <v>0</v>
      </c>
      <c r="AW505" s="191"/>
      <c r="AY505" s="31">
        <f>+Details!F505-Base!F505</f>
        <v>0</v>
      </c>
      <c r="AZ505" s="92">
        <f>+Details!G505-Base!G505</f>
        <v>0</v>
      </c>
      <c r="BA505" s="92">
        <f>+Details!H505-Base!H505</f>
        <v>0</v>
      </c>
      <c r="BB505" s="92">
        <f>+Details!I505-Base!I505</f>
        <v>0</v>
      </c>
      <c r="BC505" s="92">
        <f>+Details!J505-Base!J505</f>
        <v>0</v>
      </c>
      <c r="BD505" s="92">
        <f>+Details!K505-Base!K505</f>
        <v>0</v>
      </c>
      <c r="BE505" s="92">
        <f>+Details!L505-Base!L505</f>
        <v>0</v>
      </c>
      <c r="BF505" s="92">
        <f>+Details!M505-Base!M505</f>
        <v>0</v>
      </c>
      <c r="BG505" s="92">
        <f>+Details!N505-Base!N505</f>
        <v>0</v>
      </c>
      <c r="BH505" s="92">
        <f>+Details!O505-Base!O505</f>
        <v>0</v>
      </c>
      <c r="BI505" s="92">
        <f>+Details!P505-Base!P505</f>
        <v>0</v>
      </c>
      <c r="BJ505" s="92">
        <f>+Details!Q505-Base!Q505</f>
        <v>0</v>
      </c>
      <c r="BK505" s="92">
        <f>+Details!R505-Base!R505</f>
        <v>0</v>
      </c>
      <c r="BL505" s="92">
        <f>+Details!S505-Base!S505</f>
        <v>0</v>
      </c>
      <c r="BM505" s="92">
        <f>+Details!T505-Base!T505</f>
        <v>0</v>
      </c>
      <c r="BN505" s="92">
        <f>+Details!U505-Base!U505</f>
        <v>0</v>
      </c>
      <c r="BO505" s="92">
        <f>+Details!V505-Base!V505</f>
        <v>0</v>
      </c>
      <c r="BP505" s="92">
        <f>+Details!W505-Base!W505</f>
        <v>0</v>
      </c>
      <c r="BQ505" s="92">
        <f>+Details!X505-Base!X505</f>
        <v>0</v>
      </c>
      <c r="BR505" s="92">
        <f>+Details!Y505-Base!Y505</f>
        <v>0</v>
      </c>
      <c r="BS505" s="92">
        <f>+Details!Z505-Base!Z505</f>
        <v>0</v>
      </c>
      <c r="BT505" s="92">
        <f>+Details!AA505-Base!AA505</f>
        <v>0</v>
      </c>
      <c r="BU505" s="92">
        <f>+Details!AB505-Base!AB505</f>
        <v>0</v>
      </c>
      <c r="BV505" s="92">
        <f>+Details!AC505-Base!AC505</f>
        <v>0</v>
      </c>
      <c r="BW505" s="92">
        <f>+Details!AD505-Base!AD505</f>
        <v>0</v>
      </c>
      <c r="BX505" s="92">
        <f>+Details!AE505-Base!AE505</f>
        <v>0</v>
      </c>
      <c r="BY505" s="92">
        <f>+Details!AF505-Base!AF505</f>
        <v>0</v>
      </c>
      <c r="BZ505" s="92">
        <f>+Details!AG505-Base!AG505</f>
        <v>0</v>
      </c>
      <c r="CA505" s="92">
        <f>+Details!AH505-Base!AH505</f>
        <v>0</v>
      </c>
      <c r="CB505" s="92">
        <f>+Details!AI505-Base!AI505</f>
        <v>0</v>
      </c>
      <c r="CC505" s="92">
        <f>+Details!AJ505-Base!AJ505</f>
        <v>0</v>
      </c>
      <c r="CD505" s="92">
        <f>+Details!AK505-Base!AK505</f>
        <v>0</v>
      </c>
      <c r="CE505" s="92">
        <f>+Details!AL505-Base!AL505</f>
        <v>0</v>
      </c>
      <c r="CF505" s="92">
        <f>+Details!AM505-Base!AM505</f>
        <v>0</v>
      </c>
      <c r="CG505" s="92">
        <f>+Details!AN505-Base!AN505</f>
        <v>0</v>
      </c>
      <c r="CH505" s="92">
        <f>+Details!AO505-Base!AO505</f>
        <v>0</v>
      </c>
      <c r="CI505" s="92">
        <f>+Details!AP505-Base!AP505</f>
        <v>0</v>
      </c>
      <c r="CJ505" s="92">
        <f>+Details!AQ505-Base!AQ505</f>
        <v>0</v>
      </c>
      <c r="CK505" s="92">
        <f>+Details!AR505-Base!AR505</f>
        <v>0</v>
      </c>
      <c r="CL505" s="92">
        <f>+Details!AS505-Base!AS505</f>
        <v>0</v>
      </c>
    </row>
    <row r="506" spans="2:90" ht="15.6">
      <c r="B506" s="43" t="s">
        <v>1743</v>
      </c>
      <c r="E506" s="1059">
        <f t="shared" si="404"/>
        <v>0</v>
      </c>
      <c r="F506" s="245" t="str">
        <f>IF(F505&lt;0,1,"")</f>
        <v/>
      </c>
      <c r="G506" s="245" t="str">
        <f t="shared" ref="G506:AS506" si="410">IF(G505&lt;0,1,"")</f>
        <v/>
      </c>
      <c r="H506" s="245" t="str">
        <f t="shared" si="410"/>
        <v/>
      </c>
      <c r="I506" s="245" t="str">
        <f t="shared" si="410"/>
        <v/>
      </c>
      <c r="J506" s="245" t="str">
        <f t="shared" si="410"/>
        <v/>
      </c>
      <c r="K506" s="245" t="str">
        <f t="shared" si="410"/>
        <v/>
      </c>
      <c r="L506" s="245" t="str">
        <f t="shared" si="410"/>
        <v/>
      </c>
      <c r="M506" s="245" t="str">
        <f t="shared" si="410"/>
        <v/>
      </c>
      <c r="N506" s="245" t="str">
        <f t="shared" si="410"/>
        <v/>
      </c>
      <c r="O506" s="245" t="str">
        <f t="shared" si="410"/>
        <v/>
      </c>
      <c r="P506" s="245" t="str">
        <f t="shared" si="410"/>
        <v/>
      </c>
      <c r="Q506" s="245" t="str">
        <f t="shared" si="410"/>
        <v/>
      </c>
      <c r="R506" s="245" t="str">
        <f t="shared" si="410"/>
        <v/>
      </c>
      <c r="S506" s="245" t="str">
        <f t="shared" si="410"/>
        <v/>
      </c>
      <c r="T506" s="245" t="str">
        <f t="shared" si="410"/>
        <v/>
      </c>
      <c r="U506" s="245" t="str">
        <f t="shared" si="410"/>
        <v/>
      </c>
      <c r="V506" s="245" t="str">
        <f t="shared" si="410"/>
        <v/>
      </c>
      <c r="W506" s="245" t="str">
        <f t="shared" si="410"/>
        <v/>
      </c>
      <c r="X506" s="245" t="str">
        <f t="shared" si="410"/>
        <v/>
      </c>
      <c r="Y506" s="245" t="str">
        <f t="shared" si="410"/>
        <v/>
      </c>
      <c r="Z506" s="245" t="str">
        <f t="shared" si="410"/>
        <v/>
      </c>
      <c r="AA506" s="245" t="str">
        <f t="shared" si="410"/>
        <v/>
      </c>
      <c r="AB506" s="245" t="str">
        <f t="shared" si="410"/>
        <v/>
      </c>
      <c r="AC506" s="245" t="str">
        <f t="shared" si="410"/>
        <v/>
      </c>
      <c r="AD506" s="245" t="str">
        <f t="shared" si="410"/>
        <v/>
      </c>
      <c r="AE506" s="245" t="str">
        <f t="shared" si="410"/>
        <v/>
      </c>
      <c r="AF506" s="245" t="str">
        <f t="shared" si="410"/>
        <v/>
      </c>
      <c r="AG506" s="245" t="str">
        <f t="shared" si="410"/>
        <v/>
      </c>
      <c r="AH506" s="245" t="str">
        <f t="shared" si="410"/>
        <v/>
      </c>
      <c r="AI506" s="245" t="str">
        <f t="shared" si="410"/>
        <v/>
      </c>
      <c r="AJ506" s="245" t="str">
        <f t="shared" si="410"/>
        <v/>
      </c>
      <c r="AK506" s="245" t="str">
        <f t="shared" si="410"/>
        <v/>
      </c>
      <c r="AL506" s="245" t="str">
        <f t="shared" si="410"/>
        <v/>
      </c>
      <c r="AM506" s="245" t="str">
        <f t="shared" si="410"/>
        <v/>
      </c>
      <c r="AN506" s="245" t="str">
        <f t="shared" si="410"/>
        <v/>
      </c>
      <c r="AO506" s="245" t="str">
        <f t="shared" si="410"/>
        <v/>
      </c>
      <c r="AP506" s="245" t="str">
        <f t="shared" si="410"/>
        <v/>
      </c>
      <c r="AQ506" s="245" t="str">
        <f t="shared" si="410"/>
        <v/>
      </c>
      <c r="AR506" s="245" t="str">
        <f t="shared" si="410"/>
        <v/>
      </c>
      <c r="AS506" s="245" t="str">
        <f t="shared" si="410"/>
        <v/>
      </c>
      <c r="AW506" s="191"/>
      <c r="AY506" s="31"/>
      <c r="AZ506" s="245"/>
      <c r="BA506" s="245"/>
      <c r="BB506" s="245"/>
      <c r="BC506" s="245"/>
      <c r="BD506" s="245"/>
      <c r="BE506" s="245"/>
      <c r="BF506" s="245"/>
      <c r="BG506" s="245"/>
      <c r="BH506" s="245"/>
      <c r="BI506" s="245"/>
      <c r="BJ506" s="245"/>
      <c r="BK506" s="245"/>
      <c r="BL506" s="245"/>
      <c r="BM506" s="245"/>
      <c r="BN506" s="245"/>
      <c r="BO506" s="245"/>
      <c r="BP506" s="245"/>
      <c r="BQ506" s="245"/>
      <c r="BR506" s="245"/>
      <c r="BS506" s="245"/>
      <c r="BT506" s="245"/>
      <c r="BU506" s="245"/>
      <c r="BV506" s="245"/>
      <c r="BW506" s="245"/>
      <c r="BX506" s="245"/>
      <c r="BY506" s="245"/>
      <c r="BZ506" s="245"/>
      <c r="CA506" s="245"/>
      <c r="CB506" s="245"/>
      <c r="CC506" s="245"/>
      <c r="CD506" s="245"/>
      <c r="CE506" s="245"/>
      <c r="CF506" s="245"/>
      <c r="CG506" s="245"/>
      <c r="CH506" s="245"/>
      <c r="CI506" s="245"/>
      <c r="CJ506" s="245"/>
      <c r="CK506" s="245"/>
      <c r="CL506" s="245"/>
    </row>
    <row r="507" spans="2:90">
      <c r="AY507" s="31"/>
    </row>
    <row r="508" spans="2:90">
      <c r="B508" s="43" t="s">
        <v>1737</v>
      </c>
      <c r="C508" s="136" t="str">
        <f>IF(+QCD_Src2="i1","IRA 1",IF(+QCD_Src2="i2","IRA 2",IF(+QCD_Src2="h1","Inherited IRA 1",IF(+QCD_Src2="h2","Inherited IRA 2",""))))</f>
        <v>Inherited IRA 2</v>
      </c>
      <c r="E508" s="65">
        <f t="shared" si="404"/>
        <v>3300</v>
      </c>
      <c r="F508" s="92">
        <f t="shared" ref="F508:AS508" si="411">IF(QCD_Src2="i1",-F91-F95-F96,0)+IF(QCD_Src2="i2",-F99-F103,0)+IF(QCD_Src2="h1",-F113-F116,0)+IF(QCD_Src2="h2",-F114-F117,0)</f>
        <v>0</v>
      </c>
      <c r="G508" s="92">
        <f t="shared" si="411"/>
        <v>0</v>
      </c>
      <c r="H508" s="92">
        <f t="shared" si="411"/>
        <v>0</v>
      </c>
      <c r="I508" s="92">
        <f t="shared" si="411"/>
        <v>0</v>
      </c>
      <c r="J508" s="92">
        <f t="shared" si="411"/>
        <v>0</v>
      </c>
      <c r="K508" s="92">
        <f t="shared" si="411"/>
        <v>0</v>
      </c>
      <c r="L508" s="92">
        <f t="shared" si="411"/>
        <v>0</v>
      </c>
      <c r="M508" s="92">
        <f t="shared" si="411"/>
        <v>0</v>
      </c>
      <c r="N508" s="92">
        <f t="shared" si="411"/>
        <v>0</v>
      </c>
      <c r="O508" s="92">
        <f t="shared" si="411"/>
        <v>0</v>
      </c>
      <c r="P508" s="92">
        <f t="shared" si="411"/>
        <v>0</v>
      </c>
      <c r="Q508" s="92">
        <f t="shared" si="411"/>
        <v>0</v>
      </c>
      <c r="R508" s="92">
        <f t="shared" si="411"/>
        <v>0</v>
      </c>
      <c r="S508" s="92">
        <f t="shared" si="411"/>
        <v>0</v>
      </c>
      <c r="T508" s="92">
        <f t="shared" si="411"/>
        <v>0</v>
      </c>
      <c r="U508" s="92">
        <f t="shared" si="411"/>
        <v>0</v>
      </c>
      <c r="V508" s="92">
        <f t="shared" si="411"/>
        <v>1000</v>
      </c>
      <c r="W508" s="92">
        <f t="shared" si="411"/>
        <v>1100</v>
      </c>
      <c r="X508" s="92">
        <f t="shared" si="411"/>
        <v>1200</v>
      </c>
      <c r="Y508" s="92">
        <f t="shared" si="411"/>
        <v>0</v>
      </c>
      <c r="Z508" s="92">
        <f t="shared" si="411"/>
        <v>0</v>
      </c>
      <c r="AA508" s="92">
        <f t="shared" si="411"/>
        <v>0</v>
      </c>
      <c r="AB508" s="92">
        <f t="shared" si="411"/>
        <v>0</v>
      </c>
      <c r="AC508" s="92">
        <f t="shared" si="411"/>
        <v>0</v>
      </c>
      <c r="AD508" s="92">
        <f t="shared" si="411"/>
        <v>0</v>
      </c>
      <c r="AE508" s="92">
        <f t="shared" si="411"/>
        <v>0</v>
      </c>
      <c r="AF508" s="92">
        <f t="shared" si="411"/>
        <v>0</v>
      </c>
      <c r="AG508" s="92">
        <f t="shared" si="411"/>
        <v>0</v>
      </c>
      <c r="AH508" s="92">
        <f t="shared" si="411"/>
        <v>0</v>
      </c>
      <c r="AI508" s="92">
        <f t="shared" si="411"/>
        <v>0</v>
      </c>
      <c r="AJ508" s="92">
        <f t="shared" si="411"/>
        <v>0</v>
      </c>
      <c r="AK508" s="92">
        <f t="shared" si="411"/>
        <v>0</v>
      </c>
      <c r="AL508" s="92">
        <f t="shared" si="411"/>
        <v>0</v>
      </c>
      <c r="AM508" s="92">
        <f t="shared" si="411"/>
        <v>0</v>
      </c>
      <c r="AN508" s="92">
        <f t="shared" si="411"/>
        <v>0</v>
      </c>
      <c r="AO508" s="92">
        <f t="shared" si="411"/>
        <v>0</v>
      </c>
      <c r="AP508" s="92">
        <f t="shared" si="411"/>
        <v>0</v>
      </c>
      <c r="AQ508" s="92">
        <f t="shared" si="411"/>
        <v>0</v>
      </c>
      <c r="AR508" s="92">
        <f t="shared" si="411"/>
        <v>0</v>
      </c>
      <c r="AS508" s="92">
        <f t="shared" si="411"/>
        <v>0</v>
      </c>
      <c r="AW508" s="191"/>
      <c r="AY508" s="31">
        <f>+Details!F508-Base!F508</f>
        <v>0</v>
      </c>
      <c r="AZ508" s="92">
        <f>+Details!G508-Base!G508</f>
        <v>0</v>
      </c>
      <c r="BA508" s="92">
        <f>+Details!H508-Base!H508</f>
        <v>0</v>
      </c>
      <c r="BB508" s="92">
        <f>+Details!I508-Base!I508</f>
        <v>0</v>
      </c>
      <c r="BC508" s="92">
        <f>+Details!J508-Base!J508</f>
        <v>0</v>
      </c>
      <c r="BD508" s="92">
        <f>+Details!K508-Base!K508</f>
        <v>0</v>
      </c>
      <c r="BE508" s="92">
        <f>+Details!L508-Base!L508</f>
        <v>0</v>
      </c>
      <c r="BF508" s="92">
        <f>+Details!M508-Base!M508</f>
        <v>0</v>
      </c>
      <c r="BG508" s="92">
        <f>+Details!N508-Base!N508</f>
        <v>0</v>
      </c>
      <c r="BH508" s="92">
        <f>+Details!O508-Base!O508</f>
        <v>0</v>
      </c>
      <c r="BI508" s="92">
        <f>+Details!P508-Base!P508</f>
        <v>0</v>
      </c>
      <c r="BJ508" s="92">
        <f>+Details!Q508-Base!Q508</f>
        <v>0</v>
      </c>
      <c r="BK508" s="92">
        <f>+Details!R508-Base!R508</f>
        <v>0</v>
      </c>
      <c r="BL508" s="92">
        <f>+Details!S508-Base!S508</f>
        <v>0</v>
      </c>
      <c r="BM508" s="92">
        <f>+Details!T508-Base!T508</f>
        <v>0</v>
      </c>
      <c r="BN508" s="92">
        <f>+Details!U508-Base!U508</f>
        <v>0</v>
      </c>
      <c r="BO508" s="92">
        <f>+Details!V508-Base!V508</f>
        <v>0</v>
      </c>
      <c r="BP508" s="92">
        <f>+Details!W508-Base!W508</f>
        <v>0</v>
      </c>
      <c r="BQ508" s="92">
        <f>+Details!X508-Base!X508</f>
        <v>0</v>
      </c>
      <c r="BR508" s="92">
        <f>+Details!Y508-Base!Y508</f>
        <v>0</v>
      </c>
      <c r="BS508" s="92">
        <f>+Details!Z508-Base!Z508</f>
        <v>0</v>
      </c>
      <c r="BT508" s="92">
        <f>+Details!AA508-Base!AA508</f>
        <v>0</v>
      </c>
      <c r="BU508" s="92">
        <f>+Details!AB508-Base!AB508</f>
        <v>0</v>
      </c>
      <c r="BV508" s="92">
        <f>+Details!AC508-Base!AC508</f>
        <v>0</v>
      </c>
      <c r="BW508" s="92">
        <f>+Details!AD508-Base!AD508</f>
        <v>0</v>
      </c>
      <c r="BX508" s="92">
        <f>+Details!AE508-Base!AE508</f>
        <v>0</v>
      </c>
      <c r="BY508" s="92">
        <f>+Details!AF508-Base!AF508</f>
        <v>0</v>
      </c>
      <c r="BZ508" s="92">
        <f>+Details!AG508-Base!AG508</f>
        <v>0</v>
      </c>
      <c r="CA508" s="92">
        <f>+Details!AH508-Base!AH508</f>
        <v>0</v>
      </c>
      <c r="CB508" s="92">
        <f>+Details!AI508-Base!AI508</f>
        <v>0</v>
      </c>
      <c r="CC508" s="92">
        <f>+Details!AJ508-Base!AJ508</f>
        <v>0</v>
      </c>
      <c r="CD508" s="92">
        <f>+Details!AK508-Base!AK508</f>
        <v>0</v>
      </c>
      <c r="CE508" s="92">
        <f>+Details!AL508-Base!AL508</f>
        <v>0</v>
      </c>
      <c r="CF508" s="92">
        <f>+Details!AM508-Base!AM508</f>
        <v>0</v>
      </c>
      <c r="CG508" s="92">
        <f>+Details!AN508-Base!AN508</f>
        <v>0</v>
      </c>
      <c r="CH508" s="92">
        <f>+Details!AO508-Base!AO508</f>
        <v>0</v>
      </c>
      <c r="CI508" s="92">
        <f>+Details!AP508-Base!AP508</f>
        <v>0</v>
      </c>
      <c r="CJ508" s="92">
        <f>+Details!AQ508-Base!AQ508</f>
        <v>0</v>
      </c>
      <c r="CK508" s="92">
        <f>+Details!AR508-Base!AR508</f>
        <v>0</v>
      </c>
      <c r="CL508" s="92">
        <f>+Details!AS508-Base!AS508</f>
        <v>0</v>
      </c>
    </row>
    <row r="509" spans="2:90">
      <c r="B509" s="43" t="s">
        <v>469</v>
      </c>
      <c r="C509" s="136"/>
      <c r="E509" s="635">
        <f t="shared" si="404"/>
        <v>88600</v>
      </c>
      <c r="F509" s="566">
        <f t="shared" ref="F509:AS509" si="412">IF(QCD_Src2="i1",-F94,0)+IF(QCD_Src2="i2",-F102,0)+IF(QCD_Src2="h1",-F110,0)+IF(QCD_Src2="h2",-F111,0)</f>
        <v>0</v>
      </c>
      <c r="G509" s="566">
        <f t="shared" si="412"/>
        <v>0</v>
      </c>
      <c r="H509" s="566">
        <f t="shared" si="412"/>
        <v>0</v>
      </c>
      <c r="I509" s="566">
        <f t="shared" si="412"/>
        <v>0</v>
      </c>
      <c r="J509" s="566">
        <f t="shared" si="412"/>
        <v>0</v>
      </c>
      <c r="K509" s="566">
        <f t="shared" si="412"/>
        <v>0</v>
      </c>
      <c r="L509" s="566">
        <f t="shared" si="412"/>
        <v>0</v>
      </c>
      <c r="M509" s="566">
        <f t="shared" si="412"/>
        <v>0</v>
      </c>
      <c r="N509" s="566">
        <f t="shared" si="412"/>
        <v>0</v>
      </c>
      <c r="O509" s="566">
        <f t="shared" si="412"/>
        <v>0</v>
      </c>
      <c r="P509" s="566">
        <f t="shared" si="412"/>
        <v>0</v>
      </c>
      <c r="Q509" s="566">
        <f t="shared" si="412"/>
        <v>0</v>
      </c>
      <c r="R509" s="566">
        <f t="shared" si="412"/>
        <v>4100</v>
      </c>
      <c r="S509" s="566">
        <f t="shared" si="412"/>
        <v>4300</v>
      </c>
      <c r="T509" s="566">
        <f t="shared" si="412"/>
        <v>4600</v>
      </c>
      <c r="U509" s="566">
        <f t="shared" si="412"/>
        <v>4800</v>
      </c>
      <c r="V509" s="566">
        <f t="shared" si="412"/>
        <v>5100</v>
      </c>
      <c r="W509" s="566">
        <f t="shared" si="412"/>
        <v>5400</v>
      </c>
      <c r="X509" s="566">
        <f t="shared" si="412"/>
        <v>5600</v>
      </c>
      <c r="Y509" s="566">
        <f t="shared" si="412"/>
        <v>5700</v>
      </c>
      <c r="Z509" s="566">
        <f t="shared" si="412"/>
        <v>6000</v>
      </c>
      <c r="AA509" s="566">
        <f t="shared" si="412"/>
        <v>6400</v>
      </c>
      <c r="AB509" s="566">
        <f t="shared" si="412"/>
        <v>6800</v>
      </c>
      <c r="AC509" s="566">
        <f t="shared" si="412"/>
        <v>7100</v>
      </c>
      <c r="AD509" s="566">
        <f t="shared" si="412"/>
        <v>7600</v>
      </c>
      <c r="AE509" s="566">
        <f t="shared" si="412"/>
        <v>8100</v>
      </c>
      <c r="AF509" s="566">
        <f t="shared" si="412"/>
        <v>7000</v>
      </c>
      <c r="AG509" s="566">
        <f t="shared" si="412"/>
        <v>0</v>
      </c>
      <c r="AH509" s="566">
        <f t="shared" si="412"/>
        <v>0</v>
      </c>
      <c r="AI509" s="566">
        <f t="shared" si="412"/>
        <v>0</v>
      </c>
      <c r="AJ509" s="566">
        <f t="shared" si="412"/>
        <v>0</v>
      </c>
      <c r="AK509" s="566">
        <f t="shared" si="412"/>
        <v>0</v>
      </c>
      <c r="AL509" s="566">
        <f t="shared" si="412"/>
        <v>0</v>
      </c>
      <c r="AM509" s="566">
        <f t="shared" si="412"/>
        <v>0</v>
      </c>
      <c r="AN509" s="566">
        <f t="shared" si="412"/>
        <v>0</v>
      </c>
      <c r="AO509" s="566">
        <f t="shared" si="412"/>
        <v>0</v>
      </c>
      <c r="AP509" s="566">
        <f t="shared" si="412"/>
        <v>0</v>
      </c>
      <c r="AQ509" s="566">
        <f t="shared" si="412"/>
        <v>0</v>
      </c>
      <c r="AR509" s="566">
        <f t="shared" si="412"/>
        <v>0</v>
      </c>
      <c r="AS509" s="566">
        <f t="shared" si="412"/>
        <v>0</v>
      </c>
      <c r="AW509" s="191"/>
      <c r="AY509" s="38">
        <f>+Details!F509-Base!F509</f>
        <v>0</v>
      </c>
      <c r="AZ509" s="566">
        <f>+Details!G509-Base!G509</f>
        <v>0</v>
      </c>
      <c r="BA509" s="566">
        <f>+Details!H509-Base!H509</f>
        <v>0</v>
      </c>
      <c r="BB509" s="566">
        <f>+Details!I509-Base!I509</f>
        <v>0</v>
      </c>
      <c r="BC509" s="566">
        <f>+Details!J509-Base!J509</f>
        <v>0</v>
      </c>
      <c r="BD509" s="566">
        <f>+Details!K509-Base!K509</f>
        <v>0</v>
      </c>
      <c r="BE509" s="566">
        <f>+Details!L509-Base!L509</f>
        <v>0</v>
      </c>
      <c r="BF509" s="566">
        <f>+Details!M509-Base!M509</f>
        <v>0</v>
      </c>
      <c r="BG509" s="566">
        <f>+Details!N509-Base!N509</f>
        <v>0</v>
      </c>
      <c r="BH509" s="566">
        <f>+Details!O509-Base!O509</f>
        <v>0</v>
      </c>
      <c r="BI509" s="566">
        <f>+Details!P509-Base!P509</f>
        <v>0</v>
      </c>
      <c r="BJ509" s="566">
        <f>+Details!Q509-Base!Q509</f>
        <v>0</v>
      </c>
      <c r="BK509" s="566">
        <f>+Details!R509-Base!R509</f>
        <v>0</v>
      </c>
      <c r="BL509" s="566">
        <f>+Details!S509-Base!S509</f>
        <v>0</v>
      </c>
      <c r="BM509" s="566">
        <f>+Details!T509-Base!T509</f>
        <v>0</v>
      </c>
      <c r="BN509" s="566">
        <f>+Details!U509-Base!U509</f>
        <v>0</v>
      </c>
      <c r="BO509" s="566">
        <f>+Details!V509-Base!V509</f>
        <v>0</v>
      </c>
      <c r="BP509" s="566">
        <f>+Details!W509-Base!W509</f>
        <v>0</v>
      </c>
      <c r="BQ509" s="566">
        <f>+Details!X509-Base!X509</f>
        <v>0</v>
      </c>
      <c r="BR509" s="566">
        <f>+Details!Y509-Base!Y509</f>
        <v>0</v>
      </c>
      <c r="BS509" s="566">
        <f>+Details!Z509-Base!Z509</f>
        <v>0</v>
      </c>
      <c r="BT509" s="566">
        <f>+Details!AA509-Base!AA509</f>
        <v>0</v>
      </c>
      <c r="BU509" s="566">
        <f>+Details!AB509-Base!AB509</f>
        <v>0</v>
      </c>
      <c r="BV509" s="566">
        <f>+Details!AC509-Base!AC509</f>
        <v>0</v>
      </c>
      <c r="BW509" s="566">
        <f>+Details!AD509-Base!AD509</f>
        <v>0</v>
      </c>
      <c r="BX509" s="566">
        <f>+Details!AE509-Base!AE509</f>
        <v>0</v>
      </c>
      <c r="BY509" s="566">
        <f>+Details!AF509-Base!AF509</f>
        <v>0</v>
      </c>
      <c r="BZ509" s="566">
        <f>+Details!AG509-Base!AG509</f>
        <v>0</v>
      </c>
      <c r="CA509" s="566">
        <f>+Details!AH509-Base!AH509</f>
        <v>0</v>
      </c>
      <c r="CB509" s="566">
        <f>+Details!AI509-Base!AI509</f>
        <v>0</v>
      </c>
      <c r="CC509" s="566">
        <f>+Details!AJ509-Base!AJ509</f>
        <v>0</v>
      </c>
      <c r="CD509" s="566">
        <f>+Details!AK509-Base!AK509</f>
        <v>0</v>
      </c>
      <c r="CE509" s="566">
        <f>+Details!AL509-Base!AL509</f>
        <v>0</v>
      </c>
      <c r="CF509" s="566">
        <f>+Details!AM509-Base!AM509</f>
        <v>0</v>
      </c>
      <c r="CG509" s="566">
        <f>+Details!AN509-Base!AN509</f>
        <v>0</v>
      </c>
      <c r="CH509" s="566">
        <f>+Details!AO509-Base!AO509</f>
        <v>0</v>
      </c>
      <c r="CI509" s="566">
        <f>+Details!AP509-Base!AP509</f>
        <v>0</v>
      </c>
      <c r="CJ509" s="566">
        <f>+Details!AQ509-Base!AQ509</f>
        <v>0</v>
      </c>
      <c r="CK509" s="566">
        <f>+Details!AR509-Base!AR509</f>
        <v>0</v>
      </c>
      <c r="CL509" s="566">
        <f>+Details!AS509-Base!AS509</f>
        <v>0</v>
      </c>
    </row>
    <row r="510" spans="2:90">
      <c r="B510" s="113" t="s">
        <v>1738</v>
      </c>
      <c r="C510" s="136"/>
      <c r="E510" s="65">
        <f t="shared" si="404"/>
        <v>91900</v>
      </c>
      <c r="F510" s="92">
        <f>+F508+F509</f>
        <v>0</v>
      </c>
      <c r="G510" s="92">
        <f t="shared" ref="G510:AS510" si="413">+G508+G509</f>
        <v>0</v>
      </c>
      <c r="H510" s="92">
        <f t="shared" si="413"/>
        <v>0</v>
      </c>
      <c r="I510" s="92">
        <f t="shared" si="413"/>
        <v>0</v>
      </c>
      <c r="J510" s="92">
        <f t="shared" si="413"/>
        <v>0</v>
      </c>
      <c r="K510" s="92">
        <f t="shared" si="413"/>
        <v>0</v>
      </c>
      <c r="L510" s="92">
        <f t="shared" si="413"/>
        <v>0</v>
      </c>
      <c r="M510" s="92">
        <f t="shared" si="413"/>
        <v>0</v>
      </c>
      <c r="N510" s="92">
        <f t="shared" si="413"/>
        <v>0</v>
      </c>
      <c r="O510" s="92">
        <f t="shared" si="413"/>
        <v>0</v>
      </c>
      <c r="P510" s="92">
        <f t="shared" si="413"/>
        <v>0</v>
      </c>
      <c r="Q510" s="92">
        <f t="shared" si="413"/>
        <v>0</v>
      </c>
      <c r="R510" s="92">
        <f t="shared" si="413"/>
        <v>4100</v>
      </c>
      <c r="S510" s="92">
        <f t="shared" si="413"/>
        <v>4300</v>
      </c>
      <c r="T510" s="92">
        <f t="shared" si="413"/>
        <v>4600</v>
      </c>
      <c r="U510" s="92">
        <f t="shared" si="413"/>
        <v>4800</v>
      </c>
      <c r="V510" s="92">
        <f t="shared" si="413"/>
        <v>6100</v>
      </c>
      <c r="W510" s="92">
        <f t="shared" si="413"/>
        <v>6500</v>
      </c>
      <c r="X510" s="92">
        <f t="shared" si="413"/>
        <v>6800</v>
      </c>
      <c r="Y510" s="92">
        <f t="shared" si="413"/>
        <v>5700</v>
      </c>
      <c r="Z510" s="92">
        <f t="shared" si="413"/>
        <v>6000</v>
      </c>
      <c r="AA510" s="92">
        <f t="shared" si="413"/>
        <v>6400</v>
      </c>
      <c r="AB510" s="92">
        <f t="shared" si="413"/>
        <v>6800</v>
      </c>
      <c r="AC510" s="92">
        <f t="shared" si="413"/>
        <v>7100</v>
      </c>
      <c r="AD510" s="92">
        <f t="shared" si="413"/>
        <v>7600</v>
      </c>
      <c r="AE510" s="92">
        <f t="shared" si="413"/>
        <v>8100</v>
      </c>
      <c r="AF510" s="92">
        <f t="shared" si="413"/>
        <v>7000</v>
      </c>
      <c r="AG510" s="92">
        <f t="shared" si="413"/>
        <v>0</v>
      </c>
      <c r="AH510" s="92">
        <f t="shared" si="413"/>
        <v>0</v>
      </c>
      <c r="AI510" s="92">
        <f t="shared" si="413"/>
        <v>0</v>
      </c>
      <c r="AJ510" s="92">
        <f t="shared" si="413"/>
        <v>0</v>
      </c>
      <c r="AK510" s="92">
        <f t="shared" si="413"/>
        <v>0</v>
      </c>
      <c r="AL510" s="92">
        <f t="shared" si="413"/>
        <v>0</v>
      </c>
      <c r="AM510" s="92">
        <f t="shared" si="413"/>
        <v>0</v>
      </c>
      <c r="AN510" s="92">
        <f t="shared" si="413"/>
        <v>0</v>
      </c>
      <c r="AO510" s="92">
        <f t="shared" si="413"/>
        <v>0</v>
      </c>
      <c r="AP510" s="92">
        <f t="shared" si="413"/>
        <v>0</v>
      </c>
      <c r="AQ510" s="92">
        <f t="shared" si="413"/>
        <v>0</v>
      </c>
      <c r="AR510" s="92">
        <f t="shared" si="413"/>
        <v>0</v>
      </c>
      <c r="AS510" s="92">
        <f t="shared" si="413"/>
        <v>0</v>
      </c>
      <c r="AW510" s="191"/>
      <c r="AY510" s="31">
        <f>+Details!F510-Base!F510</f>
        <v>0</v>
      </c>
      <c r="AZ510" s="92">
        <f>+Details!G510-Base!G510</f>
        <v>0</v>
      </c>
      <c r="BA510" s="92">
        <f>+Details!H510-Base!H510</f>
        <v>0</v>
      </c>
      <c r="BB510" s="92">
        <f>+Details!I510-Base!I510</f>
        <v>0</v>
      </c>
      <c r="BC510" s="92">
        <f>+Details!J510-Base!J510</f>
        <v>0</v>
      </c>
      <c r="BD510" s="92">
        <f>+Details!K510-Base!K510</f>
        <v>0</v>
      </c>
      <c r="BE510" s="92">
        <f>+Details!L510-Base!L510</f>
        <v>0</v>
      </c>
      <c r="BF510" s="92">
        <f>+Details!M510-Base!M510</f>
        <v>0</v>
      </c>
      <c r="BG510" s="92">
        <f>+Details!N510-Base!N510</f>
        <v>0</v>
      </c>
      <c r="BH510" s="92">
        <f>+Details!O510-Base!O510</f>
        <v>0</v>
      </c>
      <c r="BI510" s="92">
        <f>+Details!P510-Base!P510</f>
        <v>0</v>
      </c>
      <c r="BJ510" s="92">
        <f>+Details!Q510-Base!Q510</f>
        <v>0</v>
      </c>
      <c r="BK510" s="92">
        <f>+Details!R510-Base!R510</f>
        <v>0</v>
      </c>
      <c r="BL510" s="92">
        <f>+Details!S510-Base!S510</f>
        <v>0</v>
      </c>
      <c r="BM510" s="92">
        <f>+Details!T510-Base!T510</f>
        <v>0</v>
      </c>
      <c r="BN510" s="92">
        <f>+Details!U510-Base!U510</f>
        <v>0</v>
      </c>
      <c r="BO510" s="92">
        <f>+Details!V510-Base!V510</f>
        <v>0</v>
      </c>
      <c r="BP510" s="92">
        <f>+Details!W510-Base!W510</f>
        <v>0</v>
      </c>
      <c r="BQ510" s="92">
        <f>+Details!X510-Base!X510</f>
        <v>0</v>
      </c>
      <c r="BR510" s="92">
        <f>+Details!Y510-Base!Y510</f>
        <v>0</v>
      </c>
      <c r="BS510" s="92">
        <f>+Details!Z510-Base!Z510</f>
        <v>0</v>
      </c>
      <c r="BT510" s="92">
        <f>+Details!AA510-Base!AA510</f>
        <v>0</v>
      </c>
      <c r="BU510" s="92">
        <f>+Details!AB510-Base!AB510</f>
        <v>0</v>
      </c>
      <c r="BV510" s="92">
        <f>+Details!AC510-Base!AC510</f>
        <v>0</v>
      </c>
      <c r="BW510" s="92">
        <f>+Details!AD510-Base!AD510</f>
        <v>0</v>
      </c>
      <c r="BX510" s="92">
        <f>+Details!AE510-Base!AE510</f>
        <v>0</v>
      </c>
      <c r="BY510" s="92">
        <f>+Details!AF510-Base!AF510</f>
        <v>0</v>
      </c>
      <c r="BZ510" s="92">
        <f>+Details!AG510-Base!AG510</f>
        <v>0</v>
      </c>
      <c r="CA510" s="92">
        <f>+Details!AH510-Base!AH510</f>
        <v>0</v>
      </c>
      <c r="CB510" s="92">
        <f>+Details!AI510-Base!AI510</f>
        <v>0</v>
      </c>
      <c r="CC510" s="92">
        <f>+Details!AJ510-Base!AJ510</f>
        <v>0</v>
      </c>
      <c r="CD510" s="92">
        <f>+Details!AK510-Base!AK510</f>
        <v>0</v>
      </c>
      <c r="CE510" s="92">
        <f>+Details!AL510-Base!AL510</f>
        <v>0</v>
      </c>
      <c r="CF510" s="92">
        <f>+Details!AM510-Base!AM510</f>
        <v>0</v>
      </c>
      <c r="CG510" s="92">
        <f>+Details!AN510-Base!AN510</f>
        <v>0</v>
      </c>
      <c r="CH510" s="92">
        <f>+Details!AO510-Base!AO510</f>
        <v>0</v>
      </c>
      <c r="CI510" s="92">
        <f>+Details!AP510-Base!AP510</f>
        <v>0</v>
      </c>
      <c r="CJ510" s="92">
        <f>+Details!AQ510-Base!AQ510</f>
        <v>0</v>
      </c>
      <c r="CK510" s="92">
        <f>+Details!AR510-Base!AR510</f>
        <v>0</v>
      </c>
      <c r="CL510" s="92">
        <f>+Details!AS510-Base!AS510</f>
        <v>0</v>
      </c>
    </row>
    <row r="511" spans="2:90">
      <c r="B511" s="113" t="s">
        <v>1742</v>
      </c>
      <c r="C511" s="136"/>
      <c r="E511" s="635">
        <f t="shared" si="404"/>
        <v>-25000</v>
      </c>
      <c r="F511" s="34">
        <f t="shared" ref="F511:AS511" si="414">ROUND((-IF(OR(QCD_Age2=F$4,AND(QCD_Age2&lt;F$4,(QCD_Age2+QCD2_Cnt)&gt;F$4)),QCD_Amt2,0))*IF(Qual1="y",1,0)/Round_To,0)*Round_To</f>
        <v>0</v>
      </c>
      <c r="G511" s="34">
        <f t="shared" si="414"/>
        <v>0</v>
      </c>
      <c r="H511" s="34">
        <f t="shared" si="414"/>
        <v>0</v>
      </c>
      <c r="I511" s="34">
        <f t="shared" si="414"/>
        <v>0</v>
      </c>
      <c r="J511" s="34">
        <f t="shared" si="414"/>
        <v>0</v>
      </c>
      <c r="K511" s="34">
        <f t="shared" si="414"/>
        <v>0</v>
      </c>
      <c r="L511" s="34">
        <f t="shared" si="414"/>
        <v>0</v>
      </c>
      <c r="M511" s="34">
        <f t="shared" si="414"/>
        <v>0</v>
      </c>
      <c r="N511" s="34">
        <f t="shared" si="414"/>
        <v>0</v>
      </c>
      <c r="O511" s="34">
        <f t="shared" si="414"/>
        <v>0</v>
      </c>
      <c r="P511" s="34">
        <f t="shared" si="414"/>
        <v>0</v>
      </c>
      <c r="Q511" s="34">
        <f t="shared" si="414"/>
        <v>0</v>
      </c>
      <c r="R511" s="34">
        <f t="shared" si="414"/>
        <v>0</v>
      </c>
      <c r="S511" s="34">
        <f t="shared" si="414"/>
        <v>0</v>
      </c>
      <c r="T511" s="34">
        <f t="shared" si="414"/>
        <v>0</v>
      </c>
      <c r="U511" s="34">
        <f t="shared" si="414"/>
        <v>0</v>
      </c>
      <c r="V511" s="34">
        <f t="shared" si="414"/>
        <v>0</v>
      </c>
      <c r="W511" s="34">
        <f t="shared" si="414"/>
        <v>0</v>
      </c>
      <c r="X511" s="34">
        <f t="shared" si="414"/>
        <v>-5000</v>
      </c>
      <c r="Y511" s="34">
        <f t="shared" si="414"/>
        <v>-5000</v>
      </c>
      <c r="Z511" s="34">
        <f t="shared" si="414"/>
        <v>-5000</v>
      </c>
      <c r="AA511" s="34">
        <f t="shared" si="414"/>
        <v>-5000</v>
      </c>
      <c r="AB511" s="34">
        <f t="shared" si="414"/>
        <v>-5000</v>
      </c>
      <c r="AC511" s="34">
        <f t="shared" si="414"/>
        <v>0</v>
      </c>
      <c r="AD511" s="34">
        <f t="shared" si="414"/>
        <v>0</v>
      </c>
      <c r="AE511" s="34">
        <f t="shared" si="414"/>
        <v>0</v>
      </c>
      <c r="AF511" s="34">
        <f t="shared" si="414"/>
        <v>0</v>
      </c>
      <c r="AG511" s="34">
        <f t="shared" si="414"/>
        <v>0</v>
      </c>
      <c r="AH511" s="34">
        <f t="shared" si="414"/>
        <v>0</v>
      </c>
      <c r="AI511" s="34">
        <f t="shared" si="414"/>
        <v>0</v>
      </c>
      <c r="AJ511" s="34">
        <f t="shared" si="414"/>
        <v>0</v>
      </c>
      <c r="AK511" s="34">
        <f t="shared" si="414"/>
        <v>0</v>
      </c>
      <c r="AL511" s="34">
        <f t="shared" si="414"/>
        <v>0</v>
      </c>
      <c r="AM511" s="34">
        <f t="shared" si="414"/>
        <v>0</v>
      </c>
      <c r="AN511" s="34">
        <f t="shared" si="414"/>
        <v>0</v>
      </c>
      <c r="AO511" s="34">
        <f t="shared" si="414"/>
        <v>0</v>
      </c>
      <c r="AP511" s="34">
        <f t="shared" si="414"/>
        <v>0</v>
      </c>
      <c r="AQ511" s="34">
        <f t="shared" si="414"/>
        <v>0</v>
      </c>
      <c r="AR511" s="34">
        <f t="shared" si="414"/>
        <v>0</v>
      </c>
      <c r="AS511" s="34">
        <f t="shared" si="414"/>
        <v>0</v>
      </c>
      <c r="AW511" s="191"/>
      <c r="AY511" s="38">
        <f>+Details!F511-Base!F511</f>
        <v>0</v>
      </c>
      <c r="AZ511" s="34">
        <f>+Details!G511-Base!G511</f>
        <v>0</v>
      </c>
      <c r="BA511" s="34">
        <f>+Details!H511-Base!H511</f>
        <v>0</v>
      </c>
      <c r="BB511" s="34">
        <f>+Details!I511-Base!I511</f>
        <v>0</v>
      </c>
      <c r="BC511" s="34">
        <f>+Details!J511-Base!J511</f>
        <v>0</v>
      </c>
      <c r="BD511" s="34">
        <f>+Details!K511-Base!K511</f>
        <v>0</v>
      </c>
      <c r="BE511" s="34">
        <f>+Details!L511-Base!L511</f>
        <v>0</v>
      </c>
      <c r="BF511" s="34">
        <f>+Details!M511-Base!M511</f>
        <v>0</v>
      </c>
      <c r="BG511" s="34">
        <f>+Details!N511-Base!N511</f>
        <v>0</v>
      </c>
      <c r="BH511" s="34">
        <f>+Details!O511-Base!O511</f>
        <v>0</v>
      </c>
      <c r="BI511" s="34">
        <f>+Details!P511-Base!P511</f>
        <v>0</v>
      </c>
      <c r="BJ511" s="34">
        <f>+Details!Q511-Base!Q511</f>
        <v>0</v>
      </c>
      <c r="BK511" s="34">
        <f>+Details!R511-Base!R511</f>
        <v>0</v>
      </c>
      <c r="BL511" s="34">
        <f>+Details!S511-Base!S511</f>
        <v>0</v>
      </c>
      <c r="BM511" s="34">
        <f>+Details!T511-Base!T511</f>
        <v>0</v>
      </c>
      <c r="BN511" s="34">
        <f>+Details!U511-Base!U511</f>
        <v>0</v>
      </c>
      <c r="BO511" s="34">
        <f>+Details!V511-Base!V511</f>
        <v>0</v>
      </c>
      <c r="BP511" s="34">
        <f>+Details!W511-Base!W511</f>
        <v>0</v>
      </c>
      <c r="BQ511" s="34">
        <f>+Details!X511-Base!X511</f>
        <v>0</v>
      </c>
      <c r="BR511" s="34">
        <f>+Details!Y511-Base!Y511</f>
        <v>0</v>
      </c>
      <c r="BS511" s="34">
        <f>+Details!Z511-Base!Z511</f>
        <v>0</v>
      </c>
      <c r="BT511" s="34">
        <f>+Details!AA511-Base!AA511</f>
        <v>0</v>
      </c>
      <c r="BU511" s="34">
        <f>+Details!AB511-Base!AB511</f>
        <v>0</v>
      </c>
      <c r="BV511" s="34">
        <f>+Details!AC511-Base!AC511</f>
        <v>0</v>
      </c>
      <c r="BW511" s="34">
        <f>+Details!AD511-Base!AD511</f>
        <v>0</v>
      </c>
      <c r="BX511" s="34">
        <f>+Details!AE511-Base!AE511</f>
        <v>0</v>
      </c>
      <c r="BY511" s="34">
        <f>+Details!AF511-Base!AF511</f>
        <v>0</v>
      </c>
      <c r="BZ511" s="34">
        <f>+Details!AG511-Base!AG511</f>
        <v>0</v>
      </c>
      <c r="CA511" s="34">
        <f>+Details!AH511-Base!AH511</f>
        <v>0</v>
      </c>
      <c r="CB511" s="34">
        <f>+Details!AI511-Base!AI511</f>
        <v>0</v>
      </c>
      <c r="CC511" s="34">
        <f>+Details!AJ511-Base!AJ511</f>
        <v>0</v>
      </c>
      <c r="CD511" s="34">
        <f>+Details!AK511-Base!AK511</f>
        <v>0</v>
      </c>
      <c r="CE511" s="34">
        <f>+Details!AL511-Base!AL511</f>
        <v>0</v>
      </c>
      <c r="CF511" s="34">
        <f>+Details!AM511-Base!AM511</f>
        <v>0</v>
      </c>
      <c r="CG511" s="34">
        <f>+Details!AN511-Base!AN511</f>
        <v>0</v>
      </c>
      <c r="CH511" s="34">
        <f>+Details!AO511-Base!AO511</f>
        <v>0</v>
      </c>
      <c r="CI511" s="34">
        <f>+Details!AP511-Base!AP511</f>
        <v>0</v>
      </c>
      <c r="CJ511" s="34">
        <f>+Details!AQ511-Base!AQ511</f>
        <v>0</v>
      </c>
      <c r="CK511" s="34">
        <f>+Details!AR511-Base!AR511</f>
        <v>0</v>
      </c>
      <c r="CL511" s="34">
        <f>+Details!AS511-Base!AS511</f>
        <v>0</v>
      </c>
    </row>
    <row r="512" spans="2:90">
      <c r="B512" s="43" t="s">
        <v>1698</v>
      </c>
      <c r="C512" s="136"/>
      <c r="E512" s="65">
        <f t="shared" si="404"/>
        <v>66900</v>
      </c>
      <c r="F512" s="92">
        <f>+F510+F511</f>
        <v>0</v>
      </c>
      <c r="G512" s="92">
        <f t="shared" ref="G512:AS512" si="415">+G510+G511</f>
        <v>0</v>
      </c>
      <c r="H512" s="92">
        <f t="shared" si="415"/>
        <v>0</v>
      </c>
      <c r="I512" s="92">
        <f t="shared" si="415"/>
        <v>0</v>
      </c>
      <c r="J512" s="92">
        <f t="shared" si="415"/>
        <v>0</v>
      </c>
      <c r="K512" s="92">
        <f t="shared" si="415"/>
        <v>0</v>
      </c>
      <c r="L512" s="92">
        <f t="shared" si="415"/>
        <v>0</v>
      </c>
      <c r="M512" s="92">
        <f t="shared" si="415"/>
        <v>0</v>
      </c>
      <c r="N512" s="92">
        <f t="shared" si="415"/>
        <v>0</v>
      </c>
      <c r="O512" s="92">
        <f t="shared" si="415"/>
        <v>0</v>
      </c>
      <c r="P512" s="92">
        <f t="shared" si="415"/>
        <v>0</v>
      </c>
      <c r="Q512" s="92">
        <f t="shared" si="415"/>
        <v>0</v>
      </c>
      <c r="R512" s="92">
        <f t="shared" si="415"/>
        <v>4100</v>
      </c>
      <c r="S512" s="92">
        <f t="shared" si="415"/>
        <v>4300</v>
      </c>
      <c r="T512" s="92">
        <f t="shared" si="415"/>
        <v>4600</v>
      </c>
      <c r="U512" s="92">
        <f t="shared" si="415"/>
        <v>4800</v>
      </c>
      <c r="V512" s="92">
        <f t="shared" si="415"/>
        <v>6100</v>
      </c>
      <c r="W512" s="92">
        <f t="shared" si="415"/>
        <v>6500</v>
      </c>
      <c r="X512" s="92">
        <f t="shared" si="415"/>
        <v>1800</v>
      </c>
      <c r="Y512" s="92">
        <f t="shared" si="415"/>
        <v>700</v>
      </c>
      <c r="Z512" s="92">
        <f t="shared" si="415"/>
        <v>1000</v>
      </c>
      <c r="AA512" s="92">
        <f t="shared" si="415"/>
        <v>1400</v>
      </c>
      <c r="AB512" s="92">
        <f t="shared" si="415"/>
        <v>1800</v>
      </c>
      <c r="AC512" s="92">
        <f t="shared" si="415"/>
        <v>7100</v>
      </c>
      <c r="AD512" s="92">
        <f t="shared" si="415"/>
        <v>7600</v>
      </c>
      <c r="AE512" s="92">
        <f t="shared" si="415"/>
        <v>8100</v>
      </c>
      <c r="AF512" s="92">
        <f t="shared" si="415"/>
        <v>7000</v>
      </c>
      <c r="AG512" s="92">
        <f t="shared" si="415"/>
        <v>0</v>
      </c>
      <c r="AH512" s="92">
        <f t="shared" si="415"/>
        <v>0</v>
      </c>
      <c r="AI512" s="92">
        <f t="shared" si="415"/>
        <v>0</v>
      </c>
      <c r="AJ512" s="92">
        <f t="shared" si="415"/>
        <v>0</v>
      </c>
      <c r="AK512" s="92">
        <f t="shared" si="415"/>
        <v>0</v>
      </c>
      <c r="AL512" s="92">
        <f t="shared" si="415"/>
        <v>0</v>
      </c>
      <c r="AM512" s="92">
        <f t="shared" si="415"/>
        <v>0</v>
      </c>
      <c r="AN512" s="92">
        <f t="shared" si="415"/>
        <v>0</v>
      </c>
      <c r="AO512" s="92">
        <f t="shared" si="415"/>
        <v>0</v>
      </c>
      <c r="AP512" s="92">
        <f t="shared" si="415"/>
        <v>0</v>
      </c>
      <c r="AQ512" s="92">
        <f t="shared" si="415"/>
        <v>0</v>
      </c>
      <c r="AR512" s="92">
        <f t="shared" si="415"/>
        <v>0</v>
      </c>
      <c r="AS512" s="92">
        <f t="shared" si="415"/>
        <v>0</v>
      </c>
      <c r="AW512" s="191"/>
      <c r="AY512" s="31">
        <f>+Details!F512-Base!F512</f>
        <v>0</v>
      </c>
      <c r="AZ512" s="92">
        <f>+Details!G512-Base!G512</f>
        <v>0</v>
      </c>
      <c r="BA512" s="92">
        <f>+Details!H512-Base!H512</f>
        <v>0</v>
      </c>
      <c r="BB512" s="92">
        <f>+Details!I512-Base!I512</f>
        <v>0</v>
      </c>
      <c r="BC512" s="92">
        <f>+Details!J512-Base!J512</f>
        <v>0</v>
      </c>
      <c r="BD512" s="92">
        <f>+Details!K512-Base!K512</f>
        <v>0</v>
      </c>
      <c r="BE512" s="92">
        <f>+Details!L512-Base!L512</f>
        <v>0</v>
      </c>
      <c r="BF512" s="92">
        <f>+Details!M512-Base!M512</f>
        <v>0</v>
      </c>
      <c r="BG512" s="92">
        <f>+Details!N512-Base!N512</f>
        <v>0</v>
      </c>
      <c r="BH512" s="92">
        <f>+Details!O512-Base!O512</f>
        <v>0</v>
      </c>
      <c r="BI512" s="92">
        <f>+Details!P512-Base!P512</f>
        <v>0</v>
      </c>
      <c r="BJ512" s="92">
        <f>+Details!Q512-Base!Q512</f>
        <v>0</v>
      </c>
      <c r="BK512" s="92">
        <f>+Details!R512-Base!R512</f>
        <v>0</v>
      </c>
      <c r="BL512" s="92">
        <f>+Details!S512-Base!S512</f>
        <v>0</v>
      </c>
      <c r="BM512" s="92">
        <f>+Details!T512-Base!T512</f>
        <v>0</v>
      </c>
      <c r="BN512" s="92">
        <f>+Details!U512-Base!U512</f>
        <v>0</v>
      </c>
      <c r="BO512" s="92">
        <f>+Details!V512-Base!V512</f>
        <v>0</v>
      </c>
      <c r="BP512" s="92">
        <f>+Details!W512-Base!W512</f>
        <v>0</v>
      </c>
      <c r="BQ512" s="92">
        <f>+Details!X512-Base!X512</f>
        <v>0</v>
      </c>
      <c r="BR512" s="92">
        <f>+Details!Y512-Base!Y512</f>
        <v>0</v>
      </c>
      <c r="BS512" s="92">
        <f>+Details!Z512-Base!Z512</f>
        <v>0</v>
      </c>
      <c r="BT512" s="92">
        <f>+Details!AA512-Base!AA512</f>
        <v>0</v>
      </c>
      <c r="BU512" s="92">
        <f>+Details!AB512-Base!AB512</f>
        <v>0</v>
      </c>
      <c r="BV512" s="92">
        <f>+Details!AC512-Base!AC512</f>
        <v>0</v>
      </c>
      <c r="BW512" s="92">
        <f>+Details!AD512-Base!AD512</f>
        <v>0</v>
      </c>
      <c r="BX512" s="92">
        <f>+Details!AE512-Base!AE512</f>
        <v>0</v>
      </c>
      <c r="BY512" s="92">
        <f>+Details!AF512-Base!AF512</f>
        <v>0</v>
      </c>
      <c r="BZ512" s="92">
        <f>+Details!AG512-Base!AG512</f>
        <v>0</v>
      </c>
      <c r="CA512" s="92">
        <f>+Details!AH512-Base!AH512</f>
        <v>0</v>
      </c>
      <c r="CB512" s="92">
        <f>+Details!AI512-Base!AI512</f>
        <v>0</v>
      </c>
      <c r="CC512" s="92">
        <f>+Details!AJ512-Base!AJ512</f>
        <v>0</v>
      </c>
      <c r="CD512" s="92">
        <f>+Details!AK512-Base!AK512</f>
        <v>0</v>
      </c>
      <c r="CE512" s="92">
        <f>+Details!AL512-Base!AL512</f>
        <v>0</v>
      </c>
      <c r="CF512" s="92">
        <f>+Details!AM512-Base!AM512</f>
        <v>0</v>
      </c>
      <c r="CG512" s="92">
        <f>+Details!AN512-Base!AN512</f>
        <v>0</v>
      </c>
      <c r="CH512" s="92">
        <f>+Details!AO512-Base!AO512</f>
        <v>0</v>
      </c>
      <c r="CI512" s="92">
        <f>+Details!AP512-Base!AP512</f>
        <v>0</v>
      </c>
      <c r="CJ512" s="92">
        <f>+Details!AQ512-Base!AQ512</f>
        <v>0</v>
      </c>
      <c r="CK512" s="92">
        <f>+Details!AR512-Base!AR512</f>
        <v>0</v>
      </c>
      <c r="CL512" s="92">
        <f>+Details!AS512-Base!AS512</f>
        <v>0</v>
      </c>
    </row>
    <row r="513" spans="1:90" ht="15.6">
      <c r="B513" s="43" t="s">
        <v>1743</v>
      </c>
      <c r="C513" s="136"/>
      <c r="E513" s="1059">
        <f t="shared" si="404"/>
        <v>0</v>
      </c>
      <c r="F513" s="245" t="str">
        <f>IF(F512&lt;0,1,"")</f>
        <v/>
      </c>
      <c r="G513" s="245" t="str">
        <f t="shared" ref="G513:AS513" si="416">IF(G512&lt;0,1,"")</f>
        <v/>
      </c>
      <c r="H513" s="245" t="str">
        <f t="shared" si="416"/>
        <v/>
      </c>
      <c r="I513" s="245" t="str">
        <f t="shared" si="416"/>
        <v/>
      </c>
      <c r="J513" s="245" t="str">
        <f t="shared" si="416"/>
        <v/>
      </c>
      <c r="K513" s="245" t="str">
        <f t="shared" si="416"/>
        <v/>
      </c>
      <c r="L513" s="245" t="str">
        <f t="shared" si="416"/>
        <v/>
      </c>
      <c r="M513" s="245" t="str">
        <f t="shared" si="416"/>
        <v/>
      </c>
      <c r="N513" s="245" t="str">
        <f t="shared" si="416"/>
        <v/>
      </c>
      <c r="O513" s="245" t="str">
        <f t="shared" si="416"/>
        <v/>
      </c>
      <c r="P513" s="245" t="str">
        <f t="shared" si="416"/>
        <v/>
      </c>
      <c r="Q513" s="245" t="str">
        <f t="shared" si="416"/>
        <v/>
      </c>
      <c r="R513" s="245" t="str">
        <f t="shared" si="416"/>
        <v/>
      </c>
      <c r="S513" s="245" t="str">
        <f t="shared" si="416"/>
        <v/>
      </c>
      <c r="T513" s="245" t="str">
        <f t="shared" si="416"/>
        <v/>
      </c>
      <c r="U513" s="245" t="str">
        <f t="shared" si="416"/>
        <v/>
      </c>
      <c r="V513" s="245" t="str">
        <f t="shared" si="416"/>
        <v/>
      </c>
      <c r="W513" s="245" t="str">
        <f t="shared" si="416"/>
        <v/>
      </c>
      <c r="X513" s="245" t="str">
        <f t="shared" si="416"/>
        <v/>
      </c>
      <c r="Y513" s="245" t="str">
        <f t="shared" si="416"/>
        <v/>
      </c>
      <c r="Z513" s="245" t="str">
        <f t="shared" si="416"/>
        <v/>
      </c>
      <c r="AA513" s="245" t="str">
        <f t="shared" si="416"/>
        <v/>
      </c>
      <c r="AB513" s="245" t="str">
        <f t="shared" si="416"/>
        <v/>
      </c>
      <c r="AC513" s="245" t="str">
        <f t="shared" si="416"/>
        <v/>
      </c>
      <c r="AD513" s="245" t="str">
        <f t="shared" si="416"/>
        <v/>
      </c>
      <c r="AE513" s="245" t="str">
        <f t="shared" si="416"/>
        <v/>
      </c>
      <c r="AF513" s="245" t="str">
        <f t="shared" si="416"/>
        <v/>
      </c>
      <c r="AG513" s="245" t="str">
        <f t="shared" si="416"/>
        <v/>
      </c>
      <c r="AH513" s="245" t="str">
        <f t="shared" si="416"/>
        <v/>
      </c>
      <c r="AI513" s="245" t="str">
        <f t="shared" si="416"/>
        <v/>
      </c>
      <c r="AJ513" s="245" t="str">
        <f t="shared" si="416"/>
        <v/>
      </c>
      <c r="AK513" s="245" t="str">
        <f t="shared" si="416"/>
        <v/>
      </c>
      <c r="AL513" s="245" t="str">
        <f t="shared" si="416"/>
        <v/>
      </c>
      <c r="AM513" s="245" t="str">
        <f t="shared" si="416"/>
        <v/>
      </c>
      <c r="AN513" s="245" t="str">
        <f t="shared" si="416"/>
        <v/>
      </c>
      <c r="AO513" s="245" t="str">
        <f t="shared" si="416"/>
        <v/>
      </c>
      <c r="AP513" s="245" t="str">
        <f t="shared" si="416"/>
        <v/>
      </c>
      <c r="AQ513" s="245" t="str">
        <f t="shared" si="416"/>
        <v/>
      </c>
      <c r="AR513" s="245" t="str">
        <f t="shared" si="416"/>
        <v/>
      </c>
      <c r="AS513" s="245" t="str">
        <f t="shared" si="416"/>
        <v/>
      </c>
      <c r="AW513" s="191"/>
      <c r="AY513" s="31"/>
      <c r="AZ513" s="245"/>
      <c r="BA513" s="245"/>
      <c r="BB513" s="245"/>
      <c r="BC513" s="245"/>
      <c r="BD513" s="245"/>
      <c r="BE513" s="245"/>
      <c r="BF513" s="245"/>
      <c r="BG513" s="245"/>
      <c r="BH513" s="245"/>
      <c r="BI513" s="245"/>
      <c r="BJ513" s="245"/>
      <c r="BK513" s="245"/>
      <c r="BL513" s="245"/>
      <c r="BM513" s="245"/>
      <c r="BN513" s="245"/>
      <c r="BO513" s="245"/>
      <c r="BP513" s="245"/>
      <c r="BQ513" s="245"/>
      <c r="BR513" s="245"/>
      <c r="BS513" s="245"/>
      <c r="BT513" s="245"/>
      <c r="BU513" s="245"/>
      <c r="BV513" s="245"/>
      <c r="BW513" s="245"/>
      <c r="BX513" s="245"/>
      <c r="BY513" s="245"/>
      <c r="BZ513" s="245"/>
      <c r="CA513" s="245"/>
      <c r="CB513" s="245"/>
      <c r="CC513" s="245"/>
      <c r="CD513" s="245"/>
      <c r="CE513" s="245"/>
      <c r="CF513" s="245"/>
      <c r="CG513" s="245"/>
      <c r="CH513" s="245"/>
      <c r="CI513" s="245"/>
      <c r="CJ513" s="245"/>
      <c r="CK513" s="245"/>
      <c r="CL513" s="245"/>
    </row>
    <row r="514" spans="1:90">
      <c r="B514" s="43"/>
      <c r="C514" s="136"/>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2"/>
      <c r="AK514" s="92"/>
      <c r="AL514" s="92"/>
      <c r="AM514" s="92"/>
      <c r="AN514" s="92"/>
      <c r="AO514" s="92"/>
      <c r="AP514" s="92"/>
      <c r="AQ514" s="92"/>
      <c r="AR514" s="92"/>
      <c r="AS514" s="92"/>
      <c r="AZ514" s="92"/>
      <c r="BA514" s="92"/>
      <c r="BB514" s="92"/>
      <c r="BC514" s="92"/>
      <c r="BD514" s="92"/>
      <c r="BE514" s="92"/>
      <c r="BF514" s="92"/>
      <c r="BG514" s="92"/>
      <c r="BH514" s="92"/>
      <c r="BI514" s="92"/>
      <c r="BJ514" s="92"/>
      <c r="BK514" s="92"/>
      <c r="BL514" s="92"/>
      <c r="BM514" s="92"/>
      <c r="BN514" s="92"/>
      <c r="BO514" s="92"/>
      <c r="BP514" s="92"/>
      <c r="BQ514" s="92"/>
      <c r="BR514" s="92"/>
      <c r="BS514" s="92"/>
      <c r="BT514" s="92"/>
      <c r="BU514" s="92"/>
      <c r="BV514" s="92"/>
      <c r="BW514" s="92"/>
      <c r="BX514" s="92"/>
      <c r="BY514" s="92"/>
      <c r="BZ514" s="92"/>
      <c r="CA514" s="92"/>
      <c r="CB514" s="92"/>
      <c r="CC514" s="92"/>
      <c r="CD514" s="92"/>
      <c r="CE514" s="92"/>
      <c r="CF514" s="92"/>
      <c r="CG514" s="92"/>
      <c r="CH514" s="92"/>
      <c r="CI514" s="92"/>
      <c r="CJ514" s="92"/>
      <c r="CK514" s="92"/>
      <c r="CL514" s="92"/>
    </row>
    <row r="515" spans="1:90" ht="15.6">
      <c r="B515" s="861" t="s">
        <v>1402</v>
      </c>
      <c r="C515" s="136"/>
      <c r="E515" s="65">
        <f>SUM(F515:AS515)</f>
        <v>-76838</v>
      </c>
      <c r="F515" s="92">
        <f t="shared" ref="F515:AS515" si="417">+F94*F204</f>
        <v>0</v>
      </c>
      <c r="G515" s="92">
        <f t="shared" si="417"/>
        <v>0</v>
      </c>
      <c r="H515" s="92">
        <f t="shared" si="417"/>
        <v>0</v>
      </c>
      <c r="I515" s="92">
        <f t="shared" si="417"/>
        <v>0</v>
      </c>
      <c r="J515" s="92">
        <f t="shared" si="417"/>
        <v>0</v>
      </c>
      <c r="K515" s="92">
        <f t="shared" si="417"/>
        <v>0</v>
      </c>
      <c r="L515" s="92">
        <f t="shared" si="417"/>
        <v>0</v>
      </c>
      <c r="M515" s="92">
        <f t="shared" si="417"/>
        <v>0</v>
      </c>
      <c r="N515" s="92">
        <f t="shared" si="417"/>
        <v>0</v>
      </c>
      <c r="O515" s="92">
        <f t="shared" si="417"/>
        <v>-1740</v>
      </c>
      <c r="P515" s="92">
        <f t="shared" si="417"/>
        <v>-1800</v>
      </c>
      <c r="Q515" s="92">
        <f t="shared" si="417"/>
        <v>-1872</v>
      </c>
      <c r="R515" s="92">
        <f t="shared" si="417"/>
        <v>-1944</v>
      </c>
      <c r="S515" s="92">
        <f t="shared" si="417"/>
        <v>-2028</v>
      </c>
      <c r="T515" s="92">
        <f t="shared" si="417"/>
        <v>-2124</v>
      </c>
      <c r="U515" s="92">
        <f t="shared" si="417"/>
        <v>-2244</v>
      </c>
      <c r="V515" s="92">
        <f t="shared" si="417"/>
        <v>-2388</v>
      </c>
      <c r="W515" s="92">
        <f t="shared" si="417"/>
        <v>-2520</v>
      </c>
      <c r="X515" s="92">
        <f t="shared" si="417"/>
        <v>-2652</v>
      </c>
      <c r="Y515" s="92">
        <f t="shared" si="417"/>
        <v>-2772</v>
      </c>
      <c r="Z515" s="92">
        <f t="shared" si="417"/>
        <v>-2904</v>
      </c>
      <c r="AA515" s="92">
        <f t="shared" si="417"/>
        <v>-3036</v>
      </c>
      <c r="AB515" s="92">
        <f t="shared" si="417"/>
        <v>-3168</v>
      </c>
      <c r="AC515" s="92">
        <f t="shared" si="417"/>
        <v>-3276</v>
      </c>
      <c r="AD515" s="92">
        <f t="shared" si="417"/>
        <v>-6226</v>
      </c>
      <c r="AE515" s="92">
        <f t="shared" si="417"/>
        <v>-6446</v>
      </c>
      <c r="AF515" s="92">
        <f t="shared" si="417"/>
        <v>-6666</v>
      </c>
      <c r="AG515" s="92">
        <f t="shared" si="417"/>
        <v>-6864</v>
      </c>
      <c r="AH515" s="92">
        <f t="shared" si="417"/>
        <v>-7018</v>
      </c>
      <c r="AI515" s="92">
        <f t="shared" si="417"/>
        <v>-7150</v>
      </c>
      <c r="AJ515" s="92">
        <f t="shared" si="417"/>
        <v>0</v>
      </c>
      <c r="AK515" s="92">
        <f t="shared" si="417"/>
        <v>0</v>
      </c>
      <c r="AL515" s="92">
        <f t="shared" si="417"/>
        <v>0</v>
      </c>
      <c r="AM515" s="92">
        <f t="shared" si="417"/>
        <v>0</v>
      </c>
      <c r="AN515" s="92">
        <f t="shared" si="417"/>
        <v>0</v>
      </c>
      <c r="AO515" s="92">
        <f t="shared" si="417"/>
        <v>0</v>
      </c>
      <c r="AP515" s="92">
        <f t="shared" si="417"/>
        <v>0</v>
      </c>
      <c r="AQ515" s="92">
        <f t="shared" si="417"/>
        <v>0</v>
      </c>
      <c r="AR515" s="92">
        <f t="shared" si="417"/>
        <v>0</v>
      </c>
      <c r="AS515" s="92">
        <f t="shared" si="417"/>
        <v>0</v>
      </c>
      <c r="AW515" s="191"/>
      <c r="AY515" s="31">
        <f>+Details!F515-Base!F515</f>
        <v>0</v>
      </c>
      <c r="AZ515" s="92">
        <f>+Details!G515-Base!G515</f>
        <v>0</v>
      </c>
      <c r="BA515" s="92">
        <f>+Details!H515-Base!H515</f>
        <v>0</v>
      </c>
      <c r="BB515" s="92">
        <f>+Details!I515-Base!I515</f>
        <v>0</v>
      </c>
      <c r="BC515" s="92">
        <f>+Details!J515-Base!J515</f>
        <v>0</v>
      </c>
      <c r="BD515" s="92">
        <f>+Details!K515-Base!K515</f>
        <v>0</v>
      </c>
      <c r="BE515" s="92">
        <f>+Details!L515-Base!L515</f>
        <v>0</v>
      </c>
      <c r="BF515" s="92">
        <f>+Details!M515-Base!M515</f>
        <v>0</v>
      </c>
      <c r="BG515" s="92">
        <f>+Details!N515-Base!N515</f>
        <v>0</v>
      </c>
      <c r="BH515" s="92">
        <f>+Details!O515-Base!O515</f>
        <v>0</v>
      </c>
      <c r="BI515" s="92">
        <f>+Details!P515-Base!P515</f>
        <v>0</v>
      </c>
      <c r="BJ515" s="92">
        <f>+Details!Q515-Base!Q515</f>
        <v>0</v>
      </c>
      <c r="BK515" s="92">
        <f>+Details!R515-Base!R515</f>
        <v>0</v>
      </c>
      <c r="BL515" s="92">
        <f>+Details!S515-Base!S515</f>
        <v>0</v>
      </c>
      <c r="BM515" s="92">
        <f>+Details!T515-Base!T515</f>
        <v>0</v>
      </c>
      <c r="BN515" s="92">
        <f>+Details!U515-Base!U515</f>
        <v>0</v>
      </c>
      <c r="BO515" s="92">
        <f>+Details!V515-Base!V515</f>
        <v>0</v>
      </c>
      <c r="BP515" s="92">
        <f>+Details!W515-Base!W515</f>
        <v>0</v>
      </c>
      <c r="BQ515" s="92">
        <f>+Details!X515-Base!X515</f>
        <v>0</v>
      </c>
      <c r="BR515" s="92">
        <f>+Details!Y515-Base!Y515</f>
        <v>0</v>
      </c>
      <c r="BS515" s="92">
        <f>+Details!Z515-Base!Z515</f>
        <v>0</v>
      </c>
      <c r="BT515" s="92">
        <f>+Details!AA515-Base!AA515</f>
        <v>0</v>
      </c>
      <c r="BU515" s="92">
        <f>+Details!AB515-Base!AB515</f>
        <v>0</v>
      </c>
      <c r="BV515" s="92">
        <f>+Details!AC515-Base!AC515</f>
        <v>0</v>
      </c>
      <c r="BW515" s="92">
        <f>+Details!AD515-Base!AD515</f>
        <v>0</v>
      </c>
      <c r="BX515" s="92">
        <f>+Details!AE515-Base!AE515</f>
        <v>0</v>
      </c>
      <c r="BY515" s="92">
        <f>+Details!AF515-Base!AF515</f>
        <v>0</v>
      </c>
      <c r="BZ515" s="92">
        <f>+Details!AG515-Base!AG515</f>
        <v>0</v>
      </c>
      <c r="CA515" s="92">
        <f>+Details!AH515-Base!AH515</f>
        <v>0</v>
      </c>
      <c r="CB515" s="92">
        <f>+Details!AI515-Base!AI515</f>
        <v>0</v>
      </c>
      <c r="CC515" s="92">
        <f>+Details!AJ515-Base!AJ515</f>
        <v>0</v>
      </c>
      <c r="CD515" s="92">
        <f>+Details!AK515-Base!AK515</f>
        <v>0</v>
      </c>
      <c r="CE515" s="92">
        <f>+Details!AL515-Base!AL515</f>
        <v>0</v>
      </c>
      <c r="CF515" s="92">
        <f>+Details!AM515-Base!AM515</f>
        <v>0</v>
      </c>
      <c r="CG515" s="92">
        <f>+Details!AN515-Base!AN515</f>
        <v>0</v>
      </c>
      <c r="CH515" s="92">
        <f>+Details!AO515-Base!AO515</f>
        <v>0</v>
      </c>
      <c r="CI515" s="92">
        <f>+Details!AP515-Base!AP515</f>
        <v>0</v>
      </c>
      <c r="CJ515" s="92">
        <f>+Details!AQ515-Base!AQ515</f>
        <v>0</v>
      </c>
      <c r="CK515" s="92">
        <f>+Details!AR515-Base!AR515</f>
        <v>0</v>
      </c>
      <c r="CL515" s="92">
        <f>+Details!AS515-Base!AS515</f>
        <v>0</v>
      </c>
    </row>
    <row r="516" spans="1:90" ht="15.6">
      <c r="B516" s="861" t="s">
        <v>783</v>
      </c>
      <c r="C516" s="136"/>
      <c r="E516" s="65">
        <f>SUM(F516:AS516)</f>
        <v>-62447.060493968609</v>
      </c>
      <c r="F516" s="92">
        <f t="shared" ref="F516:AS516" si="418">+F94*F203</f>
        <v>0</v>
      </c>
      <c r="G516" s="92">
        <f t="shared" si="418"/>
        <v>0</v>
      </c>
      <c r="H516" s="92">
        <f t="shared" si="418"/>
        <v>0</v>
      </c>
      <c r="I516" s="92">
        <f t="shared" si="418"/>
        <v>0</v>
      </c>
      <c r="J516" s="92">
        <f t="shared" si="418"/>
        <v>0</v>
      </c>
      <c r="K516" s="92">
        <f t="shared" si="418"/>
        <v>0</v>
      </c>
      <c r="L516" s="92">
        <f t="shared" si="418"/>
        <v>0</v>
      </c>
      <c r="M516" s="92">
        <f t="shared" si="418"/>
        <v>0</v>
      </c>
      <c r="N516" s="92">
        <f t="shared" si="418"/>
        <v>0</v>
      </c>
      <c r="O516" s="92">
        <f t="shared" si="418"/>
        <v>-1569.5876288659795</v>
      </c>
      <c r="P516" s="92">
        <f t="shared" si="418"/>
        <v>-1608.4788029925187</v>
      </c>
      <c r="Q516" s="92">
        <f t="shared" si="418"/>
        <v>-1696.4539007092199</v>
      </c>
      <c r="R516" s="92">
        <f t="shared" si="418"/>
        <v>-1796.6165413533834</v>
      </c>
      <c r="S516" s="92">
        <f t="shared" si="418"/>
        <v>-1877.7777777777776</v>
      </c>
      <c r="T516" s="92">
        <f t="shared" si="418"/>
        <v>-1997.6941747572816</v>
      </c>
      <c r="U516" s="92">
        <f t="shared" si="418"/>
        <v>-2132.1129707112973</v>
      </c>
      <c r="V516" s="92">
        <f t="shared" si="418"/>
        <v>-2275.5605381165919</v>
      </c>
      <c r="W516" s="92">
        <f t="shared" si="418"/>
        <v>-2388.949079089924</v>
      </c>
      <c r="X516" s="92">
        <f t="shared" si="418"/>
        <v>-2501.4002333722287</v>
      </c>
      <c r="Y516" s="92">
        <f t="shared" si="418"/>
        <v>-2613.6</v>
      </c>
      <c r="Z516" s="92">
        <f t="shared" si="418"/>
        <v>-2748.1808158765161</v>
      </c>
      <c r="AA516" s="92">
        <f t="shared" si="418"/>
        <v>-2894.4915254237289</v>
      </c>
      <c r="AB516" s="92">
        <f t="shared" si="418"/>
        <v>-3001.8274111675128</v>
      </c>
      <c r="AC516" s="92">
        <f t="shared" si="418"/>
        <v>-3106.9029850746269</v>
      </c>
      <c r="AD516" s="92">
        <f t="shared" si="418"/>
        <v>-4429.117379435851</v>
      </c>
      <c r="AE516" s="92">
        <f t="shared" si="418"/>
        <v>-4612.7528583992962</v>
      </c>
      <c r="AF516" s="92">
        <f t="shared" si="418"/>
        <v>-4762.1761658031082</v>
      </c>
      <c r="AG516" s="92">
        <f t="shared" si="418"/>
        <v>-4751.559633027523</v>
      </c>
      <c r="AH516" s="92">
        <f t="shared" si="418"/>
        <v>-4802.4635036496347</v>
      </c>
      <c r="AI516" s="92">
        <f t="shared" si="418"/>
        <v>-4879.3565683646111</v>
      </c>
      <c r="AJ516" s="92">
        <f t="shared" si="418"/>
        <v>0</v>
      </c>
      <c r="AK516" s="92">
        <f t="shared" si="418"/>
        <v>0</v>
      </c>
      <c r="AL516" s="92">
        <f t="shared" si="418"/>
        <v>0</v>
      </c>
      <c r="AM516" s="92">
        <f t="shared" si="418"/>
        <v>0</v>
      </c>
      <c r="AN516" s="92">
        <f t="shared" si="418"/>
        <v>0</v>
      </c>
      <c r="AO516" s="92">
        <f t="shared" si="418"/>
        <v>0</v>
      </c>
      <c r="AP516" s="92">
        <f t="shared" si="418"/>
        <v>0</v>
      </c>
      <c r="AQ516" s="92">
        <f t="shared" si="418"/>
        <v>0</v>
      </c>
      <c r="AR516" s="92">
        <f t="shared" si="418"/>
        <v>0</v>
      </c>
      <c r="AS516" s="92">
        <f t="shared" si="418"/>
        <v>0</v>
      </c>
      <c r="AW516" s="191"/>
      <c r="AY516" s="31">
        <f>+Details!F516-Base!F516</f>
        <v>0</v>
      </c>
      <c r="AZ516" s="92">
        <f>+Details!G516-Base!G516</f>
        <v>0</v>
      </c>
      <c r="BA516" s="92">
        <f>+Details!H516-Base!H516</f>
        <v>0</v>
      </c>
      <c r="BB516" s="92">
        <f>+Details!I516-Base!I516</f>
        <v>0</v>
      </c>
      <c r="BC516" s="92">
        <f>+Details!J516-Base!J516</f>
        <v>0</v>
      </c>
      <c r="BD516" s="92">
        <f>+Details!K516-Base!K516</f>
        <v>0</v>
      </c>
      <c r="BE516" s="92">
        <f>+Details!L516-Base!L516</f>
        <v>0</v>
      </c>
      <c r="BF516" s="92">
        <f>+Details!M516-Base!M516</f>
        <v>0</v>
      </c>
      <c r="BG516" s="92">
        <f>+Details!N516-Base!N516</f>
        <v>0</v>
      </c>
      <c r="BH516" s="92">
        <f>+Details!O516-Base!O516</f>
        <v>0</v>
      </c>
      <c r="BI516" s="92">
        <f>+Details!P516-Base!P516</f>
        <v>0</v>
      </c>
      <c r="BJ516" s="92">
        <f>+Details!Q516-Base!Q516</f>
        <v>0</v>
      </c>
      <c r="BK516" s="92">
        <f>+Details!R516-Base!R516</f>
        <v>0</v>
      </c>
      <c r="BL516" s="92">
        <f>+Details!S516-Base!S516</f>
        <v>0</v>
      </c>
      <c r="BM516" s="92">
        <f>+Details!T516-Base!T516</f>
        <v>0</v>
      </c>
      <c r="BN516" s="92">
        <f>+Details!U516-Base!U516</f>
        <v>0</v>
      </c>
      <c r="BO516" s="92">
        <f>+Details!V516-Base!V516</f>
        <v>0</v>
      </c>
      <c r="BP516" s="92">
        <f>+Details!W516-Base!W516</f>
        <v>0</v>
      </c>
      <c r="BQ516" s="92">
        <f>+Details!X516-Base!X516</f>
        <v>0</v>
      </c>
      <c r="BR516" s="92">
        <f>+Details!Y516-Base!Y516</f>
        <v>0</v>
      </c>
      <c r="BS516" s="92">
        <f>+Details!Z516-Base!Z516</f>
        <v>0</v>
      </c>
      <c r="BT516" s="92">
        <f>+Details!AA516-Base!AA516</f>
        <v>0</v>
      </c>
      <c r="BU516" s="92">
        <f>+Details!AB516-Base!AB516</f>
        <v>0</v>
      </c>
      <c r="BV516" s="92">
        <f>+Details!AC516-Base!AC516</f>
        <v>0</v>
      </c>
      <c r="BW516" s="92">
        <f>+Details!AD516-Base!AD516</f>
        <v>0</v>
      </c>
      <c r="BX516" s="92">
        <f>+Details!AE516-Base!AE516</f>
        <v>0</v>
      </c>
      <c r="BY516" s="92">
        <f>+Details!AF516-Base!AF516</f>
        <v>0</v>
      </c>
      <c r="BZ516" s="92">
        <f>+Details!AG516-Base!AG516</f>
        <v>0</v>
      </c>
      <c r="CA516" s="92">
        <f>+Details!AH516-Base!AH516</f>
        <v>0</v>
      </c>
      <c r="CB516" s="92">
        <f>+Details!AI516-Base!AI516</f>
        <v>0</v>
      </c>
      <c r="CC516" s="92">
        <f>+Details!AJ516-Base!AJ516</f>
        <v>0</v>
      </c>
      <c r="CD516" s="92">
        <f>+Details!AK516-Base!AK516</f>
        <v>0</v>
      </c>
      <c r="CE516" s="92">
        <f>+Details!AL516-Base!AL516</f>
        <v>0</v>
      </c>
      <c r="CF516" s="92">
        <f>+Details!AM516-Base!AM516</f>
        <v>0</v>
      </c>
      <c r="CG516" s="92">
        <f>+Details!AN516-Base!AN516</f>
        <v>0</v>
      </c>
      <c r="CH516" s="92">
        <f>+Details!AO516-Base!AO516</f>
        <v>0</v>
      </c>
      <c r="CI516" s="92">
        <f>+Details!AP516-Base!AP516</f>
        <v>0</v>
      </c>
      <c r="CJ516" s="92">
        <f>+Details!AQ516-Base!AQ516</f>
        <v>0</v>
      </c>
      <c r="CK516" s="92">
        <f>+Details!AR516-Base!AR516</f>
        <v>0</v>
      </c>
      <c r="CL516" s="92">
        <f>+Details!AS516-Base!AS516</f>
        <v>0</v>
      </c>
    </row>
    <row r="517" spans="1:90" ht="15.6">
      <c r="B517" s="282"/>
      <c r="C517" s="282"/>
      <c r="D517" s="282"/>
      <c r="E517" s="21"/>
      <c r="F517" s="92"/>
    </row>
    <row r="518" spans="1:90">
      <c r="B518" s="137" t="s">
        <v>435</v>
      </c>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137"/>
      <c r="AS518" s="137"/>
      <c r="AT518" s="137"/>
      <c r="AU518" s="137"/>
      <c r="AV518" s="137"/>
      <c r="AW518" s="1737"/>
      <c r="AX518" s="137"/>
      <c r="AY518" s="69"/>
      <c r="AZ518" s="69"/>
      <c r="BA518" s="69"/>
      <c r="BB518" s="69"/>
      <c r="BC518" s="69"/>
      <c r="BD518" s="69"/>
      <c r="BE518" s="69"/>
      <c r="BF518" s="69"/>
      <c r="BG518" s="69"/>
      <c r="BH518" s="69"/>
      <c r="BI518" s="69"/>
      <c r="BJ518" s="69"/>
      <c r="BK518" s="69"/>
      <c r="BL518" s="69"/>
      <c r="BM518" s="69"/>
      <c r="BN518" s="69"/>
      <c r="BO518" s="69"/>
      <c r="BP518" s="69"/>
      <c r="BQ518" s="69"/>
      <c r="BR518" s="69"/>
      <c r="BS518" s="69"/>
      <c r="BT518" s="69"/>
      <c r="BU518" s="69"/>
      <c r="BV518" s="69"/>
      <c r="BW518" s="69"/>
      <c r="BX518" s="69"/>
      <c r="BY518" s="69"/>
      <c r="BZ518" s="69"/>
      <c r="CA518" s="69"/>
      <c r="CB518" s="69"/>
      <c r="CC518" s="69"/>
      <c r="CD518" s="69"/>
      <c r="CE518" s="69"/>
      <c r="CF518" s="69"/>
      <c r="CG518" s="69"/>
      <c r="CH518" s="69"/>
      <c r="CI518" s="69"/>
      <c r="CJ518" s="69"/>
      <c r="CK518" s="69"/>
      <c r="CL518" s="69"/>
    </row>
    <row r="519" spans="1:90">
      <c r="B519" s="43"/>
      <c r="C519" s="136"/>
      <c r="F519" s="92"/>
    </row>
    <row r="520" spans="1:90">
      <c r="B520" s="43"/>
      <c r="C520" s="136"/>
    </row>
    <row r="521" spans="1:90" ht="15.6">
      <c r="B521" s="99" t="s">
        <v>1465</v>
      </c>
    </row>
    <row r="522" spans="1:90" ht="15.6" hidden="1">
      <c r="A522" s="1427"/>
      <c r="D522" s="22" t="s">
        <v>876</v>
      </c>
    </row>
    <row r="523" spans="1:90" hidden="1">
      <c r="A523" s="1427"/>
      <c r="D523" s="126" t="s">
        <v>771</v>
      </c>
    </row>
    <row r="524" spans="1:90" hidden="1">
      <c r="A524" s="1427"/>
    </row>
    <row r="525" spans="1:90" ht="15.6" hidden="1">
      <c r="A525" s="1427"/>
      <c r="D525" s="123" t="s">
        <v>224</v>
      </c>
      <c r="F525" s="224"/>
    </row>
    <row r="526" spans="1:90" hidden="1">
      <c r="A526" s="1427"/>
      <c r="B526" s="88">
        <v>39</v>
      </c>
      <c r="C526" s="14">
        <v>142700</v>
      </c>
      <c r="D526" s="88" t="s">
        <v>776</v>
      </c>
    </row>
    <row r="527" spans="1:90" hidden="1">
      <c r="A527" s="1427"/>
      <c r="B527" s="88">
        <v>40</v>
      </c>
      <c r="C527" s="14">
        <v>217450</v>
      </c>
      <c r="D527" s="88" t="s">
        <v>1573</v>
      </c>
    </row>
    <row r="528" spans="1:90" hidden="1">
      <c r="A528" s="1427"/>
      <c r="B528" s="88">
        <v>41</v>
      </c>
      <c r="C528" s="60">
        <v>0.28000000000000003</v>
      </c>
      <c r="D528" s="88" t="s">
        <v>73</v>
      </c>
    </row>
    <row r="529" spans="1:4" ht="15.6" hidden="1">
      <c r="A529" s="1427"/>
      <c r="B529" s="88"/>
      <c r="D529" s="22" t="s">
        <v>1006</v>
      </c>
    </row>
    <row r="530" spans="1:4" hidden="1">
      <c r="A530" s="1427"/>
      <c r="B530" s="88">
        <v>74</v>
      </c>
      <c r="C530" s="16">
        <v>85650</v>
      </c>
      <c r="D530" s="88" t="s">
        <v>361</v>
      </c>
    </row>
    <row r="531" spans="1:4" hidden="1">
      <c r="A531" s="1427"/>
      <c r="B531" s="88">
        <v>75</v>
      </c>
      <c r="C531" s="16">
        <v>178650</v>
      </c>
      <c r="D531" s="88" t="s">
        <v>74</v>
      </c>
    </row>
    <row r="532" spans="1:4" ht="15.6" hidden="1">
      <c r="A532" s="1427"/>
      <c r="B532" s="88">
        <v>76</v>
      </c>
      <c r="C532" s="60">
        <v>0.28000000000000003</v>
      </c>
      <c r="D532" s="22" t="s">
        <v>223</v>
      </c>
    </row>
    <row r="533" spans="1:4" hidden="1">
      <c r="A533" s="1427"/>
      <c r="B533" s="88"/>
      <c r="D533" s="88" t="s">
        <v>361</v>
      </c>
    </row>
    <row r="534" spans="1:4" hidden="1">
      <c r="A534" s="1427"/>
      <c r="D534" t="s">
        <v>1540</v>
      </c>
    </row>
    <row r="535" spans="1:4" ht="15.6" hidden="1">
      <c r="A535" s="1427"/>
      <c r="D535" s="124" t="s">
        <v>510</v>
      </c>
    </row>
    <row r="536" spans="1:4" ht="15.6" hidden="1">
      <c r="A536" s="1427"/>
      <c r="D536" s="123" t="s">
        <v>224</v>
      </c>
    </row>
    <row r="537" spans="1:4" hidden="1">
      <c r="A537" s="1427"/>
      <c r="B537" s="88"/>
      <c r="D537" s="88" t="s">
        <v>1586</v>
      </c>
    </row>
    <row r="538" spans="1:4" hidden="1">
      <c r="A538" s="1427"/>
      <c r="D538" s="101" t="s">
        <v>488</v>
      </c>
    </row>
    <row r="539" spans="1:4" hidden="1">
      <c r="A539" s="1427"/>
      <c r="D539" t="s">
        <v>489</v>
      </c>
    </row>
    <row r="540" spans="1:4" ht="15.6" hidden="1">
      <c r="A540" s="1427"/>
      <c r="D540" s="22" t="s">
        <v>1006</v>
      </c>
    </row>
    <row r="541" spans="1:4" hidden="1">
      <c r="A541" s="1427"/>
      <c r="D541" s="101" t="s">
        <v>1250</v>
      </c>
    </row>
    <row r="542" spans="1:4" hidden="1">
      <c r="A542" s="1427"/>
      <c r="D542" t="s">
        <v>570</v>
      </c>
    </row>
    <row r="543" spans="1:4" ht="15.6" hidden="1">
      <c r="A543" s="1427"/>
      <c r="D543" s="22" t="s">
        <v>223</v>
      </c>
    </row>
    <row r="544" spans="1:4" hidden="1">
      <c r="A544" s="1427"/>
      <c r="D544" t="s">
        <v>172</v>
      </c>
    </row>
    <row r="545" spans="1:4" hidden="1">
      <c r="A545" s="1427"/>
      <c r="D545" t="s">
        <v>1658</v>
      </c>
    </row>
    <row r="546" spans="1:4" hidden="1">
      <c r="A546" s="1427"/>
    </row>
    <row r="547" spans="1:4" hidden="1">
      <c r="A547" s="1427"/>
      <c r="D547" s="125" t="s">
        <v>877</v>
      </c>
    </row>
    <row r="548" spans="1:4" ht="15.6" hidden="1">
      <c r="A548" s="1427"/>
      <c r="B548">
        <v>44</v>
      </c>
      <c r="C548" s="14">
        <v>217450</v>
      </c>
      <c r="D548" s="123" t="s">
        <v>224</v>
      </c>
    </row>
    <row r="549" spans="1:4" hidden="1">
      <c r="A549" s="1427"/>
      <c r="B549">
        <v>45</v>
      </c>
      <c r="C549" s="14">
        <v>388350</v>
      </c>
      <c r="D549" s="88" t="s">
        <v>776</v>
      </c>
    </row>
    <row r="550" spans="1:4" hidden="1">
      <c r="A550" s="1427"/>
      <c r="B550">
        <v>46</v>
      </c>
      <c r="C550" s="60">
        <v>0.33</v>
      </c>
      <c r="D550" s="88" t="s">
        <v>1585</v>
      </c>
    </row>
    <row r="551" spans="1:4" hidden="1">
      <c r="A551" s="1427"/>
      <c r="D551" s="88" t="s">
        <v>1407</v>
      </c>
    </row>
    <row r="552" spans="1:4" ht="15.6" hidden="1">
      <c r="A552" s="1427"/>
      <c r="B552">
        <v>79</v>
      </c>
      <c r="C552" s="14">
        <v>178650</v>
      </c>
      <c r="D552" s="22" t="s">
        <v>1006</v>
      </c>
    </row>
    <row r="553" spans="1:4" hidden="1">
      <c r="A553" s="1427"/>
      <c r="B553">
        <v>80</v>
      </c>
      <c r="C553" s="14">
        <v>388350</v>
      </c>
      <c r="D553" s="88" t="s">
        <v>437</v>
      </c>
    </row>
    <row r="554" spans="1:4" hidden="1">
      <c r="A554" s="1427"/>
      <c r="B554">
        <v>81</v>
      </c>
      <c r="C554" s="60">
        <v>0.33</v>
      </c>
      <c r="D554" s="88" t="s">
        <v>1004</v>
      </c>
    </row>
    <row r="555" spans="1:4" ht="15.6" hidden="1">
      <c r="A555" s="1427"/>
      <c r="D555" s="22" t="s">
        <v>223</v>
      </c>
    </row>
    <row r="556" spans="1:4" hidden="1">
      <c r="A556" s="1427"/>
      <c r="D556" s="88" t="s">
        <v>437</v>
      </c>
    </row>
    <row r="557" spans="1:4" hidden="1">
      <c r="A557" s="1427"/>
      <c r="D557" t="s">
        <v>1005</v>
      </c>
    </row>
    <row r="558" spans="1:4" hidden="1">
      <c r="A558" s="1427"/>
    </row>
    <row r="559" spans="1:4" hidden="1">
      <c r="A559" s="1427"/>
      <c r="D559" s="88" t="s">
        <v>1558</v>
      </c>
    </row>
    <row r="560" spans="1:4" hidden="1">
      <c r="A560" s="1427"/>
    </row>
    <row r="561" spans="1:5" hidden="1">
      <c r="A561" s="1427"/>
      <c r="D561" s="125" t="s">
        <v>1559</v>
      </c>
    </row>
    <row r="562" spans="1:5" hidden="1">
      <c r="A562" s="1427"/>
      <c r="B562">
        <v>49</v>
      </c>
      <c r="C562" s="14">
        <v>388350</v>
      </c>
      <c r="D562" s="88" t="s">
        <v>1560</v>
      </c>
    </row>
    <row r="563" spans="1:5" hidden="1">
      <c r="A563" s="1427"/>
      <c r="B563">
        <v>50</v>
      </c>
      <c r="C563" s="60">
        <v>0.35</v>
      </c>
      <c r="D563" t="s">
        <v>99</v>
      </c>
    </row>
    <row r="564" spans="1:5" hidden="1">
      <c r="A564" s="1427"/>
      <c r="D564" s="88" t="s">
        <v>809</v>
      </c>
    </row>
    <row r="565" spans="1:5" hidden="1">
      <c r="A565" s="1427"/>
      <c r="B565">
        <v>84</v>
      </c>
      <c r="C565" s="14">
        <v>388350</v>
      </c>
      <c r="D565" s="88" t="s">
        <v>1643</v>
      </c>
    </row>
    <row r="566" spans="1:5" hidden="1">
      <c r="A566" s="1427"/>
      <c r="B566">
        <v>85</v>
      </c>
      <c r="C566" s="60">
        <v>0.35</v>
      </c>
      <c r="D566" s="88" t="s">
        <v>339</v>
      </c>
    </row>
    <row r="567" spans="1:5" hidden="1">
      <c r="A567" s="1427"/>
      <c r="C567" s="14"/>
      <c r="D567" s="88" t="s">
        <v>338</v>
      </c>
    </row>
    <row r="568" spans="1:5" hidden="1">
      <c r="A568" s="1427"/>
      <c r="D568" s="88" t="s">
        <v>437</v>
      </c>
    </row>
    <row r="569" spans="1:5" hidden="1">
      <c r="A569" s="1427"/>
      <c r="D569" t="s">
        <v>1005</v>
      </c>
    </row>
    <row r="570" spans="1:5" hidden="1">
      <c r="A570" s="1427"/>
    </row>
    <row r="571" spans="1:5" hidden="1">
      <c r="A571" s="1427"/>
      <c r="D571" s="126" t="s">
        <v>974</v>
      </c>
    </row>
    <row r="572" spans="1:5">
      <c r="E572" s="31"/>
    </row>
    <row r="573" spans="1:5">
      <c r="E573" s="31"/>
    </row>
    <row r="574" spans="1:5"/>
    <row r="575" spans="1:5"/>
    <row r="576" spans="1:5" ht="15.6">
      <c r="B576" s="99"/>
    </row>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sheetData>
  <sheetProtection sheet="1" objects="1" scenarios="1" formatCells="0" formatColumns="0" formatRows="0"/>
  <phoneticPr fontId="13" type="noConversion"/>
  <pageMargins left="0.75" right="0.75" top="1" bottom="1" header="0.5" footer="0.5"/>
  <pageSetup scale="40" orientation="landscape" r:id="rId1"/>
  <headerFooter alignWithMargins="0"/>
  <ignoredErrors>
    <ignoredError sqref="G5:AS5 AU94 F235:AS235 E251 F223 E228 AT504:AU504 F504:AS504 F511:AS511 F309:AS309" formula="1"/>
  </ignoredError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20"/>
  </sheetPr>
  <dimension ref="A1:CG513"/>
  <sheetViews>
    <sheetView showGridLines="0" showRowColHeaders="0" zoomScale="75" zoomScaleNormal="75" workbookViewId="0">
      <pane xSplit="4" ySplit="1" topLeftCell="E2" activePane="bottomRight" state="frozen"/>
      <selection pane="topRight" activeCell="D1" sqref="D1"/>
      <selection pane="bottomLeft" activeCell="A2" sqref="A2"/>
      <selection pane="bottomRight"/>
    </sheetView>
  </sheetViews>
  <sheetFormatPr defaultColWidth="0" defaultRowHeight="15" zeroHeight="1"/>
  <cols>
    <col min="1" max="1" width="3.6328125" customWidth="1"/>
    <col min="2" max="2" width="34" customWidth="1"/>
    <col min="3" max="47" width="10.6328125" customWidth="1"/>
  </cols>
  <sheetData>
    <row r="1" spans="1:85" ht="18" customHeight="1" thickBot="1">
      <c r="A1" s="700"/>
      <c r="B1" s="713" t="s">
        <v>1757</v>
      </c>
      <c r="C1" s="704"/>
      <c r="D1" s="712" t="s">
        <v>1363</v>
      </c>
      <c r="F1" s="75">
        <f t="shared" ref="F1:AS1" si="0">+F93</f>
        <v>2019</v>
      </c>
      <c r="G1" s="51">
        <f t="shared" si="0"/>
        <v>2020</v>
      </c>
      <c r="H1" s="51">
        <f t="shared" si="0"/>
        <v>2021</v>
      </c>
      <c r="I1" s="51">
        <f t="shared" si="0"/>
        <v>2022</v>
      </c>
      <c r="J1" s="51">
        <f t="shared" si="0"/>
        <v>2023</v>
      </c>
      <c r="K1" s="51">
        <f t="shared" si="0"/>
        <v>2024</v>
      </c>
      <c r="L1" s="51">
        <f t="shared" si="0"/>
        <v>2025</v>
      </c>
      <c r="M1" s="51">
        <f t="shared" si="0"/>
        <v>2026</v>
      </c>
      <c r="N1" s="51">
        <f t="shared" si="0"/>
        <v>2027</v>
      </c>
      <c r="O1" s="51">
        <f t="shared" si="0"/>
        <v>2028</v>
      </c>
      <c r="P1" s="51">
        <f t="shared" si="0"/>
        <v>2029</v>
      </c>
      <c r="Q1" s="51">
        <f t="shared" si="0"/>
        <v>2030</v>
      </c>
      <c r="R1" s="51">
        <f t="shared" si="0"/>
        <v>2031</v>
      </c>
      <c r="S1" s="51">
        <f t="shared" si="0"/>
        <v>2032</v>
      </c>
      <c r="T1" s="51">
        <f t="shared" si="0"/>
        <v>2033</v>
      </c>
      <c r="U1" s="51">
        <f t="shared" si="0"/>
        <v>2034</v>
      </c>
      <c r="V1" s="51">
        <f t="shared" si="0"/>
        <v>2035</v>
      </c>
      <c r="W1" s="51">
        <f t="shared" si="0"/>
        <v>2036</v>
      </c>
      <c r="X1" s="51">
        <f t="shared" si="0"/>
        <v>2037</v>
      </c>
      <c r="Y1" s="51">
        <f t="shared" si="0"/>
        <v>2038</v>
      </c>
      <c r="Z1" s="51">
        <f t="shared" si="0"/>
        <v>2039</v>
      </c>
      <c r="AA1" s="51">
        <f t="shared" si="0"/>
        <v>2040</v>
      </c>
      <c r="AB1" s="51">
        <f t="shared" si="0"/>
        <v>2041</v>
      </c>
      <c r="AC1" s="51">
        <f t="shared" si="0"/>
        <v>2042</v>
      </c>
      <c r="AD1" s="51">
        <f t="shared" si="0"/>
        <v>2043</v>
      </c>
      <c r="AE1" s="51">
        <f t="shared" si="0"/>
        <v>2044</v>
      </c>
      <c r="AF1" s="51">
        <f t="shared" si="0"/>
        <v>2045</v>
      </c>
      <c r="AG1" s="51">
        <f t="shared" si="0"/>
        <v>2046</v>
      </c>
      <c r="AH1" s="51">
        <f t="shared" si="0"/>
        <v>2047</v>
      </c>
      <c r="AI1" s="51">
        <f t="shared" si="0"/>
        <v>2048</v>
      </c>
      <c r="AJ1" s="51">
        <f t="shared" si="0"/>
        <v>2049</v>
      </c>
      <c r="AK1" s="51">
        <f t="shared" si="0"/>
        <v>2050</v>
      </c>
      <c r="AL1" s="51">
        <f t="shared" si="0"/>
        <v>2051</v>
      </c>
      <c r="AM1" s="51">
        <f t="shared" si="0"/>
        <v>2052</v>
      </c>
      <c r="AN1" s="51">
        <f t="shared" si="0"/>
        <v>2053</v>
      </c>
      <c r="AO1" s="51">
        <f t="shared" si="0"/>
        <v>2054</v>
      </c>
      <c r="AP1" s="51">
        <f t="shared" si="0"/>
        <v>2055</v>
      </c>
      <c r="AQ1" s="51">
        <f t="shared" si="0"/>
        <v>2056</v>
      </c>
      <c r="AR1" s="51">
        <f t="shared" si="0"/>
        <v>2057</v>
      </c>
      <c r="AS1" s="51">
        <f t="shared" si="0"/>
        <v>2058</v>
      </c>
      <c r="AT1" s="75"/>
      <c r="AU1" s="539"/>
    </row>
    <row r="2" spans="1:85" ht="16.2" customHeight="1">
      <c r="A2" s="544"/>
      <c r="B2" s="544"/>
      <c r="C2" s="544"/>
      <c r="D2" s="693"/>
      <c r="E2" s="75"/>
      <c r="F2" s="75"/>
      <c r="G2" s="75"/>
      <c r="H2" s="75"/>
      <c r="I2" s="75"/>
      <c r="J2" s="75"/>
      <c r="K2" s="75"/>
      <c r="L2" s="75"/>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c r="AN2" s="75"/>
      <c r="AO2" s="75"/>
      <c r="AP2" s="75"/>
      <c r="AQ2" s="75"/>
      <c r="AR2" s="75"/>
      <c r="AS2" s="75"/>
      <c r="AT2" s="75"/>
      <c r="AU2" s="539"/>
    </row>
    <row r="3" spans="1:85" ht="16.95" customHeight="1">
      <c r="A3" s="1155" t="s">
        <v>948</v>
      </c>
      <c r="B3" s="661"/>
      <c r="C3" s="544"/>
      <c r="D3" s="693"/>
      <c r="E3" s="75"/>
      <c r="F3" s="75"/>
      <c r="G3" s="1172" t="s">
        <v>580</v>
      </c>
      <c r="I3" s="75"/>
      <c r="J3" s="75"/>
      <c r="K3" s="75"/>
      <c r="L3" s="75"/>
      <c r="M3" s="75"/>
      <c r="N3" s="75"/>
      <c r="O3" s="75"/>
      <c r="P3" s="75"/>
      <c r="Q3" s="75"/>
      <c r="R3" s="75"/>
      <c r="S3" s="75"/>
      <c r="T3" s="75"/>
      <c r="U3" s="75"/>
      <c r="V3" s="75"/>
      <c r="W3" s="75"/>
      <c r="X3" s="75"/>
      <c r="Y3" s="75"/>
      <c r="Z3" s="75"/>
      <c r="AA3" s="75"/>
      <c r="AB3" s="75"/>
      <c r="AC3" s="75"/>
      <c r="AD3" s="75"/>
      <c r="AE3" s="75"/>
      <c r="AF3" s="75"/>
      <c r="AG3" s="75"/>
      <c r="AH3" s="75"/>
      <c r="AI3" s="75"/>
      <c r="AJ3" s="75"/>
      <c r="AK3" s="75"/>
      <c r="AL3" s="75"/>
      <c r="AM3" s="75"/>
      <c r="AN3" s="75"/>
      <c r="AO3" s="75"/>
      <c r="AP3" s="75"/>
      <c r="AQ3" s="75"/>
      <c r="AR3" s="75"/>
      <c r="AS3" s="75"/>
      <c r="AT3" s="75"/>
      <c r="AU3" s="539"/>
    </row>
    <row r="4" spans="1:85" ht="16.2" customHeight="1">
      <c r="A4" s="544"/>
      <c r="B4" s="544"/>
      <c r="C4" s="544"/>
      <c r="D4" s="693"/>
      <c r="E4" s="75"/>
      <c r="F4" s="75"/>
      <c r="G4" s="75"/>
      <c r="H4" s="75"/>
      <c r="I4" s="75"/>
      <c r="J4" s="75"/>
      <c r="K4" s="75"/>
      <c r="L4" s="75"/>
      <c r="M4" s="75"/>
      <c r="N4" s="75"/>
      <c r="O4" s="75"/>
      <c r="P4" s="75"/>
      <c r="Q4" s="75"/>
      <c r="R4" s="75"/>
      <c r="S4" s="75"/>
      <c r="T4" s="75"/>
      <c r="U4" s="75"/>
      <c r="V4" s="75"/>
      <c r="W4" s="75"/>
      <c r="X4" s="75"/>
      <c r="Y4" s="75"/>
      <c r="Z4" s="75"/>
      <c r="AA4" s="75"/>
      <c r="AB4" s="75"/>
      <c r="AC4" s="75"/>
      <c r="AD4" s="75"/>
      <c r="AE4" s="75"/>
      <c r="AF4" s="75"/>
      <c r="AG4" s="75"/>
      <c r="AH4" s="75"/>
      <c r="AI4" s="75"/>
      <c r="AJ4" s="75"/>
      <c r="AK4" s="75"/>
      <c r="AL4" s="75"/>
      <c r="AM4" s="75"/>
      <c r="AN4" s="75"/>
      <c r="AO4" s="75"/>
      <c r="AP4" s="75"/>
      <c r="AQ4" s="75"/>
      <c r="AR4" s="75"/>
      <c r="AS4" s="75"/>
      <c r="AT4" s="75"/>
      <c r="AU4" s="539"/>
    </row>
    <row r="5" spans="1:85" ht="17.399999999999999">
      <c r="A5" s="544"/>
      <c r="B5" s="544"/>
      <c r="C5" s="544"/>
      <c r="D5" s="1"/>
      <c r="E5" s="75"/>
      <c r="F5" s="75"/>
      <c r="G5" s="75"/>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539"/>
    </row>
    <row r="6" spans="1:85" ht="18" customHeight="1">
      <c r="A6" s="1825" t="s">
        <v>2137</v>
      </c>
      <c r="B6" s="1825"/>
      <c r="C6" s="544"/>
      <c r="D6" s="1"/>
      <c r="E6" s="75"/>
      <c r="F6" s="75"/>
      <c r="G6" s="75"/>
      <c r="H6" s="75"/>
      <c r="I6" s="75"/>
      <c r="J6" s="75"/>
      <c r="K6" s="75"/>
      <c r="L6" s="75"/>
      <c r="M6" s="75"/>
      <c r="N6" s="75"/>
      <c r="O6" s="75"/>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539"/>
    </row>
    <row r="7" spans="1:85" ht="15.6">
      <c r="C7" s="100"/>
      <c r="D7" s="173" t="str">
        <f>IF(Tax_Rates_Alt="y","ALERT: Alternative tax rates activated",".")</f>
        <v>.</v>
      </c>
      <c r="G7" s="336"/>
      <c r="H7" s="336"/>
      <c r="I7" s="336"/>
      <c r="J7" s="336"/>
      <c r="K7" s="336"/>
      <c r="L7" s="336"/>
      <c r="M7" s="336"/>
      <c r="N7" s="336"/>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row>
    <row r="8" spans="1:85" s="3" customFormat="1" ht="17.399999999999999">
      <c r="C8" s="659" t="s">
        <v>2018</v>
      </c>
      <c r="D8" s="1386"/>
      <c r="G8" s="89"/>
      <c r="J8" s="89"/>
    </row>
    <row r="9" spans="1:85" s="3" customFormat="1" ht="15.6">
      <c r="B9" s="179" t="s">
        <v>2158</v>
      </c>
      <c r="C9" s="75">
        <f>+Tax_Yr_C-1</f>
        <v>2018</v>
      </c>
      <c r="D9" s="1655">
        <v>2019</v>
      </c>
    </row>
    <row r="10" spans="1:85" s="3" customFormat="1" ht="15.6">
      <c r="B10" s="66" t="s">
        <v>543</v>
      </c>
      <c r="C10" s="591">
        <f>IF(Esc_Fed_Ded="y",D10,0)</f>
        <v>2.1999999999999999E-2</v>
      </c>
      <c r="D10" s="466">
        <v>2.1999999999999999E-2</v>
      </c>
      <c r="F10" s="180" t="s">
        <v>542</v>
      </c>
      <c r="G10" s="632"/>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row>
    <row r="11" spans="1:85" s="3" customFormat="1" ht="15.6">
      <c r="B11" s="66" t="s">
        <v>857</v>
      </c>
      <c r="C11" s="1110">
        <f>+Q385</f>
        <v>1.9417475728155342E-2</v>
      </c>
      <c r="D11" s="464">
        <v>12200</v>
      </c>
      <c r="F11" s="190">
        <f>+D11</f>
        <v>12200</v>
      </c>
      <c r="G11" s="190">
        <f>ROUND(+F11*(1+'Tax Tables'!$C$10)/ED_Rounding,0)*ED_Rounding</f>
        <v>12450</v>
      </c>
      <c r="H11" s="190">
        <f>ROUND(+G11*(1+'Tax Tables'!$C$10)/ED_Rounding,0)*ED_Rounding</f>
        <v>12700</v>
      </c>
      <c r="I11" s="190">
        <f>ROUND(+H11*(1+'Tax Tables'!$C$10)/ED_Rounding,0)*ED_Rounding</f>
        <v>13000</v>
      </c>
      <c r="J11" s="190">
        <f>ROUND(+I11*(1+'Tax Tables'!$C$10)/ED_Rounding,0)*ED_Rounding</f>
        <v>13300</v>
      </c>
      <c r="K11" s="190">
        <f>ROUND(+J11*(1+'Tax Tables'!$C$10)/ED_Rounding,0)*ED_Rounding</f>
        <v>13600</v>
      </c>
      <c r="L11" s="190">
        <f>ROUND(+K11*(1+'Tax Tables'!$C$10)/ED_Rounding,0)*ED_Rounding</f>
        <v>13900</v>
      </c>
      <c r="M11" s="190">
        <f>ROUND(+L11*(1+'Tax Tables'!$C$10)/ED_Rounding,0)*ED_Rounding</f>
        <v>14200</v>
      </c>
      <c r="N11" s="190">
        <f>ROUND(+M11*(1+'Tax Tables'!$C$10)/ED_Rounding,0)*ED_Rounding</f>
        <v>14500</v>
      </c>
      <c r="O11" s="190">
        <f>ROUND(+N11*(1+'Tax Tables'!$C$10)/ED_Rounding,0)*ED_Rounding</f>
        <v>14800</v>
      </c>
      <c r="P11" s="190">
        <f>ROUND(+O11*(1+'Tax Tables'!$C$10)/ED_Rounding,0)*ED_Rounding</f>
        <v>15150</v>
      </c>
      <c r="Q11" s="190">
        <f>ROUND(+P11*(1+'Tax Tables'!$C$10)/ED_Rounding,0)*ED_Rounding</f>
        <v>15500</v>
      </c>
      <c r="R11" s="190">
        <f>ROUND(+Q11*(1+'Tax Tables'!$C$10)/ED_Rounding,0)*ED_Rounding</f>
        <v>15850</v>
      </c>
      <c r="S11" s="190">
        <f>ROUND(+R11*(1+'Tax Tables'!$C$10)/ED_Rounding,0)*ED_Rounding</f>
        <v>16200</v>
      </c>
      <c r="T11" s="190">
        <f>ROUND(+S11*(1+'Tax Tables'!$C$10)/ED_Rounding,0)*ED_Rounding</f>
        <v>16550</v>
      </c>
      <c r="U11" s="190">
        <f>ROUND(+T11*(1+'Tax Tables'!$C$10)/ED_Rounding,0)*ED_Rounding</f>
        <v>16900</v>
      </c>
      <c r="V11" s="190">
        <f>ROUND(+U11*(1+'Tax Tables'!$C$10)/ED_Rounding,0)*ED_Rounding</f>
        <v>17250</v>
      </c>
      <c r="W11" s="190">
        <f>ROUND(+V11*(1+'Tax Tables'!$C$10)/ED_Rounding,0)*ED_Rounding</f>
        <v>17650</v>
      </c>
      <c r="X11" s="190">
        <f>ROUND(+W11*(1+'Tax Tables'!$C$10)/ED_Rounding,0)*ED_Rounding</f>
        <v>18050</v>
      </c>
      <c r="Y11" s="190">
        <f>ROUND(+X11*(1+'Tax Tables'!$C$10)/ED_Rounding,0)*ED_Rounding</f>
        <v>18450</v>
      </c>
      <c r="Z11" s="190">
        <f>ROUND(+Y11*(1+'Tax Tables'!$C$10)/ED_Rounding,0)*ED_Rounding</f>
        <v>18850</v>
      </c>
      <c r="AA11" s="190">
        <f>ROUND(+Z11*(1+'Tax Tables'!$C$10)/ED_Rounding,0)*ED_Rounding</f>
        <v>19250</v>
      </c>
      <c r="AB11" s="190">
        <f>ROUND(+AA11*(1+'Tax Tables'!$C$10)/ED_Rounding,0)*ED_Rounding</f>
        <v>19650</v>
      </c>
      <c r="AC11" s="190">
        <f>ROUND(+AB11*(1+'Tax Tables'!$C$10)/ED_Rounding,0)*ED_Rounding</f>
        <v>20100</v>
      </c>
      <c r="AD11" s="190">
        <f>ROUND(+AC11*(1+'Tax Tables'!$C$10)/ED_Rounding,0)*ED_Rounding</f>
        <v>20550</v>
      </c>
      <c r="AE11" s="190">
        <f>ROUND(+AD11*(1+'Tax Tables'!$C$10)/ED_Rounding,0)*ED_Rounding</f>
        <v>21000</v>
      </c>
      <c r="AF11" s="190">
        <f>ROUND(+AE11*(1+'Tax Tables'!$C$10)/ED_Rounding,0)*ED_Rounding</f>
        <v>21450</v>
      </c>
      <c r="AG11" s="190">
        <f>ROUND(+AF11*(1+'Tax Tables'!$C$10)/ED_Rounding,0)*ED_Rounding</f>
        <v>21900</v>
      </c>
      <c r="AH11" s="190">
        <f>ROUND(+AG11*(1+'Tax Tables'!$C$10)/ED_Rounding,0)*ED_Rounding</f>
        <v>22400</v>
      </c>
      <c r="AI11" s="190">
        <f>ROUND(+AH11*(1+'Tax Tables'!$C$10)/ED_Rounding,0)*ED_Rounding</f>
        <v>22900</v>
      </c>
      <c r="AJ11" s="190">
        <f>ROUND(+AI11*(1+'Tax Tables'!$C$10)/ED_Rounding,0)*ED_Rounding</f>
        <v>23400</v>
      </c>
      <c r="AK11" s="190">
        <f>ROUND(+AJ11*(1+'Tax Tables'!$C$10)/ED_Rounding,0)*ED_Rounding</f>
        <v>23900</v>
      </c>
      <c r="AL11" s="190">
        <f>ROUND(+AK11*(1+'Tax Tables'!$C$10)/ED_Rounding,0)*ED_Rounding</f>
        <v>24450</v>
      </c>
      <c r="AM11" s="190">
        <f>ROUND(+AL11*(1+'Tax Tables'!$C$10)/ED_Rounding,0)*ED_Rounding</f>
        <v>25000</v>
      </c>
      <c r="AN11" s="190">
        <f>ROUND(+AM11*(1+'Tax Tables'!$C$10)/ED_Rounding,0)*ED_Rounding</f>
        <v>25550</v>
      </c>
      <c r="AO11" s="190">
        <f>ROUND(+AN11*(1+'Tax Tables'!$C$10)/ED_Rounding,0)*ED_Rounding</f>
        <v>26100</v>
      </c>
      <c r="AP11" s="190">
        <f>ROUND(+AO11*(1+'Tax Tables'!$C$10)/ED_Rounding,0)*ED_Rounding</f>
        <v>26650</v>
      </c>
      <c r="AQ11" s="190">
        <f>ROUND(+AP11*(1+'Tax Tables'!$C$10)/ED_Rounding,0)*ED_Rounding</f>
        <v>27250</v>
      </c>
      <c r="AR11" s="190">
        <f>ROUND(+AQ11*(1+'Tax Tables'!$C$10)/ED_Rounding,0)*ED_Rounding</f>
        <v>27850</v>
      </c>
      <c r="AS11" s="190">
        <f>ROUND(+AR11*(1+'Tax Tables'!$C$10)/ED_Rounding,0)*ED_Rounding</f>
        <v>28450</v>
      </c>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row>
    <row r="12" spans="1:85" s="3" customFormat="1" ht="15.6">
      <c r="B12" s="112" t="s">
        <v>1764</v>
      </c>
      <c r="C12" s="1123"/>
      <c r="D12" s="464">
        <v>1300</v>
      </c>
      <c r="F12" s="190">
        <f>+D12</f>
        <v>1300</v>
      </c>
      <c r="G12" s="190">
        <f>ROUND(+F12*(1+'Tax Tables'!$C$10)/ED_Rounding,0)*ED_Rounding</f>
        <v>1350</v>
      </c>
      <c r="H12" s="190">
        <f>ROUND(+G12*(1+'Tax Tables'!$C$10)/ED_Rounding,0)*ED_Rounding</f>
        <v>1400</v>
      </c>
      <c r="I12" s="190">
        <f>ROUND(+H12*(1+'Tax Tables'!$C$10)/ED_Rounding,0)*ED_Rounding</f>
        <v>1450</v>
      </c>
      <c r="J12" s="190">
        <f>ROUND(+I12*(1+'Tax Tables'!$C$10)/ED_Rounding,0)*ED_Rounding</f>
        <v>1500</v>
      </c>
      <c r="K12" s="190">
        <f>ROUND(+J12*(1+'Tax Tables'!$C$10)/ED_Rounding,0)*ED_Rounding</f>
        <v>1550</v>
      </c>
      <c r="L12" s="190">
        <f>ROUND(+K12*(1+'Tax Tables'!$C$10)/ED_Rounding,0)*ED_Rounding</f>
        <v>1600</v>
      </c>
      <c r="M12" s="190">
        <f>ROUND(+L12*(1+'Tax Tables'!$C$10)/ED_Rounding,0)*ED_Rounding</f>
        <v>1650</v>
      </c>
      <c r="N12" s="190">
        <f>ROUND(+M12*(1+'Tax Tables'!$C$10)/ED_Rounding,0)*ED_Rounding</f>
        <v>1700</v>
      </c>
      <c r="O12" s="190">
        <f>ROUND(+N12*(1+'Tax Tables'!$C$10)/ED_Rounding,0)*ED_Rounding</f>
        <v>1750</v>
      </c>
      <c r="P12" s="190">
        <f>ROUND(+O12*(1+'Tax Tables'!$C$10)/ED_Rounding,0)*ED_Rounding</f>
        <v>1800</v>
      </c>
      <c r="Q12" s="190">
        <f>ROUND(+P12*(1+'Tax Tables'!$C$10)/ED_Rounding,0)*ED_Rounding</f>
        <v>1850</v>
      </c>
      <c r="R12" s="190">
        <f>ROUND(+Q12*(1+'Tax Tables'!$C$10)/ED_Rounding,0)*ED_Rounding</f>
        <v>1900</v>
      </c>
      <c r="S12" s="190">
        <f>ROUND(+R12*(1+'Tax Tables'!$C$10)/ED_Rounding,0)*ED_Rounding</f>
        <v>1950</v>
      </c>
      <c r="T12" s="190">
        <f>ROUND(+S12*(1+'Tax Tables'!$C$10)/ED_Rounding,0)*ED_Rounding</f>
        <v>2000</v>
      </c>
      <c r="U12" s="190">
        <f>ROUND(+T12*(1+'Tax Tables'!$C$10)/ED_Rounding,0)*ED_Rounding</f>
        <v>2050</v>
      </c>
      <c r="V12" s="190">
        <f>ROUND(+U12*(1+'Tax Tables'!$C$10)/ED_Rounding,0)*ED_Rounding</f>
        <v>2100</v>
      </c>
      <c r="W12" s="190">
        <f>ROUND(+V12*(1+'Tax Tables'!$C$10)/ED_Rounding,0)*ED_Rounding</f>
        <v>2150</v>
      </c>
      <c r="X12" s="190">
        <f>ROUND(+W12*(1+'Tax Tables'!$C$10)/ED_Rounding,0)*ED_Rounding</f>
        <v>2200</v>
      </c>
      <c r="Y12" s="190">
        <f>ROUND(+X12*(1+'Tax Tables'!$C$10)/ED_Rounding,0)*ED_Rounding</f>
        <v>2250</v>
      </c>
      <c r="Z12" s="190">
        <f>ROUND(+Y12*(1+'Tax Tables'!$C$10)/ED_Rounding,0)*ED_Rounding</f>
        <v>2300</v>
      </c>
      <c r="AA12" s="190">
        <f>ROUND(+Z12*(1+'Tax Tables'!$C$10)/ED_Rounding,0)*ED_Rounding</f>
        <v>2350</v>
      </c>
      <c r="AB12" s="190">
        <f>ROUND(+AA12*(1+'Tax Tables'!$C$10)/ED_Rounding,0)*ED_Rounding</f>
        <v>2400</v>
      </c>
      <c r="AC12" s="190">
        <f>ROUND(+AB12*(1+'Tax Tables'!$C$10)/ED_Rounding,0)*ED_Rounding</f>
        <v>2450</v>
      </c>
      <c r="AD12" s="190">
        <f>ROUND(+AC12*(1+'Tax Tables'!$C$10)/ED_Rounding,0)*ED_Rounding</f>
        <v>2500</v>
      </c>
      <c r="AE12" s="190">
        <f>ROUND(+AD12*(1+'Tax Tables'!$C$10)/ED_Rounding,0)*ED_Rounding</f>
        <v>2550</v>
      </c>
      <c r="AF12" s="190">
        <f>ROUND(+AE12*(1+'Tax Tables'!$C$10)/ED_Rounding,0)*ED_Rounding</f>
        <v>2600</v>
      </c>
      <c r="AG12" s="190">
        <f>ROUND(+AF12*(1+'Tax Tables'!$C$10)/ED_Rounding,0)*ED_Rounding</f>
        <v>2650</v>
      </c>
      <c r="AH12" s="190">
        <f>ROUND(+AG12*(1+'Tax Tables'!$C$10)/ED_Rounding,0)*ED_Rounding</f>
        <v>2700</v>
      </c>
      <c r="AI12" s="190">
        <f>ROUND(+AH12*(1+'Tax Tables'!$C$10)/ED_Rounding,0)*ED_Rounding</f>
        <v>2750</v>
      </c>
      <c r="AJ12" s="190">
        <f>ROUND(+AI12*(1+'Tax Tables'!$C$10)/ED_Rounding,0)*ED_Rounding</f>
        <v>2800</v>
      </c>
      <c r="AK12" s="190">
        <f>ROUND(+AJ12*(1+'Tax Tables'!$C$10)/ED_Rounding,0)*ED_Rounding</f>
        <v>2850</v>
      </c>
      <c r="AL12" s="190">
        <f>ROUND(+AK12*(1+'Tax Tables'!$C$10)/ED_Rounding,0)*ED_Rounding</f>
        <v>2900</v>
      </c>
      <c r="AM12" s="190">
        <f>ROUND(+AL12*(1+'Tax Tables'!$C$10)/ED_Rounding,0)*ED_Rounding</f>
        <v>2950</v>
      </c>
      <c r="AN12" s="190">
        <f>ROUND(+AM12*(1+'Tax Tables'!$C$10)/ED_Rounding,0)*ED_Rounding</f>
        <v>3000</v>
      </c>
      <c r="AO12" s="190">
        <f>ROUND(+AN12*(1+'Tax Tables'!$C$10)/ED_Rounding,0)*ED_Rounding</f>
        <v>3050</v>
      </c>
      <c r="AP12" s="190">
        <f>ROUND(+AO12*(1+'Tax Tables'!$C$10)/ED_Rounding,0)*ED_Rounding</f>
        <v>3100</v>
      </c>
      <c r="AQ12" s="190">
        <f>ROUND(+AP12*(1+'Tax Tables'!$C$10)/ED_Rounding,0)*ED_Rounding</f>
        <v>3150</v>
      </c>
      <c r="AR12" s="190">
        <f>ROUND(+AQ12*(1+'Tax Tables'!$C$10)/ED_Rounding,0)*ED_Rounding</f>
        <v>3200</v>
      </c>
      <c r="AS12" s="190">
        <f>ROUND(+AR12*(1+'Tax Tables'!$C$10)/ED_Rounding,0)*ED_Rounding</f>
        <v>3250</v>
      </c>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row>
    <row r="13" spans="1:85" s="3" customFormat="1" ht="15.6">
      <c r="B13" s="112" t="s">
        <v>1765</v>
      </c>
      <c r="C13" s="1123"/>
      <c r="D13" s="464">
        <v>1650</v>
      </c>
      <c r="F13" s="190">
        <f>+D13</f>
        <v>1650</v>
      </c>
      <c r="G13" s="190">
        <f>ROUND(+F13*(1+'Tax Tables'!$C$10)/ED_Rounding,0)*ED_Rounding</f>
        <v>1700</v>
      </c>
      <c r="H13" s="190">
        <f>ROUND(+G13*(1+'Tax Tables'!$C$10)/ED_Rounding,0)*ED_Rounding</f>
        <v>1750</v>
      </c>
      <c r="I13" s="190">
        <f>ROUND(+H13*(1+'Tax Tables'!$C$10)/ED_Rounding,0)*ED_Rounding</f>
        <v>1800</v>
      </c>
      <c r="J13" s="190">
        <f>ROUND(+I13*(1+'Tax Tables'!$C$10)/ED_Rounding,0)*ED_Rounding</f>
        <v>1850</v>
      </c>
      <c r="K13" s="190">
        <f>ROUND(+J13*(1+'Tax Tables'!$C$10)/ED_Rounding,0)*ED_Rounding</f>
        <v>1900</v>
      </c>
      <c r="L13" s="190">
        <f>ROUND(+K13*(1+'Tax Tables'!$C$10)/ED_Rounding,0)*ED_Rounding</f>
        <v>1950</v>
      </c>
      <c r="M13" s="190">
        <f>ROUND(+L13*(1+'Tax Tables'!$C$10)/ED_Rounding,0)*ED_Rounding</f>
        <v>2000</v>
      </c>
      <c r="N13" s="190">
        <f>ROUND(+M13*(1+'Tax Tables'!$C$10)/ED_Rounding,0)*ED_Rounding</f>
        <v>2050</v>
      </c>
      <c r="O13" s="190">
        <f>ROUND(+N13*(1+'Tax Tables'!$C$10)/ED_Rounding,0)*ED_Rounding</f>
        <v>2100</v>
      </c>
      <c r="P13" s="190">
        <f>ROUND(+O13*(1+'Tax Tables'!$C$10)/ED_Rounding,0)*ED_Rounding</f>
        <v>2150</v>
      </c>
      <c r="Q13" s="190">
        <f>ROUND(+P13*(1+'Tax Tables'!$C$10)/ED_Rounding,0)*ED_Rounding</f>
        <v>2200</v>
      </c>
      <c r="R13" s="190">
        <f>ROUND(+Q13*(1+'Tax Tables'!$C$10)/ED_Rounding,0)*ED_Rounding</f>
        <v>2250</v>
      </c>
      <c r="S13" s="190">
        <f>ROUND(+R13*(1+'Tax Tables'!$C$10)/ED_Rounding,0)*ED_Rounding</f>
        <v>2300</v>
      </c>
      <c r="T13" s="190">
        <f>ROUND(+S13*(1+'Tax Tables'!$C$10)/ED_Rounding,0)*ED_Rounding</f>
        <v>2350</v>
      </c>
      <c r="U13" s="190">
        <f>ROUND(+T13*(1+'Tax Tables'!$C$10)/ED_Rounding,0)*ED_Rounding</f>
        <v>2400</v>
      </c>
      <c r="V13" s="190">
        <f>ROUND(+U13*(1+'Tax Tables'!$C$10)/ED_Rounding,0)*ED_Rounding</f>
        <v>2450</v>
      </c>
      <c r="W13" s="190">
        <f>ROUND(+V13*(1+'Tax Tables'!$C$10)/ED_Rounding,0)*ED_Rounding</f>
        <v>2500</v>
      </c>
      <c r="X13" s="190">
        <f>ROUND(+W13*(1+'Tax Tables'!$C$10)/ED_Rounding,0)*ED_Rounding</f>
        <v>2550</v>
      </c>
      <c r="Y13" s="190">
        <f>ROUND(+X13*(1+'Tax Tables'!$C$10)/ED_Rounding,0)*ED_Rounding</f>
        <v>2600</v>
      </c>
      <c r="Z13" s="190">
        <f>ROUND(+Y13*(1+'Tax Tables'!$C$10)/ED_Rounding,0)*ED_Rounding</f>
        <v>2650</v>
      </c>
      <c r="AA13" s="190">
        <f>ROUND(+Z13*(1+'Tax Tables'!$C$10)/ED_Rounding,0)*ED_Rounding</f>
        <v>2700</v>
      </c>
      <c r="AB13" s="190">
        <f>ROUND(+AA13*(1+'Tax Tables'!$C$10)/ED_Rounding,0)*ED_Rounding</f>
        <v>2750</v>
      </c>
      <c r="AC13" s="190">
        <f>ROUND(+AB13*(1+'Tax Tables'!$C$10)/ED_Rounding,0)*ED_Rounding</f>
        <v>2800</v>
      </c>
      <c r="AD13" s="190">
        <f>ROUND(+AC13*(1+'Tax Tables'!$C$10)/ED_Rounding,0)*ED_Rounding</f>
        <v>2850</v>
      </c>
      <c r="AE13" s="190">
        <f>ROUND(+AD13*(1+'Tax Tables'!$C$10)/ED_Rounding,0)*ED_Rounding</f>
        <v>2900</v>
      </c>
      <c r="AF13" s="190">
        <f>ROUND(+AE13*(1+'Tax Tables'!$C$10)/ED_Rounding,0)*ED_Rounding</f>
        <v>2950</v>
      </c>
      <c r="AG13" s="190">
        <f>ROUND(+AF13*(1+'Tax Tables'!$C$10)/ED_Rounding,0)*ED_Rounding</f>
        <v>3000</v>
      </c>
      <c r="AH13" s="190">
        <f>ROUND(+AG13*(1+'Tax Tables'!$C$10)/ED_Rounding,0)*ED_Rounding</f>
        <v>3050</v>
      </c>
      <c r="AI13" s="190">
        <f>ROUND(+AH13*(1+'Tax Tables'!$C$10)/ED_Rounding,0)*ED_Rounding</f>
        <v>3100</v>
      </c>
      <c r="AJ13" s="190">
        <f>ROUND(+AI13*(1+'Tax Tables'!$C$10)/ED_Rounding,0)*ED_Rounding</f>
        <v>3150</v>
      </c>
      <c r="AK13" s="190">
        <f>ROUND(+AJ13*(1+'Tax Tables'!$C$10)/ED_Rounding,0)*ED_Rounding</f>
        <v>3200</v>
      </c>
      <c r="AL13" s="190">
        <f>ROUND(+AK13*(1+'Tax Tables'!$C$10)/ED_Rounding,0)*ED_Rounding</f>
        <v>3250</v>
      </c>
      <c r="AM13" s="190">
        <f>ROUND(+AL13*(1+'Tax Tables'!$C$10)/ED_Rounding,0)*ED_Rounding</f>
        <v>3300</v>
      </c>
      <c r="AN13" s="190">
        <f>ROUND(+AM13*(1+'Tax Tables'!$C$10)/ED_Rounding,0)*ED_Rounding</f>
        <v>3350</v>
      </c>
      <c r="AO13" s="190">
        <f>ROUND(+AN13*(1+'Tax Tables'!$C$10)/ED_Rounding,0)*ED_Rounding</f>
        <v>3400</v>
      </c>
      <c r="AP13" s="190">
        <f>ROUND(+AO13*(1+'Tax Tables'!$C$10)/ED_Rounding,0)*ED_Rounding</f>
        <v>3450</v>
      </c>
      <c r="AQ13" s="190">
        <f>ROUND(+AP13*(1+'Tax Tables'!$C$10)/ED_Rounding,0)*ED_Rounding</f>
        <v>3550</v>
      </c>
      <c r="AR13" s="190">
        <f>ROUND(+AQ13*(1+'Tax Tables'!$C$10)/ED_Rounding,0)*ED_Rounding</f>
        <v>3650</v>
      </c>
      <c r="AS13" s="190">
        <f>ROUND(+AR13*(1+'Tax Tables'!$C$10)/ED_Rounding,0)*ED_Rounding</f>
        <v>3750</v>
      </c>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row>
    <row r="14" spans="1:85" s="3" customFormat="1" ht="15.6">
      <c r="A14" s="1383" t="s">
        <v>1762</v>
      </c>
      <c r="B14" s="1384" t="s">
        <v>545</v>
      </c>
      <c r="C14" s="1110">
        <f>+O385</f>
        <v>2.185792349726776E-2</v>
      </c>
      <c r="D14" s="464">
        <v>0</v>
      </c>
      <c r="F14" s="190">
        <f>+D14</f>
        <v>0</v>
      </c>
      <c r="G14" s="190">
        <f>ROUND(+F14*(1+'Tax Tables'!$C$10)/ED_Rounding,0)*ED_Rounding</f>
        <v>0</v>
      </c>
      <c r="H14" s="190">
        <f>ROUND(+G14*(1+'Tax Tables'!$C$10)/ED_Rounding,0)*ED_Rounding</f>
        <v>0</v>
      </c>
      <c r="I14" s="190">
        <f>ROUND(+H14*(1+'Tax Tables'!$C$10)/ED_Rounding,0)*ED_Rounding</f>
        <v>0</v>
      </c>
      <c r="J14" s="190">
        <f>ROUND(+I14*(1+'Tax Tables'!$C$10)/ED_Rounding,0)*ED_Rounding</f>
        <v>0</v>
      </c>
      <c r="K14" s="190">
        <f>ROUND(+J14*(1+'Tax Tables'!$C$10)/ED_Rounding,0)*ED_Rounding</f>
        <v>0</v>
      </c>
      <c r="L14" s="190">
        <f>ROUND(+K14*(1+'Tax Tables'!$C$10)/ED_Rounding,0)*ED_Rounding</f>
        <v>0</v>
      </c>
      <c r="M14" s="190">
        <f>ROUND(+L14*(1+'Tax Tables'!$C$10)/ED_Rounding,0)*ED_Rounding</f>
        <v>0</v>
      </c>
      <c r="N14" s="190">
        <f>ROUND(+M14*(1+'Tax Tables'!$C$10)/ED_Rounding,0)*ED_Rounding</f>
        <v>0</v>
      </c>
      <c r="O14" s="190">
        <f>ROUND(+N14*(1+'Tax Tables'!$C$10)/ED_Rounding,0)*ED_Rounding</f>
        <v>0</v>
      </c>
      <c r="P14" s="190">
        <f>ROUND(+O14*(1+'Tax Tables'!$C$10)/ED_Rounding,0)*ED_Rounding</f>
        <v>0</v>
      </c>
      <c r="Q14" s="190">
        <f>ROUND(+P14*(1+'Tax Tables'!$C$10)/ED_Rounding,0)*ED_Rounding</f>
        <v>0</v>
      </c>
      <c r="R14" s="190">
        <f>ROUND(+Q14*(1+'Tax Tables'!$C$10)/ED_Rounding,0)*ED_Rounding</f>
        <v>0</v>
      </c>
      <c r="S14" s="190">
        <f>ROUND(+R14*(1+'Tax Tables'!$C$10)/ED_Rounding,0)*ED_Rounding</f>
        <v>0</v>
      </c>
      <c r="T14" s="190">
        <f>ROUND(+S14*(1+'Tax Tables'!$C$10)/ED_Rounding,0)*ED_Rounding</f>
        <v>0</v>
      </c>
      <c r="U14" s="190">
        <f>ROUND(+T14*(1+'Tax Tables'!$C$10)/ED_Rounding,0)*ED_Rounding</f>
        <v>0</v>
      </c>
      <c r="V14" s="190">
        <f>ROUND(+U14*(1+'Tax Tables'!$C$10)/ED_Rounding,0)*ED_Rounding</f>
        <v>0</v>
      </c>
      <c r="W14" s="190">
        <f>ROUND(+V14*(1+'Tax Tables'!$C$10)/ED_Rounding,0)*ED_Rounding</f>
        <v>0</v>
      </c>
      <c r="X14" s="190">
        <f>ROUND(+W14*(1+'Tax Tables'!$C$10)/ED_Rounding,0)*ED_Rounding</f>
        <v>0</v>
      </c>
      <c r="Y14" s="190">
        <f>ROUND(+X14*(1+'Tax Tables'!$C$10)/ED_Rounding,0)*ED_Rounding</f>
        <v>0</v>
      </c>
      <c r="Z14" s="190">
        <f>ROUND(+Y14*(1+'Tax Tables'!$C$10)/ED_Rounding,0)*ED_Rounding</f>
        <v>0</v>
      </c>
      <c r="AA14" s="190">
        <f>ROUND(+Z14*(1+'Tax Tables'!$C$10)/ED_Rounding,0)*ED_Rounding</f>
        <v>0</v>
      </c>
      <c r="AB14" s="190">
        <f>ROUND(+AA14*(1+'Tax Tables'!$C$10)/ED_Rounding,0)*ED_Rounding</f>
        <v>0</v>
      </c>
      <c r="AC14" s="190">
        <f>ROUND(+AB14*(1+'Tax Tables'!$C$10)/ED_Rounding,0)*ED_Rounding</f>
        <v>0</v>
      </c>
      <c r="AD14" s="190">
        <f>ROUND(+AC14*(1+'Tax Tables'!$C$10)/ED_Rounding,0)*ED_Rounding</f>
        <v>0</v>
      </c>
      <c r="AE14" s="190">
        <f>ROUND(+AD14*(1+'Tax Tables'!$C$10)/ED_Rounding,0)*ED_Rounding</f>
        <v>0</v>
      </c>
      <c r="AF14" s="190">
        <f>ROUND(+AE14*(1+'Tax Tables'!$C$10)/ED_Rounding,0)*ED_Rounding</f>
        <v>0</v>
      </c>
      <c r="AG14" s="190">
        <f>ROUND(+AF14*(1+'Tax Tables'!$C$10)/ED_Rounding,0)*ED_Rounding</f>
        <v>0</v>
      </c>
      <c r="AH14" s="190">
        <f>ROUND(+AG14*(1+'Tax Tables'!$C$10)/ED_Rounding,0)*ED_Rounding</f>
        <v>0</v>
      </c>
      <c r="AI14" s="190">
        <f>ROUND(+AH14*(1+'Tax Tables'!$C$10)/ED_Rounding,0)*ED_Rounding</f>
        <v>0</v>
      </c>
      <c r="AJ14" s="190">
        <f>ROUND(+AI14*(1+'Tax Tables'!$C$10)/ED_Rounding,0)*ED_Rounding</f>
        <v>0</v>
      </c>
      <c r="AK14" s="190">
        <f>ROUND(+AJ14*(1+'Tax Tables'!$C$10)/ED_Rounding,0)*ED_Rounding</f>
        <v>0</v>
      </c>
      <c r="AL14" s="190">
        <f>ROUND(+AK14*(1+'Tax Tables'!$C$10)/ED_Rounding,0)*ED_Rounding</f>
        <v>0</v>
      </c>
      <c r="AM14" s="190">
        <f>ROUND(+AL14*(1+'Tax Tables'!$C$10)/ED_Rounding,0)*ED_Rounding</f>
        <v>0</v>
      </c>
      <c r="AN14" s="190">
        <f>ROUND(+AM14*(1+'Tax Tables'!$C$10)/ED_Rounding,0)*ED_Rounding</f>
        <v>0</v>
      </c>
      <c r="AO14" s="190">
        <f>ROUND(+AN14*(1+'Tax Tables'!$C$10)/ED_Rounding,0)*ED_Rounding</f>
        <v>0</v>
      </c>
      <c r="AP14" s="190">
        <f>ROUND(+AO14*(1+'Tax Tables'!$C$10)/ED_Rounding,0)*ED_Rounding</f>
        <v>0</v>
      </c>
      <c r="AQ14" s="190">
        <f>ROUND(+AP14*(1+'Tax Tables'!$C$10)/ED_Rounding,0)*ED_Rounding</f>
        <v>0</v>
      </c>
      <c r="AR14" s="190">
        <f>ROUND(+AQ14*(1+'Tax Tables'!$C$10)/ED_Rounding,0)*ED_Rounding</f>
        <v>0</v>
      </c>
      <c r="AS14" s="190">
        <f>ROUND(+AR14*(1+'Tax Tables'!$C$10)/ED_Rounding,0)*ED_Rounding</f>
        <v>0</v>
      </c>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row>
    <row r="15" spans="1:85" s="3" customFormat="1" ht="15.6">
      <c r="B15" s="66" t="s">
        <v>191</v>
      </c>
      <c r="C15" s="684" t="str">
        <f>IF(Round_To&gt;Tax_Rounding,"using " &amp; Tax_Rounding,"using " &amp; Round_To)</f>
        <v>using 100</v>
      </c>
      <c r="D15" s="464">
        <v>100</v>
      </c>
      <c r="F15" s="224"/>
      <c r="G15" s="224"/>
      <c r="H15" s="224"/>
      <c r="I15" s="388"/>
      <c r="K15" s="89"/>
      <c r="L15" s="89"/>
      <c r="M15" s="89"/>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row>
    <row r="16" spans="1:85" s="3" customFormat="1" ht="15.6">
      <c r="B16" s="746" t="s">
        <v>1767</v>
      </c>
      <c r="D16" s="464">
        <v>50</v>
      </c>
      <c r="E16" s="40"/>
      <c r="F16" s="441" t="s">
        <v>1963</v>
      </c>
      <c r="G16" s="441"/>
      <c r="H16" s="441"/>
      <c r="I16" s="632"/>
      <c r="J16" s="632"/>
      <c r="K16" s="632"/>
      <c r="L16" s="1121"/>
      <c r="M16" s="1121"/>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row>
    <row r="17" spans="1:85" s="3" customFormat="1" ht="15.6">
      <c r="B17" s="66" t="s">
        <v>544</v>
      </c>
      <c r="C17" s="89"/>
      <c r="D17" s="1111" t="str">
        <f>IF(+Filing_Status="m","married","single")</f>
        <v>married</v>
      </c>
      <c r="F17" s="1011" t="s">
        <v>204</v>
      </c>
      <c r="G17" s="1487">
        <v>2019</v>
      </c>
      <c r="H17" s="1487" t="s">
        <v>1759</v>
      </c>
      <c r="I17" s="1487">
        <v>2017</v>
      </c>
      <c r="J17" s="1487">
        <v>2016</v>
      </c>
      <c r="K17" s="1487">
        <v>2015</v>
      </c>
      <c r="L17" s="1487">
        <v>2014</v>
      </c>
      <c r="M17" s="1487">
        <v>2013</v>
      </c>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row>
    <row r="18" spans="1:85" s="3" customFormat="1" ht="15.6">
      <c r="B18" s="66"/>
      <c r="C18" s="89"/>
      <c r="D18" s="182"/>
      <c r="E18" s="158"/>
      <c r="F18" s="1011" t="s">
        <v>1058</v>
      </c>
      <c r="G18" s="682">
        <v>2.1999999999999999E-2</v>
      </c>
      <c r="H18" s="682">
        <v>2.1999999999999999E-2</v>
      </c>
      <c r="I18" s="682">
        <v>2.1999999999999999E-2</v>
      </c>
      <c r="J18" s="682">
        <v>2.5000000000000001E-2</v>
      </c>
      <c r="K18" s="682">
        <v>2.5000000000000001E-2</v>
      </c>
      <c r="L18" s="682">
        <v>2.7E-2</v>
      </c>
      <c r="M18" s="682">
        <v>2.7E-2</v>
      </c>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row>
    <row r="19" spans="1:85" s="3" customFormat="1" ht="15.6">
      <c r="B19" s="169" t="s">
        <v>858</v>
      </c>
      <c r="C19" s="109" t="s">
        <v>801</v>
      </c>
      <c r="D19" s="109" t="s">
        <v>1707</v>
      </c>
      <c r="E19" s="261"/>
      <c r="F19" s="1011" t="s">
        <v>1055</v>
      </c>
      <c r="G19" s="224">
        <v>12200</v>
      </c>
      <c r="H19" s="224">
        <v>12000</v>
      </c>
      <c r="I19" s="224">
        <v>6350</v>
      </c>
      <c r="J19" s="224">
        <v>6300</v>
      </c>
      <c r="K19" s="224">
        <v>6300</v>
      </c>
      <c r="L19" s="224">
        <v>6200</v>
      </c>
      <c r="M19" s="224">
        <v>6100</v>
      </c>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row>
    <row r="20" spans="1:85" s="3" customFormat="1" ht="15.6">
      <c r="B20" t="s">
        <v>1664</v>
      </c>
      <c r="C20" s="486">
        <v>32000</v>
      </c>
      <c r="D20" s="486">
        <v>25000</v>
      </c>
      <c r="E20" s="261"/>
      <c r="F20" s="1011" t="s">
        <v>1057</v>
      </c>
      <c r="G20" s="224">
        <v>1300</v>
      </c>
      <c r="H20" s="224">
        <v>1300</v>
      </c>
      <c r="I20" s="224">
        <v>1250</v>
      </c>
      <c r="J20" s="224">
        <v>1250</v>
      </c>
      <c r="K20" s="224">
        <v>1250</v>
      </c>
      <c r="L20" s="224">
        <v>1200</v>
      </c>
      <c r="M20" s="224">
        <v>1200</v>
      </c>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row>
    <row r="21" spans="1:85" s="3" customFormat="1" ht="15.6">
      <c r="B21" t="s">
        <v>1663</v>
      </c>
      <c r="C21" s="486">
        <v>12000</v>
      </c>
      <c r="D21" s="486">
        <v>9000</v>
      </c>
      <c r="E21" s="12"/>
      <c r="F21" s="1011" t="s">
        <v>1056</v>
      </c>
      <c r="G21" s="224">
        <v>1650</v>
      </c>
      <c r="H21" s="224">
        <v>1600</v>
      </c>
      <c r="I21" s="224">
        <v>1550</v>
      </c>
      <c r="J21" s="224">
        <v>1550</v>
      </c>
      <c r="K21" s="224">
        <v>1550</v>
      </c>
      <c r="L21" s="224">
        <v>1550</v>
      </c>
      <c r="M21" s="224">
        <v>1550</v>
      </c>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row>
    <row r="22" spans="1:85" s="3" customFormat="1" ht="15.6">
      <c r="B22"/>
      <c r="C22" s="112"/>
      <c r="D22" s="112"/>
      <c r="E22" s="10"/>
      <c r="F22" s="1406" t="s">
        <v>1780</v>
      </c>
      <c r="G22" s="224">
        <v>0</v>
      </c>
      <c r="H22" s="224">
        <v>0</v>
      </c>
      <c r="I22" s="224">
        <v>4050</v>
      </c>
      <c r="J22" s="224">
        <v>4050</v>
      </c>
      <c r="K22" s="224">
        <v>4000</v>
      </c>
      <c r="L22" s="224">
        <v>3950</v>
      </c>
      <c r="M22" s="224">
        <v>3900</v>
      </c>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row>
    <row r="23" spans="1:85" s="3" customFormat="1" ht="15.6">
      <c r="B23" s="138" t="s">
        <v>1273</v>
      </c>
      <c r="C23" s="487">
        <v>164100</v>
      </c>
      <c r="D23" s="487">
        <v>123100</v>
      </c>
      <c r="E23" s="10"/>
      <c r="F23" s="1406"/>
      <c r="G23" s="224"/>
      <c r="H23" s="224"/>
      <c r="I23" s="224"/>
      <c r="J23" s="224"/>
      <c r="K23" s="224"/>
      <c r="L23" s="224"/>
      <c r="M23" s="224"/>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row>
    <row r="24" spans="1:85" s="3" customFormat="1" ht="15.6">
      <c r="A24" s="1383" t="s">
        <v>1762</v>
      </c>
      <c r="B24" s="1382" t="s">
        <v>1115</v>
      </c>
      <c r="C24" s="487" t="s">
        <v>1760</v>
      </c>
      <c r="D24" s="487" t="s">
        <v>1761</v>
      </c>
      <c r="E24" s="10"/>
      <c r="F24" s="1406"/>
      <c r="G24" s="224"/>
      <c r="H24" s="224"/>
      <c r="I24" s="224"/>
      <c r="J24" s="224"/>
      <c r="K24" s="224"/>
      <c r="L24" s="224"/>
      <c r="M24" s="2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row>
    <row r="25" spans="1:85" s="3" customFormat="1" ht="15.6">
      <c r="B25"/>
      <c r="C25" s="112"/>
      <c r="D25" s="112"/>
      <c r="E25" s="10"/>
      <c r="F25" s="1406"/>
      <c r="G25" s="224"/>
      <c r="H25" s="224"/>
      <c r="I25" s="224"/>
      <c r="J25" s="224"/>
      <c r="K25" s="224"/>
      <c r="L25" s="224"/>
      <c r="M25" s="224"/>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row>
    <row r="26" spans="1:85" s="3" customFormat="1" ht="15.6">
      <c r="B26" s="717" t="s">
        <v>1871</v>
      </c>
      <c r="C26"/>
      <c r="D26"/>
      <c r="E26" s="1709" t="s">
        <v>2335</v>
      </c>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row>
    <row r="27" spans="1:85" s="3" customFormat="1" hidden="1">
      <c r="A27" s="1432" t="s">
        <v>1176</v>
      </c>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row>
    <row r="28" spans="1:85" ht="15.6" hidden="1">
      <c r="A28" s="1432" t="s">
        <v>1176</v>
      </c>
      <c r="B28" s="1477" t="s">
        <v>1865</v>
      </c>
      <c r="C28" s="224"/>
    </row>
    <row r="29" spans="1:85" s="224" customFormat="1" ht="15.6" hidden="1">
      <c r="A29" s="1432" t="s">
        <v>1176</v>
      </c>
      <c r="B29" s="1633" t="s">
        <v>2149</v>
      </c>
      <c r="C29" s="1633" t="s">
        <v>2153</v>
      </c>
      <c r="E29" s="1386" t="s">
        <v>2139</v>
      </c>
      <c r="F29" s="1468">
        <f>+Details!F$4</f>
        <v>62</v>
      </c>
      <c r="G29" s="1468">
        <f>IF(OR(Final_Year&lt;G93,AND(Your_End_Input&gt;0,Your_End_Input&lt;Details!G4)),0,Details!G4)</f>
        <v>63</v>
      </c>
      <c r="H29" s="1468">
        <f>IF(OR(Final_Year&lt;H93,AND(Your_End_Input&gt;0,Your_End_Input&lt;Details!H4)),0,Details!H4)</f>
        <v>64</v>
      </c>
      <c r="I29" s="1468">
        <f>IF(OR(Final_Year&lt;I93,AND(Your_End_Input&gt;0,Your_End_Input&lt;Details!I4)),0,Details!I4)</f>
        <v>65</v>
      </c>
      <c r="J29" s="1468">
        <f>IF(OR(Final_Year&lt;J93,AND(Your_End_Input&gt;0,Your_End_Input&lt;Details!J4)),0,Details!J4)</f>
        <v>66</v>
      </c>
      <c r="K29" s="1468">
        <f>IF(OR(Final_Year&lt;K93,AND(Your_End_Input&gt;0,Your_End_Input&lt;Details!K4)),0,Details!K4)</f>
        <v>67</v>
      </c>
      <c r="L29" s="1468">
        <f>IF(OR(Final_Year&lt;L93,AND(Your_End_Input&gt;0,Your_End_Input&lt;Details!L4)),0,Details!L4)</f>
        <v>68</v>
      </c>
      <c r="M29" s="1468">
        <f>IF(OR(Final_Year&lt;M93,AND(Your_End_Input&gt;0,Your_End_Input&lt;Details!M4)),0,Details!M4)</f>
        <v>69</v>
      </c>
      <c r="N29" s="1468">
        <f>IF(OR(Final_Year&lt;N93,AND(Your_End_Input&gt;0,Your_End_Input&lt;Details!N4)),0,Details!N4)</f>
        <v>70</v>
      </c>
      <c r="O29" s="1468">
        <f>IF(OR(Final_Year&lt;O93,AND(Your_End_Input&gt;0,Your_End_Input&lt;Details!O4)),0,Details!O4)</f>
        <v>71</v>
      </c>
      <c r="P29" s="1468">
        <f>IF(OR(Final_Year&lt;P93,AND(Your_End_Input&gt;0,Your_End_Input&lt;Details!P4)),0,Details!P4)</f>
        <v>72</v>
      </c>
      <c r="Q29" s="1468">
        <f>IF(OR(Final_Year&lt;Q93,AND(Your_End_Input&gt;0,Your_End_Input&lt;Details!Q4)),0,Details!Q4)</f>
        <v>73</v>
      </c>
      <c r="R29" s="1468">
        <f>IF(OR(Final_Year&lt;R93,AND(Your_End_Input&gt;0,Your_End_Input&lt;Details!R4)),0,Details!R4)</f>
        <v>74</v>
      </c>
      <c r="S29" s="1468">
        <f>IF(OR(Final_Year&lt;S93,AND(Your_End_Input&gt;0,Your_End_Input&lt;Details!S4)),0,Details!S4)</f>
        <v>75</v>
      </c>
      <c r="T29" s="1468">
        <f>IF(OR(Final_Year&lt;T93,AND(Your_End_Input&gt;0,Your_End_Input&lt;Details!T4)),0,Details!T4)</f>
        <v>76</v>
      </c>
      <c r="U29" s="1468">
        <f>IF(OR(Final_Year&lt;U93,AND(Your_End_Input&gt;0,Your_End_Input&lt;Details!U4)),0,Details!U4)</f>
        <v>77</v>
      </c>
      <c r="V29" s="1468">
        <f>IF(OR(Final_Year&lt;V93,AND(Your_End_Input&gt;0,Your_End_Input&lt;Details!V4)),0,Details!V4)</f>
        <v>78</v>
      </c>
      <c r="W29" s="1468">
        <f>IF(OR(Final_Year&lt;W93,AND(Your_End_Input&gt;0,Your_End_Input&lt;Details!W4)),0,Details!W4)</f>
        <v>79</v>
      </c>
      <c r="X29" s="1468">
        <f>IF(OR(Final_Year&lt;X93,AND(Your_End_Input&gt;0,Your_End_Input&lt;Details!X4)),0,Details!X4)</f>
        <v>80</v>
      </c>
      <c r="Y29" s="1468">
        <f>IF(OR(Final_Year&lt;Y93,AND(Your_End_Input&gt;0,Your_End_Input&lt;Details!Y4)),0,Details!Y4)</f>
        <v>81</v>
      </c>
      <c r="Z29" s="1468">
        <f>IF(OR(Final_Year&lt;Z93,AND(Your_End_Input&gt;0,Your_End_Input&lt;Details!Z4)),0,Details!Z4)</f>
        <v>82</v>
      </c>
      <c r="AA29" s="1468">
        <f>IF(OR(Final_Year&lt;AA93,AND(Your_End_Input&gt;0,Your_End_Input&lt;Details!AA4)),0,Details!AA4)</f>
        <v>83</v>
      </c>
      <c r="AB29" s="1468">
        <f>IF(OR(Final_Year&lt;AB93,AND(Your_End_Input&gt;0,Your_End_Input&lt;Details!AB4)),0,Details!AB4)</f>
        <v>84</v>
      </c>
      <c r="AC29" s="1468">
        <f>IF(OR(Final_Year&lt;AC93,AND(Your_End_Input&gt;0,Your_End_Input&lt;Details!AC4)),0,Details!AC4)</f>
        <v>85</v>
      </c>
      <c r="AD29" s="1468">
        <f>IF(OR(Final_Year&lt;AD93,AND(Your_End_Input&gt;0,Your_End_Input&lt;Details!AD4)),0,Details!AD4)</f>
        <v>0</v>
      </c>
      <c r="AE29" s="1468">
        <f>IF(OR(Final_Year&lt;AE93,AND(Your_End_Input&gt;0,Your_End_Input&lt;Details!AE4)),0,Details!AE4)</f>
        <v>0</v>
      </c>
      <c r="AF29" s="1468">
        <f>IF(OR(Final_Year&lt;AF93,AND(Your_End_Input&gt;0,Your_End_Input&lt;Details!AF4)),0,Details!AF4)</f>
        <v>0</v>
      </c>
      <c r="AG29" s="1468">
        <f>IF(OR(Final_Year&lt;AG93,AND(Your_End_Input&gt;0,Your_End_Input&lt;Details!AG4)),0,Details!AG4)</f>
        <v>0</v>
      </c>
      <c r="AH29" s="1468">
        <f>IF(OR(Final_Year&lt;AH93,AND(Your_End_Input&gt;0,Your_End_Input&lt;Details!AH4)),0,Details!AH4)</f>
        <v>0</v>
      </c>
      <c r="AI29" s="1468">
        <f>IF(OR(Final_Year&lt;AI93,AND(Your_End_Input&gt;0,Your_End_Input&lt;Details!AI4)),0,Details!AI4)</f>
        <v>0</v>
      </c>
      <c r="AJ29" s="1468">
        <f>IF(OR(Final_Year&lt;AJ93,AND(Your_End_Input&gt;0,Your_End_Input&lt;Details!AJ4)),0,Details!AJ4)</f>
        <v>0</v>
      </c>
      <c r="AK29" s="1468">
        <f>IF(OR(Final_Year&lt;AK93,AND(Your_End_Input&gt;0,Your_End_Input&lt;Details!AK4)),0,Details!AK4)</f>
        <v>0</v>
      </c>
      <c r="AL29" s="1468">
        <f>IF(OR(Final_Year&lt;AL93,AND(Your_End_Input&gt;0,Your_End_Input&lt;Details!AL4)),0,Details!AL4)</f>
        <v>0</v>
      </c>
      <c r="AM29" s="1468">
        <f>IF(OR(Final_Year&lt;AM93,AND(Your_End_Input&gt;0,Your_End_Input&lt;Details!AM4)),0,Details!AM4)</f>
        <v>0</v>
      </c>
      <c r="AN29" s="1468">
        <f>IF(OR(Final_Year&lt;AN93,AND(Your_End_Input&gt;0,Your_End_Input&lt;Details!AN4)),0,Details!AN4)</f>
        <v>0</v>
      </c>
      <c r="AO29" s="1468">
        <f>IF(OR(Final_Year&lt;AO93,AND(Your_End_Input&gt;0,Your_End_Input&lt;Details!AO4)),0,Details!AO4)</f>
        <v>0</v>
      </c>
      <c r="AP29" s="1468">
        <f>IF(OR(Final_Year&lt;AP93,AND(Your_End_Input&gt;0,Your_End_Input&lt;Details!AP4)),0,Details!AP4)</f>
        <v>0</v>
      </c>
      <c r="AQ29" s="1468">
        <f>IF(OR(Final_Year&lt;AQ93,AND(Your_End_Input&gt;0,Your_End_Input&lt;Details!AQ4)),0,Details!AQ4)</f>
        <v>0</v>
      </c>
      <c r="AR29" s="1468">
        <f>IF(OR(Final_Year&lt;AR93,AND(Your_End_Input&gt;0,Your_End_Input&lt;Details!AR4)),0,Details!AR4)</f>
        <v>0</v>
      </c>
      <c r="AS29" s="1468">
        <f>IF(OR(Final_Year&lt;AS93,AND(Your_End_Input&gt;0,Your_End_Input&lt;Details!AS4)),0,Details!AS4)</f>
        <v>0</v>
      </c>
    </row>
    <row r="30" spans="1:85" s="224" customFormat="1" ht="15.6" hidden="1">
      <c r="A30" s="1432" t="s">
        <v>1176</v>
      </c>
      <c r="F30" s="1468">
        <f>+Details!F$5</f>
        <v>61</v>
      </c>
      <c r="G30" s="1468">
        <f>IF(OR(Final_Year&lt;G93,AND(Spouse_End_Input&gt;0,Spouse_End_Input&lt;Details!G5)),0,Details!G5)</f>
        <v>62</v>
      </c>
      <c r="H30" s="1468">
        <f>IF(OR(Final_Year&lt;H93,AND(Spouse_End_Input&gt;0,Spouse_End_Input&lt;Details!H5)),0,Details!H5)</f>
        <v>63</v>
      </c>
      <c r="I30" s="1468">
        <f>IF(OR(Final_Year&lt;I93,AND(Spouse_End_Input&gt;0,Spouse_End_Input&lt;Details!I5)),0,Details!I5)</f>
        <v>64</v>
      </c>
      <c r="J30" s="1468">
        <f>IF(OR(Final_Year&lt;J93,AND(Spouse_End_Input&gt;0,Spouse_End_Input&lt;Details!J5)),0,Details!J5)</f>
        <v>65</v>
      </c>
      <c r="K30" s="1468">
        <f>IF(OR(Final_Year&lt;K93,AND(Spouse_End_Input&gt;0,Spouse_End_Input&lt;Details!K5)),0,Details!K5)</f>
        <v>66</v>
      </c>
      <c r="L30" s="1468">
        <f>IF(OR(Final_Year&lt;L93,AND(Spouse_End_Input&gt;0,Spouse_End_Input&lt;Details!L5)),0,Details!L5)</f>
        <v>67</v>
      </c>
      <c r="M30" s="1468">
        <f>IF(OR(Final_Year&lt;M93,AND(Spouse_End_Input&gt;0,Spouse_End_Input&lt;Details!M5)),0,Details!M5)</f>
        <v>68</v>
      </c>
      <c r="N30" s="1468">
        <f>IF(OR(Final_Year&lt;N93,AND(Spouse_End_Input&gt;0,Spouse_End_Input&lt;Details!N5)),0,Details!N5)</f>
        <v>69</v>
      </c>
      <c r="O30" s="1468">
        <f>IF(OR(Final_Year&lt;O93,AND(Spouse_End_Input&gt;0,Spouse_End_Input&lt;Details!O5)),0,Details!O5)</f>
        <v>70</v>
      </c>
      <c r="P30" s="1468">
        <f>IF(OR(Final_Year&lt;P93,AND(Spouse_End_Input&gt;0,Spouse_End_Input&lt;Details!P5)),0,Details!P5)</f>
        <v>71</v>
      </c>
      <c r="Q30" s="1468">
        <f>IF(OR(Final_Year&lt;Q93,AND(Spouse_End_Input&gt;0,Spouse_End_Input&lt;Details!Q5)),0,Details!Q5)</f>
        <v>72</v>
      </c>
      <c r="R30" s="1468">
        <f>IF(OR(Final_Year&lt;R93,AND(Spouse_End_Input&gt;0,Spouse_End_Input&lt;Details!R5)),0,Details!R5)</f>
        <v>73</v>
      </c>
      <c r="S30" s="1468">
        <f>IF(OR(Final_Year&lt;S93,AND(Spouse_End_Input&gt;0,Spouse_End_Input&lt;Details!S5)),0,Details!S5)</f>
        <v>74</v>
      </c>
      <c r="T30" s="1468">
        <f>IF(OR(Final_Year&lt;T93,AND(Spouse_End_Input&gt;0,Spouse_End_Input&lt;Details!T5)),0,Details!T5)</f>
        <v>75</v>
      </c>
      <c r="U30" s="1468">
        <f>IF(OR(Final_Year&lt;U93,AND(Spouse_End_Input&gt;0,Spouse_End_Input&lt;Details!U5)),0,Details!U5)</f>
        <v>76</v>
      </c>
      <c r="V30" s="1468">
        <f>IF(OR(Final_Year&lt;V93,AND(Spouse_End_Input&gt;0,Spouse_End_Input&lt;Details!V5)),0,Details!V5)</f>
        <v>77</v>
      </c>
      <c r="W30" s="1468">
        <f>IF(OR(Final_Year&lt;W93,AND(Spouse_End_Input&gt;0,Spouse_End_Input&lt;Details!W5)),0,Details!W5)</f>
        <v>78</v>
      </c>
      <c r="X30" s="1468">
        <f>IF(OR(Final_Year&lt;X93,AND(Spouse_End_Input&gt;0,Spouse_End_Input&lt;Details!X5)),0,Details!X5)</f>
        <v>79</v>
      </c>
      <c r="Y30" s="1468">
        <f>IF(OR(Final_Year&lt;Y93,AND(Spouse_End_Input&gt;0,Spouse_End_Input&lt;Details!Y5)),0,Details!Y5)</f>
        <v>80</v>
      </c>
      <c r="Z30" s="1468">
        <f>IF(OR(Final_Year&lt;Z93,AND(Spouse_End_Input&gt;0,Spouse_End_Input&lt;Details!Z5)),0,Details!Z5)</f>
        <v>81</v>
      </c>
      <c r="AA30" s="1468">
        <f>IF(OR(Final_Year&lt;AA93,AND(Spouse_End_Input&gt;0,Spouse_End_Input&lt;Details!AA5)),0,Details!AA5)</f>
        <v>82</v>
      </c>
      <c r="AB30" s="1468">
        <f>IF(OR(Final_Year&lt;AB93,AND(Spouse_End_Input&gt;0,Spouse_End_Input&lt;Details!AB5)),0,Details!AB5)</f>
        <v>83</v>
      </c>
      <c r="AC30" s="1468">
        <f>IF(OR(Final_Year&lt;AC93,AND(Spouse_End_Input&gt;0,Spouse_End_Input&lt;Details!AC5)),0,Details!AC5)</f>
        <v>84</v>
      </c>
      <c r="AD30" s="1468">
        <f>IF(OR(Final_Year&lt;AD93,AND(Spouse_End_Input&gt;0,Spouse_End_Input&lt;Details!AD5)),0,Details!AD5)</f>
        <v>85</v>
      </c>
      <c r="AE30" s="1468">
        <f>IF(OR(Final_Year&lt;AE93,AND(Spouse_End_Input&gt;0,Spouse_End_Input&lt;Details!AE5)),0,Details!AE5)</f>
        <v>86</v>
      </c>
      <c r="AF30" s="1468">
        <f>IF(OR(Final_Year&lt;AF93,AND(Spouse_End_Input&gt;0,Spouse_End_Input&lt;Details!AF5)),0,Details!AF5)</f>
        <v>87</v>
      </c>
      <c r="AG30" s="1468">
        <f>IF(OR(Final_Year&lt;AG93,AND(Spouse_End_Input&gt;0,Spouse_End_Input&lt;Details!AG5)),0,Details!AG5)</f>
        <v>88</v>
      </c>
      <c r="AH30" s="1468">
        <f>IF(OR(Final_Year&lt;AH93,AND(Spouse_End_Input&gt;0,Spouse_End_Input&lt;Details!AH5)),0,Details!AH5)</f>
        <v>89</v>
      </c>
      <c r="AI30" s="1468">
        <f>IF(OR(Final_Year&lt;AI93,AND(Spouse_End_Input&gt;0,Spouse_End_Input&lt;Details!AI5)),0,Details!AI5)</f>
        <v>90</v>
      </c>
      <c r="AJ30" s="1468">
        <f>IF(OR(Final_Year&lt;AJ93,AND(Spouse_End_Input&gt;0,Spouse_End_Input&lt;Details!AJ5)),0,Details!AJ5)</f>
        <v>0</v>
      </c>
      <c r="AK30" s="1468">
        <f>IF(OR(Final_Year&lt;AK93,AND(Spouse_End_Input&gt;0,Spouse_End_Input&lt;Details!AK5)),0,Details!AK5)</f>
        <v>0</v>
      </c>
      <c r="AL30" s="1468">
        <f>IF(OR(Final_Year&lt;AL93,AND(Spouse_End_Input&gt;0,Spouse_End_Input&lt;Details!AL5)),0,Details!AL5)</f>
        <v>0</v>
      </c>
      <c r="AM30" s="1468">
        <f>IF(OR(Final_Year&lt;AM93,AND(Spouse_End_Input&gt;0,Spouse_End_Input&lt;Details!AM5)),0,Details!AM5)</f>
        <v>0</v>
      </c>
      <c r="AN30" s="1468">
        <f>IF(OR(Final_Year&lt;AN93,AND(Spouse_End_Input&gt;0,Spouse_End_Input&lt;Details!AN5)),0,Details!AN5)</f>
        <v>0</v>
      </c>
      <c r="AO30" s="1468">
        <f>IF(OR(Final_Year&lt;AO93,AND(Spouse_End_Input&gt;0,Spouse_End_Input&lt;Details!AO5)),0,Details!AO5)</f>
        <v>0</v>
      </c>
      <c r="AP30" s="1468">
        <f>IF(OR(Final_Year&lt;AP93,AND(Spouse_End_Input&gt;0,Spouse_End_Input&lt;Details!AP5)),0,Details!AP5)</f>
        <v>0</v>
      </c>
      <c r="AQ30" s="1468">
        <f>IF(OR(Final_Year&lt;AQ93,AND(Spouse_End_Input&gt;0,Spouse_End_Input&lt;Details!AQ5)),0,Details!AQ5)</f>
        <v>0</v>
      </c>
      <c r="AR30" s="1468">
        <f>IF(OR(Final_Year&lt;AR93,AND(Spouse_End_Input&gt;0,Spouse_End_Input&lt;Details!AR5)),0,Details!AR5)</f>
        <v>0</v>
      </c>
      <c r="AS30" s="1468">
        <f>IF(OR(Final_Year&lt;AS93,AND(Spouse_End_Input&gt;0,Spouse_End_Input&lt;Details!AS5)),0,Details!AS5)</f>
        <v>0</v>
      </c>
    </row>
    <row r="31" spans="1:85" s="224" customFormat="1" ht="15.6" hidden="1">
      <c r="A31" s="1432" t="s">
        <v>1176</v>
      </c>
      <c r="B31" s="1652"/>
      <c r="F31" s="27">
        <f>First_Year</f>
        <v>2019</v>
      </c>
      <c r="G31" s="27">
        <f t="shared" ref="G31:AS31" si="1">+F31+1</f>
        <v>2020</v>
      </c>
      <c r="H31" s="27">
        <f t="shared" si="1"/>
        <v>2021</v>
      </c>
      <c r="I31" s="27">
        <f t="shared" si="1"/>
        <v>2022</v>
      </c>
      <c r="J31" s="27">
        <f t="shared" si="1"/>
        <v>2023</v>
      </c>
      <c r="K31" s="27">
        <f t="shared" si="1"/>
        <v>2024</v>
      </c>
      <c r="L31" s="27">
        <f t="shared" si="1"/>
        <v>2025</v>
      </c>
      <c r="M31" s="27">
        <f t="shared" si="1"/>
        <v>2026</v>
      </c>
      <c r="N31" s="27">
        <f t="shared" si="1"/>
        <v>2027</v>
      </c>
      <c r="O31" s="27">
        <f t="shared" si="1"/>
        <v>2028</v>
      </c>
      <c r="P31" s="27">
        <f t="shared" si="1"/>
        <v>2029</v>
      </c>
      <c r="Q31" s="27">
        <f t="shared" si="1"/>
        <v>2030</v>
      </c>
      <c r="R31" s="27">
        <f t="shared" si="1"/>
        <v>2031</v>
      </c>
      <c r="S31" s="27">
        <f t="shared" si="1"/>
        <v>2032</v>
      </c>
      <c r="T31" s="27">
        <f t="shared" si="1"/>
        <v>2033</v>
      </c>
      <c r="U31" s="27">
        <f t="shared" si="1"/>
        <v>2034</v>
      </c>
      <c r="V31" s="27">
        <f t="shared" si="1"/>
        <v>2035</v>
      </c>
      <c r="W31" s="27">
        <f t="shared" si="1"/>
        <v>2036</v>
      </c>
      <c r="X31" s="27">
        <f t="shared" si="1"/>
        <v>2037</v>
      </c>
      <c r="Y31" s="27">
        <f t="shared" si="1"/>
        <v>2038</v>
      </c>
      <c r="Z31" s="27">
        <f t="shared" si="1"/>
        <v>2039</v>
      </c>
      <c r="AA31" s="27">
        <f t="shared" si="1"/>
        <v>2040</v>
      </c>
      <c r="AB31" s="27">
        <f t="shared" si="1"/>
        <v>2041</v>
      </c>
      <c r="AC31" s="27">
        <f t="shared" si="1"/>
        <v>2042</v>
      </c>
      <c r="AD31" s="27">
        <f t="shared" si="1"/>
        <v>2043</v>
      </c>
      <c r="AE31" s="27">
        <f t="shared" si="1"/>
        <v>2044</v>
      </c>
      <c r="AF31" s="27">
        <f t="shared" si="1"/>
        <v>2045</v>
      </c>
      <c r="AG31" s="27">
        <f t="shared" si="1"/>
        <v>2046</v>
      </c>
      <c r="AH31" s="27">
        <f t="shared" si="1"/>
        <v>2047</v>
      </c>
      <c r="AI31" s="27">
        <f t="shared" si="1"/>
        <v>2048</v>
      </c>
      <c r="AJ31" s="27">
        <f t="shared" si="1"/>
        <v>2049</v>
      </c>
      <c r="AK31" s="27">
        <f t="shared" si="1"/>
        <v>2050</v>
      </c>
      <c r="AL31" s="27">
        <f t="shared" si="1"/>
        <v>2051</v>
      </c>
      <c r="AM31" s="27">
        <f t="shared" si="1"/>
        <v>2052</v>
      </c>
      <c r="AN31" s="27">
        <f t="shared" si="1"/>
        <v>2053</v>
      </c>
      <c r="AO31" s="27">
        <f t="shared" si="1"/>
        <v>2054</v>
      </c>
      <c r="AP31" s="27">
        <f t="shared" si="1"/>
        <v>2055</v>
      </c>
      <c r="AQ31" s="27">
        <f t="shared" si="1"/>
        <v>2056</v>
      </c>
      <c r="AR31" s="27">
        <f t="shared" si="1"/>
        <v>2057</v>
      </c>
      <c r="AS31" s="27">
        <f t="shared" si="1"/>
        <v>2058</v>
      </c>
    </row>
    <row r="32" spans="1:85" s="224" customFormat="1" ht="15.6" hidden="1">
      <c r="A32" s="1432" t="s">
        <v>1176</v>
      </c>
      <c r="B32" s="1469" t="s">
        <v>2341</v>
      </c>
      <c r="D32" s="190">
        <f>SUM(F32:AS32)</f>
        <v>3689300</v>
      </c>
      <c r="F32" s="1466">
        <f>+Details!F270</f>
        <v>65600</v>
      </c>
      <c r="G32" s="1466">
        <f>+Details!G270</f>
        <v>82200</v>
      </c>
      <c r="H32" s="1466">
        <f>+Details!H270</f>
        <v>68800</v>
      </c>
      <c r="I32" s="1466">
        <f>+Details!I270</f>
        <v>70400</v>
      </c>
      <c r="J32" s="1466">
        <f>+Details!J270</f>
        <v>72100</v>
      </c>
      <c r="K32" s="1466">
        <f>+Details!K270</f>
        <v>93000</v>
      </c>
      <c r="L32" s="1466">
        <f>+Details!L270</f>
        <v>95800</v>
      </c>
      <c r="M32" s="1466">
        <f>+Details!M270</f>
        <v>98800</v>
      </c>
      <c r="N32" s="1466">
        <f>+Details!N270</f>
        <v>74600</v>
      </c>
      <c r="O32" s="1466">
        <f>+Details!O270</f>
        <v>77200</v>
      </c>
      <c r="P32" s="1466">
        <f>+Details!P270</f>
        <v>79100</v>
      </c>
      <c r="Q32" s="1466">
        <f>+Details!Q270</f>
        <v>82500</v>
      </c>
      <c r="R32" s="1466">
        <f>+Details!R270</f>
        <v>95400</v>
      </c>
      <c r="S32" s="1466">
        <f>+Details!S270</f>
        <v>100600</v>
      </c>
      <c r="T32" s="1466">
        <f>+Details!T270</f>
        <v>127200</v>
      </c>
      <c r="U32" s="1466">
        <f>+Details!U270</f>
        <v>142200</v>
      </c>
      <c r="V32" s="1466">
        <f>+Details!V270</f>
        <v>138800</v>
      </c>
      <c r="W32" s="1466">
        <f>+Details!W270</f>
        <v>144300</v>
      </c>
      <c r="X32" s="1466">
        <f>+Details!X270</f>
        <v>140500</v>
      </c>
      <c r="Y32" s="1466">
        <f>+Details!Y270</f>
        <v>144000</v>
      </c>
      <c r="Z32" s="1466">
        <f>+Details!Z270</f>
        <v>149200</v>
      </c>
      <c r="AA32" s="1466">
        <f>+Details!AA270</f>
        <v>154800</v>
      </c>
      <c r="AB32" s="1466">
        <f>+Details!AB270</f>
        <v>165500</v>
      </c>
      <c r="AC32" s="1466">
        <f>+Details!AC270</f>
        <v>182800</v>
      </c>
      <c r="AD32" s="1466">
        <f>+Details!AD270</f>
        <v>167000</v>
      </c>
      <c r="AE32" s="1466">
        <f>+Details!AE270</f>
        <v>173900</v>
      </c>
      <c r="AF32" s="1466">
        <f>+Details!AF270</f>
        <v>177600</v>
      </c>
      <c r="AG32" s="1466">
        <f>+Details!AG270</f>
        <v>172400</v>
      </c>
      <c r="AH32" s="1466">
        <f>+Details!AH270</f>
        <v>174600</v>
      </c>
      <c r="AI32" s="1466">
        <f>+Details!AI270</f>
        <v>178400</v>
      </c>
      <c r="AJ32" s="1466">
        <f>+Details!AJ270</f>
        <v>0</v>
      </c>
      <c r="AK32" s="1466">
        <f>+Details!AK270</f>
        <v>0</v>
      </c>
      <c r="AL32" s="1466">
        <f>+Details!AL270</f>
        <v>0</v>
      </c>
      <c r="AM32" s="1466">
        <f>+Details!AM270</f>
        <v>0</v>
      </c>
      <c r="AN32" s="1466">
        <f>+Details!AN270</f>
        <v>0</v>
      </c>
      <c r="AO32" s="1466">
        <f>+Details!AO270</f>
        <v>0</v>
      </c>
      <c r="AP32" s="1466">
        <f>+Details!AP270</f>
        <v>0</v>
      </c>
      <c r="AQ32" s="1466">
        <f>+Details!AQ270</f>
        <v>0</v>
      </c>
      <c r="AR32" s="1466">
        <f>+Details!AR270</f>
        <v>0</v>
      </c>
      <c r="AS32" s="1466">
        <f>+Details!AS270</f>
        <v>0</v>
      </c>
    </row>
    <row r="33" spans="1:85" s="224" customFormat="1" ht="15.6" hidden="1">
      <c r="A33" s="1432" t="s">
        <v>1176</v>
      </c>
      <c r="B33" s="1469" t="s">
        <v>1870</v>
      </c>
      <c r="D33" s="190">
        <f>SUM(F33:AS33)</f>
        <v>3689300</v>
      </c>
      <c r="F33" s="1466">
        <f>Medicare_MAGI_1</f>
        <v>0</v>
      </c>
      <c r="G33" s="1466">
        <f>Medicare_MAGI_2</f>
        <v>0</v>
      </c>
      <c r="H33" s="1466">
        <f>+F32</f>
        <v>65600</v>
      </c>
      <c r="I33" s="1466">
        <f t="shared" ref="I33:AS33" si="2">+G32</f>
        <v>82200</v>
      </c>
      <c r="J33" s="1466">
        <f t="shared" si="2"/>
        <v>68800</v>
      </c>
      <c r="K33" s="1466">
        <f t="shared" si="2"/>
        <v>70400</v>
      </c>
      <c r="L33" s="1466">
        <f t="shared" si="2"/>
        <v>72100</v>
      </c>
      <c r="M33" s="1466">
        <f t="shared" si="2"/>
        <v>93000</v>
      </c>
      <c r="N33" s="1466">
        <f t="shared" si="2"/>
        <v>95800</v>
      </c>
      <c r="O33" s="1466">
        <f t="shared" si="2"/>
        <v>98800</v>
      </c>
      <c r="P33" s="1466">
        <f t="shared" si="2"/>
        <v>74600</v>
      </c>
      <c r="Q33" s="1466">
        <f t="shared" si="2"/>
        <v>77200</v>
      </c>
      <c r="R33" s="1466">
        <f t="shared" si="2"/>
        <v>79100</v>
      </c>
      <c r="S33" s="1466">
        <f t="shared" si="2"/>
        <v>82500</v>
      </c>
      <c r="T33" s="1466">
        <f t="shared" si="2"/>
        <v>95400</v>
      </c>
      <c r="U33" s="1466">
        <f t="shared" si="2"/>
        <v>100600</v>
      </c>
      <c r="V33" s="1466">
        <f t="shared" si="2"/>
        <v>127200</v>
      </c>
      <c r="W33" s="1466">
        <f t="shared" si="2"/>
        <v>142200</v>
      </c>
      <c r="X33" s="1466">
        <f t="shared" si="2"/>
        <v>138800</v>
      </c>
      <c r="Y33" s="1466">
        <f t="shared" si="2"/>
        <v>144300</v>
      </c>
      <c r="Z33" s="1466">
        <f t="shared" si="2"/>
        <v>140500</v>
      </c>
      <c r="AA33" s="1466">
        <f t="shared" si="2"/>
        <v>144000</v>
      </c>
      <c r="AB33" s="1466">
        <f t="shared" si="2"/>
        <v>149200</v>
      </c>
      <c r="AC33" s="1466">
        <f t="shared" si="2"/>
        <v>154800</v>
      </c>
      <c r="AD33" s="1466">
        <f t="shared" si="2"/>
        <v>165500</v>
      </c>
      <c r="AE33" s="1466">
        <f t="shared" si="2"/>
        <v>182800</v>
      </c>
      <c r="AF33" s="1466">
        <f t="shared" si="2"/>
        <v>167000</v>
      </c>
      <c r="AG33" s="1466">
        <f t="shared" si="2"/>
        <v>173900</v>
      </c>
      <c r="AH33" s="1466">
        <f t="shared" si="2"/>
        <v>177600</v>
      </c>
      <c r="AI33" s="1466">
        <f t="shared" si="2"/>
        <v>172400</v>
      </c>
      <c r="AJ33" s="1466">
        <f t="shared" si="2"/>
        <v>174600</v>
      </c>
      <c r="AK33" s="1466">
        <f t="shared" si="2"/>
        <v>178400</v>
      </c>
      <c r="AL33" s="1466">
        <f t="shared" si="2"/>
        <v>0</v>
      </c>
      <c r="AM33" s="1466">
        <f t="shared" si="2"/>
        <v>0</v>
      </c>
      <c r="AN33" s="1466">
        <f t="shared" si="2"/>
        <v>0</v>
      </c>
      <c r="AO33" s="1466">
        <f t="shared" si="2"/>
        <v>0</v>
      </c>
      <c r="AP33" s="1466">
        <f t="shared" si="2"/>
        <v>0</v>
      </c>
      <c r="AQ33" s="1466">
        <f t="shared" si="2"/>
        <v>0</v>
      </c>
      <c r="AR33" s="1466">
        <f t="shared" si="2"/>
        <v>0</v>
      </c>
      <c r="AS33" s="1466">
        <f t="shared" si="2"/>
        <v>0</v>
      </c>
    </row>
    <row r="34" spans="1:85" s="224" customFormat="1" ht="15.6" hidden="1">
      <c r="A34" s="1432" t="s">
        <v>1176</v>
      </c>
      <c r="B34" s="1469" t="s">
        <v>1852</v>
      </c>
      <c r="D34" s="190"/>
      <c r="F34" s="1466">
        <f>+F96</f>
        <v>2</v>
      </c>
      <c r="G34" s="1466">
        <f t="shared" ref="G34:AS34" si="3">+G96</f>
        <v>2</v>
      </c>
      <c r="H34" s="1466">
        <f t="shared" si="3"/>
        <v>2</v>
      </c>
      <c r="I34" s="1466">
        <f t="shared" si="3"/>
        <v>2</v>
      </c>
      <c r="J34" s="1466">
        <f t="shared" si="3"/>
        <v>2</v>
      </c>
      <c r="K34" s="1466">
        <f t="shared" si="3"/>
        <v>2</v>
      </c>
      <c r="L34" s="1466">
        <f t="shared" si="3"/>
        <v>2</v>
      </c>
      <c r="M34" s="1466">
        <f t="shared" si="3"/>
        <v>2</v>
      </c>
      <c r="N34" s="1466">
        <f t="shared" si="3"/>
        <v>2</v>
      </c>
      <c r="O34" s="1466">
        <f t="shared" si="3"/>
        <v>2</v>
      </c>
      <c r="P34" s="1466">
        <f t="shared" si="3"/>
        <v>2</v>
      </c>
      <c r="Q34" s="1466">
        <f t="shared" si="3"/>
        <v>2</v>
      </c>
      <c r="R34" s="1466">
        <f t="shared" si="3"/>
        <v>2</v>
      </c>
      <c r="S34" s="1466">
        <f t="shared" si="3"/>
        <v>2</v>
      </c>
      <c r="T34" s="1466">
        <f t="shared" si="3"/>
        <v>2</v>
      </c>
      <c r="U34" s="1466">
        <f t="shared" si="3"/>
        <v>2</v>
      </c>
      <c r="V34" s="1466">
        <f t="shared" si="3"/>
        <v>2</v>
      </c>
      <c r="W34" s="1466">
        <f t="shared" si="3"/>
        <v>2</v>
      </c>
      <c r="X34" s="1466">
        <f t="shared" si="3"/>
        <v>2</v>
      </c>
      <c r="Y34" s="1466">
        <f t="shared" si="3"/>
        <v>2</v>
      </c>
      <c r="Z34" s="1466">
        <f t="shared" si="3"/>
        <v>2</v>
      </c>
      <c r="AA34" s="1466">
        <f t="shared" si="3"/>
        <v>2</v>
      </c>
      <c r="AB34" s="1466">
        <f t="shared" si="3"/>
        <v>2</v>
      </c>
      <c r="AC34" s="1466">
        <f t="shared" si="3"/>
        <v>2</v>
      </c>
      <c r="AD34" s="1466">
        <f t="shared" si="3"/>
        <v>1</v>
      </c>
      <c r="AE34" s="1466">
        <f t="shared" si="3"/>
        <v>1</v>
      </c>
      <c r="AF34" s="1466">
        <f t="shared" si="3"/>
        <v>1</v>
      </c>
      <c r="AG34" s="1466">
        <f t="shared" si="3"/>
        <v>1</v>
      </c>
      <c r="AH34" s="1466">
        <f t="shared" si="3"/>
        <v>1</v>
      </c>
      <c r="AI34" s="1466">
        <f t="shared" si="3"/>
        <v>1</v>
      </c>
      <c r="AJ34" s="1466">
        <f t="shared" si="3"/>
        <v>0</v>
      </c>
      <c r="AK34" s="1466">
        <f t="shared" si="3"/>
        <v>0</v>
      </c>
      <c r="AL34" s="1466">
        <f t="shared" si="3"/>
        <v>0</v>
      </c>
      <c r="AM34" s="1466">
        <f t="shared" si="3"/>
        <v>0</v>
      </c>
      <c r="AN34" s="1466">
        <f t="shared" si="3"/>
        <v>0</v>
      </c>
      <c r="AO34" s="1466">
        <f t="shared" si="3"/>
        <v>0</v>
      </c>
      <c r="AP34" s="1466">
        <f t="shared" si="3"/>
        <v>0</v>
      </c>
      <c r="AQ34" s="1466">
        <f t="shared" si="3"/>
        <v>0</v>
      </c>
      <c r="AR34" s="1466">
        <f t="shared" si="3"/>
        <v>0</v>
      </c>
      <c r="AS34" s="1466">
        <f t="shared" si="3"/>
        <v>0</v>
      </c>
    </row>
    <row r="35" spans="1:85" s="224" customFormat="1" ht="15.6" hidden="1">
      <c r="A35" s="1432" t="s">
        <v>1176</v>
      </c>
      <c r="B35" s="1469" t="s">
        <v>1950</v>
      </c>
      <c r="F35" s="190">
        <f>IF(F29&gt;64,1,0)+IF(F30="",0,IF(F30&gt;64,1,0))</f>
        <v>0</v>
      </c>
      <c r="G35" s="190">
        <f t="shared" ref="G35:AS35" si="4">IF(G29&gt;64,1,0)+IF(G30="",0,IF(G30&gt;64,1,0))</f>
        <v>0</v>
      </c>
      <c r="H35" s="190">
        <f t="shared" si="4"/>
        <v>0</v>
      </c>
      <c r="I35" s="190">
        <f t="shared" si="4"/>
        <v>1</v>
      </c>
      <c r="J35" s="190">
        <f t="shared" si="4"/>
        <v>2</v>
      </c>
      <c r="K35" s="190">
        <f t="shared" si="4"/>
        <v>2</v>
      </c>
      <c r="L35" s="190">
        <f t="shared" si="4"/>
        <v>2</v>
      </c>
      <c r="M35" s="190">
        <f t="shared" si="4"/>
        <v>2</v>
      </c>
      <c r="N35" s="190">
        <f t="shared" si="4"/>
        <v>2</v>
      </c>
      <c r="O35" s="190">
        <f t="shared" si="4"/>
        <v>2</v>
      </c>
      <c r="P35" s="190">
        <f t="shared" si="4"/>
        <v>2</v>
      </c>
      <c r="Q35" s="190">
        <f t="shared" si="4"/>
        <v>2</v>
      </c>
      <c r="R35" s="190">
        <f t="shared" si="4"/>
        <v>2</v>
      </c>
      <c r="S35" s="190">
        <f t="shared" si="4"/>
        <v>2</v>
      </c>
      <c r="T35" s="190">
        <f t="shared" si="4"/>
        <v>2</v>
      </c>
      <c r="U35" s="190">
        <f t="shared" si="4"/>
        <v>2</v>
      </c>
      <c r="V35" s="190">
        <f t="shared" si="4"/>
        <v>2</v>
      </c>
      <c r="W35" s="190">
        <f t="shared" si="4"/>
        <v>2</v>
      </c>
      <c r="X35" s="190">
        <f t="shared" si="4"/>
        <v>2</v>
      </c>
      <c r="Y35" s="190">
        <f t="shared" si="4"/>
        <v>2</v>
      </c>
      <c r="Z35" s="190">
        <f t="shared" si="4"/>
        <v>2</v>
      </c>
      <c r="AA35" s="190">
        <f t="shared" si="4"/>
        <v>2</v>
      </c>
      <c r="AB35" s="190">
        <f t="shared" si="4"/>
        <v>2</v>
      </c>
      <c r="AC35" s="190">
        <f t="shared" si="4"/>
        <v>2</v>
      </c>
      <c r="AD35" s="190">
        <f t="shared" si="4"/>
        <v>1</v>
      </c>
      <c r="AE35" s="190">
        <f t="shared" si="4"/>
        <v>1</v>
      </c>
      <c r="AF35" s="190">
        <f t="shared" si="4"/>
        <v>1</v>
      </c>
      <c r="AG35" s="190">
        <f t="shared" si="4"/>
        <v>1</v>
      </c>
      <c r="AH35" s="190">
        <f t="shared" si="4"/>
        <v>1</v>
      </c>
      <c r="AI35" s="190">
        <f t="shared" si="4"/>
        <v>1</v>
      </c>
      <c r="AJ35" s="190">
        <f t="shared" si="4"/>
        <v>0</v>
      </c>
      <c r="AK35" s="190">
        <f t="shared" si="4"/>
        <v>0</v>
      </c>
      <c r="AL35" s="190">
        <f t="shared" si="4"/>
        <v>0</v>
      </c>
      <c r="AM35" s="190">
        <f t="shared" si="4"/>
        <v>0</v>
      </c>
      <c r="AN35" s="190">
        <f t="shared" si="4"/>
        <v>0</v>
      </c>
      <c r="AO35" s="190">
        <f t="shared" si="4"/>
        <v>0</v>
      </c>
      <c r="AP35" s="190">
        <f t="shared" si="4"/>
        <v>0</v>
      </c>
      <c r="AQ35" s="190">
        <f t="shared" si="4"/>
        <v>0</v>
      </c>
      <c r="AR35" s="190">
        <f t="shared" si="4"/>
        <v>0</v>
      </c>
      <c r="AS35" s="190">
        <f t="shared" si="4"/>
        <v>0</v>
      </c>
    </row>
    <row r="36" spans="1:85" s="224" customFormat="1" ht="15.6" hidden="1">
      <c r="A36" s="1432" t="s">
        <v>1176</v>
      </c>
      <c r="B36" s="1383"/>
      <c r="C36" s="1510" t="s">
        <v>1949</v>
      </c>
      <c r="D36" s="1665">
        <f>+Inflation</f>
        <v>0.02</v>
      </c>
      <c r="F36" s="190"/>
      <c r="G36" s="1511"/>
      <c r="H36" s="190"/>
      <c r="I36" s="190"/>
      <c r="J36" s="190"/>
      <c r="K36" s="190"/>
      <c r="L36" s="190"/>
      <c r="M36" s="190"/>
      <c r="N36" s="190"/>
      <c r="O36" s="190"/>
      <c r="P36" s="190"/>
      <c r="Q36" s="190"/>
      <c r="R36" s="190"/>
      <c r="S36" s="190"/>
      <c r="T36" s="190"/>
      <c r="U36" s="190"/>
      <c r="V36" s="190"/>
      <c r="W36" s="190"/>
      <c r="X36" s="190"/>
      <c r="Y36" s="190"/>
      <c r="Z36" s="190"/>
      <c r="AA36" s="190"/>
      <c r="AB36" s="190"/>
      <c r="AC36" s="190"/>
      <c r="AD36" s="190"/>
      <c r="AE36" s="190"/>
      <c r="AF36" s="190"/>
      <c r="AG36" s="190"/>
      <c r="AH36" s="190"/>
      <c r="AI36" s="190"/>
      <c r="AJ36" s="190"/>
      <c r="AK36" s="190"/>
      <c r="AL36" s="190"/>
      <c r="AM36" s="190"/>
      <c r="AN36" s="190"/>
      <c r="AO36" s="190"/>
      <c r="AP36" s="190"/>
      <c r="AQ36" s="190"/>
      <c r="AR36" s="190"/>
      <c r="AS36" s="190"/>
    </row>
    <row r="37" spans="1:85" s="3" customFormat="1" ht="15.6" hidden="1">
      <c r="A37" s="1432" t="s">
        <v>1176</v>
      </c>
      <c r="B37" s="1469" t="s">
        <v>1862</v>
      </c>
      <c r="C37" s="1486" t="str">
        <f>IF(Medicare_D=0,"No Part D","Incl Part D")</f>
        <v>Incl Part D</v>
      </c>
      <c r="D37" s="1462">
        <f>+Medicare_B</f>
        <v>136</v>
      </c>
      <c r="E37" s="1462">
        <f>+Medicare_D</f>
        <v>41</v>
      </c>
      <c r="F37" s="1480">
        <f>+D37+E37</f>
        <v>177</v>
      </c>
      <c r="G37" s="190">
        <f t="shared" ref="G37:AS37" si="5">ROUND(+F37*(1+Inflation),1)</f>
        <v>180.5</v>
      </c>
      <c r="H37" s="190">
        <f t="shared" si="5"/>
        <v>184.1</v>
      </c>
      <c r="I37" s="190">
        <f t="shared" si="5"/>
        <v>187.8</v>
      </c>
      <c r="J37" s="190">
        <f t="shared" si="5"/>
        <v>191.6</v>
      </c>
      <c r="K37" s="190">
        <f t="shared" si="5"/>
        <v>195.4</v>
      </c>
      <c r="L37" s="190">
        <f t="shared" si="5"/>
        <v>199.3</v>
      </c>
      <c r="M37" s="190">
        <f t="shared" si="5"/>
        <v>203.3</v>
      </c>
      <c r="N37" s="190">
        <f t="shared" si="5"/>
        <v>207.4</v>
      </c>
      <c r="O37" s="190">
        <f t="shared" si="5"/>
        <v>211.5</v>
      </c>
      <c r="P37" s="190">
        <f t="shared" si="5"/>
        <v>215.7</v>
      </c>
      <c r="Q37" s="190">
        <f t="shared" si="5"/>
        <v>220</v>
      </c>
      <c r="R37" s="190">
        <f t="shared" si="5"/>
        <v>224.4</v>
      </c>
      <c r="S37" s="190">
        <f t="shared" si="5"/>
        <v>228.9</v>
      </c>
      <c r="T37" s="190">
        <f t="shared" si="5"/>
        <v>233.5</v>
      </c>
      <c r="U37" s="190">
        <f t="shared" si="5"/>
        <v>238.2</v>
      </c>
      <c r="V37" s="190">
        <f t="shared" si="5"/>
        <v>243</v>
      </c>
      <c r="W37" s="190">
        <f t="shared" si="5"/>
        <v>247.9</v>
      </c>
      <c r="X37" s="190">
        <f t="shared" si="5"/>
        <v>252.9</v>
      </c>
      <c r="Y37" s="190">
        <f t="shared" si="5"/>
        <v>258</v>
      </c>
      <c r="Z37" s="190">
        <f t="shared" si="5"/>
        <v>263.2</v>
      </c>
      <c r="AA37" s="190">
        <f t="shared" si="5"/>
        <v>268.5</v>
      </c>
      <c r="AB37" s="190">
        <f t="shared" si="5"/>
        <v>273.89999999999998</v>
      </c>
      <c r="AC37" s="190">
        <f t="shared" si="5"/>
        <v>279.39999999999998</v>
      </c>
      <c r="AD37" s="190">
        <f t="shared" si="5"/>
        <v>285</v>
      </c>
      <c r="AE37" s="190">
        <f t="shared" si="5"/>
        <v>290.7</v>
      </c>
      <c r="AF37" s="190">
        <f t="shared" si="5"/>
        <v>296.5</v>
      </c>
      <c r="AG37" s="190">
        <f t="shared" si="5"/>
        <v>302.39999999999998</v>
      </c>
      <c r="AH37" s="190">
        <f t="shared" si="5"/>
        <v>308.39999999999998</v>
      </c>
      <c r="AI37" s="190">
        <f t="shared" si="5"/>
        <v>314.60000000000002</v>
      </c>
      <c r="AJ37" s="190">
        <f t="shared" si="5"/>
        <v>320.89999999999998</v>
      </c>
      <c r="AK37" s="190">
        <f t="shared" si="5"/>
        <v>327.3</v>
      </c>
      <c r="AL37" s="190">
        <f t="shared" si="5"/>
        <v>333.8</v>
      </c>
      <c r="AM37" s="190">
        <f t="shared" si="5"/>
        <v>340.5</v>
      </c>
      <c r="AN37" s="190">
        <f t="shared" si="5"/>
        <v>347.3</v>
      </c>
      <c r="AO37" s="190">
        <f t="shared" si="5"/>
        <v>354.2</v>
      </c>
      <c r="AP37" s="190">
        <f t="shared" si="5"/>
        <v>361.3</v>
      </c>
      <c r="AQ37" s="190">
        <f t="shared" si="5"/>
        <v>368.5</v>
      </c>
      <c r="AR37" s="190">
        <f t="shared" si="5"/>
        <v>375.9</v>
      </c>
      <c r="AS37" s="190">
        <f t="shared" si="5"/>
        <v>383.4</v>
      </c>
      <c r="AT37" s="65"/>
      <c r="AU37" s="31"/>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row>
    <row r="38" spans="1:85" s="3" customFormat="1" ht="15.6" hidden="1">
      <c r="A38" s="1432" t="s">
        <v>1176</v>
      </c>
      <c r="B38" s="1116" t="s">
        <v>1902</v>
      </c>
      <c r="D38" s="190">
        <f>SUM(F38:AS38)</f>
        <v>11297.4</v>
      </c>
      <c r="E38" s="1478"/>
      <c r="F38" s="192">
        <f t="shared" ref="F38:AS38" si="6">+F35*F37</f>
        <v>0</v>
      </c>
      <c r="G38" s="190">
        <f t="shared" si="6"/>
        <v>0</v>
      </c>
      <c r="H38" s="190">
        <f t="shared" si="6"/>
        <v>0</v>
      </c>
      <c r="I38" s="190">
        <f t="shared" si="6"/>
        <v>187.8</v>
      </c>
      <c r="J38" s="190">
        <f t="shared" si="6"/>
        <v>383.2</v>
      </c>
      <c r="K38" s="190">
        <f t="shared" si="6"/>
        <v>390.8</v>
      </c>
      <c r="L38" s="190">
        <f t="shared" si="6"/>
        <v>398.6</v>
      </c>
      <c r="M38" s="190">
        <f t="shared" si="6"/>
        <v>406.6</v>
      </c>
      <c r="N38" s="190">
        <f t="shared" si="6"/>
        <v>414.8</v>
      </c>
      <c r="O38" s="190">
        <f t="shared" si="6"/>
        <v>423</v>
      </c>
      <c r="P38" s="190">
        <f t="shared" si="6"/>
        <v>431.4</v>
      </c>
      <c r="Q38" s="190">
        <f t="shared" si="6"/>
        <v>440</v>
      </c>
      <c r="R38" s="190">
        <f t="shared" si="6"/>
        <v>448.8</v>
      </c>
      <c r="S38" s="190">
        <f t="shared" si="6"/>
        <v>457.8</v>
      </c>
      <c r="T38" s="190">
        <f t="shared" si="6"/>
        <v>467</v>
      </c>
      <c r="U38" s="190">
        <f t="shared" si="6"/>
        <v>476.4</v>
      </c>
      <c r="V38" s="190">
        <f t="shared" si="6"/>
        <v>486</v>
      </c>
      <c r="W38" s="190">
        <f t="shared" si="6"/>
        <v>495.8</v>
      </c>
      <c r="X38" s="190">
        <f t="shared" si="6"/>
        <v>505.8</v>
      </c>
      <c r="Y38" s="190">
        <f t="shared" si="6"/>
        <v>516</v>
      </c>
      <c r="Z38" s="190">
        <f t="shared" si="6"/>
        <v>526.4</v>
      </c>
      <c r="AA38" s="190">
        <f t="shared" si="6"/>
        <v>537</v>
      </c>
      <c r="AB38" s="190">
        <f t="shared" si="6"/>
        <v>547.79999999999995</v>
      </c>
      <c r="AC38" s="190">
        <f t="shared" si="6"/>
        <v>558.79999999999995</v>
      </c>
      <c r="AD38" s="190">
        <f t="shared" si="6"/>
        <v>285</v>
      </c>
      <c r="AE38" s="190">
        <f t="shared" si="6"/>
        <v>290.7</v>
      </c>
      <c r="AF38" s="190">
        <f t="shared" si="6"/>
        <v>296.5</v>
      </c>
      <c r="AG38" s="190">
        <f t="shared" si="6"/>
        <v>302.39999999999998</v>
      </c>
      <c r="AH38" s="190">
        <f t="shared" si="6"/>
        <v>308.39999999999998</v>
      </c>
      <c r="AI38" s="190">
        <f t="shared" si="6"/>
        <v>314.60000000000002</v>
      </c>
      <c r="AJ38" s="190">
        <f t="shared" si="6"/>
        <v>0</v>
      </c>
      <c r="AK38" s="190">
        <f t="shared" si="6"/>
        <v>0</v>
      </c>
      <c r="AL38" s="190">
        <f t="shared" si="6"/>
        <v>0</v>
      </c>
      <c r="AM38" s="190">
        <f t="shared" si="6"/>
        <v>0</v>
      </c>
      <c r="AN38" s="190">
        <f t="shared" si="6"/>
        <v>0</v>
      </c>
      <c r="AO38" s="190">
        <f t="shared" si="6"/>
        <v>0</v>
      </c>
      <c r="AP38" s="190">
        <f t="shared" si="6"/>
        <v>0</v>
      </c>
      <c r="AQ38" s="190">
        <f t="shared" si="6"/>
        <v>0</v>
      </c>
      <c r="AR38" s="190">
        <f t="shared" si="6"/>
        <v>0</v>
      </c>
      <c r="AS38" s="190">
        <f t="shared" si="6"/>
        <v>0</v>
      </c>
      <c r="AT38" s="65"/>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row>
    <row r="39" spans="1:85" s="3" customFormat="1" ht="19.95" hidden="1" customHeight="1">
      <c r="A39" s="1432" t="s">
        <v>1176</v>
      </c>
      <c r="B39" s="524" t="s">
        <v>1858</v>
      </c>
      <c r="D39" s="1406"/>
      <c r="E39" s="487">
        <v>85000</v>
      </c>
      <c r="F39" s="1506">
        <f>+E39</f>
        <v>85000</v>
      </c>
      <c r="G39" s="1506">
        <f t="shared" ref="G39:AS39" si="7">ROUND(+F39*(1+Inflation),1)</f>
        <v>86700</v>
      </c>
      <c r="H39" s="1506">
        <f t="shared" si="7"/>
        <v>88434</v>
      </c>
      <c r="I39" s="1506">
        <f t="shared" si="7"/>
        <v>90202.7</v>
      </c>
      <c r="J39" s="1506">
        <f t="shared" si="7"/>
        <v>92006.8</v>
      </c>
      <c r="K39" s="1506">
        <f t="shared" si="7"/>
        <v>93846.9</v>
      </c>
      <c r="L39" s="1506">
        <f t="shared" si="7"/>
        <v>95723.8</v>
      </c>
      <c r="M39" s="1506">
        <f t="shared" si="7"/>
        <v>97638.3</v>
      </c>
      <c r="N39" s="1506">
        <f t="shared" si="7"/>
        <v>99591.1</v>
      </c>
      <c r="O39" s="1506">
        <f t="shared" si="7"/>
        <v>101582.9</v>
      </c>
      <c r="P39" s="1506">
        <f t="shared" si="7"/>
        <v>103614.6</v>
      </c>
      <c r="Q39" s="1506">
        <f t="shared" si="7"/>
        <v>105686.9</v>
      </c>
      <c r="R39" s="1506">
        <f t="shared" si="7"/>
        <v>107800.6</v>
      </c>
      <c r="S39" s="1506">
        <f t="shared" si="7"/>
        <v>109956.6</v>
      </c>
      <c r="T39" s="1506">
        <f t="shared" si="7"/>
        <v>112155.7</v>
      </c>
      <c r="U39" s="1506">
        <f t="shared" si="7"/>
        <v>114398.8</v>
      </c>
      <c r="V39" s="1506">
        <f t="shared" si="7"/>
        <v>116686.8</v>
      </c>
      <c r="W39" s="1506">
        <f t="shared" si="7"/>
        <v>119020.5</v>
      </c>
      <c r="X39" s="1506">
        <f t="shared" si="7"/>
        <v>121400.9</v>
      </c>
      <c r="Y39" s="1506">
        <f t="shared" si="7"/>
        <v>123828.9</v>
      </c>
      <c r="Z39" s="1506">
        <f t="shared" si="7"/>
        <v>126305.5</v>
      </c>
      <c r="AA39" s="1506">
        <f t="shared" si="7"/>
        <v>128831.6</v>
      </c>
      <c r="AB39" s="1506">
        <f t="shared" si="7"/>
        <v>131408.20000000001</v>
      </c>
      <c r="AC39" s="1506">
        <f t="shared" si="7"/>
        <v>134036.4</v>
      </c>
      <c r="AD39" s="1506">
        <f t="shared" si="7"/>
        <v>136717.1</v>
      </c>
      <c r="AE39" s="1506">
        <f t="shared" si="7"/>
        <v>139451.4</v>
      </c>
      <c r="AF39" s="1506">
        <f t="shared" si="7"/>
        <v>142240.4</v>
      </c>
      <c r="AG39" s="1506">
        <f t="shared" si="7"/>
        <v>145085.20000000001</v>
      </c>
      <c r="AH39" s="1506">
        <f t="shared" si="7"/>
        <v>147986.9</v>
      </c>
      <c r="AI39" s="1506">
        <f t="shared" si="7"/>
        <v>150946.6</v>
      </c>
      <c r="AJ39" s="1506">
        <f t="shared" si="7"/>
        <v>153965.5</v>
      </c>
      <c r="AK39" s="1506">
        <f t="shared" si="7"/>
        <v>157044.79999999999</v>
      </c>
      <c r="AL39" s="1506">
        <f t="shared" si="7"/>
        <v>160185.70000000001</v>
      </c>
      <c r="AM39" s="1506">
        <f t="shared" si="7"/>
        <v>163389.4</v>
      </c>
      <c r="AN39" s="1506">
        <f t="shared" si="7"/>
        <v>166657.20000000001</v>
      </c>
      <c r="AO39" s="1506">
        <f t="shared" si="7"/>
        <v>169990.3</v>
      </c>
      <c r="AP39" s="1506">
        <f t="shared" si="7"/>
        <v>173390.1</v>
      </c>
      <c r="AQ39" s="1506">
        <f t="shared" si="7"/>
        <v>176857.9</v>
      </c>
      <c r="AR39" s="1506">
        <f t="shared" si="7"/>
        <v>180395.1</v>
      </c>
      <c r="AS39" s="1506">
        <f t="shared" si="7"/>
        <v>184003</v>
      </c>
      <c r="AT39" s="1507"/>
      <c r="AU39" s="776"/>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row>
    <row r="40" spans="1:85" s="3" customFormat="1" hidden="1">
      <c r="A40" s="1432" t="s">
        <v>1176</v>
      </c>
      <c r="B40" s="524" t="s">
        <v>1866</v>
      </c>
      <c r="D40" s="1406"/>
      <c r="E40" s="1490">
        <f>+E39*2</f>
        <v>170000</v>
      </c>
      <c r="F40" s="1490">
        <f t="shared" ref="F40:AS40" si="8">+F39*2</f>
        <v>170000</v>
      </c>
      <c r="G40" s="1490">
        <f>+G39*2</f>
        <v>173400</v>
      </c>
      <c r="H40" s="1490">
        <f t="shared" si="8"/>
        <v>176868</v>
      </c>
      <c r="I40" s="1490">
        <f t="shared" si="8"/>
        <v>180405.4</v>
      </c>
      <c r="J40" s="1490">
        <f t="shared" si="8"/>
        <v>184013.6</v>
      </c>
      <c r="K40" s="1490">
        <f t="shared" si="8"/>
        <v>187693.8</v>
      </c>
      <c r="L40" s="1490">
        <f t="shared" si="8"/>
        <v>191447.6</v>
      </c>
      <c r="M40" s="1490">
        <f t="shared" si="8"/>
        <v>195276.6</v>
      </c>
      <c r="N40" s="1490">
        <f t="shared" si="8"/>
        <v>199182.2</v>
      </c>
      <c r="O40" s="1490">
        <f t="shared" si="8"/>
        <v>203165.8</v>
      </c>
      <c r="P40" s="1490">
        <f t="shared" si="8"/>
        <v>207229.2</v>
      </c>
      <c r="Q40" s="1490">
        <f t="shared" si="8"/>
        <v>211373.8</v>
      </c>
      <c r="R40" s="1490">
        <f t="shared" si="8"/>
        <v>215601.2</v>
      </c>
      <c r="S40" s="1490">
        <f t="shared" si="8"/>
        <v>219913.2</v>
      </c>
      <c r="T40" s="1490">
        <f t="shared" si="8"/>
        <v>224311.4</v>
      </c>
      <c r="U40" s="1490">
        <f t="shared" si="8"/>
        <v>228797.6</v>
      </c>
      <c r="V40" s="1490">
        <f t="shared" si="8"/>
        <v>233373.6</v>
      </c>
      <c r="W40" s="1490">
        <f t="shared" si="8"/>
        <v>238041</v>
      </c>
      <c r="X40" s="1490">
        <f t="shared" si="8"/>
        <v>242801.8</v>
      </c>
      <c r="Y40" s="1490">
        <f t="shared" si="8"/>
        <v>247657.8</v>
      </c>
      <c r="Z40" s="1490">
        <f t="shared" si="8"/>
        <v>252611</v>
      </c>
      <c r="AA40" s="1490">
        <f t="shared" si="8"/>
        <v>257663.2</v>
      </c>
      <c r="AB40" s="1490">
        <f t="shared" si="8"/>
        <v>262816.40000000002</v>
      </c>
      <c r="AC40" s="1490">
        <f t="shared" si="8"/>
        <v>268072.8</v>
      </c>
      <c r="AD40" s="1490">
        <f t="shared" si="8"/>
        <v>273434.2</v>
      </c>
      <c r="AE40" s="1490">
        <f t="shared" si="8"/>
        <v>278902.8</v>
      </c>
      <c r="AF40" s="1490">
        <f t="shared" si="8"/>
        <v>284480.8</v>
      </c>
      <c r="AG40" s="1490">
        <f t="shared" si="8"/>
        <v>290170.40000000002</v>
      </c>
      <c r="AH40" s="1490">
        <f t="shared" si="8"/>
        <v>295973.8</v>
      </c>
      <c r="AI40" s="1490">
        <f t="shared" si="8"/>
        <v>301893.2</v>
      </c>
      <c r="AJ40" s="1490">
        <f t="shared" si="8"/>
        <v>307931</v>
      </c>
      <c r="AK40" s="1490">
        <f t="shared" si="8"/>
        <v>314089.59999999998</v>
      </c>
      <c r="AL40" s="1490">
        <f t="shared" si="8"/>
        <v>320371.40000000002</v>
      </c>
      <c r="AM40" s="1490">
        <f t="shared" si="8"/>
        <v>326778.8</v>
      </c>
      <c r="AN40" s="1490">
        <f t="shared" si="8"/>
        <v>333314.40000000002</v>
      </c>
      <c r="AO40" s="1490">
        <f t="shared" si="8"/>
        <v>339980.6</v>
      </c>
      <c r="AP40" s="1490">
        <f t="shared" si="8"/>
        <v>346780.2</v>
      </c>
      <c r="AQ40" s="1490">
        <f t="shared" si="8"/>
        <v>353715.8</v>
      </c>
      <c r="AR40" s="1490">
        <f t="shared" si="8"/>
        <v>360790.2</v>
      </c>
      <c r="AS40" s="1490">
        <f t="shared" si="8"/>
        <v>368006</v>
      </c>
      <c r="AT40" s="1507"/>
      <c r="AU40" s="776"/>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row>
    <row r="41" spans="1:85" s="3" customFormat="1" ht="15.6" hidden="1">
      <c r="A41" s="1432" t="s">
        <v>1176</v>
      </c>
      <c r="B41" s="1476" t="s">
        <v>1855</v>
      </c>
      <c r="D41" s="1011"/>
      <c r="E41" s="1465">
        <v>107000</v>
      </c>
      <c r="F41" s="1506">
        <f>+E41</f>
        <v>107000</v>
      </c>
      <c r="G41" s="1506">
        <f t="shared" ref="G41:AS41" si="9">ROUND(+F41*(1+Inflation),1)</f>
        <v>109140</v>
      </c>
      <c r="H41" s="1506">
        <f t="shared" si="9"/>
        <v>111322.8</v>
      </c>
      <c r="I41" s="1506">
        <f t="shared" si="9"/>
        <v>113549.3</v>
      </c>
      <c r="J41" s="1506">
        <f t="shared" si="9"/>
        <v>115820.3</v>
      </c>
      <c r="K41" s="1506">
        <f t="shared" si="9"/>
        <v>118136.7</v>
      </c>
      <c r="L41" s="1506">
        <f t="shared" si="9"/>
        <v>120499.4</v>
      </c>
      <c r="M41" s="1506">
        <f t="shared" si="9"/>
        <v>122909.4</v>
      </c>
      <c r="N41" s="1506">
        <f t="shared" si="9"/>
        <v>125367.6</v>
      </c>
      <c r="O41" s="1506">
        <f t="shared" si="9"/>
        <v>127875</v>
      </c>
      <c r="P41" s="1506">
        <f t="shared" si="9"/>
        <v>130432.5</v>
      </c>
      <c r="Q41" s="1506">
        <f t="shared" si="9"/>
        <v>133041.20000000001</v>
      </c>
      <c r="R41" s="1506">
        <f t="shared" si="9"/>
        <v>135702</v>
      </c>
      <c r="S41" s="1506">
        <f t="shared" si="9"/>
        <v>138416</v>
      </c>
      <c r="T41" s="1506">
        <f t="shared" si="9"/>
        <v>141184.29999999999</v>
      </c>
      <c r="U41" s="1506">
        <f t="shared" si="9"/>
        <v>144008</v>
      </c>
      <c r="V41" s="1506">
        <f t="shared" si="9"/>
        <v>146888.20000000001</v>
      </c>
      <c r="W41" s="1506">
        <f t="shared" si="9"/>
        <v>149826</v>
      </c>
      <c r="X41" s="1506">
        <f t="shared" si="9"/>
        <v>152822.5</v>
      </c>
      <c r="Y41" s="1506">
        <f t="shared" si="9"/>
        <v>155879</v>
      </c>
      <c r="Z41" s="1506">
        <f t="shared" si="9"/>
        <v>158996.6</v>
      </c>
      <c r="AA41" s="1506">
        <f t="shared" si="9"/>
        <v>162176.5</v>
      </c>
      <c r="AB41" s="1506">
        <f t="shared" si="9"/>
        <v>165420</v>
      </c>
      <c r="AC41" s="1506">
        <f t="shared" si="9"/>
        <v>168728.4</v>
      </c>
      <c r="AD41" s="1506">
        <f t="shared" si="9"/>
        <v>172103</v>
      </c>
      <c r="AE41" s="1506">
        <f t="shared" si="9"/>
        <v>175545.1</v>
      </c>
      <c r="AF41" s="1506">
        <f t="shared" si="9"/>
        <v>179056</v>
      </c>
      <c r="AG41" s="1506">
        <f t="shared" si="9"/>
        <v>182637.1</v>
      </c>
      <c r="AH41" s="1506">
        <f t="shared" si="9"/>
        <v>186289.8</v>
      </c>
      <c r="AI41" s="1506">
        <f t="shared" si="9"/>
        <v>190015.6</v>
      </c>
      <c r="AJ41" s="1506">
        <f t="shared" si="9"/>
        <v>193815.9</v>
      </c>
      <c r="AK41" s="1506">
        <f t="shared" si="9"/>
        <v>197692.2</v>
      </c>
      <c r="AL41" s="1506">
        <f t="shared" si="9"/>
        <v>201646</v>
      </c>
      <c r="AM41" s="1506">
        <f t="shared" si="9"/>
        <v>205678.9</v>
      </c>
      <c r="AN41" s="1506">
        <f t="shared" si="9"/>
        <v>209792.5</v>
      </c>
      <c r="AO41" s="1506">
        <f t="shared" si="9"/>
        <v>213988.4</v>
      </c>
      <c r="AP41" s="1506">
        <f t="shared" si="9"/>
        <v>218268.2</v>
      </c>
      <c r="AQ41" s="1506">
        <f t="shared" si="9"/>
        <v>222633.60000000001</v>
      </c>
      <c r="AR41" s="1506">
        <f t="shared" si="9"/>
        <v>227086.3</v>
      </c>
      <c r="AS41" s="1506">
        <f t="shared" si="9"/>
        <v>231628</v>
      </c>
      <c r="AT41" s="1507"/>
      <c r="AU41" s="776"/>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row>
    <row r="42" spans="1:85" s="3" customFormat="1" hidden="1">
      <c r="A42" s="1432" t="s">
        <v>1176</v>
      </c>
      <c r="B42" s="524" t="s">
        <v>1867</v>
      </c>
      <c r="D42" s="1011"/>
      <c r="E42" s="1490">
        <f t="shared" ref="E42:AS42" si="10">+E41*2</f>
        <v>214000</v>
      </c>
      <c r="F42" s="1490">
        <f t="shared" si="10"/>
        <v>214000</v>
      </c>
      <c r="G42" s="1490">
        <f>+G41*2</f>
        <v>218280</v>
      </c>
      <c r="H42" s="1490">
        <f t="shared" si="10"/>
        <v>222645.6</v>
      </c>
      <c r="I42" s="1490">
        <f t="shared" si="10"/>
        <v>227098.6</v>
      </c>
      <c r="J42" s="1490">
        <f t="shared" si="10"/>
        <v>231640.6</v>
      </c>
      <c r="K42" s="1490">
        <f t="shared" si="10"/>
        <v>236273.4</v>
      </c>
      <c r="L42" s="1490">
        <f t="shared" si="10"/>
        <v>240998.8</v>
      </c>
      <c r="M42" s="1490">
        <f t="shared" si="10"/>
        <v>245818.8</v>
      </c>
      <c r="N42" s="1490">
        <f t="shared" si="10"/>
        <v>250735.2</v>
      </c>
      <c r="O42" s="1490">
        <f t="shared" si="10"/>
        <v>255750</v>
      </c>
      <c r="P42" s="1490">
        <f t="shared" si="10"/>
        <v>260865</v>
      </c>
      <c r="Q42" s="1490">
        <f t="shared" si="10"/>
        <v>266082.40000000002</v>
      </c>
      <c r="R42" s="1490">
        <f t="shared" si="10"/>
        <v>271404</v>
      </c>
      <c r="S42" s="1490">
        <f t="shared" si="10"/>
        <v>276832</v>
      </c>
      <c r="T42" s="1490">
        <f t="shared" si="10"/>
        <v>282368.59999999998</v>
      </c>
      <c r="U42" s="1490">
        <f t="shared" si="10"/>
        <v>288016</v>
      </c>
      <c r="V42" s="1490">
        <f t="shared" si="10"/>
        <v>293776.40000000002</v>
      </c>
      <c r="W42" s="1490">
        <f t="shared" si="10"/>
        <v>299652</v>
      </c>
      <c r="X42" s="1490">
        <f t="shared" si="10"/>
        <v>305645</v>
      </c>
      <c r="Y42" s="1490">
        <f t="shared" si="10"/>
        <v>311758</v>
      </c>
      <c r="Z42" s="1490">
        <f t="shared" si="10"/>
        <v>317993.2</v>
      </c>
      <c r="AA42" s="1490">
        <f t="shared" si="10"/>
        <v>324353</v>
      </c>
      <c r="AB42" s="1490">
        <f t="shared" si="10"/>
        <v>330840</v>
      </c>
      <c r="AC42" s="1490">
        <f t="shared" si="10"/>
        <v>337456.8</v>
      </c>
      <c r="AD42" s="1490">
        <f t="shared" si="10"/>
        <v>344206</v>
      </c>
      <c r="AE42" s="1490">
        <f t="shared" si="10"/>
        <v>351090.2</v>
      </c>
      <c r="AF42" s="1490">
        <f t="shared" si="10"/>
        <v>358112</v>
      </c>
      <c r="AG42" s="1490">
        <f t="shared" si="10"/>
        <v>365274.2</v>
      </c>
      <c r="AH42" s="1490">
        <f t="shared" si="10"/>
        <v>372579.6</v>
      </c>
      <c r="AI42" s="1490">
        <f t="shared" si="10"/>
        <v>380031.2</v>
      </c>
      <c r="AJ42" s="1490">
        <f t="shared" si="10"/>
        <v>387631.8</v>
      </c>
      <c r="AK42" s="1490">
        <f t="shared" si="10"/>
        <v>395384.4</v>
      </c>
      <c r="AL42" s="1490">
        <f t="shared" si="10"/>
        <v>403292</v>
      </c>
      <c r="AM42" s="1490">
        <f t="shared" si="10"/>
        <v>411357.8</v>
      </c>
      <c r="AN42" s="1490">
        <f t="shared" si="10"/>
        <v>419585</v>
      </c>
      <c r="AO42" s="1490">
        <f t="shared" si="10"/>
        <v>427976.8</v>
      </c>
      <c r="AP42" s="1490">
        <f t="shared" si="10"/>
        <v>436536.4</v>
      </c>
      <c r="AQ42" s="1490">
        <f t="shared" si="10"/>
        <v>445267.20000000001</v>
      </c>
      <c r="AR42" s="1490">
        <f t="shared" si="10"/>
        <v>454172.6</v>
      </c>
      <c r="AS42" s="1490">
        <f t="shared" si="10"/>
        <v>463256</v>
      </c>
      <c r="AT42" s="1507"/>
      <c r="AU42" s="776"/>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row>
    <row r="43" spans="1:85" s="3" customFormat="1" ht="15.6" hidden="1">
      <c r="A43" s="1432" t="s">
        <v>1176</v>
      </c>
      <c r="B43" s="524" t="s">
        <v>1856</v>
      </c>
      <c r="C43" s="918"/>
      <c r="D43" s="1011"/>
      <c r="E43" s="1465">
        <v>133500</v>
      </c>
      <c r="F43" s="1506">
        <f>+E43</f>
        <v>133500</v>
      </c>
      <c r="G43" s="1506">
        <f t="shared" ref="G43:AS43" si="11">ROUND(+F43*(1+Inflation),1)</f>
        <v>136170</v>
      </c>
      <c r="H43" s="1506">
        <f t="shared" si="11"/>
        <v>138893.4</v>
      </c>
      <c r="I43" s="1506">
        <f t="shared" si="11"/>
        <v>141671.29999999999</v>
      </c>
      <c r="J43" s="1506">
        <f t="shared" si="11"/>
        <v>144504.70000000001</v>
      </c>
      <c r="K43" s="1506">
        <f t="shared" si="11"/>
        <v>147394.79999999999</v>
      </c>
      <c r="L43" s="1506">
        <f t="shared" si="11"/>
        <v>150342.70000000001</v>
      </c>
      <c r="M43" s="1506">
        <f t="shared" si="11"/>
        <v>153349.6</v>
      </c>
      <c r="N43" s="1506">
        <f t="shared" si="11"/>
        <v>156416.6</v>
      </c>
      <c r="O43" s="1506">
        <f t="shared" si="11"/>
        <v>159544.9</v>
      </c>
      <c r="P43" s="1506">
        <f t="shared" si="11"/>
        <v>162735.79999999999</v>
      </c>
      <c r="Q43" s="1506">
        <f t="shared" si="11"/>
        <v>165990.5</v>
      </c>
      <c r="R43" s="1506">
        <f t="shared" si="11"/>
        <v>169310.3</v>
      </c>
      <c r="S43" s="1506">
        <f t="shared" si="11"/>
        <v>172696.5</v>
      </c>
      <c r="T43" s="1506">
        <f t="shared" si="11"/>
        <v>176150.39999999999</v>
      </c>
      <c r="U43" s="1506">
        <f t="shared" si="11"/>
        <v>179673.4</v>
      </c>
      <c r="V43" s="1506">
        <f t="shared" si="11"/>
        <v>183266.9</v>
      </c>
      <c r="W43" s="1506">
        <f t="shared" si="11"/>
        <v>186932.2</v>
      </c>
      <c r="X43" s="1506">
        <f t="shared" si="11"/>
        <v>190670.8</v>
      </c>
      <c r="Y43" s="1506">
        <f t="shared" si="11"/>
        <v>194484.2</v>
      </c>
      <c r="Z43" s="1506">
        <f t="shared" si="11"/>
        <v>198373.9</v>
      </c>
      <c r="AA43" s="1506">
        <f t="shared" si="11"/>
        <v>202341.4</v>
      </c>
      <c r="AB43" s="1506">
        <f t="shared" si="11"/>
        <v>206388.2</v>
      </c>
      <c r="AC43" s="1506">
        <f t="shared" si="11"/>
        <v>210516</v>
      </c>
      <c r="AD43" s="1506">
        <f t="shared" si="11"/>
        <v>214726.3</v>
      </c>
      <c r="AE43" s="1506">
        <f t="shared" si="11"/>
        <v>219020.79999999999</v>
      </c>
      <c r="AF43" s="1506">
        <f t="shared" si="11"/>
        <v>223401.2</v>
      </c>
      <c r="AG43" s="1506">
        <f t="shared" si="11"/>
        <v>227869.2</v>
      </c>
      <c r="AH43" s="1506">
        <f t="shared" si="11"/>
        <v>232426.6</v>
      </c>
      <c r="AI43" s="1506">
        <f t="shared" si="11"/>
        <v>237075.1</v>
      </c>
      <c r="AJ43" s="1506">
        <f t="shared" si="11"/>
        <v>241816.6</v>
      </c>
      <c r="AK43" s="1506">
        <f t="shared" si="11"/>
        <v>246652.9</v>
      </c>
      <c r="AL43" s="1506">
        <f t="shared" si="11"/>
        <v>251586</v>
      </c>
      <c r="AM43" s="1506">
        <f t="shared" si="11"/>
        <v>256617.7</v>
      </c>
      <c r="AN43" s="1506">
        <f t="shared" si="11"/>
        <v>261750.1</v>
      </c>
      <c r="AO43" s="1506">
        <f t="shared" si="11"/>
        <v>266985.09999999998</v>
      </c>
      <c r="AP43" s="1506">
        <f t="shared" si="11"/>
        <v>272324.8</v>
      </c>
      <c r="AQ43" s="1506">
        <f t="shared" si="11"/>
        <v>277771.3</v>
      </c>
      <c r="AR43" s="1506">
        <f t="shared" si="11"/>
        <v>283326.7</v>
      </c>
      <c r="AS43" s="1506">
        <f t="shared" si="11"/>
        <v>288993.2</v>
      </c>
      <c r="AT43" s="1508"/>
      <c r="AU43" s="776"/>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row>
    <row r="44" spans="1:85" s="3" customFormat="1" ht="15.6" hidden="1">
      <c r="A44" s="1432" t="s">
        <v>1176</v>
      </c>
      <c r="B44" s="524" t="s">
        <v>1868</v>
      </c>
      <c r="C44" s="918"/>
      <c r="D44" s="1011"/>
      <c r="E44" s="1490">
        <f t="shared" ref="E44:AS44" si="12">+E43*2</f>
        <v>267000</v>
      </c>
      <c r="F44" s="1490">
        <f t="shared" si="12"/>
        <v>267000</v>
      </c>
      <c r="G44" s="1490">
        <f>+G43*2</f>
        <v>272340</v>
      </c>
      <c r="H44" s="1490">
        <f t="shared" si="12"/>
        <v>277786.8</v>
      </c>
      <c r="I44" s="1490">
        <f t="shared" si="12"/>
        <v>283342.59999999998</v>
      </c>
      <c r="J44" s="1490">
        <f t="shared" si="12"/>
        <v>289009.40000000002</v>
      </c>
      <c r="K44" s="1490">
        <f t="shared" si="12"/>
        <v>294789.59999999998</v>
      </c>
      <c r="L44" s="1490">
        <f t="shared" si="12"/>
        <v>300685.40000000002</v>
      </c>
      <c r="M44" s="1490">
        <f t="shared" si="12"/>
        <v>306699.2</v>
      </c>
      <c r="N44" s="1490">
        <f t="shared" si="12"/>
        <v>312833.2</v>
      </c>
      <c r="O44" s="1490">
        <f t="shared" si="12"/>
        <v>319089.8</v>
      </c>
      <c r="P44" s="1490">
        <f t="shared" si="12"/>
        <v>325471.59999999998</v>
      </c>
      <c r="Q44" s="1490">
        <f t="shared" si="12"/>
        <v>331981</v>
      </c>
      <c r="R44" s="1490">
        <f t="shared" si="12"/>
        <v>338620.6</v>
      </c>
      <c r="S44" s="1490">
        <f t="shared" si="12"/>
        <v>345393</v>
      </c>
      <c r="T44" s="1490">
        <f t="shared" si="12"/>
        <v>352300.79999999999</v>
      </c>
      <c r="U44" s="1490">
        <f t="shared" si="12"/>
        <v>359346.8</v>
      </c>
      <c r="V44" s="1490">
        <f t="shared" si="12"/>
        <v>366533.8</v>
      </c>
      <c r="W44" s="1490">
        <f t="shared" si="12"/>
        <v>373864.4</v>
      </c>
      <c r="X44" s="1490">
        <f t="shared" si="12"/>
        <v>381341.6</v>
      </c>
      <c r="Y44" s="1490">
        <f t="shared" si="12"/>
        <v>388968.4</v>
      </c>
      <c r="Z44" s="1490">
        <f t="shared" si="12"/>
        <v>396747.8</v>
      </c>
      <c r="AA44" s="1490">
        <f t="shared" si="12"/>
        <v>404682.8</v>
      </c>
      <c r="AB44" s="1490">
        <f t="shared" si="12"/>
        <v>412776.4</v>
      </c>
      <c r="AC44" s="1490">
        <f t="shared" si="12"/>
        <v>421032</v>
      </c>
      <c r="AD44" s="1490">
        <f t="shared" si="12"/>
        <v>429452.6</v>
      </c>
      <c r="AE44" s="1490">
        <f t="shared" si="12"/>
        <v>438041.59999999998</v>
      </c>
      <c r="AF44" s="1490">
        <f t="shared" si="12"/>
        <v>446802.4</v>
      </c>
      <c r="AG44" s="1490">
        <f t="shared" si="12"/>
        <v>455738.4</v>
      </c>
      <c r="AH44" s="1490">
        <f t="shared" si="12"/>
        <v>464853.2</v>
      </c>
      <c r="AI44" s="1490">
        <f t="shared" si="12"/>
        <v>474150.2</v>
      </c>
      <c r="AJ44" s="1490">
        <f t="shared" si="12"/>
        <v>483633.2</v>
      </c>
      <c r="AK44" s="1490">
        <f t="shared" si="12"/>
        <v>493305.8</v>
      </c>
      <c r="AL44" s="1490">
        <f t="shared" si="12"/>
        <v>503172</v>
      </c>
      <c r="AM44" s="1490">
        <f t="shared" si="12"/>
        <v>513235.4</v>
      </c>
      <c r="AN44" s="1490">
        <f t="shared" si="12"/>
        <v>523500.2</v>
      </c>
      <c r="AO44" s="1490">
        <f t="shared" si="12"/>
        <v>533970.19999999995</v>
      </c>
      <c r="AP44" s="1490">
        <f t="shared" si="12"/>
        <v>544649.6</v>
      </c>
      <c r="AQ44" s="1490">
        <f t="shared" si="12"/>
        <v>555542.6</v>
      </c>
      <c r="AR44" s="1490">
        <f t="shared" si="12"/>
        <v>566653.4</v>
      </c>
      <c r="AS44" s="1490">
        <f t="shared" si="12"/>
        <v>577986.4</v>
      </c>
      <c r="AT44" s="1508"/>
      <c r="AU44" s="776"/>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row>
    <row r="45" spans="1:85" s="3" customFormat="1" ht="15.6" hidden="1">
      <c r="A45" s="1432" t="s">
        <v>1176</v>
      </c>
      <c r="B45" s="1474" t="s">
        <v>1857</v>
      </c>
      <c r="C45" s="918"/>
      <c r="D45" s="1011"/>
      <c r="E45" s="487">
        <v>160000</v>
      </c>
      <c r="F45" s="1506">
        <f>+E45</f>
        <v>160000</v>
      </c>
      <c r="G45" s="1506">
        <f t="shared" ref="G45:AS45" si="13">ROUND(+F45*(1+Inflation),1)</f>
        <v>163200</v>
      </c>
      <c r="H45" s="1506">
        <f t="shared" si="13"/>
        <v>166464</v>
      </c>
      <c r="I45" s="1506">
        <f t="shared" si="13"/>
        <v>169793.3</v>
      </c>
      <c r="J45" s="1506">
        <f t="shared" si="13"/>
        <v>173189.2</v>
      </c>
      <c r="K45" s="1506">
        <f t="shared" si="13"/>
        <v>176653</v>
      </c>
      <c r="L45" s="1506">
        <f t="shared" si="13"/>
        <v>180186.1</v>
      </c>
      <c r="M45" s="1506">
        <f t="shared" si="13"/>
        <v>183789.8</v>
      </c>
      <c r="N45" s="1506">
        <f t="shared" si="13"/>
        <v>187465.60000000001</v>
      </c>
      <c r="O45" s="1506">
        <f t="shared" si="13"/>
        <v>191214.9</v>
      </c>
      <c r="P45" s="1506">
        <f t="shared" si="13"/>
        <v>195039.2</v>
      </c>
      <c r="Q45" s="1506">
        <f t="shared" si="13"/>
        <v>198940</v>
      </c>
      <c r="R45" s="1506">
        <f t="shared" si="13"/>
        <v>202918.8</v>
      </c>
      <c r="S45" s="1506">
        <f t="shared" si="13"/>
        <v>206977.2</v>
      </c>
      <c r="T45" s="1506">
        <f t="shared" si="13"/>
        <v>211116.7</v>
      </c>
      <c r="U45" s="1506">
        <f t="shared" si="13"/>
        <v>215339</v>
      </c>
      <c r="V45" s="1506">
        <f t="shared" si="13"/>
        <v>219645.8</v>
      </c>
      <c r="W45" s="1506">
        <f t="shared" si="13"/>
        <v>224038.7</v>
      </c>
      <c r="X45" s="1506">
        <f t="shared" si="13"/>
        <v>228519.5</v>
      </c>
      <c r="Y45" s="1506">
        <f t="shared" si="13"/>
        <v>233089.9</v>
      </c>
      <c r="Z45" s="1506">
        <f t="shared" si="13"/>
        <v>237751.7</v>
      </c>
      <c r="AA45" s="1506">
        <f t="shared" si="13"/>
        <v>242506.7</v>
      </c>
      <c r="AB45" s="1506">
        <f t="shared" si="13"/>
        <v>247356.79999999999</v>
      </c>
      <c r="AC45" s="1506">
        <f t="shared" si="13"/>
        <v>252303.9</v>
      </c>
      <c r="AD45" s="1506">
        <f t="shared" si="13"/>
        <v>257350</v>
      </c>
      <c r="AE45" s="1506">
        <f t="shared" si="13"/>
        <v>262497</v>
      </c>
      <c r="AF45" s="1506">
        <f t="shared" si="13"/>
        <v>267746.90000000002</v>
      </c>
      <c r="AG45" s="1506">
        <f t="shared" si="13"/>
        <v>273101.8</v>
      </c>
      <c r="AH45" s="1506">
        <f t="shared" si="13"/>
        <v>278563.8</v>
      </c>
      <c r="AI45" s="1506">
        <f t="shared" si="13"/>
        <v>284135.09999999998</v>
      </c>
      <c r="AJ45" s="1506">
        <f t="shared" si="13"/>
        <v>289817.8</v>
      </c>
      <c r="AK45" s="1506">
        <f t="shared" si="13"/>
        <v>295614.2</v>
      </c>
      <c r="AL45" s="1506">
        <f t="shared" si="13"/>
        <v>301526.5</v>
      </c>
      <c r="AM45" s="1506">
        <f t="shared" si="13"/>
        <v>307557</v>
      </c>
      <c r="AN45" s="1506">
        <f t="shared" si="13"/>
        <v>313708.09999999998</v>
      </c>
      <c r="AO45" s="1506">
        <f t="shared" si="13"/>
        <v>319982.3</v>
      </c>
      <c r="AP45" s="1506">
        <f t="shared" si="13"/>
        <v>326381.90000000002</v>
      </c>
      <c r="AQ45" s="1506">
        <f t="shared" si="13"/>
        <v>332909.5</v>
      </c>
      <c r="AR45" s="1506">
        <f t="shared" si="13"/>
        <v>339567.7</v>
      </c>
      <c r="AS45" s="1506">
        <f t="shared" si="13"/>
        <v>346359.1</v>
      </c>
      <c r="AT45" s="1508"/>
      <c r="AU45" s="776"/>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row>
    <row r="46" spans="1:85" s="3" customFormat="1" ht="15.6" hidden="1">
      <c r="A46" s="1432" t="s">
        <v>1176</v>
      </c>
      <c r="B46" s="1474" t="s">
        <v>1869</v>
      </c>
      <c r="C46" s="918"/>
      <c r="D46" s="1011"/>
      <c r="E46" s="1490">
        <f t="shared" ref="E46:AS46" si="14">+E45*2</f>
        <v>320000</v>
      </c>
      <c r="F46" s="1490">
        <f t="shared" si="14"/>
        <v>320000</v>
      </c>
      <c r="G46" s="1490">
        <f>+G45*2</f>
        <v>326400</v>
      </c>
      <c r="H46" s="1490">
        <f t="shared" si="14"/>
        <v>332928</v>
      </c>
      <c r="I46" s="1490">
        <f t="shared" si="14"/>
        <v>339586.6</v>
      </c>
      <c r="J46" s="1490">
        <f t="shared" si="14"/>
        <v>346378.4</v>
      </c>
      <c r="K46" s="1490">
        <f t="shared" si="14"/>
        <v>353306</v>
      </c>
      <c r="L46" s="1490">
        <f t="shared" si="14"/>
        <v>360372.2</v>
      </c>
      <c r="M46" s="1490">
        <f t="shared" si="14"/>
        <v>367579.6</v>
      </c>
      <c r="N46" s="1490">
        <f t="shared" si="14"/>
        <v>374931.20000000001</v>
      </c>
      <c r="O46" s="1490">
        <f t="shared" si="14"/>
        <v>382429.8</v>
      </c>
      <c r="P46" s="1490">
        <f t="shared" si="14"/>
        <v>390078.4</v>
      </c>
      <c r="Q46" s="1490">
        <f t="shared" si="14"/>
        <v>397880</v>
      </c>
      <c r="R46" s="1490">
        <f t="shared" si="14"/>
        <v>405837.6</v>
      </c>
      <c r="S46" s="1490">
        <f t="shared" si="14"/>
        <v>413954.4</v>
      </c>
      <c r="T46" s="1490">
        <f t="shared" si="14"/>
        <v>422233.4</v>
      </c>
      <c r="U46" s="1490">
        <f t="shared" si="14"/>
        <v>430678</v>
      </c>
      <c r="V46" s="1490">
        <f t="shared" si="14"/>
        <v>439291.6</v>
      </c>
      <c r="W46" s="1490">
        <f t="shared" si="14"/>
        <v>448077.4</v>
      </c>
      <c r="X46" s="1490">
        <f t="shared" si="14"/>
        <v>457039</v>
      </c>
      <c r="Y46" s="1490">
        <f t="shared" si="14"/>
        <v>466179.8</v>
      </c>
      <c r="Z46" s="1490">
        <f t="shared" si="14"/>
        <v>475503.4</v>
      </c>
      <c r="AA46" s="1490">
        <f t="shared" si="14"/>
        <v>485013.4</v>
      </c>
      <c r="AB46" s="1490">
        <f t="shared" si="14"/>
        <v>494713.59999999998</v>
      </c>
      <c r="AC46" s="1490">
        <f t="shared" si="14"/>
        <v>504607.8</v>
      </c>
      <c r="AD46" s="1490">
        <f t="shared" si="14"/>
        <v>514700</v>
      </c>
      <c r="AE46" s="1490">
        <f t="shared" si="14"/>
        <v>524994</v>
      </c>
      <c r="AF46" s="1490">
        <f t="shared" si="14"/>
        <v>535493.80000000005</v>
      </c>
      <c r="AG46" s="1490">
        <f t="shared" si="14"/>
        <v>546203.6</v>
      </c>
      <c r="AH46" s="1490">
        <f t="shared" si="14"/>
        <v>557127.6</v>
      </c>
      <c r="AI46" s="1490">
        <f t="shared" si="14"/>
        <v>568270.19999999995</v>
      </c>
      <c r="AJ46" s="1490">
        <f t="shared" si="14"/>
        <v>579635.6</v>
      </c>
      <c r="AK46" s="1490">
        <f t="shared" si="14"/>
        <v>591228.4</v>
      </c>
      <c r="AL46" s="1490">
        <f t="shared" si="14"/>
        <v>603053</v>
      </c>
      <c r="AM46" s="1490">
        <f t="shared" si="14"/>
        <v>615114</v>
      </c>
      <c r="AN46" s="1490">
        <f t="shared" si="14"/>
        <v>627416.19999999995</v>
      </c>
      <c r="AO46" s="1490">
        <f t="shared" si="14"/>
        <v>639964.6</v>
      </c>
      <c r="AP46" s="1490">
        <f t="shared" si="14"/>
        <v>652763.80000000005</v>
      </c>
      <c r="AQ46" s="1490">
        <f t="shared" si="14"/>
        <v>665819</v>
      </c>
      <c r="AR46" s="1490">
        <f t="shared" si="14"/>
        <v>679135.4</v>
      </c>
      <c r="AS46" s="1490">
        <f t="shared" si="14"/>
        <v>692718.2</v>
      </c>
      <c r="AT46" s="1508"/>
      <c r="AU46" s="77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row>
    <row r="47" spans="1:85" s="3" customFormat="1" ht="15.6" hidden="1">
      <c r="A47" s="1432" t="s">
        <v>1176</v>
      </c>
      <c r="B47" s="1474" t="s">
        <v>2150</v>
      </c>
      <c r="C47" s="918"/>
      <c r="D47" s="1011"/>
      <c r="E47" s="487">
        <v>500000</v>
      </c>
      <c r="F47" s="1506">
        <f>+E47</f>
        <v>500000</v>
      </c>
      <c r="G47" s="1506">
        <f t="shared" ref="G47:AS47" si="15">ROUND(+F47*(1+Inflation),1)</f>
        <v>510000</v>
      </c>
      <c r="H47" s="1506">
        <f t="shared" si="15"/>
        <v>520200</v>
      </c>
      <c r="I47" s="1506">
        <f t="shared" si="15"/>
        <v>530604</v>
      </c>
      <c r="J47" s="1506">
        <f t="shared" si="15"/>
        <v>541216.1</v>
      </c>
      <c r="K47" s="1506">
        <f t="shared" si="15"/>
        <v>552040.4</v>
      </c>
      <c r="L47" s="1506">
        <f t="shared" si="15"/>
        <v>563081.19999999995</v>
      </c>
      <c r="M47" s="1506">
        <f t="shared" si="15"/>
        <v>574342.80000000005</v>
      </c>
      <c r="N47" s="1506">
        <f t="shared" si="15"/>
        <v>585829.69999999995</v>
      </c>
      <c r="O47" s="1506">
        <f t="shared" si="15"/>
        <v>597546.30000000005</v>
      </c>
      <c r="P47" s="1506">
        <f t="shared" si="15"/>
        <v>609497.19999999995</v>
      </c>
      <c r="Q47" s="1506">
        <f t="shared" si="15"/>
        <v>621687.1</v>
      </c>
      <c r="R47" s="1506">
        <f t="shared" si="15"/>
        <v>634120.80000000005</v>
      </c>
      <c r="S47" s="1506">
        <f t="shared" si="15"/>
        <v>646803.19999999995</v>
      </c>
      <c r="T47" s="1506">
        <f t="shared" si="15"/>
        <v>659739.30000000005</v>
      </c>
      <c r="U47" s="1506">
        <f t="shared" si="15"/>
        <v>672934.1</v>
      </c>
      <c r="V47" s="1506">
        <f t="shared" si="15"/>
        <v>686392.8</v>
      </c>
      <c r="W47" s="1506">
        <f t="shared" si="15"/>
        <v>700120.7</v>
      </c>
      <c r="X47" s="1506">
        <f t="shared" si="15"/>
        <v>714123.1</v>
      </c>
      <c r="Y47" s="1506">
        <f t="shared" si="15"/>
        <v>728405.6</v>
      </c>
      <c r="Z47" s="1506">
        <f t="shared" si="15"/>
        <v>742973.7</v>
      </c>
      <c r="AA47" s="1506">
        <f t="shared" si="15"/>
        <v>757833.2</v>
      </c>
      <c r="AB47" s="1506">
        <f t="shared" si="15"/>
        <v>772989.9</v>
      </c>
      <c r="AC47" s="1506">
        <f t="shared" si="15"/>
        <v>788449.7</v>
      </c>
      <c r="AD47" s="1506">
        <f t="shared" si="15"/>
        <v>804218.7</v>
      </c>
      <c r="AE47" s="1506">
        <f t="shared" si="15"/>
        <v>820303.1</v>
      </c>
      <c r="AF47" s="1506">
        <f t="shared" si="15"/>
        <v>836709.2</v>
      </c>
      <c r="AG47" s="1506">
        <f t="shared" si="15"/>
        <v>853443.4</v>
      </c>
      <c r="AH47" s="1506">
        <f t="shared" si="15"/>
        <v>870512.3</v>
      </c>
      <c r="AI47" s="1506">
        <f t="shared" si="15"/>
        <v>887922.5</v>
      </c>
      <c r="AJ47" s="1506">
        <f t="shared" si="15"/>
        <v>905681</v>
      </c>
      <c r="AK47" s="1506">
        <f t="shared" si="15"/>
        <v>923794.6</v>
      </c>
      <c r="AL47" s="1506">
        <f t="shared" si="15"/>
        <v>942270.5</v>
      </c>
      <c r="AM47" s="1506">
        <f t="shared" si="15"/>
        <v>961115.9</v>
      </c>
      <c r="AN47" s="1506">
        <f t="shared" si="15"/>
        <v>980338.2</v>
      </c>
      <c r="AO47" s="1506">
        <f t="shared" si="15"/>
        <v>999945</v>
      </c>
      <c r="AP47" s="1506">
        <f t="shared" si="15"/>
        <v>1019943.9</v>
      </c>
      <c r="AQ47" s="1506">
        <f t="shared" si="15"/>
        <v>1040342.8</v>
      </c>
      <c r="AR47" s="1506">
        <f t="shared" si="15"/>
        <v>1061149.7</v>
      </c>
      <c r="AS47" s="1506">
        <f t="shared" si="15"/>
        <v>1082372.7</v>
      </c>
      <c r="AT47" s="1508"/>
      <c r="AU47" s="776"/>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row>
    <row r="48" spans="1:85" s="3" customFormat="1" ht="15.6" hidden="1">
      <c r="A48" s="1432" t="s">
        <v>1176</v>
      </c>
      <c r="B48" s="1474" t="s">
        <v>2151</v>
      </c>
      <c r="C48" s="918"/>
      <c r="D48" s="1011"/>
      <c r="E48" s="487">
        <v>750000</v>
      </c>
      <c r="F48" s="1506">
        <f>+E48</f>
        <v>750000</v>
      </c>
      <c r="G48" s="1506">
        <f t="shared" ref="G48:AS48" si="16">ROUND(+F48*(1+Inflation),1)</f>
        <v>765000</v>
      </c>
      <c r="H48" s="1506">
        <f t="shared" si="16"/>
        <v>780300</v>
      </c>
      <c r="I48" s="1506">
        <f t="shared" si="16"/>
        <v>795906</v>
      </c>
      <c r="J48" s="1506">
        <f t="shared" si="16"/>
        <v>811824.1</v>
      </c>
      <c r="K48" s="1506">
        <f t="shared" si="16"/>
        <v>828060.6</v>
      </c>
      <c r="L48" s="1506">
        <f t="shared" si="16"/>
        <v>844621.8</v>
      </c>
      <c r="M48" s="1506">
        <f t="shared" si="16"/>
        <v>861514.2</v>
      </c>
      <c r="N48" s="1506">
        <f t="shared" si="16"/>
        <v>878744.5</v>
      </c>
      <c r="O48" s="1506">
        <f t="shared" si="16"/>
        <v>896319.4</v>
      </c>
      <c r="P48" s="1506">
        <f t="shared" si="16"/>
        <v>914245.8</v>
      </c>
      <c r="Q48" s="1506">
        <f t="shared" si="16"/>
        <v>932530.7</v>
      </c>
      <c r="R48" s="1506">
        <f t="shared" si="16"/>
        <v>951181.3</v>
      </c>
      <c r="S48" s="1506">
        <f t="shared" si="16"/>
        <v>970204.9</v>
      </c>
      <c r="T48" s="1506">
        <f t="shared" si="16"/>
        <v>989609</v>
      </c>
      <c r="U48" s="1506">
        <f t="shared" si="16"/>
        <v>1009401.2</v>
      </c>
      <c r="V48" s="1506">
        <f t="shared" si="16"/>
        <v>1029589.2</v>
      </c>
      <c r="W48" s="1506">
        <f t="shared" si="16"/>
        <v>1050181</v>
      </c>
      <c r="X48" s="1506">
        <f t="shared" si="16"/>
        <v>1071184.6000000001</v>
      </c>
      <c r="Y48" s="1506">
        <f t="shared" si="16"/>
        <v>1092608.3</v>
      </c>
      <c r="Z48" s="1506">
        <f t="shared" si="16"/>
        <v>1114460.5</v>
      </c>
      <c r="AA48" s="1506">
        <f t="shared" si="16"/>
        <v>1136749.7</v>
      </c>
      <c r="AB48" s="1506">
        <f t="shared" si="16"/>
        <v>1159484.7</v>
      </c>
      <c r="AC48" s="1506">
        <f t="shared" si="16"/>
        <v>1182674.3999999999</v>
      </c>
      <c r="AD48" s="1506">
        <f t="shared" si="16"/>
        <v>1206327.8999999999</v>
      </c>
      <c r="AE48" s="1506">
        <f t="shared" si="16"/>
        <v>1230454.5</v>
      </c>
      <c r="AF48" s="1506">
        <f t="shared" si="16"/>
        <v>1255063.6000000001</v>
      </c>
      <c r="AG48" s="1506">
        <f t="shared" si="16"/>
        <v>1280164.8999999999</v>
      </c>
      <c r="AH48" s="1506">
        <f t="shared" si="16"/>
        <v>1305768.2</v>
      </c>
      <c r="AI48" s="1506">
        <f t="shared" si="16"/>
        <v>1331883.6000000001</v>
      </c>
      <c r="AJ48" s="1506">
        <f t="shared" si="16"/>
        <v>1358521.3</v>
      </c>
      <c r="AK48" s="1506">
        <f t="shared" si="16"/>
        <v>1385691.7</v>
      </c>
      <c r="AL48" s="1506">
        <f t="shared" si="16"/>
        <v>1413405.5</v>
      </c>
      <c r="AM48" s="1506">
        <f t="shared" si="16"/>
        <v>1441673.6</v>
      </c>
      <c r="AN48" s="1506">
        <f t="shared" si="16"/>
        <v>1470507.1</v>
      </c>
      <c r="AO48" s="1506">
        <f t="shared" si="16"/>
        <v>1499917.2</v>
      </c>
      <c r="AP48" s="1506">
        <f t="shared" si="16"/>
        <v>1529915.5</v>
      </c>
      <c r="AQ48" s="1506">
        <f t="shared" si="16"/>
        <v>1560513.8</v>
      </c>
      <c r="AR48" s="1506">
        <f t="shared" si="16"/>
        <v>1591724.1</v>
      </c>
      <c r="AS48" s="1506">
        <f t="shared" si="16"/>
        <v>1623558.6</v>
      </c>
      <c r="AT48" s="1508"/>
      <c r="AU48" s="776"/>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row>
    <row r="49" spans="1:85" s="3" customFormat="1" ht="19.95" hidden="1" customHeight="1">
      <c r="A49" s="1432" t="s">
        <v>1176</v>
      </c>
      <c r="B49" s="1474" t="s">
        <v>1897</v>
      </c>
      <c r="C49" s="1406"/>
      <c r="D49" s="487">
        <f>189.6-135.5</f>
        <v>54.099999999999994</v>
      </c>
      <c r="E49" s="487">
        <v>12</v>
      </c>
      <c r="F49" s="1481">
        <f>+D49+IF(Medicare_D&gt;0,E49,0)</f>
        <v>66.099999999999994</v>
      </c>
      <c r="G49" s="190">
        <f t="shared" ref="G49:AS49" si="17">ROUND(+F49*(1+Inflation),0)</f>
        <v>67</v>
      </c>
      <c r="H49" s="190">
        <f t="shared" si="17"/>
        <v>68</v>
      </c>
      <c r="I49" s="190">
        <f t="shared" si="17"/>
        <v>69</v>
      </c>
      <c r="J49" s="190">
        <f t="shared" si="17"/>
        <v>70</v>
      </c>
      <c r="K49" s="190">
        <f t="shared" si="17"/>
        <v>71</v>
      </c>
      <c r="L49" s="190">
        <f t="shared" si="17"/>
        <v>72</v>
      </c>
      <c r="M49" s="190">
        <f t="shared" si="17"/>
        <v>73</v>
      </c>
      <c r="N49" s="190">
        <f t="shared" si="17"/>
        <v>74</v>
      </c>
      <c r="O49" s="190">
        <f t="shared" si="17"/>
        <v>75</v>
      </c>
      <c r="P49" s="190">
        <f t="shared" si="17"/>
        <v>77</v>
      </c>
      <c r="Q49" s="190">
        <f t="shared" si="17"/>
        <v>79</v>
      </c>
      <c r="R49" s="190">
        <f t="shared" si="17"/>
        <v>81</v>
      </c>
      <c r="S49" s="190">
        <f t="shared" si="17"/>
        <v>83</v>
      </c>
      <c r="T49" s="190">
        <f t="shared" si="17"/>
        <v>85</v>
      </c>
      <c r="U49" s="190">
        <f t="shared" si="17"/>
        <v>87</v>
      </c>
      <c r="V49" s="190">
        <f t="shared" si="17"/>
        <v>89</v>
      </c>
      <c r="W49" s="190">
        <f t="shared" si="17"/>
        <v>91</v>
      </c>
      <c r="X49" s="190">
        <f t="shared" si="17"/>
        <v>93</v>
      </c>
      <c r="Y49" s="190">
        <f t="shared" si="17"/>
        <v>95</v>
      </c>
      <c r="Z49" s="190">
        <f t="shared" si="17"/>
        <v>97</v>
      </c>
      <c r="AA49" s="190">
        <f t="shared" si="17"/>
        <v>99</v>
      </c>
      <c r="AB49" s="190">
        <f t="shared" si="17"/>
        <v>101</v>
      </c>
      <c r="AC49" s="190">
        <f t="shared" si="17"/>
        <v>103</v>
      </c>
      <c r="AD49" s="190">
        <f t="shared" si="17"/>
        <v>105</v>
      </c>
      <c r="AE49" s="190">
        <f t="shared" si="17"/>
        <v>107</v>
      </c>
      <c r="AF49" s="190">
        <f t="shared" si="17"/>
        <v>109</v>
      </c>
      <c r="AG49" s="190">
        <f t="shared" si="17"/>
        <v>111</v>
      </c>
      <c r="AH49" s="190">
        <f t="shared" si="17"/>
        <v>113</v>
      </c>
      <c r="AI49" s="190">
        <f t="shared" si="17"/>
        <v>115</v>
      </c>
      <c r="AJ49" s="190">
        <f t="shared" si="17"/>
        <v>117</v>
      </c>
      <c r="AK49" s="190">
        <f t="shared" si="17"/>
        <v>119</v>
      </c>
      <c r="AL49" s="190">
        <f t="shared" si="17"/>
        <v>121</v>
      </c>
      <c r="AM49" s="190">
        <f t="shared" si="17"/>
        <v>123</v>
      </c>
      <c r="AN49" s="190">
        <f t="shared" si="17"/>
        <v>125</v>
      </c>
      <c r="AO49" s="190">
        <f t="shared" si="17"/>
        <v>128</v>
      </c>
      <c r="AP49" s="190">
        <f t="shared" si="17"/>
        <v>131</v>
      </c>
      <c r="AQ49" s="190">
        <f t="shared" si="17"/>
        <v>134</v>
      </c>
      <c r="AR49" s="190">
        <f t="shared" si="17"/>
        <v>137</v>
      </c>
      <c r="AS49" s="190">
        <f t="shared" si="17"/>
        <v>140</v>
      </c>
      <c r="AT49" s="190"/>
      <c r="AU49" s="31"/>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row>
    <row r="50" spans="1:85" s="3" customFormat="1" ht="15.6" hidden="1">
      <c r="A50" s="1432" t="s">
        <v>1176</v>
      </c>
      <c r="B50" s="1474" t="s">
        <v>1859</v>
      </c>
      <c r="C50" s="918"/>
      <c r="D50" s="487">
        <f>270.9-189.6</f>
        <v>81.299999999999983</v>
      </c>
      <c r="E50" s="487">
        <f>31.9-12.4</f>
        <v>19.5</v>
      </c>
      <c r="F50" s="1481">
        <f>+D50+IF(Medicare_D&gt;0,E50,0)</f>
        <v>100.79999999999998</v>
      </c>
      <c r="G50" s="190">
        <f t="shared" ref="G50:AS50" si="18">ROUND(+F50*(1+Inflation),0)</f>
        <v>103</v>
      </c>
      <c r="H50" s="190">
        <f t="shared" si="18"/>
        <v>105</v>
      </c>
      <c r="I50" s="190">
        <f t="shared" si="18"/>
        <v>107</v>
      </c>
      <c r="J50" s="190">
        <f t="shared" si="18"/>
        <v>109</v>
      </c>
      <c r="K50" s="190">
        <f t="shared" si="18"/>
        <v>111</v>
      </c>
      <c r="L50" s="190">
        <f t="shared" si="18"/>
        <v>113</v>
      </c>
      <c r="M50" s="190">
        <f t="shared" si="18"/>
        <v>115</v>
      </c>
      <c r="N50" s="190">
        <f t="shared" si="18"/>
        <v>117</v>
      </c>
      <c r="O50" s="190">
        <f t="shared" si="18"/>
        <v>119</v>
      </c>
      <c r="P50" s="190">
        <f t="shared" si="18"/>
        <v>121</v>
      </c>
      <c r="Q50" s="190">
        <f t="shared" si="18"/>
        <v>123</v>
      </c>
      <c r="R50" s="190">
        <f t="shared" si="18"/>
        <v>125</v>
      </c>
      <c r="S50" s="190">
        <f t="shared" si="18"/>
        <v>128</v>
      </c>
      <c r="T50" s="190">
        <f t="shared" si="18"/>
        <v>131</v>
      </c>
      <c r="U50" s="190">
        <f t="shared" si="18"/>
        <v>134</v>
      </c>
      <c r="V50" s="190">
        <f t="shared" si="18"/>
        <v>137</v>
      </c>
      <c r="W50" s="190">
        <f t="shared" si="18"/>
        <v>140</v>
      </c>
      <c r="X50" s="190">
        <f t="shared" si="18"/>
        <v>143</v>
      </c>
      <c r="Y50" s="190">
        <f t="shared" si="18"/>
        <v>146</v>
      </c>
      <c r="Z50" s="190">
        <f t="shared" si="18"/>
        <v>149</v>
      </c>
      <c r="AA50" s="190">
        <f t="shared" si="18"/>
        <v>152</v>
      </c>
      <c r="AB50" s="190">
        <f t="shared" si="18"/>
        <v>155</v>
      </c>
      <c r="AC50" s="190">
        <f t="shared" si="18"/>
        <v>158</v>
      </c>
      <c r="AD50" s="190">
        <f t="shared" si="18"/>
        <v>161</v>
      </c>
      <c r="AE50" s="190">
        <f t="shared" si="18"/>
        <v>164</v>
      </c>
      <c r="AF50" s="190">
        <f t="shared" si="18"/>
        <v>167</v>
      </c>
      <c r="AG50" s="190">
        <f t="shared" si="18"/>
        <v>170</v>
      </c>
      <c r="AH50" s="190">
        <f t="shared" si="18"/>
        <v>173</v>
      </c>
      <c r="AI50" s="190">
        <f t="shared" si="18"/>
        <v>176</v>
      </c>
      <c r="AJ50" s="190">
        <f t="shared" si="18"/>
        <v>180</v>
      </c>
      <c r="AK50" s="190">
        <f t="shared" si="18"/>
        <v>184</v>
      </c>
      <c r="AL50" s="190">
        <f t="shared" si="18"/>
        <v>188</v>
      </c>
      <c r="AM50" s="190">
        <f t="shared" si="18"/>
        <v>192</v>
      </c>
      <c r="AN50" s="190">
        <f t="shared" si="18"/>
        <v>196</v>
      </c>
      <c r="AO50" s="190">
        <f t="shared" si="18"/>
        <v>200</v>
      </c>
      <c r="AP50" s="190">
        <f t="shared" si="18"/>
        <v>204</v>
      </c>
      <c r="AQ50" s="190">
        <f t="shared" si="18"/>
        <v>208</v>
      </c>
      <c r="AR50" s="190">
        <f t="shared" si="18"/>
        <v>212</v>
      </c>
      <c r="AS50" s="190">
        <f t="shared" si="18"/>
        <v>216</v>
      </c>
      <c r="AT50" s="190"/>
      <c r="AU50" s="31"/>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row>
    <row r="51" spans="1:85" s="3" customFormat="1" ht="15.6" hidden="1">
      <c r="A51" s="1432" t="s">
        <v>1176</v>
      </c>
      <c r="B51" s="1474" t="s">
        <v>1860</v>
      </c>
      <c r="C51" s="918"/>
      <c r="D51" s="487">
        <f>352.2-270.9</f>
        <v>81.300000000000011</v>
      </c>
      <c r="E51" s="487">
        <f>51.4-31.9</f>
        <v>19.5</v>
      </c>
      <c r="F51" s="1481">
        <f>+D51+IF(Medicare_D&gt;0,E51,0)</f>
        <v>100.80000000000001</v>
      </c>
      <c r="G51" s="190">
        <f t="shared" ref="G51:AS51" si="19">ROUND(+F51*(1+Inflation),0)</f>
        <v>103</v>
      </c>
      <c r="H51" s="190">
        <f t="shared" si="19"/>
        <v>105</v>
      </c>
      <c r="I51" s="190">
        <f t="shared" si="19"/>
        <v>107</v>
      </c>
      <c r="J51" s="190">
        <f t="shared" si="19"/>
        <v>109</v>
      </c>
      <c r="K51" s="190">
        <f t="shared" si="19"/>
        <v>111</v>
      </c>
      <c r="L51" s="190">
        <f t="shared" si="19"/>
        <v>113</v>
      </c>
      <c r="M51" s="190">
        <f t="shared" si="19"/>
        <v>115</v>
      </c>
      <c r="N51" s="190">
        <f t="shared" si="19"/>
        <v>117</v>
      </c>
      <c r="O51" s="190">
        <f t="shared" si="19"/>
        <v>119</v>
      </c>
      <c r="P51" s="190">
        <f t="shared" si="19"/>
        <v>121</v>
      </c>
      <c r="Q51" s="190">
        <f t="shared" si="19"/>
        <v>123</v>
      </c>
      <c r="R51" s="190">
        <f t="shared" si="19"/>
        <v>125</v>
      </c>
      <c r="S51" s="190">
        <f t="shared" si="19"/>
        <v>128</v>
      </c>
      <c r="T51" s="190">
        <f t="shared" si="19"/>
        <v>131</v>
      </c>
      <c r="U51" s="190">
        <f t="shared" si="19"/>
        <v>134</v>
      </c>
      <c r="V51" s="190">
        <f t="shared" si="19"/>
        <v>137</v>
      </c>
      <c r="W51" s="190">
        <f t="shared" si="19"/>
        <v>140</v>
      </c>
      <c r="X51" s="190">
        <f t="shared" si="19"/>
        <v>143</v>
      </c>
      <c r="Y51" s="190">
        <f t="shared" si="19"/>
        <v>146</v>
      </c>
      <c r="Z51" s="190">
        <f t="shared" si="19"/>
        <v>149</v>
      </c>
      <c r="AA51" s="190">
        <f t="shared" si="19"/>
        <v>152</v>
      </c>
      <c r="AB51" s="190">
        <f t="shared" si="19"/>
        <v>155</v>
      </c>
      <c r="AC51" s="190">
        <f t="shared" si="19"/>
        <v>158</v>
      </c>
      <c r="AD51" s="190">
        <f t="shared" si="19"/>
        <v>161</v>
      </c>
      <c r="AE51" s="190">
        <f t="shared" si="19"/>
        <v>164</v>
      </c>
      <c r="AF51" s="190">
        <f t="shared" si="19"/>
        <v>167</v>
      </c>
      <c r="AG51" s="190">
        <f t="shared" si="19"/>
        <v>170</v>
      </c>
      <c r="AH51" s="190">
        <f t="shared" si="19"/>
        <v>173</v>
      </c>
      <c r="AI51" s="190">
        <f t="shared" si="19"/>
        <v>176</v>
      </c>
      <c r="AJ51" s="190">
        <f t="shared" si="19"/>
        <v>180</v>
      </c>
      <c r="AK51" s="190">
        <f t="shared" si="19"/>
        <v>184</v>
      </c>
      <c r="AL51" s="190">
        <f t="shared" si="19"/>
        <v>188</v>
      </c>
      <c r="AM51" s="190">
        <f t="shared" si="19"/>
        <v>192</v>
      </c>
      <c r="AN51" s="190">
        <f t="shared" si="19"/>
        <v>196</v>
      </c>
      <c r="AO51" s="190">
        <f t="shared" si="19"/>
        <v>200</v>
      </c>
      <c r="AP51" s="190">
        <f t="shared" si="19"/>
        <v>204</v>
      </c>
      <c r="AQ51" s="190">
        <f t="shared" si="19"/>
        <v>208</v>
      </c>
      <c r="AR51" s="190">
        <f t="shared" si="19"/>
        <v>212</v>
      </c>
      <c r="AS51" s="190">
        <f t="shared" si="19"/>
        <v>216</v>
      </c>
      <c r="AT51" s="190"/>
      <c r="AU51" s="3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row>
    <row r="52" spans="1:85" s="3" customFormat="1" ht="15.6" hidden="1">
      <c r="A52" s="1432" t="s">
        <v>1176</v>
      </c>
      <c r="B52" s="1474" t="s">
        <v>1861</v>
      </c>
      <c r="C52" s="918"/>
      <c r="D52" s="487">
        <f>433.4-352.2</f>
        <v>81.199999999999989</v>
      </c>
      <c r="E52" s="487">
        <f>70.9-51.4</f>
        <v>19.500000000000007</v>
      </c>
      <c r="F52" s="1481">
        <f>+D52+IF(Medicare_D&gt;0,E52,0)</f>
        <v>100.69999999999999</v>
      </c>
      <c r="G52" s="190">
        <f t="shared" ref="G52:AS52" si="20">ROUND(+F52*(1+Inflation),0)</f>
        <v>103</v>
      </c>
      <c r="H52" s="190">
        <f t="shared" si="20"/>
        <v>105</v>
      </c>
      <c r="I52" s="190">
        <f t="shared" si="20"/>
        <v>107</v>
      </c>
      <c r="J52" s="190">
        <f t="shared" si="20"/>
        <v>109</v>
      </c>
      <c r="K52" s="190">
        <f t="shared" si="20"/>
        <v>111</v>
      </c>
      <c r="L52" s="190">
        <f t="shared" si="20"/>
        <v>113</v>
      </c>
      <c r="M52" s="190">
        <f t="shared" si="20"/>
        <v>115</v>
      </c>
      <c r="N52" s="190">
        <f t="shared" si="20"/>
        <v>117</v>
      </c>
      <c r="O52" s="190">
        <f t="shared" si="20"/>
        <v>119</v>
      </c>
      <c r="P52" s="190">
        <f t="shared" si="20"/>
        <v>121</v>
      </c>
      <c r="Q52" s="190">
        <f t="shared" si="20"/>
        <v>123</v>
      </c>
      <c r="R52" s="190">
        <f t="shared" si="20"/>
        <v>125</v>
      </c>
      <c r="S52" s="190">
        <f t="shared" si="20"/>
        <v>128</v>
      </c>
      <c r="T52" s="190">
        <f t="shared" si="20"/>
        <v>131</v>
      </c>
      <c r="U52" s="190">
        <f t="shared" si="20"/>
        <v>134</v>
      </c>
      <c r="V52" s="190">
        <f t="shared" si="20"/>
        <v>137</v>
      </c>
      <c r="W52" s="190">
        <f t="shared" si="20"/>
        <v>140</v>
      </c>
      <c r="X52" s="190">
        <f t="shared" si="20"/>
        <v>143</v>
      </c>
      <c r="Y52" s="190">
        <f t="shared" si="20"/>
        <v>146</v>
      </c>
      <c r="Z52" s="190">
        <f t="shared" si="20"/>
        <v>149</v>
      </c>
      <c r="AA52" s="190">
        <f t="shared" si="20"/>
        <v>152</v>
      </c>
      <c r="AB52" s="190">
        <f t="shared" si="20"/>
        <v>155</v>
      </c>
      <c r="AC52" s="190">
        <f t="shared" si="20"/>
        <v>158</v>
      </c>
      <c r="AD52" s="190">
        <f t="shared" si="20"/>
        <v>161</v>
      </c>
      <c r="AE52" s="190">
        <f t="shared" si="20"/>
        <v>164</v>
      </c>
      <c r="AF52" s="190">
        <f t="shared" si="20"/>
        <v>167</v>
      </c>
      <c r="AG52" s="190">
        <f t="shared" si="20"/>
        <v>170</v>
      </c>
      <c r="AH52" s="190">
        <f t="shared" si="20"/>
        <v>173</v>
      </c>
      <c r="AI52" s="190">
        <f t="shared" si="20"/>
        <v>176</v>
      </c>
      <c r="AJ52" s="190">
        <f t="shared" si="20"/>
        <v>180</v>
      </c>
      <c r="AK52" s="190">
        <f t="shared" si="20"/>
        <v>184</v>
      </c>
      <c r="AL52" s="190">
        <f t="shared" si="20"/>
        <v>188</v>
      </c>
      <c r="AM52" s="190">
        <f t="shared" si="20"/>
        <v>192</v>
      </c>
      <c r="AN52" s="190">
        <f t="shared" si="20"/>
        <v>196</v>
      </c>
      <c r="AO52" s="190">
        <f t="shared" si="20"/>
        <v>200</v>
      </c>
      <c r="AP52" s="190">
        <f t="shared" si="20"/>
        <v>204</v>
      </c>
      <c r="AQ52" s="190">
        <f t="shared" si="20"/>
        <v>208</v>
      </c>
      <c r="AR52" s="190">
        <f t="shared" si="20"/>
        <v>212</v>
      </c>
      <c r="AS52" s="190">
        <f t="shared" si="20"/>
        <v>216</v>
      </c>
      <c r="AT52" s="190"/>
      <c r="AU52" s="31"/>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row>
    <row r="53" spans="1:85" s="3" customFormat="1" ht="15.6" hidden="1">
      <c r="A53" s="1432" t="s">
        <v>1176</v>
      </c>
      <c r="B53" s="1474" t="s">
        <v>2148</v>
      </c>
      <c r="C53" s="918"/>
      <c r="D53" s="487">
        <f>460.5-433.4</f>
        <v>27.100000000000023</v>
      </c>
      <c r="E53" s="487">
        <f>77.4-70.9</f>
        <v>6.5</v>
      </c>
      <c r="F53" s="1481">
        <f>+D53+IF(Medicare_D&gt;0,E53,0)</f>
        <v>33.600000000000023</v>
      </c>
      <c r="G53" s="190">
        <f t="shared" ref="G53:AS53" si="21">ROUND(+F53*(1+Inflation),0)</f>
        <v>34</v>
      </c>
      <c r="H53" s="190">
        <f t="shared" si="21"/>
        <v>35</v>
      </c>
      <c r="I53" s="190">
        <f t="shared" si="21"/>
        <v>36</v>
      </c>
      <c r="J53" s="190">
        <f t="shared" si="21"/>
        <v>37</v>
      </c>
      <c r="K53" s="190">
        <f t="shared" si="21"/>
        <v>38</v>
      </c>
      <c r="L53" s="190">
        <f t="shared" si="21"/>
        <v>39</v>
      </c>
      <c r="M53" s="190">
        <f t="shared" si="21"/>
        <v>40</v>
      </c>
      <c r="N53" s="190">
        <f t="shared" si="21"/>
        <v>41</v>
      </c>
      <c r="O53" s="190">
        <f t="shared" si="21"/>
        <v>42</v>
      </c>
      <c r="P53" s="190">
        <f t="shared" si="21"/>
        <v>43</v>
      </c>
      <c r="Q53" s="190">
        <f t="shared" si="21"/>
        <v>44</v>
      </c>
      <c r="R53" s="190">
        <f t="shared" si="21"/>
        <v>45</v>
      </c>
      <c r="S53" s="190">
        <f t="shared" si="21"/>
        <v>46</v>
      </c>
      <c r="T53" s="190">
        <f t="shared" si="21"/>
        <v>47</v>
      </c>
      <c r="U53" s="190">
        <f t="shared" si="21"/>
        <v>48</v>
      </c>
      <c r="V53" s="190">
        <f t="shared" si="21"/>
        <v>49</v>
      </c>
      <c r="W53" s="190">
        <f t="shared" si="21"/>
        <v>50</v>
      </c>
      <c r="X53" s="190">
        <f t="shared" si="21"/>
        <v>51</v>
      </c>
      <c r="Y53" s="190">
        <f t="shared" si="21"/>
        <v>52</v>
      </c>
      <c r="Z53" s="190">
        <f t="shared" si="21"/>
        <v>53</v>
      </c>
      <c r="AA53" s="190">
        <f t="shared" si="21"/>
        <v>54</v>
      </c>
      <c r="AB53" s="190">
        <f t="shared" si="21"/>
        <v>55</v>
      </c>
      <c r="AC53" s="190">
        <f t="shared" si="21"/>
        <v>56</v>
      </c>
      <c r="AD53" s="190">
        <f t="shared" si="21"/>
        <v>57</v>
      </c>
      <c r="AE53" s="190">
        <f t="shared" si="21"/>
        <v>58</v>
      </c>
      <c r="AF53" s="190">
        <f t="shared" si="21"/>
        <v>59</v>
      </c>
      <c r="AG53" s="190">
        <f t="shared" si="21"/>
        <v>60</v>
      </c>
      <c r="AH53" s="190">
        <f t="shared" si="21"/>
        <v>61</v>
      </c>
      <c r="AI53" s="190">
        <f t="shared" si="21"/>
        <v>62</v>
      </c>
      <c r="AJ53" s="190">
        <f t="shared" si="21"/>
        <v>63</v>
      </c>
      <c r="AK53" s="190">
        <f t="shared" si="21"/>
        <v>64</v>
      </c>
      <c r="AL53" s="190">
        <f t="shared" si="21"/>
        <v>65</v>
      </c>
      <c r="AM53" s="190">
        <f t="shared" si="21"/>
        <v>66</v>
      </c>
      <c r="AN53" s="190">
        <f t="shared" si="21"/>
        <v>67</v>
      </c>
      <c r="AO53" s="190">
        <f t="shared" si="21"/>
        <v>68</v>
      </c>
      <c r="AP53" s="190">
        <f t="shared" si="21"/>
        <v>69</v>
      </c>
      <c r="AQ53" s="190">
        <f t="shared" si="21"/>
        <v>70</v>
      </c>
      <c r="AR53" s="190">
        <f t="shared" si="21"/>
        <v>71</v>
      </c>
      <c r="AS53" s="190">
        <f t="shared" si="21"/>
        <v>72</v>
      </c>
      <c r="AT53" s="190"/>
      <c r="AU53" s="31"/>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row>
    <row r="54" spans="1:85" s="3" customFormat="1" ht="19.95" hidden="1" customHeight="1">
      <c r="A54" s="1432" t="s">
        <v>1176</v>
      </c>
      <c r="B54" s="1474" t="s">
        <v>1901</v>
      </c>
      <c r="C54" s="918"/>
      <c r="D54" s="1479">
        <f t="shared" ref="D54:D60" si="22">SUM(F54:AS54)</f>
        <v>660</v>
      </c>
      <c r="F54" s="190">
        <f>IF(F$34=2,IF(F$33&gt;F$40,F$49*F$35,0),IF(F$33&gt;F$39,F$49*F$35,0))</f>
        <v>0</v>
      </c>
      <c r="G54" s="190">
        <f t="shared" ref="G54:AS54" si="23">IF(G$34=2,IF(G$33&gt;G$40,G$49*G$35,0),IF(G$33&gt;G$39,G$49*G$35,0))</f>
        <v>0</v>
      </c>
      <c r="H54" s="190">
        <f t="shared" si="23"/>
        <v>0</v>
      </c>
      <c r="I54" s="190">
        <f t="shared" si="23"/>
        <v>0</v>
      </c>
      <c r="J54" s="190">
        <f t="shared" si="23"/>
        <v>0</v>
      </c>
      <c r="K54" s="190">
        <f t="shared" si="23"/>
        <v>0</v>
      </c>
      <c r="L54" s="190">
        <f t="shared" si="23"/>
        <v>0</v>
      </c>
      <c r="M54" s="190">
        <f t="shared" si="23"/>
        <v>0</v>
      </c>
      <c r="N54" s="190">
        <f t="shared" si="23"/>
        <v>0</v>
      </c>
      <c r="O54" s="190">
        <f t="shared" si="23"/>
        <v>0</v>
      </c>
      <c r="P54" s="190">
        <f t="shared" si="23"/>
        <v>0</v>
      </c>
      <c r="Q54" s="190">
        <f t="shared" si="23"/>
        <v>0</v>
      </c>
      <c r="R54" s="190">
        <f t="shared" si="23"/>
        <v>0</v>
      </c>
      <c r="S54" s="190">
        <f t="shared" si="23"/>
        <v>0</v>
      </c>
      <c r="T54" s="190">
        <f t="shared" si="23"/>
        <v>0</v>
      </c>
      <c r="U54" s="190">
        <f t="shared" si="23"/>
        <v>0</v>
      </c>
      <c r="V54" s="190">
        <f t="shared" si="23"/>
        <v>0</v>
      </c>
      <c r="W54" s="190">
        <f t="shared" si="23"/>
        <v>0</v>
      </c>
      <c r="X54" s="190">
        <f t="shared" si="23"/>
        <v>0</v>
      </c>
      <c r="Y54" s="190">
        <f t="shared" si="23"/>
        <v>0</v>
      </c>
      <c r="Z54" s="190">
        <f t="shared" si="23"/>
        <v>0</v>
      </c>
      <c r="AA54" s="190">
        <f t="shared" si="23"/>
        <v>0</v>
      </c>
      <c r="AB54" s="190">
        <f t="shared" si="23"/>
        <v>0</v>
      </c>
      <c r="AC54" s="190">
        <f t="shared" si="23"/>
        <v>0</v>
      </c>
      <c r="AD54" s="190">
        <f t="shared" si="23"/>
        <v>105</v>
      </c>
      <c r="AE54" s="190">
        <f t="shared" si="23"/>
        <v>107</v>
      </c>
      <c r="AF54" s="190">
        <f t="shared" si="23"/>
        <v>109</v>
      </c>
      <c r="AG54" s="190">
        <f t="shared" si="23"/>
        <v>111</v>
      </c>
      <c r="AH54" s="190">
        <f t="shared" si="23"/>
        <v>113</v>
      </c>
      <c r="AI54" s="190">
        <f t="shared" si="23"/>
        <v>115</v>
      </c>
      <c r="AJ54" s="190">
        <f t="shared" si="23"/>
        <v>0</v>
      </c>
      <c r="AK54" s="190">
        <f t="shared" si="23"/>
        <v>0</v>
      </c>
      <c r="AL54" s="190">
        <f t="shared" si="23"/>
        <v>0</v>
      </c>
      <c r="AM54" s="190">
        <f t="shared" si="23"/>
        <v>0</v>
      </c>
      <c r="AN54" s="190">
        <f t="shared" si="23"/>
        <v>0</v>
      </c>
      <c r="AO54" s="190">
        <f t="shared" si="23"/>
        <v>0</v>
      </c>
      <c r="AP54" s="190">
        <f t="shared" si="23"/>
        <v>0</v>
      </c>
      <c r="AQ54" s="190">
        <f t="shared" si="23"/>
        <v>0</v>
      </c>
      <c r="AR54" s="190">
        <f t="shared" si="23"/>
        <v>0</v>
      </c>
      <c r="AS54" s="190">
        <f t="shared" si="23"/>
        <v>0</v>
      </c>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row>
    <row r="55" spans="1:85" s="3" customFormat="1" ht="15.6" hidden="1">
      <c r="A55" s="1432" t="s">
        <v>1176</v>
      </c>
      <c r="B55" s="1474" t="s">
        <v>1898</v>
      </c>
      <c r="C55" s="918"/>
      <c r="D55" s="190">
        <f t="shared" si="22"/>
        <v>164</v>
      </c>
      <c r="F55" s="190">
        <f>IF(F$34=2,IF(F$33&gt;F$42,F$50*F$35,0),IF(F$33&gt;F$41,F$50*F$35,0))</f>
        <v>0</v>
      </c>
      <c r="G55" s="190">
        <f t="shared" ref="G55:AS55" si="24">IF(G$34=2,IF(G$33&gt;G$42,G$50*G$35,0),IF(G$33&gt;G$41,G$50*G$35,0))</f>
        <v>0</v>
      </c>
      <c r="H55" s="190">
        <f t="shared" si="24"/>
        <v>0</v>
      </c>
      <c r="I55" s="190">
        <f t="shared" si="24"/>
        <v>0</v>
      </c>
      <c r="J55" s="190">
        <f t="shared" si="24"/>
        <v>0</v>
      </c>
      <c r="K55" s="190">
        <f t="shared" si="24"/>
        <v>0</v>
      </c>
      <c r="L55" s="190">
        <f t="shared" si="24"/>
        <v>0</v>
      </c>
      <c r="M55" s="190">
        <f t="shared" si="24"/>
        <v>0</v>
      </c>
      <c r="N55" s="190">
        <f t="shared" si="24"/>
        <v>0</v>
      </c>
      <c r="O55" s="190">
        <f t="shared" si="24"/>
        <v>0</v>
      </c>
      <c r="P55" s="190">
        <f t="shared" si="24"/>
        <v>0</v>
      </c>
      <c r="Q55" s="190">
        <f t="shared" si="24"/>
        <v>0</v>
      </c>
      <c r="R55" s="190">
        <f t="shared" si="24"/>
        <v>0</v>
      </c>
      <c r="S55" s="190">
        <f t="shared" si="24"/>
        <v>0</v>
      </c>
      <c r="T55" s="190">
        <f t="shared" si="24"/>
        <v>0</v>
      </c>
      <c r="U55" s="190">
        <f t="shared" si="24"/>
        <v>0</v>
      </c>
      <c r="V55" s="190">
        <f t="shared" si="24"/>
        <v>0</v>
      </c>
      <c r="W55" s="190">
        <f t="shared" si="24"/>
        <v>0</v>
      </c>
      <c r="X55" s="190">
        <f t="shared" si="24"/>
        <v>0</v>
      </c>
      <c r="Y55" s="190">
        <f t="shared" si="24"/>
        <v>0</v>
      </c>
      <c r="Z55" s="190">
        <f t="shared" si="24"/>
        <v>0</v>
      </c>
      <c r="AA55" s="190">
        <f t="shared" si="24"/>
        <v>0</v>
      </c>
      <c r="AB55" s="190">
        <f t="shared" si="24"/>
        <v>0</v>
      </c>
      <c r="AC55" s="190">
        <f t="shared" si="24"/>
        <v>0</v>
      </c>
      <c r="AD55" s="190">
        <f t="shared" si="24"/>
        <v>0</v>
      </c>
      <c r="AE55" s="190">
        <f t="shared" si="24"/>
        <v>164</v>
      </c>
      <c r="AF55" s="190">
        <f t="shared" si="24"/>
        <v>0</v>
      </c>
      <c r="AG55" s="190">
        <f t="shared" si="24"/>
        <v>0</v>
      </c>
      <c r="AH55" s="190">
        <f t="shared" si="24"/>
        <v>0</v>
      </c>
      <c r="AI55" s="190">
        <f t="shared" si="24"/>
        <v>0</v>
      </c>
      <c r="AJ55" s="190">
        <f t="shared" si="24"/>
        <v>0</v>
      </c>
      <c r="AK55" s="190">
        <f t="shared" si="24"/>
        <v>0</v>
      </c>
      <c r="AL55" s="190">
        <f t="shared" si="24"/>
        <v>0</v>
      </c>
      <c r="AM55" s="190">
        <f t="shared" si="24"/>
        <v>0</v>
      </c>
      <c r="AN55" s="190">
        <f t="shared" si="24"/>
        <v>0</v>
      </c>
      <c r="AO55" s="190">
        <f t="shared" si="24"/>
        <v>0</v>
      </c>
      <c r="AP55" s="190">
        <f t="shared" si="24"/>
        <v>0</v>
      </c>
      <c r="AQ55" s="190">
        <f t="shared" si="24"/>
        <v>0</v>
      </c>
      <c r="AR55" s="190">
        <f t="shared" si="24"/>
        <v>0</v>
      </c>
      <c r="AS55" s="190">
        <f t="shared" si="24"/>
        <v>0</v>
      </c>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row>
    <row r="56" spans="1:85" s="3" customFormat="1" ht="15.6" hidden="1">
      <c r="A56" s="1432" t="s">
        <v>1176</v>
      </c>
      <c r="B56" s="1474" t="s">
        <v>1899</v>
      </c>
      <c r="C56" s="918"/>
      <c r="D56" s="190">
        <f t="shared" si="22"/>
        <v>0</v>
      </c>
      <c r="F56" s="190">
        <f>IF(F$34=2,IF(F$33&gt;F$44,F$51*F$35,0),IF(F$33&gt;F$43,F$51*F$35,0))</f>
        <v>0</v>
      </c>
      <c r="G56" s="190">
        <f t="shared" ref="G56:AS56" si="25">IF(G$34=2,IF(G$33&gt;G$44,G$51*G$35,0),IF(G$33&gt;G$43,G$51*G$35,0))</f>
        <v>0</v>
      </c>
      <c r="H56" s="190">
        <f t="shared" si="25"/>
        <v>0</v>
      </c>
      <c r="I56" s="190">
        <f t="shared" si="25"/>
        <v>0</v>
      </c>
      <c r="J56" s="190">
        <f t="shared" si="25"/>
        <v>0</v>
      </c>
      <c r="K56" s="190">
        <f t="shared" si="25"/>
        <v>0</v>
      </c>
      <c r="L56" s="190">
        <f t="shared" si="25"/>
        <v>0</v>
      </c>
      <c r="M56" s="190">
        <f t="shared" si="25"/>
        <v>0</v>
      </c>
      <c r="N56" s="190">
        <f t="shared" si="25"/>
        <v>0</v>
      </c>
      <c r="O56" s="190">
        <f t="shared" si="25"/>
        <v>0</v>
      </c>
      <c r="P56" s="190">
        <f t="shared" si="25"/>
        <v>0</v>
      </c>
      <c r="Q56" s="190">
        <f t="shared" si="25"/>
        <v>0</v>
      </c>
      <c r="R56" s="190">
        <f t="shared" si="25"/>
        <v>0</v>
      </c>
      <c r="S56" s="190">
        <f t="shared" si="25"/>
        <v>0</v>
      </c>
      <c r="T56" s="190">
        <f t="shared" si="25"/>
        <v>0</v>
      </c>
      <c r="U56" s="190">
        <f t="shared" si="25"/>
        <v>0</v>
      </c>
      <c r="V56" s="190">
        <f t="shared" si="25"/>
        <v>0</v>
      </c>
      <c r="W56" s="190">
        <f t="shared" si="25"/>
        <v>0</v>
      </c>
      <c r="X56" s="190">
        <f t="shared" si="25"/>
        <v>0</v>
      </c>
      <c r="Y56" s="190">
        <f t="shared" si="25"/>
        <v>0</v>
      </c>
      <c r="Z56" s="190">
        <f t="shared" si="25"/>
        <v>0</v>
      </c>
      <c r="AA56" s="190">
        <f t="shared" si="25"/>
        <v>0</v>
      </c>
      <c r="AB56" s="190">
        <f t="shared" si="25"/>
        <v>0</v>
      </c>
      <c r="AC56" s="190">
        <f t="shared" si="25"/>
        <v>0</v>
      </c>
      <c r="AD56" s="190">
        <f t="shared" si="25"/>
        <v>0</v>
      </c>
      <c r="AE56" s="190">
        <f t="shared" si="25"/>
        <v>0</v>
      </c>
      <c r="AF56" s="190">
        <f t="shared" si="25"/>
        <v>0</v>
      </c>
      <c r="AG56" s="190">
        <f t="shared" si="25"/>
        <v>0</v>
      </c>
      <c r="AH56" s="190">
        <f t="shared" si="25"/>
        <v>0</v>
      </c>
      <c r="AI56" s="190">
        <f t="shared" si="25"/>
        <v>0</v>
      </c>
      <c r="AJ56" s="190">
        <f t="shared" si="25"/>
        <v>0</v>
      </c>
      <c r="AK56" s="190">
        <f t="shared" si="25"/>
        <v>0</v>
      </c>
      <c r="AL56" s="190">
        <f t="shared" si="25"/>
        <v>0</v>
      </c>
      <c r="AM56" s="190">
        <f t="shared" si="25"/>
        <v>0</v>
      </c>
      <c r="AN56" s="190">
        <f t="shared" si="25"/>
        <v>0</v>
      </c>
      <c r="AO56" s="190">
        <f t="shared" si="25"/>
        <v>0</v>
      </c>
      <c r="AP56" s="190">
        <f t="shared" si="25"/>
        <v>0</v>
      </c>
      <c r="AQ56" s="190">
        <f t="shared" si="25"/>
        <v>0</v>
      </c>
      <c r="AR56" s="190">
        <f t="shared" si="25"/>
        <v>0</v>
      </c>
      <c r="AS56" s="190">
        <f t="shared" si="25"/>
        <v>0</v>
      </c>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row>
    <row r="57" spans="1:85" s="89" customFormat="1" ht="15.6" hidden="1">
      <c r="A57" s="1653" t="s">
        <v>1176</v>
      </c>
      <c r="B57" s="1474" t="s">
        <v>1900</v>
      </c>
      <c r="C57" s="918"/>
      <c r="D57" s="192">
        <f t="shared" si="22"/>
        <v>0</v>
      </c>
      <c r="E57" s="1467"/>
      <c r="F57" s="192">
        <f>IF(F$34=2,IF(F$33&gt;F$46,F$52*F$35,0),IF(F$33&gt;F$45,F$52*F$35,0))</f>
        <v>0</v>
      </c>
      <c r="G57" s="192">
        <f t="shared" ref="G57:AS57" si="26">IF(G$34=2,IF(G$33&gt;G$46,G$52*G$35,0),IF(G$33&gt;G$45,G$52*G$35,0))</f>
        <v>0</v>
      </c>
      <c r="H57" s="192">
        <f t="shared" si="26"/>
        <v>0</v>
      </c>
      <c r="I57" s="192">
        <f t="shared" si="26"/>
        <v>0</v>
      </c>
      <c r="J57" s="192">
        <f t="shared" si="26"/>
        <v>0</v>
      </c>
      <c r="K57" s="192">
        <f t="shared" si="26"/>
        <v>0</v>
      </c>
      <c r="L57" s="192">
        <f t="shared" si="26"/>
        <v>0</v>
      </c>
      <c r="M57" s="192">
        <f t="shared" si="26"/>
        <v>0</v>
      </c>
      <c r="N57" s="192">
        <f t="shared" si="26"/>
        <v>0</v>
      </c>
      <c r="O57" s="192">
        <f t="shared" si="26"/>
        <v>0</v>
      </c>
      <c r="P57" s="192">
        <f t="shared" si="26"/>
        <v>0</v>
      </c>
      <c r="Q57" s="192">
        <f t="shared" si="26"/>
        <v>0</v>
      </c>
      <c r="R57" s="192">
        <f t="shared" si="26"/>
        <v>0</v>
      </c>
      <c r="S57" s="192">
        <f t="shared" si="26"/>
        <v>0</v>
      </c>
      <c r="T57" s="192">
        <f t="shared" si="26"/>
        <v>0</v>
      </c>
      <c r="U57" s="192">
        <f t="shared" si="26"/>
        <v>0</v>
      </c>
      <c r="V57" s="192">
        <f t="shared" si="26"/>
        <v>0</v>
      </c>
      <c r="W57" s="192">
        <f t="shared" si="26"/>
        <v>0</v>
      </c>
      <c r="X57" s="192">
        <f t="shared" si="26"/>
        <v>0</v>
      </c>
      <c r="Y57" s="192">
        <f t="shared" si="26"/>
        <v>0</v>
      </c>
      <c r="Z57" s="192">
        <f t="shared" si="26"/>
        <v>0</v>
      </c>
      <c r="AA57" s="192">
        <f t="shared" si="26"/>
        <v>0</v>
      </c>
      <c r="AB57" s="192">
        <f t="shared" si="26"/>
        <v>0</v>
      </c>
      <c r="AC57" s="192">
        <f t="shared" si="26"/>
        <v>0</v>
      </c>
      <c r="AD57" s="192">
        <f t="shared" si="26"/>
        <v>0</v>
      </c>
      <c r="AE57" s="192">
        <f t="shared" si="26"/>
        <v>0</v>
      </c>
      <c r="AF57" s="192">
        <f t="shared" si="26"/>
        <v>0</v>
      </c>
      <c r="AG57" s="192">
        <f t="shared" si="26"/>
        <v>0</v>
      </c>
      <c r="AH57" s="192">
        <f t="shared" si="26"/>
        <v>0</v>
      </c>
      <c r="AI57" s="192">
        <f t="shared" si="26"/>
        <v>0</v>
      </c>
      <c r="AJ57" s="192">
        <f t="shared" si="26"/>
        <v>0</v>
      </c>
      <c r="AK57" s="192">
        <f t="shared" si="26"/>
        <v>0</v>
      </c>
      <c r="AL57" s="192">
        <f t="shared" si="26"/>
        <v>0</v>
      </c>
      <c r="AM57" s="192">
        <f t="shared" si="26"/>
        <v>0</v>
      </c>
      <c r="AN57" s="192">
        <f t="shared" si="26"/>
        <v>0</v>
      </c>
      <c r="AO57" s="192">
        <f t="shared" si="26"/>
        <v>0</v>
      </c>
      <c r="AP57" s="192">
        <f t="shared" si="26"/>
        <v>0</v>
      </c>
      <c r="AQ57" s="192">
        <f t="shared" si="26"/>
        <v>0</v>
      </c>
      <c r="AR57" s="192">
        <f t="shared" si="26"/>
        <v>0</v>
      </c>
      <c r="AS57" s="192">
        <f t="shared" si="26"/>
        <v>0</v>
      </c>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row>
    <row r="58" spans="1:85" s="3" customFormat="1" ht="15.6" hidden="1">
      <c r="A58" s="1653" t="s">
        <v>1176</v>
      </c>
      <c r="B58" s="1474" t="s">
        <v>2152</v>
      </c>
      <c r="C58" s="918"/>
      <c r="D58" s="193">
        <f t="shared" si="22"/>
        <v>0</v>
      </c>
      <c r="E58" s="1467"/>
      <c r="F58" s="193">
        <f>IF(F$34=2,IF(F$33&gt;F$48,F$53*F$35,0),IF(F$33&gt;F$47,F$53*F$35,0))</f>
        <v>0</v>
      </c>
      <c r="G58" s="193">
        <f t="shared" ref="G58:AS58" si="27">IF(G$34=2,IF(G$33&gt;G$48,G$53*G$35,0),IF(G$33&gt;G$47,G$53*G$35,0))</f>
        <v>0</v>
      </c>
      <c r="H58" s="193">
        <f t="shared" si="27"/>
        <v>0</v>
      </c>
      <c r="I58" s="193">
        <f t="shared" si="27"/>
        <v>0</v>
      </c>
      <c r="J58" s="193">
        <f t="shared" si="27"/>
        <v>0</v>
      </c>
      <c r="K58" s="193">
        <f t="shared" si="27"/>
        <v>0</v>
      </c>
      <c r="L58" s="193">
        <f t="shared" si="27"/>
        <v>0</v>
      </c>
      <c r="M58" s="193">
        <f t="shared" si="27"/>
        <v>0</v>
      </c>
      <c r="N58" s="193">
        <f t="shared" si="27"/>
        <v>0</v>
      </c>
      <c r="O58" s="193">
        <f t="shared" si="27"/>
        <v>0</v>
      </c>
      <c r="P58" s="193">
        <f t="shared" si="27"/>
        <v>0</v>
      </c>
      <c r="Q58" s="193">
        <f t="shared" si="27"/>
        <v>0</v>
      </c>
      <c r="R58" s="193">
        <f t="shared" si="27"/>
        <v>0</v>
      </c>
      <c r="S58" s="193">
        <f t="shared" si="27"/>
        <v>0</v>
      </c>
      <c r="T58" s="193">
        <f t="shared" si="27"/>
        <v>0</v>
      </c>
      <c r="U58" s="193">
        <f t="shared" si="27"/>
        <v>0</v>
      </c>
      <c r="V58" s="193">
        <f t="shared" si="27"/>
        <v>0</v>
      </c>
      <c r="W58" s="193">
        <f t="shared" si="27"/>
        <v>0</v>
      </c>
      <c r="X58" s="193">
        <f t="shared" si="27"/>
        <v>0</v>
      </c>
      <c r="Y58" s="193">
        <f t="shared" si="27"/>
        <v>0</v>
      </c>
      <c r="Z58" s="193">
        <f t="shared" si="27"/>
        <v>0</v>
      </c>
      <c r="AA58" s="193">
        <f t="shared" si="27"/>
        <v>0</v>
      </c>
      <c r="AB58" s="193">
        <f t="shared" si="27"/>
        <v>0</v>
      </c>
      <c r="AC58" s="193">
        <f t="shared" si="27"/>
        <v>0</v>
      </c>
      <c r="AD58" s="193">
        <f t="shared" si="27"/>
        <v>0</v>
      </c>
      <c r="AE58" s="193">
        <f t="shared" si="27"/>
        <v>0</v>
      </c>
      <c r="AF58" s="193">
        <f t="shared" si="27"/>
        <v>0</v>
      </c>
      <c r="AG58" s="193">
        <f t="shared" si="27"/>
        <v>0</v>
      </c>
      <c r="AH58" s="193">
        <f t="shared" si="27"/>
        <v>0</v>
      </c>
      <c r="AI58" s="193">
        <f t="shared" si="27"/>
        <v>0</v>
      </c>
      <c r="AJ58" s="193">
        <f t="shared" si="27"/>
        <v>0</v>
      </c>
      <c r="AK58" s="193">
        <f t="shared" si="27"/>
        <v>0</v>
      </c>
      <c r="AL58" s="193">
        <f t="shared" si="27"/>
        <v>0</v>
      </c>
      <c r="AM58" s="193">
        <f t="shared" si="27"/>
        <v>0</v>
      </c>
      <c r="AN58" s="193">
        <f t="shared" si="27"/>
        <v>0</v>
      </c>
      <c r="AO58" s="193">
        <f t="shared" si="27"/>
        <v>0</v>
      </c>
      <c r="AP58" s="193">
        <f t="shared" si="27"/>
        <v>0</v>
      </c>
      <c r="AQ58" s="193">
        <f t="shared" si="27"/>
        <v>0</v>
      </c>
      <c r="AR58" s="193">
        <f t="shared" si="27"/>
        <v>0</v>
      </c>
      <c r="AS58" s="193">
        <f t="shared" si="27"/>
        <v>0</v>
      </c>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row>
    <row r="59" spans="1:85" s="3" customFormat="1" ht="15.6" hidden="1">
      <c r="A59" s="1432" t="s">
        <v>1176</v>
      </c>
      <c r="B59" s="1474" t="s">
        <v>1904</v>
      </c>
      <c r="C59" s="1490">
        <f>COUNTIF(F61:AS61,"&gt;0")</f>
        <v>4</v>
      </c>
      <c r="D59" s="190">
        <f t="shared" si="22"/>
        <v>824</v>
      </c>
      <c r="E59" s="1467"/>
      <c r="F59" s="190">
        <f>+F54+F55+F56+F57+F58</f>
        <v>0</v>
      </c>
      <c r="G59" s="190">
        <f t="shared" ref="G59:AS59" si="28">+G54+G55+G56+G57+G58</f>
        <v>0</v>
      </c>
      <c r="H59" s="190">
        <f t="shared" si="28"/>
        <v>0</v>
      </c>
      <c r="I59" s="190">
        <f t="shared" si="28"/>
        <v>0</v>
      </c>
      <c r="J59" s="190">
        <f t="shared" si="28"/>
        <v>0</v>
      </c>
      <c r="K59" s="190">
        <f t="shared" si="28"/>
        <v>0</v>
      </c>
      <c r="L59" s="190">
        <f t="shared" si="28"/>
        <v>0</v>
      </c>
      <c r="M59" s="190">
        <f t="shared" si="28"/>
        <v>0</v>
      </c>
      <c r="N59" s="190">
        <f t="shared" si="28"/>
        <v>0</v>
      </c>
      <c r="O59" s="190">
        <f t="shared" si="28"/>
        <v>0</v>
      </c>
      <c r="P59" s="190">
        <f t="shared" si="28"/>
        <v>0</v>
      </c>
      <c r="Q59" s="190">
        <f t="shared" si="28"/>
        <v>0</v>
      </c>
      <c r="R59" s="190">
        <f t="shared" si="28"/>
        <v>0</v>
      </c>
      <c r="S59" s="190">
        <f t="shared" si="28"/>
        <v>0</v>
      </c>
      <c r="T59" s="190">
        <f t="shared" si="28"/>
        <v>0</v>
      </c>
      <c r="U59" s="190">
        <f t="shared" si="28"/>
        <v>0</v>
      </c>
      <c r="V59" s="190">
        <f t="shared" si="28"/>
        <v>0</v>
      </c>
      <c r="W59" s="190">
        <f t="shared" si="28"/>
        <v>0</v>
      </c>
      <c r="X59" s="190">
        <f t="shared" si="28"/>
        <v>0</v>
      </c>
      <c r="Y59" s="190">
        <f t="shared" si="28"/>
        <v>0</v>
      </c>
      <c r="Z59" s="190">
        <f t="shared" si="28"/>
        <v>0</v>
      </c>
      <c r="AA59" s="190">
        <f t="shared" si="28"/>
        <v>0</v>
      </c>
      <c r="AB59" s="190">
        <f t="shared" si="28"/>
        <v>0</v>
      </c>
      <c r="AC59" s="190">
        <f t="shared" si="28"/>
        <v>0</v>
      </c>
      <c r="AD59" s="190">
        <f t="shared" si="28"/>
        <v>105</v>
      </c>
      <c r="AE59" s="190">
        <f t="shared" si="28"/>
        <v>271</v>
      </c>
      <c r="AF59" s="190">
        <f t="shared" si="28"/>
        <v>109</v>
      </c>
      <c r="AG59" s="190">
        <f t="shared" si="28"/>
        <v>111</v>
      </c>
      <c r="AH59" s="190">
        <f t="shared" si="28"/>
        <v>113</v>
      </c>
      <c r="AI59" s="190">
        <f t="shared" si="28"/>
        <v>115</v>
      </c>
      <c r="AJ59" s="190">
        <f t="shared" si="28"/>
        <v>0</v>
      </c>
      <c r="AK59" s="190">
        <f t="shared" si="28"/>
        <v>0</v>
      </c>
      <c r="AL59" s="190">
        <f t="shared" si="28"/>
        <v>0</v>
      </c>
      <c r="AM59" s="190">
        <f t="shared" si="28"/>
        <v>0</v>
      </c>
      <c r="AN59" s="190">
        <f t="shared" si="28"/>
        <v>0</v>
      </c>
      <c r="AO59" s="190">
        <f t="shared" si="28"/>
        <v>0</v>
      </c>
      <c r="AP59" s="190">
        <f t="shared" si="28"/>
        <v>0</v>
      </c>
      <c r="AQ59" s="190">
        <f t="shared" si="28"/>
        <v>0</v>
      </c>
      <c r="AR59" s="190">
        <f t="shared" si="28"/>
        <v>0</v>
      </c>
      <c r="AS59" s="190">
        <f t="shared" si="28"/>
        <v>0</v>
      </c>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row>
    <row r="60" spans="1:85" s="3" customFormat="1" ht="16.2" hidden="1" customHeight="1">
      <c r="A60" s="1432" t="s">
        <v>1176</v>
      </c>
      <c r="B60" s="1474" t="s">
        <v>1905</v>
      </c>
      <c r="C60" s="918"/>
      <c r="D60" s="190">
        <f t="shared" si="22"/>
        <v>145456.80000000002</v>
      </c>
      <c r="E60" s="1467"/>
      <c r="F60" s="190">
        <f>(+F38+F59)*12</f>
        <v>0</v>
      </c>
      <c r="G60" s="190">
        <f>(+G38+G59)*12</f>
        <v>0</v>
      </c>
      <c r="H60" s="190">
        <f t="shared" ref="H60:AS60" si="29">(+H38+H59)*12</f>
        <v>0</v>
      </c>
      <c r="I60" s="190">
        <f t="shared" si="29"/>
        <v>2253.6000000000004</v>
      </c>
      <c r="J60" s="190">
        <f t="shared" si="29"/>
        <v>4598.3999999999996</v>
      </c>
      <c r="K60" s="190">
        <f t="shared" si="29"/>
        <v>4689.6000000000004</v>
      </c>
      <c r="L60" s="190">
        <f t="shared" si="29"/>
        <v>4783.2000000000007</v>
      </c>
      <c r="M60" s="190">
        <f t="shared" si="29"/>
        <v>4879.2000000000007</v>
      </c>
      <c r="N60" s="190">
        <f t="shared" si="29"/>
        <v>4977.6000000000004</v>
      </c>
      <c r="O60" s="190">
        <f t="shared" si="29"/>
        <v>5076</v>
      </c>
      <c r="P60" s="190">
        <f t="shared" si="29"/>
        <v>5176.7999999999993</v>
      </c>
      <c r="Q60" s="190">
        <f t="shared" si="29"/>
        <v>5280</v>
      </c>
      <c r="R60" s="190">
        <f t="shared" si="29"/>
        <v>5385.6</v>
      </c>
      <c r="S60" s="190">
        <f t="shared" si="29"/>
        <v>5493.6</v>
      </c>
      <c r="T60" s="190">
        <f t="shared" si="29"/>
        <v>5604</v>
      </c>
      <c r="U60" s="190">
        <f t="shared" si="29"/>
        <v>5716.7999999999993</v>
      </c>
      <c r="V60" s="190">
        <f t="shared" si="29"/>
        <v>5832</v>
      </c>
      <c r="W60" s="190">
        <f t="shared" si="29"/>
        <v>5949.6</v>
      </c>
      <c r="X60" s="190">
        <f t="shared" si="29"/>
        <v>6069.6</v>
      </c>
      <c r="Y60" s="190">
        <f t="shared" si="29"/>
        <v>6192</v>
      </c>
      <c r="Z60" s="190">
        <f t="shared" si="29"/>
        <v>6316.7999999999993</v>
      </c>
      <c r="AA60" s="190">
        <f t="shared" si="29"/>
        <v>6444</v>
      </c>
      <c r="AB60" s="190">
        <f t="shared" si="29"/>
        <v>6573.5999999999995</v>
      </c>
      <c r="AC60" s="190">
        <f t="shared" si="29"/>
        <v>6705.5999999999995</v>
      </c>
      <c r="AD60" s="190">
        <f t="shared" si="29"/>
        <v>4680</v>
      </c>
      <c r="AE60" s="190">
        <f t="shared" si="29"/>
        <v>6740.4000000000005</v>
      </c>
      <c r="AF60" s="190">
        <f t="shared" si="29"/>
        <v>4866</v>
      </c>
      <c r="AG60" s="190">
        <f t="shared" si="29"/>
        <v>4960.7999999999993</v>
      </c>
      <c r="AH60" s="190">
        <f t="shared" si="29"/>
        <v>5056.7999999999993</v>
      </c>
      <c r="AI60" s="190">
        <f t="shared" si="29"/>
        <v>5155.2000000000007</v>
      </c>
      <c r="AJ60" s="190">
        <f t="shared" si="29"/>
        <v>0</v>
      </c>
      <c r="AK60" s="190">
        <f t="shared" si="29"/>
        <v>0</v>
      </c>
      <c r="AL60" s="190">
        <f t="shared" si="29"/>
        <v>0</v>
      </c>
      <c r="AM60" s="190">
        <f t="shared" si="29"/>
        <v>0</v>
      </c>
      <c r="AN60" s="190">
        <f t="shared" si="29"/>
        <v>0</v>
      </c>
      <c r="AO60" s="190">
        <f t="shared" si="29"/>
        <v>0</v>
      </c>
      <c r="AP60" s="190">
        <f t="shared" si="29"/>
        <v>0</v>
      </c>
      <c r="AQ60" s="190">
        <f t="shared" si="29"/>
        <v>0</v>
      </c>
      <c r="AR60" s="190">
        <f t="shared" si="29"/>
        <v>0</v>
      </c>
      <c r="AS60" s="190">
        <f t="shared" si="29"/>
        <v>0</v>
      </c>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row>
    <row r="61" spans="1:85" s="3" customFormat="1" ht="16.2" hidden="1" customHeight="1">
      <c r="A61" s="1432" t="s">
        <v>1176</v>
      </c>
      <c r="B61" s="1474" t="s">
        <v>2164</v>
      </c>
      <c r="D61" s="1660" t="str">
        <f>F61&amp;" "&amp;G61&amp;" "&amp;H61&amp;" "&amp;I61&amp;" "&amp;J61&amp;" "&amp;K61&amp;" "&amp;L61&amp;" "&amp;M61&amp;" "&amp;N61&amp;" "&amp;O61&amp;" "&amp;P61&amp;" "&amp;Q61&amp;" "&amp;R61&amp;" "&amp;S61&amp;" "&amp;T61&amp;" "&amp;U61&amp;" "&amp;V61&amp;" "&amp;W61&amp;" "&amp;X61&amp;" "&amp;Y61&amp;" "&amp;Z61&amp;" "&amp;AA61&amp;" "&amp;AB61&amp;" "&amp;AC61&amp;" "&amp;AD61&amp;" "&amp;AE61&amp;" "&amp;AF61&amp;" "&amp;AG61&amp;" "&amp;AH61&amp;" "&amp;AI61&amp;" "&amp;AJ61&amp;" "&amp;AK61&amp;" "&amp;AL61&amp;" "&amp;AM61&amp;" "&amp;AN61&amp;" "&amp;AO61&amp;" "&amp;AP61&amp;" "&amp;AQ61&amp;" "&amp;AR61&amp;" "&amp;AS61</f>
        <v xml:space="preserve">                          88 89 90 91          </v>
      </c>
      <c r="E61" s="1467"/>
      <c r="F61" s="190" t="str">
        <f>IF(AND(F59&gt;0,F62=1),F$91,"")</f>
        <v/>
      </c>
      <c r="G61" s="190" t="str">
        <f t="shared" ref="G61:AS61" si="30">IF(AND(G59&gt;0,G62=1),G$91,"")</f>
        <v/>
      </c>
      <c r="H61" s="190" t="str">
        <f t="shared" si="30"/>
        <v/>
      </c>
      <c r="I61" s="190" t="str">
        <f t="shared" si="30"/>
        <v/>
      </c>
      <c r="J61" s="190" t="str">
        <f t="shared" si="30"/>
        <v/>
      </c>
      <c r="K61" s="190" t="str">
        <f t="shared" si="30"/>
        <v/>
      </c>
      <c r="L61" s="190" t="str">
        <f t="shared" si="30"/>
        <v/>
      </c>
      <c r="M61" s="190" t="str">
        <f t="shared" si="30"/>
        <v/>
      </c>
      <c r="N61" s="190" t="str">
        <f t="shared" si="30"/>
        <v/>
      </c>
      <c r="O61" s="190" t="str">
        <f t="shared" si="30"/>
        <v/>
      </c>
      <c r="P61" s="190" t="str">
        <f t="shared" si="30"/>
        <v/>
      </c>
      <c r="Q61" s="190" t="str">
        <f t="shared" si="30"/>
        <v/>
      </c>
      <c r="R61" s="190" t="str">
        <f t="shared" si="30"/>
        <v/>
      </c>
      <c r="S61" s="190" t="str">
        <f t="shared" si="30"/>
        <v/>
      </c>
      <c r="T61" s="190" t="str">
        <f t="shared" si="30"/>
        <v/>
      </c>
      <c r="U61" s="190" t="str">
        <f t="shared" si="30"/>
        <v/>
      </c>
      <c r="V61" s="190" t="str">
        <f t="shared" si="30"/>
        <v/>
      </c>
      <c r="W61" s="190" t="str">
        <f t="shared" si="30"/>
        <v/>
      </c>
      <c r="X61" s="190" t="str">
        <f t="shared" si="30"/>
        <v/>
      </c>
      <c r="Y61" s="190" t="str">
        <f t="shared" si="30"/>
        <v/>
      </c>
      <c r="Z61" s="190" t="str">
        <f t="shared" si="30"/>
        <v/>
      </c>
      <c r="AA61" s="190" t="str">
        <f t="shared" si="30"/>
        <v/>
      </c>
      <c r="AB61" s="190" t="str">
        <f t="shared" si="30"/>
        <v/>
      </c>
      <c r="AC61" s="190" t="str">
        <f t="shared" si="30"/>
        <v/>
      </c>
      <c r="AD61" s="190" t="str">
        <f t="shared" si="30"/>
        <v/>
      </c>
      <c r="AE61" s="190" t="str">
        <f t="shared" si="30"/>
        <v/>
      </c>
      <c r="AF61" s="190">
        <f t="shared" si="30"/>
        <v>88</v>
      </c>
      <c r="AG61" s="190">
        <f t="shared" si="30"/>
        <v>89</v>
      </c>
      <c r="AH61" s="190">
        <f t="shared" si="30"/>
        <v>90</v>
      </c>
      <c r="AI61" s="190">
        <f t="shared" si="30"/>
        <v>91</v>
      </c>
      <c r="AJ61" s="190" t="str">
        <f t="shared" si="30"/>
        <v/>
      </c>
      <c r="AK61" s="190" t="str">
        <f t="shared" si="30"/>
        <v/>
      </c>
      <c r="AL61" s="190" t="str">
        <f t="shared" si="30"/>
        <v/>
      </c>
      <c r="AM61" s="190" t="str">
        <f t="shared" si="30"/>
        <v/>
      </c>
      <c r="AN61" s="190" t="str">
        <f t="shared" si="30"/>
        <v/>
      </c>
      <c r="AO61" s="190" t="str">
        <f t="shared" si="30"/>
        <v/>
      </c>
      <c r="AP61" s="190" t="str">
        <f t="shared" si="30"/>
        <v/>
      </c>
      <c r="AQ61" s="190" t="str">
        <f t="shared" si="30"/>
        <v/>
      </c>
      <c r="AR61" s="190" t="str">
        <f t="shared" si="30"/>
        <v/>
      </c>
      <c r="AS61" s="190" t="str">
        <f t="shared" si="30"/>
        <v/>
      </c>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row>
    <row r="62" spans="1:85" s="3" customFormat="1" ht="15.6" hidden="1">
      <c r="A62" s="1432" t="s">
        <v>1176</v>
      </c>
      <c r="B62" s="1474" t="s">
        <v>2333</v>
      </c>
      <c r="C62" s="918"/>
      <c r="D62" s="1443" t="s">
        <v>2334</v>
      </c>
      <c r="E62" s="1467"/>
      <c r="F62" s="190">
        <f>IF(AND(F$35=1,OR(D$35=2,E$35=2)),0,1)</f>
        <v>1</v>
      </c>
      <c r="G62" s="190">
        <f t="shared" ref="G62:AS62" si="31">IF(AND(G$35=1,OR(E$35=2,F$35=2)),0,1)</f>
        <v>1</v>
      </c>
      <c r="H62" s="190">
        <f t="shared" si="31"/>
        <v>1</v>
      </c>
      <c r="I62" s="190">
        <f t="shared" si="31"/>
        <v>1</v>
      </c>
      <c r="J62" s="190">
        <f t="shared" si="31"/>
        <v>1</v>
      </c>
      <c r="K62" s="190">
        <f t="shared" si="31"/>
        <v>1</v>
      </c>
      <c r="L62" s="190">
        <f t="shared" si="31"/>
        <v>1</v>
      </c>
      <c r="M62" s="190">
        <f t="shared" si="31"/>
        <v>1</v>
      </c>
      <c r="N62" s="190">
        <f t="shared" si="31"/>
        <v>1</v>
      </c>
      <c r="O62" s="190">
        <f t="shared" si="31"/>
        <v>1</v>
      </c>
      <c r="P62" s="190">
        <f t="shared" si="31"/>
        <v>1</v>
      </c>
      <c r="Q62" s="190">
        <f t="shared" si="31"/>
        <v>1</v>
      </c>
      <c r="R62" s="190">
        <f t="shared" si="31"/>
        <v>1</v>
      </c>
      <c r="S62" s="190">
        <f t="shared" si="31"/>
        <v>1</v>
      </c>
      <c r="T62" s="190">
        <f t="shared" si="31"/>
        <v>1</v>
      </c>
      <c r="U62" s="190">
        <f t="shared" si="31"/>
        <v>1</v>
      </c>
      <c r="V62" s="190">
        <f t="shared" si="31"/>
        <v>1</v>
      </c>
      <c r="W62" s="190">
        <f t="shared" si="31"/>
        <v>1</v>
      </c>
      <c r="X62" s="190">
        <f t="shared" si="31"/>
        <v>1</v>
      </c>
      <c r="Y62" s="190">
        <f t="shared" si="31"/>
        <v>1</v>
      </c>
      <c r="Z62" s="190">
        <f t="shared" si="31"/>
        <v>1</v>
      </c>
      <c r="AA62" s="190">
        <f t="shared" si="31"/>
        <v>1</v>
      </c>
      <c r="AB62" s="190">
        <f t="shared" si="31"/>
        <v>1</v>
      </c>
      <c r="AC62" s="190">
        <f t="shared" si="31"/>
        <v>1</v>
      </c>
      <c r="AD62" s="190">
        <f t="shared" si="31"/>
        <v>0</v>
      </c>
      <c r="AE62" s="190">
        <f t="shared" si="31"/>
        <v>0</v>
      </c>
      <c r="AF62" s="190">
        <f t="shared" si="31"/>
        <v>1</v>
      </c>
      <c r="AG62" s="190">
        <f t="shared" si="31"/>
        <v>1</v>
      </c>
      <c r="AH62" s="190">
        <f t="shared" si="31"/>
        <v>1</v>
      </c>
      <c r="AI62" s="190">
        <f t="shared" si="31"/>
        <v>1</v>
      </c>
      <c r="AJ62" s="190">
        <f t="shared" si="31"/>
        <v>1</v>
      </c>
      <c r="AK62" s="190">
        <f t="shared" si="31"/>
        <v>1</v>
      </c>
      <c r="AL62" s="190">
        <f t="shared" si="31"/>
        <v>1</v>
      </c>
      <c r="AM62" s="190">
        <f t="shared" si="31"/>
        <v>1</v>
      </c>
      <c r="AN62" s="190">
        <f t="shared" si="31"/>
        <v>1</v>
      </c>
      <c r="AO62" s="190">
        <f t="shared" si="31"/>
        <v>1</v>
      </c>
      <c r="AP62" s="190">
        <f t="shared" si="31"/>
        <v>1</v>
      </c>
      <c r="AQ62" s="190">
        <f t="shared" si="31"/>
        <v>1</v>
      </c>
      <c r="AR62" s="190">
        <f t="shared" si="31"/>
        <v>1</v>
      </c>
      <c r="AS62" s="190">
        <f t="shared" si="31"/>
        <v>1</v>
      </c>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row>
    <row r="63" spans="1:85" s="3" customFormat="1" ht="15.6" hidden="1">
      <c r="A63" s="1432" t="s">
        <v>1176</v>
      </c>
      <c r="B63" s="198" t="s">
        <v>1851</v>
      </c>
      <c r="C63" s="918"/>
      <c r="D63" s="190"/>
      <c r="E63" s="1467"/>
      <c r="F63" s="190"/>
      <c r="G63" s="190"/>
      <c r="H63" s="190"/>
      <c r="I63" s="190"/>
      <c r="J63" s="190"/>
      <c r="K63" s="190"/>
      <c r="L63" s="190"/>
      <c r="M63" s="190"/>
      <c r="N63" s="190"/>
      <c r="O63" s="190"/>
      <c r="P63" s="190"/>
      <c r="Q63" s="190"/>
      <c r="R63" s="190"/>
      <c r="S63" s="190"/>
      <c r="T63" s="190"/>
      <c r="U63" s="190"/>
      <c r="V63" s="190"/>
      <c r="W63" s="190"/>
      <c r="X63" s="190"/>
      <c r="Y63" s="190"/>
      <c r="Z63" s="190"/>
      <c r="AA63" s="190"/>
      <c r="AB63" s="190"/>
      <c r="AC63" s="190"/>
      <c r="AD63" s="190"/>
      <c r="AE63" s="190"/>
      <c r="AF63" s="190"/>
      <c r="AG63" s="190"/>
      <c r="AH63" s="190"/>
      <c r="AI63" s="190"/>
      <c r="AJ63" s="190"/>
      <c r="AK63" s="190"/>
      <c r="AL63" s="190"/>
      <c r="AM63" s="190"/>
      <c r="AN63" s="190"/>
      <c r="AO63" s="190"/>
      <c r="AP63" s="190"/>
      <c r="AQ63" s="190"/>
      <c r="AR63" s="190"/>
      <c r="AS63" s="190"/>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row>
    <row r="64" spans="1:85" s="3" customFormat="1" ht="15.6" hidden="1">
      <c r="A64" s="1432" t="s">
        <v>1176</v>
      </c>
      <c r="B64" s="198" t="s">
        <v>2341</v>
      </c>
      <c r="C64" s="918"/>
      <c r="D64" s="190">
        <f>SUM(F64:AS64)</f>
        <v>3689300</v>
      </c>
      <c r="E64" s="1467"/>
      <c r="F64" s="190">
        <f>+Base!F270</f>
        <v>65600</v>
      </c>
      <c r="G64" s="190">
        <f>+Base!G270</f>
        <v>82200</v>
      </c>
      <c r="H64" s="190">
        <f>+Base!H270</f>
        <v>68800</v>
      </c>
      <c r="I64" s="190">
        <f>+Base!I270</f>
        <v>70400</v>
      </c>
      <c r="J64" s="190">
        <f>+Base!J270</f>
        <v>72100</v>
      </c>
      <c r="K64" s="190">
        <f>+Base!K270</f>
        <v>93000</v>
      </c>
      <c r="L64" s="190">
        <f>+Base!L270</f>
        <v>95800</v>
      </c>
      <c r="M64" s="190">
        <f>+Base!M270</f>
        <v>98800</v>
      </c>
      <c r="N64" s="190">
        <f>+Base!N270</f>
        <v>74600</v>
      </c>
      <c r="O64" s="190">
        <f>+Base!O270</f>
        <v>77200</v>
      </c>
      <c r="P64" s="190">
        <f>+Base!P270</f>
        <v>79100</v>
      </c>
      <c r="Q64" s="190">
        <f>+Base!Q270</f>
        <v>82500</v>
      </c>
      <c r="R64" s="190">
        <f>+Base!R270</f>
        <v>95400</v>
      </c>
      <c r="S64" s="190">
        <f>+Base!S270</f>
        <v>100600</v>
      </c>
      <c r="T64" s="190">
        <f>+Base!T270</f>
        <v>127200</v>
      </c>
      <c r="U64" s="190">
        <f>+Base!U270</f>
        <v>142200</v>
      </c>
      <c r="V64" s="190">
        <f>+Base!V270</f>
        <v>138800</v>
      </c>
      <c r="W64" s="190">
        <f>+Base!W270</f>
        <v>144300</v>
      </c>
      <c r="X64" s="190">
        <f>+Base!X270</f>
        <v>140500</v>
      </c>
      <c r="Y64" s="190">
        <f>+Base!Y270</f>
        <v>144000</v>
      </c>
      <c r="Z64" s="190">
        <f>+Base!Z270</f>
        <v>149200</v>
      </c>
      <c r="AA64" s="190">
        <f>+Base!AA270</f>
        <v>154800</v>
      </c>
      <c r="AB64" s="190">
        <f>+Base!AB270</f>
        <v>165500</v>
      </c>
      <c r="AC64" s="190">
        <f>+Base!AC270</f>
        <v>182800</v>
      </c>
      <c r="AD64" s="190">
        <f>+Base!AD270</f>
        <v>167000</v>
      </c>
      <c r="AE64" s="190">
        <f>+Base!AE270</f>
        <v>173900</v>
      </c>
      <c r="AF64" s="190">
        <f>+Base!AF270</f>
        <v>177600</v>
      </c>
      <c r="AG64" s="190">
        <f>+Base!AG270</f>
        <v>172400</v>
      </c>
      <c r="AH64" s="190">
        <f>+Base!AH270</f>
        <v>174600</v>
      </c>
      <c r="AI64" s="190">
        <f>+Base!AI270</f>
        <v>178400</v>
      </c>
      <c r="AJ64" s="190">
        <f>+Base!AJ270</f>
        <v>0</v>
      </c>
      <c r="AK64" s="190">
        <f>+Base!AK270</f>
        <v>0</v>
      </c>
      <c r="AL64" s="190">
        <f>+Base!AL270</f>
        <v>0</v>
      </c>
      <c r="AM64" s="190">
        <f>+Base!AM270</f>
        <v>0</v>
      </c>
      <c r="AN64" s="190">
        <f>+Base!AN270</f>
        <v>0</v>
      </c>
      <c r="AO64" s="190">
        <f>+Base!AO270</f>
        <v>0</v>
      </c>
      <c r="AP64" s="190">
        <f>+Base!AP270</f>
        <v>0</v>
      </c>
      <c r="AQ64" s="190">
        <f>+Base!AQ270</f>
        <v>0</v>
      </c>
      <c r="AR64" s="190">
        <f>+Base!AR270</f>
        <v>0</v>
      </c>
      <c r="AS64" s="190">
        <f>+Base!AS270</f>
        <v>0</v>
      </c>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row>
    <row r="65" spans="1:85" s="3" customFormat="1" ht="15.6" hidden="1">
      <c r="A65" s="1432" t="s">
        <v>1176</v>
      </c>
      <c r="B65" s="1469" t="s">
        <v>1870</v>
      </c>
      <c r="C65" s="918"/>
      <c r="D65" s="190">
        <f>SUM(F65:AS65)</f>
        <v>3689300</v>
      </c>
      <c r="E65" s="1467"/>
      <c r="F65" s="190">
        <f>+F33</f>
        <v>0</v>
      </c>
      <c r="G65" s="190">
        <f>+G33</f>
        <v>0</v>
      </c>
      <c r="H65" s="190">
        <f>+F64</f>
        <v>65600</v>
      </c>
      <c r="I65" s="190">
        <f t="shared" ref="I65:AS65" si="32">+G64</f>
        <v>82200</v>
      </c>
      <c r="J65" s="190">
        <f t="shared" si="32"/>
        <v>68800</v>
      </c>
      <c r="K65" s="190">
        <f t="shared" si="32"/>
        <v>70400</v>
      </c>
      <c r="L65" s="190">
        <f t="shared" si="32"/>
        <v>72100</v>
      </c>
      <c r="M65" s="190">
        <f t="shared" si="32"/>
        <v>93000</v>
      </c>
      <c r="N65" s="190">
        <f t="shared" si="32"/>
        <v>95800</v>
      </c>
      <c r="O65" s="190">
        <f t="shared" si="32"/>
        <v>98800</v>
      </c>
      <c r="P65" s="190">
        <f t="shared" si="32"/>
        <v>74600</v>
      </c>
      <c r="Q65" s="190">
        <f t="shared" si="32"/>
        <v>77200</v>
      </c>
      <c r="R65" s="190">
        <f t="shared" si="32"/>
        <v>79100</v>
      </c>
      <c r="S65" s="190">
        <f t="shared" si="32"/>
        <v>82500</v>
      </c>
      <c r="T65" s="190">
        <f t="shared" si="32"/>
        <v>95400</v>
      </c>
      <c r="U65" s="190">
        <f t="shared" si="32"/>
        <v>100600</v>
      </c>
      <c r="V65" s="190">
        <f t="shared" si="32"/>
        <v>127200</v>
      </c>
      <c r="W65" s="190">
        <f t="shared" si="32"/>
        <v>142200</v>
      </c>
      <c r="X65" s="190">
        <f t="shared" si="32"/>
        <v>138800</v>
      </c>
      <c r="Y65" s="190">
        <f t="shared" si="32"/>
        <v>144300</v>
      </c>
      <c r="Z65" s="190">
        <f t="shared" si="32"/>
        <v>140500</v>
      </c>
      <c r="AA65" s="190">
        <f t="shared" si="32"/>
        <v>144000</v>
      </c>
      <c r="AB65" s="190">
        <f t="shared" si="32"/>
        <v>149200</v>
      </c>
      <c r="AC65" s="190">
        <f t="shared" si="32"/>
        <v>154800</v>
      </c>
      <c r="AD65" s="190">
        <f t="shared" si="32"/>
        <v>165500</v>
      </c>
      <c r="AE65" s="190">
        <f t="shared" si="32"/>
        <v>182800</v>
      </c>
      <c r="AF65" s="190">
        <f t="shared" si="32"/>
        <v>167000</v>
      </c>
      <c r="AG65" s="190">
        <f t="shared" si="32"/>
        <v>173900</v>
      </c>
      <c r="AH65" s="190">
        <f t="shared" si="32"/>
        <v>177600</v>
      </c>
      <c r="AI65" s="190">
        <f t="shared" si="32"/>
        <v>172400</v>
      </c>
      <c r="AJ65" s="190">
        <f t="shared" si="32"/>
        <v>174600</v>
      </c>
      <c r="AK65" s="190">
        <f t="shared" si="32"/>
        <v>178400</v>
      </c>
      <c r="AL65" s="190">
        <f t="shared" si="32"/>
        <v>0</v>
      </c>
      <c r="AM65" s="190">
        <f t="shared" si="32"/>
        <v>0</v>
      </c>
      <c r="AN65" s="190">
        <f t="shared" si="32"/>
        <v>0</v>
      </c>
      <c r="AO65" s="190">
        <f t="shared" si="32"/>
        <v>0</v>
      </c>
      <c r="AP65" s="190">
        <f t="shared" si="32"/>
        <v>0</v>
      </c>
      <c r="AQ65" s="190">
        <f t="shared" si="32"/>
        <v>0</v>
      </c>
      <c r="AR65" s="190">
        <f t="shared" si="32"/>
        <v>0</v>
      </c>
      <c r="AS65" s="190">
        <f t="shared" si="32"/>
        <v>0</v>
      </c>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row>
    <row r="66" spans="1:85" s="3" customFormat="1" ht="15.6" hidden="1">
      <c r="A66" s="1432" t="s">
        <v>1176</v>
      </c>
      <c r="B66" s="1474"/>
      <c r="C66" s="918"/>
      <c r="D66" s="190"/>
      <c r="E66" s="1467"/>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0"/>
      <c r="AL66" s="190"/>
      <c r="AM66" s="190"/>
      <c r="AN66" s="190"/>
      <c r="AO66" s="190"/>
      <c r="AP66" s="190"/>
      <c r="AQ66" s="190"/>
      <c r="AR66" s="190"/>
      <c r="AS66" s="190"/>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row>
    <row r="67" spans="1:85" s="3" customFormat="1" ht="15.6" hidden="1">
      <c r="A67" s="1432" t="s">
        <v>1176</v>
      </c>
      <c r="B67" s="1474" t="s">
        <v>1901</v>
      </c>
      <c r="C67" s="918"/>
      <c r="D67" s="190">
        <f t="shared" ref="D67:D73" si="33">SUM(F67:AS67)</f>
        <v>660</v>
      </c>
      <c r="E67" s="1467"/>
      <c r="F67" s="190">
        <f>IF(F$34=2,IF(F$65&gt;F$40,F$49*F$35,0),IF(F$65&gt;F$39,F$49*F$35,0))</f>
        <v>0</v>
      </c>
      <c r="G67" s="190">
        <f t="shared" ref="G67:AS67" si="34">IF(G$34=2,IF(G$65&gt;G$40,G$49*G$35,0),IF(G$65&gt;G$39,G$49*G$35,0))</f>
        <v>0</v>
      </c>
      <c r="H67" s="190">
        <f t="shared" si="34"/>
        <v>0</v>
      </c>
      <c r="I67" s="190">
        <f t="shared" si="34"/>
        <v>0</v>
      </c>
      <c r="J67" s="190">
        <f t="shared" si="34"/>
        <v>0</v>
      </c>
      <c r="K67" s="190">
        <f t="shared" si="34"/>
        <v>0</v>
      </c>
      <c r="L67" s="190">
        <f t="shared" si="34"/>
        <v>0</v>
      </c>
      <c r="M67" s="190">
        <f t="shared" si="34"/>
        <v>0</v>
      </c>
      <c r="N67" s="190">
        <f t="shared" si="34"/>
        <v>0</v>
      </c>
      <c r="O67" s="190">
        <f t="shared" si="34"/>
        <v>0</v>
      </c>
      <c r="P67" s="190">
        <f t="shared" si="34"/>
        <v>0</v>
      </c>
      <c r="Q67" s="190">
        <f t="shared" si="34"/>
        <v>0</v>
      </c>
      <c r="R67" s="190">
        <f t="shared" si="34"/>
        <v>0</v>
      </c>
      <c r="S67" s="190">
        <f t="shared" si="34"/>
        <v>0</v>
      </c>
      <c r="T67" s="190">
        <f t="shared" si="34"/>
        <v>0</v>
      </c>
      <c r="U67" s="190">
        <f t="shared" si="34"/>
        <v>0</v>
      </c>
      <c r="V67" s="190">
        <f t="shared" si="34"/>
        <v>0</v>
      </c>
      <c r="W67" s="190">
        <f t="shared" si="34"/>
        <v>0</v>
      </c>
      <c r="X67" s="190">
        <f t="shared" si="34"/>
        <v>0</v>
      </c>
      <c r="Y67" s="190">
        <f t="shared" si="34"/>
        <v>0</v>
      </c>
      <c r="Z67" s="190">
        <f t="shared" si="34"/>
        <v>0</v>
      </c>
      <c r="AA67" s="190">
        <f t="shared" si="34"/>
        <v>0</v>
      </c>
      <c r="AB67" s="190">
        <f t="shared" si="34"/>
        <v>0</v>
      </c>
      <c r="AC67" s="190">
        <f t="shared" si="34"/>
        <v>0</v>
      </c>
      <c r="AD67" s="190">
        <f t="shared" si="34"/>
        <v>105</v>
      </c>
      <c r="AE67" s="190">
        <f t="shared" si="34"/>
        <v>107</v>
      </c>
      <c r="AF67" s="190">
        <f t="shared" si="34"/>
        <v>109</v>
      </c>
      <c r="AG67" s="190">
        <f t="shared" si="34"/>
        <v>111</v>
      </c>
      <c r="AH67" s="190">
        <f t="shared" si="34"/>
        <v>113</v>
      </c>
      <c r="AI67" s="190">
        <f t="shared" si="34"/>
        <v>115</v>
      </c>
      <c r="AJ67" s="190">
        <f t="shared" si="34"/>
        <v>0</v>
      </c>
      <c r="AK67" s="190">
        <f t="shared" si="34"/>
        <v>0</v>
      </c>
      <c r="AL67" s="190">
        <f t="shared" si="34"/>
        <v>0</v>
      </c>
      <c r="AM67" s="190">
        <f t="shared" si="34"/>
        <v>0</v>
      </c>
      <c r="AN67" s="190">
        <f t="shared" si="34"/>
        <v>0</v>
      </c>
      <c r="AO67" s="190">
        <f t="shared" si="34"/>
        <v>0</v>
      </c>
      <c r="AP67" s="190">
        <f t="shared" si="34"/>
        <v>0</v>
      </c>
      <c r="AQ67" s="190">
        <f t="shared" si="34"/>
        <v>0</v>
      </c>
      <c r="AR67" s="190">
        <f t="shared" si="34"/>
        <v>0</v>
      </c>
      <c r="AS67" s="190">
        <f t="shared" si="34"/>
        <v>0</v>
      </c>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row>
    <row r="68" spans="1:85" s="3" customFormat="1" ht="15.6" hidden="1">
      <c r="A68" s="1432" t="s">
        <v>1176</v>
      </c>
      <c r="B68" s="1474" t="s">
        <v>2154</v>
      </c>
      <c r="C68" s="918"/>
      <c r="D68" s="190">
        <f t="shared" si="33"/>
        <v>164</v>
      </c>
      <c r="E68" s="1467"/>
      <c r="F68" s="190">
        <f>IF(F$34=2,IF(F$65&gt;F$42,F$50*F$35,0),IF(F$65&gt;F$41,F$50*F$35,0))</f>
        <v>0</v>
      </c>
      <c r="G68" s="190">
        <f t="shared" ref="G68:AS68" si="35">IF(G$34=2,IF(G$65&gt;G$42,G$50*G$35,0),IF(G$65&gt;G$41,G$50*G$35,0))</f>
        <v>0</v>
      </c>
      <c r="H68" s="190">
        <f t="shared" si="35"/>
        <v>0</v>
      </c>
      <c r="I68" s="190">
        <f t="shared" si="35"/>
        <v>0</v>
      </c>
      <c r="J68" s="190">
        <f t="shared" si="35"/>
        <v>0</v>
      </c>
      <c r="K68" s="190">
        <f t="shared" si="35"/>
        <v>0</v>
      </c>
      <c r="L68" s="190">
        <f t="shared" si="35"/>
        <v>0</v>
      </c>
      <c r="M68" s="190">
        <f t="shared" si="35"/>
        <v>0</v>
      </c>
      <c r="N68" s="190">
        <f t="shared" si="35"/>
        <v>0</v>
      </c>
      <c r="O68" s="190">
        <f t="shared" si="35"/>
        <v>0</v>
      </c>
      <c r="P68" s="190">
        <f t="shared" si="35"/>
        <v>0</v>
      </c>
      <c r="Q68" s="190">
        <f t="shared" si="35"/>
        <v>0</v>
      </c>
      <c r="R68" s="190">
        <f t="shared" si="35"/>
        <v>0</v>
      </c>
      <c r="S68" s="190">
        <f t="shared" si="35"/>
        <v>0</v>
      </c>
      <c r="T68" s="190">
        <f t="shared" si="35"/>
        <v>0</v>
      </c>
      <c r="U68" s="190">
        <f t="shared" si="35"/>
        <v>0</v>
      </c>
      <c r="V68" s="190">
        <f t="shared" si="35"/>
        <v>0</v>
      </c>
      <c r="W68" s="190">
        <f t="shared" si="35"/>
        <v>0</v>
      </c>
      <c r="X68" s="190">
        <f t="shared" si="35"/>
        <v>0</v>
      </c>
      <c r="Y68" s="190">
        <f t="shared" si="35"/>
        <v>0</v>
      </c>
      <c r="Z68" s="190">
        <f t="shared" si="35"/>
        <v>0</v>
      </c>
      <c r="AA68" s="190">
        <f t="shared" si="35"/>
        <v>0</v>
      </c>
      <c r="AB68" s="190">
        <f t="shared" si="35"/>
        <v>0</v>
      </c>
      <c r="AC68" s="190">
        <f t="shared" si="35"/>
        <v>0</v>
      </c>
      <c r="AD68" s="190">
        <f t="shared" si="35"/>
        <v>0</v>
      </c>
      <c r="AE68" s="190">
        <f t="shared" si="35"/>
        <v>164</v>
      </c>
      <c r="AF68" s="190">
        <f t="shared" si="35"/>
        <v>0</v>
      </c>
      <c r="AG68" s="190">
        <f t="shared" si="35"/>
        <v>0</v>
      </c>
      <c r="AH68" s="190">
        <f t="shared" si="35"/>
        <v>0</v>
      </c>
      <c r="AI68" s="190">
        <f t="shared" si="35"/>
        <v>0</v>
      </c>
      <c r="AJ68" s="190">
        <f t="shared" si="35"/>
        <v>0</v>
      </c>
      <c r="AK68" s="190">
        <f t="shared" si="35"/>
        <v>0</v>
      </c>
      <c r="AL68" s="190">
        <f t="shared" si="35"/>
        <v>0</v>
      </c>
      <c r="AM68" s="190">
        <f t="shared" si="35"/>
        <v>0</v>
      </c>
      <c r="AN68" s="190">
        <f t="shared" si="35"/>
        <v>0</v>
      </c>
      <c r="AO68" s="190">
        <f t="shared" si="35"/>
        <v>0</v>
      </c>
      <c r="AP68" s="190">
        <f t="shared" si="35"/>
        <v>0</v>
      </c>
      <c r="AQ68" s="190">
        <f t="shared" si="35"/>
        <v>0</v>
      </c>
      <c r="AR68" s="190">
        <f t="shared" si="35"/>
        <v>0</v>
      </c>
      <c r="AS68" s="190">
        <f t="shared" si="35"/>
        <v>0</v>
      </c>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row>
    <row r="69" spans="1:85" s="3" customFormat="1" ht="15.6" hidden="1">
      <c r="A69" s="1432" t="s">
        <v>1176</v>
      </c>
      <c r="B69" s="1474" t="s">
        <v>2155</v>
      </c>
      <c r="C69" s="918"/>
      <c r="D69" s="190">
        <f t="shared" si="33"/>
        <v>0</v>
      </c>
      <c r="E69" s="1467"/>
      <c r="F69" s="190">
        <f>IF(F$34=2,IF(F$65&gt;F$44,F$51*F$35,0),IF(F$65&gt;F$43,F$51*F$35,0))</f>
        <v>0</v>
      </c>
      <c r="G69" s="190">
        <f t="shared" ref="G69:AS69" si="36">IF(G$34=2,IF(G$65&gt;G$44,G$51*G$35,0),IF(G$65&gt;G$43,G$51*G$35,0))</f>
        <v>0</v>
      </c>
      <c r="H69" s="190">
        <f t="shared" si="36"/>
        <v>0</v>
      </c>
      <c r="I69" s="190">
        <f t="shared" si="36"/>
        <v>0</v>
      </c>
      <c r="J69" s="190">
        <f t="shared" si="36"/>
        <v>0</v>
      </c>
      <c r="K69" s="190">
        <f t="shared" si="36"/>
        <v>0</v>
      </c>
      <c r="L69" s="190">
        <f t="shared" si="36"/>
        <v>0</v>
      </c>
      <c r="M69" s="190">
        <f t="shared" si="36"/>
        <v>0</v>
      </c>
      <c r="N69" s="190">
        <f t="shared" si="36"/>
        <v>0</v>
      </c>
      <c r="O69" s="190">
        <f t="shared" si="36"/>
        <v>0</v>
      </c>
      <c r="P69" s="190">
        <f t="shared" si="36"/>
        <v>0</v>
      </c>
      <c r="Q69" s="190">
        <f t="shared" si="36"/>
        <v>0</v>
      </c>
      <c r="R69" s="190">
        <f t="shared" si="36"/>
        <v>0</v>
      </c>
      <c r="S69" s="190">
        <f t="shared" si="36"/>
        <v>0</v>
      </c>
      <c r="T69" s="190">
        <f t="shared" si="36"/>
        <v>0</v>
      </c>
      <c r="U69" s="190">
        <f t="shared" si="36"/>
        <v>0</v>
      </c>
      <c r="V69" s="190">
        <f t="shared" si="36"/>
        <v>0</v>
      </c>
      <c r="W69" s="190">
        <f t="shared" si="36"/>
        <v>0</v>
      </c>
      <c r="X69" s="190">
        <f t="shared" si="36"/>
        <v>0</v>
      </c>
      <c r="Y69" s="190">
        <f t="shared" si="36"/>
        <v>0</v>
      </c>
      <c r="Z69" s="190">
        <f t="shared" si="36"/>
        <v>0</v>
      </c>
      <c r="AA69" s="190">
        <f t="shared" si="36"/>
        <v>0</v>
      </c>
      <c r="AB69" s="190">
        <f t="shared" si="36"/>
        <v>0</v>
      </c>
      <c r="AC69" s="190">
        <f t="shared" si="36"/>
        <v>0</v>
      </c>
      <c r="AD69" s="190">
        <f t="shared" si="36"/>
        <v>0</v>
      </c>
      <c r="AE69" s="190">
        <f t="shared" si="36"/>
        <v>0</v>
      </c>
      <c r="AF69" s="190">
        <f t="shared" si="36"/>
        <v>0</v>
      </c>
      <c r="AG69" s="190">
        <f t="shared" si="36"/>
        <v>0</v>
      </c>
      <c r="AH69" s="190">
        <f t="shared" si="36"/>
        <v>0</v>
      </c>
      <c r="AI69" s="190">
        <f t="shared" si="36"/>
        <v>0</v>
      </c>
      <c r="AJ69" s="190">
        <f t="shared" si="36"/>
        <v>0</v>
      </c>
      <c r="AK69" s="190">
        <f t="shared" si="36"/>
        <v>0</v>
      </c>
      <c r="AL69" s="190">
        <f t="shared" si="36"/>
        <v>0</v>
      </c>
      <c r="AM69" s="190">
        <f t="shared" si="36"/>
        <v>0</v>
      </c>
      <c r="AN69" s="190">
        <f t="shared" si="36"/>
        <v>0</v>
      </c>
      <c r="AO69" s="190">
        <f t="shared" si="36"/>
        <v>0</v>
      </c>
      <c r="AP69" s="190">
        <f t="shared" si="36"/>
        <v>0</v>
      </c>
      <c r="AQ69" s="190">
        <f t="shared" si="36"/>
        <v>0</v>
      </c>
      <c r="AR69" s="190">
        <f t="shared" si="36"/>
        <v>0</v>
      </c>
      <c r="AS69" s="190">
        <f t="shared" si="36"/>
        <v>0</v>
      </c>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row>
    <row r="70" spans="1:85" s="3" customFormat="1" ht="15.6" hidden="1">
      <c r="A70" s="1432" t="s">
        <v>1176</v>
      </c>
      <c r="B70" s="1474" t="s">
        <v>2156</v>
      </c>
      <c r="C70" s="918"/>
      <c r="D70" s="192">
        <f t="shared" si="33"/>
        <v>0</v>
      </c>
      <c r="E70" s="1467"/>
      <c r="F70" s="192">
        <f>IF(F$34=2,IF(F$65&gt;F$46,F$52*F$35,0),IF(F$65&gt;F$45,F$52*F$35,0))</f>
        <v>0</v>
      </c>
      <c r="G70" s="192">
        <f t="shared" ref="G70:AS70" si="37">IF(G$34=2,IF(G$65&gt;G$46,G$52*G$35,0),IF(G$65&gt;G$45,G$52*G$35,0))</f>
        <v>0</v>
      </c>
      <c r="H70" s="192">
        <f t="shared" si="37"/>
        <v>0</v>
      </c>
      <c r="I70" s="192">
        <f t="shared" si="37"/>
        <v>0</v>
      </c>
      <c r="J70" s="192">
        <f t="shared" si="37"/>
        <v>0</v>
      </c>
      <c r="K70" s="192">
        <f t="shared" si="37"/>
        <v>0</v>
      </c>
      <c r="L70" s="192">
        <f t="shared" si="37"/>
        <v>0</v>
      </c>
      <c r="M70" s="192">
        <f t="shared" si="37"/>
        <v>0</v>
      </c>
      <c r="N70" s="192">
        <f t="shared" si="37"/>
        <v>0</v>
      </c>
      <c r="O70" s="192">
        <f t="shared" si="37"/>
        <v>0</v>
      </c>
      <c r="P70" s="192">
        <f t="shared" si="37"/>
        <v>0</v>
      </c>
      <c r="Q70" s="192">
        <f t="shared" si="37"/>
        <v>0</v>
      </c>
      <c r="R70" s="192">
        <f t="shared" si="37"/>
        <v>0</v>
      </c>
      <c r="S70" s="192">
        <f t="shared" si="37"/>
        <v>0</v>
      </c>
      <c r="T70" s="192">
        <f t="shared" si="37"/>
        <v>0</v>
      </c>
      <c r="U70" s="192">
        <f t="shared" si="37"/>
        <v>0</v>
      </c>
      <c r="V70" s="192">
        <f t="shared" si="37"/>
        <v>0</v>
      </c>
      <c r="W70" s="192">
        <f t="shared" si="37"/>
        <v>0</v>
      </c>
      <c r="X70" s="192">
        <f t="shared" si="37"/>
        <v>0</v>
      </c>
      <c r="Y70" s="192">
        <f t="shared" si="37"/>
        <v>0</v>
      </c>
      <c r="Z70" s="192">
        <f t="shared" si="37"/>
        <v>0</v>
      </c>
      <c r="AA70" s="192">
        <f t="shared" si="37"/>
        <v>0</v>
      </c>
      <c r="AB70" s="192">
        <f t="shared" si="37"/>
        <v>0</v>
      </c>
      <c r="AC70" s="192">
        <f t="shared" si="37"/>
        <v>0</v>
      </c>
      <c r="AD70" s="192">
        <f t="shared" si="37"/>
        <v>0</v>
      </c>
      <c r="AE70" s="192">
        <f t="shared" si="37"/>
        <v>0</v>
      </c>
      <c r="AF70" s="192">
        <f t="shared" si="37"/>
        <v>0</v>
      </c>
      <c r="AG70" s="192">
        <f t="shared" si="37"/>
        <v>0</v>
      </c>
      <c r="AH70" s="192">
        <f t="shared" si="37"/>
        <v>0</v>
      </c>
      <c r="AI70" s="192">
        <f t="shared" si="37"/>
        <v>0</v>
      </c>
      <c r="AJ70" s="192">
        <f t="shared" si="37"/>
        <v>0</v>
      </c>
      <c r="AK70" s="192">
        <f t="shared" si="37"/>
        <v>0</v>
      </c>
      <c r="AL70" s="192">
        <f t="shared" si="37"/>
        <v>0</v>
      </c>
      <c r="AM70" s="192">
        <f t="shared" si="37"/>
        <v>0</v>
      </c>
      <c r="AN70" s="192">
        <f t="shared" si="37"/>
        <v>0</v>
      </c>
      <c r="AO70" s="192">
        <f t="shared" si="37"/>
        <v>0</v>
      </c>
      <c r="AP70" s="192">
        <f t="shared" si="37"/>
        <v>0</v>
      </c>
      <c r="AQ70" s="192">
        <f t="shared" si="37"/>
        <v>0</v>
      </c>
      <c r="AR70" s="192">
        <f t="shared" si="37"/>
        <v>0</v>
      </c>
      <c r="AS70" s="192">
        <f t="shared" si="37"/>
        <v>0</v>
      </c>
      <c r="AT70" s="89"/>
      <c r="AU70" s="1"/>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row>
    <row r="71" spans="1:85" s="3" customFormat="1" ht="15.6" hidden="1">
      <c r="A71" s="1432" t="s">
        <v>1176</v>
      </c>
      <c r="B71" s="1474" t="s">
        <v>2157</v>
      </c>
      <c r="C71" s="918"/>
      <c r="D71" s="193">
        <f>SUM(F71:AS71)</f>
        <v>0</v>
      </c>
      <c r="E71" s="1467"/>
      <c r="F71" s="193">
        <f>IF(F$34=2,IF(F$65&gt;F$48,F$53*F$35,0),IF(F$65&gt;F$47,F$53*F$35,0))</f>
        <v>0</v>
      </c>
      <c r="G71" s="193">
        <f t="shared" ref="G71:AS71" si="38">IF(G$34=2,IF(G$65&gt;G$48,G$53*G$35,0),IF(G$65&gt;G$47,G$53*G$35,0))</f>
        <v>0</v>
      </c>
      <c r="H71" s="193">
        <f t="shared" si="38"/>
        <v>0</v>
      </c>
      <c r="I71" s="193">
        <f t="shared" si="38"/>
        <v>0</v>
      </c>
      <c r="J71" s="193">
        <f t="shared" si="38"/>
        <v>0</v>
      </c>
      <c r="K71" s="193">
        <f t="shared" si="38"/>
        <v>0</v>
      </c>
      <c r="L71" s="193">
        <f t="shared" si="38"/>
        <v>0</v>
      </c>
      <c r="M71" s="193">
        <f t="shared" si="38"/>
        <v>0</v>
      </c>
      <c r="N71" s="193">
        <f t="shared" si="38"/>
        <v>0</v>
      </c>
      <c r="O71" s="193">
        <f t="shared" si="38"/>
        <v>0</v>
      </c>
      <c r="P71" s="193">
        <f t="shared" si="38"/>
        <v>0</v>
      </c>
      <c r="Q71" s="193">
        <f t="shared" si="38"/>
        <v>0</v>
      </c>
      <c r="R71" s="193">
        <f t="shared" si="38"/>
        <v>0</v>
      </c>
      <c r="S71" s="193">
        <f t="shared" si="38"/>
        <v>0</v>
      </c>
      <c r="T71" s="193">
        <f t="shared" si="38"/>
        <v>0</v>
      </c>
      <c r="U71" s="193">
        <f t="shared" si="38"/>
        <v>0</v>
      </c>
      <c r="V71" s="193">
        <f t="shared" si="38"/>
        <v>0</v>
      </c>
      <c r="W71" s="193">
        <f t="shared" si="38"/>
        <v>0</v>
      </c>
      <c r="X71" s="193">
        <f t="shared" si="38"/>
        <v>0</v>
      </c>
      <c r="Y71" s="193">
        <f t="shared" si="38"/>
        <v>0</v>
      </c>
      <c r="Z71" s="193">
        <f t="shared" si="38"/>
        <v>0</v>
      </c>
      <c r="AA71" s="193">
        <f t="shared" si="38"/>
        <v>0</v>
      </c>
      <c r="AB71" s="193">
        <f t="shared" si="38"/>
        <v>0</v>
      </c>
      <c r="AC71" s="193">
        <f t="shared" si="38"/>
        <v>0</v>
      </c>
      <c r="AD71" s="193">
        <f t="shared" si="38"/>
        <v>0</v>
      </c>
      <c r="AE71" s="193">
        <f t="shared" si="38"/>
        <v>0</v>
      </c>
      <c r="AF71" s="193">
        <f t="shared" si="38"/>
        <v>0</v>
      </c>
      <c r="AG71" s="193">
        <f t="shared" si="38"/>
        <v>0</v>
      </c>
      <c r="AH71" s="193">
        <f t="shared" si="38"/>
        <v>0</v>
      </c>
      <c r="AI71" s="193">
        <f t="shared" si="38"/>
        <v>0</v>
      </c>
      <c r="AJ71" s="193">
        <f t="shared" si="38"/>
        <v>0</v>
      </c>
      <c r="AK71" s="193">
        <f t="shared" si="38"/>
        <v>0</v>
      </c>
      <c r="AL71" s="193">
        <f t="shared" si="38"/>
        <v>0</v>
      </c>
      <c r="AM71" s="193">
        <f t="shared" si="38"/>
        <v>0</v>
      </c>
      <c r="AN71" s="193">
        <f t="shared" si="38"/>
        <v>0</v>
      </c>
      <c r="AO71" s="193">
        <f t="shared" si="38"/>
        <v>0</v>
      </c>
      <c r="AP71" s="193">
        <f t="shared" si="38"/>
        <v>0</v>
      </c>
      <c r="AQ71" s="193">
        <f t="shared" si="38"/>
        <v>0</v>
      </c>
      <c r="AR71" s="193">
        <f t="shared" si="38"/>
        <v>0</v>
      </c>
      <c r="AS71" s="193">
        <f t="shared" si="38"/>
        <v>0</v>
      </c>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row>
    <row r="72" spans="1:85" s="3" customFormat="1" ht="15.6" hidden="1">
      <c r="A72" s="1432" t="s">
        <v>1176</v>
      </c>
      <c r="B72" s="1474" t="s">
        <v>1904</v>
      </c>
      <c r="C72" s="1490">
        <f>COUNTIF(F74:AS74,"&gt;0")</f>
        <v>4</v>
      </c>
      <c r="D72" s="190">
        <f t="shared" si="33"/>
        <v>824</v>
      </c>
      <c r="E72" s="1467"/>
      <c r="F72" s="190">
        <f>SUM(F67:F71)</f>
        <v>0</v>
      </c>
      <c r="G72" s="190">
        <f t="shared" ref="G72:AS72" si="39">SUM(G67:G71)</f>
        <v>0</v>
      </c>
      <c r="H72" s="190">
        <f t="shared" si="39"/>
        <v>0</v>
      </c>
      <c r="I72" s="190">
        <f t="shared" si="39"/>
        <v>0</v>
      </c>
      <c r="J72" s="190">
        <f t="shared" si="39"/>
        <v>0</v>
      </c>
      <c r="K72" s="190">
        <f t="shared" si="39"/>
        <v>0</v>
      </c>
      <c r="L72" s="190">
        <f t="shared" si="39"/>
        <v>0</v>
      </c>
      <c r="M72" s="190">
        <f t="shared" si="39"/>
        <v>0</v>
      </c>
      <c r="N72" s="190">
        <f t="shared" si="39"/>
        <v>0</v>
      </c>
      <c r="O72" s="190">
        <f t="shared" si="39"/>
        <v>0</v>
      </c>
      <c r="P72" s="190">
        <f t="shared" si="39"/>
        <v>0</v>
      </c>
      <c r="Q72" s="190">
        <f t="shared" si="39"/>
        <v>0</v>
      </c>
      <c r="R72" s="190">
        <f t="shared" si="39"/>
        <v>0</v>
      </c>
      <c r="S72" s="190">
        <f t="shared" si="39"/>
        <v>0</v>
      </c>
      <c r="T72" s="190">
        <f t="shared" si="39"/>
        <v>0</v>
      </c>
      <c r="U72" s="190">
        <f t="shared" si="39"/>
        <v>0</v>
      </c>
      <c r="V72" s="190">
        <f t="shared" si="39"/>
        <v>0</v>
      </c>
      <c r="W72" s="190">
        <f t="shared" si="39"/>
        <v>0</v>
      </c>
      <c r="X72" s="190">
        <f t="shared" si="39"/>
        <v>0</v>
      </c>
      <c r="Y72" s="190">
        <f t="shared" si="39"/>
        <v>0</v>
      </c>
      <c r="Z72" s="190">
        <f t="shared" si="39"/>
        <v>0</v>
      </c>
      <c r="AA72" s="190">
        <f t="shared" si="39"/>
        <v>0</v>
      </c>
      <c r="AB72" s="190">
        <f t="shared" si="39"/>
        <v>0</v>
      </c>
      <c r="AC72" s="190">
        <f t="shared" si="39"/>
        <v>0</v>
      </c>
      <c r="AD72" s="190">
        <f t="shared" si="39"/>
        <v>105</v>
      </c>
      <c r="AE72" s="190">
        <f t="shared" si="39"/>
        <v>271</v>
      </c>
      <c r="AF72" s="190">
        <f t="shared" si="39"/>
        <v>109</v>
      </c>
      <c r="AG72" s="190">
        <f t="shared" si="39"/>
        <v>111</v>
      </c>
      <c r="AH72" s="190">
        <f t="shared" si="39"/>
        <v>113</v>
      </c>
      <c r="AI72" s="190">
        <f t="shared" si="39"/>
        <v>115</v>
      </c>
      <c r="AJ72" s="190">
        <f t="shared" si="39"/>
        <v>0</v>
      </c>
      <c r="AK72" s="190">
        <f t="shared" si="39"/>
        <v>0</v>
      </c>
      <c r="AL72" s="190">
        <f t="shared" si="39"/>
        <v>0</v>
      </c>
      <c r="AM72" s="190">
        <f t="shared" si="39"/>
        <v>0</v>
      </c>
      <c r="AN72" s="190">
        <f t="shared" si="39"/>
        <v>0</v>
      </c>
      <c r="AO72" s="190">
        <f t="shared" si="39"/>
        <v>0</v>
      </c>
      <c r="AP72" s="190">
        <f t="shared" si="39"/>
        <v>0</v>
      </c>
      <c r="AQ72" s="190">
        <f t="shared" si="39"/>
        <v>0</v>
      </c>
      <c r="AR72" s="190">
        <f t="shared" si="39"/>
        <v>0</v>
      </c>
      <c r="AS72" s="190">
        <f t="shared" si="39"/>
        <v>0</v>
      </c>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row>
    <row r="73" spans="1:85" s="3" customFormat="1" ht="15.6" hidden="1">
      <c r="A73" s="1432" t="s">
        <v>1176</v>
      </c>
      <c r="B73" s="1474" t="s">
        <v>1905</v>
      </c>
      <c r="C73" s="918"/>
      <c r="D73" s="190">
        <f t="shared" si="33"/>
        <v>145456.80000000002</v>
      </c>
      <c r="E73" s="1467"/>
      <c r="F73" s="190">
        <f>(+F38+F72)*12</f>
        <v>0</v>
      </c>
      <c r="G73" s="190">
        <f>(+G38+G72)*12</f>
        <v>0</v>
      </c>
      <c r="H73" s="190">
        <f t="shared" ref="H73:AS73" si="40">(+H38+H72)*12</f>
        <v>0</v>
      </c>
      <c r="I73" s="190">
        <f t="shared" si="40"/>
        <v>2253.6000000000004</v>
      </c>
      <c r="J73" s="190">
        <f t="shared" si="40"/>
        <v>4598.3999999999996</v>
      </c>
      <c r="K73" s="190">
        <f t="shared" si="40"/>
        <v>4689.6000000000004</v>
      </c>
      <c r="L73" s="190">
        <f t="shared" si="40"/>
        <v>4783.2000000000007</v>
      </c>
      <c r="M73" s="190">
        <f t="shared" si="40"/>
        <v>4879.2000000000007</v>
      </c>
      <c r="N73" s="190">
        <f t="shared" si="40"/>
        <v>4977.6000000000004</v>
      </c>
      <c r="O73" s="190">
        <f t="shared" si="40"/>
        <v>5076</v>
      </c>
      <c r="P73" s="190">
        <f t="shared" si="40"/>
        <v>5176.7999999999993</v>
      </c>
      <c r="Q73" s="190">
        <f t="shared" si="40"/>
        <v>5280</v>
      </c>
      <c r="R73" s="190">
        <f t="shared" si="40"/>
        <v>5385.6</v>
      </c>
      <c r="S73" s="190">
        <f t="shared" si="40"/>
        <v>5493.6</v>
      </c>
      <c r="T73" s="190">
        <f t="shared" si="40"/>
        <v>5604</v>
      </c>
      <c r="U73" s="190">
        <f t="shared" si="40"/>
        <v>5716.7999999999993</v>
      </c>
      <c r="V73" s="190">
        <f t="shared" si="40"/>
        <v>5832</v>
      </c>
      <c r="W73" s="190">
        <f t="shared" si="40"/>
        <v>5949.6</v>
      </c>
      <c r="X73" s="190">
        <f t="shared" si="40"/>
        <v>6069.6</v>
      </c>
      <c r="Y73" s="190">
        <f t="shared" si="40"/>
        <v>6192</v>
      </c>
      <c r="Z73" s="190">
        <f t="shared" si="40"/>
        <v>6316.7999999999993</v>
      </c>
      <c r="AA73" s="190">
        <f t="shared" si="40"/>
        <v>6444</v>
      </c>
      <c r="AB73" s="190">
        <f t="shared" si="40"/>
        <v>6573.5999999999995</v>
      </c>
      <c r="AC73" s="190">
        <f t="shared" si="40"/>
        <v>6705.5999999999995</v>
      </c>
      <c r="AD73" s="190">
        <f t="shared" si="40"/>
        <v>4680</v>
      </c>
      <c r="AE73" s="190">
        <f t="shared" si="40"/>
        <v>6740.4000000000005</v>
      </c>
      <c r="AF73" s="190">
        <f t="shared" si="40"/>
        <v>4866</v>
      </c>
      <c r="AG73" s="190">
        <f t="shared" si="40"/>
        <v>4960.7999999999993</v>
      </c>
      <c r="AH73" s="190">
        <f t="shared" si="40"/>
        <v>5056.7999999999993</v>
      </c>
      <c r="AI73" s="190">
        <f t="shared" si="40"/>
        <v>5155.2000000000007</v>
      </c>
      <c r="AJ73" s="190">
        <f t="shared" si="40"/>
        <v>0</v>
      </c>
      <c r="AK73" s="190">
        <f t="shared" si="40"/>
        <v>0</v>
      </c>
      <c r="AL73" s="190">
        <f t="shared" si="40"/>
        <v>0</v>
      </c>
      <c r="AM73" s="190">
        <f t="shared" si="40"/>
        <v>0</v>
      </c>
      <c r="AN73" s="190">
        <f t="shared" si="40"/>
        <v>0</v>
      </c>
      <c r="AO73" s="190">
        <f t="shared" si="40"/>
        <v>0</v>
      </c>
      <c r="AP73" s="190">
        <f t="shared" si="40"/>
        <v>0</v>
      </c>
      <c r="AQ73" s="190">
        <f t="shared" si="40"/>
        <v>0</v>
      </c>
      <c r="AR73" s="190">
        <f t="shared" si="40"/>
        <v>0</v>
      </c>
      <c r="AS73" s="190">
        <f t="shared" si="40"/>
        <v>0</v>
      </c>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row>
    <row r="74" spans="1:85" s="3" customFormat="1" ht="15.6" hidden="1">
      <c r="A74" s="1432" t="s">
        <v>1176</v>
      </c>
      <c r="B74" s="1474" t="s">
        <v>2164</v>
      </c>
      <c r="C74" s="918"/>
      <c r="D74" s="1660" t="str">
        <f>F74&amp;" "&amp;G74&amp;" "&amp;H74&amp;" "&amp;I74&amp;" "&amp;J74&amp;" "&amp;K74&amp;" "&amp;L74&amp;" "&amp;M74&amp;" "&amp;N74&amp;" "&amp;O74&amp;" "&amp;P74&amp;" "&amp;Q74&amp;" "&amp;R74&amp;" "&amp;S74&amp;" "&amp;T74&amp;" "&amp;U74&amp;" "&amp;V74&amp;" "&amp;W74&amp;" "&amp;X74&amp;" "&amp;Y74&amp;" "&amp;Z74&amp;" "&amp;AA74&amp;" "&amp;AB74&amp;" "&amp;AC74&amp;" "&amp;AD74&amp;" "&amp;AE74&amp;" "&amp;AF74&amp;" "&amp;AG74&amp;" "&amp;AH74&amp;" "&amp;AI74&amp;" "&amp;AJ74&amp;" "&amp;AK74&amp;" "&amp;AL74&amp;" "&amp;AM74&amp;" "&amp;AN74&amp;" "&amp;AO74&amp;" "&amp;AP74&amp;" "&amp;AQ74&amp;" "&amp;AR74&amp;" "&amp;AS74</f>
        <v xml:space="preserve">                          88 89 90 91          </v>
      </c>
      <c r="E74" s="1467"/>
      <c r="F74" s="190" t="str">
        <f>IF(AND(F72&gt;0,F75=1),F$91,"")</f>
        <v/>
      </c>
      <c r="G74" s="190" t="str">
        <f t="shared" ref="G74" si="41">IF(AND(G72&gt;0,G75=1),G$91,"")</f>
        <v/>
      </c>
      <c r="H74" s="190" t="str">
        <f t="shared" ref="H74" si="42">IF(AND(H72&gt;0,H75=1),H$91,"")</f>
        <v/>
      </c>
      <c r="I74" s="190" t="str">
        <f t="shared" ref="I74" si="43">IF(AND(I72&gt;0,I75=1),I$91,"")</f>
        <v/>
      </c>
      <c r="J74" s="190" t="str">
        <f t="shared" ref="J74" si="44">IF(AND(J72&gt;0,J75=1),J$91,"")</f>
        <v/>
      </c>
      <c r="K74" s="190" t="str">
        <f t="shared" ref="K74" si="45">IF(AND(K72&gt;0,K75=1),K$91,"")</f>
        <v/>
      </c>
      <c r="L74" s="190" t="str">
        <f t="shared" ref="L74" si="46">IF(AND(L72&gt;0,L75=1),L$91,"")</f>
        <v/>
      </c>
      <c r="M74" s="190" t="str">
        <f t="shared" ref="M74" si="47">IF(AND(M72&gt;0,M75=1),M$91,"")</f>
        <v/>
      </c>
      <c r="N74" s="190" t="str">
        <f t="shared" ref="N74" si="48">IF(AND(N72&gt;0,N75=1),N$91,"")</f>
        <v/>
      </c>
      <c r="O74" s="190" t="str">
        <f t="shared" ref="O74" si="49">IF(AND(O72&gt;0,O75=1),O$91,"")</f>
        <v/>
      </c>
      <c r="P74" s="190" t="str">
        <f t="shared" ref="P74" si="50">IF(AND(P72&gt;0,P75=1),P$91,"")</f>
        <v/>
      </c>
      <c r="Q74" s="190" t="str">
        <f t="shared" ref="Q74" si="51">IF(AND(Q72&gt;0,Q75=1),Q$91,"")</f>
        <v/>
      </c>
      <c r="R74" s="190" t="str">
        <f t="shared" ref="R74" si="52">IF(AND(R72&gt;0,R75=1),R$91,"")</f>
        <v/>
      </c>
      <c r="S74" s="190" t="str">
        <f t="shared" ref="S74" si="53">IF(AND(S72&gt;0,S75=1),S$91,"")</f>
        <v/>
      </c>
      <c r="T74" s="190" t="str">
        <f t="shared" ref="T74" si="54">IF(AND(T72&gt;0,T75=1),T$91,"")</f>
        <v/>
      </c>
      <c r="U74" s="190" t="str">
        <f t="shared" ref="U74" si="55">IF(AND(U72&gt;0,U75=1),U$91,"")</f>
        <v/>
      </c>
      <c r="V74" s="190" t="str">
        <f t="shared" ref="V74" si="56">IF(AND(V72&gt;0,V75=1),V$91,"")</f>
        <v/>
      </c>
      <c r="W74" s="190" t="str">
        <f t="shared" ref="W74" si="57">IF(AND(W72&gt;0,W75=1),W$91,"")</f>
        <v/>
      </c>
      <c r="X74" s="190" t="str">
        <f t="shared" ref="X74" si="58">IF(AND(X72&gt;0,X75=1),X$91,"")</f>
        <v/>
      </c>
      <c r="Y74" s="190" t="str">
        <f t="shared" ref="Y74" si="59">IF(AND(Y72&gt;0,Y75=1),Y$91,"")</f>
        <v/>
      </c>
      <c r="Z74" s="190" t="str">
        <f t="shared" ref="Z74" si="60">IF(AND(Z72&gt;0,Z75=1),Z$91,"")</f>
        <v/>
      </c>
      <c r="AA74" s="190" t="str">
        <f t="shared" ref="AA74" si="61">IF(AND(AA72&gt;0,AA75=1),AA$91,"")</f>
        <v/>
      </c>
      <c r="AB74" s="190" t="str">
        <f t="shared" ref="AB74" si="62">IF(AND(AB72&gt;0,AB75=1),AB$91,"")</f>
        <v/>
      </c>
      <c r="AC74" s="190" t="str">
        <f t="shared" ref="AC74" si="63">IF(AND(AC72&gt;0,AC75=1),AC$91,"")</f>
        <v/>
      </c>
      <c r="AD74" s="190" t="str">
        <f t="shared" ref="AD74" si="64">IF(AND(AD72&gt;0,AD75=1),AD$91,"")</f>
        <v/>
      </c>
      <c r="AE74" s="190" t="str">
        <f t="shared" ref="AE74" si="65">IF(AND(AE72&gt;0,AE75=1),AE$91,"")</f>
        <v/>
      </c>
      <c r="AF74" s="190">
        <f t="shared" ref="AF74" si="66">IF(AND(AF72&gt;0,AF75=1),AF$91,"")</f>
        <v>88</v>
      </c>
      <c r="AG74" s="190">
        <f t="shared" ref="AG74" si="67">IF(AND(AG72&gt;0,AG75=1),AG$91,"")</f>
        <v>89</v>
      </c>
      <c r="AH74" s="190">
        <f t="shared" ref="AH74" si="68">IF(AND(AH72&gt;0,AH75=1),AH$91,"")</f>
        <v>90</v>
      </c>
      <c r="AI74" s="190">
        <f t="shared" ref="AI74" si="69">IF(AND(AI72&gt;0,AI75=1),AI$91,"")</f>
        <v>91</v>
      </c>
      <c r="AJ74" s="190" t="str">
        <f t="shared" ref="AJ74" si="70">IF(AND(AJ72&gt;0,AJ75=1),AJ$91,"")</f>
        <v/>
      </c>
      <c r="AK74" s="190" t="str">
        <f t="shared" ref="AK74" si="71">IF(AND(AK72&gt;0,AK75=1),AK$91,"")</f>
        <v/>
      </c>
      <c r="AL74" s="190" t="str">
        <f t="shared" ref="AL74" si="72">IF(AND(AL72&gt;0,AL75=1),AL$91,"")</f>
        <v/>
      </c>
      <c r="AM74" s="190" t="str">
        <f t="shared" ref="AM74" si="73">IF(AND(AM72&gt;0,AM75=1),AM$91,"")</f>
        <v/>
      </c>
      <c r="AN74" s="190" t="str">
        <f t="shared" ref="AN74" si="74">IF(AND(AN72&gt;0,AN75=1),AN$91,"")</f>
        <v/>
      </c>
      <c r="AO74" s="190" t="str">
        <f t="shared" ref="AO74" si="75">IF(AND(AO72&gt;0,AO75=1),AO$91,"")</f>
        <v/>
      </c>
      <c r="AP74" s="190" t="str">
        <f t="shared" ref="AP74" si="76">IF(AND(AP72&gt;0,AP75=1),AP$91,"")</f>
        <v/>
      </c>
      <c r="AQ74" s="190" t="str">
        <f t="shared" ref="AQ74" si="77">IF(AND(AQ72&gt;0,AQ75=1),AQ$91,"")</f>
        <v/>
      </c>
      <c r="AR74" s="190" t="str">
        <f t="shared" ref="AR74" si="78">IF(AND(AR72&gt;0,AR75=1),AR$91,"")</f>
        <v/>
      </c>
      <c r="AS74" s="190" t="str">
        <f t="shared" ref="AS74" si="79">IF(AND(AS72&gt;0,AS75=1),AS$91,"")</f>
        <v/>
      </c>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row>
    <row r="75" spans="1:85" s="3" customFormat="1" ht="15.6" hidden="1">
      <c r="A75" s="1432" t="s">
        <v>1176</v>
      </c>
      <c r="B75" s="1474" t="s">
        <v>2333</v>
      </c>
      <c r="C75" s="918"/>
      <c r="D75" s="1443" t="s">
        <v>2334</v>
      </c>
      <c r="E75" s="1467"/>
      <c r="F75" s="190">
        <f>IF(AND(F$35=1,OR(D$35=2,E$35=2)),0,1)</f>
        <v>1</v>
      </c>
      <c r="G75" s="190">
        <f t="shared" ref="G75:AS75" si="80">IF(AND(G$35=1,OR(E$35=2,F$35=2)),0,1)</f>
        <v>1</v>
      </c>
      <c r="H75" s="190">
        <f t="shared" si="80"/>
        <v>1</v>
      </c>
      <c r="I75" s="190">
        <f t="shared" si="80"/>
        <v>1</v>
      </c>
      <c r="J75" s="190">
        <f t="shared" si="80"/>
        <v>1</v>
      </c>
      <c r="K75" s="190">
        <f t="shared" si="80"/>
        <v>1</v>
      </c>
      <c r="L75" s="190">
        <f t="shared" si="80"/>
        <v>1</v>
      </c>
      <c r="M75" s="190">
        <f t="shared" si="80"/>
        <v>1</v>
      </c>
      <c r="N75" s="190">
        <f t="shared" si="80"/>
        <v>1</v>
      </c>
      <c r="O75" s="190">
        <f t="shared" si="80"/>
        <v>1</v>
      </c>
      <c r="P75" s="190">
        <f t="shared" si="80"/>
        <v>1</v>
      </c>
      <c r="Q75" s="190">
        <f t="shared" si="80"/>
        <v>1</v>
      </c>
      <c r="R75" s="190">
        <f t="shared" si="80"/>
        <v>1</v>
      </c>
      <c r="S75" s="190">
        <f t="shared" si="80"/>
        <v>1</v>
      </c>
      <c r="T75" s="190">
        <f t="shared" si="80"/>
        <v>1</v>
      </c>
      <c r="U75" s="190">
        <f t="shared" si="80"/>
        <v>1</v>
      </c>
      <c r="V75" s="190">
        <f t="shared" si="80"/>
        <v>1</v>
      </c>
      <c r="W75" s="190">
        <f t="shared" si="80"/>
        <v>1</v>
      </c>
      <c r="X75" s="190">
        <f t="shared" si="80"/>
        <v>1</v>
      </c>
      <c r="Y75" s="190">
        <f t="shared" si="80"/>
        <v>1</v>
      </c>
      <c r="Z75" s="190">
        <f t="shared" si="80"/>
        <v>1</v>
      </c>
      <c r="AA75" s="190">
        <f t="shared" si="80"/>
        <v>1</v>
      </c>
      <c r="AB75" s="190">
        <f t="shared" si="80"/>
        <v>1</v>
      </c>
      <c r="AC75" s="190">
        <f t="shared" si="80"/>
        <v>1</v>
      </c>
      <c r="AD75" s="190">
        <f t="shared" si="80"/>
        <v>0</v>
      </c>
      <c r="AE75" s="190">
        <f t="shared" si="80"/>
        <v>0</v>
      </c>
      <c r="AF75" s="190">
        <f t="shared" si="80"/>
        <v>1</v>
      </c>
      <c r="AG75" s="190">
        <f t="shared" si="80"/>
        <v>1</v>
      </c>
      <c r="AH75" s="190">
        <f t="shared" si="80"/>
        <v>1</v>
      </c>
      <c r="AI75" s="190">
        <f t="shared" si="80"/>
        <v>1</v>
      </c>
      <c r="AJ75" s="190">
        <f t="shared" si="80"/>
        <v>1</v>
      </c>
      <c r="AK75" s="190">
        <f t="shared" si="80"/>
        <v>1</v>
      </c>
      <c r="AL75" s="190">
        <f t="shared" si="80"/>
        <v>1</v>
      </c>
      <c r="AM75" s="190">
        <f t="shared" si="80"/>
        <v>1</v>
      </c>
      <c r="AN75" s="190">
        <f t="shared" si="80"/>
        <v>1</v>
      </c>
      <c r="AO75" s="190">
        <f t="shared" si="80"/>
        <v>1</v>
      </c>
      <c r="AP75" s="190">
        <f t="shared" si="80"/>
        <v>1</v>
      </c>
      <c r="AQ75" s="190">
        <f t="shared" si="80"/>
        <v>1</v>
      </c>
      <c r="AR75" s="190">
        <f t="shared" si="80"/>
        <v>1</v>
      </c>
      <c r="AS75" s="190">
        <f t="shared" si="80"/>
        <v>1</v>
      </c>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row>
    <row r="76" spans="1:85" s="3" customFormat="1" ht="15.6" hidden="1">
      <c r="A76" s="1432" t="s">
        <v>1176</v>
      </c>
      <c r="B76" s="1654" t="s">
        <v>2004</v>
      </c>
      <c r="C76" s="918"/>
      <c r="D76" s="928">
        <f>+Tax_Esc_Input</f>
        <v>2.1999999999999999E-2</v>
      </c>
      <c r="E76" s="294">
        <v>1</v>
      </c>
      <c r="F76" s="294">
        <v>1.33</v>
      </c>
      <c r="G76" s="919">
        <v>1.38</v>
      </c>
      <c r="H76" s="919">
        <v>2.5</v>
      </c>
      <c r="I76" s="919">
        <v>4</v>
      </c>
      <c r="J76" s="1462"/>
      <c r="K76" s="1462"/>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row>
    <row r="77" spans="1:85" s="3" customFormat="1" ht="15.6" hidden="1">
      <c r="A77" s="1432" t="s">
        <v>1176</v>
      </c>
      <c r="B77" s="155" t="s">
        <v>2001</v>
      </c>
      <c r="C77" s="918"/>
      <c r="D77" s="524" t="s">
        <v>1707</v>
      </c>
      <c r="E77" s="487">
        <v>12140</v>
      </c>
      <c r="F77" s="1122">
        <f>+E77*1.33</f>
        <v>16146.2</v>
      </c>
      <c r="G77" s="1122">
        <f>+E77*1.38</f>
        <v>16753.199999999997</v>
      </c>
      <c r="H77" s="1122">
        <f>+E77*2.5</f>
        <v>30350</v>
      </c>
      <c r="I77" s="1122">
        <f>+E77*4</f>
        <v>48560</v>
      </c>
      <c r="J77" s="1462"/>
      <c r="K77" s="1462"/>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row>
    <row r="78" spans="1:85" s="3" customFormat="1" ht="15.6" hidden="1">
      <c r="A78" s="1432" t="s">
        <v>1176</v>
      </c>
      <c r="B78" s="112"/>
      <c r="C78" s="918"/>
      <c r="D78" s="524" t="s">
        <v>801</v>
      </c>
      <c r="E78" s="487">
        <v>16460</v>
      </c>
      <c r="F78" s="1122">
        <f>+E78*1.33</f>
        <v>21891.800000000003</v>
      </c>
      <c r="G78" s="1122">
        <f>+E78*1.38</f>
        <v>22714.799999999999</v>
      </c>
      <c r="H78" s="1122">
        <f>+E78*2.5</f>
        <v>41150</v>
      </c>
      <c r="I78" s="1122">
        <f>+E78*4</f>
        <v>65840</v>
      </c>
      <c r="J78" s="1462"/>
      <c r="K78" s="1462"/>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row>
    <row r="79" spans="1:85" s="3" customFormat="1" ht="15.6" hidden="1">
      <c r="A79" s="1432" t="s">
        <v>1176</v>
      </c>
      <c r="B79" s="112" t="s">
        <v>2002</v>
      </c>
      <c r="C79" s="918"/>
      <c r="E79" s="1467"/>
      <c r="F79" s="918"/>
      <c r="G79" s="918"/>
      <c r="H79" s="1462"/>
      <c r="I79" s="1462"/>
      <c r="J79" s="1462"/>
      <c r="K79" s="1462"/>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row>
    <row r="80" spans="1:85" s="3" customFormat="1" ht="15.6" hidden="1">
      <c r="A80" s="1432" t="s">
        <v>1176</v>
      </c>
      <c r="B80" s="155" t="s">
        <v>801</v>
      </c>
      <c r="C80" s="918"/>
      <c r="F80" s="1534">
        <f>+E77</f>
        <v>12140</v>
      </c>
      <c r="G80" s="15">
        <f t="shared" ref="G80:AS80" si="81">+F80*(1+Tax_Esc_Input)</f>
        <v>12407.08</v>
      </c>
      <c r="H80" s="15">
        <f t="shared" si="81"/>
        <v>12680.035760000001</v>
      </c>
      <c r="I80" s="15">
        <f t="shared" si="81"/>
        <v>12958.996546720002</v>
      </c>
      <c r="J80" s="15">
        <f t="shared" si="81"/>
        <v>13244.094470747843</v>
      </c>
      <c r="K80" s="15">
        <f t="shared" si="81"/>
        <v>13535.464549104296</v>
      </c>
      <c r="L80" s="15">
        <f t="shared" si="81"/>
        <v>13833.24476918459</v>
      </c>
      <c r="M80" s="15">
        <f t="shared" si="81"/>
        <v>14137.576154106651</v>
      </c>
      <c r="N80" s="15">
        <f t="shared" si="81"/>
        <v>14448.602829496998</v>
      </c>
      <c r="O80" s="15">
        <f t="shared" si="81"/>
        <v>14766.472091745933</v>
      </c>
      <c r="P80" s="15">
        <f t="shared" si="81"/>
        <v>15091.334477764343</v>
      </c>
      <c r="Q80" s="15">
        <f t="shared" si="81"/>
        <v>15423.343836275159</v>
      </c>
      <c r="R80" s="15">
        <f t="shared" si="81"/>
        <v>15762.657400673212</v>
      </c>
      <c r="S80" s="15">
        <f t="shared" si="81"/>
        <v>16109.435863488023</v>
      </c>
      <c r="T80" s="15">
        <f t="shared" si="81"/>
        <v>16463.843452484758</v>
      </c>
      <c r="U80" s="15">
        <f t="shared" si="81"/>
        <v>16826.048008439422</v>
      </c>
      <c r="V80" s="15">
        <f t="shared" si="81"/>
        <v>17196.22106462509</v>
      </c>
      <c r="W80" s="15">
        <f t="shared" si="81"/>
        <v>17574.537928046841</v>
      </c>
      <c r="X80" s="15">
        <f t="shared" si="81"/>
        <v>17961.177762463871</v>
      </c>
      <c r="Y80" s="15">
        <f t="shared" si="81"/>
        <v>18356.323673238076</v>
      </c>
      <c r="Z80" s="15">
        <f t="shared" si="81"/>
        <v>18760.162794049313</v>
      </c>
      <c r="AA80" s="15">
        <f t="shared" si="81"/>
        <v>19172.886375518399</v>
      </c>
      <c r="AB80" s="15">
        <f t="shared" si="81"/>
        <v>19594.689875779804</v>
      </c>
      <c r="AC80" s="15">
        <f t="shared" si="81"/>
        <v>20025.77305304696</v>
      </c>
      <c r="AD80" s="15">
        <f t="shared" si="81"/>
        <v>20466.340060213992</v>
      </c>
      <c r="AE80" s="15">
        <f t="shared" si="81"/>
        <v>20916.599541538701</v>
      </c>
      <c r="AF80" s="15">
        <f t="shared" si="81"/>
        <v>21376.764731452553</v>
      </c>
      <c r="AG80" s="15">
        <f t="shared" si="81"/>
        <v>21847.053555544509</v>
      </c>
      <c r="AH80" s="15">
        <f t="shared" si="81"/>
        <v>22327.688733766488</v>
      </c>
      <c r="AI80" s="15">
        <f t="shared" si="81"/>
        <v>22818.897885909351</v>
      </c>
      <c r="AJ80" s="15">
        <f t="shared" si="81"/>
        <v>23320.913639399358</v>
      </c>
      <c r="AK80" s="15">
        <f t="shared" si="81"/>
        <v>23833.973739466142</v>
      </c>
      <c r="AL80" s="15">
        <f t="shared" si="81"/>
        <v>24358.321161734399</v>
      </c>
      <c r="AM80" s="15">
        <f t="shared" si="81"/>
        <v>24894.204227292557</v>
      </c>
      <c r="AN80" s="15">
        <f t="shared" si="81"/>
        <v>25441.876720292996</v>
      </c>
      <c r="AO80" s="15">
        <f t="shared" si="81"/>
        <v>26001.598008139441</v>
      </c>
      <c r="AP80" s="15">
        <f t="shared" si="81"/>
        <v>26573.633164318508</v>
      </c>
      <c r="AQ80" s="15">
        <f t="shared" si="81"/>
        <v>27158.253093933516</v>
      </c>
      <c r="AR80" s="15">
        <f t="shared" si="81"/>
        <v>27755.734662000054</v>
      </c>
      <c r="AS80" s="15">
        <f t="shared" si="81"/>
        <v>28366.360824564053</v>
      </c>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row>
    <row r="81" spans="1:85" s="3" customFormat="1" ht="15.6" hidden="1">
      <c r="A81" s="1432" t="s">
        <v>1176</v>
      </c>
      <c r="B81" s="155" t="s">
        <v>1707</v>
      </c>
      <c r="C81" s="918"/>
      <c r="F81" s="33">
        <f>+E78</f>
        <v>16460</v>
      </c>
      <c r="G81" s="15">
        <f t="shared" ref="G81:AS81" si="82">+F81*(1+Tax_Esc_Input)</f>
        <v>16822.12</v>
      </c>
      <c r="H81" s="15">
        <f t="shared" si="82"/>
        <v>17192.20664</v>
      </c>
      <c r="I81" s="15">
        <f t="shared" si="82"/>
        <v>17570.435186080002</v>
      </c>
      <c r="J81" s="15">
        <f t="shared" si="82"/>
        <v>17956.98476017376</v>
      </c>
      <c r="K81" s="15">
        <f t="shared" si="82"/>
        <v>18352.038424897582</v>
      </c>
      <c r="L81" s="15">
        <f t="shared" si="82"/>
        <v>18755.783270245331</v>
      </c>
      <c r="M81" s="15">
        <f t="shared" si="82"/>
        <v>19168.410502190727</v>
      </c>
      <c r="N81" s="15">
        <f t="shared" si="82"/>
        <v>19590.115533238924</v>
      </c>
      <c r="O81" s="15">
        <f t="shared" si="82"/>
        <v>20021.098074970181</v>
      </c>
      <c r="P81" s="15">
        <f t="shared" si="82"/>
        <v>20461.562232619526</v>
      </c>
      <c r="Q81" s="15">
        <f t="shared" si="82"/>
        <v>20911.716601737156</v>
      </c>
      <c r="R81" s="15">
        <f t="shared" si="82"/>
        <v>21371.774366975373</v>
      </c>
      <c r="S81" s="15">
        <f t="shared" si="82"/>
        <v>21841.953403048832</v>
      </c>
      <c r="T81" s="15">
        <f t="shared" si="82"/>
        <v>22322.476377915908</v>
      </c>
      <c r="U81" s="15">
        <f t="shared" si="82"/>
        <v>22813.570858230058</v>
      </c>
      <c r="V81" s="15">
        <f t="shared" si="82"/>
        <v>23315.469417111119</v>
      </c>
      <c r="W81" s="15">
        <f t="shared" si="82"/>
        <v>23828.409744287565</v>
      </c>
      <c r="X81" s="15">
        <f t="shared" si="82"/>
        <v>24352.63475866189</v>
      </c>
      <c r="Y81" s="15">
        <f t="shared" si="82"/>
        <v>24888.392723352452</v>
      </c>
      <c r="Z81" s="15">
        <f t="shared" si="82"/>
        <v>25435.937363266206</v>
      </c>
      <c r="AA81" s="15">
        <f t="shared" si="82"/>
        <v>25995.527985258064</v>
      </c>
      <c r="AB81" s="15">
        <f t="shared" si="82"/>
        <v>26567.429600933741</v>
      </c>
      <c r="AC81" s="15">
        <f t="shared" si="82"/>
        <v>27151.913052154283</v>
      </c>
      <c r="AD81" s="15">
        <f t="shared" si="82"/>
        <v>27749.255139301677</v>
      </c>
      <c r="AE81" s="15">
        <f t="shared" si="82"/>
        <v>28359.738752366313</v>
      </c>
      <c r="AF81" s="15">
        <f t="shared" si="82"/>
        <v>28983.653004918371</v>
      </c>
      <c r="AG81" s="15">
        <f t="shared" si="82"/>
        <v>29621.293371026575</v>
      </c>
      <c r="AH81" s="15">
        <f t="shared" si="82"/>
        <v>30272.961825189159</v>
      </c>
      <c r="AI81" s="15">
        <f t="shared" si="82"/>
        <v>30938.966985343322</v>
      </c>
      <c r="AJ81" s="15">
        <f t="shared" si="82"/>
        <v>31619.624259020875</v>
      </c>
      <c r="AK81" s="15">
        <f t="shared" si="82"/>
        <v>32315.255992719336</v>
      </c>
      <c r="AL81" s="15">
        <f t="shared" si="82"/>
        <v>33026.191624559164</v>
      </c>
      <c r="AM81" s="15">
        <f t="shared" si="82"/>
        <v>33752.767840299464</v>
      </c>
      <c r="AN81" s="15">
        <f t="shared" si="82"/>
        <v>34495.328732786053</v>
      </c>
      <c r="AO81" s="15">
        <f t="shared" si="82"/>
        <v>35254.225964907346</v>
      </c>
      <c r="AP81" s="15">
        <f t="shared" si="82"/>
        <v>36029.818936135307</v>
      </c>
      <c r="AQ81" s="15">
        <f t="shared" si="82"/>
        <v>36822.474952730285</v>
      </c>
      <c r="AR81" s="15">
        <f t="shared" si="82"/>
        <v>37632.569401690351</v>
      </c>
      <c r="AS81" s="15">
        <f t="shared" si="82"/>
        <v>38460.485928527538</v>
      </c>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row>
    <row r="82" spans="1:85" s="3" customFormat="1" ht="15.6" hidden="1">
      <c r="A82" s="1432" t="s">
        <v>1176</v>
      </c>
      <c r="B82" s="112" t="s">
        <v>2003</v>
      </c>
      <c r="C82" s="918"/>
      <c r="E82" s="1467"/>
      <c r="F82" s="918"/>
      <c r="G82" s="918"/>
      <c r="H82" s="1462"/>
      <c r="I82" s="1462"/>
      <c r="J82" s="1462"/>
      <c r="K82" s="146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row>
    <row r="83" spans="1:85" hidden="1">
      <c r="A83" s="1432" t="s">
        <v>1176</v>
      </c>
      <c r="B83" s="155" t="s">
        <v>801</v>
      </c>
      <c r="C83" s="194"/>
      <c r="E83" s="904"/>
      <c r="F83" s="33">
        <f>+$I$78</f>
        <v>65840</v>
      </c>
      <c r="G83" s="15">
        <f t="shared" ref="G83:AS83" si="83">+F83*(1+Tax_Esc_Input)</f>
        <v>67288.479999999996</v>
      </c>
      <c r="H83" s="15">
        <f t="shared" si="83"/>
        <v>68768.826560000001</v>
      </c>
      <c r="I83" s="15">
        <f t="shared" si="83"/>
        <v>70281.740744320006</v>
      </c>
      <c r="J83" s="15">
        <f t="shared" si="83"/>
        <v>71827.939040695041</v>
      </c>
      <c r="K83" s="15">
        <f t="shared" si="83"/>
        <v>73408.15369959033</v>
      </c>
      <c r="L83" s="15">
        <f t="shared" si="83"/>
        <v>75023.133080981323</v>
      </c>
      <c r="M83" s="15">
        <f t="shared" si="83"/>
        <v>76673.642008762909</v>
      </c>
      <c r="N83" s="15">
        <f t="shared" si="83"/>
        <v>78360.462132955698</v>
      </c>
      <c r="O83" s="15">
        <f t="shared" si="83"/>
        <v>80084.392299880725</v>
      </c>
      <c r="P83" s="15">
        <f t="shared" si="83"/>
        <v>81846.248930478105</v>
      </c>
      <c r="Q83" s="15">
        <f t="shared" si="83"/>
        <v>83646.866406948626</v>
      </c>
      <c r="R83" s="15">
        <f t="shared" si="83"/>
        <v>85487.097467901491</v>
      </c>
      <c r="S83" s="15">
        <f t="shared" si="83"/>
        <v>87367.813612195328</v>
      </c>
      <c r="T83" s="15">
        <f t="shared" si="83"/>
        <v>89289.90551166363</v>
      </c>
      <c r="U83" s="15">
        <f t="shared" si="83"/>
        <v>91254.283432920231</v>
      </c>
      <c r="V83" s="15">
        <f t="shared" si="83"/>
        <v>93261.877668444475</v>
      </c>
      <c r="W83" s="15">
        <f t="shared" si="83"/>
        <v>95313.638977150258</v>
      </c>
      <c r="X83" s="15">
        <f t="shared" si="83"/>
        <v>97410.539034647561</v>
      </c>
      <c r="Y83" s="15">
        <f t="shared" si="83"/>
        <v>99553.570893409807</v>
      </c>
      <c r="Z83" s="15">
        <f t="shared" si="83"/>
        <v>101743.74945306483</v>
      </c>
      <c r="AA83" s="15">
        <f t="shared" si="83"/>
        <v>103982.11194103226</v>
      </c>
      <c r="AB83" s="15">
        <f t="shared" si="83"/>
        <v>106269.71840373497</v>
      </c>
      <c r="AC83" s="15">
        <f t="shared" si="83"/>
        <v>108607.65220861713</v>
      </c>
      <c r="AD83" s="15">
        <f t="shared" si="83"/>
        <v>110997.02055720671</v>
      </c>
      <c r="AE83" s="15">
        <f t="shared" si="83"/>
        <v>113438.95500946525</v>
      </c>
      <c r="AF83" s="15">
        <f t="shared" si="83"/>
        <v>115934.61201967348</v>
      </c>
      <c r="AG83" s="15">
        <f t="shared" si="83"/>
        <v>118485.1734841063</v>
      </c>
      <c r="AH83" s="15">
        <f t="shared" si="83"/>
        <v>121091.84730075664</v>
      </c>
      <c r="AI83" s="15">
        <f t="shared" si="83"/>
        <v>123755.86794137329</v>
      </c>
      <c r="AJ83" s="15">
        <f t="shared" si="83"/>
        <v>126478.4970360835</v>
      </c>
      <c r="AK83" s="15">
        <f t="shared" si="83"/>
        <v>129261.02397087734</v>
      </c>
      <c r="AL83" s="15">
        <f t="shared" si="83"/>
        <v>132104.76649823666</v>
      </c>
      <c r="AM83" s="15">
        <f t="shared" si="83"/>
        <v>135011.07136119786</v>
      </c>
      <c r="AN83" s="15">
        <f t="shared" si="83"/>
        <v>137981.31493114421</v>
      </c>
      <c r="AO83" s="15">
        <f t="shared" si="83"/>
        <v>141016.90385962938</v>
      </c>
      <c r="AP83" s="15">
        <f t="shared" si="83"/>
        <v>144119.27574454123</v>
      </c>
      <c r="AQ83" s="15">
        <f t="shared" si="83"/>
        <v>147289.89981092114</v>
      </c>
      <c r="AR83" s="15">
        <f t="shared" si="83"/>
        <v>150530.2776067614</v>
      </c>
      <c r="AS83" s="15">
        <f t="shared" si="83"/>
        <v>153841.94371411015</v>
      </c>
      <c r="AT83" s="15"/>
      <c r="AU83" s="89"/>
    </row>
    <row r="84" spans="1:85" s="1" customFormat="1" hidden="1">
      <c r="A84" s="1432" t="s">
        <v>1176</v>
      </c>
      <c r="B84" s="155" t="s">
        <v>1707</v>
      </c>
      <c r="C84" s="194"/>
      <c r="D84" s="928"/>
      <c r="E84" s="904"/>
      <c r="F84" s="33">
        <f>+$I$77</f>
        <v>48560</v>
      </c>
      <c r="G84" s="15">
        <f t="shared" ref="G84:AS84" si="84">+F84*(1+Tax_Esc_Input)</f>
        <v>49628.32</v>
      </c>
      <c r="H84" s="15">
        <f t="shared" si="84"/>
        <v>50720.143040000003</v>
      </c>
      <c r="I84" s="15">
        <f t="shared" si="84"/>
        <v>51835.986186880007</v>
      </c>
      <c r="J84" s="15">
        <f t="shared" si="84"/>
        <v>52976.377882991372</v>
      </c>
      <c r="K84" s="15">
        <f t="shared" si="84"/>
        <v>54141.858196417183</v>
      </c>
      <c r="L84" s="15">
        <f t="shared" si="84"/>
        <v>55332.97907673836</v>
      </c>
      <c r="M84" s="15">
        <f t="shared" si="84"/>
        <v>56550.304616426605</v>
      </c>
      <c r="N84" s="15">
        <f t="shared" si="84"/>
        <v>57794.411317987993</v>
      </c>
      <c r="O84" s="15">
        <f t="shared" si="84"/>
        <v>59065.888366983731</v>
      </c>
      <c r="P84" s="15">
        <f t="shared" si="84"/>
        <v>60365.337911057373</v>
      </c>
      <c r="Q84" s="15">
        <f t="shared" si="84"/>
        <v>61693.375345100634</v>
      </c>
      <c r="R84" s="15">
        <f t="shared" si="84"/>
        <v>63050.629602692847</v>
      </c>
      <c r="S84" s="15">
        <f t="shared" si="84"/>
        <v>64437.743453952091</v>
      </c>
      <c r="T84" s="15">
        <f t="shared" si="84"/>
        <v>65855.373809939032</v>
      </c>
      <c r="U84" s="15">
        <f t="shared" si="84"/>
        <v>67304.192033757688</v>
      </c>
      <c r="V84" s="15">
        <f t="shared" si="84"/>
        <v>68784.884258500359</v>
      </c>
      <c r="W84" s="15">
        <f t="shared" si="84"/>
        <v>70298.151712187362</v>
      </c>
      <c r="X84" s="15">
        <f t="shared" si="84"/>
        <v>71844.711049855483</v>
      </c>
      <c r="Y84" s="15">
        <f t="shared" si="84"/>
        <v>73425.294692952302</v>
      </c>
      <c r="Z84" s="15">
        <f t="shared" si="84"/>
        <v>75040.651176197251</v>
      </c>
      <c r="AA84" s="15">
        <f t="shared" si="84"/>
        <v>76691.545502073597</v>
      </c>
      <c r="AB84" s="15">
        <f t="shared" si="84"/>
        <v>78378.759503119218</v>
      </c>
      <c r="AC84" s="15">
        <f t="shared" si="84"/>
        <v>80103.092212187839</v>
      </c>
      <c r="AD84" s="15">
        <f t="shared" si="84"/>
        <v>81865.360240855967</v>
      </c>
      <c r="AE84" s="15">
        <f t="shared" si="84"/>
        <v>83666.398166154802</v>
      </c>
      <c r="AF84" s="15">
        <f t="shared" si="84"/>
        <v>85507.058925810212</v>
      </c>
      <c r="AG84" s="15">
        <f t="shared" si="84"/>
        <v>87388.214222178038</v>
      </c>
      <c r="AH84" s="15">
        <f t="shared" si="84"/>
        <v>89310.754935065954</v>
      </c>
      <c r="AI84" s="15">
        <f t="shared" si="84"/>
        <v>91275.591543637405</v>
      </c>
      <c r="AJ84" s="15">
        <f t="shared" si="84"/>
        <v>93283.654557597431</v>
      </c>
      <c r="AK84" s="15">
        <f t="shared" si="84"/>
        <v>95335.89495786457</v>
      </c>
      <c r="AL84" s="15">
        <f t="shared" si="84"/>
        <v>97433.284646937595</v>
      </c>
      <c r="AM84" s="15">
        <f t="shared" si="84"/>
        <v>99576.816909170229</v>
      </c>
      <c r="AN84" s="15">
        <f t="shared" si="84"/>
        <v>101767.50688117198</v>
      </c>
      <c r="AO84" s="15">
        <f t="shared" si="84"/>
        <v>104006.39203255776</v>
      </c>
      <c r="AP84" s="15">
        <f t="shared" si="84"/>
        <v>106294.53265727403</v>
      </c>
      <c r="AQ84" s="15">
        <f t="shared" si="84"/>
        <v>108633.01237573406</v>
      </c>
      <c r="AR84" s="15">
        <f t="shared" si="84"/>
        <v>111022.93864800021</v>
      </c>
      <c r="AS84" s="15">
        <f t="shared" si="84"/>
        <v>113465.44329825621</v>
      </c>
      <c r="AT84" s="15"/>
    </row>
    <row r="85" spans="1:85" s="1" customFormat="1" hidden="1">
      <c r="A85" s="1432" t="s">
        <v>1176</v>
      </c>
      <c r="B85" s="155"/>
      <c r="C85" s="194"/>
      <c r="D85" s="928"/>
      <c r="E85" s="904"/>
      <c r="F85" s="33"/>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row>
    <row r="86" spans="1:85" s="3" customFormat="1" ht="15.6" hidden="1">
      <c r="A86" s="1432" t="s">
        <v>1176</v>
      </c>
      <c r="B86" s="28" t="s">
        <v>2338</v>
      </c>
      <c r="C86" s="918"/>
      <c r="D86" s="918"/>
      <c r="E86" s="1463"/>
      <c r="F86" s="1464">
        <f>+Details!F271</f>
        <v>65600</v>
      </c>
      <c r="G86" s="1464">
        <f>+Details!G271</f>
        <v>82200</v>
      </c>
      <c r="H86" s="1464">
        <f>+Details!H271</f>
        <v>68800</v>
      </c>
      <c r="I86" s="1464">
        <f>+Details!I271</f>
        <v>70400</v>
      </c>
      <c r="J86" s="1464">
        <f>+Details!J271</f>
        <v>72100</v>
      </c>
      <c r="K86" s="1464">
        <f>+Details!K271</f>
        <v>96300</v>
      </c>
      <c r="L86" s="1464">
        <f>+Details!L271</f>
        <v>99200</v>
      </c>
      <c r="M86" s="1464">
        <f>+Details!M271</f>
        <v>102200</v>
      </c>
      <c r="N86" s="1464">
        <f>+Details!N271</f>
        <v>111100</v>
      </c>
      <c r="O86" s="1464">
        <f>+Details!O271</f>
        <v>113600</v>
      </c>
      <c r="P86" s="1464">
        <f>+Details!P271</f>
        <v>115700</v>
      </c>
      <c r="Q86" s="1464">
        <f>+Details!Q271</f>
        <v>118700</v>
      </c>
      <c r="R86" s="1464">
        <f>+Details!R271</f>
        <v>126800</v>
      </c>
      <c r="S86" s="1464">
        <f>+Details!S271</f>
        <v>130800</v>
      </c>
      <c r="T86" s="1464">
        <f>+Details!T271</f>
        <v>146300</v>
      </c>
      <c r="U86" s="1464">
        <f>+Details!U271</f>
        <v>155600</v>
      </c>
      <c r="V86" s="1464">
        <f>+Details!V271</f>
        <v>148200</v>
      </c>
      <c r="W86" s="1464">
        <f>+Details!W271</f>
        <v>153900</v>
      </c>
      <c r="X86" s="1464">
        <f>+Details!X271</f>
        <v>150300</v>
      </c>
      <c r="Y86" s="1464">
        <f>+Details!Y271</f>
        <v>154000</v>
      </c>
      <c r="Z86" s="1464">
        <f>+Details!Z271</f>
        <v>159400</v>
      </c>
      <c r="AA86" s="1464">
        <f>+Details!AA271</f>
        <v>165200</v>
      </c>
      <c r="AB86" s="1464">
        <f>+Details!AB271</f>
        <v>176100</v>
      </c>
      <c r="AC86" s="1464">
        <f>+Details!AC271</f>
        <v>193600</v>
      </c>
      <c r="AD86" s="1464">
        <f>+Details!AD271</f>
        <v>174300</v>
      </c>
      <c r="AE86" s="1464">
        <f>+Details!AE271</f>
        <v>181400</v>
      </c>
      <c r="AF86" s="1464">
        <f>+Details!AF271</f>
        <v>185200</v>
      </c>
      <c r="AG86" s="1464">
        <f>+Details!AG271</f>
        <v>180200</v>
      </c>
      <c r="AH86" s="1464">
        <f>+Details!AH271</f>
        <v>182500</v>
      </c>
      <c r="AI86" s="1464">
        <f>+Details!AI271</f>
        <v>186500</v>
      </c>
      <c r="AJ86" s="1464">
        <f>+Details!AJ271</f>
        <v>0</v>
      </c>
      <c r="AK86" s="1464">
        <f>+Details!AK271</f>
        <v>0</v>
      </c>
      <c r="AL86" s="1464">
        <f>+Details!AL271</f>
        <v>0</v>
      </c>
      <c r="AM86" s="1464">
        <f>+Details!AM271</f>
        <v>0</v>
      </c>
      <c r="AN86" s="1464">
        <f>+Details!AN271</f>
        <v>0</v>
      </c>
      <c r="AO86" s="1464">
        <f>+Details!AO271</f>
        <v>0</v>
      </c>
      <c r="AP86" s="1464">
        <f>+Details!AP271</f>
        <v>0</v>
      </c>
      <c r="AQ86" s="1464">
        <f>+Details!AQ271</f>
        <v>0</v>
      </c>
      <c r="AR86" s="1464">
        <f>+Details!AR271</f>
        <v>0</v>
      </c>
      <c r="AS86" s="1464">
        <f>+Details!AS271</f>
        <v>0</v>
      </c>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row>
    <row r="87" spans="1:85" s="3" customFormat="1" ht="15.6" hidden="1">
      <c r="A87" s="1432" t="s">
        <v>1176</v>
      </c>
      <c r="B87" s="198" t="s">
        <v>2005</v>
      </c>
      <c r="C87" s="918"/>
      <c r="D87" s="920"/>
      <c r="J87" s="1462"/>
      <c r="K87" s="1462"/>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row>
    <row r="88" spans="1:85" s="3" customFormat="1" ht="15.6" hidden="1">
      <c r="A88" s="1432" t="s">
        <v>1176</v>
      </c>
      <c r="B88" s="1474" t="s">
        <v>538</v>
      </c>
      <c r="C88" s="918"/>
      <c r="D88" s="190">
        <f>SUM(F88:AS88)</f>
        <v>1</v>
      </c>
      <c r="F88" s="3">
        <f t="shared" ref="F88:AS88" si="85">IF(F29&gt;64,0,IF(Filing_Status="m",IF(AND(F86&gt;F80,F86&lt;F83),1,0),IF(AND(F86&gt;F81,F86&lt;F84),1,0)))</f>
        <v>1</v>
      </c>
      <c r="G88" s="3">
        <f t="shared" si="85"/>
        <v>0</v>
      </c>
      <c r="H88" s="3">
        <f t="shared" si="85"/>
        <v>0</v>
      </c>
      <c r="I88" s="3">
        <f t="shared" si="85"/>
        <v>0</v>
      </c>
      <c r="J88" s="3">
        <f t="shared" si="85"/>
        <v>0</v>
      </c>
      <c r="K88" s="3">
        <f t="shared" si="85"/>
        <v>0</v>
      </c>
      <c r="L88" s="3">
        <f t="shared" si="85"/>
        <v>0</v>
      </c>
      <c r="M88" s="3">
        <f t="shared" si="85"/>
        <v>0</v>
      </c>
      <c r="N88" s="3">
        <f t="shared" si="85"/>
        <v>0</v>
      </c>
      <c r="O88" s="3">
        <f t="shared" si="85"/>
        <v>0</v>
      </c>
      <c r="P88" s="3">
        <f t="shared" si="85"/>
        <v>0</v>
      </c>
      <c r="Q88" s="3">
        <f t="shared" si="85"/>
        <v>0</v>
      </c>
      <c r="R88" s="3">
        <f t="shared" si="85"/>
        <v>0</v>
      </c>
      <c r="S88" s="3">
        <f t="shared" si="85"/>
        <v>0</v>
      </c>
      <c r="T88" s="3">
        <f t="shared" si="85"/>
        <v>0</v>
      </c>
      <c r="U88" s="3">
        <f t="shared" si="85"/>
        <v>0</v>
      </c>
      <c r="V88" s="3">
        <f t="shared" si="85"/>
        <v>0</v>
      </c>
      <c r="W88" s="3">
        <f t="shared" si="85"/>
        <v>0</v>
      </c>
      <c r="X88" s="3">
        <f t="shared" si="85"/>
        <v>0</v>
      </c>
      <c r="Y88" s="3">
        <f t="shared" si="85"/>
        <v>0</v>
      </c>
      <c r="Z88" s="3">
        <f t="shared" si="85"/>
        <v>0</v>
      </c>
      <c r="AA88" s="3">
        <f t="shared" si="85"/>
        <v>0</v>
      </c>
      <c r="AB88" s="3">
        <f t="shared" si="85"/>
        <v>0</v>
      </c>
      <c r="AC88" s="3">
        <f t="shared" si="85"/>
        <v>0</v>
      </c>
      <c r="AD88" s="3">
        <f t="shared" si="85"/>
        <v>0</v>
      </c>
      <c r="AE88" s="3">
        <f t="shared" si="85"/>
        <v>0</v>
      </c>
      <c r="AF88" s="3">
        <f t="shared" si="85"/>
        <v>0</v>
      </c>
      <c r="AG88" s="3">
        <f t="shared" si="85"/>
        <v>0</v>
      </c>
      <c r="AH88" s="3">
        <f t="shared" si="85"/>
        <v>0</v>
      </c>
      <c r="AI88" s="3">
        <f t="shared" si="85"/>
        <v>0</v>
      </c>
      <c r="AJ88" s="3">
        <f t="shared" si="85"/>
        <v>0</v>
      </c>
      <c r="AK88" s="3">
        <f t="shared" si="85"/>
        <v>0</v>
      </c>
      <c r="AL88" s="3">
        <f t="shared" si="85"/>
        <v>0</v>
      </c>
      <c r="AM88" s="3">
        <f t="shared" si="85"/>
        <v>0</v>
      </c>
      <c r="AN88" s="3">
        <f t="shared" si="85"/>
        <v>0</v>
      </c>
      <c r="AO88" s="3">
        <f t="shared" si="85"/>
        <v>0</v>
      </c>
      <c r="AP88" s="3">
        <f t="shared" si="85"/>
        <v>0</v>
      </c>
      <c r="AQ88" s="3">
        <f t="shared" si="85"/>
        <v>0</v>
      </c>
      <c r="AR88" s="3">
        <f t="shared" si="85"/>
        <v>0</v>
      </c>
      <c r="AS88" s="3">
        <f t="shared" si="85"/>
        <v>0</v>
      </c>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row>
    <row r="89" spans="1:85" s="3" customFormat="1" ht="15.6" hidden="1">
      <c r="A89" s="1432" t="s">
        <v>1176</v>
      </c>
      <c r="B89" s="1474" t="s">
        <v>643</v>
      </c>
      <c r="C89" s="918"/>
      <c r="D89" s="190">
        <f>SUM(F89:AS89)</f>
        <v>1</v>
      </c>
      <c r="F89" s="3">
        <f>IF(F30&gt;64,0,IF(AND(F86&gt;F80,F86&lt;F83),1,0))</f>
        <v>1</v>
      </c>
      <c r="G89" s="3">
        <f t="shared" ref="G89:AS89" si="86">IF(G30&gt;64,0,IF(AND(G86&gt;G80,G86&lt;G83),1,0))</f>
        <v>0</v>
      </c>
      <c r="H89" s="3">
        <f t="shared" si="86"/>
        <v>0</v>
      </c>
      <c r="I89" s="3">
        <f t="shared" si="86"/>
        <v>0</v>
      </c>
      <c r="J89" s="3">
        <f t="shared" si="86"/>
        <v>0</v>
      </c>
      <c r="K89" s="3">
        <f t="shared" si="86"/>
        <v>0</v>
      </c>
      <c r="L89" s="3">
        <f t="shared" si="86"/>
        <v>0</v>
      </c>
      <c r="M89" s="3">
        <f t="shared" si="86"/>
        <v>0</v>
      </c>
      <c r="N89" s="3">
        <f t="shared" si="86"/>
        <v>0</v>
      </c>
      <c r="O89" s="3">
        <f t="shared" si="86"/>
        <v>0</v>
      </c>
      <c r="P89" s="3">
        <f t="shared" si="86"/>
        <v>0</v>
      </c>
      <c r="Q89" s="3">
        <f t="shared" si="86"/>
        <v>0</v>
      </c>
      <c r="R89" s="3">
        <f t="shared" si="86"/>
        <v>0</v>
      </c>
      <c r="S89" s="3">
        <f t="shared" si="86"/>
        <v>0</v>
      </c>
      <c r="T89" s="3">
        <f t="shared" si="86"/>
        <v>0</v>
      </c>
      <c r="U89" s="3">
        <f t="shared" si="86"/>
        <v>0</v>
      </c>
      <c r="V89" s="3">
        <f t="shared" si="86"/>
        <v>0</v>
      </c>
      <c r="W89" s="3">
        <f t="shared" si="86"/>
        <v>0</v>
      </c>
      <c r="X89" s="3">
        <f t="shared" si="86"/>
        <v>0</v>
      </c>
      <c r="Y89" s="3">
        <f t="shared" si="86"/>
        <v>0</v>
      </c>
      <c r="Z89" s="3">
        <f t="shared" si="86"/>
        <v>0</v>
      </c>
      <c r="AA89" s="3">
        <f t="shared" si="86"/>
        <v>0</v>
      </c>
      <c r="AB89" s="3">
        <f t="shared" si="86"/>
        <v>0</v>
      </c>
      <c r="AC89" s="3">
        <f t="shared" si="86"/>
        <v>0</v>
      </c>
      <c r="AD89" s="3">
        <f t="shared" si="86"/>
        <v>0</v>
      </c>
      <c r="AE89" s="3">
        <f t="shared" si="86"/>
        <v>0</v>
      </c>
      <c r="AF89" s="3">
        <f t="shared" si="86"/>
        <v>0</v>
      </c>
      <c r="AG89" s="3">
        <f t="shared" si="86"/>
        <v>0</v>
      </c>
      <c r="AH89" s="3">
        <f t="shared" si="86"/>
        <v>0</v>
      </c>
      <c r="AI89" s="3">
        <f t="shared" si="86"/>
        <v>0</v>
      </c>
      <c r="AJ89" s="3">
        <f t="shared" si="86"/>
        <v>0</v>
      </c>
      <c r="AK89" s="3">
        <f t="shared" si="86"/>
        <v>0</v>
      </c>
      <c r="AL89" s="3">
        <f t="shared" si="86"/>
        <v>0</v>
      </c>
      <c r="AM89" s="3">
        <f t="shared" si="86"/>
        <v>0</v>
      </c>
      <c r="AN89" s="3">
        <f t="shared" si="86"/>
        <v>0</v>
      </c>
      <c r="AO89" s="3">
        <f t="shared" si="86"/>
        <v>0</v>
      </c>
      <c r="AP89" s="3">
        <f t="shared" si="86"/>
        <v>0</v>
      </c>
      <c r="AQ89" s="3">
        <f t="shared" si="86"/>
        <v>0</v>
      </c>
      <c r="AR89" s="3">
        <f t="shared" si="86"/>
        <v>0</v>
      </c>
      <c r="AS89" s="3">
        <f t="shared" si="86"/>
        <v>0</v>
      </c>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row>
    <row r="90" spans="1:85" s="3" customFormat="1" ht="15.6">
      <c r="B90" s="717" t="s">
        <v>1872</v>
      </c>
      <c r="C90" s="918"/>
      <c r="D90" s="918"/>
      <c r="E90" s="589" t="str">
        <f>IF(First_Year&lt;&gt;Tax_Rates_Year,"Error: starting model year &lt;&gt; first tax year",".")</f>
        <v>.</v>
      </c>
      <c r="F90" s="1108" t="str">
        <f t="shared" ref="F90:AS90" si="87">IF(Single_Rate_Start=F$1+1,"married ends",".") &amp; IF(State_Move_Age=F$91,"new state","")</f>
        <v>.</v>
      </c>
      <c r="G90" s="1108" t="str">
        <f t="shared" si="87"/>
        <v>.</v>
      </c>
      <c r="H90" s="1108" t="str">
        <f t="shared" si="87"/>
        <v>.</v>
      </c>
      <c r="I90" s="1108" t="str">
        <f t="shared" si="87"/>
        <v>.</v>
      </c>
      <c r="J90" s="1108" t="str">
        <f t="shared" si="87"/>
        <v>.</v>
      </c>
      <c r="K90" s="1108" t="str">
        <f t="shared" si="87"/>
        <v>.</v>
      </c>
      <c r="L90" s="1108" t="str">
        <f t="shared" si="87"/>
        <v>.</v>
      </c>
      <c r="M90" s="1108" t="str">
        <f t="shared" si="87"/>
        <v>.</v>
      </c>
      <c r="N90" s="1108" t="str">
        <f t="shared" si="87"/>
        <v>.</v>
      </c>
      <c r="O90" s="1108" t="str">
        <f t="shared" si="87"/>
        <v>.</v>
      </c>
      <c r="P90" s="1108" t="str">
        <f t="shared" si="87"/>
        <v>.</v>
      </c>
      <c r="Q90" s="1108" t="str">
        <f t="shared" si="87"/>
        <v>.</v>
      </c>
      <c r="R90" s="1108" t="str">
        <f t="shared" si="87"/>
        <v>.</v>
      </c>
      <c r="S90" s="1108" t="str">
        <f t="shared" si="87"/>
        <v>.</v>
      </c>
      <c r="T90" s="1108" t="str">
        <f t="shared" si="87"/>
        <v>.</v>
      </c>
      <c r="U90" s="1108" t="str">
        <f t="shared" si="87"/>
        <v>.</v>
      </c>
      <c r="V90" s="1108" t="str">
        <f t="shared" si="87"/>
        <v>.</v>
      </c>
      <c r="W90" s="1108" t="str">
        <f t="shared" si="87"/>
        <v>.</v>
      </c>
      <c r="X90" s="1108" t="str">
        <f t="shared" si="87"/>
        <v>.</v>
      </c>
      <c r="Y90" s="1108" t="str">
        <f t="shared" si="87"/>
        <v>.</v>
      </c>
      <c r="Z90" s="1108" t="str">
        <f t="shared" si="87"/>
        <v>.</v>
      </c>
      <c r="AA90" s="1108" t="str">
        <f t="shared" si="87"/>
        <v>.</v>
      </c>
      <c r="AB90" s="1108" t="str">
        <f t="shared" si="87"/>
        <v>.new state</v>
      </c>
      <c r="AC90" s="1108" t="str">
        <f t="shared" si="87"/>
        <v>married ends</v>
      </c>
      <c r="AD90" s="1108" t="str">
        <f t="shared" si="87"/>
        <v>.</v>
      </c>
      <c r="AE90" s="1108" t="str">
        <f t="shared" si="87"/>
        <v>.</v>
      </c>
      <c r="AF90" s="1108" t="str">
        <f t="shared" si="87"/>
        <v>.</v>
      </c>
      <c r="AG90" s="1108" t="str">
        <f t="shared" si="87"/>
        <v>.</v>
      </c>
      <c r="AH90" s="1108" t="str">
        <f t="shared" si="87"/>
        <v>.</v>
      </c>
      <c r="AI90" s="1108" t="str">
        <f t="shared" si="87"/>
        <v>.</v>
      </c>
      <c r="AJ90" s="1108" t="str">
        <f t="shared" si="87"/>
        <v>.</v>
      </c>
      <c r="AK90" s="1108" t="str">
        <f t="shared" si="87"/>
        <v>.</v>
      </c>
      <c r="AL90" s="1108" t="str">
        <f t="shared" si="87"/>
        <v>.</v>
      </c>
      <c r="AM90" s="1108" t="str">
        <f t="shared" si="87"/>
        <v>.</v>
      </c>
      <c r="AN90" s="1108" t="str">
        <f t="shared" si="87"/>
        <v>.</v>
      </c>
      <c r="AO90" s="1108" t="str">
        <f t="shared" si="87"/>
        <v>.</v>
      </c>
      <c r="AP90" s="1108" t="str">
        <f t="shared" si="87"/>
        <v>.</v>
      </c>
      <c r="AQ90" s="1108" t="str">
        <f t="shared" si="87"/>
        <v>.</v>
      </c>
      <c r="AR90" s="1108" t="str">
        <f t="shared" si="87"/>
        <v>.</v>
      </c>
      <c r="AS90" s="1108" t="str">
        <f t="shared" si="87"/>
        <v>.</v>
      </c>
      <c r="AT90" s="1108"/>
      <c r="AU90" s="1109"/>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row>
    <row r="91" spans="1:85" ht="17.399999999999999">
      <c r="C91" s="590"/>
      <c r="D91" s="589" t="str">
        <f>IF(Tax_Rates_Alt="y","ALERT: Alternative tax rates activated ","")</f>
        <v/>
      </c>
      <c r="F91" s="24">
        <f>Your_Age</f>
        <v>62</v>
      </c>
      <c r="G91" s="24">
        <f>+F91+1</f>
        <v>63</v>
      </c>
      <c r="H91" s="24">
        <f t="shared" ref="H91:AS91" si="88">+G91+1</f>
        <v>64</v>
      </c>
      <c r="I91" s="24">
        <f t="shared" si="88"/>
        <v>65</v>
      </c>
      <c r="J91" s="24">
        <f t="shared" si="88"/>
        <v>66</v>
      </c>
      <c r="K91" s="24">
        <f t="shared" si="88"/>
        <v>67</v>
      </c>
      <c r="L91" s="24">
        <f t="shared" si="88"/>
        <v>68</v>
      </c>
      <c r="M91" s="24">
        <f t="shared" si="88"/>
        <v>69</v>
      </c>
      <c r="N91" s="24">
        <f t="shared" si="88"/>
        <v>70</v>
      </c>
      <c r="O91" s="24">
        <f t="shared" si="88"/>
        <v>71</v>
      </c>
      <c r="P91" s="24">
        <f t="shared" si="88"/>
        <v>72</v>
      </c>
      <c r="Q91" s="24">
        <f t="shared" si="88"/>
        <v>73</v>
      </c>
      <c r="R91" s="24">
        <f t="shared" si="88"/>
        <v>74</v>
      </c>
      <c r="S91" s="24">
        <f t="shared" si="88"/>
        <v>75</v>
      </c>
      <c r="T91" s="24">
        <f t="shared" si="88"/>
        <v>76</v>
      </c>
      <c r="U91" s="24">
        <f t="shared" si="88"/>
        <v>77</v>
      </c>
      <c r="V91" s="24">
        <f t="shared" si="88"/>
        <v>78</v>
      </c>
      <c r="W91" s="24">
        <f t="shared" si="88"/>
        <v>79</v>
      </c>
      <c r="X91" s="24">
        <f t="shared" si="88"/>
        <v>80</v>
      </c>
      <c r="Y91" s="24">
        <f t="shared" si="88"/>
        <v>81</v>
      </c>
      <c r="Z91" s="24">
        <f t="shared" si="88"/>
        <v>82</v>
      </c>
      <c r="AA91" s="24">
        <f t="shared" si="88"/>
        <v>83</v>
      </c>
      <c r="AB91" s="24">
        <f t="shared" si="88"/>
        <v>84</v>
      </c>
      <c r="AC91" s="24">
        <f t="shared" si="88"/>
        <v>85</v>
      </c>
      <c r="AD91" s="24">
        <f t="shared" si="88"/>
        <v>86</v>
      </c>
      <c r="AE91" s="24">
        <f t="shared" si="88"/>
        <v>87</v>
      </c>
      <c r="AF91" s="24">
        <f t="shared" si="88"/>
        <v>88</v>
      </c>
      <c r="AG91" s="24">
        <f t="shared" si="88"/>
        <v>89</v>
      </c>
      <c r="AH91" s="24">
        <f t="shared" si="88"/>
        <v>90</v>
      </c>
      <c r="AI91" s="24">
        <f t="shared" si="88"/>
        <v>91</v>
      </c>
      <c r="AJ91" s="24">
        <f t="shared" si="88"/>
        <v>92</v>
      </c>
      <c r="AK91" s="24">
        <f t="shared" si="88"/>
        <v>93</v>
      </c>
      <c r="AL91" s="24">
        <f t="shared" si="88"/>
        <v>94</v>
      </c>
      <c r="AM91" s="24">
        <f t="shared" si="88"/>
        <v>95</v>
      </c>
      <c r="AN91" s="24">
        <f t="shared" si="88"/>
        <v>96</v>
      </c>
      <c r="AO91" s="24">
        <f t="shared" si="88"/>
        <v>97</v>
      </c>
      <c r="AP91" s="24">
        <f t="shared" si="88"/>
        <v>98</v>
      </c>
      <c r="AQ91" s="24">
        <f t="shared" si="88"/>
        <v>99</v>
      </c>
      <c r="AR91" s="24">
        <f t="shared" si="88"/>
        <v>100</v>
      </c>
      <c r="AS91" s="24">
        <f t="shared" si="88"/>
        <v>101</v>
      </c>
      <c r="AT91" s="24"/>
    </row>
    <row r="92" spans="1:85" ht="17.399999999999999">
      <c r="B92" s="592" t="str">
        <f>IF(Filing_Status="S","Filing Status: Single",IF(Single_Rate_Start&lt;&gt;"","Filing Status: Joint then Single in " &amp; Single_Rate_Start,"Filing Status: Married Filing Jointly"))</f>
        <v>Filing Status: Joint then Single in 2043</v>
      </c>
      <c r="C92" s="9"/>
      <c r="E92" s="705"/>
      <c r="F92" s="24">
        <f>IF(Spouse_Age&gt;0,Spouse_Age,"")</f>
        <v>61</v>
      </c>
      <c r="G92" s="24">
        <f t="shared" ref="G92:AS92" si="89">IF(Spouse_Age&gt;0,F$92+1,"")</f>
        <v>62</v>
      </c>
      <c r="H92" s="24">
        <f t="shared" si="89"/>
        <v>63</v>
      </c>
      <c r="I92" s="24">
        <f t="shared" si="89"/>
        <v>64</v>
      </c>
      <c r="J92" s="24">
        <f t="shared" si="89"/>
        <v>65</v>
      </c>
      <c r="K92" s="24">
        <f t="shared" si="89"/>
        <v>66</v>
      </c>
      <c r="L92" s="24">
        <f t="shared" si="89"/>
        <v>67</v>
      </c>
      <c r="M92" s="24">
        <f t="shared" si="89"/>
        <v>68</v>
      </c>
      <c r="N92" s="24">
        <f t="shared" si="89"/>
        <v>69</v>
      </c>
      <c r="O92" s="24">
        <f t="shared" si="89"/>
        <v>70</v>
      </c>
      <c r="P92" s="24">
        <f t="shared" si="89"/>
        <v>71</v>
      </c>
      <c r="Q92" s="24">
        <f t="shared" si="89"/>
        <v>72</v>
      </c>
      <c r="R92" s="24">
        <f t="shared" si="89"/>
        <v>73</v>
      </c>
      <c r="S92" s="24">
        <f t="shared" si="89"/>
        <v>74</v>
      </c>
      <c r="T92" s="24">
        <f t="shared" si="89"/>
        <v>75</v>
      </c>
      <c r="U92" s="24">
        <f t="shared" si="89"/>
        <v>76</v>
      </c>
      <c r="V92" s="24">
        <f t="shared" si="89"/>
        <v>77</v>
      </c>
      <c r="W92" s="24">
        <f t="shared" si="89"/>
        <v>78</v>
      </c>
      <c r="X92" s="24">
        <f t="shared" si="89"/>
        <v>79</v>
      </c>
      <c r="Y92" s="24">
        <f t="shared" si="89"/>
        <v>80</v>
      </c>
      <c r="Z92" s="24">
        <f t="shared" si="89"/>
        <v>81</v>
      </c>
      <c r="AA92" s="24">
        <f t="shared" si="89"/>
        <v>82</v>
      </c>
      <c r="AB92" s="24">
        <f t="shared" si="89"/>
        <v>83</v>
      </c>
      <c r="AC92" s="24">
        <f t="shared" si="89"/>
        <v>84</v>
      </c>
      <c r="AD92" s="24">
        <f t="shared" si="89"/>
        <v>85</v>
      </c>
      <c r="AE92" s="24">
        <f t="shared" si="89"/>
        <v>86</v>
      </c>
      <c r="AF92" s="24">
        <f t="shared" si="89"/>
        <v>87</v>
      </c>
      <c r="AG92" s="24">
        <f t="shared" si="89"/>
        <v>88</v>
      </c>
      <c r="AH92" s="24">
        <f t="shared" si="89"/>
        <v>89</v>
      </c>
      <c r="AI92" s="24">
        <f t="shared" si="89"/>
        <v>90</v>
      </c>
      <c r="AJ92" s="24">
        <f t="shared" si="89"/>
        <v>91</v>
      </c>
      <c r="AK92" s="24">
        <f t="shared" si="89"/>
        <v>92</v>
      </c>
      <c r="AL92" s="24">
        <f t="shared" si="89"/>
        <v>93</v>
      </c>
      <c r="AM92" s="24">
        <f t="shared" si="89"/>
        <v>94</v>
      </c>
      <c r="AN92" s="24">
        <f t="shared" si="89"/>
        <v>95</v>
      </c>
      <c r="AO92" s="24">
        <f t="shared" si="89"/>
        <v>96</v>
      </c>
      <c r="AP92" s="24">
        <f t="shared" si="89"/>
        <v>97</v>
      </c>
      <c r="AQ92" s="24">
        <f t="shared" si="89"/>
        <v>98</v>
      </c>
      <c r="AR92" s="24">
        <f t="shared" si="89"/>
        <v>99</v>
      </c>
      <c r="AS92" s="24">
        <f t="shared" si="89"/>
        <v>100</v>
      </c>
      <c r="AT92" s="24"/>
    </row>
    <row r="93" spans="1:85" ht="17.399999999999999">
      <c r="A93" s="407"/>
      <c r="B93" s="407" t="s">
        <v>1472</v>
      </c>
      <c r="C93" s="68"/>
      <c r="E93" s="706" t="str">
        <f>"Memo " &amp; Tax_Rates_Year-1</f>
        <v>Memo 2018</v>
      </c>
      <c r="F93" s="27">
        <f>First_Year</f>
        <v>2019</v>
      </c>
      <c r="G93" s="27">
        <f t="shared" ref="G93:AK93" si="90">+F93+1</f>
        <v>2020</v>
      </c>
      <c r="H93" s="27">
        <f t="shared" si="90"/>
        <v>2021</v>
      </c>
      <c r="I93" s="27">
        <f t="shared" si="90"/>
        <v>2022</v>
      </c>
      <c r="J93" s="27">
        <f t="shared" si="90"/>
        <v>2023</v>
      </c>
      <c r="K93" s="27">
        <f t="shared" si="90"/>
        <v>2024</v>
      </c>
      <c r="L93" s="27">
        <f t="shared" si="90"/>
        <v>2025</v>
      </c>
      <c r="M93" s="27">
        <f t="shared" si="90"/>
        <v>2026</v>
      </c>
      <c r="N93" s="27">
        <f t="shared" si="90"/>
        <v>2027</v>
      </c>
      <c r="O93" s="27">
        <f t="shared" si="90"/>
        <v>2028</v>
      </c>
      <c r="P93" s="27">
        <f t="shared" si="90"/>
        <v>2029</v>
      </c>
      <c r="Q93" s="27">
        <f t="shared" si="90"/>
        <v>2030</v>
      </c>
      <c r="R93" s="27">
        <f t="shared" si="90"/>
        <v>2031</v>
      </c>
      <c r="S93" s="27">
        <f t="shared" si="90"/>
        <v>2032</v>
      </c>
      <c r="T93" s="27">
        <f t="shared" si="90"/>
        <v>2033</v>
      </c>
      <c r="U93" s="27">
        <f t="shared" si="90"/>
        <v>2034</v>
      </c>
      <c r="V93" s="27">
        <f t="shared" si="90"/>
        <v>2035</v>
      </c>
      <c r="W93" s="27">
        <f t="shared" si="90"/>
        <v>2036</v>
      </c>
      <c r="X93" s="27">
        <f t="shared" si="90"/>
        <v>2037</v>
      </c>
      <c r="Y93" s="27">
        <f t="shared" si="90"/>
        <v>2038</v>
      </c>
      <c r="Z93" s="27">
        <f t="shared" si="90"/>
        <v>2039</v>
      </c>
      <c r="AA93" s="27">
        <f t="shared" si="90"/>
        <v>2040</v>
      </c>
      <c r="AB93" s="27">
        <f t="shared" si="90"/>
        <v>2041</v>
      </c>
      <c r="AC93" s="27">
        <f t="shared" si="90"/>
        <v>2042</v>
      </c>
      <c r="AD93" s="27">
        <f t="shared" si="90"/>
        <v>2043</v>
      </c>
      <c r="AE93" s="27">
        <f t="shared" si="90"/>
        <v>2044</v>
      </c>
      <c r="AF93" s="27">
        <f t="shared" si="90"/>
        <v>2045</v>
      </c>
      <c r="AG93" s="27">
        <f t="shared" si="90"/>
        <v>2046</v>
      </c>
      <c r="AH93" s="27">
        <f t="shared" si="90"/>
        <v>2047</v>
      </c>
      <c r="AI93" s="27">
        <f t="shared" si="90"/>
        <v>2048</v>
      </c>
      <c r="AJ93" s="27">
        <f t="shared" si="90"/>
        <v>2049</v>
      </c>
      <c r="AK93" s="27">
        <f t="shared" si="90"/>
        <v>2050</v>
      </c>
      <c r="AL93" s="27">
        <f t="shared" ref="AL93:AS93" si="91">+AK93+1</f>
        <v>2051</v>
      </c>
      <c r="AM93" s="27">
        <f t="shared" si="91"/>
        <v>2052</v>
      </c>
      <c r="AN93" s="27">
        <f t="shared" si="91"/>
        <v>2053</v>
      </c>
      <c r="AO93" s="27">
        <f t="shared" si="91"/>
        <v>2054</v>
      </c>
      <c r="AP93" s="27">
        <f t="shared" si="91"/>
        <v>2055</v>
      </c>
      <c r="AQ93" s="27">
        <f t="shared" si="91"/>
        <v>2056</v>
      </c>
      <c r="AR93" s="27">
        <f t="shared" si="91"/>
        <v>2057</v>
      </c>
      <c r="AS93" s="27">
        <f t="shared" si="91"/>
        <v>2058</v>
      </c>
      <c r="AT93" s="74"/>
    </row>
    <row r="94" spans="1:85" ht="15.6">
      <c r="B94" s="1492" t="s">
        <v>1541</v>
      </c>
      <c r="C94" s="175"/>
      <c r="E94" s="74"/>
      <c r="F94" s="176">
        <f>IF(Filing_Status="m",+Details!F$184,"-")</f>
        <v>62700</v>
      </c>
      <c r="G94" s="176">
        <f>IF(Filing_Status="m",+Details!G$184,"-")</f>
        <v>79400</v>
      </c>
      <c r="H94" s="176">
        <f>IF(Filing_Status="m",+Details!H$184,"-")</f>
        <v>66100</v>
      </c>
      <c r="I94" s="176">
        <f>IF(Filing_Status="m",+Details!I$184,"-")</f>
        <v>67900</v>
      </c>
      <c r="J94" s="176">
        <f>IF(Filing_Status="m",+Details!J$184,"-")</f>
        <v>69800</v>
      </c>
      <c r="K94" s="176">
        <f>IF(Filing_Status="m",+Details!K$184,"-")</f>
        <v>90700</v>
      </c>
      <c r="L94" s="176">
        <f>IF(Filing_Status="m",+Details!L$184,"-")</f>
        <v>93400</v>
      </c>
      <c r="M94" s="176">
        <f>IF(Filing_Status="m",+Details!M$184,"-")</f>
        <v>96200</v>
      </c>
      <c r="N94" s="176">
        <f>IF(Filing_Status="m",+Details!N$184,"-")</f>
        <v>71800</v>
      </c>
      <c r="O94" s="176">
        <f>IF(Filing_Status="m",+Details!O$184,"-")</f>
        <v>73900</v>
      </c>
      <c r="P94" s="176">
        <f>IF(Filing_Status="m",+Details!P$184,"-")</f>
        <v>75900</v>
      </c>
      <c r="Q94" s="176">
        <f>IF(Filing_Status="m",+Details!Q$184,"-")</f>
        <v>79000</v>
      </c>
      <c r="R94" s="176">
        <f>IF(Filing_Status="m",+Details!R$184,"-")</f>
        <v>91200</v>
      </c>
      <c r="S94" s="176">
        <f>IF(Filing_Status="m",+Details!S$184,"-")</f>
        <v>95900</v>
      </c>
      <c r="T94" s="176">
        <f>IF(Filing_Status="m",+Details!T$184,"-")</f>
        <v>122400</v>
      </c>
      <c r="U94" s="176">
        <f>IF(Filing_Status="m",+Details!U$184,"-")</f>
        <v>136800</v>
      </c>
      <c r="V94" s="176">
        <f>IF(Filing_Status="m",+Details!V$184,"-")</f>
        <v>132100</v>
      </c>
      <c r="W94" s="176">
        <f>IF(Filing_Status="m",+Details!W$184,"-")</f>
        <v>136700</v>
      </c>
      <c r="X94" s="176">
        <f>IF(Filing_Status="m",+Details!X$184,"-")</f>
        <v>129000</v>
      </c>
      <c r="Y94" s="176">
        <f>IF(Filing_Status="m",+Details!Y$184,"-")</f>
        <v>131800</v>
      </c>
      <c r="Z94" s="176">
        <f>IF(Filing_Status="m",+Details!Z$184,"-")</f>
        <v>136200</v>
      </c>
      <c r="AA94" s="176">
        <f>IF(Filing_Status="m",+Details!AA$184,"-")</f>
        <v>141000</v>
      </c>
      <c r="AB94" s="176">
        <f>IF(Filing_Status="m",+Details!AB$184,"-")</f>
        <v>147800</v>
      </c>
      <c r="AC94" s="176">
        <f>IF(Filing_Status="m",+Details!AC$184,"-")</f>
        <v>158700</v>
      </c>
      <c r="AD94" s="176">
        <f>IF(Filing_Status="m",+Details!AD$184,"-")</f>
        <v>141000</v>
      </c>
      <c r="AE94" s="176">
        <f>IF(Filing_Status="m",+Details!AE$184,"-")</f>
        <v>145700</v>
      </c>
      <c r="AF94" s="176">
        <f>IF(Filing_Status="m",+Details!AF$184,"-")</f>
        <v>148500</v>
      </c>
      <c r="AG94" s="176">
        <f>IF(Filing_Status="m",+Details!AG$184,"-")</f>
        <v>142500</v>
      </c>
      <c r="AH94" s="176">
        <f>IF(Filing_Status="m",+Details!AH$184,"-")</f>
        <v>143900</v>
      </c>
      <c r="AI94" s="176">
        <f>IF(Filing_Status="m",+Details!AI$184,"-")</f>
        <v>146900</v>
      </c>
      <c r="AJ94" s="176">
        <f>IF(Filing_Status="m",+Details!AJ$184,"-")</f>
        <v>0</v>
      </c>
      <c r="AK94" s="176">
        <f>IF(Filing_Status="m",+Details!AK$184,"-")</f>
        <v>0</v>
      </c>
      <c r="AL94" s="176">
        <f>IF(Filing_Status="m",+Details!AL$184,"-")</f>
        <v>0</v>
      </c>
      <c r="AM94" s="176">
        <f>IF(Filing_Status="m",+Details!AM$184,"-")</f>
        <v>0</v>
      </c>
      <c r="AN94" s="176">
        <f>IF(Filing_Status="m",+Details!AN$184,"-")</f>
        <v>0</v>
      </c>
      <c r="AO94" s="176">
        <f>IF(Filing_Status="m",+Details!AO$184,"-")</f>
        <v>0</v>
      </c>
      <c r="AP94" s="176">
        <f>IF(Filing_Status="m",+Details!AP$184,"-")</f>
        <v>0</v>
      </c>
      <c r="AQ94" s="176">
        <f>IF(Filing_Status="m",+Details!AQ$184,"-")</f>
        <v>0</v>
      </c>
      <c r="AR94" s="176">
        <f>IF(Filing_Status="m",+Details!AR$184,"-")</f>
        <v>0</v>
      </c>
      <c r="AS94" s="176">
        <f>IF(Filing_Status="m",+Details!AS$184,"-")</f>
        <v>0</v>
      </c>
      <c r="AT94" s="176"/>
    </row>
    <row r="95" spans="1:85" ht="15.6">
      <c r="B95" s="633" t="s">
        <v>1906</v>
      </c>
      <c r="C95" s="72"/>
      <c r="E95" s="74"/>
      <c r="F95" s="176">
        <f>IF(Filing_Status="m",+Base!F$184,"-")</f>
        <v>62700</v>
      </c>
      <c r="G95" s="176">
        <f>IF(Filing_Status="m",+Base!G$184,"-")</f>
        <v>79400</v>
      </c>
      <c r="H95" s="176">
        <f>IF(Filing_Status="m",+Base!H$184,"-")</f>
        <v>66100</v>
      </c>
      <c r="I95" s="176">
        <f>IF(Filing_Status="m",+Base!I$184,"-")</f>
        <v>67900</v>
      </c>
      <c r="J95" s="176">
        <f>IF(Filing_Status="m",+Base!J$184,"-")</f>
        <v>69800</v>
      </c>
      <c r="K95" s="176">
        <f>IF(Filing_Status="m",+Base!K$184,"-")</f>
        <v>90700</v>
      </c>
      <c r="L95" s="176">
        <f>IF(Filing_Status="m",+Base!L$184,"-")</f>
        <v>93400</v>
      </c>
      <c r="M95" s="176">
        <f>IF(Filing_Status="m",+Base!M$184,"-")</f>
        <v>96200</v>
      </c>
      <c r="N95" s="176">
        <f>IF(Filing_Status="m",+Base!N$184,"-")</f>
        <v>71800</v>
      </c>
      <c r="O95" s="176">
        <f>IF(Filing_Status="m",+Base!O$184,"-")</f>
        <v>73900</v>
      </c>
      <c r="P95" s="176">
        <f>IF(Filing_Status="m",+Base!P$184,"-")</f>
        <v>75900</v>
      </c>
      <c r="Q95" s="176">
        <f>IF(Filing_Status="m",+Base!Q$184,"-")</f>
        <v>79000</v>
      </c>
      <c r="R95" s="176">
        <f>IF(Filing_Status="m",+Base!R$184,"-")</f>
        <v>91200</v>
      </c>
      <c r="S95" s="176">
        <f>IF(Filing_Status="m",+Base!S$184,"-")</f>
        <v>95900</v>
      </c>
      <c r="T95" s="176">
        <f>IF(Filing_Status="m",+Base!T$184,"-")</f>
        <v>122400</v>
      </c>
      <c r="U95" s="176">
        <f>IF(Filing_Status="m",+Base!U$184,"-")</f>
        <v>136800</v>
      </c>
      <c r="V95" s="176">
        <f>IF(Filing_Status="m",+Base!V$184,"-")</f>
        <v>132100</v>
      </c>
      <c r="W95" s="176">
        <f>IF(Filing_Status="m",+Base!W$184,"-")</f>
        <v>136700</v>
      </c>
      <c r="X95" s="176">
        <f>IF(Filing_Status="m",+Base!X$184,"-")</f>
        <v>129000</v>
      </c>
      <c r="Y95" s="176">
        <f>IF(Filing_Status="m",+Base!Y$184,"-")</f>
        <v>131800</v>
      </c>
      <c r="Z95" s="176">
        <f>IF(Filing_Status="m",+Base!Z$184,"-")</f>
        <v>136200</v>
      </c>
      <c r="AA95" s="176">
        <f>IF(Filing_Status="m",+Base!AA$184,"-")</f>
        <v>141000</v>
      </c>
      <c r="AB95" s="176">
        <f>IF(Filing_Status="m",+Base!AB$184,"-")</f>
        <v>147800</v>
      </c>
      <c r="AC95" s="176">
        <f>IF(Filing_Status="m",+Base!AC$184,"-")</f>
        <v>158700</v>
      </c>
      <c r="AD95" s="176">
        <f>IF(Filing_Status="m",+Base!AD$184,"-")</f>
        <v>141000</v>
      </c>
      <c r="AE95" s="176">
        <f>IF(Filing_Status="m",+Base!AE$184,"-")</f>
        <v>145700</v>
      </c>
      <c r="AF95" s="176">
        <f>IF(Filing_Status="m",+Base!AF$184,"-")</f>
        <v>148500</v>
      </c>
      <c r="AG95" s="176">
        <f>IF(Filing_Status="m",+Base!AG$184,"-")</f>
        <v>142500</v>
      </c>
      <c r="AH95" s="176">
        <f>IF(Filing_Status="m",+Base!AH$184,"-")</f>
        <v>143900</v>
      </c>
      <c r="AI95" s="176">
        <f>IF(Filing_Status="m",+Base!AI$184,"-")</f>
        <v>146900</v>
      </c>
      <c r="AJ95" s="176">
        <f>IF(Filing_Status="m",+Base!AJ$184,"-")</f>
        <v>0</v>
      </c>
      <c r="AK95" s="176">
        <f>IF(Filing_Status="m",+Base!AK$184,"-")</f>
        <v>0</v>
      </c>
      <c r="AL95" s="176">
        <f>IF(Filing_Status="m",+Base!AL$184,"-")</f>
        <v>0</v>
      </c>
      <c r="AM95" s="176">
        <f>IF(Filing_Status="m",+Base!AM$184,"-")</f>
        <v>0</v>
      </c>
      <c r="AN95" s="176">
        <f>IF(Filing_Status="m",+Base!AN$184,"-")</f>
        <v>0</v>
      </c>
      <c r="AO95" s="176">
        <f>IF(Filing_Status="m",+Base!AO$184,"-")</f>
        <v>0</v>
      </c>
      <c r="AP95" s="176">
        <f>IF(Filing_Status="m",+Base!AP$184,"-")</f>
        <v>0</v>
      </c>
      <c r="AQ95" s="176">
        <f>IF(Filing_Status="m",+Base!AQ$184,"-")</f>
        <v>0</v>
      </c>
      <c r="AR95" s="176">
        <f>IF(Filing_Status="m",+Base!AR$184,"-")</f>
        <v>0</v>
      </c>
      <c r="AS95" s="176">
        <f>IF(Filing_Status="m",+Base!AS$184,"-")</f>
        <v>0</v>
      </c>
      <c r="AT95" s="176"/>
    </row>
    <row r="96" spans="1:85" ht="15.6">
      <c r="B96" s="155" t="s">
        <v>1854</v>
      </c>
      <c r="E96" s="14"/>
      <c r="F96" s="78">
        <f t="shared" ref="F96:AS96" si="92">(IF(Filing_Status="m",IF(OR(F$93&lt;Single_Rate_Start,Single_Rate_Start="",AND(Your_End_Input="",Spouse_End_Input="")),2,1),1)+IF(AND(Exemptions_Start&lt;=F$91,F$91&lt;=Exemptions_End),Exemptions_Add,0))*IF(F$93-$F$93&lt;=Total_Years-1,1,0)</f>
        <v>2</v>
      </c>
      <c r="G96" s="78">
        <f t="shared" si="92"/>
        <v>2</v>
      </c>
      <c r="H96" s="78">
        <f t="shared" si="92"/>
        <v>2</v>
      </c>
      <c r="I96" s="78">
        <f t="shared" si="92"/>
        <v>2</v>
      </c>
      <c r="J96" s="78">
        <f t="shared" si="92"/>
        <v>2</v>
      </c>
      <c r="K96" s="78">
        <f t="shared" si="92"/>
        <v>2</v>
      </c>
      <c r="L96" s="78">
        <f t="shared" si="92"/>
        <v>2</v>
      </c>
      <c r="M96" s="78">
        <f t="shared" si="92"/>
        <v>2</v>
      </c>
      <c r="N96" s="78">
        <f t="shared" si="92"/>
        <v>2</v>
      </c>
      <c r="O96" s="78">
        <f t="shared" si="92"/>
        <v>2</v>
      </c>
      <c r="P96" s="78">
        <f t="shared" si="92"/>
        <v>2</v>
      </c>
      <c r="Q96" s="78">
        <f t="shared" si="92"/>
        <v>2</v>
      </c>
      <c r="R96" s="78">
        <f t="shared" si="92"/>
        <v>2</v>
      </c>
      <c r="S96" s="78">
        <f t="shared" si="92"/>
        <v>2</v>
      </c>
      <c r="T96" s="78">
        <f t="shared" si="92"/>
        <v>2</v>
      </c>
      <c r="U96" s="78">
        <f t="shared" si="92"/>
        <v>2</v>
      </c>
      <c r="V96" s="78">
        <f t="shared" si="92"/>
        <v>2</v>
      </c>
      <c r="W96" s="78">
        <f t="shared" si="92"/>
        <v>2</v>
      </c>
      <c r="X96" s="78">
        <f t="shared" si="92"/>
        <v>2</v>
      </c>
      <c r="Y96" s="78">
        <f t="shared" si="92"/>
        <v>2</v>
      </c>
      <c r="Z96" s="78">
        <f t="shared" si="92"/>
        <v>2</v>
      </c>
      <c r="AA96" s="78">
        <f t="shared" si="92"/>
        <v>2</v>
      </c>
      <c r="AB96" s="78">
        <f t="shared" si="92"/>
        <v>2</v>
      </c>
      <c r="AC96" s="78">
        <f t="shared" si="92"/>
        <v>2</v>
      </c>
      <c r="AD96" s="78">
        <f t="shared" si="92"/>
        <v>1</v>
      </c>
      <c r="AE96" s="78">
        <f t="shared" si="92"/>
        <v>1</v>
      </c>
      <c r="AF96" s="78">
        <f t="shared" si="92"/>
        <v>1</v>
      </c>
      <c r="AG96" s="78">
        <f t="shared" si="92"/>
        <v>1</v>
      </c>
      <c r="AH96" s="78">
        <f t="shared" si="92"/>
        <v>1</v>
      </c>
      <c r="AI96" s="78">
        <f t="shared" si="92"/>
        <v>1</v>
      </c>
      <c r="AJ96" s="78">
        <f t="shared" si="92"/>
        <v>0</v>
      </c>
      <c r="AK96" s="78">
        <f t="shared" si="92"/>
        <v>0</v>
      </c>
      <c r="AL96" s="78">
        <f t="shared" si="92"/>
        <v>0</v>
      </c>
      <c r="AM96" s="78">
        <f t="shared" si="92"/>
        <v>0</v>
      </c>
      <c r="AN96" s="78">
        <f t="shared" si="92"/>
        <v>0</v>
      </c>
      <c r="AO96" s="78">
        <f t="shared" si="92"/>
        <v>0</v>
      </c>
      <c r="AP96" s="78">
        <f t="shared" si="92"/>
        <v>0</v>
      </c>
      <c r="AQ96" s="78">
        <f t="shared" si="92"/>
        <v>0</v>
      </c>
      <c r="AR96" s="78">
        <f t="shared" si="92"/>
        <v>0</v>
      </c>
      <c r="AS96" s="78">
        <f t="shared" si="92"/>
        <v>0</v>
      </c>
      <c r="AT96" s="119"/>
      <c r="AU96" s="21"/>
    </row>
    <row r="97" spans="2:47">
      <c r="B97" s="155" t="s">
        <v>1907</v>
      </c>
      <c r="D97" s="741"/>
      <c r="E97" s="1644">
        <v>0</v>
      </c>
      <c r="F97" s="15">
        <f t="shared" ref="F97:AS97" si="93">+F14*F96</f>
        <v>0</v>
      </c>
      <c r="G97" s="15">
        <f t="shared" si="93"/>
        <v>0</v>
      </c>
      <c r="H97" s="15">
        <f t="shared" si="93"/>
        <v>0</v>
      </c>
      <c r="I97" s="15">
        <f t="shared" si="93"/>
        <v>0</v>
      </c>
      <c r="J97" s="15">
        <f t="shared" si="93"/>
        <v>0</v>
      </c>
      <c r="K97" s="15">
        <f t="shared" si="93"/>
        <v>0</v>
      </c>
      <c r="L97" s="15">
        <f t="shared" si="93"/>
        <v>0</v>
      </c>
      <c r="M97" s="15">
        <f t="shared" si="93"/>
        <v>0</v>
      </c>
      <c r="N97" s="15">
        <f t="shared" si="93"/>
        <v>0</v>
      </c>
      <c r="O97" s="15">
        <f t="shared" si="93"/>
        <v>0</v>
      </c>
      <c r="P97" s="15">
        <f t="shared" si="93"/>
        <v>0</v>
      </c>
      <c r="Q97" s="15">
        <f t="shared" si="93"/>
        <v>0</v>
      </c>
      <c r="R97" s="15">
        <f t="shared" si="93"/>
        <v>0</v>
      </c>
      <c r="S97" s="15">
        <f t="shared" si="93"/>
        <v>0</v>
      </c>
      <c r="T97" s="15">
        <f t="shared" si="93"/>
        <v>0</v>
      </c>
      <c r="U97" s="15">
        <f t="shared" si="93"/>
        <v>0</v>
      </c>
      <c r="V97" s="15">
        <f t="shared" si="93"/>
        <v>0</v>
      </c>
      <c r="W97" s="15">
        <f t="shared" si="93"/>
        <v>0</v>
      </c>
      <c r="X97" s="15">
        <f t="shared" si="93"/>
        <v>0</v>
      </c>
      <c r="Y97" s="15">
        <f t="shared" si="93"/>
        <v>0</v>
      </c>
      <c r="Z97" s="15">
        <f t="shared" si="93"/>
        <v>0</v>
      </c>
      <c r="AA97" s="15">
        <f t="shared" si="93"/>
        <v>0</v>
      </c>
      <c r="AB97" s="15">
        <f t="shared" si="93"/>
        <v>0</v>
      </c>
      <c r="AC97" s="15">
        <f t="shared" si="93"/>
        <v>0</v>
      </c>
      <c r="AD97" s="15">
        <f t="shared" si="93"/>
        <v>0</v>
      </c>
      <c r="AE97" s="15">
        <f t="shared" si="93"/>
        <v>0</v>
      </c>
      <c r="AF97" s="15">
        <f t="shared" si="93"/>
        <v>0</v>
      </c>
      <c r="AG97" s="15">
        <f t="shared" si="93"/>
        <v>0</v>
      </c>
      <c r="AH97" s="15">
        <f t="shared" si="93"/>
        <v>0</v>
      </c>
      <c r="AI97" s="15">
        <f t="shared" si="93"/>
        <v>0</v>
      </c>
      <c r="AJ97" s="15">
        <f t="shared" si="93"/>
        <v>0</v>
      </c>
      <c r="AK97" s="15">
        <f t="shared" si="93"/>
        <v>0</v>
      </c>
      <c r="AL97" s="15">
        <f t="shared" si="93"/>
        <v>0</v>
      </c>
      <c r="AM97" s="15">
        <f t="shared" si="93"/>
        <v>0</v>
      </c>
      <c r="AN97" s="15">
        <f t="shared" si="93"/>
        <v>0</v>
      </c>
      <c r="AO97" s="15">
        <f t="shared" si="93"/>
        <v>0</v>
      </c>
      <c r="AP97" s="15">
        <f t="shared" si="93"/>
        <v>0</v>
      </c>
      <c r="AQ97" s="15">
        <f t="shared" si="93"/>
        <v>0</v>
      </c>
      <c r="AR97" s="15">
        <f t="shared" si="93"/>
        <v>0</v>
      </c>
      <c r="AS97" s="15">
        <f t="shared" si="93"/>
        <v>0</v>
      </c>
      <c r="AT97" s="73"/>
    </row>
    <row r="98" spans="2:47" ht="23.4" customHeight="1">
      <c r="B98" s="159" t="s">
        <v>957</v>
      </c>
      <c r="C98" s="159"/>
      <c r="D98" s="741" t="str">
        <f>"Rounding set at $" &amp; ED_Rounding</f>
        <v>Rounding set at $50</v>
      </c>
      <c r="E98" s="1644">
        <v>12000</v>
      </c>
      <c r="F98" s="29">
        <f t="shared" ref="F98:AS98" si="94">+F11*F96</f>
        <v>24400</v>
      </c>
      <c r="G98" s="29">
        <f t="shared" si="94"/>
        <v>24900</v>
      </c>
      <c r="H98" s="29">
        <f t="shared" si="94"/>
        <v>25400</v>
      </c>
      <c r="I98" s="29">
        <f t="shared" si="94"/>
        <v>26000</v>
      </c>
      <c r="J98" s="29">
        <f t="shared" si="94"/>
        <v>26600</v>
      </c>
      <c r="K98" s="29">
        <f t="shared" si="94"/>
        <v>27200</v>
      </c>
      <c r="L98" s="29">
        <f t="shared" si="94"/>
        <v>27800</v>
      </c>
      <c r="M98" s="29">
        <f t="shared" si="94"/>
        <v>28400</v>
      </c>
      <c r="N98" s="29">
        <f t="shared" si="94"/>
        <v>29000</v>
      </c>
      <c r="O98" s="29">
        <f t="shared" si="94"/>
        <v>29600</v>
      </c>
      <c r="P98" s="29">
        <f t="shared" si="94"/>
        <v>30300</v>
      </c>
      <c r="Q98" s="29">
        <f t="shared" si="94"/>
        <v>31000</v>
      </c>
      <c r="R98" s="29">
        <f t="shared" si="94"/>
        <v>31700</v>
      </c>
      <c r="S98" s="29">
        <f t="shared" si="94"/>
        <v>32400</v>
      </c>
      <c r="T98" s="29">
        <f t="shared" si="94"/>
        <v>33100</v>
      </c>
      <c r="U98" s="29">
        <f t="shared" si="94"/>
        <v>33800</v>
      </c>
      <c r="V98" s="29">
        <f t="shared" si="94"/>
        <v>34500</v>
      </c>
      <c r="W98" s="29">
        <f t="shared" si="94"/>
        <v>35300</v>
      </c>
      <c r="X98" s="29">
        <f t="shared" si="94"/>
        <v>36100</v>
      </c>
      <c r="Y98" s="29">
        <f t="shared" si="94"/>
        <v>36900</v>
      </c>
      <c r="Z98" s="29">
        <f t="shared" si="94"/>
        <v>37700</v>
      </c>
      <c r="AA98" s="29">
        <f t="shared" si="94"/>
        <v>38500</v>
      </c>
      <c r="AB98" s="29">
        <f t="shared" si="94"/>
        <v>39300</v>
      </c>
      <c r="AC98" s="29">
        <f t="shared" si="94"/>
        <v>40200</v>
      </c>
      <c r="AD98" s="29">
        <f t="shared" si="94"/>
        <v>20550</v>
      </c>
      <c r="AE98" s="29">
        <f t="shared" si="94"/>
        <v>21000</v>
      </c>
      <c r="AF98" s="29">
        <f t="shared" si="94"/>
        <v>21450</v>
      </c>
      <c r="AG98" s="29">
        <f t="shared" si="94"/>
        <v>21900</v>
      </c>
      <c r="AH98" s="29">
        <f t="shared" si="94"/>
        <v>22400</v>
      </c>
      <c r="AI98" s="29">
        <f t="shared" si="94"/>
        <v>22900</v>
      </c>
      <c r="AJ98" s="29">
        <f t="shared" si="94"/>
        <v>0</v>
      </c>
      <c r="AK98" s="29">
        <f t="shared" si="94"/>
        <v>0</v>
      </c>
      <c r="AL98" s="29">
        <f t="shared" si="94"/>
        <v>0</v>
      </c>
      <c r="AM98" s="29">
        <f t="shared" si="94"/>
        <v>0</v>
      </c>
      <c r="AN98" s="29">
        <f t="shared" si="94"/>
        <v>0</v>
      </c>
      <c r="AO98" s="29">
        <f t="shared" si="94"/>
        <v>0</v>
      </c>
      <c r="AP98" s="29">
        <f t="shared" si="94"/>
        <v>0</v>
      </c>
      <c r="AQ98" s="29">
        <f t="shared" si="94"/>
        <v>0</v>
      </c>
      <c r="AR98" s="29">
        <f t="shared" si="94"/>
        <v>0</v>
      </c>
      <c r="AS98" s="29">
        <f t="shared" si="94"/>
        <v>0</v>
      </c>
      <c r="AT98" s="73"/>
    </row>
    <row r="99" spans="2:47">
      <c r="B99" s="159" t="s">
        <v>62</v>
      </c>
      <c r="C99" s="159"/>
      <c r="E99" s="1644">
        <v>1300</v>
      </c>
      <c r="F99" s="33">
        <f>+IF(F$91&gt;=65,$D$12,0)</f>
        <v>0</v>
      </c>
      <c r="G99" s="29">
        <f t="shared" ref="G99:AS99" si="95">ROUND(IF(G$91&gt;=65,($D$12*(1+$C$10)^(G$91-$F$91)),0)/ED_Rounding,0)*ED_Rounding</f>
        <v>0</v>
      </c>
      <c r="H99" s="29">
        <f t="shared" si="95"/>
        <v>0</v>
      </c>
      <c r="I99" s="29">
        <f t="shared" si="95"/>
        <v>1400</v>
      </c>
      <c r="J99" s="29">
        <f t="shared" si="95"/>
        <v>1400</v>
      </c>
      <c r="K99" s="29">
        <f t="shared" si="95"/>
        <v>1450</v>
      </c>
      <c r="L99" s="29">
        <f t="shared" si="95"/>
        <v>1500</v>
      </c>
      <c r="M99" s="29">
        <f t="shared" si="95"/>
        <v>1500</v>
      </c>
      <c r="N99" s="29">
        <f t="shared" si="95"/>
        <v>1550</v>
      </c>
      <c r="O99" s="29">
        <f t="shared" si="95"/>
        <v>1600</v>
      </c>
      <c r="P99" s="29">
        <f t="shared" si="95"/>
        <v>1600</v>
      </c>
      <c r="Q99" s="29">
        <f t="shared" si="95"/>
        <v>1650</v>
      </c>
      <c r="R99" s="29">
        <f t="shared" si="95"/>
        <v>1700</v>
      </c>
      <c r="S99" s="29">
        <f t="shared" si="95"/>
        <v>1750</v>
      </c>
      <c r="T99" s="29">
        <f t="shared" si="95"/>
        <v>1750</v>
      </c>
      <c r="U99" s="29">
        <f t="shared" si="95"/>
        <v>1800</v>
      </c>
      <c r="V99" s="29">
        <f t="shared" si="95"/>
        <v>1850</v>
      </c>
      <c r="W99" s="29">
        <f t="shared" si="95"/>
        <v>1900</v>
      </c>
      <c r="X99" s="29">
        <f t="shared" si="95"/>
        <v>1900</v>
      </c>
      <c r="Y99" s="29">
        <f t="shared" si="95"/>
        <v>1950</v>
      </c>
      <c r="Z99" s="29">
        <f t="shared" si="95"/>
        <v>2000</v>
      </c>
      <c r="AA99" s="29">
        <f t="shared" si="95"/>
        <v>2050</v>
      </c>
      <c r="AB99" s="29">
        <f t="shared" si="95"/>
        <v>2100</v>
      </c>
      <c r="AC99" s="29">
        <f t="shared" si="95"/>
        <v>2150</v>
      </c>
      <c r="AD99" s="29">
        <f t="shared" si="95"/>
        <v>2200</v>
      </c>
      <c r="AE99" s="29">
        <f t="shared" si="95"/>
        <v>2250</v>
      </c>
      <c r="AF99" s="29">
        <f t="shared" si="95"/>
        <v>2300</v>
      </c>
      <c r="AG99" s="29">
        <f t="shared" si="95"/>
        <v>2350</v>
      </c>
      <c r="AH99" s="29">
        <f t="shared" si="95"/>
        <v>2400</v>
      </c>
      <c r="AI99" s="29">
        <f t="shared" si="95"/>
        <v>2450</v>
      </c>
      <c r="AJ99" s="29">
        <f t="shared" si="95"/>
        <v>2500</v>
      </c>
      <c r="AK99" s="29">
        <f t="shared" si="95"/>
        <v>2550</v>
      </c>
      <c r="AL99" s="29">
        <f t="shared" si="95"/>
        <v>2600</v>
      </c>
      <c r="AM99" s="29">
        <f t="shared" si="95"/>
        <v>2650</v>
      </c>
      <c r="AN99" s="29">
        <f t="shared" si="95"/>
        <v>2700</v>
      </c>
      <c r="AO99" s="29">
        <f t="shared" si="95"/>
        <v>2800</v>
      </c>
      <c r="AP99" s="29">
        <f t="shared" si="95"/>
        <v>2850</v>
      </c>
      <c r="AQ99" s="29">
        <f t="shared" si="95"/>
        <v>2900</v>
      </c>
      <c r="AR99" s="29">
        <f t="shared" si="95"/>
        <v>2950</v>
      </c>
      <c r="AS99" s="29">
        <f t="shared" si="95"/>
        <v>3050</v>
      </c>
      <c r="AT99" s="29"/>
    </row>
    <row r="100" spans="2:47">
      <c r="B100" s="159" t="s">
        <v>1247</v>
      </c>
      <c r="C100" s="159"/>
      <c r="E100" s="1644">
        <v>1300</v>
      </c>
      <c r="F100" s="33">
        <f>IF(AND(Spouse_Age&gt;0,F$92&gt;=65),$D$12,0)</f>
        <v>0</v>
      </c>
      <c r="G100" s="29">
        <f t="shared" ref="G100:AS100" si="96">ROUND(IF(AND(Spouse_Age&gt;0,G$92&gt;=65),($D$12*(1+$C$10)^(G$91-$F$91)),0)/ED_Rounding,0)*ED_Rounding</f>
        <v>0</v>
      </c>
      <c r="H100" s="29">
        <f t="shared" si="96"/>
        <v>0</v>
      </c>
      <c r="I100" s="29">
        <f t="shared" si="96"/>
        <v>0</v>
      </c>
      <c r="J100" s="29">
        <f t="shared" si="96"/>
        <v>1400</v>
      </c>
      <c r="K100" s="29">
        <f t="shared" si="96"/>
        <v>1450</v>
      </c>
      <c r="L100" s="29">
        <f t="shared" si="96"/>
        <v>1500</v>
      </c>
      <c r="M100" s="29">
        <f t="shared" si="96"/>
        <v>1500</v>
      </c>
      <c r="N100" s="29">
        <f t="shared" si="96"/>
        <v>1550</v>
      </c>
      <c r="O100" s="29">
        <f t="shared" si="96"/>
        <v>1600</v>
      </c>
      <c r="P100" s="29">
        <f t="shared" si="96"/>
        <v>1600</v>
      </c>
      <c r="Q100" s="29">
        <f t="shared" si="96"/>
        <v>1650</v>
      </c>
      <c r="R100" s="29">
        <f t="shared" si="96"/>
        <v>1700</v>
      </c>
      <c r="S100" s="29">
        <f t="shared" si="96"/>
        <v>1750</v>
      </c>
      <c r="T100" s="29">
        <f t="shared" si="96"/>
        <v>1750</v>
      </c>
      <c r="U100" s="29">
        <f t="shared" si="96"/>
        <v>1800</v>
      </c>
      <c r="V100" s="29">
        <f t="shared" si="96"/>
        <v>1850</v>
      </c>
      <c r="W100" s="29">
        <f t="shared" si="96"/>
        <v>1900</v>
      </c>
      <c r="X100" s="29">
        <f t="shared" si="96"/>
        <v>1900</v>
      </c>
      <c r="Y100" s="29">
        <f t="shared" si="96"/>
        <v>1950</v>
      </c>
      <c r="Z100" s="29">
        <f t="shared" si="96"/>
        <v>2000</v>
      </c>
      <c r="AA100" s="29">
        <f t="shared" si="96"/>
        <v>2050</v>
      </c>
      <c r="AB100" s="29">
        <f t="shared" si="96"/>
        <v>2100</v>
      </c>
      <c r="AC100" s="29">
        <f t="shared" si="96"/>
        <v>2150</v>
      </c>
      <c r="AD100" s="29">
        <f t="shared" si="96"/>
        <v>2200</v>
      </c>
      <c r="AE100" s="29">
        <f t="shared" si="96"/>
        <v>2250</v>
      </c>
      <c r="AF100" s="29">
        <f t="shared" si="96"/>
        <v>2300</v>
      </c>
      <c r="AG100" s="29">
        <f t="shared" si="96"/>
        <v>2350</v>
      </c>
      <c r="AH100" s="29">
        <f t="shared" si="96"/>
        <v>2400</v>
      </c>
      <c r="AI100" s="29">
        <f t="shared" si="96"/>
        <v>2450</v>
      </c>
      <c r="AJ100" s="29">
        <f t="shared" si="96"/>
        <v>2500</v>
      </c>
      <c r="AK100" s="29">
        <f t="shared" si="96"/>
        <v>2550</v>
      </c>
      <c r="AL100" s="29">
        <f t="shared" si="96"/>
        <v>2600</v>
      </c>
      <c r="AM100" s="29">
        <f t="shared" si="96"/>
        <v>2650</v>
      </c>
      <c r="AN100" s="29">
        <f t="shared" si="96"/>
        <v>2700</v>
      </c>
      <c r="AO100" s="29">
        <f t="shared" si="96"/>
        <v>2800</v>
      </c>
      <c r="AP100" s="29">
        <f t="shared" si="96"/>
        <v>2850</v>
      </c>
      <c r="AQ100" s="29">
        <f t="shared" si="96"/>
        <v>2900</v>
      </c>
      <c r="AR100" s="29">
        <f t="shared" si="96"/>
        <v>2950</v>
      </c>
      <c r="AS100" s="29">
        <f t="shared" si="96"/>
        <v>3050</v>
      </c>
      <c r="AT100" s="29"/>
    </row>
    <row r="101" spans="2:47">
      <c r="B101" s="159" t="s">
        <v>1447</v>
      </c>
      <c r="C101" s="12" t="s">
        <v>1343</v>
      </c>
      <c r="D101" s="594">
        <f>Esc_Itemized</f>
        <v>0.05</v>
      </c>
      <c r="E101" s="14"/>
      <c r="F101" s="85">
        <f>+Setup!E197</f>
        <v>25000</v>
      </c>
      <c r="G101" s="29">
        <f t="shared" ref="G101:AS101" si="97">+F101*(1+Esc_Itemized)</f>
        <v>26250</v>
      </c>
      <c r="H101" s="29">
        <f t="shared" si="97"/>
        <v>27562.5</v>
      </c>
      <c r="I101" s="29">
        <f t="shared" si="97"/>
        <v>28940.625</v>
      </c>
      <c r="J101" s="29">
        <f t="shared" si="97"/>
        <v>30387.65625</v>
      </c>
      <c r="K101" s="29">
        <f t="shared" si="97"/>
        <v>31907.0390625</v>
      </c>
      <c r="L101" s="29">
        <f t="shared" si="97"/>
        <v>33502.391015624999</v>
      </c>
      <c r="M101" s="29">
        <f t="shared" si="97"/>
        <v>35177.51056640625</v>
      </c>
      <c r="N101" s="29">
        <f t="shared" si="97"/>
        <v>36936.386094726564</v>
      </c>
      <c r="O101" s="29">
        <f t="shared" si="97"/>
        <v>38783.205399462895</v>
      </c>
      <c r="P101" s="29">
        <f t="shared" si="97"/>
        <v>40722.36566943604</v>
      </c>
      <c r="Q101" s="29">
        <f t="shared" si="97"/>
        <v>42758.483952907845</v>
      </c>
      <c r="R101" s="29">
        <f t="shared" si="97"/>
        <v>44896.408150553238</v>
      </c>
      <c r="S101" s="29">
        <f t="shared" si="97"/>
        <v>47141.228558080904</v>
      </c>
      <c r="T101" s="29">
        <f t="shared" si="97"/>
        <v>49498.289985984949</v>
      </c>
      <c r="U101" s="29">
        <f t="shared" si="97"/>
        <v>51973.204485284201</v>
      </c>
      <c r="V101" s="29">
        <f t="shared" si="97"/>
        <v>54571.864709548412</v>
      </c>
      <c r="W101" s="29">
        <f t="shared" si="97"/>
        <v>57300.457945025832</v>
      </c>
      <c r="X101" s="29">
        <f t="shared" si="97"/>
        <v>60165.480842277124</v>
      </c>
      <c r="Y101" s="29">
        <f t="shared" si="97"/>
        <v>63173.754884390983</v>
      </c>
      <c r="Z101" s="29">
        <f t="shared" si="97"/>
        <v>66332.44262861053</v>
      </c>
      <c r="AA101" s="29">
        <f t="shared" si="97"/>
        <v>69649.064760041059</v>
      </c>
      <c r="AB101" s="29">
        <f t="shared" si="97"/>
        <v>73131.517998043113</v>
      </c>
      <c r="AC101" s="29">
        <f t="shared" si="97"/>
        <v>76788.093897945277</v>
      </c>
      <c r="AD101" s="29">
        <f t="shared" si="97"/>
        <v>80627.498592842545</v>
      </c>
      <c r="AE101" s="29">
        <f t="shared" si="97"/>
        <v>84658.873522484675</v>
      </c>
      <c r="AF101" s="29">
        <f t="shared" si="97"/>
        <v>88891.817198608915</v>
      </c>
      <c r="AG101" s="29">
        <f t="shared" si="97"/>
        <v>93336.408058539368</v>
      </c>
      <c r="AH101" s="29">
        <f t="shared" si="97"/>
        <v>98003.228461466337</v>
      </c>
      <c r="AI101" s="29">
        <f t="shared" si="97"/>
        <v>102903.38988453966</v>
      </c>
      <c r="AJ101" s="29">
        <f t="shared" si="97"/>
        <v>108048.55937876664</v>
      </c>
      <c r="AK101" s="29">
        <f t="shared" si="97"/>
        <v>113450.98734770498</v>
      </c>
      <c r="AL101" s="29">
        <f t="shared" si="97"/>
        <v>119123.53671509023</v>
      </c>
      <c r="AM101" s="29">
        <f t="shared" si="97"/>
        <v>125079.71355084475</v>
      </c>
      <c r="AN101" s="29">
        <f t="shared" si="97"/>
        <v>131333.69922838701</v>
      </c>
      <c r="AO101" s="29">
        <f t="shared" si="97"/>
        <v>137900.38418980635</v>
      </c>
      <c r="AP101" s="29">
        <f t="shared" si="97"/>
        <v>144795.40339929669</v>
      </c>
      <c r="AQ101" s="29">
        <f t="shared" si="97"/>
        <v>152035.17356926153</v>
      </c>
      <c r="AR101" s="29">
        <f t="shared" si="97"/>
        <v>159636.93224772462</v>
      </c>
      <c r="AS101" s="29">
        <f t="shared" si="97"/>
        <v>167618.77886011085</v>
      </c>
      <c r="AT101" s="29"/>
    </row>
    <row r="102" spans="2:47">
      <c r="B102" s="159" t="s">
        <v>765</v>
      </c>
      <c r="C102" s="12" t="s">
        <v>1344</v>
      </c>
      <c r="D102" s="593">
        <f>IF(End_Itemized&gt;0,End_Itemized,Final_Year)</f>
        <v>68</v>
      </c>
      <c r="E102" s="14"/>
      <c r="F102" s="85">
        <f>IF(AND(End_Itemized&lt;F$91,End_Itemized&lt;&gt;0),0,F101)</f>
        <v>25000</v>
      </c>
      <c r="G102" s="15">
        <f t="shared" ref="G102:AS102" si="98">ROUND(IF(AND(End_Itemized&lt;G$91,End_Itemized&lt;&gt;0),0,G101)/ED_Rounding,0)*ED_Rounding</f>
        <v>26250</v>
      </c>
      <c r="H102" s="15">
        <f t="shared" si="98"/>
        <v>27550</v>
      </c>
      <c r="I102" s="15">
        <f t="shared" si="98"/>
        <v>28950</v>
      </c>
      <c r="J102" s="15">
        <f t="shared" si="98"/>
        <v>30400</v>
      </c>
      <c r="K102" s="15">
        <f t="shared" si="98"/>
        <v>31900</v>
      </c>
      <c r="L102" s="15">
        <f t="shared" si="98"/>
        <v>33500</v>
      </c>
      <c r="M102" s="15">
        <f t="shared" si="98"/>
        <v>0</v>
      </c>
      <c r="N102" s="15">
        <f t="shared" si="98"/>
        <v>0</v>
      </c>
      <c r="O102" s="15">
        <f t="shared" si="98"/>
        <v>0</v>
      </c>
      <c r="P102" s="15">
        <f t="shared" si="98"/>
        <v>0</v>
      </c>
      <c r="Q102" s="15">
        <f t="shared" si="98"/>
        <v>0</v>
      </c>
      <c r="R102" s="15">
        <f t="shared" si="98"/>
        <v>0</v>
      </c>
      <c r="S102" s="15">
        <f t="shared" si="98"/>
        <v>0</v>
      </c>
      <c r="T102" s="15">
        <f t="shared" si="98"/>
        <v>0</v>
      </c>
      <c r="U102" s="15">
        <f t="shared" si="98"/>
        <v>0</v>
      </c>
      <c r="V102" s="15">
        <f t="shared" si="98"/>
        <v>0</v>
      </c>
      <c r="W102" s="15">
        <f t="shared" si="98"/>
        <v>0</v>
      </c>
      <c r="X102" s="15">
        <f t="shared" si="98"/>
        <v>0</v>
      </c>
      <c r="Y102" s="15">
        <f t="shared" si="98"/>
        <v>0</v>
      </c>
      <c r="Z102" s="15">
        <f t="shared" si="98"/>
        <v>0</v>
      </c>
      <c r="AA102" s="15">
        <f t="shared" si="98"/>
        <v>0</v>
      </c>
      <c r="AB102" s="15">
        <f t="shared" si="98"/>
        <v>0</v>
      </c>
      <c r="AC102" s="15">
        <f t="shared" si="98"/>
        <v>0</v>
      </c>
      <c r="AD102" s="15">
        <f t="shared" si="98"/>
        <v>0</v>
      </c>
      <c r="AE102" s="15">
        <f t="shared" si="98"/>
        <v>0</v>
      </c>
      <c r="AF102" s="15">
        <f t="shared" si="98"/>
        <v>0</v>
      </c>
      <c r="AG102" s="15">
        <f t="shared" si="98"/>
        <v>0</v>
      </c>
      <c r="AH102" s="15">
        <f t="shared" si="98"/>
        <v>0</v>
      </c>
      <c r="AI102" s="15">
        <f t="shared" si="98"/>
        <v>0</v>
      </c>
      <c r="AJ102" s="15">
        <f t="shared" si="98"/>
        <v>0</v>
      </c>
      <c r="AK102" s="15">
        <f t="shared" si="98"/>
        <v>0</v>
      </c>
      <c r="AL102" s="15">
        <f t="shared" si="98"/>
        <v>0</v>
      </c>
      <c r="AM102" s="15">
        <f t="shared" si="98"/>
        <v>0</v>
      </c>
      <c r="AN102" s="15">
        <f t="shared" si="98"/>
        <v>0</v>
      </c>
      <c r="AO102" s="15">
        <f t="shared" si="98"/>
        <v>0</v>
      </c>
      <c r="AP102" s="15">
        <f t="shared" si="98"/>
        <v>0</v>
      </c>
      <c r="AQ102" s="15">
        <f t="shared" si="98"/>
        <v>0</v>
      </c>
      <c r="AR102" s="15">
        <f t="shared" si="98"/>
        <v>0</v>
      </c>
      <c r="AS102" s="15">
        <f t="shared" si="98"/>
        <v>0</v>
      </c>
      <c r="AT102" s="15"/>
    </row>
    <row r="103" spans="2:47" ht="22.2" customHeight="1">
      <c r="B103" s="159" t="s">
        <v>740</v>
      </c>
      <c r="C103" s="159"/>
      <c r="E103" s="14"/>
      <c r="F103" s="29">
        <f>IF(F102&gt;0,F102,F98+F99+F100)</f>
        <v>25000</v>
      </c>
      <c r="G103" s="29">
        <f>IF(G102&gt;0,G102,G98+G99+G100)</f>
        <v>26250</v>
      </c>
      <c r="H103" s="29">
        <f t="shared" ref="H103:AS103" si="99">IF(H102&gt;0,H102,H98+H99+H100)</f>
        <v>27550</v>
      </c>
      <c r="I103" s="29">
        <f t="shared" si="99"/>
        <v>28950</v>
      </c>
      <c r="J103" s="29">
        <f t="shared" si="99"/>
        <v>30400</v>
      </c>
      <c r="K103" s="29">
        <f t="shared" si="99"/>
        <v>31900</v>
      </c>
      <c r="L103" s="29">
        <f t="shared" si="99"/>
        <v>33500</v>
      </c>
      <c r="M103" s="29">
        <f t="shared" si="99"/>
        <v>31400</v>
      </c>
      <c r="N103" s="29">
        <f t="shared" si="99"/>
        <v>32100</v>
      </c>
      <c r="O103" s="29">
        <f t="shared" si="99"/>
        <v>32800</v>
      </c>
      <c r="P103" s="29">
        <f t="shared" si="99"/>
        <v>33500</v>
      </c>
      <c r="Q103" s="29">
        <f t="shared" si="99"/>
        <v>34300</v>
      </c>
      <c r="R103" s="29">
        <f t="shared" si="99"/>
        <v>35100</v>
      </c>
      <c r="S103" s="29">
        <f t="shared" si="99"/>
        <v>35900</v>
      </c>
      <c r="T103" s="29">
        <f t="shared" si="99"/>
        <v>36600</v>
      </c>
      <c r="U103" s="29">
        <f t="shared" si="99"/>
        <v>37400</v>
      </c>
      <c r="V103" s="29">
        <f t="shared" si="99"/>
        <v>38200</v>
      </c>
      <c r="W103" s="29">
        <f t="shared" si="99"/>
        <v>39100</v>
      </c>
      <c r="X103" s="29">
        <f t="shared" si="99"/>
        <v>39900</v>
      </c>
      <c r="Y103" s="29">
        <f t="shared" si="99"/>
        <v>40800</v>
      </c>
      <c r="Z103" s="29">
        <f t="shared" si="99"/>
        <v>41700</v>
      </c>
      <c r="AA103" s="29">
        <f t="shared" si="99"/>
        <v>42600</v>
      </c>
      <c r="AB103" s="29">
        <f t="shared" si="99"/>
        <v>43500</v>
      </c>
      <c r="AC103" s="29">
        <f t="shared" si="99"/>
        <v>44500</v>
      </c>
      <c r="AD103" s="29">
        <f t="shared" si="99"/>
        <v>24950</v>
      </c>
      <c r="AE103" s="29">
        <f t="shared" si="99"/>
        <v>25500</v>
      </c>
      <c r="AF103" s="29">
        <f t="shared" si="99"/>
        <v>26050</v>
      </c>
      <c r="AG103" s="29">
        <f t="shared" si="99"/>
        <v>26600</v>
      </c>
      <c r="AH103" s="29">
        <f t="shared" si="99"/>
        <v>27200</v>
      </c>
      <c r="AI103" s="29">
        <f t="shared" si="99"/>
        <v>27800</v>
      </c>
      <c r="AJ103" s="29">
        <f t="shared" si="99"/>
        <v>5000</v>
      </c>
      <c r="AK103" s="29">
        <f t="shared" si="99"/>
        <v>5100</v>
      </c>
      <c r="AL103" s="29">
        <f t="shared" si="99"/>
        <v>5200</v>
      </c>
      <c r="AM103" s="29">
        <f t="shared" si="99"/>
        <v>5300</v>
      </c>
      <c r="AN103" s="29">
        <f t="shared" si="99"/>
        <v>5400</v>
      </c>
      <c r="AO103" s="29">
        <f t="shared" si="99"/>
        <v>5600</v>
      </c>
      <c r="AP103" s="29">
        <f t="shared" si="99"/>
        <v>5700</v>
      </c>
      <c r="AQ103" s="29">
        <f t="shared" si="99"/>
        <v>5800</v>
      </c>
      <c r="AR103" s="29">
        <f t="shared" si="99"/>
        <v>5900</v>
      </c>
      <c r="AS103" s="29">
        <f t="shared" si="99"/>
        <v>6100</v>
      </c>
      <c r="AT103" s="29"/>
    </row>
    <row r="104" spans="2:47" ht="16.2" customHeight="1"/>
    <row r="105" spans="2:47"/>
    <row r="106" spans="2:47" ht="15.6">
      <c r="B106" s="905"/>
      <c r="C106" s="194"/>
      <c r="D106" s="338"/>
      <c r="E106" s="906"/>
      <c r="F106" s="908"/>
      <c r="G106" s="907"/>
      <c r="H106" s="907"/>
      <c r="I106" s="907"/>
      <c r="J106" s="907"/>
      <c r="K106" s="907"/>
      <c r="L106" s="907"/>
      <c r="M106" s="907"/>
      <c r="N106" s="907"/>
      <c r="O106" s="907"/>
      <c r="P106" s="907"/>
      <c r="Q106" s="907"/>
      <c r="R106" s="907"/>
      <c r="S106" s="907"/>
      <c r="T106" s="907"/>
      <c r="U106" s="907"/>
      <c r="V106" s="907"/>
      <c r="W106" s="907"/>
      <c r="X106" s="907"/>
      <c r="Y106" s="907"/>
      <c r="Z106" s="907"/>
      <c r="AA106" s="907"/>
      <c r="AB106" s="907"/>
      <c r="AC106" s="907"/>
      <c r="AD106" s="907"/>
      <c r="AE106" s="907"/>
      <c r="AF106" s="907"/>
      <c r="AG106" s="907"/>
      <c r="AH106" s="907"/>
      <c r="AI106" s="907"/>
      <c r="AJ106" s="907"/>
      <c r="AK106" s="907"/>
      <c r="AL106" s="907"/>
      <c r="AM106" s="907"/>
      <c r="AN106" s="907"/>
      <c r="AO106" s="907"/>
      <c r="AP106" s="907"/>
      <c r="AQ106" s="907"/>
      <c r="AR106" s="907"/>
      <c r="AS106" s="907"/>
      <c r="AT106" s="907"/>
      <c r="AU106" s="89"/>
    </row>
    <row r="107" spans="2:47">
      <c r="B107" s="319" t="s">
        <v>1013</v>
      </c>
      <c r="C107" s="63"/>
      <c r="D107" s="8"/>
      <c r="E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191"/>
      <c r="AU107" s="89"/>
    </row>
    <row r="108" spans="2:47" ht="15.6" hidden="1">
      <c r="B108" s="170" t="s">
        <v>644</v>
      </c>
      <c r="C108" s="902"/>
      <c r="D108" s="8" t="s">
        <v>1474</v>
      </c>
      <c r="E108" s="29">
        <v>0</v>
      </c>
      <c r="F108" s="29">
        <v>0</v>
      </c>
      <c r="G108" s="29">
        <v>0</v>
      </c>
      <c r="H108" s="29">
        <v>0</v>
      </c>
      <c r="I108" s="29">
        <v>0</v>
      </c>
      <c r="J108" s="29">
        <v>0</v>
      </c>
      <c r="K108" s="29">
        <v>0</v>
      </c>
      <c r="L108" s="29">
        <v>0</v>
      </c>
      <c r="M108" s="29">
        <v>0</v>
      </c>
      <c r="N108" s="29">
        <v>0</v>
      </c>
      <c r="O108" s="29">
        <v>0</v>
      </c>
      <c r="P108" s="29">
        <v>0</v>
      </c>
      <c r="Q108" s="29">
        <v>0</v>
      </c>
      <c r="R108" s="29">
        <v>0</v>
      </c>
      <c r="S108" s="29">
        <v>0</v>
      </c>
      <c r="T108" s="29">
        <v>0</v>
      </c>
      <c r="U108" s="29">
        <v>0</v>
      </c>
      <c r="V108" s="29">
        <v>0</v>
      </c>
      <c r="W108" s="29">
        <v>0</v>
      </c>
      <c r="X108" s="29">
        <v>0</v>
      </c>
      <c r="Y108" s="29">
        <v>0</v>
      </c>
      <c r="Z108" s="29">
        <v>0</v>
      </c>
      <c r="AA108" s="29">
        <v>0</v>
      </c>
      <c r="AB108" s="29">
        <v>0</v>
      </c>
      <c r="AC108" s="29">
        <v>0</v>
      </c>
      <c r="AD108" s="29">
        <v>0</v>
      </c>
      <c r="AE108" s="29">
        <v>0</v>
      </c>
      <c r="AF108" s="29">
        <v>0</v>
      </c>
      <c r="AG108" s="29">
        <v>0</v>
      </c>
      <c r="AH108" s="29">
        <v>0</v>
      </c>
      <c r="AI108" s="29">
        <v>0</v>
      </c>
      <c r="AJ108" s="29">
        <v>0</v>
      </c>
      <c r="AK108" s="29">
        <v>0</v>
      </c>
      <c r="AL108" s="29">
        <v>0</v>
      </c>
      <c r="AM108" s="29">
        <v>0</v>
      </c>
      <c r="AN108" s="29">
        <v>0</v>
      </c>
      <c r="AO108" s="29">
        <v>0</v>
      </c>
      <c r="AP108" s="29">
        <v>0</v>
      </c>
      <c r="AQ108" s="29">
        <v>0</v>
      </c>
      <c r="AR108" s="29">
        <v>0</v>
      </c>
      <c r="AS108" s="29">
        <v>0</v>
      </c>
      <c r="AT108" s="29"/>
    </row>
    <row r="109" spans="2:47" ht="15.6" hidden="1">
      <c r="B109" s="21"/>
      <c r="C109" s="902"/>
      <c r="D109" s="8" t="s">
        <v>1475</v>
      </c>
      <c r="E109" s="225">
        <v>72500</v>
      </c>
      <c r="F109" s="252">
        <v>19050</v>
      </c>
      <c r="G109" s="29">
        <f>+F109*(1+'Tax Tables'!$C$10)</f>
        <v>19469.100000000002</v>
      </c>
      <c r="H109" s="29">
        <f>+G109*(1+'Tax Tables'!$C$10)</f>
        <v>19897.420200000004</v>
      </c>
      <c r="I109" s="29">
        <f>+H109*(1+'Tax Tables'!$C$10)</f>
        <v>20335.163444400005</v>
      </c>
      <c r="J109" s="29">
        <f>+I109*(1+'Tax Tables'!$C$10)</f>
        <v>20782.537040176805</v>
      </c>
      <c r="K109" s="29">
        <f>+J109*(1+'Tax Tables'!$C$10)</f>
        <v>21239.752855060695</v>
      </c>
      <c r="L109" s="29">
        <f>+K109*(1+'Tax Tables'!$C$10)</f>
        <v>21707.027417872032</v>
      </c>
      <c r="M109" s="29">
        <f>+L109*(1+'Tax Tables'!$C$10)</f>
        <v>22184.582021065216</v>
      </c>
      <c r="N109" s="29">
        <f>+M109*(1+'Tax Tables'!$C$10)</f>
        <v>22672.642825528652</v>
      </c>
      <c r="O109" s="29">
        <f>+N109*(1+'Tax Tables'!$C$10)</f>
        <v>23171.440967690283</v>
      </c>
      <c r="P109" s="29">
        <f>+O109*(1+'Tax Tables'!$C$10)</f>
        <v>23681.212668979471</v>
      </c>
      <c r="Q109" s="29">
        <f>+P109*(1+'Tax Tables'!$C$10)</f>
        <v>24202.19934769702</v>
      </c>
      <c r="R109" s="29">
        <f>+Q109*(1+'Tax Tables'!$C$10)</f>
        <v>24734.647733346355</v>
      </c>
      <c r="S109" s="29">
        <f>+R109*(1+'Tax Tables'!$C$10)</f>
        <v>25278.809983479976</v>
      </c>
      <c r="T109" s="29">
        <f>+S109*(1+'Tax Tables'!$C$10)</f>
        <v>25834.943803116537</v>
      </c>
      <c r="U109" s="29">
        <f>+T109*(1+'Tax Tables'!$C$10)</f>
        <v>26403.312566785102</v>
      </c>
      <c r="V109" s="29">
        <f>+U109*(1+'Tax Tables'!$C$10)</f>
        <v>26984.185443254373</v>
      </c>
      <c r="W109" s="29">
        <f>+V109*(1+'Tax Tables'!$C$10)</f>
        <v>27577.837523005968</v>
      </c>
      <c r="X109" s="29">
        <f>+W109*(1+'Tax Tables'!$C$10)</f>
        <v>28184.5499485121</v>
      </c>
      <c r="Y109" s="29">
        <f>+X109*(1+'Tax Tables'!$C$10)</f>
        <v>28804.610047379367</v>
      </c>
      <c r="Z109" s="29">
        <f>+Y109*(1+'Tax Tables'!$C$10)</f>
        <v>29438.311468421714</v>
      </c>
      <c r="AA109" s="29">
        <f>+Z109*(1+'Tax Tables'!$C$10)</f>
        <v>30085.954320726993</v>
      </c>
      <c r="AB109" s="29">
        <f>+AA109*(1+'Tax Tables'!$C$10)</f>
        <v>30747.845315782986</v>
      </c>
      <c r="AC109" s="29">
        <f>+AB109*(1+'Tax Tables'!$C$10)</f>
        <v>31424.297912730213</v>
      </c>
      <c r="AD109" s="29">
        <f>+AC109*(1+'Tax Tables'!$C$10)</f>
        <v>32115.632466810279</v>
      </c>
      <c r="AE109" s="29">
        <f>+AD109*(1+'Tax Tables'!$C$10)</f>
        <v>32822.176381080106</v>
      </c>
      <c r="AF109" s="29">
        <f>+AE109*(1+'Tax Tables'!$C$10)</f>
        <v>33544.264261463868</v>
      </c>
      <c r="AG109" s="29">
        <f>+AF109*(1+'Tax Tables'!$C$10)</f>
        <v>34282.238075216075</v>
      </c>
      <c r="AH109" s="29">
        <f>+AG109*(1+'Tax Tables'!$C$10)</f>
        <v>35036.447312870827</v>
      </c>
      <c r="AI109" s="29">
        <f>+AH109*(1+'Tax Tables'!$C$10)</f>
        <v>35807.249153753983</v>
      </c>
      <c r="AJ109" s="29">
        <f>+AI109*(1+'Tax Tables'!$C$10)</f>
        <v>36595.008635136568</v>
      </c>
      <c r="AK109" s="29">
        <f>+AJ109*(1+'Tax Tables'!$C$10)</f>
        <v>37400.098825109577</v>
      </c>
      <c r="AL109" s="29">
        <f>+AK109*(1+'Tax Tables'!$C$10)</f>
        <v>38222.90099926199</v>
      </c>
      <c r="AM109" s="29">
        <f>+AL109*(1+'Tax Tables'!$C$10)</f>
        <v>39063.804821245758</v>
      </c>
      <c r="AN109" s="29">
        <f>+AM109*(1+'Tax Tables'!$C$10)</f>
        <v>39923.208527313167</v>
      </c>
      <c r="AO109" s="29">
        <f>+AN109*(1+'Tax Tables'!$C$10)</f>
        <v>40801.519114914059</v>
      </c>
      <c r="AP109" s="29">
        <f>+AO109*(1+'Tax Tables'!$C$10)</f>
        <v>41699.152535442168</v>
      </c>
      <c r="AQ109" s="29">
        <f>+AP109*(1+'Tax Tables'!$C$10)</f>
        <v>42616.533891221894</v>
      </c>
      <c r="AR109" s="29">
        <f>+AQ109*(1+'Tax Tables'!$C$10)</f>
        <v>43554.097636828774</v>
      </c>
      <c r="AS109" s="29">
        <f>+AR109*(1+'Tax Tables'!$C$10)</f>
        <v>44512.287784839005</v>
      </c>
      <c r="AT109" s="29"/>
    </row>
    <row r="110" spans="2:47" ht="15.6" hidden="1">
      <c r="C110" s="902"/>
      <c r="D110" s="8" t="s">
        <v>1476</v>
      </c>
      <c r="E110" s="226">
        <v>0.15</v>
      </c>
      <c r="F110" s="253">
        <v>0.1</v>
      </c>
      <c r="G110" s="61">
        <f>+F110</f>
        <v>0.1</v>
      </c>
      <c r="H110" s="61">
        <f t="shared" ref="H110:AS110" si="100">+G110</f>
        <v>0.1</v>
      </c>
      <c r="I110" s="61">
        <f t="shared" si="100"/>
        <v>0.1</v>
      </c>
      <c r="J110" s="61">
        <f t="shared" si="100"/>
        <v>0.1</v>
      </c>
      <c r="K110" s="61">
        <f t="shared" si="100"/>
        <v>0.1</v>
      </c>
      <c r="L110" s="61">
        <f t="shared" si="100"/>
        <v>0.1</v>
      </c>
      <c r="M110" s="61">
        <f t="shared" si="100"/>
        <v>0.1</v>
      </c>
      <c r="N110" s="61">
        <f t="shared" si="100"/>
        <v>0.1</v>
      </c>
      <c r="O110" s="61">
        <f t="shared" si="100"/>
        <v>0.1</v>
      </c>
      <c r="P110" s="61">
        <f t="shared" si="100"/>
        <v>0.1</v>
      </c>
      <c r="Q110" s="61">
        <f t="shared" si="100"/>
        <v>0.1</v>
      </c>
      <c r="R110" s="61">
        <f t="shared" si="100"/>
        <v>0.1</v>
      </c>
      <c r="S110" s="61">
        <f t="shared" si="100"/>
        <v>0.1</v>
      </c>
      <c r="T110" s="61">
        <f t="shared" si="100"/>
        <v>0.1</v>
      </c>
      <c r="U110" s="61">
        <f t="shared" si="100"/>
        <v>0.1</v>
      </c>
      <c r="V110" s="61">
        <f t="shared" si="100"/>
        <v>0.1</v>
      </c>
      <c r="W110" s="61">
        <f t="shared" si="100"/>
        <v>0.1</v>
      </c>
      <c r="X110" s="61">
        <f t="shared" si="100"/>
        <v>0.1</v>
      </c>
      <c r="Y110" s="61">
        <f t="shared" si="100"/>
        <v>0.1</v>
      </c>
      <c r="Z110" s="61">
        <f t="shared" si="100"/>
        <v>0.1</v>
      </c>
      <c r="AA110" s="61">
        <f t="shared" si="100"/>
        <v>0.1</v>
      </c>
      <c r="AB110" s="61">
        <f t="shared" si="100"/>
        <v>0.1</v>
      </c>
      <c r="AC110" s="61">
        <f t="shared" si="100"/>
        <v>0.1</v>
      </c>
      <c r="AD110" s="61">
        <f t="shared" si="100"/>
        <v>0.1</v>
      </c>
      <c r="AE110" s="61">
        <f t="shared" si="100"/>
        <v>0.1</v>
      </c>
      <c r="AF110" s="61">
        <f t="shared" si="100"/>
        <v>0.1</v>
      </c>
      <c r="AG110" s="61">
        <f t="shared" si="100"/>
        <v>0.1</v>
      </c>
      <c r="AH110" s="61">
        <f t="shared" si="100"/>
        <v>0.1</v>
      </c>
      <c r="AI110" s="61">
        <f t="shared" si="100"/>
        <v>0.1</v>
      </c>
      <c r="AJ110" s="61">
        <f t="shared" si="100"/>
        <v>0.1</v>
      </c>
      <c r="AK110" s="61">
        <f t="shared" si="100"/>
        <v>0.1</v>
      </c>
      <c r="AL110" s="61">
        <f t="shared" si="100"/>
        <v>0.1</v>
      </c>
      <c r="AM110" s="61">
        <f t="shared" si="100"/>
        <v>0.1</v>
      </c>
      <c r="AN110" s="61">
        <f t="shared" si="100"/>
        <v>0.1</v>
      </c>
      <c r="AO110" s="61">
        <f t="shared" si="100"/>
        <v>0.1</v>
      </c>
      <c r="AP110" s="61">
        <f t="shared" si="100"/>
        <v>0.1</v>
      </c>
      <c r="AQ110" s="61">
        <f t="shared" si="100"/>
        <v>0.1</v>
      </c>
      <c r="AR110" s="61">
        <f t="shared" si="100"/>
        <v>0.1</v>
      </c>
      <c r="AS110" s="61">
        <f t="shared" si="100"/>
        <v>0.1</v>
      </c>
      <c r="AT110" s="29"/>
    </row>
    <row r="111" spans="2:47" hidden="1">
      <c r="C111" s="902"/>
      <c r="D111" s="8" t="s">
        <v>1414</v>
      </c>
      <c r="E111" s="29">
        <f t="shared" ref="E111:AS111" si="101">(+E109-E108)*E110</f>
        <v>10875</v>
      </c>
      <c r="F111" s="29">
        <f t="shared" si="101"/>
        <v>1905</v>
      </c>
      <c r="G111" s="29">
        <f t="shared" si="101"/>
        <v>1946.9100000000003</v>
      </c>
      <c r="H111" s="29">
        <f t="shared" si="101"/>
        <v>1989.7420200000006</v>
      </c>
      <c r="I111" s="29">
        <f t="shared" si="101"/>
        <v>2033.5163444400005</v>
      </c>
      <c r="J111" s="29">
        <f t="shared" si="101"/>
        <v>2078.2537040176808</v>
      </c>
      <c r="K111" s="29">
        <f t="shared" si="101"/>
        <v>2123.9752855060697</v>
      </c>
      <c r="L111" s="29">
        <f t="shared" si="101"/>
        <v>2170.7027417872032</v>
      </c>
      <c r="M111" s="29">
        <f t="shared" si="101"/>
        <v>2218.4582021065216</v>
      </c>
      <c r="N111" s="29">
        <f t="shared" si="101"/>
        <v>2267.2642825528651</v>
      </c>
      <c r="O111" s="29">
        <f t="shared" si="101"/>
        <v>2317.1440967690282</v>
      </c>
      <c r="P111" s="29">
        <f t="shared" si="101"/>
        <v>2368.1212668979474</v>
      </c>
      <c r="Q111" s="29">
        <f t="shared" si="101"/>
        <v>2420.2199347697019</v>
      </c>
      <c r="R111" s="29">
        <f t="shared" si="101"/>
        <v>2473.4647733346355</v>
      </c>
      <c r="S111" s="29">
        <f t="shared" si="101"/>
        <v>2527.8809983479978</v>
      </c>
      <c r="T111" s="29">
        <f t="shared" si="101"/>
        <v>2583.4943803116539</v>
      </c>
      <c r="U111" s="29">
        <f t="shared" si="101"/>
        <v>2640.3312566785103</v>
      </c>
      <c r="V111" s="29">
        <f t="shared" si="101"/>
        <v>2698.4185443254373</v>
      </c>
      <c r="W111" s="29">
        <f t="shared" si="101"/>
        <v>2757.7837523005969</v>
      </c>
      <c r="X111" s="29">
        <f t="shared" si="101"/>
        <v>2818.4549948512104</v>
      </c>
      <c r="Y111" s="29">
        <f t="shared" si="101"/>
        <v>2880.4610047379369</v>
      </c>
      <c r="Z111" s="29">
        <f t="shared" si="101"/>
        <v>2943.8311468421716</v>
      </c>
      <c r="AA111" s="29">
        <f t="shared" si="101"/>
        <v>3008.5954320726996</v>
      </c>
      <c r="AB111" s="29">
        <f t="shared" si="101"/>
        <v>3074.7845315782988</v>
      </c>
      <c r="AC111" s="29">
        <f t="shared" si="101"/>
        <v>3142.4297912730217</v>
      </c>
      <c r="AD111" s="29">
        <f t="shared" si="101"/>
        <v>3211.563246681028</v>
      </c>
      <c r="AE111" s="29">
        <f t="shared" si="101"/>
        <v>3282.2176381080108</v>
      </c>
      <c r="AF111" s="29">
        <f t="shared" si="101"/>
        <v>3354.4264261463868</v>
      </c>
      <c r="AG111" s="29">
        <f t="shared" si="101"/>
        <v>3428.2238075216078</v>
      </c>
      <c r="AH111" s="29">
        <f t="shared" si="101"/>
        <v>3503.6447312870828</v>
      </c>
      <c r="AI111" s="29">
        <f t="shared" si="101"/>
        <v>3580.7249153753983</v>
      </c>
      <c r="AJ111" s="29">
        <f t="shared" si="101"/>
        <v>3659.5008635136569</v>
      </c>
      <c r="AK111" s="29">
        <f t="shared" si="101"/>
        <v>3740.0098825109581</v>
      </c>
      <c r="AL111" s="29">
        <f t="shared" si="101"/>
        <v>3822.2900999261992</v>
      </c>
      <c r="AM111" s="29">
        <f t="shared" si="101"/>
        <v>3906.3804821245758</v>
      </c>
      <c r="AN111" s="29">
        <f t="shared" si="101"/>
        <v>3992.3208527313168</v>
      </c>
      <c r="AO111" s="29">
        <f t="shared" si="101"/>
        <v>4080.1519114914063</v>
      </c>
      <c r="AP111" s="29">
        <f t="shared" si="101"/>
        <v>4169.9152535442172</v>
      </c>
      <c r="AQ111" s="29">
        <f t="shared" si="101"/>
        <v>4261.6533891221898</v>
      </c>
      <c r="AR111" s="29">
        <f t="shared" si="101"/>
        <v>4355.4097636828774</v>
      </c>
      <c r="AS111" s="29">
        <f t="shared" si="101"/>
        <v>4451.2287784839009</v>
      </c>
      <c r="AT111" s="61"/>
    </row>
    <row r="112" spans="2:47" hidden="1">
      <c r="C112" s="903"/>
      <c r="D112" s="8"/>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row>
    <row r="113" spans="3:46" hidden="1">
      <c r="C113" s="902"/>
      <c r="D113" s="8" t="s">
        <v>1474</v>
      </c>
      <c r="E113" s="29">
        <f>+E109</f>
        <v>72500</v>
      </c>
      <c r="F113" s="29">
        <f>+F109</f>
        <v>19050</v>
      </c>
      <c r="G113" s="29">
        <f>+F113*(1+'Tax Tables'!$C$10)</f>
        <v>19469.100000000002</v>
      </c>
      <c r="H113" s="29">
        <f>+G113*(1+'Tax Tables'!$C$10)</f>
        <v>19897.420200000004</v>
      </c>
      <c r="I113" s="29">
        <f>+H113*(1+'Tax Tables'!$C$10)</f>
        <v>20335.163444400005</v>
      </c>
      <c r="J113" s="29">
        <f>+I113*(1+'Tax Tables'!$C$10)</f>
        <v>20782.537040176805</v>
      </c>
      <c r="K113" s="29">
        <f>+J113*(1+'Tax Tables'!$C$10)</f>
        <v>21239.752855060695</v>
      </c>
      <c r="L113" s="29">
        <f>+K113*(1+'Tax Tables'!$C$10)</f>
        <v>21707.027417872032</v>
      </c>
      <c r="M113" s="29">
        <f>+L113*(1+'Tax Tables'!$C$10)</f>
        <v>22184.582021065216</v>
      </c>
      <c r="N113" s="29">
        <f>+M113*(1+'Tax Tables'!$C$10)</f>
        <v>22672.642825528652</v>
      </c>
      <c r="O113" s="29">
        <f>+N113*(1+'Tax Tables'!$C$10)</f>
        <v>23171.440967690283</v>
      </c>
      <c r="P113" s="29">
        <f>+O113*(1+'Tax Tables'!$C$10)</f>
        <v>23681.212668979471</v>
      </c>
      <c r="Q113" s="29">
        <f>+P113*(1+'Tax Tables'!$C$10)</f>
        <v>24202.19934769702</v>
      </c>
      <c r="R113" s="29">
        <f>+Q113*(1+'Tax Tables'!$C$10)</f>
        <v>24734.647733346355</v>
      </c>
      <c r="S113" s="29">
        <f>+R113*(1+'Tax Tables'!$C$10)</f>
        <v>25278.809983479976</v>
      </c>
      <c r="T113" s="29">
        <f>+S113*(1+'Tax Tables'!$C$10)</f>
        <v>25834.943803116537</v>
      </c>
      <c r="U113" s="29">
        <f>+T113*(1+'Tax Tables'!$C$10)</f>
        <v>26403.312566785102</v>
      </c>
      <c r="V113" s="29">
        <f>+U113*(1+'Tax Tables'!$C$10)</f>
        <v>26984.185443254373</v>
      </c>
      <c r="W113" s="29">
        <f>+V113*(1+'Tax Tables'!$C$10)</f>
        <v>27577.837523005968</v>
      </c>
      <c r="X113" s="29">
        <f>+W113*(1+'Tax Tables'!$C$10)</f>
        <v>28184.5499485121</v>
      </c>
      <c r="Y113" s="29">
        <f>+X113*(1+'Tax Tables'!$C$10)</f>
        <v>28804.610047379367</v>
      </c>
      <c r="Z113" s="29">
        <f>+Y113*(1+'Tax Tables'!$C$10)</f>
        <v>29438.311468421714</v>
      </c>
      <c r="AA113" s="29">
        <f>+Z113*(1+'Tax Tables'!$C$10)</f>
        <v>30085.954320726993</v>
      </c>
      <c r="AB113" s="29">
        <f>+AA113*(1+'Tax Tables'!$C$10)</f>
        <v>30747.845315782986</v>
      </c>
      <c r="AC113" s="29">
        <f>+AB113*(1+'Tax Tables'!$C$10)</f>
        <v>31424.297912730213</v>
      </c>
      <c r="AD113" s="29">
        <f>+AC113*(1+'Tax Tables'!$C$10)</f>
        <v>32115.632466810279</v>
      </c>
      <c r="AE113" s="29">
        <f>+AD113*(1+'Tax Tables'!$C$10)</f>
        <v>32822.176381080106</v>
      </c>
      <c r="AF113" s="29">
        <f>+AE113*(1+'Tax Tables'!$C$10)</f>
        <v>33544.264261463868</v>
      </c>
      <c r="AG113" s="29">
        <f>+AF113*(1+'Tax Tables'!$C$10)</f>
        <v>34282.238075216075</v>
      </c>
      <c r="AH113" s="29">
        <f>+AG113*(1+'Tax Tables'!$C$10)</f>
        <v>35036.447312870827</v>
      </c>
      <c r="AI113" s="29">
        <f>+AH113*(1+'Tax Tables'!$C$10)</f>
        <v>35807.249153753983</v>
      </c>
      <c r="AJ113" s="29">
        <f>+AI113*(1+'Tax Tables'!$C$10)</f>
        <v>36595.008635136568</v>
      </c>
      <c r="AK113" s="29">
        <f>+AJ113*(1+'Tax Tables'!$C$10)</f>
        <v>37400.098825109577</v>
      </c>
      <c r="AL113" s="29">
        <f>+AK113*(1+'Tax Tables'!$C$10)</f>
        <v>38222.90099926199</v>
      </c>
      <c r="AM113" s="29">
        <f>+AL113*(1+'Tax Tables'!$C$10)</f>
        <v>39063.804821245758</v>
      </c>
      <c r="AN113" s="29">
        <f>+AM113*(1+'Tax Tables'!$C$10)</f>
        <v>39923.208527313167</v>
      </c>
      <c r="AO113" s="29">
        <f>+AN113*(1+'Tax Tables'!$C$10)</f>
        <v>40801.519114914059</v>
      </c>
      <c r="AP113" s="29">
        <f>+AO113*(1+'Tax Tables'!$C$10)</f>
        <v>41699.152535442168</v>
      </c>
      <c r="AQ113" s="29">
        <f>+AP113*(1+'Tax Tables'!$C$10)</f>
        <v>42616.533891221894</v>
      </c>
      <c r="AR113" s="29">
        <f>+AQ113*(1+'Tax Tables'!$C$10)</f>
        <v>43554.097636828774</v>
      </c>
      <c r="AS113" s="29">
        <f>+AR113*(1+'Tax Tables'!$C$10)</f>
        <v>44512.287784839005</v>
      </c>
      <c r="AT113" s="29"/>
    </row>
    <row r="114" spans="3:46" ht="15.6" hidden="1">
      <c r="C114" s="902"/>
      <c r="D114" s="8" t="s">
        <v>1475</v>
      </c>
      <c r="E114" s="225">
        <v>146400</v>
      </c>
      <c r="F114" s="252">
        <v>77400</v>
      </c>
      <c r="G114" s="29">
        <f>+F114*(1+'Tax Tables'!$C$10)</f>
        <v>79102.8</v>
      </c>
      <c r="H114" s="29">
        <f>+G114*(1+'Tax Tables'!$C$10)</f>
        <v>80843.061600000001</v>
      </c>
      <c r="I114" s="29">
        <f>+H114*(1+'Tax Tables'!$C$10)</f>
        <v>82621.608955200005</v>
      </c>
      <c r="J114" s="29">
        <f>+I114*(1+'Tax Tables'!$C$10)</f>
        <v>84439.28435221441</v>
      </c>
      <c r="K114" s="29">
        <f>+J114*(1+'Tax Tables'!$C$10)</f>
        <v>86296.948607963132</v>
      </c>
      <c r="L114" s="29">
        <f>+K114*(1+'Tax Tables'!$C$10)</f>
        <v>88195.481477338326</v>
      </c>
      <c r="M114" s="29">
        <f>+L114*(1+'Tax Tables'!$C$10)</f>
        <v>90135.78206983977</v>
      </c>
      <c r="N114" s="29">
        <f>+M114*(1+'Tax Tables'!$C$10)</f>
        <v>92118.769275376253</v>
      </c>
      <c r="O114" s="29">
        <f>+N114*(1+'Tax Tables'!$C$10)</f>
        <v>94145.382199434534</v>
      </c>
      <c r="P114" s="29">
        <f>+O114*(1+'Tax Tables'!$C$10)</f>
        <v>96216.580607822092</v>
      </c>
      <c r="Q114" s="29">
        <f>+P114*(1+'Tax Tables'!$C$10)</f>
        <v>98333.345381194187</v>
      </c>
      <c r="R114" s="29">
        <f>+Q114*(1+'Tax Tables'!$C$10)</f>
        <v>100496.67897958047</v>
      </c>
      <c r="S114" s="29">
        <f>+R114*(1+'Tax Tables'!$C$10)</f>
        <v>102707.60591713124</v>
      </c>
      <c r="T114" s="29">
        <f>+S114*(1+'Tax Tables'!$C$10)</f>
        <v>104967.17324730812</v>
      </c>
      <c r="U114" s="29">
        <f>+T114*(1+'Tax Tables'!$C$10)</f>
        <v>107276.45105874891</v>
      </c>
      <c r="V114" s="29">
        <f>+U114*(1+'Tax Tables'!$C$10)</f>
        <v>109636.53298204139</v>
      </c>
      <c r="W114" s="29">
        <f>+V114*(1+'Tax Tables'!$C$10)</f>
        <v>112048.5367076463</v>
      </c>
      <c r="X114" s="29">
        <f>+W114*(1+'Tax Tables'!$C$10)</f>
        <v>114513.60451521452</v>
      </c>
      <c r="Y114" s="29">
        <f>+X114*(1+'Tax Tables'!$C$10)</f>
        <v>117032.90381454925</v>
      </c>
      <c r="Z114" s="29">
        <f>+Y114*(1+'Tax Tables'!$C$10)</f>
        <v>119607.62769846934</v>
      </c>
      <c r="AA114" s="29">
        <f>+Z114*(1+'Tax Tables'!$C$10)</f>
        <v>122238.99550783567</v>
      </c>
      <c r="AB114" s="29">
        <f>+AA114*(1+'Tax Tables'!$C$10)</f>
        <v>124928.25340900806</v>
      </c>
      <c r="AC114" s="29">
        <f>+AB114*(1+'Tax Tables'!$C$10)</f>
        <v>127676.67498400624</v>
      </c>
      <c r="AD114" s="29">
        <f>+AC114*(1+'Tax Tables'!$C$10)</f>
        <v>130485.56183365438</v>
      </c>
      <c r="AE114" s="29">
        <f>+AD114*(1+'Tax Tables'!$C$10)</f>
        <v>133356.24419399479</v>
      </c>
      <c r="AF114" s="29">
        <f>+AE114*(1+'Tax Tables'!$C$10)</f>
        <v>136290.08156626267</v>
      </c>
      <c r="AG114" s="29">
        <f>+AF114*(1+'Tax Tables'!$C$10)</f>
        <v>139288.46336072046</v>
      </c>
      <c r="AH114" s="29">
        <f>+AG114*(1+'Tax Tables'!$C$10)</f>
        <v>142352.8095546563</v>
      </c>
      <c r="AI114" s="29">
        <f>+AH114*(1+'Tax Tables'!$C$10)</f>
        <v>145484.57136485874</v>
      </c>
      <c r="AJ114" s="29">
        <f>+AI114*(1+'Tax Tables'!$C$10)</f>
        <v>148685.23193488564</v>
      </c>
      <c r="AK114" s="29">
        <f>+AJ114*(1+'Tax Tables'!$C$10)</f>
        <v>151956.30703745314</v>
      </c>
      <c r="AL114" s="29">
        <f>+AK114*(1+'Tax Tables'!$C$10)</f>
        <v>155299.3457922771</v>
      </c>
      <c r="AM114" s="29">
        <f>+AL114*(1+'Tax Tables'!$C$10)</f>
        <v>158715.93139970722</v>
      </c>
      <c r="AN114" s="29">
        <f>+AM114*(1+'Tax Tables'!$C$10)</f>
        <v>162207.68189050077</v>
      </c>
      <c r="AO114" s="29">
        <f>+AN114*(1+'Tax Tables'!$C$10)</f>
        <v>165776.25089209178</v>
      </c>
      <c r="AP114" s="29">
        <f>+AO114*(1+'Tax Tables'!$C$10)</f>
        <v>169423.32841171781</v>
      </c>
      <c r="AQ114" s="29">
        <f>+AP114*(1+'Tax Tables'!$C$10)</f>
        <v>173150.6416367756</v>
      </c>
      <c r="AR114" s="29">
        <f>+AQ114*(1+'Tax Tables'!$C$10)</f>
        <v>176959.95575278468</v>
      </c>
      <c r="AS114" s="29">
        <f>+AR114*(1+'Tax Tables'!$C$10)</f>
        <v>180853.07477934594</v>
      </c>
      <c r="AT114" s="29"/>
    </row>
    <row r="115" spans="3:46" ht="15.6" hidden="1">
      <c r="C115" s="902"/>
      <c r="D115" s="8" t="s">
        <v>1476</v>
      </c>
      <c r="E115" s="226">
        <v>0.25</v>
      </c>
      <c r="F115" s="255">
        <v>0.12</v>
      </c>
      <c r="G115" s="61">
        <f>+F115</f>
        <v>0.12</v>
      </c>
      <c r="H115" s="61">
        <f t="shared" ref="H115:AS115" si="102">+G115</f>
        <v>0.12</v>
      </c>
      <c r="I115" s="61">
        <f t="shared" si="102"/>
        <v>0.12</v>
      </c>
      <c r="J115" s="61">
        <f t="shared" si="102"/>
        <v>0.12</v>
      </c>
      <c r="K115" s="61">
        <f t="shared" si="102"/>
        <v>0.12</v>
      </c>
      <c r="L115" s="61">
        <f t="shared" si="102"/>
        <v>0.12</v>
      </c>
      <c r="M115" s="61">
        <f t="shared" si="102"/>
        <v>0.12</v>
      </c>
      <c r="N115" s="61">
        <f t="shared" si="102"/>
        <v>0.12</v>
      </c>
      <c r="O115" s="61">
        <f t="shared" si="102"/>
        <v>0.12</v>
      </c>
      <c r="P115" s="61">
        <f t="shared" si="102"/>
        <v>0.12</v>
      </c>
      <c r="Q115" s="61">
        <f t="shared" si="102"/>
        <v>0.12</v>
      </c>
      <c r="R115" s="61">
        <f t="shared" si="102"/>
        <v>0.12</v>
      </c>
      <c r="S115" s="61">
        <f t="shared" si="102"/>
        <v>0.12</v>
      </c>
      <c r="T115" s="61">
        <f t="shared" si="102"/>
        <v>0.12</v>
      </c>
      <c r="U115" s="61">
        <f t="shared" si="102"/>
        <v>0.12</v>
      </c>
      <c r="V115" s="61">
        <f t="shared" si="102"/>
        <v>0.12</v>
      </c>
      <c r="W115" s="61">
        <f t="shared" si="102"/>
        <v>0.12</v>
      </c>
      <c r="X115" s="61">
        <f t="shared" si="102"/>
        <v>0.12</v>
      </c>
      <c r="Y115" s="61">
        <f t="shared" si="102"/>
        <v>0.12</v>
      </c>
      <c r="Z115" s="61">
        <f t="shared" si="102"/>
        <v>0.12</v>
      </c>
      <c r="AA115" s="61">
        <f t="shared" si="102"/>
        <v>0.12</v>
      </c>
      <c r="AB115" s="61">
        <f t="shared" si="102"/>
        <v>0.12</v>
      </c>
      <c r="AC115" s="61">
        <f t="shared" si="102"/>
        <v>0.12</v>
      </c>
      <c r="AD115" s="61">
        <f t="shared" si="102"/>
        <v>0.12</v>
      </c>
      <c r="AE115" s="61">
        <f t="shared" si="102"/>
        <v>0.12</v>
      </c>
      <c r="AF115" s="61">
        <f t="shared" si="102"/>
        <v>0.12</v>
      </c>
      <c r="AG115" s="61">
        <f t="shared" si="102"/>
        <v>0.12</v>
      </c>
      <c r="AH115" s="61">
        <f t="shared" si="102"/>
        <v>0.12</v>
      </c>
      <c r="AI115" s="61">
        <f t="shared" si="102"/>
        <v>0.12</v>
      </c>
      <c r="AJ115" s="61">
        <f t="shared" si="102"/>
        <v>0.12</v>
      </c>
      <c r="AK115" s="61">
        <f t="shared" si="102"/>
        <v>0.12</v>
      </c>
      <c r="AL115" s="61">
        <f t="shared" si="102"/>
        <v>0.12</v>
      </c>
      <c r="AM115" s="61">
        <f t="shared" si="102"/>
        <v>0.12</v>
      </c>
      <c r="AN115" s="61">
        <f t="shared" si="102"/>
        <v>0.12</v>
      </c>
      <c r="AO115" s="61">
        <f t="shared" si="102"/>
        <v>0.12</v>
      </c>
      <c r="AP115" s="61">
        <f t="shared" si="102"/>
        <v>0.12</v>
      </c>
      <c r="AQ115" s="61">
        <f t="shared" si="102"/>
        <v>0.12</v>
      </c>
      <c r="AR115" s="61">
        <f t="shared" si="102"/>
        <v>0.12</v>
      </c>
      <c r="AS115" s="61">
        <f t="shared" si="102"/>
        <v>0.12</v>
      </c>
      <c r="AT115" s="29"/>
    </row>
    <row r="116" spans="3:46" hidden="1">
      <c r="C116" s="902"/>
      <c r="D116" s="8" t="s">
        <v>1414</v>
      </c>
      <c r="E116" s="29">
        <f t="shared" ref="E116:AS116" si="103">(+E114-E113)*E115</f>
        <v>18475</v>
      </c>
      <c r="F116" s="29">
        <f t="shared" si="103"/>
        <v>7002</v>
      </c>
      <c r="G116" s="29">
        <f t="shared" si="103"/>
        <v>7156.043999999999</v>
      </c>
      <c r="H116" s="29">
        <f t="shared" si="103"/>
        <v>7313.476967999999</v>
      </c>
      <c r="I116" s="29">
        <f t="shared" si="103"/>
        <v>7474.3734612959997</v>
      </c>
      <c r="J116" s="29">
        <f t="shared" si="103"/>
        <v>7638.809677444513</v>
      </c>
      <c r="K116" s="29">
        <f t="shared" si="103"/>
        <v>7806.8634903482925</v>
      </c>
      <c r="L116" s="29">
        <f t="shared" si="103"/>
        <v>7978.6144871359556</v>
      </c>
      <c r="M116" s="29">
        <f t="shared" si="103"/>
        <v>8154.1440058529461</v>
      </c>
      <c r="N116" s="29">
        <f t="shared" si="103"/>
        <v>8333.5351739817106</v>
      </c>
      <c r="O116" s="29">
        <f t="shared" si="103"/>
        <v>8516.8729478093101</v>
      </c>
      <c r="P116" s="29">
        <f t="shared" si="103"/>
        <v>8704.2441526611146</v>
      </c>
      <c r="Q116" s="29">
        <f t="shared" si="103"/>
        <v>8895.7375240196598</v>
      </c>
      <c r="R116" s="29">
        <f t="shared" si="103"/>
        <v>9091.4437495480925</v>
      </c>
      <c r="S116" s="29">
        <f t="shared" si="103"/>
        <v>9291.4555120381501</v>
      </c>
      <c r="T116" s="29">
        <f t="shared" si="103"/>
        <v>9495.8675333029896</v>
      </c>
      <c r="U116" s="29">
        <f t="shared" si="103"/>
        <v>9704.776619035656</v>
      </c>
      <c r="V116" s="29">
        <f t="shared" si="103"/>
        <v>9918.2817046544405</v>
      </c>
      <c r="W116" s="29">
        <f t="shared" si="103"/>
        <v>10136.48390215684</v>
      </c>
      <c r="X116" s="29">
        <f t="shared" si="103"/>
        <v>10359.486548004292</v>
      </c>
      <c r="Y116" s="29">
        <f t="shared" si="103"/>
        <v>10587.395252060387</v>
      </c>
      <c r="Z116" s="29">
        <f t="shared" si="103"/>
        <v>10820.317947605714</v>
      </c>
      <c r="AA116" s="29">
        <f t="shared" si="103"/>
        <v>11058.364942453041</v>
      </c>
      <c r="AB116" s="29">
        <f t="shared" si="103"/>
        <v>11301.648971187007</v>
      </c>
      <c r="AC116" s="29">
        <f t="shared" si="103"/>
        <v>11550.285248553124</v>
      </c>
      <c r="AD116" s="29">
        <f t="shared" si="103"/>
        <v>11804.391524021292</v>
      </c>
      <c r="AE116" s="29">
        <f t="shared" si="103"/>
        <v>12064.088137549761</v>
      </c>
      <c r="AF116" s="29">
        <f t="shared" si="103"/>
        <v>12329.498076575857</v>
      </c>
      <c r="AG116" s="29">
        <f t="shared" si="103"/>
        <v>12600.747034260527</v>
      </c>
      <c r="AH116" s="29">
        <f t="shared" si="103"/>
        <v>12877.963469014257</v>
      </c>
      <c r="AI116" s="29">
        <f t="shared" si="103"/>
        <v>13161.278665332571</v>
      </c>
      <c r="AJ116" s="29">
        <f t="shared" si="103"/>
        <v>13450.82679596989</v>
      </c>
      <c r="AK116" s="29">
        <f t="shared" si="103"/>
        <v>13746.744985481228</v>
      </c>
      <c r="AL116" s="29">
        <f t="shared" si="103"/>
        <v>14049.173375161812</v>
      </c>
      <c r="AM116" s="29">
        <f t="shared" si="103"/>
        <v>14358.255189415375</v>
      </c>
      <c r="AN116" s="29">
        <f t="shared" si="103"/>
        <v>14674.136803582511</v>
      </c>
      <c r="AO116" s="29">
        <f t="shared" si="103"/>
        <v>14996.967813261326</v>
      </c>
      <c r="AP116" s="29">
        <f t="shared" si="103"/>
        <v>15326.901105153076</v>
      </c>
      <c r="AQ116" s="29">
        <f t="shared" si="103"/>
        <v>15664.092929466446</v>
      </c>
      <c r="AR116" s="29">
        <f t="shared" si="103"/>
        <v>16008.702973914707</v>
      </c>
      <c r="AS116" s="29">
        <f t="shared" si="103"/>
        <v>16360.894439340835</v>
      </c>
      <c r="AT116" s="61"/>
    </row>
    <row r="117" spans="3:46" hidden="1">
      <c r="C117" s="903"/>
      <c r="D117" s="8"/>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row>
    <row r="118" spans="3:46" hidden="1">
      <c r="C118" s="902"/>
      <c r="D118" s="8" t="s">
        <v>1474</v>
      </c>
      <c r="E118" s="29">
        <f>+E114</f>
        <v>146400</v>
      </c>
      <c r="F118" s="29">
        <f>+F114</f>
        <v>77400</v>
      </c>
      <c r="G118" s="29">
        <f>+F118*(1+'Tax Tables'!$C$10)</f>
        <v>79102.8</v>
      </c>
      <c r="H118" s="29">
        <f>+G118*(1+'Tax Tables'!$C$10)</f>
        <v>80843.061600000001</v>
      </c>
      <c r="I118" s="29">
        <f>+H118*(1+'Tax Tables'!$C$10)</f>
        <v>82621.608955200005</v>
      </c>
      <c r="J118" s="29">
        <f>+I118*(1+'Tax Tables'!$C$10)</f>
        <v>84439.28435221441</v>
      </c>
      <c r="K118" s="29">
        <f>+J118*(1+'Tax Tables'!$C$10)</f>
        <v>86296.948607963132</v>
      </c>
      <c r="L118" s="29">
        <f>+K118*(1+'Tax Tables'!$C$10)</f>
        <v>88195.481477338326</v>
      </c>
      <c r="M118" s="29">
        <f>+L118*(1+'Tax Tables'!$C$10)</f>
        <v>90135.78206983977</v>
      </c>
      <c r="N118" s="29">
        <f>+M118*(1+'Tax Tables'!$C$10)</f>
        <v>92118.769275376253</v>
      </c>
      <c r="O118" s="29">
        <f>+N118*(1+'Tax Tables'!$C$10)</f>
        <v>94145.382199434534</v>
      </c>
      <c r="P118" s="29">
        <f>+O118*(1+'Tax Tables'!$C$10)</f>
        <v>96216.580607822092</v>
      </c>
      <c r="Q118" s="29">
        <f>+P118*(1+'Tax Tables'!$C$10)</f>
        <v>98333.345381194187</v>
      </c>
      <c r="R118" s="29">
        <f>+Q118*(1+'Tax Tables'!$C$10)</f>
        <v>100496.67897958047</v>
      </c>
      <c r="S118" s="29">
        <f>+R118*(1+'Tax Tables'!$C$10)</f>
        <v>102707.60591713124</v>
      </c>
      <c r="T118" s="29">
        <f>+S118*(1+'Tax Tables'!$C$10)</f>
        <v>104967.17324730812</v>
      </c>
      <c r="U118" s="29">
        <f>+T118*(1+'Tax Tables'!$C$10)</f>
        <v>107276.45105874891</v>
      </c>
      <c r="V118" s="29">
        <f>+U118*(1+'Tax Tables'!$C$10)</f>
        <v>109636.53298204139</v>
      </c>
      <c r="W118" s="29">
        <f>+V118*(1+'Tax Tables'!$C$10)</f>
        <v>112048.5367076463</v>
      </c>
      <c r="X118" s="29">
        <f>+W118*(1+'Tax Tables'!$C$10)</f>
        <v>114513.60451521452</v>
      </c>
      <c r="Y118" s="29">
        <f>+X118*(1+'Tax Tables'!$C$10)</f>
        <v>117032.90381454925</v>
      </c>
      <c r="Z118" s="29">
        <f>+Y118*(1+'Tax Tables'!$C$10)</f>
        <v>119607.62769846934</v>
      </c>
      <c r="AA118" s="29">
        <f>+Z118*(1+'Tax Tables'!$C$10)</f>
        <v>122238.99550783567</v>
      </c>
      <c r="AB118" s="29">
        <f>+AA118*(1+'Tax Tables'!$C$10)</f>
        <v>124928.25340900806</v>
      </c>
      <c r="AC118" s="29">
        <f>+AB118*(1+'Tax Tables'!$C$10)</f>
        <v>127676.67498400624</v>
      </c>
      <c r="AD118" s="29">
        <f>+AC118*(1+'Tax Tables'!$C$10)</f>
        <v>130485.56183365438</v>
      </c>
      <c r="AE118" s="29">
        <f>+AD118*(1+'Tax Tables'!$C$10)</f>
        <v>133356.24419399479</v>
      </c>
      <c r="AF118" s="29">
        <f>+AE118*(1+'Tax Tables'!$C$10)</f>
        <v>136290.08156626267</v>
      </c>
      <c r="AG118" s="29">
        <f>+AF118*(1+'Tax Tables'!$C$10)</f>
        <v>139288.46336072046</v>
      </c>
      <c r="AH118" s="29">
        <f>+AG118*(1+'Tax Tables'!$C$10)</f>
        <v>142352.8095546563</v>
      </c>
      <c r="AI118" s="29">
        <f>+AH118*(1+'Tax Tables'!$C$10)</f>
        <v>145484.57136485874</v>
      </c>
      <c r="AJ118" s="29">
        <f>+AI118*(1+'Tax Tables'!$C$10)</f>
        <v>148685.23193488564</v>
      </c>
      <c r="AK118" s="29">
        <f>+AJ118*(1+'Tax Tables'!$C$10)</f>
        <v>151956.30703745314</v>
      </c>
      <c r="AL118" s="29">
        <f>+AK118*(1+'Tax Tables'!$C$10)</f>
        <v>155299.3457922771</v>
      </c>
      <c r="AM118" s="29">
        <f>+AL118*(1+'Tax Tables'!$C$10)</f>
        <v>158715.93139970722</v>
      </c>
      <c r="AN118" s="29">
        <f>+AM118*(1+'Tax Tables'!$C$10)</f>
        <v>162207.68189050077</v>
      </c>
      <c r="AO118" s="29">
        <f>+AN118*(1+'Tax Tables'!$C$10)</f>
        <v>165776.25089209178</v>
      </c>
      <c r="AP118" s="29">
        <f>+AO118*(1+'Tax Tables'!$C$10)</f>
        <v>169423.32841171781</v>
      </c>
      <c r="AQ118" s="29">
        <f>+AP118*(1+'Tax Tables'!$C$10)</f>
        <v>173150.6416367756</v>
      </c>
      <c r="AR118" s="29">
        <f>+AQ118*(1+'Tax Tables'!$C$10)</f>
        <v>176959.95575278468</v>
      </c>
      <c r="AS118" s="29">
        <f>+AR118*(1+'Tax Tables'!$C$10)</f>
        <v>180853.07477934594</v>
      </c>
      <c r="AT118" s="29"/>
    </row>
    <row r="119" spans="3:46" ht="15.6" hidden="1">
      <c r="C119" s="902"/>
      <c r="D119" s="8" t="s">
        <v>1475</v>
      </c>
      <c r="E119" s="225">
        <v>223050</v>
      </c>
      <c r="F119" s="252">
        <v>165000</v>
      </c>
      <c r="G119" s="29">
        <f>+F119*(1+'Tax Tables'!$C$10)</f>
        <v>168630</v>
      </c>
      <c r="H119" s="29">
        <f>+G119*(1+'Tax Tables'!$C$10)</f>
        <v>172339.86000000002</v>
      </c>
      <c r="I119" s="29">
        <f>+H119*(1+'Tax Tables'!$C$10)</f>
        <v>176131.33692000003</v>
      </c>
      <c r="J119" s="29">
        <f>+I119*(1+'Tax Tables'!$C$10)</f>
        <v>180006.22633224004</v>
      </c>
      <c r="K119" s="29">
        <f>+J119*(1+'Tax Tables'!$C$10)</f>
        <v>183966.36331154933</v>
      </c>
      <c r="L119" s="29">
        <f>+K119*(1+'Tax Tables'!$C$10)</f>
        <v>188013.62330440342</v>
      </c>
      <c r="M119" s="29">
        <f>+L119*(1+'Tax Tables'!$C$10)</f>
        <v>192149.92301710029</v>
      </c>
      <c r="N119" s="29">
        <f>+M119*(1+'Tax Tables'!$C$10)</f>
        <v>196377.22132347649</v>
      </c>
      <c r="O119" s="29">
        <f>+N119*(1+'Tax Tables'!$C$10)</f>
        <v>200697.52019259299</v>
      </c>
      <c r="P119" s="29">
        <f>+O119*(1+'Tax Tables'!$C$10)</f>
        <v>205112.86563683004</v>
      </c>
      <c r="Q119" s="29">
        <f>+P119*(1+'Tax Tables'!$C$10)</f>
        <v>209625.34868084031</v>
      </c>
      <c r="R119" s="29">
        <f>+Q119*(1+'Tax Tables'!$C$10)</f>
        <v>214237.1063518188</v>
      </c>
      <c r="S119" s="29">
        <f>+R119*(1+'Tax Tables'!$C$10)</f>
        <v>218950.32269155883</v>
      </c>
      <c r="T119" s="29">
        <f>+S119*(1+'Tax Tables'!$C$10)</f>
        <v>223767.22979077313</v>
      </c>
      <c r="U119" s="29">
        <f>+T119*(1+'Tax Tables'!$C$10)</f>
        <v>228690.10884617013</v>
      </c>
      <c r="V119" s="29">
        <f>+U119*(1+'Tax Tables'!$C$10)</f>
        <v>233721.29124078588</v>
      </c>
      <c r="W119" s="29">
        <f>+V119*(1+'Tax Tables'!$C$10)</f>
        <v>238863.15964808318</v>
      </c>
      <c r="X119" s="29">
        <f>+W119*(1+'Tax Tables'!$C$10)</f>
        <v>244118.14916034101</v>
      </c>
      <c r="Y119" s="29">
        <f>+X119*(1+'Tax Tables'!$C$10)</f>
        <v>249488.74844186852</v>
      </c>
      <c r="Z119" s="29">
        <f>+Y119*(1+'Tax Tables'!$C$10)</f>
        <v>254977.50090758962</v>
      </c>
      <c r="AA119" s="29">
        <f>+Z119*(1+'Tax Tables'!$C$10)</f>
        <v>260587.0059275566</v>
      </c>
      <c r="AB119" s="29">
        <f>+AA119*(1+'Tax Tables'!$C$10)</f>
        <v>266319.92005796282</v>
      </c>
      <c r="AC119" s="29">
        <f>+AB119*(1+'Tax Tables'!$C$10)</f>
        <v>272178.958299238</v>
      </c>
      <c r="AD119" s="29">
        <f>+AC119*(1+'Tax Tables'!$C$10)</f>
        <v>278166.89538182126</v>
      </c>
      <c r="AE119" s="29">
        <f>+AD119*(1+'Tax Tables'!$C$10)</f>
        <v>284286.56708022131</v>
      </c>
      <c r="AF119" s="29">
        <f>+AE119*(1+'Tax Tables'!$C$10)</f>
        <v>290540.87155598617</v>
      </c>
      <c r="AG119" s="29">
        <f>+AF119*(1+'Tax Tables'!$C$10)</f>
        <v>296932.77073021786</v>
      </c>
      <c r="AH119" s="29">
        <f>+AG119*(1+'Tax Tables'!$C$10)</f>
        <v>303465.29168628267</v>
      </c>
      <c r="AI119" s="29">
        <f>+AH119*(1+'Tax Tables'!$C$10)</f>
        <v>310141.52810338087</v>
      </c>
      <c r="AJ119" s="29">
        <f>+AI119*(1+'Tax Tables'!$C$10)</f>
        <v>316964.64172165527</v>
      </c>
      <c r="AK119" s="29">
        <f>+AJ119*(1+'Tax Tables'!$C$10)</f>
        <v>323937.86383953167</v>
      </c>
      <c r="AL119" s="29">
        <f>+AK119*(1+'Tax Tables'!$C$10)</f>
        <v>331064.49684400135</v>
      </c>
      <c r="AM119" s="29">
        <f>+AL119*(1+'Tax Tables'!$C$10)</f>
        <v>338347.91577456938</v>
      </c>
      <c r="AN119" s="29">
        <f>+AM119*(1+'Tax Tables'!$C$10)</f>
        <v>345791.56992160989</v>
      </c>
      <c r="AO119" s="29">
        <f>+AN119*(1+'Tax Tables'!$C$10)</f>
        <v>353398.98445988534</v>
      </c>
      <c r="AP119" s="29">
        <f>+AO119*(1+'Tax Tables'!$C$10)</f>
        <v>361173.76211800281</v>
      </c>
      <c r="AQ119" s="29">
        <f>+AP119*(1+'Tax Tables'!$C$10)</f>
        <v>369119.58488459885</v>
      </c>
      <c r="AR119" s="29">
        <f>+AQ119*(1+'Tax Tables'!$C$10)</f>
        <v>377240.21575206006</v>
      </c>
      <c r="AS119" s="29">
        <f>+AR119*(1+'Tax Tables'!$C$10)</f>
        <v>385539.50049860537</v>
      </c>
      <c r="AT119" s="29"/>
    </row>
    <row r="120" spans="3:46" ht="15.6" hidden="1">
      <c r="C120" s="902"/>
      <c r="D120" s="8" t="s">
        <v>1476</v>
      </c>
      <c r="E120" s="226">
        <v>0.28000000000000003</v>
      </c>
      <c r="F120" s="253">
        <v>0.22</v>
      </c>
      <c r="G120" s="61">
        <f>+F120</f>
        <v>0.22</v>
      </c>
      <c r="H120" s="61">
        <f t="shared" ref="H120:AS120" si="104">+G120</f>
        <v>0.22</v>
      </c>
      <c r="I120" s="61">
        <f t="shared" si="104"/>
        <v>0.22</v>
      </c>
      <c r="J120" s="61">
        <f t="shared" si="104"/>
        <v>0.22</v>
      </c>
      <c r="K120" s="61">
        <f t="shared" si="104"/>
        <v>0.22</v>
      </c>
      <c r="L120" s="61">
        <f t="shared" si="104"/>
        <v>0.22</v>
      </c>
      <c r="M120" s="61">
        <f t="shared" si="104"/>
        <v>0.22</v>
      </c>
      <c r="N120" s="61">
        <f t="shared" si="104"/>
        <v>0.22</v>
      </c>
      <c r="O120" s="61">
        <f t="shared" si="104"/>
        <v>0.22</v>
      </c>
      <c r="P120" s="61">
        <f t="shared" si="104"/>
        <v>0.22</v>
      </c>
      <c r="Q120" s="61">
        <f t="shared" si="104"/>
        <v>0.22</v>
      </c>
      <c r="R120" s="61">
        <f t="shared" si="104"/>
        <v>0.22</v>
      </c>
      <c r="S120" s="61">
        <f t="shared" si="104"/>
        <v>0.22</v>
      </c>
      <c r="T120" s="61">
        <f t="shared" si="104"/>
        <v>0.22</v>
      </c>
      <c r="U120" s="61">
        <f t="shared" si="104"/>
        <v>0.22</v>
      </c>
      <c r="V120" s="61">
        <f t="shared" si="104"/>
        <v>0.22</v>
      </c>
      <c r="W120" s="61">
        <f t="shared" si="104"/>
        <v>0.22</v>
      </c>
      <c r="X120" s="61">
        <f t="shared" si="104"/>
        <v>0.22</v>
      </c>
      <c r="Y120" s="61">
        <f t="shared" si="104"/>
        <v>0.22</v>
      </c>
      <c r="Z120" s="61">
        <f t="shared" si="104"/>
        <v>0.22</v>
      </c>
      <c r="AA120" s="61">
        <f t="shared" si="104"/>
        <v>0.22</v>
      </c>
      <c r="AB120" s="61">
        <f t="shared" si="104"/>
        <v>0.22</v>
      </c>
      <c r="AC120" s="61">
        <f t="shared" si="104"/>
        <v>0.22</v>
      </c>
      <c r="AD120" s="61">
        <f t="shared" si="104"/>
        <v>0.22</v>
      </c>
      <c r="AE120" s="61">
        <f t="shared" si="104"/>
        <v>0.22</v>
      </c>
      <c r="AF120" s="61">
        <f t="shared" si="104"/>
        <v>0.22</v>
      </c>
      <c r="AG120" s="61">
        <f t="shared" si="104"/>
        <v>0.22</v>
      </c>
      <c r="AH120" s="61">
        <f t="shared" si="104"/>
        <v>0.22</v>
      </c>
      <c r="AI120" s="61">
        <f t="shared" si="104"/>
        <v>0.22</v>
      </c>
      <c r="AJ120" s="61">
        <f t="shared" si="104"/>
        <v>0.22</v>
      </c>
      <c r="AK120" s="61">
        <f t="shared" si="104"/>
        <v>0.22</v>
      </c>
      <c r="AL120" s="61">
        <f t="shared" si="104"/>
        <v>0.22</v>
      </c>
      <c r="AM120" s="61">
        <f t="shared" si="104"/>
        <v>0.22</v>
      </c>
      <c r="AN120" s="61">
        <f t="shared" si="104"/>
        <v>0.22</v>
      </c>
      <c r="AO120" s="61">
        <f t="shared" si="104"/>
        <v>0.22</v>
      </c>
      <c r="AP120" s="61">
        <f t="shared" si="104"/>
        <v>0.22</v>
      </c>
      <c r="AQ120" s="61">
        <f t="shared" si="104"/>
        <v>0.22</v>
      </c>
      <c r="AR120" s="61">
        <f t="shared" si="104"/>
        <v>0.22</v>
      </c>
      <c r="AS120" s="61">
        <f t="shared" si="104"/>
        <v>0.22</v>
      </c>
      <c r="AT120" s="29"/>
    </row>
    <row r="121" spans="3:46" hidden="1">
      <c r="C121" s="902"/>
      <c r="D121" s="8" t="s">
        <v>1414</v>
      </c>
      <c r="E121" s="29">
        <f t="shared" ref="E121:AS121" si="105">(+E119-E118)*E120</f>
        <v>21462.000000000004</v>
      </c>
      <c r="F121" s="29">
        <f t="shared" si="105"/>
        <v>19272</v>
      </c>
      <c r="G121" s="29">
        <f t="shared" si="105"/>
        <v>19695.984</v>
      </c>
      <c r="H121" s="29">
        <f t="shared" si="105"/>
        <v>20129.295648000003</v>
      </c>
      <c r="I121" s="29">
        <f t="shared" si="105"/>
        <v>20572.140152256005</v>
      </c>
      <c r="J121" s="29">
        <f t="shared" si="105"/>
        <v>21024.727235605638</v>
      </c>
      <c r="K121" s="29">
        <f t="shared" si="105"/>
        <v>21487.271234788965</v>
      </c>
      <c r="L121" s="29">
        <f t="shared" si="105"/>
        <v>21959.991201954319</v>
      </c>
      <c r="M121" s="29">
        <f t="shared" si="105"/>
        <v>22443.111008397314</v>
      </c>
      <c r="N121" s="29">
        <f t="shared" si="105"/>
        <v>22936.859450582055</v>
      </c>
      <c r="O121" s="29">
        <f t="shared" si="105"/>
        <v>23441.470358494858</v>
      </c>
      <c r="P121" s="29">
        <f t="shared" si="105"/>
        <v>23957.182706381751</v>
      </c>
      <c r="Q121" s="29">
        <f t="shared" si="105"/>
        <v>24484.240725922147</v>
      </c>
      <c r="R121" s="29">
        <f t="shared" si="105"/>
        <v>25022.894021892433</v>
      </c>
      <c r="S121" s="29">
        <f t="shared" si="105"/>
        <v>25573.397690374069</v>
      </c>
      <c r="T121" s="29">
        <f t="shared" si="105"/>
        <v>26136.012439562302</v>
      </c>
      <c r="U121" s="29">
        <f t="shared" si="105"/>
        <v>26711.004713232669</v>
      </c>
      <c r="V121" s="29">
        <f t="shared" si="105"/>
        <v>27298.646816923789</v>
      </c>
      <c r="W121" s="29">
        <f t="shared" si="105"/>
        <v>27899.217046896112</v>
      </c>
      <c r="X121" s="29">
        <f t="shared" si="105"/>
        <v>28512.999821927828</v>
      </c>
      <c r="Y121" s="29">
        <f t="shared" si="105"/>
        <v>29140.285818010238</v>
      </c>
      <c r="Z121" s="29">
        <f t="shared" si="105"/>
        <v>29781.372106006467</v>
      </c>
      <c r="AA121" s="29">
        <f t="shared" si="105"/>
        <v>30436.562292338604</v>
      </c>
      <c r="AB121" s="29">
        <f t="shared" si="105"/>
        <v>31106.166662770047</v>
      </c>
      <c r="AC121" s="29">
        <f t="shared" si="105"/>
        <v>31790.502329350988</v>
      </c>
      <c r="AD121" s="29">
        <f t="shared" si="105"/>
        <v>32489.893380596714</v>
      </c>
      <c r="AE121" s="29">
        <f t="shared" si="105"/>
        <v>33204.671034969833</v>
      </c>
      <c r="AF121" s="29">
        <f t="shared" si="105"/>
        <v>33935.173797739168</v>
      </c>
      <c r="AG121" s="29">
        <f t="shared" si="105"/>
        <v>34681.747621289425</v>
      </c>
      <c r="AH121" s="29">
        <f t="shared" si="105"/>
        <v>35444.7460689578</v>
      </c>
      <c r="AI121" s="29">
        <f t="shared" si="105"/>
        <v>36224.530482474867</v>
      </c>
      <c r="AJ121" s="29">
        <f t="shared" si="105"/>
        <v>37021.470153089314</v>
      </c>
      <c r="AK121" s="29">
        <f t="shared" si="105"/>
        <v>37835.942496457275</v>
      </c>
      <c r="AL121" s="29">
        <f t="shared" si="105"/>
        <v>38668.333231379336</v>
      </c>
      <c r="AM121" s="29">
        <f t="shared" si="105"/>
        <v>39519.036562469679</v>
      </c>
      <c r="AN121" s="29">
        <f t="shared" si="105"/>
        <v>40388.455366844006</v>
      </c>
      <c r="AO121" s="29">
        <f t="shared" si="105"/>
        <v>41277.001384914583</v>
      </c>
      <c r="AP121" s="29">
        <f t="shared" si="105"/>
        <v>42185.095415382697</v>
      </c>
      <c r="AQ121" s="29">
        <f t="shared" si="105"/>
        <v>43113.167514521112</v>
      </c>
      <c r="AR121" s="29">
        <f t="shared" si="105"/>
        <v>44061.657199840585</v>
      </c>
      <c r="AS121" s="29">
        <f t="shared" si="105"/>
        <v>45031.013658237076</v>
      </c>
      <c r="AT121" s="61"/>
    </row>
    <row r="122" spans="3:46" hidden="1">
      <c r="C122" s="909"/>
      <c r="D122" s="8"/>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row>
    <row r="123" spans="3:46" hidden="1">
      <c r="C123" s="902"/>
      <c r="D123" s="8" t="s">
        <v>1474</v>
      </c>
      <c r="E123" s="29">
        <f>+E119</f>
        <v>223050</v>
      </c>
      <c r="F123" s="29">
        <f>+F119</f>
        <v>165000</v>
      </c>
      <c r="G123" s="29">
        <f>+F123*(1+'Tax Tables'!$C$10)</f>
        <v>168630</v>
      </c>
      <c r="H123" s="29">
        <f>+G123*(1+'Tax Tables'!$C$10)</f>
        <v>172339.86000000002</v>
      </c>
      <c r="I123" s="29">
        <f>+H123*(1+'Tax Tables'!$C$10)</f>
        <v>176131.33692000003</v>
      </c>
      <c r="J123" s="29">
        <f>+I123*(1+'Tax Tables'!$C$10)</f>
        <v>180006.22633224004</v>
      </c>
      <c r="K123" s="29">
        <f>+J123*(1+'Tax Tables'!$C$10)</f>
        <v>183966.36331154933</v>
      </c>
      <c r="L123" s="29">
        <f>+K123*(1+'Tax Tables'!$C$10)</f>
        <v>188013.62330440342</v>
      </c>
      <c r="M123" s="29">
        <f>+L123*(1+'Tax Tables'!$C$10)</f>
        <v>192149.92301710029</v>
      </c>
      <c r="N123" s="29">
        <f>+M123*(1+'Tax Tables'!$C$10)</f>
        <v>196377.22132347649</v>
      </c>
      <c r="O123" s="29">
        <f>+N123*(1+'Tax Tables'!$C$10)</f>
        <v>200697.52019259299</v>
      </c>
      <c r="P123" s="29">
        <f>+O123*(1+'Tax Tables'!$C$10)</f>
        <v>205112.86563683004</v>
      </c>
      <c r="Q123" s="29">
        <f>+P123*(1+'Tax Tables'!$C$10)</f>
        <v>209625.34868084031</v>
      </c>
      <c r="R123" s="29">
        <f>+Q123*(1+'Tax Tables'!$C$10)</f>
        <v>214237.1063518188</v>
      </c>
      <c r="S123" s="29">
        <f>+R123*(1+'Tax Tables'!$C$10)</f>
        <v>218950.32269155883</v>
      </c>
      <c r="T123" s="29">
        <f>+S123*(1+'Tax Tables'!$C$10)</f>
        <v>223767.22979077313</v>
      </c>
      <c r="U123" s="29">
        <f>+T123*(1+'Tax Tables'!$C$10)</f>
        <v>228690.10884617013</v>
      </c>
      <c r="V123" s="29">
        <f>+U123*(1+'Tax Tables'!$C$10)</f>
        <v>233721.29124078588</v>
      </c>
      <c r="W123" s="29">
        <f>+V123*(1+'Tax Tables'!$C$10)</f>
        <v>238863.15964808318</v>
      </c>
      <c r="X123" s="29">
        <f>+W123*(1+'Tax Tables'!$C$10)</f>
        <v>244118.14916034101</v>
      </c>
      <c r="Y123" s="29">
        <f>+X123*(1+'Tax Tables'!$C$10)</f>
        <v>249488.74844186852</v>
      </c>
      <c r="Z123" s="29">
        <f>+Y123*(1+'Tax Tables'!$C$10)</f>
        <v>254977.50090758962</v>
      </c>
      <c r="AA123" s="29">
        <f>+Z123*(1+'Tax Tables'!$C$10)</f>
        <v>260587.0059275566</v>
      </c>
      <c r="AB123" s="29">
        <f>+AA123*(1+'Tax Tables'!$C$10)</f>
        <v>266319.92005796282</v>
      </c>
      <c r="AC123" s="29">
        <f>+AB123*(1+'Tax Tables'!$C$10)</f>
        <v>272178.958299238</v>
      </c>
      <c r="AD123" s="29">
        <f>+AC123*(1+'Tax Tables'!$C$10)</f>
        <v>278166.89538182126</v>
      </c>
      <c r="AE123" s="29">
        <f>+AD123*(1+'Tax Tables'!$C$10)</f>
        <v>284286.56708022131</v>
      </c>
      <c r="AF123" s="29">
        <f>+AE123*(1+'Tax Tables'!$C$10)</f>
        <v>290540.87155598617</v>
      </c>
      <c r="AG123" s="29">
        <f>+AF123*(1+'Tax Tables'!$C$10)</f>
        <v>296932.77073021786</v>
      </c>
      <c r="AH123" s="29">
        <f>+AG123*(1+'Tax Tables'!$C$10)</f>
        <v>303465.29168628267</v>
      </c>
      <c r="AI123" s="29">
        <f>+AH123*(1+'Tax Tables'!$C$10)</f>
        <v>310141.52810338087</v>
      </c>
      <c r="AJ123" s="29">
        <f>+AI123*(1+'Tax Tables'!$C$10)</f>
        <v>316964.64172165527</v>
      </c>
      <c r="AK123" s="29">
        <f>+AJ123*(1+'Tax Tables'!$C$10)</f>
        <v>323937.86383953167</v>
      </c>
      <c r="AL123" s="29">
        <f>+AK123*(1+'Tax Tables'!$C$10)</f>
        <v>331064.49684400135</v>
      </c>
      <c r="AM123" s="29">
        <f>+AL123*(1+'Tax Tables'!$C$10)</f>
        <v>338347.91577456938</v>
      </c>
      <c r="AN123" s="29">
        <f>+AM123*(1+'Tax Tables'!$C$10)</f>
        <v>345791.56992160989</v>
      </c>
      <c r="AO123" s="29">
        <f>+AN123*(1+'Tax Tables'!$C$10)</f>
        <v>353398.98445988534</v>
      </c>
      <c r="AP123" s="29">
        <f>+AO123*(1+'Tax Tables'!$C$10)</f>
        <v>361173.76211800281</v>
      </c>
      <c r="AQ123" s="29">
        <f>+AP123*(1+'Tax Tables'!$C$10)</f>
        <v>369119.58488459885</v>
      </c>
      <c r="AR123" s="29">
        <f>+AQ123*(1+'Tax Tables'!$C$10)</f>
        <v>377240.21575206006</v>
      </c>
      <c r="AS123" s="29">
        <f>+AR123*(1+'Tax Tables'!$C$10)</f>
        <v>385539.50049860537</v>
      </c>
      <c r="AT123" s="29"/>
    </row>
    <row r="124" spans="3:46" ht="15.6" hidden="1">
      <c r="C124" s="902"/>
      <c r="D124" s="8" t="s">
        <v>1475</v>
      </c>
      <c r="E124" s="225">
        <v>398350</v>
      </c>
      <c r="F124" s="252">
        <v>315000</v>
      </c>
      <c r="G124" s="29">
        <f>+F124*(1+'Tax Tables'!$C$10)</f>
        <v>321930</v>
      </c>
      <c r="H124" s="29">
        <f>+G124*(1+'Tax Tables'!$C$10)</f>
        <v>329012.46000000002</v>
      </c>
      <c r="I124" s="29">
        <f>+H124*(1+'Tax Tables'!$C$10)</f>
        <v>336250.73412000004</v>
      </c>
      <c r="J124" s="29">
        <f>+I124*(1+'Tax Tables'!$C$10)</f>
        <v>343648.25027064007</v>
      </c>
      <c r="K124" s="29">
        <f>+J124*(1+'Tax Tables'!$C$10)</f>
        <v>351208.51177659415</v>
      </c>
      <c r="L124" s="29">
        <f>+K124*(1+'Tax Tables'!$C$10)</f>
        <v>358935.09903567925</v>
      </c>
      <c r="M124" s="29">
        <f>+L124*(1+'Tax Tables'!$C$10)</f>
        <v>366831.67121446418</v>
      </c>
      <c r="N124" s="29">
        <f>+M124*(1+'Tax Tables'!$C$10)</f>
        <v>374901.96798118239</v>
      </c>
      <c r="O124" s="29">
        <f>+N124*(1+'Tax Tables'!$C$10)</f>
        <v>383149.81127676839</v>
      </c>
      <c r="P124" s="29">
        <f>+O124*(1+'Tax Tables'!$C$10)</f>
        <v>391579.10712485731</v>
      </c>
      <c r="Q124" s="29">
        <f>+P124*(1+'Tax Tables'!$C$10)</f>
        <v>400193.8474816042</v>
      </c>
      <c r="R124" s="29">
        <f>+Q124*(1+'Tax Tables'!$C$10)</f>
        <v>408998.11212619953</v>
      </c>
      <c r="S124" s="29">
        <f>+R124*(1+'Tax Tables'!$C$10)</f>
        <v>417996.07059297594</v>
      </c>
      <c r="T124" s="29">
        <f>+S124*(1+'Tax Tables'!$C$10)</f>
        <v>427191.98414602142</v>
      </c>
      <c r="U124" s="29">
        <f>+T124*(1+'Tax Tables'!$C$10)</f>
        <v>436590.20779723389</v>
      </c>
      <c r="V124" s="29">
        <f>+U124*(1+'Tax Tables'!$C$10)</f>
        <v>446195.19236877305</v>
      </c>
      <c r="W124" s="29">
        <f>+V124*(1+'Tax Tables'!$C$10)</f>
        <v>456011.48660088604</v>
      </c>
      <c r="X124" s="29">
        <f>+W124*(1+'Tax Tables'!$C$10)</f>
        <v>466043.73930610553</v>
      </c>
      <c r="Y124" s="29">
        <f>+X124*(1+'Tax Tables'!$C$10)</f>
        <v>476296.70157083985</v>
      </c>
      <c r="Z124" s="29">
        <f>+Y124*(1+'Tax Tables'!$C$10)</f>
        <v>486775.22900539835</v>
      </c>
      <c r="AA124" s="29">
        <f>+Z124*(1+'Tax Tables'!$C$10)</f>
        <v>497484.28404351714</v>
      </c>
      <c r="AB124" s="29">
        <f>+AA124*(1+'Tax Tables'!$C$10)</f>
        <v>508428.93829247454</v>
      </c>
      <c r="AC124" s="29">
        <f>+AB124*(1+'Tax Tables'!$C$10)</f>
        <v>519614.37493490899</v>
      </c>
      <c r="AD124" s="29">
        <f>+AC124*(1+'Tax Tables'!$C$10)</f>
        <v>531045.89118347701</v>
      </c>
      <c r="AE124" s="29">
        <f>+AD124*(1+'Tax Tables'!$C$10)</f>
        <v>542728.90078951349</v>
      </c>
      <c r="AF124" s="29">
        <f>+AE124*(1+'Tax Tables'!$C$10)</f>
        <v>554668.93660688284</v>
      </c>
      <c r="AG124" s="29">
        <f>+AF124*(1+'Tax Tables'!$C$10)</f>
        <v>566871.65321223426</v>
      </c>
      <c r="AH124" s="29">
        <f>+AG124*(1+'Tax Tables'!$C$10)</f>
        <v>579342.82958290342</v>
      </c>
      <c r="AI124" s="29">
        <f>+AH124*(1+'Tax Tables'!$C$10)</f>
        <v>592088.37183372735</v>
      </c>
      <c r="AJ124" s="29">
        <f>+AI124*(1+'Tax Tables'!$C$10)</f>
        <v>605114.31601406937</v>
      </c>
      <c r="AK124" s="29">
        <f>+AJ124*(1+'Tax Tables'!$C$10)</f>
        <v>618426.83096637891</v>
      </c>
      <c r="AL124" s="29">
        <f>+AK124*(1+'Tax Tables'!$C$10)</f>
        <v>632032.22124763927</v>
      </c>
      <c r="AM124" s="29">
        <f>+AL124*(1+'Tax Tables'!$C$10)</f>
        <v>645936.93011508731</v>
      </c>
      <c r="AN124" s="29">
        <f>+AM124*(1+'Tax Tables'!$C$10)</f>
        <v>660147.5425776192</v>
      </c>
      <c r="AO124" s="29">
        <f>+AN124*(1+'Tax Tables'!$C$10)</f>
        <v>674670.78851432679</v>
      </c>
      <c r="AP124" s="29">
        <f>+AO124*(1+'Tax Tables'!$C$10)</f>
        <v>689513.54586164199</v>
      </c>
      <c r="AQ124" s="29">
        <f>+AP124*(1+'Tax Tables'!$C$10)</f>
        <v>704682.84387059812</v>
      </c>
      <c r="AR124" s="29">
        <f>+AQ124*(1+'Tax Tables'!$C$10)</f>
        <v>720185.86643575132</v>
      </c>
      <c r="AS124" s="29">
        <f>+AR124*(1+'Tax Tables'!$C$10)</f>
        <v>736029.95549733785</v>
      </c>
      <c r="AT124" s="29"/>
    </row>
    <row r="125" spans="3:46" ht="15.6" hidden="1">
      <c r="C125" s="902"/>
      <c r="D125" s="8" t="s">
        <v>1476</v>
      </c>
      <c r="E125" s="226">
        <v>0.33</v>
      </c>
      <c r="F125" s="253">
        <v>0.24</v>
      </c>
      <c r="G125" s="61">
        <f>+F125</f>
        <v>0.24</v>
      </c>
      <c r="H125" s="61">
        <f t="shared" ref="H125:AS125" si="106">+G125</f>
        <v>0.24</v>
      </c>
      <c r="I125" s="61">
        <f t="shared" si="106"/>
        <v>0.24</v>
      </c>
      <c r="J125" s="61">
        <f t="shared" si="106"/>
        <v>0.24</v>
      </c>
      <c r="K125" s="61">
        <f t="shared" si="106"/>
        <v>0.24</v>
      </c>
      <c r="L125" s="61">
        <f t="shared" si="106"/>
        <v>0.24</v>
      </c>
      <c r="M125" s="61">
        <f t="shared" si="106"/>
        <v>0.24</v>
      </c>
      <c r="N125" s="61">
        <f t="shared" si="106"/>
        <v>0.24</v>
      </c>
      <c r="O125" s="61">
        <f t="shared" si="106"/>
        <v>0.24</v>
      </c>
      <c r="P125" s="61">
        <f t="shared" si="106"/>
        <v>0.24</v>
      </c>
      <c r="Q125" s="61">
        <f t="shared" si="106"/>
        <v>0.24</v>
      </c>
      <c r="R125" s="61">
        <f t="shared" si="106"/>
        <v>0.24</v>
      </c>
      <c r="S125" s="61">
        <f t="shared" si="106"/>
        <v>0.24</v>
      </c>
      <c r="T125" s="61">
        <f t="shared" si="106"/>
        <v>0.24</v>
      </c>
      <c r="U125" s="61">
        <f t="shared" si="106"/>
        <v>0.24</v>
      </c>
      <c r="V125" s="61">
        <f t="shared" si="106"/>
        <v>0.24</v>
      </c>
      <c r="W125" s="61">
        <f t="shared" si="106"/>
        <v>0.24</v>
      </c>
      <c r="X125" s="61">
        <f t="shared" si="106"/>
        <v>0.24</v>
      </c>
      <c r="Y125" s="61">
        <f t="shared" si="106"/>
        <v>0.24</v>
      </c>
      <c r="Z125" s="61">
        <f t="shared" si="106"/>
        <v>0.24</v>
      </c>
      <c r="AA125" s="61">
        <f t="shared" si="106"/>
        <v>0.24</v>
      </c>
      <c r="AB125" s="61">
        <f t="shared" si="106"/>
        <v>0.24</v>
      </c>
      <c r="AC125" s="61">
        <f t="shared" si="106"/>
        <v>0.24</v>
      </c>
      <c r="AD125" s="61">
        <f t="shared" si="106"/>
        <v>0.24</v>
      </c>
      <c r="AE125" s="61">
        <f t="shared" si="106"/>
        <v>0.24</v>
      </c>
      <c r="AF125" s="61">
        <f t="shared" si="106"/>
        <v>0.24</v>
      </c>
      <c r="AG125" s="61">
        <f t="shared" si="106"/>
        <v>0.24</v>
      </c>
      <c r="AH125" s="61">
        <f t="shared" si="106"/>
        <v>0.24</v>
      </c>
      <c r="AI125" s="61">
        <f t="shared" si="106"/>
        <v>0.24</v>
      </c>
      <c r="AJ125" s="61">
        <f t="shared" si="106"/>
        <v>0.24</v>
      </c>
      <c r="AK125" s="61">
        <f t="shared" si="106"/>
        <v>0.24</v>
      </c>
      <c r="AL125" s="61">
        <f t="shared" si="106"/>
        <v>0.24</v>
      </c>
      <c r="AM125" s="61">
        <f t="shared" si="106"/>
        <v>0.24</v>
      </c>
      <c r="AN125" s="61">
        <f t="shared" si="106"/>
        <v>0.24</v>
      </c>
      <c r="AO125" s="61">
        <f t="shared" si="106"/>
        <v>0.24</v>
      </c>
      <c r="AP125" s="61">
        <f t="shared" si="106"/>
        <v>0.24</v>
      </c>
      <c r="AQ125" s="61">
        <f t="shared" si="106"/>
        <v>0.24</v>
      </c>
      <c r="AR125" s="61">
        <f t="shared" si="106"/>
        <v>0.24</v>
      </c>
      <c r="AS125" s="61">
        <f t="shared" si="106"/>
        <v>0.24</v>
      </c>
      <c r="AT125" s="29"/>
    </row>
    <row r="126" spans="3:46" hidden="1">
      <c r="C126" s="902"/>
      <c r="D126" s="8" t="s">
        <v>1414</v>
      </c>
      <c r="E126" s="29">
        <f t="shared" ref="E126:AS126" si="107">(+E124-E123)*E125</f>
        <v>57849</v>
      </c>
      <c r="F126" s="29">
        <f t="shared" si="107"/>
        <v>36000</v>
      </c>
      <c r="G126" s="29">
        <f t="shared" si="107"/>
        <v>36792</v>
      </c>
      <c r="H126" s="29">
        <f t="shared" si="107"/>
        <v>37601.423999999999</v>
      </c>
      <c r="I126" s="29">
        <f t="shared" si="107"/>
        <v>38428.655328000001</v>
      </c>
      <c r="J126" s="29">
        <f t="shared" si="107"/>
        <v>39274.085745216005</v>
      </c>
      <c r="K126" s="29">
        <f t="shared" si="107"/>
        <v>40138.115631610759</v>
      </c>
      <c r="L126" s="29">
        <f t="shared" si="107"/>
        <v>41021.154175506199</v>
      </c>
      <c r="M126" s="29">
        <f t="shared" si="107"/>
        <v>41923.619567367336</v>
      </c>
      <c r="N126" s="29">
        <f t="shared" si="107"/>
        <v>42845.939197849417</v>
      </c>
      <c r="O126" s="29">
        <f t="shared" si="107"/>
        <v>43788.549860202096</v>
      </c>
      <c r="P126" s="29">
        <f t="shared" si="107"/>
        <v>44751.897957126544</v>
      </c>
      <c r="Q126" s="29">
        <f t="shared" si="107"/>
        <v>45736.439712183332</v>
      </c>
      <c r="R126" s="29">
        <f t="shared" si="107"/>
        <v>46742.64138585137</v>
      </c>
      <c r="S126" s="29">
        <f t="shared" si="107"/>
        <v>47770.979496340107</v>
      </c>
      <c r="T126" s="29">
        <f t="shared" si="107"/>
        <v>48821.941045259591</v>
      </c>
      <c r="U126" s="29">
        <f t="shared" si="107"/>
        <v>49896.023748255298</v>
      </c>
      <c r="V126" s="29">
        <f t="shared" si="107"/>
        <v>50993.736270716916</v>
      </c>
      <c r="W126" s="29">
        <f t="shared" si="107"/>
        <v>52115.598468672688</v>
      </c>
      <c r="X126" s="29">
        <f t="shared" si="107"/>
        <v>53262.141634983484</v>
      </c>
      <c r="Y126" s="29">
        <f t="shared" si="107"/>
        <v>54433.908750953116</v>
      </c>
      <c r="Z126" s="29">
        <f t="shared" si="107"/>
        <v>55631.454743474089</v>
      </c>
      <c r="AA126" s="29">
        <f t="shared" si="107"/>
        <v>56855.346747830525</v>
      </c>
      <c r="AB126" s="29">
        <f t="shared" si="107"/>
        <v>58106.16437628281</v>
      </c>
      <c r="AC126" s="29">
        <f t="shared" si="107"/>
        <v>59384.499992561032</v>
      </c>
      <c r="AD126" s="29">
        <f t="shared" si="107"/>
        <v>60690.958992397376</v>
      </c>
      <c r="AE126" s="29">
        <f t="shared" si="107"/>
        <v>62026.160090230122</v>
      </c>
      <c r="AF126" s="29">
        <f t="shared" si="107"/>
        <v>63390.735612215198</v>
      </c>
      <c r="AG126" s="29">
        <f t="shared" si="107"/>
        <v>64785.331795683931</v>
      </c>
      <c r="AH126" s="29">
        <f t="shared" si="107"/>
        <v>66210.609095188978</v>
      </c>
      <c r="AI126" s="29">
        <f t="shared" si="107"/>
        <v>67667.24249528315</v>
      </c>
      <c r="AJ126" s="29">
        <f t="shared" si="107"/>
        <v>69155.921830179388</v>
      </c>
      <c r="AK126" s="29">
        <f t="shared" si="107"/>
        <v>70677.352110443331</v>
      </c>
      <c r="AL126" s="29">
        <f t="shared" si="107"/>
        <v>72232.253856873096</v>
      </c>
      <c r="AM126" s="29">
        <f t="shared" si="107"/>
        <v>73821.363441724301</v>
      </c>
      <c r="AN126" s="29">
        <f t="shared" si="107"/>
        <v>75445.433437442232</v>
      </c>
      <c r="AO126" s="29">
        <f t="shared" si="107"/>
        <v>77105.23297306594</v>
      </c>
      <c r="AP126" s="29">
        <f t="shared" si="107"/>
        <v>78801.548098473402</v>
      </c>
      <c r="AQ126" s="29">
        <f t="shared" si="107"/>
        <v>80535.182156639828</v>
      </c>
      <c r="AR126" s="29">
        <f t="shared" si="107"/>
        <v>82306.956164085903</v>
      </c>
      <c r="AS126" s="29">
        <f t="shared" si="107"/>
        <v>84117.70919969579</v>
      </c>
      <c r="AT126" s="61"/>
    </row>
    <row r="127" spans="3:46" hidden="1">
      <c r="C127" s="909"/>
      <c r="D127" s="8"/>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row>
    <row r="128" spans="3:46" hidden="1">
      <c r="C128" s="902"/>
      <c r="D128" s="8" t="s">
        <v>1474</v>
      </c>
      <c r="E128" s="29">
        <f>+E124</f>
        <v>398350</v>
      </c>
      <c r="F128" s="29">
        <f>+F124</f>
        <v>315000</v>
      </c>
      <c r="G128" s="29">
        <f>+F128*(1+'Tax Tables'!$C$10)</f>
        <v>321930</v>
      </c>
      <c r="H128" s="29">
        <f>+G128*(1+'Tax Tables'!$C$10)</f>
        <v>329012.46000000002</v>
      </c>
      <c r="I128" s="29">
        <f>+H128*(1+'Tax Tables'!$C$10)</f>
        <v>336250.73412000004</v>
      </c>
      <c r="J128" s="29">
        <f>+I128*(1+'Tax Tables'!$C$10)</f>
        <v>343648.25027064007</v>
      </c>
      <c r="K128" s="29">
        <f>+J128*(1+'Tax Tables'!$C$10)</f>
        <v>351208.51177659415</v>
      </c>
      <c r="L128" s="29">
        <f>+K128*(1+'Tax Tables'!$C$10)</f>
        <v>358935.09903567925</v>
      </c>
      <c r="M128" s="29">
        <f>+L128*(1+'Tax Tables'!$C$10)</f>
        <v>366831.67121446418</v>
      </c>
      <c r="N128" s="29">
        <f>+M128*(1+'Tax Tables'!$C$10)</f>
        <v>374901.96798118239</v>
      </c>
      <c r="O128" s="29">
        <f>+N128*(1+'Tax Tables'!$C$10)</f>
        <v>383149.81127676839</v>
      </c>
      <c r="P128" s="29">
        <f>+O128*(1+'Tax Tables'!$C$10)</f>
        <v>391579.10712485731</v>
      </c>
      <c r="Q128" s="29">
        <f>+P128*(1+'Tax Tables'!$C$10)</f>
        <v>400193.8474816042</v>
      </c>
      <c r="R128" s="29">
        <f>+Q128*(1+'Tax Tables'!$C$10)</f>
        <v>408998.11212619953</v>
      </c>
      <c r="S128" s="29">
        <f>+R128*(1+'Tax Tables'!$C$10)</f>
        <v>417996.07059297594</v>
      </c>
      <c r="T128" s="29">
        <f>+S128*(1+'Tax Tables'!$C$10)</f>
        <v>427191.98414602142</v>
      </c>
      <c r="U128" s="29">
        <f>+T128*(1+'Tax Tables'!$C$10)</f>
        <v>436590.20779723389</v>
      </c>
      <c r="V128" s="29">
        <f>+U128*(1+'Tax Tables'!$C$10)</f>
        <v>446195.19236877305</v>
      </c>
      <c r="W128" s="29">
        <f>+V128*(1+'Tax Tables'!$C$10)</f>
        <v>456011.48660088604</v>
      </c>
      <c r="X128" s="29">
        <f>+W128*(1+'Tax Tables'!$C$10)</f>
        <v>466043.73930610553</v>
      </c>
      <c r="Y128" s="29">
        <f>+X128*(1+'Tax Tables'!$C$10)</f>
        <v>476296.70157083985</v>
      </c>
      <c r="Z128" s="29">
        <f>+Y128*(1+'Tax Tables'!$C$10)</f>
        <v>486775.22900539835</v>
      </c>
      <c r="AA128" s="29">
        <f>+Z128*(1+'Tax Tables'!$C$10)</f>
        <v>497484.28404351714</v>
      </c>
      <c r="AB128" s="29">
        <f>+AA128*(1+'Tax Tables'!$C$10)</f>
        <v>508428.93829247454</v>
      </c>
      <c r="AC128" s="29">
        <f>+AB128*(1+'Tax Tables'!$C$10)</f>
        <v>519614.37493490899</v>
      </c>
      <c r="AD128" s="29">
        <f>+AC128*(1+'Tax Tables'!$C$10)</f>
        <v>531045.89118347701</v>
      </c>
      <c r="AE128" s="29">
        <f>+AD128*(1+'Tax Tables'!$C$10)</f>
        <v>542728.90078951349</v>
      </c>
      <c r="AF128" s="29">
        <f>+AE128*(1+'Tax Tables'!$C$10)</f>
        <v>554668.93660688284</v>
      </c>
      <c r="AG128" s="29">
        <f>+AF128*(1+'Tax Tables'!$C$10)</f>
        <v>566871.65321223426</v>
      </c>
      <c r="AH128" s="29">
        <f>+AG128*(1+'Tax Tables'!$C$10)</f>
        <v>579342.82958290342</v>
      </c>
      <c r="AI128" s="29">
        <f>+AH128*(1+'Tax Tables'!$C$10)</f>
        <v>592088.37183372735</v>
      </c>
      <c r="AJ128" s="29">
        <f>+AI128*(1+'Tax Tables'!$C$10)</f>
        <v>605114.31601406937</v>
      </c>
      <c r="AK128" s="29">
        <f>+AJ128*(1+'Tax Tables'!$C$10)</f>
        <v>618426.83096637891</v>
      </c>
      <c r="AL128" s="29">
        <f>+AK128*(1+'Tax Tables'!$C$10)</f>
        <v>632032.22124763927</v>
      </c>
      <c r="AM128" s="29">
        <f>+AL128*(1+'Tax Tables'!$C$10)</f>
        <v>645936.93011508731</v>
      </c>
      <c r="AN128" s="29">
        <f>+AM128*(1+'Tax Tables'!$C$10)</f>
        <v>660147.5425776192</v>
      </c>
      <c r="AO128" s="29">
        <f>+AN128*(1+'Tax Tables'!$C$10)</f>
        <v>674670.78851432679</v>
      </c>
      <c r="AP128" s="29">
        <f>+AO128*(1+'Tax Tables'!$C$10)</f>
        <v>689513.54586164199</v>
      </c>
      <c r="AQ128" s="29">
        <f>+AP128*(1+'Tax Tables'!$C$10)</f>
        <v>704682.84387059812</v>
      </c>
      <c r="AR128" s="29">
        <f>+AQ128*(1+'Tax Tables'!$C$10)</f>
        <v>720185.86643575132</v>
      </c>
      <c r="AS128" s="29">
        <f>+AR128*(1+'Tax Tables'!$C$10)</f>
        <v>736029.95549733785</v>
      </c>
      <c r="AT128" s="29"/>
    </row>
    <row r="129" spans="2:47" ht="15.6" hidden="1">
      <c r="C129" s="902"/>
      <c r="D129" s="8" t="s">
        <v>1475</v>
      </c>
      <c r="E129" s="225">
        <v>450000</v>
      </c>
      <c r="F129" s="252">
        <v>400000</v>
      </c>
      <c r="G129" s="29">
        <f>+F129*(1+'Tax Tables'!$C$10)</f>
        <v>408800</v>
      </c>
      <c r="H129" s="29">
        <f>+G129*(1+'Tax Tables'!$C$10)</f>
        <v>417793.60000000003</v>
      </c>
      <c r="I129" s="29">
        <f>+H129*(1+'Tax Tables'!$C$10)</f>
        <v>426985.05920000002</v>
      </c>
      <c r="J129" s="29">
        <f>+I129*(1+'Tax Tables'!$C$10)</f>
        <v>436378.73050240002</v>
      </c>
      <c r="K129" s="29">
        <f>+J129*(1+'Tax Tables'!$C$10)</f>
        <v>445979.06257345283</v>
      </c>
      <c r="L129" s="29">
        <f>+K129*(1+'Tax Tables'!$C$10)</f>
        <v>455790.60195006878</v>
      </c>
      <c r="M129" s="29">
        <f>+L129*(1+'Tax Tables'!$C$10)</f>
        <v>465817.99519297032</v>
      </c>
      <c r="N129" s="29">
        <f>+M129*(1+'Tax Tables'!$C$10)</f>
        <v>476065.99108721566</v>
      </c>
      <c r="O129" s="29">
        <f>+N129*(1+'Tax Tables'!$C$10)</f>
        <v>486539.44289113441</v>
      </c>
      <c r="P129" s="29">
        <f>+O129*(1+'Tax Tables'!$C$10)</f>
        <v>497243.31063473941</v>
      </c>
      <c r="Q129" s="29">
        <f>+P129*(1+'Tax Tables'!$C$10)</f>
        <v>508182.66346870369</v>
      </c>
      <c r="R129" s="29">
        <f>+Q129*(1+'Tax Tables'!$C$10)</f>
        <v>519362.68206501519</v>
      </c>
      <c r="S129" s="29">
        <f>+R129*(1+'Tax Tables'!$C$10)</f>
        <v>530788.66107044555</v>
      </c>
      <c r="T129" s="29">
        <f>+S129*(1+'Tax Tables'!$C$10)</f>
        <v>542466.01161399542</v>
      </c>
      <c r="U129" s="29">
        <f>+T129*(1+'Tax Tables'!$C$10)</f>
        <v>554400.26386950328</v>
      </c>
      <c r="V129" s="29">
        <f>+U129*(1+'Tax Tables'!$C$10)</f>
        <v>566597.0696746324</v>
      </c>
      <c r="W129" s="29">
        <f>+V129*(1+'Tax Tables'!$C$10)</f>
        <v>579062.2052074743</v>
      </c>
      <c r="X129" s="29">
        <f>+W129*(1+'Tax Tables'!$C$10)</f>
        <v>591801.57372203877</v>
      </c>
      <c r="Y129" s="29">
        <f>+X129*(1+'Tax Tables'!$C$10)</f>
        <v>604821.20834392367</v>
      </c>
      <c r="Z129" s="29">
        <f>+Y129*(1+'Tax Tables'!$C$10)</f>
        <v>618127.27492749004</v>
      </c>
      <c r="AA129" s="29">
        <f>+Z129*(1+'Tax Tables'!$C$10)</f>
        <v>631726.07497589488</v>
      </c>
      <c r="AB129" s="29">
        <f>+AA129*(1+'Tax Tables'!$C$10)</f>
        <v>645624.04862536455</v>
      </c>
      <c r="AC129" s="29">
        <f>+AB129*(1+'Tax Tables'!$C$10)</f>
        <v>659827.77769512264</v>
      </c>
      <c r="AD129" s="29">
        <f>+AC129*(1+'Tax Tables'!$C$10)</f>
        <v>674343.98880441533</v>
      </c>
      <c r="AE129" s="29">
        <f>+AD129*(1+'Tax Tables'!$C$10)</f>
        <v>689179.5565581125</v>
      </c>
      <c r="AF129" s="29">
        <f>+AE129*(1+'Tax Tables'!$C$10)</f>
        <v>704341.50680239103</v>
      </c>
      <c r="AG129" s="29">
        <f>+AF129*(1+'Tax Tables'!$C$10)</f>
        <v>719837.01995204366</v>
      </c>
      <c r="AH129" s="29">
        <f>+AG129*(1+'Tax Tables'!$C$10)</f>
        <v>735673.43439098867</v>
      </c>
      <c r="AI129" s="29">
        <f>+AH129*(1+'Tax Tables'!$C$10)</f>
        <v>751858.2499475904</v>
      </c>
      <c r="AJ129" s="29">
        <f>+AI129*(1+'Tax Tables'!$C$10)</f>
        <v>768399.13144643744</v>
      </c>
      <c r="AK129" s="29">
        <f>+AJ129*(1+'Tax Tables'!$C$10)</f>
        <v>785303.91233825905</v>
      </c>
      <c r="AL129" s="29">
        <f>+AK129*(1+'Tax Tables'!$C$10)</f>
        <v>802580.59840970079</v>
      </c>
      <c r="AM129" s="29">
        <f>+AL129*(1+'Tax Tables'!$C$10)</f>
        <v>820237.3715747142</v>
      </c>
      <c r="AN129" s="29">
        <f>+AM129*(1+'Tax Tables'!$C$10)</f>
        <v>838282.59374935797</v>
      </c>
      <c r="AO129" s="29">
        <f>+AN129*(1+'Tax Tables'!$C$10)</f>
        <v>856724.81081184384</v>
      </c>
      <c r="AP129" s="29">
        <f>+AO129*(1+'Tax Tables'!$C$10)</f>
        <v>875572.75664970442</v>
      </c>
      <c r="AQ129" s="29">
        <f>+AP129*(1+'Tax Tables'!$C$10)</f>
        <v>894835.35729599791</v>
      </c>
      <c r="AR129" s="29">
        <f>+AQ129*(1+'Tax Tables'!$C$10)</f>
        <v>914521.73515650991</v>
      </c>
      <c r="AS129" s="29">
        <f>+AR129*(1+'Tax Tables'!$C$10)</f>
        <v>934641.21332995314</v>
      </c>
      <c r="AT129" s="29"/>
    </row>
    <row r="130" spans="2:47" ht="15.6" hidden="1">
      <c r="C130" s="902"/>
      <c r="D130" s="8" t="s">
        <v>1476</v>
      </c>
      <c r="E130" s="226">
        <v>0.35</v>
      </c>
      <c r="F130" s="253">
        <v>0.32</v>
      </c>
      <c r="G130" s="61">
        <f>+F130</f>
        <v>0.32</v>
      </c>
      <c r="H130" s="61">
        <f t="shared" ref="H130:AS130" si="108">+G130</f>
        <v>0.32</v>
      </c>
      <c r="I130" s="61">
        <f t="shared" si="108"/>
        <v>0.32</v>
      </c>
      <c r="J130" s="61">
        <f t="shared" si="108"/>
        <v>0.32</v>
      </c>
      <c r="K130" s="61">
        <f t="shared" si="108"/>
        <v>0.32</v>
      </c>
      <c r="L130" s="61">
        <f t="shared" si="108"/>
        <v>0.32</v>
      </c>
      <c r="M130" s="61">
        <f t="shared" si="108"/>
        <v>0.32</v>
      </c>
      <c r="N130" s="61">
        <f t="shared" si="108"/>
        <v>0.32</v>
      </c>
      <c r="O130" s="61">
        <f t="shared" si="108"/>
        <v>0.32</v>
      </c>
      <c r="P130" s="61">
        <f t="shared" si="108"/>
        <v>0.32</v>
      </c>
      <c r="Q130" s="61">
        <f t="shared" si="108"/>
        <v>0.32</v>
      </c>
      <c r="R130" s="61">
        <f t="shared" si="108"/>
        <v>0.32</v>
      </c>
      <c r="S130" s="61">
        <f t="shared" si="108"/>
        <v>0.32</v>
      </c>
      <c r="T130" s="61">
        <f t="shared" si="108"/>
        <v>0.32</v>
      </c>
      <c r="U130" s="61">
        <f t="shared" si="108"/>
        <v>0.32</v>
      </c>
      <c r="V130" s="61">
        <f t="shared" si="108"/>
        <v>0.32</v>
      </c>
      <c r="W130" s="61">
        <f t="shared" si="108"/>
        <v>0.32</v>
      </c>
      <c r="X130" s="61">
        <f t="shared" si="108"/>
        <v>0.32</v>
      </c>
      <c r="Y130" s="61">
        <f t="shared" si="108"/>
        <v>0.32</v>
      </c>
      <c r="Z130" s="61">
        <f t="shared" si="108"/>
        <v>0.32</v>
      </c>
      <c r="AA130" s="61">
        <f t="shared" si="108"/>
        <v>0.32</v>
      </c>
      <c r="AB130" s="61">
        <f t="shared" si="108"/>
        <v>0.32</v>
      </c>
      <c r="AC130" s="61">
        <f t="shared" si="108"/>
        <v>0.32</v>
      </c>
      <c r="AD130" s="61">
        <f t="shared" si="108"/>
        <v>0.32</v>
      </c>
      <c r="AE130" s="61">
        <f t="shared" si="108"/>
        <v>0.32</v>
      </c>
      <c r="AF130" s="61">
        <f t="shared" si="108"/>
        <v>0.32</v>
      </c>
      <c r="AG130" s="61">
        <f t="shared" si="108"/>
        <v>0.32</v>
      </c>
      <c r="AH130" s="61">
        <f t="shared" si="108"/>
        <v>0.32</v>
      </c>
      <c r="AI130" s="61">
        <f t="shared" si="108"/>
        <v>0.32</v>
      </c>
      <c r="AJ130" s="61">
        <f t="shared" si="108"/>
        <v>0.32</v>
      </c>
      <c r="AK130" s="61">
        <f t="shared" si="108"/>
        <v>0.32</v>
      </c>
      <c r="AL130" s="61">
        <f t="shared" si="108"/>
        <v>0.32</v>
      </c>
      <c r="AM130" s="61">
        <f t="shared" si="108"/>
        <v>0.32</v>
      </c>
      <c r="AN130" s="61">
        <f t="shared" si="108"/>
        <v>0.32</v>
      </c>
      <c r="AO130" s="61">
        <f t="shared" si="108"/>
        <v>0.32</v>
      </c>
      <c r="AP130" s="61">
        <f t="shared" si="108"/>
        <v>0.32</v>
      </c>
      <c r="AQ130" s="61">
        <f t="shared" si="108"/>
        <v>0.32</v>
      </c>
      <c r="AR130" s="61">
        <f t="shared" si="108"/>
        <v>0.32</v>
      </c>
      <c r="AS130" s="61">
        <f t="shared" si="108"/>
        <v>0.32</v>
      </c>
      <c r="AT130" s="29"/>
    </row>
    <row r="131" spans="2:47" hidden="1">
      <c r="C131" s="902"/>
      <c r="D131" s="8" t="s">
        <v>1414</v>
      </c>
      <c r="E131" s="29">
        <f t="shared" ref="E131:AS131" si="109">(+E129-E128)*E130</f>
        <v>18077.5</v>
      </c>
      <c r="F131" s="29">
        <f t="shared" si="109"/>
        <v>27200</v>
      </c>
      <c r="G131" s="29">
        <f t="shared" si="109"/>
        <v>27798.400000000001</v>
      </c>
      <c r="H131" s="29">
        <f t="shared" si="109"/>
        <v>28409.964800000005</v>
      </c>
      <c r="I131" s="29">
        <f t="shared" si="109"/>
        <v>29034.984025599995</v>
      </c>
      <c r="J131" s="29">
        <f t="shared" si="109"/>
        <v>29673.753674163185</v>
      </c>
      <c r="K131" s="29">
        <f t="shared" si="109"/>
        <v>30326.576254994776</v>
      </c>
      <c r="L131" s="29">
        <f t="shared" si="109"/>
        <v>30993.760932604651</v>
      </c>
      <c r="M131" s="29">
        <f t="shared" si="109"/>
        <v>31675.623673121969</v>
      </c>
      <c r="N131" s="29">
        <f t="shared" si="109"/>
        <v>32372.487393930649</v>
      </c>
      <c r="O131" s="29">
        <f t="shared" si="109"/>
        <v>33084.682116597127</v>
      </c>
      <c r="P131" s="29">
        <f t="shared" si="109"/>
        <v>33812.545123162272</v>
      </c>
      <c r="Q131" s="29">
        <f t="shared" si="109"/>
        <v>34556.421115871839</v>
      </c>
      <c r="R131" s="29">
        <f t="shared" si="109"/>
        <v>35316.66238042101</v>
      </c>
      <c r="S131" s="29">
        <f t="shared" si="109"/>
        <v>36093.628952790277</v>
      </c>
      <c r="T131" s="29">
        <f t="shared" si="109"/>
        <v>36887.688789751679</v>
      </c>
      <c r="U131" s="29">
        <f t="shared" si="109"/>
        <v>37699.217943126205</v>
      </c>
      <c r="V131" s="29">
        <f t="shared" si="109"/>
        <v>38528.600737874993</v>
      </c>
      <c r="W131" s="29">
        <f t="shared" si="109"/>
        <v>39376.229954108239</v>
      </c>
      <c r="X131" s="29">
        <f t="shared" si="109"/>
        <v>40242.507013098635</v>
      </c>
      <c r="Y131" s="29">
        <f t="shared" si="109"/>
        <v>41127.842167386822</v>
      </c>
      <c r="Z131" s="29">
        <f t="shared" si="109"/>
        <v>42032.654695069345</v>
      </c>
      <c r="AA131" s="29">
        <f t="shared" si="109"/>
        <v>42957.373098360877</v>
      </c>
      <c r="AB131" s="29">
        <f t="shared" si="109"/>
        <v>43902.4353065248</v>
      </c>
      <c r="AC131" s="29">
        <f t="shared" si="109"/>
        <v>44868.288883268367</v>
      </c>
      <c r="AD131" s="29">
        <f t="shared" si="109"/>
        <v>45855.391238700264</v>
      </c>
      <c r="AE131" s="29">
        <f t="shared" si="109"/>
        <v>46864.209845951686</v>
      </c>
      <c r="AF131" s="29">
        <f t="shared" si="109"/>
        <v>47895.222462562619</v>
      </c>
      <c r="AG131" s="29">
        <f t="shared" si="109"/>
        <v>48948.91735673901</v>
      </c>
      <c r="AH131" s="29">
        <f t="shared" si="109"/>
        <v>50025.793538587284</v>
      </c>
      <c r="AI131" s="29">
        <f t="shared" si="109"/>
        <v>51126.360996436182</v>
      </c>
      <c r="AJ131" s="29">
        <f t="shared" si="109"/>
        <v>52251.140938357785</v>
      </c>
      <c r="AK131" s="29">
        <f t="shared" si="109"/>
        <v>53400.666039001648</v>
      </c>
      <c r="AL131" s="29">
        <f t="shared" si="109"/>
        <v>54575.480691859688</v>
      </c>
      <c r="AM131" s="29">
        <f t="shared" si="109"/>
        <v>55776.141267080609</v>
      </c>
      <c r="AN131" s="29">
        <f t="shared" si="109"/>
        <v>57003.216374956406</v>
      </c>
      <c r="AO131" s="29">
        <f t="shared" si="109"/>
        <v>58257.287135205457</v>
      </c>
      <c r="AP131" s="29">
        <f t="shared" si="109"/>
        <v>59538.947452179978</v>
      </c>
      <c r="AQ131" s="29">
        <f t="shared" si="109"/>
        <v>60848.804296127928</v>
      </c>
      <c r="AR131" s="29">
        <f t="shared" si="109"/>
        <v>62187.47799064275</v>
      </c>
      <c r="AS131" s="29">
        <f t="shared" si="109"/>
        <v>63555.602506436895</v>
      </c>
      <c r="AT131" s="61"/>
    </row>
    <row r="132" spans="2:47" hidden="1">
      <c r="C132" s="909"/>
      <c r="D132" s="8"/>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row>
    <row r="133" spans="2:47" hidden="1">
      <c r="C133" s="902"/>
      <c r="D133" s="8" t="s">
        <v>1474</v>
      </c>
      <c r="E133" s="29">
        <f>+E124</f>
        <v>398350</v>
      </c>
      <c r="F133" s="29">
        <f>+F129</f>
        <v>400000</v>
      </c>
      <c r="G133" s="29">
        <f>+F133*(1+'Tax Tables'!$C$10)</f>
        <v>408800</v>
      </c>
      <c r="H133" s="29">
        <f>+G133*(1+'Tax Tables'!$C$10)</f>
        <v>417793.60000000003</v>
      </c>
      <c r="I133" s="29">
        <f>+H133*(1+'Tax Tables'!$C$10)</f>
        <v>426985.05920000002</v>
      </c>
      <c r="J133" s="29">
        <f>+I133*(1+'Tax Tables'!$C$10)</f>
        <v>436378.73050240002</v>
      </c>
      <c r="K133" s="29">
        <f>+J133*(1+'Tax Tables'!$C$10)</f>
        <v>445979.06257345283</v>
      </c>
      <c r="L133" s="29">
        <f>+K133*(1+'Tax Tables'!$C$10)</f>
        <v>455790.60195006878</v>
      </c>
      <c r="M133" s="29">
        <f>+L133*(1+'Tax Tables'!$C$10)</f>
        <v>465817.99519297032</v>
      </c>
      <c r="N133" s="29">
        <f>+M133*(1+'Tax Tables'!$C$10)</f>
        <v>476065.99108721566</v>
      </c>
      <c r="O133" s="29">
        <f>+N133*(1+'Tax Tables'!$C$10)</f>
        <v>486539.44289113441</v>
      </c>
      <c r="P133" s="29">
        <f>+O133*(1+'Tax Tables'!$C$10)</f>
        <v>497243.31063473941</v>
      </c>
      <c r="Q133" s="29">
        <f>+P133*(1+'Tax Tables'!$C$10)</f>
        <v>508182.66346870369</v>
      </c>
      <c r="R133" s="29">
        <f>+Q133*(1+'Tax Tables'!$C$10)</f>
        <v>519362.68206501519</v>
      </c>
      <c r="S133" s="29">
        <f>+R133*(1+'Tax Tables'!$C$10)</f>
        <v>530788.66107044555</v>
      </c>
      <c r="T133" s="29">
        <f>+S133*(1+'Tax Tables'!$C$10)</f>
        <v>542466.01161399542</v>
      </c>
      <c r="U133" s="29">
        <f>+T133*(1+'Tax Tables'!$C$10)</f>
        <v>554400.26386950328</v>
      </c>
      <c r="V133" s="29">
        <f>+U133*(1+'Tax Tables'!$C$10)</f>
        <v>566597.0696746324</v>
      </c>
      <c r="W133" s="29">
        <f>+V133*(1+'Tax Tables'!$C$10)</f>
        <v>579062.2052074743</v>
      </c>
      <c r="X133" s="29">
        <f>+W133*(1+'Tax Tables'!$C$10)</f>
        <v>591801.57372203877</v>
      </c>
      <c r="Y133" s="29">
        <f>+X133*(1+'Tax Tables'!$C$10)</f>
        <v>604821.20834392367</v>
      </c>
      <c r="Z133" s="29">
        <f>+Y133*(1+'Tax Tables'!$C$10)</f>
        <v>618127.27492749004</v>
      </c>
      <c r="AA133" s="29">
        <f>+Z133*(1+'Tax Tables'!$C$10)</f>
        <v>631726.07497589488</v>
      </c>
      <c r="AB133" s="29">
        <f>+AA133*(1+'Tax Tables'!$C$10)</f>
        <v>645624.04862536455</v>
      </c>
      <c r="AC133" s="29">
        <f>+AB133*(1+'Tax Tables'!$C$10)</f>
        <v>659827.77769512264</v>
      </c>
      <c r="AD133" s="29">
        <f>+AC133*(1+'Tax Tables'!$C$10)</f>
        <v>674343.98880441533</v>
      </c>
      <c r="AE133" s="29">
        <f>+AD133*(1+'Tax Tables'!$C$10)</f>
        <v>689179.5565581125</v>
      </c>
      <c r="AF133" s="29">
        <f>+AE133*(1+'Tax Tables'!$C$10)</f>
        <v>704341.50680239103</v>
      </c>
      <c r="AG133" s="29">
        <f>+AF133*(1+'Tax Tables'!$C$10)</f>
        <v>719837.01995204366</v>
      </c>
      <c r="AH133" s="29">
        <f>+AG133*(1+'Tax Tables'!$C$10)</f>
        <v>735673.43439098867</v>
      </c>
      <c r="AI133" s="29">
        <f>+AH133*(1+'Tax Tables'!$C$10)</f>
        <v>751858.2499475904</v>
      </c>
      <c r="AJ133" s="29">
        <f>+AI133*(1+'Tax Tables'!$C$10)</f>
        <v>768399.13144643744</v>
      </c>
      <c r="AK133" s="29">
        <f>+AJ133*(1+'Tax Tables'!$C$10)</f>
        <v>785303.91233825905</v>
      </c>
      <c r="AL133" s="29">
        <f>+AK133*(1+'Tax Tables'!$C$10)</f>
        <v>802580.59840970079</v>
      </c>
      <c r="AM133" s="29">
        <f>+AL133*(1+'Tax Tables'!$C$10)</f>
        <v>820237.3715747142</v>
      </c>
      <c r="AN133" s="29">
        <f>+AM133*(1+'Tax Tables'!$C$10)</f>
        <v>838282.59374935797</v>
      </c>
      <c r="AO133" s="29">
        <f>+AN133*(1+'Tax Tables'!$C$10)</f>
        <v>856724.81081184384</v>
      </c>
      <c r="AP133" s="29">
        <f>+AO133*(1+'Tax Tables'!$C$10)</f>
        <v>875572.75664970442</v>
      </c>
      <c r="AQ133" s="29">
        <f>+AP133*(1+'Tax Tables'!$C$10)</f>
        <v>894835.35729599791</v>
      </c>
      <c r="AR133" s="29">
        <f>+AQ133*(1+'Tax Tables'!$C$10)</f>
        <v>914521.73515650991</v>
      </c>
      <c r="AS133" s="29">
        <f>+AR133*(1+'Tax Tables'!$C$10)</f>
        <v>934641.21332995314</v>
      </c>
      <c r="AT133" s="29"/>
    </row>
    <row r="134" spans="2:47" ht="15.6" hidden="1">
      <c r="C134" s="902"/>
      <c r="D134" s="8" t="s">
        <v>1476</v>
      </c>
      <c r="E134" s="227">
        <v>0.39600000000000002</v>
      </c>
      <c r="F134" s="254">
        <v>0.35</v>
      </c>
      <c r="G134" s="61">
        <f>+F134</f>
        <v>0.35</v>
      </c>
      <c r="H134" s="61">
        <f t="shared" ref="H134:AS134" si="110">+G134</f>
        <v>0.35</v>
      </c>
      <c r="I134" s="61">
        <f t="shared" si="110"/>
        <v>0.35</v>
      </c>
      <c r="J134" s="61">
        <f t="shared" si="110"/>
        <v>0.35</v>
      </c>
      <c r="K134" s="61">
        <f t="shared" si="110"/>
        <v>0.35</v>
      </c>
      <c r="L134" s="61">
        <f t="shared" si="110"/>
        <v>0.35</v>
      </c>
      <c r="M134" s="61">
        <f t="shared" si="110"/>
        <v>0.35</v>
      </c>
      <c r="N134" s="61">
        <f t="shared" si="110"/>
        <v>0.35</v>
      </c>
      <c r="O134" s="61">
        <f t="shared" si="110"/>
        <v>0.35</v>
      </c>
      <c r="P134" s="61">
        <f t="shared" si="110"/>
        <v>0.35</v>
      </c>
      <c r="Q134" s="61">
        <f t="shared" si="110"/>
        <v>0.35</v>
      </c>
      <c r="R134" s="61">
        <f t="shared" si="110"/>
        <v>0.35</v>
      </c>
      <c r="S134" s="61">
        <f t="shared" si="110"/>
        <v>0.35</v>
      </c>
      <c r="T134" s="61">
        <f t="shared" si="110"/>
        <v>0.35</v>
      </c>
      <c r="U134" s="61">
        <f t="shared" si="110"/>
        <v>0.35</v>
      </c>
      <c r="V134" s="61">
        <f t="shared" si="110"/>
        <v>0.35</v>
      </c>
      <c r="W134" s="61">
        <f t="shared" si="110"/>
        <v>0.35</v>
      </c>
      <c r="X134" s="61">
        <f t="shared" si="110"/>
        <v>0.35</v>
      </c>
      <c r="Y134" s="61">
        <f t="shared" si="110"/>
        <v>0.35</v>
      </c>
      <c r="Z134" s="61">
        <f t="shared" si="110"/>
        <v>0.35</v>
      </c>
      <c r="AA134" s="61">
        <f t="shared" si="110"/>
        <v>0.35</v>
      </c>
      <c r="AB134" s="61">
        <f t="shared" si="110"/>
        <v>0.35</v>
      </c>
      <c r="AC134" s="61">
        <f t="shared" si="110"/>
        <v>0.35</v>
      </c>
      <c r="AD134" s="61">
        <f t="shared" si="110"/>
        <v>0.35</v>
      </c>
      <c r="AE134" s="61">
        <f t="shared" si="110"/>
        <v>0.35</v>
      </c>
      <c r="AF134" s="61">
        <f t="shared" si="110"/>
        <v>0.35</v>
      </c>
      <c r="AG134" s="61">
        <f t="shared" si="110"/>
        <v>0.35</v>
      </c>
      <c r="AH134" s="61">
        <f t="shared" si="110"/>
        <v>0.35</v>
      </c>
      <c r="AI134" s="61">
        <f t="shared" si="110"/>
        <v>0.35</v>
      </c>
      <c r="AJ134" s="61">
        <f t="shared" si="110"/>
        <v>0.35</v>
      </c>
      <c r="AK134" s="61">
        <f t="shared" si="110"/>
        <v>0.35</v>
      </c>
      <c r="AL134" s="61">
        <f t="shared" si="110"/>
        <v>0.35</v>
      </c>
      <c r="AM134" s="61">
        <f t="shared" si="110"/>
        <v>0.35</v>
      </c>
      <c r="AN134" s="61">
        <f t="shared" si="110"/>
        <v>0.35</v>
      </c>
      <c r="AO134" s="61">
        <f t="shared" si="110"/>
        <v>0.35</v>
      </c>
      <c r="AP134" s="61">
        <f t="shared" si="110"/>
        <v>0.35</v>
      </c>
      <c r="AQ134" s="61">
        <f t="shared" si="110"/>
        <v>0.35</v>
      </c>
      <c r="AR134" s="61">
        <f t="shared" si="110"/>
        <v>0.35</v>
      </c>
      <c r="AS134" s="61">
        <f t="shared" si="110"/>
        <v>0.35</v>
      </c>
      <c r="AT134" s="29"/>
    </row>
    <row r="135" spans="2:47" ht="15.6">
      <c r="B135" s="319" t="s">
        <v>1261</v>
      </c>
      <c r="AT135" s="61"/>
      <c r="AU135" s="1398" t="s">
        <v>1778</v>
      </c>
    </row>
    <row r="136" spans="2:47" ht="16.95" customHeight="1">
      <c r="C136" s="233" t="s">
        <v>1981</v>
      </c>
      <c r="D136" s="232"/>
      <c r="E136" s="705"/>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1398" t="s">
        <v>1779</v>
      </c>
    </row>
    <row r="137" spans="2:47" ht="18" thickBot="1">
      <c r="B137" s="866" t="s">
        <v>1050</v>
      </c>
      <c r="C137" s="529">
        <f>+Tax_Yr_P</f>
        <v>2018</v>
      </c>
      <c r="D137" s="529">
        <f>+Tax_Yr_C</f>
        <v>2019</v>
      </c>
      <c r="E137" s="706" t="str">
        <f>"Memo " &amp; Tax_Rates_Year-1</f>
        <v>Memo 2018</v>
      </c>
      <c r="F137" s="1386" t="s">
        <v>1766</v>
      </c>
      <c r="G137" s="678" t="str">
        <f>IF(Tax_Rates_Alt="y",IF(Setup!$F$233='Tax Tables'!G$1,"Rate Chg","."),".")</f>
        <v>.</v>
      </c>
      <c r="H137" s="678" t="str">
        <f>IF(Tax_Rates_Alt="y",IF(Setup!$F$233='Tax Tables'!H$1,"Rate Chg","."),".")</f>
        <v>.</v>
      </c>
      <c r="I137" s="678" t="str">
        <f>IF(Tax_Rates_Alt="y",IF(Setup!$F$233='Tax Tables'!I$1,"Rate Chg","."),".")</f>
        <v>.</v>
      </c>
      <c r="J137" s="678" t="str">
        <f>IF(Tax_Rates_Alt="y",IF(Setup!$F$233='Tax Tables'!J$1,"Rate Chg","."),".")</f>
        <v>.</v>
      </c>
      <c r="K137" s="678" t="str">
        <f>IF(Tax_Rates_Alt="y",IF(Setup!$F$233='Tax Tables'!K$1,"Rate Chg","."),".")</f>
        <v>.</v>
      </c>
      <c r="L137" s="678" t="str">
        <f>IF(Tax_Rates_Alt="y",IF(Setup!$F$233='Tax Tables'!L$1,"Rate Chg","."),".")</f>
        <v>.</v>
      </c>
      <c r="M137" s="678" t="str">
        <f>IF(Tax_Rates_Alt="y",IF(Setup!$F$233='Tax Tables'!M$1,"Rate Chg","."),".")</f>
        <v>.</v>
      </c>
      <c r="N137" s="678" t="str">
        <f>IF(Tax_Rates_Alt="y",IF(Setup!$F$233='Tax Tables'!N$1,"Rate Chg","."),".")</f>
        <v>.</v>
      </c>
      <c r="O137" s="678" t="str">
        <f>IF(Tax_Rates_Alt="y",IF(Setup!$F$233='Tax Tables'!O$1,"Rate Chg","."),".")</f>
        <v>.</v>
      </c>
      <c r="P137" s="678" t="str">
        <f>IF(Tax_Rates_Alt="y",IF(Setup!$F$233='Tax Tables'!P$1,"Rate Chg","."),".")</f>
        <v>.</v>
      </c>
      <c r="Q137" s="678" t="str">
        <f>IF(Tax_Rates_Alt="y",IF(Setup!$F$233='Tax Tables'!Q$1,"Rate Chg","."),".")</f>
        <v>.</v>
      </c>
      <c r="R137" s="678" t="str">
        <f>IF(Tax_Rates_Alt="y",IF(Setup!$F$233='Tax Tables'!R$1,"Rate Chg","."),".")</f>
        <v>.</v>
      </c>
      <c r="S137" s="678" t="str">
        <f>IF(Tax_Rates_Alt="y",IF(Setup!$F$233='Tax Tables'!S$1,"Rate Chg","."),".")</f>
        <v>.</v>
      </c>
      <c r="T137" s="678" t="str">
        <f>IF(Tax_Rates_Alt="y",IF(Setup!$F$233='Tax Tables'!T$1,"Rate Chg","."),".")</f>
        <v>.</v>
      </c>
      <c r="U137" s="678" t="str">
        <f>IF(Tax_Rates_Alt="y",IF(Setup!$F$233='Tax Tables'!U$1,"Rate Chg","."),".")</f>
        <v>.</v>
      </c>
      <c r="V137" s="678" t="str">
        <f>IF(Tax_Rates_Alt="y",IF(Setup!$F$233='Tax Tables'!V$1,"Rate Chg","."),".")</f>
        <v>.</v>
      </c>
      <c r="W137" s="678" t="str">
        <f>IF(Tax_Rates_Alt="y",IF(Setup!$F$233='Tax Tables'!W$1,"Rate Chg","."),".")</f>
        <v>.</v>
      </c>
      <c r="X137" s="678" t="str">
        <f>IF(Tax_Rates_Alt="y",IF(Setup!$F$233='Tax Tables'!X$1,"Rate Chg","."),".")</f>
        <v>.</v>
      </c>
      <c r="Y137" s="678" t="str">
        <f>IF(Tax_Rates_Alt="y",IF(Setup!$F$233='Tax Tables'!Y$1,"Rate Chg","."),".")</f>
        <v>.</v>
      </c>
      <c r="Z137" s="678" t="str">
        <f>IF(Tax_Rates_Alt="y",IF(Setup!$F$233='Tax Tables'!Z$1,"Rate Chg","."),".")</f>
        <v>.</v>
      </c>
      <c r="AA137" s="678" t="str">
        <f>IF(Tax_Rates_Alt="y",IF(Setup!$F$233='Tax Tables'!AA$1,"Rate Chg","."),".")</f>
        <v>.</v>
      </c>
      <c r="AB137" s="678" t="str">
        <f>IF(Tax_Rates_Alt="y",IF(Setup!$F$233='Tax Tables'!AB$1,"Rate Chg","."),".")</f>
        <v>.</v>
      </c>
      <c r="AC137" s="678" t="str">
        <f>IF(Tax_Rates_Alt="y",IF(Setup!$F$233='Tax Tables'!AC$1,"Rate Chg","."),".")</f>
        <v>.</v>
      </c>
      <c r="AD137" s="678" t="str">
        <f>IF(Tax_Rates_Alt="y",IF(Setup!$F$233='Tax Tables'!AD$1,"Rate Chg","."),".")</f>
        <v>.</v>
      </c>
      <c r="AE137" s="678" t="str">
        <f>IF(Tax_Rates_Alt="y",IF(Setup!$F$233='Tax Tables'!AE$1,"Rate Chg","."),".")</f>
        <v>.</v>
      </c>
      <c r="AF137" s="678" t="str">
        <f>IF(Tax_Rates_Alt="y",IF(Setup!$F$233='Tax Tables'!AF$1,"Rate Chg","."),".")</f>
        <v>.</v>
      </c>
      <c r="AG137" s="678" t="str">
        <f>IF(Tax_Rates_Alt="y",IF(Setup!$F$233='Tax Tables'!AG$1,"Rate Chg","."),".")</f>
        <v>.</v>
      </c>
      <c r="AH137" s="678" t="str">
        <f>IF(Tax_Rates_Alt="y",IF(Setup!$F$233='Tax Tables'!AH$1,"Rate Chg","."),".")</f>
        <v>.</v>
      </c>
      <c r="AI137" s="678" t="str">
        <f>IF(Tax_Rates_Alt="y",IF(Setup!$F$233='Tax Tables'!AI$1,"Rate Chg","."),".")</f>
        <v>.</v>
      </c>
      <c r="AJ137" s="678" t="str">
        <f>IF(Tax_Rates_Alt="y",IF(Setup!$F$233='Tax Tables'!AJ$1,"Rate Chg","."),".")</f>
        <v>.</v>
      </c>
      <c r="AK137" s="678" t="str">
        <f>IF(Tax_Rates_Alt="y",IF(Setup!$F$233='Tax Tables'!AK$1,"Rate Chg","."),".")</f>
        <v>.</v>
      </c>
      <c r="AL137" s="678" t="str">
        <f>IF(Tax_Rates_Alt="y",IF(Setup!$F$233='Tax Tables'!AL$1,"Rate Chg","."),".")</f>
        <v>.</v>
      </c>
      <c r="AM137" s="678" t="str">
        <f>IF(Tax_Rates_Alt="y",IF(Setup!$F$233='Tax Tables'!AM$1,"Rate Chg","."),".")</f>
        <v>.</v>
      </c>
      <c r="AN137" s="678" t="str">
        <f>IF(Tax_Rates_Alt="y",IF(Setup!$F$233='Tax Tables'!AN$1,"Rate Chg","."),".")</f>
        <v>.</v>
      </c>
      <c r="AO137" s="678" t="str">
        <f>IF(Tax_Rates_Alt="y",IF(Setup!$F$233='Tax Tables'!AO$1,"Rate Chg","."),".")</f>
        <v>.</v>
      </c>
      <c r="AP137" s="678" t="str">
        <f>IF(Tax_Rates_Alt="y",IF(Setup!$F$233='Tax Tables'!AP$1,"Rate Chg","."),".")</f>
        <v>.</v>
      </c>
      <c r="AQ137" s="678" t="str">
        <f>IF(Tax_Rates_Alt="y",IF(Setup!$F$233='Tax Tables'!AQ$1,"Rate Chg","."),".")</f>
        <v>.</v>
      </c>
      <c r="AR137" s="678" t="str">
        <f>IF(Tax_Rates_Alt="y",IF(Setup!$F$233='Tax Tables'!AR$1,"Rate Chg","."),".")</f>
        <v>.</v>
      </c>
      <c r="AS137" s="678" t="str">
        <f>IF(Tax_Rates_Alt="y",IF(Setup!$F$233='Tax Tables'!AS$1,"Rate Chg","."),".")</f>
        <v>.</v>
      </c>
      <c r="AT137" s="678"/>
      <c r="AU137" s="244">
        <v>2018</v>
      </c>
    </row>
    <row r="138" spans="2:47" ht="15.6">
      <c r="B138" s="539" t="s">
        <v>1974</v>
      </c>
      <c r="C138" s="225">
        <v>0</v>
      </c>
      <c r="D138" s="225">
        <v>0</v>
      </c>
      <c r="E138" s="1644">
        <v>0</v>
      </c>
      <c r="F138" s="487">
        <v>0</v>
      </c>
      <c r="G138" s="14">
        <v>0</v>
      </c>
      <c r="H138" s="14">
        <v>0</v>
      </c>
      <c r="I138" s="14">
        <v>0</v>
      </c>
      <c r="J138" s="14">
        <v>0</v>
      </c>
      <c r="K138" s="14">
        <v>0</v>
      </c>
      <c r="L138" s="14">
        <v>0</v>
      </c>
      <c r="M138" s="14">
        <v>0</v>
      </c>
      <c r="N138" s="14">
        <v>0</v>
      </c>
      <c r="O138" s="14">
        <v>0</v>
      </c>
      <c r="P138" s="14">
        <v>0</v>
      </c>
      <c r="Q138" s="14">
        <v>0</v>
      </c>
      <c r="R138" s="14">
        <v>0</v>
      </c>
      <c r="S138" s="14">
        <v>0</v>
      </c>
      <c r="T138" s="14">
        <v>0</v>
      </c>
      <c r="U138" s="14">
        <v>0</v>
      </c>
      <c r="V138" s="14">
        <v>0</v>
      </c>
      <c r="W138" s="14">
        <v>0</v>
      </c>
      <c r="X138" s="14">
        <v>0</v>
      </c>
      <c r="Y138" s="14">
        <v>0</v>
      </c>
      <c r="Z138" s="14">
        <v>0</v>
      </c>
      <c r="AA138" s="14">
        <v>0</v>
      </c>
      <c r="AB138" s="14">
        <v>0</v>
      </c>
      <c r="AC138" s="14">
        <v>0</v>
      </c>
      <c r="AD138" s="14">
        <v>0</v>
      </c>
      <c r="AE138" s="14">
        <v>0</v>
      </c>
      <c r="AF138" s="14">
        <v>0</v>
      </c>
      <c r="AG138" s="14">
        <v>0</v>
      </c>
      <c r="AH138" s="14">
        <v>0</v>
      </c>
      <c r="AI138" s="14">
        <v>0</v>
      </c>
      <c r="AJ138" s="14">
        <v>0</v>
      </c>
      <c r="AK138" s="14">
        <v>0</v>
      </c>
      <c r="AL138" s="14">
        <v>0</v>
      </c>
      <c r="AM138" s="14">
        <v>0</v>
      </c>
      <c r="AN138" s="14">
        <v>0</v>
      </c>
      <c r="AO138" s="14">
        <v>0</v>
      </c>
      <c r="AP138" s="14">
        <v>0</v>
      </c>
      <c r="AQ138" s="14">
        <v>0</v>
      </c>
      <c r="AR138" s="14">
        <v>0</v>
      </c>
      <c r="AS138" s="14">
        <v>0</v>
      </c>
      <c r="AT138" s="14"/>
      <c r="AU138" s="66">
        <v>0</v>
      </c>
    </row>
    <row r="139" spans="2:47" ht="15.6">
      <c r="B139" s="8" t="s">
        <v>1475</v>
      </c>
      <c r="C139" s="225">
        <v>77200</v>
      </c>
      <c r="D139" s="225">
        <v>78750</v>
      </c>
      <c r="E139" s="1644">
        <v>19050</v>
      </c>
      <c r="F139" s="487">
        <v>19400</v>
      </c>
      <c r="G139" s="29">
        <f>ROUND(+F139*(1+'Tax Tables'!$C$10)/IF(Round_To&gt;Tax_Rounding,Tax_Rounding,Round_To),0)*IF(Round_To&gt;Tax_Rounding,Tax_Rounding,Round_To)</f>
        <v>19800</v>
      </c>
      <c r="H139" s="29">
        <f>ROUND(+G139*(1+'Tax Tables'!$C$10)/IF(Round_To&gt;Tax_Rounding,Tax_Rounding,Round_To),0)*IF(Round_To&gt;Tax_Rounding,Tax_Rounding,Round_To)</f>
        <v>20200</v>
      </c>
      <c r="I139" s="29">
        <f>ROUND(+H139*(1+'Tax Tables'!$C$10)/IF(Round_To&gt;Tax_Rounding,Tax_Rounding,Round_To),0)*IF(Round_To&gt;Tax_Rounding,Tax_Rounding,Round_To)</f>
        <v>20600</v>
      </c>
      <c r="J139" s="29">
        <f>ROUND(+I139*(1+'Tax Tables'!$C$10)/IF(Round_To&gt;Tax_Rounding,Tax_Rounding,Round_To),0)*IF(Round_To&gt;Tax_Rounding,Tax_Rounding,Round_To)</f>
        <v>21100</v>
      </c>
      <c r="K139" s="29">
        <f>ROUND(+J139*(1+'Tax Tables'!$C$10)/IF(Round_To&gt;Tax_Rounding,Tax_Rounding,Round_To),0)*IF(Round_To&gt;Tax_Rounding,Tax_Rounding,Round_To)</f>
        <v>21600</v>
      </c>
      <c r="L139" s="29">
        <f>ROUND(+K139*(1+'Tax Tables'!$C$10)/IF(Round_To&gt;Tax_Rounding,Tax_Rounding,Round_To),0)*IF(Round_To&gt;Tax_Rounding,Tax_Rounding,Round_To)</f>
        <v>22100</v>
      </c>
      <c r="M139" s="29">
        <f>ROUND(+L139*(1+'Tax Tables'!$C$10)/IF(Round_To&gt;Tax_Rounding,Tax_Rounding,Round_To),0)*IF(Round_To&gt;Tax_Rounding,Tax_Rounding,Round_To)</f>
        <v>22600</v>
      </c>
      <c r="N139" s="29">
        <f>ROUND(+M139*(1+'Tax Tables'!$C$10)/IF(Round_To&gt;Tax_Rounding,Tax_Rounding,Round_To),0)*IF(Round_To&gt;Tax_Rounding,Tax_Rounding,Round_To)</f>
        <v>23100</v>
      </c>
      <c r="O139" s="29">
        <f>ROUND(+N139*(1+'Tax Tables'!$C$10)/IF(Round_To&gt;Tax_Rounding,Tax_Rounding,Round_To),0)*IF(Round_To&gt;Tax_Rounding,Tax_Rounding,Round_To)</f>
        <v>23600</v>
      </c>
      <c r="P139" s="29">
        <f>ROUND(+O139*(1+'Tax Tables'!$C$10)/IF(Round_To&gt;Tax_Rounding,Tax_Rounding,Round_To),0)*IF(Round_To&gt;Tax_Rounding,Tax_Rounding,Round_To)</f>
        <v>24100</v>
      </c>
      <c r="Q139" s="29">
        <f>ROUND(+P139*(1+'Tax Tables'!$C$10)/IF(Round_To&gt;Tax_Rounding,Tax_Rounding,Round_To),0)*IF(Round_To&gt;Tax_Rounding,Tax_Rounding,Round_To)</f>
        <v>24600</v>
      </c>
      <c r="R139" s="29">
        <f>ROUND(+Q139*(1+'Tax Tables'!$C$10)/IF(Round_To&gt;Tax_Rounding,Tax_Rounding,Round_To),0)*IF(Round_To&gt;Tax_Rounding,Tax_Rounding,Round_To)</f>
        <v>25100</v>
      </c>
      <c r="S139" s="29">
        <f>ROUND(+R139*(1+'Tax Tables'!$C$10)/IF(Round_To&gt;Tax_Rounding,Tax_Rounding,Round_To),0)*IF(Round_To&gt;Tax_Rounding,Tax_Rounding,Round_To)</f>
        <v>25700</v>
      </c>
      <c r="T139" s="29">
        <f>ROUND(+S139*(1+'Tax Tables'!$C$10)/IF(Round_To&gt;Tax_Rounding,Tax_Rounding,Round_To),0)*IF(Round_To&gt;Tax_Rounding,Tax_Rounding,Round_To)</f>
        <v>26300</v>
      </c>
      <c r="U139" s="29">
        <f>ROUND(+T139*(1+'Tax Tables'!$C$10)/IF(Round_To&gt;Tax_Rounding,Tax_Rounding,Round_To),0)*IF(Round_To&gt;Tax_Rounding,Tax_Rounding,Round_To)</f>
        <v>26900</v>
      </c>
      <c r="V139" s="29">
        <f>ROUND(+U139*(1+'Tax Tables'!$C$10)/IF(Round_To&gt;Tax_Rounding,Tax_Rounding,Round_To),0)*IF(Round_To&gt;Tax_Rounding,Tax_Rounding,Round_To)</f>
        <v>27500</v>
      </c>
      <c r="W139" s="29">
        <f>ROUND(+V139*(1+'Tax Tables'!$C$10)/IF(Round_To&gt;Tax_Rounding,Tax_Rounding,Round_To),0)*IF(Round_To&gt;Tax_Rounding,Tax_Rounding,Round_To)</f>
        <v>28100</v>
      </c>
      <c r="X139" s="29">
        <f>ROUND(+W139*(1+'Tax Tables'!$C$10)/IF(Round_To&gt;Tax_Rounding,Tax_Rounding,Round_To),0)*IF(Round_To&gt;Tax_Rounding,Tax_Rounding,Round_To)</f>
        <v>28700</v>
      </c>
      <c r="Y139" s="29">
        <f>ROUND(+X139*(1+'Tax Tables'!$C$10)/IF(Round_To&gt;Tax_Rounding,Tax_Rounding,Round_To),0)*IF(Round_To&gt;Tax_Rounding,Tax_Rounding,Round_To)</f>
        <v>29300</v>
      </c>
      <c r="Z139" s="29">
        <f>ROUND(+Y139*(1+'Tax Tables'!$C$10)/IF(Round_To&gt;Tax_Rounding,Tax_Rounding,Round_To),0)*IF(Round_To&gt;Tax_Rounding,Tax_Rounding,Round_To)</f>
        <v>29900</v>
      </c>
      <c r="AA139" s="29">
        <f>ROUND(+Z139*(1+'Tax Tables'!$C$10)/IF(Round_To&gt;Tax_Rounding,Tax_Rounding,Round_To),0)*IF(Round_To&gt;Tax_Rounding,Tax_Rounding,Round_To)</f>
        <v>30600</v>
      </c>
      <c r="AB139" s="29">
        <f>ROUND(+AA139*(1+'Tax Tables'!$C$10)/IF(Round_To&gt;Tax_Rounding,Tax_Rounding,Round_To),0)*IF(Round_To&gt;Tax_Rounding,Tax_Rounding,Round_To)</f>
        <v>31300</v>
      </c>
      <c r="AC139" s="29">
        <f>ROUND(+AB139*(1+'Tax Tables'!$C$10)/IF(Round_To&gt;Tax_Rounding,Tax_Rounding,Round_To),0)*IF(Round_To&gt;Tax_Rounding,Tax_Rounding,Round_To)</f>
        <v>32000</v>
      </c>
      <c r="AD139" s="29">
        <f>ROUND(+AC139*(1+'Tax Tables'!$C$10)/IF(Round_To&gt;Tax_Rounding,Tax_Rounding,Round_To),0)*IF(Round_To&gt;Tax_Rounding,Tax_Rounding,Round_To)</f>
        <v>32700</v>
      </c>
      <c r="AE139" s="29">
        <f>ROUND(+AD139*(1+'Tax Tables'!$C$10)/IF(Round_To&gt;Tax_Rounding,Tax_Rounding,Round_To),0)*IF(Round_To&gt;Tax_Rounding,Tax_Rounding,Round_To)</f>
        <v>33400</v>
      </c>
      <c r="AF139" s="29">
        <f>ROUND(+AE139*(1+'Tax Tables'!$C$10)/IF(Round_To&gt;Tax_Rounding,Tax_Rounding,Round_To),0)*IF(Round_To&gt;Tax_Rounding,Tax_Rounding,Round_To)</f>
        <v>34100</v>
      </c>
      <c r="AG139" s="29">
        <f>ROUND(+AF139*(1+'Tax Tables'!$C$10)/IF(Round_To&gt;Tax_Rounding,Tax_Rounding,Round_To),0)*IF(Round_To&gt;Tax_Rounding,Tax_Rounding,Round_To)</f>
        <v>34900</v>
      </c>
      <c r="AH139" s="29">
        <f>ROUND(+AG139*(1+'Tax Tables'!$C$10)/IF(Round_To&gt;Tax_Rounding,Tax_Rounding,Round_To),0)*IF(Round_To&gt;Tax_Rounding,Tax_Rounding,Round_To)</f>
        <v>35700</v>
      </c>
      <c r="AI139" s="29">
        <f>ROUND(+AH139*(1+'Tax Tables'!$C$10)/IF(Round_To&gt;Tax_Rounding,Tax_Rounding,Round_To),0)*IF(Round_To&gt;Tax_Rounding,Tax_Rounding,Round_To)</f>
        <v>36500</v>
      </c>
      <c r="AJ139" s="29">
        <f>ROUND(+AI139*(1+'Tax Tables'!$C$10)/IF(Round_To&gt;Tax_Rounding,Tax_Rounding,Round_To),0)*IF(Round_To&gt;Tax_Rounding,Tax_Rounding,Round_To)</f>
        <v>37300</v>
      </c>
      <c r="AK139" s="29">
        <f>ROUND(+AJ139*(1+'Tax Tables'!$C$10)/IF(Round_To&gt;Tax_Rounding,Tax_Rounding,Round_To),0)*IF(Round_To&gt;Tax_Rounding,Tax_Rounding,Round_To)</f>
        <v>38100</v>
      </c>
      <c r="AL139" s="29">
        <f>ROUND(+AK139*(1+'Tax Tables'!$C$10)/IF(Round_To&gt;Tax_Rounding,Tax_Rounding,Round_To),0)*IF(Round_To&gt;Tax_Rounding,Tax_Rounding,Round_To)</f>
        <v>38900</v>
      </c>
      <c r="AM139" s="29">
        <f>ROUND(+AL139*(1+'Tax Tables'!$C$10)/IF(Round_To&gt;Tax_Rounding,Tax_Rounding,Round_To),0)*IF(Round_To&gt;Tax_Rounding,Tax_Rounding,Round_To)</f>
        <v>39800</v>
      </c>
      <c r="AN139" s="29">
        <f>ROUND(+AM139*(1+'Tax Tables'!$C$10)/IF(Round_To&gt;Tax_Rounding,Tax_Rounding,Round_To),0)*IF(Round_To&gt;Tax_Rounding,Tax_Rounding,Round_To)</f>
        <v>40700</v>
      </c>
      <c r="AO139" s="29">
        <f>ROUND(+AN139*(1+'Tax Tables'!$C$10)/IF(Round_To&gt;Tax_Rounding,Tax_Rounding,Round_To),0)*IF(Round_To&gt;Tax_Rounding,Tax_Rounding,Round_To)</f>
        <v>41600</v>
      </c>
      <c r="AP139" s="29">
        <f>ROUND(+AO139*(1+'Tax Tables'!$C$10)/IF(Round_To&gt;Tax_Rounding,Tax_Rounding,Round_To),0)*IF(Round_To&gt;Tax_Rounding,Tax_Rounding,Round_To)</f>
        <v>42500</v>
      </c>
      <c r="AQ139" s="29">
        <f>ROUND(+AP139*(1+'Tax Tables'!$C$10)/IF(Round_To&gt;Tax_Rounding,Tax_Rounding,Round_To),0)*IF(Round_To&gt;Tax_Rounding,Tax_Rounding,Round_To)</f>
        <v>43400</v>
      </c>
      <c r="AR139" s="29">
        <f>ROUND(+AQ139*(1+'Tax Tables'!$C$10)/IF(Round_To&gt;Tax_Rounding,Tax_Rounding,Round_To),0)*IF(Round_To&gt;Tax_Rounding,Tax_Rounding,Round_To)</f>
        <v>44400</v>
      </c>
      <c r="AS139" s="29">
        <f>ROUND(+AR139*(1+'Tax Tables'!$C$10)/IF(Round_To&gt;Tax_Rounding,Tax_Rounding,Round_To),0)*IF(Round_To&gt;Tax_Rounding,Tax_Rounding,Round_To)</f>
        <v>45400</v>
      </c>
      <c r="AT139" s="29"/>
      <c r="AU139" s="66">
        <v>19050</v>
      </c>
    </row>
    <row r="140" spans="2:47" ht="15.6">
      <c r="B140" s="8" t="s">
        <v>1476</v>
      </c>
      <c r="C140" s="226">
        <v>0</v>
      </c>
      <c r="D140" s="226">
        <v>0</v>
      </c>
      <c r="E140" s="1645">
        <v>0.1</v>
      </c>
      <c r="F140" s="469">
        <v>0.1</v>
      </c>
      <c r="G140" s="61">
        <f>IF(Tax_Rates_Alt="y",IF(G$93=Setup!$F$233,+Setup!$E$233,+F140),+F140)</f>
        <v>0.1</v>
      </c>
      <c r="H140" s="61">
        <f>IF(Tax_Rates_Alt="y",IF(H$93=Setup!$F$233,+Setup!$E$233,+G140),+G140)</f>
        <v>0.1</v>
      </c>
      <c r="I140" s="61">
        <f>IF(Tax_Rates_Alt="y",IF(I$93=Setup!$F$233,+Setup!$E$233,+H140),+H140)</f>
        <v>0.1</v>
      </c>
      <c r="J140" s="61">
        <f>IF(Tax_Rates_Alt="y",IF(J$93=Setup!$F$233,+Setup!$E$233,+I140),+I140)</f>
        <v>0.1</v>
      </c>
      <c r="K140" s="61">
        <f>IF(Tax_Rates_Alt="y",IF(K$93=Setup!$F$233,+Setup!$E$233,+J140),+J140)</f>
        <v>0.1</v>
      </c>
      <c r="L140" s="61">
        <f>IF(Tax_Rates_Alt="y",IF(L$93=Setup!$F$233,+Setup!$E$233,+K140),+K140)</f>
        <v>0.1</v>
      </c>
      <c r="M140" s="61">
        <f>IF(Tax_Rates_Alt="y",IF(M$93=Setup!$F$233,+Setup!$E$233,+L140),+L140)</f>
        <v>0.1</v>
      </c>
      <c r="N140" s="61">
        <f>IF(Tax_Rates_Alt="y",IF(N$93=Setup!$F$233,+Setup!$E$233,+M140),+M140)</f>
        <v>0.1</v>
      </c>
      <c r="O140" s="61">
        <f>IF(Tax_Rates_Alt="y",IF(O$93=Setup!$F$233,+Setup!$E$233,+N140),+N140)</f>
        <v>0.1</v>
      </c>
      <c r="P140" s="61">
        <f>IF(Tax_Rates_Alt="y",IF(P$93=Setup!$F$233,+Setup!$E$233,+O140),+O140)</f>
        <v>0.1</v>
      </c>
      <c r="Q140" s="61">
        <f>IF(Tax_Rates_Alt="y",IF(Q$93=Setup!$F$233,+Setup!$E$233,+P140),+P140)</f>
        <v>0.1</v>
      </c>
      <c r="R140" s="61">
        <f>IF(Tax_Rates_Alt="y",IF(R$93=Setup!$F$233,+Setup!$E$233,+Q140),+Q140)</f>
        <v>0.1</v>
      </c>
      <c r="S140" s="61">
        <f>IF(Tax_Rates_Alt="y",IF(S$93=Setup!$F$233,+Setup!$E$233,+R140),+R140)</f>
        <v>0.1</v>
      </c>
      <c r="T140" s="61">
        <f>IF(Tax_Rates_Alt="y",IF(T$93=Setup!$F$233,+Setup!$E$233,+S140),+S140)</f>
        <v>0.1</v>
      </c>
      <c r="U140" s="61">
        <f>IF(Tax_Rates_Alt="y",IF(U$93=Setup!$F$233,+Setup!$E$233,+T140),+T140)</f>
        <v>0.1</v>
      </c>
      <c r="V140" s="61">
        <f>IF(Tax_Rates_Alt="y",IF(V$93=Setup!$F$233,+Setup!$E$233,+U140),+U140)</f>
        <v>0.1</v>
      </c>
      <c r="W140" s="61">
        <f>IF(Tax_Rates_Alt="y",IF(W$93=Setup!$F$233,+Setup!$E$233,+V140),+V140)</f>
        <v>0.1</v>
      </c>
      <c r="X140" s="61">
        <f>IF(Tax_Rates_Alt="y",IF(X$93=Setup!$F$233,+Setup!$E$233,+W140),+W140)</f>
        <v>0.1</v>
      </c>
      <c r="Y140" s="61">
        <f>IF(Tax_Rates_Alt="y",IF(Y$93=Setup!$F$233,+Setup!$E$233,+X140),+X140)</f>
        <v>0.1</v>
      </c>
      <c r="Z140" s="61">
        <f>IF(Tax_Rates_Alt="y",IF(Z$93=Setup!$F$233,+Setup!$E$233,+Y140),+Y140)</f>
        <v>0.1</v>
      </c>
      <c r="AA140" s="61">
        <f>IF(Tax_Rates_Alt="y",IF(AA$93=Setup!$F$233,+Setup!$E$233,+Z140),+Z140)</f>
        <v>0.1</v>
      </c>
      <c r="AB140" s="61">
        <f>IF(Tax_Rates_Alt="y",IF(AB$93=Setup!$F$233,+Setup!$E$233,+AA140),+AA140)</f>
        <v>0.1</v>
      </c>
      <c r="AC140" s="61">
        <f>IF(Tax_Rates_Alt="y",IF(AC$93=Setup!$F$233,+Setup!$E$233,+AB140),+AB140)</f>
        <v>0.1</v>
      </c>
      <c r="AD140" s="61">
        <f>IF(Tax_Rates_Alt="y",IF(AD$93=Setup!$F$233,+Setup!$E$233,+AC140),+AC140)</f>
        <v>0.1</v>
      </c>
      <c r="AE140" s="61">
        <f>IF(Tax_Rates_Alt="y",IF(AE$93=Setup!$F$233,+Setup!$E$233,+AD140),+AD140)</f>
        <v>0.1</v>
      </c>
      <c r="AF140" s="61">
        <f>IF(Tax_Rates_Alt="y",IF(AF$93=Setup!$F$233,+Setup!$E$233,+AE140),+AE140)</f>
        <v>0.1</v>
      </c>
      <c r="AG140" s="61">
        <f>IF(Tax_Rates_Alt="y",IF(AG$93=Setup!$F$233,+Setup!$E$233,+AF140),+AF140)</f>
        <v>0.1</v>
      </c>
      <c r="AH140" s="61">
        <f>IF(Tax_Rates_Alt="y",IF(AH$93=Setup!$F$233,+Setup!$E$233,+AG140),+AG140)</f>
        <v>0.1</v>
      </c>
      <c r="AI140" s="61">
        <f>IF(Tax_Rates_Alt="y",IF(AI$93=Setup!$F$233,+Setup!$E$233,+AH140),+AH140)</f>
        <v>0.1</v>
      </c>
      <c r="AJ140" s="61">
        <f>IF(Tax_Rates_Alt="y",IF(AJ$93=Setup!$F$233,+Setup!$E$233,+AI140),+AI140)</f>
        <v>0.1</v>
      </c>
      <c r="AK140" s="61">
        <f>IF(Tax_Rates_Alt="y",IF(AK$93=Setup!$F$233,+Setup!$E$233,+AJ140),+AJ140)</f>
        <v>0.1</v>
      </c>
      <c r="AL140" s="61">
        <f>IF(Tax_Rates_Alt="y",IF(AL$93=Setup!$F$233,+Setup!$E$233,+AK140),+AK140)</f>
        <v>0.1</v>
      </c>
      <c r="AM140" s="61">
        <f>IF(Tax_Rates_Alt="y",IF(AM$93=Setup!$F$233,+Setup!$E$233,+AL140),+AL140)</f>
        <v>0.1</v>
      </c>
      <c r="AN140" s="61">
        <f>IF(Tax_Rates_Alt="y",IF(AN$93=Setup!$F$233,+Setup!$E$233,+AM140),+AM140)</f>
        <v>0.1</v>
      </c>
      <c r="AO140" s="61">
        <f>IF(Tax_Rates_Alt="y",IF(AO$93=Setup!$F$233,+Setup!$E$233,+AN140),+AN140)</f>
        <v>0.1</v>
      </c>
      <c r="AP140" s="61">
        <f>IF(Tax_Rates_Alt="y",IF(AP$93=Setup!$F$233,+Setup!$E$233,+AO140),+AO140)</f>
        <v>0.1</v>
      </c>
      <c r="AQ140" s="61">
        <f>IF(Tax_Rates_Alt="y",IF(AQ$93=Setup!$F$233,+Setup!$E$233,+AP140),+AP140)</f>
        <v>0.1</v>
      </c>
      <c r="AR140" s="61">
        <f>IF(Tax_Rates_Alt="y",IF(AR$93=Setup!$F$233,+Setup!$E$233,+AQ140),+AQ140)</f>
        <v>0.1</v>
      </c>
      <c r="AS140" s="61">
        <f>IF(Tax_Rates_Alt="y",IF(AS$93=Setup!$F$233,+Setup!$E$233,+AR140),+AR140)</f>
        <v>0.1</v>
      </c>
      <c r="AT140" s="61"/>
      <c r="AU140" s="1403">
        <v>0.1</v>
      </c>
    </row>
    <row r="141" spans="2:47" ht="15.6">
      <c r="B141" s="8" t="s">
        <v>1414</v>
      </c>
      <c r="C141" s="29">
        <f>(+C139-C138)*C140</f>
        <v>0</v>
      </c>
      <c r="D141" s="29">
        <f>(+D139-D138)*D140</f>
        <v>0</v>
      </c>
      <c r="E141" s="29">
        <f t="shared" ref="E141:AS141" si="111">ROUND((+E139-E138)*E140/IF(Round_To&gt;Tax_Rounding,Tax_Rounding,Round_To),0)*IF(Round_To&gt;Tax_Rounding,Tax_Rounding,Round_To)</f>
        <v>1900</v>
      </c>
      <c r="F141" s="29">
        <f t="shared" si="111"/>
        <v>1900</v>
      </c>
      <c r="G141" s="29">
        <f t="shared" si="111"/>
        <v>2000</v>
      </c>
      <c r="H141" s="29">
        <f t="shared" si="111"/>
        <v>2000</v>
      </c>
      <c r="I141" s="29">
        <f t="shared" si="111"/>
        <v>2100</v>
      </c>
      <c r="J141" s="29">
        <f t="shared" si="111"/>
        <v>2100</v>
      </c>
      <c r="K141" s="29">
        <f t="shared" si="111"/>
        <v>2200</v>
      </c>
      <c r="L141" s="29">
        <f t="shared" si="111"/>
        <v>2200</v>
      </c>
      <c r="M141" s="29">
        <f t="shared" si="111"/>
        <v>2300</v>
      </c>
      <c r="N141" s="29">
        <f t="shared" si="111"/>
        <v>2300</v>
      </c>
      <c r="O141" s="29">
        <f t="shared" si="111"/>
        <v>2400</v>
      </c>
      <c r="P141" s="29">
        <f t="shared" si="111"/>
        <v>2400</v>
      </c>
      <c r="Q141" s="29">
        <f t="shared" si="111"/>
        <v>2500</v>
      </c>
      <c r="R141" s="29">
        <f t="shared" si="111"/>
        <v>2500</v>
      </c>
      <c r="S141" s="29">
        <f t="shared" si="111"/>
        <v>2600</v>
      </c>
      <c r="T141" s="29">
        <f t="shared" si="111"/>
        <v>2600</v>
      </c>
      <c r="U141" s="29">
        <f t="shared" si="111"/>
        <v>2700</v>
      </c>
      <c r="V141" s="29">
        <f t="shared" si="111"/>
        <v>2800</v>
      </c>
      <c r="W141" s="29">
        <f t="shared" si="111"/>
        <v>2800</v>
      </c>
      <c r="X141" s="29">
        <f t="shared" si="111"/>
        <v>2900</v>
      </c>
      <c r="Y141" s="29">
        <f t="shared" si="111"/>
        <v>2900</v>
      </c>
      <c r="Z141" s="29">
        <f t="shared" si="111"/>
        <v>3000</v>
      </c>
      <c r="AA141" s="29">
        <f t="shared" si="111"/>
        <v>3100</v>
      </c>
      <c r="AB141" s="29">
        <f t="shared" si="111"/>
        <v>3100</v>
      </c>
      <c r="AC141" s="29">
        <f t="shared" si="111"/>
        <v>3200</v>
      </c>
      <c r="AD141" s="29">
        <f t="shared" si="111"/>
        <v>3300</v>
      </c>
      <c r="AE141" s="29">
        <f t="shared" si="111"/>
        <v>3300</v>
      </c>
      <c r="AF141" s="29">
        <f t="shared" si="111"/>
        <v>3400</v>
      </c>
      <c r="AG141" s="29">
        <f t="shared" si="111"/>
        <v>3500</v>
      </c>
      <c r="AH141" s="29">
        <f t="shared" si="111"/>
        <v>3600</v>
      </c>
      <c r="AI141" s="29">
        <f t="shared" si="111"/>
        <v>3700</v>
      </c>
      <c r="AJ141" s="29">
        <f t="shared" si="111"/>
        <v>3700</v>
      </c>
      <c r="AK141" s="29">
        <f t="shared" si="111"/>
        <v>3800</v>
      </c>
      <c r="AL141" s="29">
        <f t="shared" si="111"/>
        <v>3900</v>
      </c>
      <c r="AM141" s="29">
        <f t="shared" si="111"/>
        <v>4000</v>
      </c>
      <c r="AN141" s="29">
        <f t="shared" si="111"/>
        <v>4100</v>
      </c>
      <c r="AO141" s="29">
        <f t="shared" si="111"/>
        <v>4200</v>
      </c>
      <c r="AP141" s="29">
        <f t="shared" si="111"/>
        <v>4300</v>
      </c>
      <c r="AQ141" s="29">
        <f t="shared" si="111"/>
        <v>4300</v>
      </c>
      <c r="AR141" s="29">
        <f t="shared" si="111"/>
        <v>4400</v>
      </c>
      <c r="AS141" s="29">
        <f t="shared" si="111"/>
        <v>4500</v>
      </c>
      <c r="AT141" s="29"/>
      <c r="AU141" s="22" t="s">
        <v>1758</v>
      </c>
    </row>
    <row r="142" spans="2:47" ht="15.6">
      <c r="C142" s="29"/>
      <c r="D142" s="29"/>
      <c r="E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2"/>
    </row>
    <row r="143" spans="2:47" ht="15.6">
      <c r="B143" s="539" t="s">
        <v>1975</v>
      </c>
      <c r="C143" s="29">
        <f>+C139</f>
        <v>77200</v>
      </c>
      <c r="D143" s="29">
        <f>+D139</f>
        <v>78750</v>
      </c>
      <c r="E143" s="29">
        <f>+E139</f>
        <v>19050</v>
      </c>
      <c r="F143" s="33">
        <f>+F139</f>
        <v>19400</v>
      </c>
      <c r="G143" s="29">
        <f>ROUND(+F143*(1+'Tax Tables'!$C$10)/IF(Round_To&gt;Tax_Rounding,Tax_Rounding,Round_To),0)*IF(Round_To&gt;Tax_Rounding,Tax_Rounding,Round_To)</f>
        <v>19800</v>
      </c>
      <c r="H143" s="29">
        <f>ROUND(+G143*(1+'Tax Tables'!$C$10)/IF(Round_To&gt;Tax_Rounding,Tax_Rounding,Round_To),0)*IF(Round_To&gt;Tax_Rounding,Tax_Rounding,Round_To)</f>
        <v>20200</v>
      </c>
      <c r="I143" s="29">
        <f>ROUND(+H143*(1+'Tax Tables'!$C$10)/IF(Round_To&gt;Tax_Rounding,Tax_Rounding,Round_To),0)*IF(Round_To&gt;Tax_Rounding,Tax_Rounding,Round_To)</f>
        <v>20600</v>
      </c>
      <c r="J143" s="29">
        <f>ROUND(+I143*(1+'Tax Tables'!$C$10)/IF(Round_To&gt;Tax_Rounding,Tax_Rounding,Round_To),0)*IF(Round_To&gt;Tax_Rounding,Tax_Rounding,Round_To)</f>
        <v>21100</v>
      </c>
      <c r="K143" s="29">
        <f>ROUND(+J143*(1+'Tax Tables'!$C$10)/IF(Round_To&gt;Tax_Rounding,Tax_Rounding,Round_To),0)*IF(Round_To&gt;Tax_Rounding,Tax_Rounding,Round_To)</f>
        <v>21600</v>
      </c>
      <c r="L143" s="29">
        <f>ROUND(+K143*(1+'Tax Tables'!$C$10)/IF(Round_To&gt;Tax_Rounding,Tax_Rounding,Round_To),0)*IF(Round_To&gt;Tax_Rounding,Tax_Rounding,Round_To)</f>
        <v>22100</v>
      </c>
      <c r="M143" s="29">
        <f>ROUND(+L143*(1+'Tax Tables'!$C$10)/IF(Round_To&gt;Tax_Rounding,Tax_Rounding,Round_To),0)*IF(Round_To&gt;Tax_Rounding,Tax_Rounding,Round_To)</f>
        <v>22600</v>
      </c>
      <c r="N143" s="29">
        <f>ROUND(+M143*(1+'Tax Tables'!$C$10)/IF(Round_To&gt;Tax_Rounding,Tax_Rounding,Round_To),0)*IF(Round_To&gt;Tax_Rounding,Tax_Rounding,Round_To)</f>
        <v>23100</v>
      </c>
      <c r="O143" s="29">
        <f>ROUND(+N143*(1+'Tax Tables'!$C$10)/IF(Round_To&gt;Tax_Rounding,Tax_Rounding,Round_To),0)*IF(Round_To&gt;Tax_Rounding,Tax_Rounding,Round_To)</f>
        <v>23600</v>
      </c>
      <c r="P143" s="29">
        <f>ROUND(+O143*(1+'Tax Tables'!$C$10)/IF(Round_To&gt;Tax_Rounding,Tax_Rounding,Round_To),0)*IF(Round_To&gt;Tax_Rounding,Tax_Rounding,Round_To)</f>
        <v>24100</v>
      </c>
      <c r="Q143" s="29">
        <f>ROUND(+P143*(1+'Tax Tables'!$C$10)/IF(Round_To&gt;Tax_Rounding,Tax_Rounding,Round_To),0)*IF(Round_To&gt;Tax_Rounding,Tax_Rounding,Round_To)</f>
        <v>24600</v>
      </c>
      <c r="R143" s="29">
        <f>ROUND(+Q143*(1+'Tax Tables'!$C$10)/IF(Round_To&gt;Tax_Rounding,Tax_Rounding,Round_To),0)*IF(Round_To&gt;Tax_Rounding,Tax_Rounding,Round_To)</f>
        <v>25100</v>
      </c>
      <c r="S143" s="29">
        <f>ROUND(+R143*(1+'Tax Tables'!$C$10)/IF(Round_To&gt;Tax_Rounding,Tax_Rounding,Round_To),0)*IF(Round_To&gt;Tax_Rounding,Tax_Rounding,Round_To)</f>
        <v>25700</v>
      </c>
      <c r="T143" s="29">
        <f>ROUND(+S143*(1+'Tax Tables'!$C$10)/IF(Round_To&gt;Tax_Rounding,Tax_Rounding,Round_To),0)*IF(Round_To&gt;Tax_Rounding,Tax_Rounding,Round_To)</f>
        <v>26300</v>
      </c>
      <c r="U143" s="29">
        <f>ROUND(+T143*(1+'Tax Tables'!$C$10)/IF(Round_To&gt;Tax_Rounding,Tax_Rounding,Round_To),0)*IF(Round_To&gt;Tax_Rounding,Tax_Rounding,Round_To)</f>
        <v>26900</v>
      </c>
      <c r="V143" s="29">
        <f>ROUND(+U143*(1+'Tax Tables'!$C$10)/IF(Round_To&gt;Tax_Rounding,Tax_Rounding,Round_To),0)*IF(Round_To&gt;Tax_Rounding,Tax_Rounding,Round_To)</f>
        <v>27500</v>
      </c>
      <c r="W143" s="29">
        <f>ROUND(+V143*(1+'Tax Tables'!$C$10)/IF(Round_To&gt;Tax_Rounding,Tax_Rounding,Round_To),0)*IF(Round_To&gt;Tax_Rounding,Tax_Rounding,Round_To)</f>
        <v>28100</v>
      </c>
      <c r="X143" s="29">
        <f>ROUND(+W143*(1+'Tax Tables'!$C$10)/IF(Round_To&gt;Tax_Rounding,Tax_Rounding,Round_To),0)*IF(Round_To&gt;Tax_Rounding,Tax_Rounding,Round_To)</f>
        <v>28700</v>
      </c>
      <c r="Y143" s="29">
        <f>ROUND(+X143*(1+'Tax Tables'!$C$10)/IF(Round_To&gt;Tax_Rounding,Tax_Rounding,Round_To),0)*IF(Round_To&gt;Tax_Rounding,Tax_Rounding,Round_To)</f>
        <v>29300</v>
      </c>
      <c r="Z143" s="29">
        <f>ROUND(+Y143*(1+'Tax Tables'!$C$10)/IF(Round_To&gt;Tax_Rounding,Tax_Rounding,Round_To),0)*IF(Round_To&gt;Tax_Rounding,Tax_Rounding,Round_To)</f>
        <v>29900</v>
      </c>
      <c r="AA143" s="29">
        <f>ROUND(+Z143*(1+'Tax Tables'!$C$10)/IF(Round_To&gt;Tax_Rounding,Tax_Rounding,Round_To),0)*IF(Round_To&gt;Tax_Rounding,Tax_Rounding,Round_To)</f>
        <v>30600</v>
      </c>
      <c r="AB143" s="29">
        <f>ROUND(+AA143*(1+'Tax Tables'!$C$10)/IF(Round_To&gt;Tax_Rounding,Tax_Rounding,Round_To),0)*IF(Round_To&gt;Tax_Rounding,Tax_Rounding,Round_To)</f>
        <v>31300</v>
      </c>
      <c r="AC143" s="29">
        <f>ROUND(+AB143*(1+'Tax Tables'!$C$10)/IF(Round_To&gt;Tax_Rounding,Tax_Rounding,Round_To),0)*IF(Round_To&gt;Tax_Rounding,Tax_Rounding,Round_To)</f>
        <v>32000</v>
      </c>
      <c r="AD143" s="29">
        <f>ROUND(+AC143*(1+'Tax Tables'!$C$10)/IF(Round_To&gt;Tax_Rounding,Tax_Rounding,Round_To),0)*IF(Round_To&gt;Tax_Rounding,Tax_Rounding,Round_To)</f>
        <v>32700</v>
      </c>
      <c r="AE143" s="29">
        <f>ROUND(+AD143*(1+'Tax Tables'!$C$10)/IF(Round_To&gt;Tax_Rounding,Tax_Rounding,Round_To),0)*IF(Round_To&gt;Tax_Rounding,Tax_Rounding,Round_To)</f>
        <v>33400</v>
      </c>
      <c r="AF143" s="29">
        <f>ROUND(+AE143*(1+'Tax Tables'!$C$10)/IF(Round_To&gt;Tax_Rounding,Tax_Rounding,Round_To),0)*IF(Round_To&gt;Tax_Rounding,Tax_Rounding,Round_To)</f>
        <v>34100</v>
      </c>
      <c r="AG143" s="29">
        <f>ROUND(+AF143*(1+'Tax Tables'!$C$10)/IF(Round_To&gt;Tax_Rounding,Tax_Rounding,Round_To),0)*IF(Round_To&gt;Tax_Rounding,Tax_Rounding,Round_To)</f>
        <v>34900</v>
      </c>
      <c r="AH143" s="29">
        <f>ROUND(+AG143*(1+'Tax Tables'!$C$10)/IF(Round_To&gt;Tax_Rounding,Tax_Rounding,Round_To),0)*IF(Round_To&gt;Tax_Rounding,Tax_Rounding,Round_To)</f>
        <v>35700</v>
      </c>
      <c r="AI143" s="29">
        <f>ROUND(+AH143*(1+'Tax Tables'!$C$10)/IF(Round_To&gt;Tax_Rounding,Tax_Rounding,Round_To),0)*IF(Round_To&gt;Tax_Rounding,Tax_Rounding,Round_To)</f>
        <v>36500</v>
      </c>
      <c r="AJ143" s="29">
        <f>ROUND(+AI143*(1+'Tax Tables'!$C$10)/IF(Round_To&gt;Tax_Rounding,Tax_Rounding,Round_To),0)*IF(Round_To&gt;Tax_Rounding,Tax_Rounding,Round_To)</f>
        <v>37300</v>
      </c>
      <c r="AK143" s="29">
        <f>ROUND(+AJ143*(1+'Tax Tables'!$C$10)/IF(Round_To&gt;Tax_Rounding,Tax_Rounding,Round_To),0)*IF(Round_To&gt;Tax_Rounding,Tax_Rounding,Round_To)</f>
        <v>38100</v>
      </c>
      <c r="AL143" s="29">
        <f>ROUND(+AK143*(1+'Tax Tables'!$C$10)/IF(Round_To&gt;Tax_Rounding,Tax_Rounding,Round_To),0)*IF(Round_To&gt;Tax_Rounding,Tax_Rounding,Round_To)</f>
        <v>38900</v>
      </c>
      <c r="AM143" s="29">
        <f>ROUND(+AL143*(1+'Tax Tables'!$C$10)/IF(Round_To&gt;Tax_Rounding,Tax_Rounding,Round_To),0)*IF(Round_To&gt;Tax_Rounding,Tax_Rounding,Round_To)</f>
        <v>39800</v>
      </c>
      <c r="AN143" s="29">
        <f>ROUND(+AM143*(1+'Tax Tables'!$C$10)/IF(Round_To&gt;Tax_Rounding,Tax_Rounding,Round_To),0)*IF(Round_To&gt;Tax_Rounding,Tax_Rounding,Round_To)</f>
        <v>40700</v>
      </c>
      <c r="AO143" s="29">
        <f>ROUND(+AN143*(1+'Tax Tables'!$C$10)/IF(Round_To&gt;Tax_Rounding,Tax_Rounding,Round_To),0)*IF(Round_To&gt;Tax_Rounding,Tax_Rounding,Round_To)</f>
        <v>41600</v>
      </c>
      <c r="AP143" s="29">
        <f>ROUND(+AO143*(1+'Tax Tables'!$C$10)/IF(Round_To&gt;Tax_Rounding,Tax_Rounding,Round_To),0)*IF(Round_To&gt;Tax_Rounding,Tax_Rounding,Round_To)</f>
        <v>42500</v>
      </c>
      <c r="AQ143" s="29">
        <f>ROUND(+AP143*(1+'Tax Tables'!$C$10)/IF(Round_To&gt;Tax_Rounding,Tax_Rounding,Round_To),0)*IF(Round_To&gt;Tax_Rounding,Tax_Rounding,Round_To)</f>
        <v>43400</v>
      </c>
      <c r="AR143" s="29">
        <f>ROUND(+AQ143*(1+'Tax Tables'!$C$10)/IF(Round_To&gt;Tax_Rounding,Tax_Rounding,Round_To),0)*IF(Round_To&gt;Tax_Rounding,Tax_Rounding,Round_To)</f>
        <v>44400</v>
      </c>
      <c r="AS143" s="29">
        <f>ROUND(+AR143*(1+'Tax Tables'!$C$10)/IF(Round_To&gt;Tax_Rounding,Tax_Rounding,Round_To),0)*IF(Round_To&gt;Tax_Rounding,Tax_Rounding,Round_To)</f>
        <v>45400</v>
      </c>
      <c r="AT143" s="29"/>
      <c r="AU143" s="66">
        <v>19050</v>
      </c>
    </row>
    <row r="144" spans="2:47" ht="15.6">
      <c r="B144" s="8" t="s">
        <v>1475</v>
      </c>
      <c r="C144" s="225">
        <v>479000</v>
      </c>
      <c r="D144" s="225">
        <v>488850</v>
      </c>
      <c r="E144" s="1644">
        <v>77400</v>
      </c>
      <c r="F144" s="487">
        <v>78950</v>
      </c>
      <c r="G144" s="29">
        <f>ROUND(+F144*(1+'Tax Tables'!$C$10)/IF(Round_To&gt;Tax_Rounding,Tax_Rounding,Round_To),0)*IF(Round_To&gt;Tax_Rounding,Tax_Rounding,Round_To)</f>
        <v>80700</v>
      </c>
      <c r="H144" s="29">
        <f>ROUND(+G144*(1+'Tax Tables'!$C$10)/IF(Round_To&gt;Tax_Rounding,Tax_Rounding,Round_To),0)*IF(Round_To&gt;Tax_Rounding,Tax_Rounding,Round_To)</f>
        <v>82500</v>
      </c>
      <c r="I144" s="29">
        <f>ROUND(+H144*(1+'Tax Tables'!$C$10)/IF(Round_To&gt;Tax_Rounding,Tax_Rounding,Round_To),0)*IF(Round_To&gt;Tax_Rounding,Tax_Rounding,Round_To)</f>
        <v>84300</v>
      </c>
      <c r="J144" s="29">
        <f>ROUND(+I144*(1+'Tax Tables'!$C$10)/IF(Round_To&gt;Tax_Rounding,Tax_Rounding,Round_To),0)*IF(Round_To&gt;Tax_Rounding,Tax_Rounding,Round_To)</f>
        <v>86200</v>
      </c>
      <c r="K144" s="29">
        <f>ROUND(+J144*(1+'Tax Tables'!$C$10)/IF(Round_To&gt;Tax_Rounding,Tax_Rounding,Round_To),0)*IF(Round_To&gt;Tax_Rounding,Tax_Rounding,Round_To)</f>
        <v>88100</v>
      </c>
      <c r="L144" s="29">
        <f>ROUND(+K144*(1+'Tax Tables'!$C$10)/IF(Round_To&gt;Tax_Rounding,Tax_Rounding,Round_To),0)*IF(Round_To&gt;Tax_Rounding,Tax_Rounding,Round_To)</f>
        <v>90000</v>
      </c>
      <c r="M144" s="29">
        <f>ROUND(+L144*(1+'Tax Tables'!$C$10)/IF(Round_To&gt;Tax_Rounding,Tax_Rounding,Round_To),0)*IF(Round_To&gt;Tax_Rounding,Tax_Rounding,Round_To)</f>
        <v>92000</v>
      </c>
      <c r="N144" s="29">
        <f>ROUND(+M144*(1+'Tax Tables'!$C$10)/IF(Round_To&gt;Tax_Rounding,Tax_Rounding,Round_To),0)*IF(Round_To&gt;Tax_Rounding,Tax_Rounding,Round_To)</f>
        <v>94000</v>
      </c>
      <c r="O144" s="29">
        <f>ROUND(+N144*(1+'Tax Tables'!$C$10)/IF(Round_To&gt;Tax_Rounding,Tax_Rounding,Round_To),0)*IF(Round_To&gt;Tax_Rounding,Tax_Rounding,Round_To)</f>
        <v>96100</v>
      </c>
      <c r="P144" s="29">
        <f>ROUND(+O144*(1+'Tax Tables'!$C$10)/IF(Round_To&gt;Tax_Rounding,Tax_Rounding,Round_To),0)*IF(Round_To&gt;Tax_Rounding,Tax_Rounding,Round_To)</f>
        <v>98200</v>
      </c>
      <c r="Q144" s="29">
        <f>ROUND(+P144*(1+'Tax Tables'!$C$10)/IF(Round_To&gt;Tax_Rounding,Tax_Rounding,Round_To),0)*IF(Round_To&gt;Tax_Rounding,Tax_Rounding,Round_To)</f>
        <v>100400</v>
      </c>
      <c r="R144" s="29">
        <f>ROUND(+Q144*(1+'Tax Tables'!$C$10)/IF(Round_To&gt;Tax_Rounding,Tax_Rounding,Round_To),0)*IF(Round_To&gt;Tax_Rounding,Tax_Rounding,Round_To)</f>
        <v>102600</v>
      </c>
      <c r="S144" s="29">
        <f>ROUND(+R144*(1+'Tax Tables'!$C$10)/IF(Round_To&gt;Tax_Rounding,Tax_Rounding,Round_To),0)*IF(Round_To&gt;Tax_Rounding,Tax_Rounding,Round_To)</f>
        <v>104900</v>
      </c>
      <c r="T144" s="29">
        <f>ROUND(+S144*(1+'Tax Tables'!$C$10)/IF(Round_To&gt;Tax_Rounding,Tax_Rounding,Round_To),0)*IF(Round_To&gt;Tax_Rounding,Tax_Rounding,Round_To)</f>
        <v>107200</v>
      </c>
      <c r="U144" s="29">
        <f>ROUND(+T144*(1+'Tax Tables'!$C$10)/IF(Round_To&gt;Tax_Rounding,Tax_Rounding,Round_To),0)*IF(Round_To&gt;Tax_Rounding,Tax_Rounding,Round_To)</f>
        <v>109600</v>
      </c>
      <c r="V144" s="29">
        <f>ROUND(+U144*(1+'Tax Tables'!$C$10)/IF(Round_To&gt;Tax_Rounding,Tax_Rounding,Round_To),0)*IF(Round_To&gt;Tax_Rounding,Tax_Rounding,Round_To)</f>
        <v>112000</v>
      </c>
      <c r="W144" s="29">
        <f>ROUND(+V144*(1+'Tax Tables'!$C$10)/IF(Round_To&gt;Tax_Rounding,Tax_Rounding,Round_To),0)*IF(Round_To&gt;Tax_Rounding,Tax_Rounding,Round_To)</f>
        <v>114500</v>
      </c>
      <c r="X144" s="29">
        <f>ROUND(+W144*(1+'Tax Tables'!$C$10)/IF(Round_To&gt;Tax_Rounding,Tax_Rounding,Round_To),0)*IF(Round_To&gt;Tax_Rounding,Tax_Rounding,Round_To)</f>
        <v>117000</v>
      </c>
      <c r="Y144" s="29">
        <f>ROUND(+X144*(1+'Tax Tables'!$C$10)/IF(Round_To&gt;Tax_Rounding,Tax_Rounding,Round_To),0)*IF(Round_To&gt;Tax_Rounding,Tax_Rounding,Round_To)</f>
        <v>119600</v>
      </c>
      <c r="Z144" s="29">
        <f>ROUND(+Y144*(1+'Tax Tables'!$C$10)/IF(Round_To&gt;Tax_Rounding,Tax_Rounding,Round_To),0)*IF(Round_To&gt;Tax_Rounding,Tax_Rounding,Round_To)</f>
        <v>122200</v>
      </c>
      <c r="AA144" s="29">
        <f>ROUND(+Z144*(1+'Tax Tables'!$C$10)/IF(Round_To&gt;Tax_Rounding,Tax_Rounding,Round_To),0)*IF(Round_To&gt;Tax_Rounding,Tax_Rounding,Round_To)</f>
        <v>124900</v>
      </c>
      <c r="AB144" s="29">
        <f>ROUND(+AA144*(1+'Tax Tables'!$C$10)/IF(Round_To&gt;Tax_Rounding,Tax_Rounding,Round_To),0)*IF(Round_To&gt;Tax_Rounding,Tax_Rounding,Round_To)</f>
        <v>127600</v>
      </c>
      <c r="AC144" s="29">
        <f>ROUND(+AB144*(1+'Tax Tables'!$C$10)/IF(Round_To&gt;Tax_Rounding,Tax_Rounding,Round_To),0)*IF(Round_To&gt;Tax_Rounding,Tax_Rounding,Round_To)</f>
        <v>130400</v>
      </c>
      <c r="AD144" s="29">
        <f>ROUND(+AC144*(1+'Tax Tables'!$C$10)/IF(Round_To&gt;Tax_Rounding,Tax_Rounding,Round_To),0)*IF(Round_To&gt;Tax_Rounding,Tax_Rounding,Round_To)</f>
        <v>133300</v>
      </c>
      <c r="AE144" s="29">
        <f>ROUND(+AD144*(1+'Tax Tables'!$C$10)/IF(Round_To&gt;Tax_Rounding,Tax_Rounding,Round_To),0)*IF(Round_To&gt;Tax_Rounding,Tax_Rounding,Round_To)</f>
        <v>136200</v>
      </c>
      <c r="AF144" s="29">
        <f>ROUND(+AE144*(1+'Tax Tables'!$C$10)/IF(Round_To&gt;Tax_Rounding,Tax_Rounding,Round_To),0)*IF(Round_To&gt;Tax_Rounding,Tax_Rounding,Round_To)</f>
        <v>139200</v>
      </c>
      <c r="AG144" s="29">
        <f>ROUND(+AF144*(1+'Tax Tables'!$C$10)/IF(Round_To&gt;Tax_Rounding,Tax_Rounding,Round_To),0)*IF(Round_To&gt;Tax_Rounding,Tax_Rounding,Round_To)</f>
        <v>142300</v>
      </c>
      <c r="AH144" s="29">
        <f>ROUND(+AG144*(1+'Tax Tables'!$C$10)/IF(Round_To&gt;Tax_Rounding,Tax_Rounding,Round_To),0)*IF(Round_To&gt;Tax_Rounding,Tax_Rounding,Round_To)</f>
        <v>145400</v>
      </c>
      <c r="AI144" s="29">
        <f>ROUND(+AH144*(1+'Tax Tables'!$C$10)/IF(Round_To&gt;Tax_Rounding,Tax_Rounding,Round_To),0)*IF(Round_To&gt;Tax_Rounding,Tax_Rounding,Round_To)</f>
        <v>148600</v>
      </c>
      <c r="AJ144" s="29">
        <f>ROUND(+AI144*(1+'Tax Tables'!$C$10)/IF(Round_To&gt;Tax_Rounding,Tax_Rounding,Round_To),0)*IF(Round_To&gt;Tax_Rounding,Tax_Rounding,Round_To)</f>
        <v>151900</v>
      </c>
      <c r="AK144" s="29">
        <f>ROUND(+AJ144*(1+'Tax Tables'!$C$10)/IF(Round_To&gt;Tax_Rounding,Tax_Rounding,Round_To),0)*IF(Round_To&gt;Tax_Rounding,Tax_Rounding,Round_To)</f>
        <v>155200</v>
      </c>
      <c r="AL144" s="29">
        <f>ROUND(+AK144*(1+'Tax Tables'!$C$10)/IF(Round_To&gt;Tax_Rounding,Tax_Rounding,Round_To),0)*IF(Round_To&gt;Tax_Rounding,Tax_Rounding,Round_To)</f>
        <v>158600</v>
      </c>
      <c r="AM144" s="29">
        <f>ROUND(+AL144*(1+'Tax Tables'!$C$10)/IF(Round_To&gt;Tax_Rounding,Tax_Rounding,Round_To),0)*IF(Round_To&gt;Tax_Rounding,Tax_Rounding,Round_To)</f>
        <v>162100</v>
      </c>
      <c r="AN144" s="29">
        <f>ROUND(+AM144*(1+'Tax Tables'!$C$10)/IF(Round_To&gt;Tax_Rounding,Tax_Rounding,Round_To),0)*IF(Round_To&gt;Tax_Rounding,Tax_Rounding,Round_To)</f>
        <v>165700</v>
      </c>
      <c r="AO144" s="29">
        <f>ROUND(+AN144*(1+'Tax Tables'!$C$10)/IF(Round_To&gt;Tax_Rounding,Tax_Rounding,Round_To),0)*IF(Round_To&gt;Tax_Rounding,Tax_Rounding,Round_To)</f>
        <v>169300</v>
      </c>
      <c r="AP144" s="29">
        <f>ROUND(+AO144*(1+'Tax Tables'!$C$10)/IF(Round_To&gt;Tax_Rounding,Tax_Rounding,Round_To),0)*IF(Round_To&gt;Tax_Rounding,Tax_Rounding,Round_To)</f>
        <v>173000</v>
      </c>
      <c r="AQ144" s="29">
        <f>ROUND(+AP144*(1+'Tax Tables'!$C$10)/IF(Round_To&gt;Tax_Rounding,Tax_Rounding,Round_To),0)*IF(Round_To&gt;Tax_Rounding,Tax_Rounding,Round_To)</f>
        <v>176800</v>
      </c>
      <c r="AR144" s="29">
        <f>ROUND(+AQ144*(1+'Tax Tables'!$C$10)/IF(Round_To&gt;Tax_Rounding,Tax_Rounding,Round_To),0)*IF(Round_To&gt;Tax_Rounding,Tax_Rounding,Round_To)</f>
        <v>180700</v>
      </c>
      <c r="AS144" s="29">
        <f>ROUND(+AR144*(1+'Tax Tables'!$C$10)/IF(Round_To&gt;Tax_Rounding,Tax_Rounding,Round_To),0)*IF(Round_To&gt;Tax_Rounding,Tax_Rounding,Round_To)</f>
        <v>184700</v>
      </c>
      <c r="AT144" s="29"/>
      <c r="AU144" s="66">
        <v>77400</v>
      </c>
    </row>
    <row r="145" spans="2:47" ht="15.6">
      <c r="B145" s="8" t="s">
        <v>1476</v>
      </c>
      <c r="C145" s="226">
        <v>0.15</v>
      </c>
      <c r="D145" s="226">
        <v>0.15</v>
      </c>
      <c r="E145" s="1645">
        <v>0.12</v>
      </c>
      <c r="F145" s="469">
        <v>0.12</v>
      </c>
      <c r="G145" s="61">
        <f>IF(Tax_Rates_Alt="y",IF(G$93=Setup!$F$234,+Setup!$E$234,+F145),+F145)</f>
        <v>0.12</v>
      </c>
      <c r="H145" s="61">
        <f>IF(Tax_Rates_Alt="y",IF(H$93=Setup!$F$234,+Setup!$E$234,+G145),+G145)</f>
        <v>0.12</v>
      </c>
      <c r="I145" s="61">
        <f>IF(Tax_Rates_Alt="y",IF(I$93=Setup!$F$234,+Setup!$E$234,+H145),+H145)</f>
        <v>0.12</v>
      </c>
      <c r="J145" s="61">
        <f>IF(Tax_Rates_Alt="y",IF(J$93=Setup!$F$234,+Setup!$E$234,+I145),+I145)</f>
        <v>0.12</v>
      </c>
      <c r="K145" s="61">
        <f>IF(Tax_Rates_Alt="y",IF(K$93=Setup!$F$234,+Setup!$E$234,+J145),+J145)</f>
        <v>0.12</v>
      </c>
      <c r="L145" s="61">
        <f>IF(Tax_Rates_Alt="y",IF(L$93=Setup!$F$234,+Setup!$E$234,+K145),+K145)</f>
        <v>0.12</v>
      </c>
      <c r="M145" s="61">
        <f>IF(Tax_Rates_Alt="y",IF(M$93=Setup!$F$234,+Setup!$E$234,+L145),+L145)</f>
        <v>0.12</v>
      </c>
      <c r="N145" s="61">
        <f>IF(Tax_Rates_Alt="y",IF(N$93=Setup!$F$234,+Setup!$E$234,+M145),+M145)</f>
        <v>0.12</v>
      </c>
      <c r="O145" s="61">
        <f>IF(Tax_Rates_Alt="y",IF(O$93=Setup!$F$234,+Setup!$E$234,+N145),+N145)</f>
        <v>0.12</v>
      </c>
      <c r="P145" s="61">
        <f>IF(Tax_Rates_Alt="y",IF(P$93=Setup!$F$234,+Setup!$E$234,+O145),+O145)</f>
        <v>0.12</v>
      </c>
      <c r="Q145" s="61">
        <f>IF(Tax_Rates_Alt="y",IF(Q$93=Setup!$F$234,+Setup!$E$234,+P145),+P145)</f>
        <v>0.12</v>
      </c>
      <c r="R145" s="61">
        <f>IF(Tax_Rates_Alt="y",IF(R$93=Setup!$F$234,+Setup!$E$234,+Q145),+Q145)</f>
        <v>0.12</v>
      </c>
      <c r="S145" s="61">
        <f>IF(Tax_Rates_Alt="y",IF(S$93=Setup!$F$234,+Setup!$E$234,+R145),+R145)</f>
        <v>0.12</v>
      </c>
      <c r="T145" s="61">
        <f>IF(Tax_Rates_Alt="y",IF(T$93=Setup!$F$234,+Setup!$E$234,+S145),+S145)</f>
        <v>0.12</v>
      </c>
      <c r="U145" s="61">
        <f>IF(Tax_Rates_Alt="y",IF(U$93=Setup!$F$234,+Setup!$E$234,+T145),+T145)</f>
        <v>0.12</v>
      </c>
      <c r="V145" s="61">
        <f>IF(Tax_Rates_Alt="y",IF(V$93=Setup!$F$234,+Setup!$E$234,+U145),+U145)</f>
        <v>0.12</v>
      </c>
      <c r="W145" s="61">
        <f>IF(Tax_Rates_Alt="y",IF(W$93=Setup!$F$234,+Setup!$E$234,+V145),+V145)</f>
        <v>0.12</v>
      </c>
      <c r="X145" s="61">
        <f>IF(Tax_Rates_Alt="y",IF(X$93=Setup!$F$234,+Setup!$E$234,+W145),+W145)</f>
        <v>0.12</v>
      </c>
      <c r="Y145" s="61">
        <f>IF(Tax_Rates_Alt="y",IF(Y$93=Setup!$F$234,+Setup!$E$234,+X145),+X145)</f>
        <v>0.12</v>
      </c>
      <c r="Z145" s="61">
        <f>IF(Tax_Rates_Alt="y",IF(Z$93=Setup!$F$234,+Setup!$E$234,+Y145),+Y145)</f>
        <v>0.12</v>
      </c>
      <c r="AA145" s="61">
        <f>IF(Tax_Rates_Alt="y",IF(AA$93=Setup!$F$234,+Setup!$E$234,+Z145),+Z145)</f>
        <v>0.12</v>
      </c>
      <c r="AB145" s="61">
        <f>IF(Tax_Rates_Alt="y",IF(AB$93=Setup!$F$234,+Setup!$E$234,+AA145),+AA145)</f>
        <v>0.12</v>
      </c>
      <c r="AC145" s="61">
        <f>IF(Tax_Rates_Alt="y",IF(AC$93=Setup!$F$234,+Setup!$E$234,+AB145),+AB145)</f>
        <v>0.12</v>
      </c>
      <c r="AD145" s="61">
        <f>IF(Tax_Rates_Alt="y",IF(AD$93=Setup!$F$234,+Setup!$E$234,+AC145),+AC145)</f>
        <v>0.12</v>
      </c>
      <c r="AE145" s="61">
        <f>IF(Tax_Rates_Alt="y",IF(AE$93=Setup!$F$234,+Setup!$E$234,+AD145),+AD145)</f>
        <v>0.12</v>
      </c>
      <c r="AF145" s="61">
        <f>IF(Tax_Rates_Alt="y",IF(AF$93=Setup!$F$234,+Setup!$E$234,+AE145),+AE145)</f>
        <v>0.12</v>
      </c>
      <c r="AG145" s="61">
        <f>IF(Tax_Rates_Alt="y",IF(AG$93=Setup!$F$234,+Setup!$E$234,+AF145),+AF145)</f>
        <v>0.12</v>
      </c>
      <c r="AH145" s="61">
        <f>IF(Tax_Rates_Alt="y",IF(AH$93=Setup!$F$234,+Setup!$E$234,+AG145),+AG145)</f>
        <v>0.12</v>
      </c>
      <c r="AI145" s="61">
        <f>IF(Tax_Rates_Alt="y",IF(AI$93=Setup!$F$234,+Setup!$E$234,+AH145),+AH145)</f>
        <v>0.12</v>
      </c>
      <c r="AJ145" s="61">
        <f>IF(Tax_Rates_Alt="y",IF(AJ$93=Setup!$F$234,+Setup!$E$234,+AI145),+AI145)</f>
        <v>0.12</v>
      </c>
      <c r="AK145" s="61">
        <f>IF(Tax_Rates_Alt="y",IF(AK$93=Setup!$F$234,+Setup!$E$234,+AJ145),+AJ145)</f>
        <v>0.12</v>
      </c>
      <c r="AL145" s="61">
        <f>IF(Tax_Rates_Alt="y",IF(AL$93=Setup!$F$234,+Setup!$E$234,+AK145),+AK145)</f>
        <v>0.12</v>
      </c>
      <c r="AM145" s="61">
        <f>IF(Tax_Rates_Alt="y",IF(AM$93=Setup!$F$234,+Setup!$E$234,+AL145),+AL145)</f>
        <v>0.12</v>
      </c>
      <c r="AN145" s="61">
        <f>IF(Tax_Rates_Alt="y",IF(AN$93=Setup!$F$234,+Setup!$E$234,+AM145),+AM145)</f>
        <v>0.12</v>
      </c>
      <c r="AO145" s="61">
        <f>IF(Tax_Rates_Alt="y",IF(AO$93=Setup!$F$234,+Setup!$E$234,+AN145),+AN145)</f>
        <v>0.12</v>
      </c>
      <c r="AP145" s="61">
        <f>IF(Tax_Rates_Alt="y",IF(AP$93=Setup!$F$234,+Setup!$E$234,+AO145),+AO145)</f>
        <v>0.12</v>
      </c>
      <c r="AQ145" s="61">
        <f>IF(Tax_Rates_Alt="y",IF(AQ$93=Setup!$F$234,+Setup!$E$234,+AP145),+AP145)</f>
        <v>0.12</v>
      </c>
      <c r="AR145" s="61">
        <f>IF(Tax_Rates_Alt="y",IF(AR$93=Setup!$F$234,+Setup!$E$234,+AQ145),+AQ145)</f>
        <v>0.12</v>
      </c>
      <c r="AS145" s="61">
        <f>IF(Tax_Rates_Alt="y",IF(AS$93=Setup!$F$234,+Setup!$E$234,+AR145),+AR145)</f>
        <v>0.12</v>
      </c>
      <c r="AT145" s="61"/>
      <c r="AU145" s="1403">
        <v>0.15</v>
      </c>
    </row>
    <row r="146" spans="2:47" ht="15.6">
      <c r="B146" s="8" t="s">
        <v>1414</v>
      </c>
      <c r="C146" s="29">
        <f>(+C144-C143)*C145</f>
        <v>60270</v>
      </c>
      <c r="D146" s="29">
        <f>(+D144-D143)*D145</f>
        <v>61515</v>
      </c>
      <c r="E146" s="29">
        <f t="shared" ref="E146:AS146" si="112">ROUND((+E144-E143)*E145/IF(Round_To&gt;Tax_Rounding,Tax_Rounding,Round_To),0)*IF(Round_To&gt;Tax_Rounding,Tax_Rounding,Round_To)</f>
        <v>7000</v>
      </c>
      <c r="F146" s="29">
        <f t="shared" si="112"/>
        <v>7100</v>
      </c>
      <c r="G146" s="29">
        <f t="shared" si="112"/>
        <v>7300</v>
      </c>
      <c r="H146" s="29">
        <f t="shared" si="112"/>
        <v>7500</v>
      </c>
      <c r="I146" s="29">
        <f t="shared" si="112"/>
        <v>7600</v>
      </c>
      <c r="J146" s="29">
        <f t="shared" si="112"/>
        <v>7800</v>
      </c>
      <c r="K146" s="29">
        <f t="shared" si="112"/>
        <v>8000</v>
      </c>
      <c r="L146" s="29">
        <f t="shared" si="112"/>
        <v>8100</v>
      </c>
      <c r="M146" s="29">
        <f t="shared" si="112"/>
        <v>8300</v>
      </c>
      <c r="N146" s="29">
        <f t="shared" si="112"/>
        <v>8500</v>
      </c>
      <c r="O146" s="29">
        <f t="shared" si="112"/>
        <v>8700</v>
      </c>
      <c r="P146" s="29">
        <f t="shared" si="112"/>
        <v>8900</v>
      </c>
      <c r="Q146" s="29">
        <f t="shared" si="112"/>
        <v>9100</v>
      </c>
      <c r="R146" s="29">
        <f t="shared" si="112"/>
        <v>9300</v>
      </c>
      <c r="S146" s="29">
        <f t="shared" si="112"/>
        <v>9500</v>
      </c>
      <c r="T146" s="29">
        <f t="shared" si="112"/>
        <v>9700</v>
      </c>
      <c r="U146" s="29">
        <f t="shared" si="112"/>
        <v>9900</v>
      </c>
      <c r="V146" s="29">
        <f t="shared" si="112"/>
        <v>10100</v>
      </c>
      <c r="W146" s="29">
        <f t="shared" si="112"/>
        <v>10400</v>
      </c>
      <c r="X146" s="29">
        <f t="shared" si="112"/>
        <v>10600</v>
      </c>
      <c r="Y146" s="29">
        <f t="shared" si="112"/>
        <v>10800</v>
      </c>
      <c r="Z146" s="29">
        <f t="shared" si="112"/>
        <v>11100</v>
      </c>
      <c r="AA146" s="29">
        <f t="shared" si="112"/>
        <v>11300</v>
      </c>
      <c r="AB146" s="29">
        <f t="shared" si="112"/>
        <v>11600</v>
      </c>
      <c r="AC146" s="29">
        <f t="shared" si="112"/>
        <v>11800</v>
      </c>
      <c r="AD146" s="29">
        <f t="shared" si="112"/>
        <v>12100</v>
      </c>
      <c r="AE146" s="29">
        <f t="shared" si="112"/>
        <v>12300</v>
      </c>
      <c r="AF146" s="29">
        <f t="shared" si="112"/>
        <v>12600</v>
      </c>
      <c r="AG146" s="29">
        <f t="shared" si="112"/>
        <v>12900</v>
      </c>
      <c r="AH146" s="29">
        <f t="shared" si="112"/>
        <v>13200</v>
      </c>
      <c r="AI146" s="29">
        <f t="shared" si="112"/>
        <v>13500</v>
      </c>
      <c r="AJ146" s="29">
        <f t="shared" si="112"/>
        <v>13800</v>
      </c>
      <c r="AK146" s="29">
        <f t="shared" si="112"/>
        <v>14100</v>
      </c>
      <c r="AL146" s="29">
        <f t="shared" si="112"/>
        <v>14400</v>
      </c>
      <c r="AM146" s="29">
        <f t="shared" si="112"/>
        <v>14700</v>
      </c>
      <c r="AN146" s="29">
        <f t="shared" si="112"/>
        <v>15000</v>
      </c>
      <c r="AO146" s="29">
        <f t="shared" si="112"/>
        <v>15300</v>
      </c>
      <c r="AP146" s="29">
        <f t="shared" si="112"/>
        <v>15700</v>
      </c>
      <c r="AQ146" s="29">
        <f t="shared" si="112"/>
        <v>16000</v>
      </c>
      <c r="AR146" s="29">
        <f t="shared" si="112"/>
        <v>16400</v>
      </c>
      <c r="AS146" s="29">
        <f t="shared" si="112"/>
        <v>16700</v>
      </c>
      <c r="AT146" s="29"/>
      <c r="AU146" s="22"/>
    </row>
    <row r="147" spans="2:47" ht="15.6">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2"/>
    </row>
    <row r="148" spans="2:47" ht="15.6">
      <c r="B148" s="539" t="s">
        <v>1976</v>
      </c>
      <c r="C148" s="29">
        <f>+C144</f>
        <v>479000</v>
      </c>
      <c r="D148" s="29">
        <f>+D144</f>
        <v>488850</v>
      </c>
      <c r="E148" s="29">
        <f>+E144</f>
        <v>77400</v>
      </c>
      <c r="F148" s="33">
        <f>+F144</f>
        <v>78950</v>
      </c>
      <c r="G148" s="29">
        <f>ROUND(+F148*(1+'Tax Tables'!$C$10)/IF(Round_To&gt;Tax_Rounding,Tax_Rounding,Round_To),0)*IF(Round_To&gt;Tax_Rounding,Tax_Rounding,Round_To)</f>
        <v>80700</v>
      </c>
      <c r="H148" s="29">
        <f>ROUND(+G148*(1+'Tax Tables'!$C$10)/IF(Round_To&gt;Tax_Rounding,Tax_Rounding,Round_To),0)*IF(Round_To&gt;Tax_Rounding,Tax_Rounding,Round_To)</f>
        <v>82500</v>
      </c>
      <c r="I148" s="29">
        <f>ROUND(+H148*(1+'Tax Tables'!$C$10)/IF(Round_To&gt;Tax_Rounding,Tax_Rounding,Round_To),0)*IF(Round_To&gt;Tax_Rounding,Tax_Rounding,Round_To)</f>
        <v>84300</v>
      </c>
      <c r="J148" s="29">
        <f>ROUND(+I148*(1+'Tax Tables'!$C$10)/IF(Round_To&gt;Tax_Rounding,Tax_Rounding,Round_To),0)*IF(Round_To&gt;Tax_Rounding,Tax_Rounding,Round_To)</f>
        <v>86200</v>
      </c>
      <c r="K148" s="29">
        <f>ROUND(+J148*(1+'Tax Tables'!$C$10)/IF(Round_To&gt;Tax_Rounding,Tax_Rounding,Round_To),0)*IF(Round_To&gt;Tax_Rounding,Tax_Rounding,Round_To)</f>
        <v>88100</v>
      </c>
      <c r="L148" s="29">
        <f>ROUND(+K148*(1+'Tax Tables'!$C$10)/IF(Round_To&gt;Tax_Rounding,Tax_Rounding,Round_To),0)*IF(Round_To&gt;Tax_Rounding,Tax_Rounding,Round_To)</f>
        <v>90000</v>
      </c>
      <c r="M148" s="29">
        <f>ROUND(+L148*(1+'Tax Tables'!$C$10)/IF(Round_To&gt;Tax_Rounding,Tax_Rounding,Round_To),0)*IF(Round_To&gt;Tax_Rounding,Tax_Rounding,Round_To)</f>
        <v>92000</v>
      </c>
      <c r="N148" s="29">
        <f>ROUND(+M148*(1+'Tax Tables'!$C$10)/IF(Round_To&gt;Tax_Rounding,Tax_Rounding,Round_To),0)*IF(Round_To&gt;Tax_Rounding,Tax_Rounding,Round_To)</f>
        <v>94000</v>
      </c>
      <c r="O148" s="29">
        <f>ROUND(+N148*(1+'Tax Tables'!$C$10)/IF(Round_To&gt;Tax_Rounding,Tax_Rounding,Round_To),0)*IF(Round_To&gt;Tax_Rounding,Tax_Rounding,Round_To)</f>
        <v>96100</v>
      </c>
      <c r="P148" s="29">
        <f>ROUND(+O148*(1+'Tax Tables'!$C$10)/IF(Round_To&gt;Tax_Rounding,Tax_Rounding,Round_To),0)*IF(Round_To&gt;Tax_Rounding,Tax_Rounding,Round_To)</f>
        <v>98200</v>
      </c>
      <c r="Q148" s="29">
        <f>ROUND(+P148*(1+'Tax Tables'!$C$10)/IF(Round_To&gt;Tax_Rounding,Tax_Rounding,Round_To),0)*IF(Round_To&gt;Tax_Rounding,Tax_Rounding,Round_To)</f>
        <v>100400</v>
      </c>
      <c r="R148" s="29">
        <f>ROUND(+Q148*(1+'Tax Tables'!$C$10)/IF(Round_To&gt;Tax_Rounding,Tax_Rounding,Round_To),0)*IF(Round_To&gt;Tax_Rounding,Tax_Rounding,Round_To)</f>
        <v>102600</v>
      </c>
      <c r="S148" s="29">
        <f>ROUND(+R148*(1+'Tax Tables'!$C$10)/IF(Round_To&gt;Tax_Rounding,Tax_Rounding,Round_To),0)*IF(Round_To&gt;Tax_Rounding,Tax_Rounding,Round_To)</f>
        <v>104900</v>
      </c>
      <c r="T148" s="29">
        <f>ROUND(+S148*(1+'Tax Tables'!$C$10)/IF(Round_To&gt;Tax_Rounding,Tax_Rounding,Round_To),0)*IF(Round_To&gt;Tax_Rounding,Tax_Rounding,Round_To)</f>
        <v>107200</v>
      </c>
      <c r="U148" s="29">
        <f>ROUND(+T148*(1+'Tax Tables'!$C$10)/IF(Round_To&gt;Tax_Rounding,Tax_Rounding,Round_To),0)*IF(Round_To&gt;Tax_Rounding,Tax_Rounding,Round_To)</f>
        <v>109600</v>
      </c>
      <c r="V148" s="29">
        <f>ROUND(+U148*(1+'Tax Tables'!$C$10)/IF(Round_To&gt;Tax_Rounding,Tax_Rounding,Round_To),0)*IF(Round_To&gt;Tax_Rounding,Tax_Rounding,Round_To)</f>
        <v>112000</v>
      </c>
      <c r="W148" s="29">
        <f>ROUND(+V148*(1+'Tax Tables'!$C$10)/IF(Round_To&gt;Tax_Rounding,Tax_Rounding,Round_To),0)*IF(Round_To&gt;Tax_Rounding,Tax_Rounding,Round_To)</f>
        <v>114500</v>
      </c>
      <c r="X148" s="29">
        <f>ROUND(+W148*(1+'Tax Tables'!$C$10)/IF(Round_To&gt;Tax_Rounding,Tax_Rounding,Round_To),0)*IF(Round_To&gt;Tax_Rounding,Tax_Rounding,Round_To)</f>
        <v>117000</v>
      </c>
      <c r="Y148" s="29">
        <f>ROUND(+X148*(1+'Tax Tables'!$C$10)/IF(Round_To&gt;Tax_Rounding,Tax_Rounding,Round_To),0)*IF(Round_To&gt;Tax_Rounding,Tax_Rounding,Round_To)</f>
        <v>119600</v>
      </c>
      <c r="Z148" s="29">
        <f>ROUND(+Y148*(1+'Tax Tables'!$C$10)/IF(Round_To&gt;Tax_Rounding,Tax_Rounding,Round_To),0)*IF(Round_To&gt;Tax_Rounding,Tax_Rounding,Round_To)</f>
        <v>122200</v>
      </c>
      <c r="AA148" s="29">
        <f>ROUND(+Z148*(1+'Tax Tables'!$C$10)/IF(Round_To&gt;Tax_Rounding,Tax_Rounding,Round_To),0)*IF(Round_To&gt;Tax_Rounding,Tax_Rounding,Round_To)</f>
        <v>124900</v>
      </c>
      <c r="AB148" s="29">
        <f>ROUND(+AA148*(1+'Tax Tables'!$C$10)/IF(Round_To&gt;Tax_Rounding,Tax_Rounding,Round_To),0)*IF(Round_To&gt;Tax_Rounding,Tax_Rounding,Round_To)</f>
        <v>127600</v>
      </c>
      <c r="AC148" s="29">
        <f>ROUND(+AB148*(1+'Tax Tables'!$C$10)/IF(Round_To&gt;Tax_Rounding,Tax_Rounding,Round_To),0)*IF(Round_To&gt;Tax_Rounding,Tax_Rounding,Round_To)</f>
        <v>130400</v>
      </c>
      <c r="AD148" s="29">
        <f>ROUND(+AC148*(1+'Tax Tables'!$C$10)/IF(Round_To&gt;Tax_Rounding,Tax_Rounding,Round_To),0)*IF(Round_To&gt;Tax_Rounding,Tax_Rounding,Round_To)</f>
        <v>133300</v>
      </c>
      <c r="AE148" s="29">
        <f>ROUND(+AD148*(1+'Tax Tables'!$C$10)/IF(Round_To&gt;Tax_Rounding,Tax_Rounding,Round_To),0)*IF(Round_To&gt;Tax_Rounding,Tax_Rounding,Round_To)</f>
        <v>136200</v>
      </c>
      <c r="AF148" s="29">
        <f>ROUND(+AE148*(1+'Tax Tables'!$C$10)/IF(Round_To&gt;Tax_Rounding,Tax_Rounding,Round_To),0)*IF(Round_To&gt;Tax_Rounding,Tax_Rounding,Round_To)</f>
        <v>139200</v>
      </c>
      <c r="AG148" s="29">
        <f>ROUND(+AF148*(1+'Tax Tables'!$C$10)/IF(Round_To&gt;Tax_Rounding,Tax_Rounding,Round_To),0)*IF(Round_To&gt;Tax_Rounding,Tax_Rounding,Round_To)</f>
        <v>142300</v>
      </c>
      <c r="AH148" s="29">
        <f>ROUND(+AG148*(1+'Tax Tables'!$C$10)/IF(Round_To&gt;Tax_Rounding,Tax_Rounding,Round_To),0)*IF(Round_To&gt;Tax_Rounding,Tax_Rounding,Round_To)</f>
        <v>145400</v>
      </c>
      <c r="AI148" s="29">
        <f>ROUND(+AH148*(1+'Tax Tables'!$C$10)/IF(Round_To&gt;Tax_Rounding,Tax_Rounding,Round_To),0)*IF(Round_To&gt;Tax_Rounding,Tax_Rounding,Round_To)</f>
        <v>148600</v>
      </c>
      <c r="AJ148" s="29">
        <f>ROUND(+AI148*(1+'Tax Tables'!$C$10)/IF(Round_To&gt;Tax_Rounding,Tax_Rounding,Round_To),0)*IF(Round_To&gt;Tax_Rounding,Tax_Rounding,Round_To)</f>
        <v>151900</v>
      </c>
      <c r="AK148" s="29">
        <f>ROUND(+AJ148*(1+'Tax Tables'!$C$10)/IF(Round_To&gt;Tax_Rounding,Tax_Rounding,Round_To),0)*IF(Round_To&gt;Tax_Rounding,Tax_Rounding,Round_To)</f>
        <v>155200</v>
      </c>
      <c r="AL148" s="29">
        <f>ROUND(+AK148*(1+'Tax Tables'!$C$10)/IF(Round_To&gt;Tax_Rounding,Tax_Rounding,Round_To),0)*IF(Round_To&gt;Tax_Rounding,Tax_Rounding,Round_To)</f>
        <v>158600</v>
      </c>
      <c r="AM148" s="29">
        <f>ROUND(+AL148*(1+'Tax Tables'!$C$10)/IF(Round_To&gt;Tax_Rounding,Tax_Rounding,Round_To),0)*IF(Round_To&gt;Tax_Rounding,Tax_Rounding,Round_To)</f>
        <v>162100</v>
      </c>
      <c r="AN148" s="29">
        <f>ROUND(+AM148*(1+'Tax Tables'!$C$10)/IF(Round_To&gt;Tax_Rounding,Tax_Rounding,Round_To),0)*IF(Round_To&gt;Tax_Rounding,Tax_Rounding,Round_To)</f>
        <v>165700</v>
      </c>
      <c r="AO148" s="29">
        <f>ROUND(+AN148*(1+'Tax Tables'!$C$10)/IF(Round_To&gt;Tax_Rounding,Tax_Rounding,Round_To),0)*IF(Round_To&gt;Tax_Rounding,Tax_Rounding,Round_To)</f>
        <v>169300</v>
      </c>
      <c r="AP148" s="29">
        <f>ROUND(+AO148*(1+'Tax Tables'!$C$10)/IF(Round_To&gt;Tax_Rounding,Tax_Rounding,Round_To),0)*IF(Round_To&gt;Tax_Rounding,Tax_Rounding,Round_To)</f>
        <v>173000</v>
      </c>
      <c r="AQ148" s="29">
        <f>ROUND(+AP148*(1+'Tax Tables'!$C$10)/IF(Round_To&gt;Tax_Rounding,Tax_Rounding,Round_To),0)*IF(Round_To&gt;Tax_Rounding,Tax_Rounding,Round_To)</f>
        <v>176800</v>
      </c>
      <c r="AR148" s="29">
        <f>ROUND(+AQ148*(1+'Tax Tables'!$C$10)/IF(Round_To&gt;Tax_Rounding,Tax_Rounding,Round_To),0)*IF(Round_To&gt;Tax_Rounding,Tax_Rounding,Round_To)</f>
        <v>180700</v>
      </c>
      <c r="AS148" s="29">
        <f>ROUND(+AR148*(1+'Tax Tables'!$C$10)/IF(Round_To&gt;Tax_Rounding,Tax_Rounding,Round_To),0)*IF(Round_To&gt;Tax_Rounding,Tax_Rounding,Round_To)</f>
        <v>184700</v>
      </c>
      <c r="AT148" s="29"/>
      <c r="AU148" s="66">
        <v>77400</v>
      </c>
    </row>
    <row r="149" spans="2:47" ht="15.6">
      <c r="B149" s="8" t="s">
        <v>1475</v>
      </c>
      <c r="C149" s="225"/>
      <c r="D149" s="225"/>
      <c r="E149" s="1644">
        <v>165000</v>
      </c>
      <c r="F149" s="487">
        <v>168400</v>
      </c>
      <c r="G149" s="29">
        <f>ROUND(+F149*(1+'Tax Tables'!$C$10)/IF(Round_To&gt;Tax_Rounding,Tax_Rounding,Round_To),0)*IF(Round_To&gt;Tax_Rounding,Tax_Rounding,Round_To)</f>
        <v>172100</v>
      </c>
      <c r="H149" s="29">
        <f>ROUND(+G149*(1+'Tax Tables'!$C$10)/IF(Round_To&gt;Tax_Rounding,Tax_Rounding,Round_To),0)*IF(Round_To&gt;Tax_Rounding,Tax_Rounding,Round_To)</f>
        <v>175900</v>
      </c>
      <c r="I149" s="29">
        <f>ROUND(+H149*(1+'Tax Tables'!$C$10)/IF(Round_To&gt;Tax_Rounding,Tax_Rounding,Round_To),0)*IF(Round_To&gt;Tax_Rounding,Tax_Rounding,Round_To)</f>
        <v>179800</v>
      </c>
      <c r="J149" s="29">
        <f>ROUND(+I149*(1+'Tax Tables'!$C$10)/IF(Round_To&gt;Tax_Rounding,Tax_Rounding,Round_To),0)*IF(Round_To&gt;Tax_Rounding,Tax_Rounding,Round_To)</f>
        <v>183800</v>
      </c>
      <c r="K149" s="29">
        <f>ROUND(+J149*(1+'Tax Tables'!$C$10)/IF(Round_To&gt;Tax_Rounding,Tax_Rounding,Round_To),0)*IF(Round_To&gt;Tax_Rounding,Tax_Rounding,Round_To)</f>
        <v>187800</v>
      </c>
      <c r="L149" s="29">
        <f>ROUND(+K149*(1+'Tax Tables'!$C$10)/IF(Round_To&gt;Tax_Rounding,Tax_Rounding,Round_To),0)*IF(Round_To&gt;Tax_Rounding,Tax_Rounding,Round_To)</f>
        <v>191900</v>
      </c>
      <c r="M149" s="29">
        <f>ROUND(+L149*(1+'Tax Tables'!$C$10)/IF(Round_To&gt;Tax_Rounding,Tax_Rounding,Round_To),0)*IF(Round_To&gt;Tax_Rounding,Tax_Rounding,Round_To)</f>
        <v>196100</v>
      </c>
      <c r="N149" s="29">
        <f>ROUND(+M149*(1+'Tax Tables'!$C$10)/IF(Round_To&gt;Tax_Rounding,Tax_Rounding,Round_To),0)*IF(Round_To&gt;Tax_Rounding,Tax_Rounding,Round_To)</f>
        <v>200400</v>
      </c>
      <c r="O149" s="29">
        <f>ROUND(+N149*(1+'Tax Tables'!$C$10)/IF(Round_To&gt;Tax_Rounding,Tax_Rounding,Round_To),0)*IF(Round_To&gt;Tax_Rounding,Tax_Rounding,Round_To)</f>
        <v>204800</v>
      </c>
      <c r="P149" s="29">
        <f>ROUND(+O149*(1+'Tax Tables'!$C$10)/IF(Round_To&gt;Tax_Rounding,Tax_Rounding,Round_To),0)*IF(Round_To&gt;Tax_Rounding,Tax_Rounding,Round_To)</f>
        <v>209300</v>
      </c>
      <c r="Q149" s="29">
        <f>ROUND(+P149*(1+'Tax Tables'!$C$10)/IF(Round_To&gt;Tax_Rounding,Tax_Rounding,Round_To),0)*IF(Round_To&gt;Tax_Rounding,Tax_Rounding,Round_To)</f>
        <v>213900</v>
      </c>
      <c r="R149" s="29">
        <f>ROUND(+Q149*(1+'Tax Tables'!$C$10)/IF(Round_To&gt;Tax_Rounding,Tax_Rounding,Round_To),0)*IF(Round_To&gt;Tax_Rounding,Tax_Rounding,Round_To)</f>
        <v>218600</v>
      </c>
      <c r="S149" s="29">
        <f>ROUND(+R149*(1+'Tax Tables'!$C$10)/IF(Round_To&gt;Tax_Rounding,Tax_Rounding,Round_To),0)*IF(Round_To&gt;Tax_Rounding,Tax_Rounding,Round_To)</f>
        <v>223400</v>
      </c>
      <c r="T149" s="29">
        <f>ROUND(+S149*(1+'Tax Tables'!$C$10)/IF(Round_To&gt;Tax_Rounding,Tax_Rounding,Round_To),0)*IF(Round_To&gt;Tax_Rounding,Tax_Rounding,Round_To)</f>
        <v>228300</v>
      </c>
      <c r="U149" s="29">
        <f>ROUND(+T149*(1+'Tax Tables'!$C$10)/IF(Round_To&gt;Tax_Rounding,Tax_Rounding,Round_To),0)*IF(Round_To&gt;Tax_Rounding,Tax_Rounding,Round_To)</f>
        <v>233300</v>
      </c>
      <c r="V149" s="29">
        <f>ROUND(+U149*(1+'Tax Tables'!$C$10)/IF(Round_To&gt;Tax_Rounding,Tax_Rounding,Round_To),0)*IF(Round_To&gt;Tax_Rounding,Tax_Rounding,Round_To)</f>
        <v>238400</v>
      </c>
      <c r="W149" s="29">
        <f>ROUND(+V149*(1+'Tax Tables'!$C$10)/IF(Round_To&gt;Tax_Rounding,Tax_Rounding,Round_To),0)*IF(Round_To&gt;Tax_Rounding,Tax_Rounding,Round_To)</f>
        <v>243600</v>
      </c>
      <c r="X149" s="29">
        <f>ROUND(+W149*(1+'Tax Tables'!$C$10)/IF(Round_To&gt;Tax_Rounding,Tax_Rounding,Round_To),0)*IF(Round_To&gt;Tax_Rounding,Tax_Rounding,Round_To)</f>
        <v>249000</v>
      </c>
      <c r="Y149" s="29">
        <f>ROUND(+X149*(1+'Tax Tables'!$C$10)/IF(Round_To&gt;Tax_Rounding,Tax_Rounding,Round_To),0)*IF(Round_To&gt;Tax_Rounding,Tax_Rounding,Round_To)</f>
        <v>254500</v>
      </c>
      <c r="Z149" s="29">
        <f>ROUND(+Y149*(1+'Tax Tables'!$C$10)/IF(Round_To&gt;Tax_Rounding,Tax_Rounding,Round_To),0)*IF(Round_To&gt;Tax_Rounding,Tax_Rounding,Round_To)</f>
        <v>260100</v>
      </c>
      <c r="AA149" s="29">
        <f>ROUND(+Z149*(1+'Tax Tables'!$C$10)/IF(Round_To&gt;Tax_Rounding,Tax_Rounding,Round_To),0)*IF(Round_To&gt;Tax_Rounding,Tax_Rounding,Round_To)</f>
        <v>265800</v>
      </c>
      <c r="AB149" s="29">
        <f>ROUND(+AA149*(1+'Tax Tables'!$C$10)/IF(Round_To&gt;Tax_Rounding,Tax_Rounding,Round_To),0)*IF(Round_To&gt;Tax_Rounding,Tax_Rounding,Round_To)</f>
        <v>271600</v>
      </c>
      <c r="AC149" s="29">
        <f>ROUND(+AB149*(1+'Tax Tables'!$C$10)/IF(Round_To&gt;Tax_Rounding,Tax_Rounding,Round_To),0)*IF(Round_To&gt;Tax_Rounding,Tax_Rounding,Round_To)</f>
        <v>277600</v>
      </c>
      <c r="AD149" s="29">
        <f>ROUND(+AC149*(1+'Tax Tables'!$C$10)/IF(Round_To&gt;Tax_Rounding,Tax_Rounding,Round_To),0)*IF(Round_To&gt;Tax_Rounding,Tax_Rounding,Round_To)</f>
        <v>283700</v>
      </c>
      <c r="AE149" s="29">
        <f>ROUND(+AD149*(1+'Tax Tables'!$C$10)/IF(Round_To&gt;Tax_Rounding,Tax_Rounding,Round_To),0)*IF(Round_To&gt;Tax_Rounding,Tax_Rounding,Round_To)</f>
        <v>289900</v>
      </c>
      <c r="AF149" s="29">
        <f>ROUND(+AE149*(1+'Tax Tables'!$C$10)/IF(Round_To&gt;Tax_Rounding,Tax_Rounding,Round_To),0)*IF(Round_To&gt;Tax_Rounding,Tax_Rounding,Round_To)</f>
        <v>296300</v>
      </c>
      <c r="AG149" s="29">
        <f>ROUND(+AF149*(1+'Tax Tables'!$C$10)/IF(Round_To&gt;Tax_Rounding,Tax_Rounding,Round_To),0)*IF(Round_To&gt;Tax_Rounding,Tax_Rounding,Round_To)</f>
        <v>302800</v>
      </c>
      <c r="AH149" s="29">
        <f>ROUND(+AG149*(1+'Tax Tables'!$C$10)/IF(Round_To&gt;Tax_Rounding,Tax_Rounding,Round_To),0)*IF(Round_To&gt;Tax_Rounding,Tax_Rounding,Round_To)</f>
        <v>309500</v>
      </c>
      <c r="AI149" s="29">
        <f>ROUND(+AH149*(1+'Tax Tables'!$C$10)/IF(Round_To&gt;Tax_Rounding,Tax_Rounding,Round_To),0)*IF(Round_To&gt;Tax_Rounding,Tax_Rounding,Round_To)</f>
        <v>316300</v>
      </c>
      <c r="AJ149" s="29">
        <f>ROUND(+AI149*(1+'Tax Tables'!$C$10)/IF(Round_To&gt;Tax_Rounding,Tax_Rounding,Round_To),0)*IF(Round_To&gt;Tax_Rounding,Tax_Rounding,Round_To)</f>
        <v>323300</v>
      </c>
      <c r="AK149" s="29">
        <f>ROUND(+AJ149*(1+'Tax Tables'!$C$10)/IF(Round_To&gt;Tax_Rounding,Tax_Rounding,Round_To),0)*IF(Round_To&gt;Tax_Rounding,Tax_Rounding,Round_To)</f>
        <v>330400</v>
      </c>
      <c r="AL149" s="29">
        <f>ROUND(+AK149*(1+'Tax Tables'!$C$10)/IF(Round_To&gt;Tax_Rounding,Tax_Rounding,Round_To),0)*IF(Round_To&gt;Tax_Rounding,Tax_Rounding,Round_To)</f>
        <v>337700</v>
      </c>
      <c r="AM149" s="29">
        <f>ROUND(+AL149*(1+'Tax Tables'!$C$10)/IF(Round_To&gt;Tax_Rounding,Tax_Rounding,Round_To),0)*IF(Round_To&gt;Tax_Rounding,Tax_Rounding,Round_To)</f>
        <v>345100</v>
      </c>
      <c r="AN149" s="29">
        <f>ROUND(+AM149*(1+'Tax Tables'!$C$10)/IF(Round_To&gt;Tax_Rounding,Tax_Rounding,Round_To),0)*IF(Round_To&gt;Tax_Rounding,Tax_Rounding,Round_To)</f>
        <v>352700</v>
      </c>
      <c r="AO149" s="29">
        <f>ROUND(+AN149*(1+'Tax Tables'!$C$10)/IF(Round_To&gt;Tax_Rounding,Tax_Rounding,Round_To),0)*IF(Round_To&gt;Tax_Rounding,Tax_Rounding,Round_To)</f>
        <v>360500</v>
      </c>
      <c r="AP149" s="29">
        <f>ROUND(+AO149*(1+'Tax Tables'!$C$10)/IF(Round_To&gt;Tax_Rounding,Tax_Rounding,Round_To),0)*IF(Round_To&gt;Tax_Rounding,Tax_Rounding,Round_To)</f>
        <v>368400</v>
      </c>
      <c r="AQ149" s="29">
        <f>ROUND(+AP149*(1+'Tax Tables'!$C$10)/IF(Round_To&gt;Tax_Rounding,Tax_Rounding,Round_To),0)*IF(Round_To&gt;Tax_Rounding,Tax_Rounding,Round_To)</f>
        <v>376500</v>
      </c>
      <c r="AR149" s="29">
        <f>ROUND(+AQ149*(1+'Tax Tables'!$C$10)/IF(Round_To&gt;Tax_Rounding,Tax_Rounding,Round_To),0)*IF(Round_To&gt;Tax_Rounding,Tax_Rounding,Round_To)</f>
        <v>384800</v>
      </c>
      <c r="AS149" s="29">
        <f>ROUND(+AR149*(1+'Tax Tables'!$C$10)/IF(Round_To&gt;Tax_Rounding,Tax_Rounding,Round_To),0)*IF(Round_To&gt;Tax_Rounding,Tax_Rounding,Round_To)</f>
        <v>393300</v>
      </c>
      <c r="AT149" s="29"/>
      <c r="AU149" s="66">
        <v>156150</v>
      </c>
    </row>
    <row r="150" spans="2:47" ht="15.6">
      <c r="B150" s="8" t="s">
        <v>1476</v>
      </c>
      <c r="C150" s="226">
        <v>0.2</v>
      </c>
      <c r="D150" s="226">
        <v>0.2</v>
      </c>
      <c r="E150" s="1645">
        <v>0.22</v>
      </c>
      <c r="F150" s="488">
        <v>0.22</v>
      </c>
      <c r="G150" s="61">
        <f>IF(Tax_Rates_Alt="y",IF(G$93=Setup!$F$235,+Setup!$E$235,+F150),+F150)</f>
        <v>0.22</v>
      </c>
      <c r="H150" s="61">
        <f>IF(Tax_Rates_Alt="y",IF(H$93=Setup!$F$235,+Setup!$E$235,+G150),+G150)</f>
        <v>0.22</v>
      </c>
      <c r="I150" s="61">
        <f>IF(Tax_Rates_Alt="y",IF(I$93=Setup!$F$235,+Setup!$E$235,+H150),+H150)</f>
        <v>0.22</v>
      </c>
      <c r="J150" s="61">
        <f>IF(Tax_Rates_Alt="y",IF(J$93=Setup!$F$235,+Setup!$E$235,+I150),+I150)</f>
        <v>0.22</v>
      </c>
      <c r="K150" s="61">
        <f>IF(Tax_Rates_Alt="y",IF(K$93=Setup!$F$235,+Setup!$E$235,+J150),+J150)</f>
        <v>0.22</v>
      </c>
      <c r="L150" s="61">
        <f>IF(Tax_Rates_Alt="y",IF(L$93=Setup!$F$235,+Setup!$E$235,+K150),+K150)</f>
        <v>0.22</v>
      </c>
      <c r="M150" s="61">
        <f>IF(Tax_Rates_Alt="y",IF(M$93=Setup!$F$235,+Setup!$E$235,+L150),+L150)</f>
        <v>0.22</v>
      </c>
      <c r="N150" s="61">
        <f>IF(Tax_Rates_Alt="y",IF(N$93=Setup!$F$235,+Setup!$E$235,+M150),+M150)</f>
        <v>0.22</v>
      </c>
      <c r="O150" s="61">
        <f>IF(Tax_Rates_Alt="y",IF(O$93=Setup!$F$235,+Setup!$E$235,+N150),+N150)</f>
        <v>0.22</v>
      </c>
      <c r="P150" s="61">
        <f>IF(Tax_Rates_Alt="y",IF(P$93=Setup!$F$235,+Setup!$E$235,+O150),+O150)</f>
        <v>0.22</v>
      </c>
      <c r="Q150" s="61">
        <f>IF(Tax_Rates_Alt="y",IF(Q$93=Setup!$F$235,+Setup!$E$235,+P150),+P150)</f>
        <v>0.22</v>
      </c>
      <c r="R150" s="61">
        <f>IF(Tax_Rates_Alt="y",IF(R$93=Setup!$F$235,+Setup!$E$235,+Q150),+Q150)</f>
        <v>0.22</v>
      </c>
      <c r="S150" s="61">
        <f>IF(Tax_Rates_Alt="y",IF(S$93=Setup!$F$235,+Setup!$E$235,+R150),+R150)</f>
        <v>0.22</v>
      </c>
      <c r="T150" s="61">
        <f>IF(Tax_Rates_Alt="y",IF(T$93=Setup!$F$235,+Setup!$E$235,+S150),+S150)</f>
        <v>0.22</v>
      </c>
      <c r="U150" s="61">
        <f>IF(Tax_Rates_Alt="y",IF(U$93=Setup!$F$235,+Setup!$E$235,+T150),+T150)</f>
        <v>0.22</v>
      </c>
      <c r="V150" s="61">
        <f>IF(Tax_Rates_Alt="y",IF(V$93=Setup!$F$235,+Setup!$E$235,+U150),+U150)</f>
        <v>0.22</v>
      </c>
      <c r="W150" s="61">
        <f>IF(Tax_Rates_Alt="y",IF(W$93=Setup!$F$235,+Setup!$E$235,+V150),+V150)</f>
        <v>0.22</v>
      </c>
      <c r="X150" s="61">
        <f>IF(Tax_Rates_Alt="y",IF(X$93=Setup!$F$235,+Setup!$E$235,+W150),+W150)</f>
        <v>0.22</v>
      </c>
      <c r="Y150" s="61">
        <f>IF(Tax_Rates_Alt="y",IF(Y$93=Setup!$F$235,+Setup!$E$235,+X150),+X150)</f>
        <v>0.22</v>
      </c>
      <c r="Z150" s="61">
        <f>IF(Tax_Rates_Alt="y",IF(Z$93=Setup!$F$235,+Setup!$E$235,+Y150),+Y150)</f>
        <v>0.22</v>
      </c>
      <c r="AA150" s="61">
        <f>IF(Tax_Rates_Alt="y",IF(AA$93=Setup!$F$235,+Setup!$E$235,+Z150),+Z150)</f>
        <v>0.22</v>
      </c>
      <c r="AB150" s="61">
        <f>IF(Tax_Rates_Alt="y",IF(AB$93=Setup!$F$235,+Setup!$E$235,+AA150),+AA150)</f>
        <v>0.22</v>
      </c>
      <c r="AC150" s="61">
        <f>IF(Tax_Rates_Alt="y",IF(AC$93=Setup!$F$235,+Setup!$E$235,+AB150),+AB150)</f>
        <v>0.22</v>
      </c>
      <c r="AD150" s="61">
        <f>IF(Tax_Rates_Alt="y",IF(AD$93=Setup!$F$235,+Setup!$E$235,+AC150),+AC150)</f>
        <v>0.22</v>
      </c>
      <c r="AE150" s="61">
        <f>IF(Tax_Rates_Alt="y",IF(AE$93=Setup!$F$235,+Setup!$E$235,+AD150),+AD150)</f>
        <v>0.22</v>
      </c>
      <c r="AF150" s="61">
        <f>IF(Tax_Rates_Alt="y",IF(AF$93=Setup!$F$235,+Setup!$E$235,+AE150),+AE150)</f>
        <v>0.22</v>
      </c>
      <c r="AG150" s="61">
        <f>IF(Tax_Rates_Alt="y",IF(AG$93=Setup!$F$235,+Setup!$E$235,+AF150),+AF150)</f>
        <v>0.22</v>
      </c>
      <c r="AH150" s="61">
        <f>IF(Tax_Rates_Alt="y",IF(AH$93=Setup!$F$235,+Setup!$E$235,+AG150),+AG150)</f>
        <v>0.22</v>
      </c>
      <c r="AI150" s="61">
        <f>IF(Tax_Rates_Alt="y",IF(AI$93=Setup!$F$235,+Setup!$E$235,+AH150),+AH150)</f>
        <v>0.22</v>
      </c>
      <c r="AJ150" s="61">
        <f>IF(Tax_Rates_Alt="y",IF(AJ$93=Setup!$F$235,+Setup!$E$235,+AI150),+AI150)</f>
        <v>0.22</v>
      </c>
      <c r="AK150" s="61">
        <f>IF(Tax_Rates_Alt="y",IF(AK$93=Setup!$F$235,+Setup!$E$235,+AJ150),+AJ150)</f>
        <v>0.22</v>
      </c>
      <c r="AL150" s="61">
        <f>IF(Tax_Rates_Alt="y",IF(AL$93=Setup!$F$235,+Setup!$E$235,+AK150),+AK150)</f>
        <v>0.22</v>
      </c>
      <c r="AM150" s="61">
        <f>IF(Tax_Rates_Alt="y",IF(AM$93=Setup!$F$235,+Setup!$E$235,+AL150),+AL150)</f>
        <v>0.22</v>
      </c>
      <c r="AN150" s="61">
        <f>IF(Tax_Rates_Alt="y",IF(AN$93=Setup!$F$235,+Setup!$E$235,+AM150),+AM150)</f>
        <v>0.22</v>
      </c>
      <c r="AO150" s="61">
        <f>IF(Tax_Rates_Alt="y",IF(AO$93=Setup!$F$235,+Setup!$E$235,+AN150),+AN150)</f>
        <v>0.22</v>
      </c>
      <c r="AP150" s="61">
        <f>IF(Tax_Rates_Alt="y",IF(AP$93=Setup!$F$235,+Setup!$E$235,+AO150),+AO150)</f>
        <v>0.22</v>
      </c>
      <c r="AQ150" s="61">
        <f>IF(Tax_Rates_Alt="y",IF(AQ$93=Setup!$F$235,+Setup!$E$235,+AP150),+AP150)</f>
        <v>0.22</v>
      </c>
      <c r="AR150" s="61">
        <f>IF(Tax_Rates_Alt="y",IF(AR$93=Setup!$F$235,+Setup!$E$235,+AQ150),+AQ150)</f>
        <v>0.22</v>
      </c>
      <c r="AS150" s="61">
        <f>IF(Tax_Rates_Alt="y",IF(AS$93=Setup!$F$235,+Setup!$E$235,+AR150),+AR150)</f>
        <v>0.22</v>
      </c>
      <c r="AT150" s="61"/>
      <c r="AU150" s="1403">
        <v>0.25</v>
      </c>
    </row>
    <row r="151" spans="2:47" ht="15.6">
      <c r="B151" s="8" t="s">
        <v>1414</v>
      </c>
      <c r="D151" s="29"/>
      <c r="E151" s="29">
        <f t="shared" ref="E151:AS151" si="113">ROUND((+E149-E148)*E150/IF(Round_To&gt;Tax_Rounding,Tax_Rounding,Round_To),0)*IF(Round_To&gt;Tax_Rounding,Tax_Rounding,Round_To)</f>
        <v>19300</v>
      </c>
      <c r="F151" s="29">
        <f t="shared" si="113"/>
        <v>19700</v>
      </c>
      <c r="G151" s="29">
        <f t="shared" si="113"/>
        <v>20100</v>
      </c>
      <c r="H151" s="29">
        <f t="shared" si="113"/>
        <v>20500</v>
      </c>
      <c r="I151" s="29">
        <f t="shared" si="113"/>
        <v>21000</v>
      </c>
      <c r="J151" s="29">
        <f t="shared" si="113"/>
        <v>21500</v>
      </c>
      <c r="K151" s="29">
        <f t="shared" si="113"/>
        <v>21900</v>
      </c>
      <c r="L151" s="29">
        <f t="shared" si="113"/>
        <v>22400</v>
      </c>
      <c r="M151" s="29">
        <f t="shared" si="113"/>
        <v>22900</v>
      </c>
      <c r="N151" s="29">
        <f t="shared" si="113"/>
        <v>23400</v>
      </c>
      <c r="O151" s="29">
        <f t="shared" si="113"/>
        <v>23900</v>
      </c>
      <c r="P151" s="29">
        <f t="shared" si="113"/>
        <v>24400</v>
      </c>
      <c r="Q151" s="29">
        <f t="shared" si="113"/>
        <v>25000</v>
      </c>
      <c r="R151" s="29">
        <f t="shared" si="113"/>
        <v>25500</v>
      </c>
      <c r="S151" s="29">
        <f t="shared" si="113"/>
        <v>26100</v>
      </c>
      <c r="T151" s="29">
        <f t="shared" si="113"/>
        <v>26600</v>
      </c>
      <c r="U151" s="29">
        <f t="shared" si="113"/>
        <v>27200</v>
      </c>
      <c r="V151" s="29">
        <f t="shared" si="113"/>
        <v>27800</v>
      </c>
      <c r="W151" s="29">
        <f t="shared" si="113"/>
        <v>28400</v>
      </c>
      <c r="X151" s="29">
        <f t="shared" si="113"/>
        <v>29000</v>
      </c>
      <c r="Y151" s="29">
        <f t="shared" si="113"/>
        <v>29700</v>
      </c>
      <c r="Z151" s="29">
        <f t="shared" si="113"/>
        <v>30300</v>
      </c>
      <c r="AA151" s="29">
        <f t="shared" si="113"/>
        <v>31000</v>
      </c>
      <c r="AB151" s="29">
        <f t="shared" si="113"/>
        <v>31700</v>
      </c>
      <c r="AC151" s="29">
        <f t="shared" si="113"/>
        <v>32400</v>
      </c>
      <c r="AD151" s="29">
        <f t="shared" si="113"/>
        <v>33100</v>
      </c>
      <c r="AE151" s="29">
        <f t="shared" si="113"/>
        <v>33800</v>
      </c>
      <c r="AF151" s="29">
        <f t="shared" si="113"/>
        <v>34600</v>
      </c>
      <c r="AG151" s="29">
        <f t="shared" si="113"/>
        <v>35300</v>
      </c>
      <c r="AH151" s="29">
        <f t="shared" si="113"/>
        <v>36100</v>
      </c>
      <c r="AI151" s="29">
        <f t="shared" si="113"/>
        <v>36900</v>
      </c>
      <c r="AJ151" s="29">
        <f t="shared" si="113"/>
        <v>37700</v>
      </c>
      <c r="AK151" s="29">
        <f t="shared" si="113"/>
        <v>38500</v>
      </c>
      <c r="AL151" s="29">
        <f t="shared" si="113"/>
        <v>39400</v>
      </c>
      <c r="AM151" s="29">
        <f t="shared" si="113"/>
        <v>40300</v>
      </c>
      <c r="AN151" s="29">
        <f t="shared" si="113"/>
        <v>41100</v>
      </c>
      <c r="AO151" s="29">
        <f t="shared" si="113"/>
        <v>42100</v>
      </c>
      <c r="AP151" s="29">
        <f t="shared" si="113"/>
        <v>43000</v>
      </c>
      <c r="AQ151" s="29">
        <f t="shared" si="113"/>
        <v>43900</v>
      </c>
      <c r="AR151" s="29">
        <f t="shared" si="113"/>
        <v>44900</v>
      </c>
      <c r="AS151" s="29">
        <f t="shared" si="113"/>
        <v>45900</v>
      </c>
      <c r="AT151" s="29"/>
      <c r="AU151" s="22"/>
    </row>
    <row r="152" spans="2:47" ht="15.6">
      <c r="C152" s="8"/>
      <c r="D152" s="29"/>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2"/>
    </row>
    <row r="153" spans="2:47" ht="15.6">
      <c r="B153" s="539" t="s">
        <v>1977</v>
      </c>
      <c r="C153" s="8"/>
      <c r="D153" s="29"/>
      <c r="E153" s="29">
        <f>+E149</f>
        <v>165000</v>
      </c>
      <c r="F153" s="33">
        <f>+F149</f>
        <v>168400</v>
      </c>
      <c r="G153" s="29">
        <f>ROUND(+F153*(1+'Tax Tables'!$C$10)/IF(Round_To&gt;Tax_Rounding,Tax_Rounding,Round_To),0)*IF(Round_To&gt;Tax_Rounding,Tax_Rounding,Round_To)</f>
        <v>172100</v>
      </c>
      <c r="H153" s="29">
        <f>ROUND(+G153*(1+'Tax Tables'!$C$10)/IF(Round_To&gt;Tax_Rounding,Tax_Rounding,Round_To),0)*IF(Round_To&gt;Tax_Rounding,Tax_Rounding,Round_To)</f>
        <v>175900</v>
      </c>
      <c r="I153" s="29">
        <f>ROUND(+H153*(1+'Tax Tables'!$C$10)/IF(Round_To&gt;Tax_Rounding,Tax_Rounding,Round_To),0)*IF(Round_To&gt;Tax_Rounding,Tax_Rounding,Round_To)</f>
        <v>179800</v>
      </c>
      <c r="J153" s="29">
        <f>ROUND(+I153*(1+'Tax Tables'!$C$10)/IF(Round_To&gt;Tax_Rounding,Tax_Rounding,Round_To),0)*IF(Round_To&gt;Tax_Rounding,Tax_Rounding,Round_To)</f>
        <v>183800</v>
      </c>
      <c r="K153" s="29">
        <f>ROUND(+J153*(1+'Tax Tables'!$C$10)/IF(Round_To&gt;Tax_Rounding,Tax_Rounding,Round_To),0)*IF(Round_To&gt;Tax_Rounding,Tax_Rounding,Round_To)</f>
        <v>187800</v>
      </c>
      <c r="L153" s="29">
        <f>ROUND(+K153*(1+'Tax Tables'!$C$10)/IF(Round_To&gt;Tax_Rounding,Tax_Rounding,Round_To),0)*IF(Round_To&gt;Tax_Rounding,Tax_Rounding,Round_To)</f>
        <v>191900</v>
      </c>
      <c r="M153" s="29">
        <f>ROUND(+L153*(1+'Tax Tables'!$C$10)/IF(Round_To&gt;Tax_Rounding,Tax_Rounding,Round_To),0)*IF(Round_To&gt;Tax_Rounding,Tax_Rounding,Round_To)</f>
        <v>196100</v>
      </c>
      <c r="N153" s="29">
        <f>ROUND(+M153*(1+'Tax Tables'!$C$10)/IF(Round_To&gt;Tax_Rounding,Tax_Rounding,Round_To),0)*IF(Round_To&gt;Tax_Rounding,Tax_Rounding,Round_To)</f>
        <v>200400</v>
      </c>
      <c r="O153" s="29">
        <f>ROUND(+N153*(1+'Tax Tables'!$C$10)/IF(Round_To&gt;Tax_Rounding,Tax_Rounding,Round_To),0)*IF(Round_To&gt;Tax_Rounding,Tax_Rounding,Round_To)</f>
        <v>204800</v>
      </c>
      <c r="P153" s="29">
        <f>ROUND(+O153*(1+'Tax Tables'!$C$10)/IF(Round_To&gt;Tax_Rounding,Tax_Rounding,Round_To),0)*IF(Round_To&gt;Tax_Rounding,Tax_Rounding,Round_To)</f>
        <v>209300</v>
      </c>
      <c r="Q153" s="29">
        <f>ROUND(+P153*(1+'Tax Tables'!$C$10)/IF(Round_To&gt;Tax_Rounding,Tax_Rounding,Round_To),0)*IF(Round_To&gt;Tax_Rounding,Tax_Rounding,Round_To)</f>
        <v>213900</v>
      </c>
      <c r="R153" s="29">
        <f>ROUND(+Q153*(1+'Tax Tables'!$C$10)/IF(Round_To&gt;Tax_Rounding,Tax_Rounding,Round_To),0)*IF(Round_To&gt;Tax_Rounding,Tax_Rounding,Round_To)</f>
        <v>218600</v>
      </c>
      <c r="S153" s="29">
        <f>ROUND(+R153*(1+'Tax Tables'!$C$10)/IF(Round_To&gt;Tax_Rounding,Tax_Rounding,Round_To),0)*IF(Round_To&gt;Tax_Rounding,Tax_Rounding,Round_To)</f>
        <v>223400</v>
      </c>
      <c r="T153" s="29">
        <f>ROUND(+S153*(1+'Tax Tables'!$C$10)/IF(Round_To&gt;Tax_Rounding,Tax_Rounding,Round_To),0)*IF(Round_To&gt;Tax_Rounding,Tax_Rounding,Round_To)</f>
        <v>228300</v>
      </c>
      <c r="U153" s="29">
        <f>ROUND(+T153*(1+'Tax Tables'!$C$10)/IF(Round_To&gt;Tax_Rounding,Tax_Rounding,Round_To),0)*IF(Round_To&gt;Tax_Rounding,Tax_Rounding,Round_To)</f>
        <v>233300</v>
      </c>
      <c r="V153" s="29">
        <f>ROUND(+U153*(1+'Tax Tables'!$C$10)/IF(Round_To&gt;Tax_Rounding,Tax_Rounding,Round_To),0)*IF(Round_To&gt;Tax_Rounding,Tax_Rounding,Round_To)</f>
        <v>238400</v>
      </c>
      <c r="W153" s="29">
        <f>ROUND(+V153*(1+'Tax Tables'!$C$10)/IF(Round_To&gt;Tax_Rounding,Tax_Rounding,Round_To),0)*IF(Round_To&gt;Tax_Rounding,Tax_Rounding,Round_To)</f>
        <v>243600</v>
      </c>
      <c r="X153" s="29">
        <f>ROUND(+W153*(1+'Tax Tables'!$C$10)/IF(Round_To&gt;Tax_Rounding,Tax_Rounding,Round_To),0)*IF(Round_To&gt;Tax_Rounding,Tax_Rounding,Round_To)</f>
        <v>249000</v>
      </c>
      <c r="Y153" s="29">
        <f>ROUND(+X153*(1+'Tax Tables'!$C$10)/IF(Round_To&gt;Tax_Rounding,Tax_Rounding,Round_To),0)*IF(Round_To&gt;Tax_Rounding,Tax_Rounding,Round_To)</f>
        <v>254500</v>
      </c>
      <c r="Z153" s="29">
        <f>ROUND(+Y153*(1+'Tax Tables'!$C$10)/IF(Round_To&gt;Tax_Rounding,Tax_Rounding,Round_To),0)*IF(Round_To&gt;Tax_Rounding,Tax_Rounding,Round_To)</f>
        <v>260100</v>
      </c>
      <c r="AA153" s="29">
        <f>ROUND(+Z153*(1+'Tax Tables'!$C$10)/IF(Round_To&gt;Tax_Rounding,Tax_Rounding,Round_To),0)*IF(Round_To&gt;Tax_Rounding,Tax_Rounding,Round_To)</f>
        <v>265800</v>
      </c>
      <c r="AB153" s="29">
        <f>ROUND(+AA153*(1+'Tax Tables'!$C$10)/IF(Round_To&gt;Tax_Rounding,Tax_Rounding,Round_To),0)*IF(Round_To&gt;Tax_Rounding,Tax_Rounding,Round_To)</f>
        <v>271600</v>
      </c>
      <c r="AC153" s="29">
        <f>ROUND(+AB153*(1+'Tax Tables'!$C$10)/IF(Round_To&gt;Tax_Rounding,Tax_Rounding,Round_To),0)*IF(Round_To&gt;Tax_Rounding,Tax_Rounding,Round_To)</f>
        <v>277600</v>
      </c>
      <c r="AD153" s="29">
        <f>ROUND(+AC153*(1+'Tax Tables'!$C$10)/IF(Round_To&gt;Tax_Rounding,Tax_Rounding,Round_To),0)*IF(Round_To&gt;Tax_Rounding,Tax_Rounding,Round_To)</f>
        <v>283700</v>
      </c>
      <c r="AE153" s="29">
        <f>ROUND(+AD153*(1+'Tax Tables'!$C$10)/IF(Round_To&gt;Tax_Rounding,Tax_Rounding,Round_To),0)*IF(Round_To&gt;Tax_Rounding,Tax_Rounding,Round_To)</f>
        <v>289900</v>
      </c>
      <c r="AF153" s="29">
        <f>ROUND(+AE153*(1+'Tax Tables'!$C$10)/IF(Round_To&gt;Tax_Rounding,Tax_Rounding,Round_To),0)*IF(Round_To&gt;Tax_Rounding,Tax_Rounding,Round_To)</f>
        <v>296300</v>
      </c>
      <c r="AG153" s="29">
        <f>ROUND(+AF153*(1+'Tax Tables'!$C$10)/IF(Round_To&gt;Tax_Rounding,Tax_Rounding,Round_To),0)*IF(Round_To&gt;Tax_Rounding,Tax_Rounding,Round_To)</f>
        <v>302800</v>
      </c>
      <c r="AH153" s="29">
        <f>ROUND(+AG153*(1+'Tax Tables'!$C$10)/IF(Round_To&gt;Tax_Rounding,Tax_Rounding,Round_To),0)*IF(Round_To&gt;Tax_Rounding,Tax_Rounding,Round_To)</f>
        <v>309500</v>
      </c>
      <c r="AI153" s="29">
        <f>ROUND(+AH153*(1+'Tax Tables'!$C$10)/IF(Round_To&gt;Tax_Rounding,Tax_Rounding,Round_To),0)*IF(Round_To&gt;Tax_Rounding,Tax_Rounding,Round_To)</f>
        <v>316300</v>
      </c>
      <c r="AJ153" s="29">
        <f>ROUND(+AI153*(1+'Tax Tables'!$C$10)/IF(Round_To&gt;Tax_Rounding,Tax_Rounding,Round_To),0)*IF(Round_To&gt;Tax_Rounding,Tax_Rounding,Round_To)</f>
        <v>323300</v>
      </c>
      <c r="AK153" s="29">
        <f>ROUND(+AJ153*(1+'Tax Tables'!$C$10)/IF(Round_To&gt;Tax_Rounding,Tax_Rounding,Round_To),0)*IF(Round_To&gt;Tax_Rounding,Tax_Rounding,Round_To)</f>
        <v>330400</v>
      </c>
      <c r="AL153" s="29">
        <f>ROUND(+AK153*(1+'Tax Tables'!$C$10)/IF(Round_To&gt;Tax_Rounding,Tax_Rounding,Round_To),0)*IF(Round_To&gt;Tax_Rounding,Tax_Rounding,Round_To)</f>
        <v>337700</v>
      </c>
      <c r="AM153" s="29">
        <f>ROUND(+AL153*(1+'Tax Tables'!$C$10)/IF(Round_To&gt;Tax_Rounding,Tax_Rounding,Round_To),0)*IF(Round_To&gt;Tax_Rounding,Tax_Rounding,Round_To)</f>
        <v>345100</v>
      </c>
      <c r="AN153" s="29">
        <f>ROUND(+AM153*(1+'Tax Tables'!$C$10)/IF(Round_To&gt;Tax_Rounding,Tax_Rounding,Round_To),0)*IF(Round_To&gt;Tax_Rounding,Tax_Rounding,Round_To)</f>
        <v>352700</v>
      </c>
      <c r="AO153" s="29">
        <f>ROUND(+AN153*(1+'Tax Tables'!$C$10)/IF(Round_To&gt;Tax_Rounding,Tax_Rounding,Round_To),0)*IF(Round_To&gt;Tax_Rounding,Tax_Rounding,Round_To)</f>
        <v>360500</v>
      </c>
      <c r="AP153" s="29">
        <f>ROUND(+AO153*(1+'Tax Tables'!$C$10)/IF(Round_To&gt;Tax_Rounding,Tax_Rounding,Round_To),0)*IF(Round_To&gt;Tax_Rounding,Tax_Rounding,Round_To)</f>
        <v>368400</v>
      </c>
      <c r="AQ153" s="29">
        <f>ROUND(+AP153*(1+'Tax Tables'!$C$10)/IF(Round_To&gt;Tax_Rounding,Tax_Rounding,Round_To),0)*IF(Round_To&gt;Tax_Rounding,Tax_Rounding,Round_To)</f>
        <v>376500</v>
      </c>
      <c r="AR153" s="29">
        <f>ROUND(+AQ153*(1+'Tax Tables'!$C$10)/IF(Round_To&gt;Tax_Rounding,Tax_Rounding,Round_To),0)*IF(Round_To&gt;Tax_Rounding,Tax_Rounding,Round_To)</f>
        <v>384800</v>
      </c>
      <c r="AS153" s="29">
        <f>ROUND(+AR153*(1+'Tax Tables'!$C$10)/IF(Round_To&gt;Tax_Rounding,Tax_Rounding,Round_To),0)*IF(Round_To&gt;Tax_Rounding,Tax_Rounding,Round_To)</f>
        <v>393300</v>
      </c>
      <c r="AT153" s="29"/>
      <c r="AU153" s="66">
        <v>156150</v>
      </c>
    </row>
    <row r="154" spans="2:47" ht="15.6">
      <c r="B154" s="8" t="s">
        <v>1475</v>
      </c>
      <c r="D154" s="225"/>
      <c r="E154" s="1644">
        <v>315000</v>
      </c>
      <c r="F154" s="487">
        <v>321450</v>
      </c>
      <c r="G154" s="29">
        <f>ROUND(+F154*(1+'Tax Tables'!$C$10)/IF(Round_To&gt;Tax_Rounding,Tax_Rounding,Round_To),0)*IF(Round_To&gt;Tax_Rounding,Tax_Rounding,Round_To)</f>
        <v>328500</v>
      </c>
      <c r="H154" s="29">
        <f>ROUND(+G154*(1+'Tax Tables'!$C$10)/IF(Round_To&gt;Tax_Rounding,Tax_Rounding,Round_To),0)*IF(Round_To&gt;Tax_Rounding,Tax_Rounding,Round_To)</f>
        <v>335700</v>
      </c>
      <c r="I154" s="29">
        <f>ROUND(+H154*(1+'Tax Tables'!$C$10)/IF(Round_To&gt;Tax_Rounding,Tax_Rounding,Round_To),0)*IF(Round_To&gt;Tax_Rounding,Tax_Rounding,Round_To)</f>
        <v>343100</v>
      </c>
      <c r="J154" s="29">
        <f>ROUND(+I154*(1+'Tax Tables'!$C$10)/IF(Round_To&gt;Tax_Rounding,Tax_Rounding,Round_To),0)*IF(Round_To&gt;Tax_Rounding,Tax_Rounding,Round_To)</f>
        <v>350600</v>
      </c>
      <c r="K154" s="29">
        <f>ROUND(+J154*(1+'Tax Tables'!$C$10)/IF(Round_To&gt;Tax_Rounding,Tax_Rounding,Round_To),0)*IF(Round_To&gt;Tax_Rounding,Tax_Rounding,Round_To)</f>
        <v>358300</v>
      </c>
      <c r="L154" s="29">
        <f>ROUND(+K154*(1+'Tax Tables'!$C$10)/IF(Round_To&gt;Tax_Rounding,Tax_Rounding,Round_To),0)*IF(Round_To&gt;Tax_Rounding,Tax_Rounding,Round_To)</f>
        <v>366200</v>
      </c>
      <c r="M154" s="29">
        <f>ROUND(+L154*(1+'Tax Tables'!$C$10)/IF(Round_To&gt;Tax_Rounding,Tax_Rounding,Round_To),0)*IF(Round_To&gt;Tax_Rounding,Tax_Rounding,Round_To)</f>
        <v>374300</v>
      </c>
      <c r="N154" s="29">
        <f>ROUND(+M154*(1+'Tax Tables'!$C$10)/IF(Round_To&gt;Tax_Rounding,Tax_Rounding,Round_To),0)*IF(Round_To&gt;Tax_Rounding,Tax_Rounding,Round_To)</f>
        <v>382500</v>
      </c>
      <c r="O154" s="29">
        <f>ROUND(+N154*(1+'Tax Tables'!$C$10)/IF(Round_To&gt;Tax_Rounding,Tax_Rounding,Round_To),0)*IF(Round_To&gt;Tax_Rounding,Tax_Rounding,Round_To)</f>
        <v>390900</v>
      </c>
      <c r="P154" s="29">
        <f>ROUND(+O154*(1+'Tax Tables'!$C$10)/IF(Round_To&gt;Tax_Rounding,Tax_Rounding,Round_To),0)*IF(Round_To&gt;Tax_Rounding,Tax_Rounding,Round_To)</f>
        <v>399500</v>
      </c>
      <c r="Q154" s="29">
        <f>ROUND(+P154*(1+'Tax Tables'!$C$10)/IF(Round_To&gt;Tax_Rounding,Tax_Rounding,Round_To),0)*IF(Round_To&gt;Tax_Rounding,Tax_Rounding,Round_To)</f>
        <v>408300</v>
      </c>
      <c r="R154" s="29">
        <f>ROUND(+Q154*(1+'Tax Tables'!$C$10)/IF(Round_To&gt;Tax_Rounding,Tax_Rounding,Round_To),0)*IF(Round_To&gt;Tax_Rounding,Tax_Rounding,Round_To)</f>
        <v>417300</v>
      </c>
      <c r="S154" s="29">
        <f>ROUND(+R154*(1+'Tax Tables'!$C$10)/IF(Round_To&gt;Tax_Rounding,Tax_Rounding,Round_To),0)*IF(Round_To&gt;Tax_Rounding,Tax_Rounding,Round_To)</f>
        <v>426500</v>
      </c>
      <c r="T154" s="29">
        <f>ROUND(+S154*(1+'Tax Tables'!$C$10)/IF(Round_To&gt;Tax_Rounding,Tax_Rounding,Round_To),0)*IF(Round_To&gt;Tax_Rounding,Tax_Rounding,Round_To)</f>
        <v>435900</v>
      </c>
      <c r="U154" s="29">
        <f>ROUND(+T154*(1+'Tax Tables'!$C$10)/IF(Round_To&gt;Tax_Rounding,Tax_Rounding,Round_To),0)*IF(Round_To&gt;Tax_Rounding,Tax_Rounding,Round_To)</f>
        <v>445500</v>
      </c>
      <c r="V154" s="29">
        <f>ROUND(+U154*(1+'Tax Tables'!$C$10)/IF(Round_To&gt;Tax_Rounding,Tax_Rounding,Round_To),0)*IF(Round_To&gt;Tax_Rounding,Tax_Rounding,Round_To)</f>
        <v>455300</v>
      </c>
      <c r="W154" s="29">
        <f>ROUND(+V154*(1+'Tax Tables'!$C$10)/IF(Round_To&gt;Tax_Rounding,Tax_Rounding,Round_To),0)*IF(Round_To&gt;Tax_Rounding,Tax_Rounding,Round_To)</f>
        <v>465300</v>
      </c>
      <c r="X154" s="29">
        <f>ROUND(+W154*(1+'Tax Tables'!$C$10)/IF(Round_To&gt;Tax_Rounding,Tax_Rounding,Round_To),0)*IF(Round_To&gt;Tax_Rounding,Tax_Rounding,Round_To)</f>
        <v>475500</v>
      </c>
      <c r="Y154" s="29">
        <f>ROUND(+X154*(1+'Tax Tables'!$C$10)/IF(Round_To&gt;Tax_Rounding,Tax_Rounding,Round_To),0)*IF(Round_To&gt;Tax_Rounding,Tax_Rounding,Round_To)</f>
        <v>486000</v>
      </c>
      <c r="Z154" s="29">
        <f>ROUND(+Y154*(1+'Tax Tables'!$C$10)/IF(Round_To&gt;Tax_Rounding,Tax_Rounding,Round_To),0)*IF(Round_To&gt;Tax_Rounding,Tax_Rounding,Round_To)</f>
        <v>496700</v>
      </c>
      <c r="AA154" s="29">
        <f>ROUND(+Z154*(1+'Tax Tables'!$C$10)/IF(Round_To&gt;Tax_Rounding,Tax_Rounding,Round_To),0)*IF(Round_To&gt;Tax_Rounding,Tax_Rounding,Round_To)</f>
        <v>507600</v>
      </c>
      <c r="AB154" s="29">
        <f>ROUND(+AA154*(1+'Tax Tables'!$C$10)/IF(Round_To&gt;Tax_Rounding,Tax_Rounding,Round_To),0)*IF(Round_To&gt;Tax_Rounding,Tax_Rounding,Round_To)</f>
        <v>518800</v>
      </c>
      <c r="AC154" s="29">
        <f>ROUND(+AB154*(1+'Tax Tables'!$C$10)/IF(Round_To&gt;Tax_Rounding,Tax_Rounding,Round_To),0)*IF(Round_To&gt;Tax_Rounding,Tax_Rounding,Round_To)</f>
        <v>530200</v>
      </c>
      <c r="AD154" s="29">
        <f>ROUND(+AC154*(1+'Tax Tables'!$C$10)/IF(Round_To&gt;Tax_Rounding,Tax_Rounding,Round_To),0)*IF(Round_To&gt;Tax_Rounding,Tax_Rounding,Round_To)</f>
        <v>541900</v>
      </c>
      <c r="AE154" s="29">
        <f>ROUND(+AD154*(1+'Tax Tables'!$C$10)/IF(Round_To&gt;Tax_Rounding,Tax_Rounding,Round_To),0)*IF(Round_To&gt;Tax_Rounding,Tax_Rounding,Round_To)</f>
        <v>553800</v>
      </c>
      <c r="AF154" s="29">
        <f>ROUND(+AE154*(1+'Tax Tables'!$C$10)/IF(Round_To&gt;Tax_Rounding,Tax_Rounding,Round_To),0)*IF(Round_To&gt;Tax_Rounding,Tax_Rounding,Round_To)</f>
        <v>566000</v>
      </c>
      <c r="AG154" s="29">
        <f>ROUND(+AF154*(1+'Tax Tables'!$C$10)/IF(Round_To&gt;Tax_Rounding,Tax_Rounding,Round_To),0)*IF(Round_To&gt;Tax_Rounding,Tax_Rounding,Round_To)</f>
        <v>578500</v>
      </c>
      <c r="AH154" s="29">
        <f>ROUND(+AG154*(1+'Tax Tables'!$C$10)/IF(Round_To&gt;Tax_Rounding,Tax_Rounding,Round_To),0)*IF(Round_To&gt;Tax_Rounding,Tax_Rounding,Round_To)</f>
        <v>591200</v>
      </c>
      <c r="AI154" s="29">
        <f>ROUND(+AH154*(1+'Tax Tables'!$C$10)/IF(Round_To&gt;Tax_Rounding,Tax_Rounding,Round_To),0)*IF(Round_To&gt;Tax_Rounding,Tax_Rounding,Round_To)</f>
        <v>604200</v>
      </c>
      <c r="AJ154" s="29">
        <f>ROUND(+AI154*(1+'Tax Tables'!$C$10)/IF(Round_To&gt;Tax_Rounding,Tax_Rounding,Round_To),0)*IF(Round_To&gt;Tax_Rounding,Tax_Rounding,Round_To)</f>
        <v>617500</v>
      </c>
      <c r="AK154" s="29">
        <f>ROUND(+AJ154*(1+'Tax Tables'!$C$10)/IF(Round_To&gt;Tax_Rounding,Tax_Rounding,Round_To),0)*IF(Round_To&gt;Tax_Rounding,Tax_Rounding,Round_To)</f>
        <v>631100</v>
      </c>
      <c r="AL154" s="29">
        <f>ROUND(+AK154*(1+'Tax Tables'!$C$10)/IF(Round_To&gt;Tax_Rounding,Tax_Rounding,Round_To),0)*IF(Round_To&gt;Tax_Rounding,Tax_Rounding,Round_To)</f>
        <v>645000</v>
      </c>
      <c r="AM154" s="29">
        <f>ROUND(+AL154*(1+'Tax Tables'!$C$10)/IF(Round_To&gt;Tax_Rounding,Tax_Rounding,Round_To),0)*IF(Round_To&gt;Tax_Rounding,Tax_Rounding,Round_To)</f>
        <v>659200</v>
      </c>
      <c r="AN154" s="29">
        <f>ROUND(+AM154*(1+'Tax Tables'!$C$10)/IF(Round_To&gt;Tax_Rounding,Tax_Rounding,Round_To),0)*IF(Round_To&gt;Tax_Rounding,Tax_Rounding,Round_To)</f>
        <v>673700</v>
      </c>
      <c r="AO154" s="29">
        <f>ROUND(+AN154*(1+'Tax Tables'!$C$10)/IF(Round_To&gt;Tax_Rounding,Tax_Rounding,Round_To),0)*IF(Round_To&gt;Tax_Rounding,Tax_Rounding,Round_To)</f>
        <v>688500</v>
      </c>
      <c r="AP154" s="29">
        <f>ROUND(+AO154*(1+'Tax Tables'!$C$10)/IF(Round_To&gt;Tax_Rounding,Tax_Rounding,Round_To),0)*IF(Round_To&gt;Tax_Rounding,Tax_Rounding,Round_To)</f>
        <v>703600</v>
      </c>
      <c r="AQ154" s="29">
        <f>ROUND(+AP154*(1+'Tax Tables'!$C$10)/IF(Round_To&gt;Tax_Rounding,Tax_Rounding,Round_To),0)*IF(Round_To&gt;Tax_Rounding,Tax_Rounding,Round_To)</f>
        <v>719100</v>
      </c>
      <c r="AR154" s="29">
        <f>ROUND(+AQ154*(1+'Tax Tables'!$C$10)/IF(Round_To&gt;Tax_Rounding,Tax_Rounding,Round_To),0)*IF(Round_To&gt;Tax_Rounding,Tax_Rounding,Round_To)</f>
        <v>734900</v>
      </c>
      <c r="AS154" s="29">
        <f>ROUND(+AR154*(1+'Tax Tables'!$C$10)/IF(Round_To&gt;Tax_Rounding,Tax_Rounding,Round_To),0)*IF(Round_To&gt;Tax_Rounding,Tax_Rounding,Round_To)</f>
        <v>751100</v>
      </c>
      <c r="AT154" s="29"/>
      <c r="AU154" s="66">
        <v>237950</v>
      </c>
    </row>
    <row r="155" spans="2:47" ht="15.6">
      <c r="B155" s="8" t="s">
        <v>1476</v>
      </c>
      <c r="D155" s="226"/>
      <c r="E155" s="1645">
        <v>0.24</v>
      </c>
      <c r="F155" s="469">
        <v>0.24</v>
      </c>
      <c r="G155" s="61">
        <f>IF(Tax_Rates_Alt="y",IF(G$93=Setup!$F$236,+Setup!$E$236,+F155),+F155)</f>
        <v>0.24</v>
      </c>
      <c r="H155" s="61">
        <f>IF(Tax_Rates_Alt="y",IF(H$93=Setup!$F$236,+Setup!$E$236,+G155),+G155)</f>
        <v>0.24</v>
      </c>
      <c r="I155" s="61">
        <f>IF(Tax_Rates_Alt="y",IF(I$93=Setup!$F$236,+Setup!$E$236,+H155),+H155)</f>
        <v>0.24</v>
      </c>
      <c r="J155" s="61">
        <f>IF(Tax_Rates_Alt="y",IF(J$93=Setup!$F$236,+Setup!$E$236,+I155),+I155)</f>
        <v>0.24</v>
      </c>
      <c r="K155" s="61">
        <f>IF(Tax_Rates_Alt="y",IF(K$93=Setup!$F$236,+Setup!$E$236,+J155),+J155)</f>
        <v>0.24</v>
      </c>
      <c r="L155" s="61">
        <f>IF(Tax_Rates_Alt="y",IF(L$93=Setup!$F$236,+Setup!$E$236,+K155),+K155)</f>
        <v>0.24</v>
      </c>
      <c r="M155" s="61">
        <f>IF(Tax_Rates_Alt="y",IF(M$93=Setup!$F$236,+Setup!$E$236,+L155),+L155)</f>
        <v>0.24</v>
      </c>
      <c r="N155" s="61">
        <f>IF(Tax_Rates_Alt="y",IF(N$93=Setup!$F$236,+Setup!$E$236,+M155),+M155)</f>
        <v>0.24</v>
      </c>
      <c r="O155" s="61">
        <f>IF(Tax_Rates_Alt="y",IF(O$93=Setup!$F$236,+Setup!$E$236,+N155),+N155)</f>
        <v>0.24</v>
      </c>
      <c r="P155" s="61">
        <f>IF(Tax_Rates_Alt="y",IF(P$93=Setup!$F$236,+Setup!$E$236,+O155),+O155)</f>
        <v>0.24</v>
      </c>
      <c r="Q155" s="61">
        <f>IF(Tax_Rates_Alt="y",IF(Q$93=Setup!$F$236,+Setup!$E$236,+P155),+P155)</f>
        <v>0.24</v>
      </c>
      <c r="R155" s="61">
        <f>IF(Tax_Rates_Alt="y",IF(R$93=Setup!$F$236,+Setup!$E$236,+Q155),+Q155)</f>
        <v>0.24</v>
      </c>
      <c r="S155" s="61">
        <f>IF(Tax_Rates_Alt="y",IF(S$93=Setup!$F$236,+Setup!$E$236,+R155),+R155)</f>
        <v>0.24</v>
      </c>
      <c r="T155" s="61">
        <f>IF(Tax_Rates_Alt="y",IF(T$93=Setup!$F$236,+Setup!$E$236,+S155),+S155)</f>
        <v>0.24</v>
      </c>
      <c r="U155" s="61">
        <f>IF(Tax_Rates_Alt="y",IF(U$93=Setup!$F$236,+Setup!$E$236,+T155),+T155)</f>
        <v>0.24</v>
      </c>
      <c r="V155" s="61">
        <f>IF(Tax_Rates_Alt="y",IF(V$93=Setup!$F$236,+Setup!$E$236,+U155),+U155)</f>
        <v>0.24</v>
      </c>
      <c r="W155" s="61">
        <f>IF(Tax_Rates_Alt="y",IF(W$93=Setup!$F$236,+Setup!$E$236,+V155),+V155)</f>
        <v>0.24</v>
      </c>
      <c r="X155" s="61">
        <f>IF(Tax_Rates_Alt="y",IF(X$93=Setup!$F$236,+Setup!$E$236,+W155),+W155)</f>
        <v>0.24</v>
      </c>
      <c r="Y155" s="61">
        <f>IF(Tax_Rates_Alt="y",IF(Y$93=Setup!$F$236,+Setup!$E$236,+X155),+X155)</f>
        <v>0.24</v>
      </c>
      <c r="Z155" s="61">
        <f>IF(Tax_Rates_Alt="y",IF(Z$93=Setup!$F$236,+Setup!$E$236,+Y155),+Y155)</f>
        <v>0.24</v>
      </c>
      <c r="AA155" s="61">
        <f>IF(Tax_Rates_Alt="y",IF(AA$93=Setup!$F$236,+Setup!$E$236,+Z155),+Z155)</f>
        <v>0.24</v>
      </c>
      <c r="AB155" s="61">
        <f>IF(Tax_Rates_Alt="y",IF(AB$93=Setup!$F$236,+Setup!$E$236,+AA155),+AA155)</f>
        <v>0.24</v>
      </c>
      <c r="AC155" s="61">
        <f>IF(Tax_Rates_Alt="y",IF(AC$93=Setup!$F$236,+Setup!$E$236,+AB155),+AB155)</f>
        <v>0.24</v>
      </c>
      <c r="AD155" s="61">
        <f>IF(Tax_Rates_Alt="y",IF(AD$93=Setup!$F$236,+Setup!$E$236,+AC155),+AC155)</f>
        <v>0.24</v>
      </c>
      <c r="AE155" s="61">
        <f>IF(Tax_Rates_Alt="y",IF(AE$93=Setup!$F$236,+Setup!$E$236,+AD155),+AD155)</f>
        <v>0.24</v>
      </c>
      <c r="AF155" s="61">
        <f>IF(Tax_Rates_Alt="y",IF(AF$93=Setup!$F$236,+Setup!$E$236,+AE155),+AE155)</f>
        <v>0.24</v>
      </c>
      <c r="AG155" s="61">
        <f>IF(Tax_Rates_Alt="y",IF(AG$93=Setup!$F$236,+Setup!$E$236,+AF155),+AF155)</f>
        <v>0.24</v>
      </c>
      <c r="AH155" s="61">
        <f>IF(Tax_Rates_Alt="y",IF(AH$93=Setup!$F$236,+Setup!$E$236,+AG155),+AG155)</f>
        <v>0.24</v>
      </c>
      <c r="AI155" s="61">
        <f>IF(Tax_Rates_Alt="y",IF(AI$93=Setup!$F$236,+Setup!$E$236,+AH155),+AH155)</f>
        <v>0.24</v>
      </c>
      <c r="AJ155" s="61">
        <f>IF(Tax_Rates_Alt="y",IF(AJ$93=Setup!$F$236,+Setup!$E$236,+AI155),+AI155)</f>
        <v>0.24</v>
      </c>
      <c r="AK155" s="61">
        <f>IF(Tax_Rates_Alt="y",IF(AK$93=Setup!$F$236,+Setup!$E$236,+AJ155),+AJ155)</f>
        <v>0.24</v>
      </c>
      <c r="AL155" s="61">
        <f>IF(Tax_Rates_Alt="y",IF(AL$93=Setup!$F$236,+Setup!$E$236,+AK155),+AK155)</f>
        <v>0.24</v>
      </c>
      <c r="AM155" s="61">
        <f>IF(Tax_Rates_Alt="y",IF(AM$93=Setup!$F$236,+Setup!$E$236,+AL155),+AL155)</f>
        <v>0.24</v>
      </c>
      <c r="AN155" s="61">
        <f>IF(Tax_Rates_Alt="y",IF(AN$93=Setup!$F$236,+Setup!$E$236,+AM155),+AM155)</f>
        <v>0.24</v>
      </c>
      <c r="AO155" s="61">
        <f>IF(Tax_Rates_Alt="y",IF(AO$93=Setup!$F$236,+Setup!$E$236,+AN155),+AN155)</f>
        <v>0.24</v>
      </c>
      <c r="AP155" s="61">
        <f>IF(Tax_Rates_Alt="y",IF(AP$93=Setup!$F$236,+Setup!$E$236,+AO155),+AO155)</f>
        <v>0.24</v>
      </c>
      <c r="AQ155" s="61">
        <f>IF(Tax_Rates_Alt="y",IF(AQ$93=Setup!$F$236,+Setup!$E$236,+AP155),+AP155)</f>
        <v>0.24</v>
      </c>
      <c r="AR155" s="61">
        <f>IF(Tax_Rates_Alt="y",IF(AR$93=Setup!$F$236,+Setup!$E$236,+AQ155),+AQ155)</f>
        <v>0.24</v>
      </c>
      <c r="AS155" s="61">
        <f>IF(Tax_Rates_Alt="y",IF(AS$93=Setup!$F$236,+Setup!$E$236,+AR155),+AR155)</f>
        <v>0.24</v>
      </c>
      <c r="AT155" s="61"/>
      <c r="AU155" s="1403">
        <v>0.28000000000000003</v>
      </c>
    </row>
    <row r="156" spans="2:47" ht="15.6">
      <c r="B156" s="8" t="s">
        <v>1414</v>
      </c>
      <c r="D156" s="29"/>
      <c r="E156" s="29">
        <f t="shared" ref="E156:AS156" si="114">ROUND((+E154-E153)*E155/IF(Round_To&gt;Tax_Rounding,Tax_Rounding,Round_To),0)*IF(Round_To&gt;Tax_Rounding,Tax_Rounding,Round_To)</f>
        <v>36000</v>
      </c>
      <c r="F156" s="29">
        <f t="shared" si="114"/>
        <v>36700</v>
      </c>
      <c r="G156" s="29">
        <f t="shared" si="114"/>
        <v>37500</v>
      </c>
      <c r="H156" s="29">
        <f t="shared" si="114"/>
        <v>38400</v>
      </c>
      <c r="I156" s="29">
        <f t="shared" si="114"/>
        <v>39200</v>
      </c>
      <c r="J156" s="29">
        <f t="shared" si="114"/>
        <v>40000</v>
      </c>
      <c r="K156" s="29">
        <f t="shared" si="114"/>
        <v>40900</v>
      </c>
      <c r="L156" s="29">
        <f t="shared" si="114"/>
        <v>41800</v>
      </c>
      <c r="M156" s="29">
        <f t="shared" si="114"/>
        <v>42800</v>
      </c>
      <c r="N156" s="29">
        <f t="shared" si="114"/>
        <v>43700</v>
      </c>
      <c r="O156" s="29">
        <f t="shared" si="114"/>
        <v>44700</v>
      </c>
      <c r="P156" s="29">
        <f t="shared" si="114"/>
        <v>45600</v>
      </c>
      <c r="Q156" s="29">
        <f t="shared" si="114"/>
        <v>46700</v>
      </c>
      <c r="R156" s="29">
        <f t="shared" si="114"/>
        <v>47700</v>
      </c>
      <c r="S156" s="29">
        <f t="shared" si="114"/>
        <v>48700</v>
      </c>
      <c r="T156" s="29">
        <f t="shared" si="114"/>
        <v>49800</v>
      </c>
      <c r="U156" s="29">
        <f t="shared" si="114"/>
        <v>50900</v>
      </c>
      <c r="V156" s="29">
        <f t="shared" si="114"/>
        <v>52100</v>
      </c>
      <c r="W156" s="29">
        <f t="shared" si="114"/>
        <v>53200</v>
      </c>
      <c r="X156" s="29">
        <f t="shared" si="114"/>
        <v>54400</v>
      </c>
      <c r="Y156" s="29">
        <f t="shared" si="114"/>
        <v>55600</v>
      </c>
      <c r="Z156" s="29">
        <f t="shared" si="114"/>
        <v>56800</v>
      </c>
      <c r="AA156" s="29">
        <f t="shared" si="114"/>
        <v>58000</v>
      </c>
      <c r="AB156" s="29">
        <f t="shared" si="114"/>
        <v>59300</v>
      </c>
      <c r="AC156" s="29">
        <f t="shared" si="114"/>
        <v>60600</v>
      </c>
      <c r="AD156" s="29">
        <f t="shared" si="114"/>
        <v>62000</v>
      </c>
      <c r="AE156" s="29">
        <f t="shared" si="114"/>
        <v>63300</v>
      </c>
      <c r="AF156" s="29">
        <f t="shared" si="114"/>
        <v>64700</v>
      </c>
      <c r="AG156" s="29">
        <f t="shared" si="114"/>
        <v>66200</v>
      </c>
      <c r="AH156" s="29">
        <f t="shared" si="114"/>
        <v>67600</v>
      </c>
      <c r="AI156" s="29">
        <f t="shared" si="114"/>
        <v>69100</v>
      </c>
      <c r="AJ156" s="29">
        <f t="shared" si="114"/>
        <v>70600</v>
      </c>
      <c r="AK156" s="29">
        <f t="shared" si="114"/>
        <v>72200</v>
      </c>
      <c r="AL156" s="29">
        <f t="shared" si="114"/>
        <v>73800</v>
      </c>
      <c r="AM156" s="29">
        <f t="shared" si="114"/>
        <v>75400</v>
      </c>
      <c r="AN156" s="29">
        <f t="shared" si="114"/>
        <v>77000</v>
      </c>
      <c r="AO156" s="29">
        <f t="shared" si="114"/>
        <v>78700</v>
      </c>
      <c r="AP156" s="29">
        <f t="shared" si="114"/>
        <v>80400</v>
      </c>
      <c r="AQ156" s="29">
        <f t="shared" si="114"/>
        <v>82200</v>
      </c>
      <c r="AR156" s="29">
        <f t="shared" si="114"/>
        <v>84000</v>
      </c>
      <c r="AS156" s="29">
        <f t="shared" si="114"/>
        <v>85900</v>
      </c>
      <c r="AT156" s="29"/>
      <c r="AU156" s="22"/>
    </row>
    <row r="157" spans="2:47" ht="15.6">
      <c r="C157" s="8"/>
      <c r="D157" s="29"/>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2"/>
    </row>
    <row r="158" spans="2:47" ht="15.6">
      <c r="B158" s="539" t="s">
        <v>1978</v>
      </c>
      <c r="C158" s="8"/>
      <c r="D158" s="29"/>
      <c r="E158" s="29">
        <f>+E154</f>
        <v>315000</v>
      </c>
      <c r="F158" s="33">
        <f>+F154</f>
        <v>321450</v>
      </c>
      <c r="G158" s="29">
        <f>ROUND(+F158*(1+'Tax Tables'!$C$10)/IF(Round_To&gt;Tax_Rounding,Tax_Rounding,Round_To),0)*IF(Round_To&gt;Tax_Rounding,Tax_Rounding,Round_To)</f>
        <v>328500</v>
      </c>
      <c r="H158" s="29">
        <f>ROUND(+G158*(1+'Tax Tables'!$C$10)/IF(Round_To&gt;Tax_Rounding,Tax_Rounding,Round_To),0)*IF(Round_To&gt;Tax_Rounding,Tax_Rounding,Round_To)</f>
        <v>335700</v>
      </c>
      <c r="I158" s="29">
        <f>ROUND(+H158*(1+'Tax Tables'!$C$10)/IF(Round_To&gt;Tax_Rounding,Tax_Rounding,Round_To),0)*IF(Round_To&gt;Tax_Rounding,Tax_Rounding,Round_To)</f>
        <v>343100</v>
      </c>
      <c r="J158" s="29">
        <f>ROUND(+I158*(1+'Tax Tables'!$C$10)/IF(Round_To&gt;Tax_Rounding,Tax_Rounding,Round_To),0)*IF(Round_To&gt;Tax_Rounding,Tax_Rounding,Round_To)</f>
        <v>350600</v>
      </c>
      <c r="K158" s="29">
        <f>ROUND(+J158*(1+'Tax Tables'!$C$10)/IF(Round_To&gt;Tax_Rounding,Tax_Rounding,Round_To),0)*IF(Round_To&gt;Tax_Rounding,Tax_Rounding,Round_To)</f>
        <v>358300</v>
      </c>
      <c r="L158" s="29">
        <f>ROUND(+K158*(1+'Tax Tables'!$C$10)/IF(Round_To&gt;Tax_Rounding,Tax_Rounding,Round_To),0)*IF(Round_To&gt;Tax_Rounding,Tax_Rounding,Round_To)</f>
        <v>366200</v>
      </c>
      <c r="M158" s="29">
        <f>ROUND(+L158*(1+'Tax Tables'!$C$10)/IF(Round_To&gt;Tax_Rounding,Tax_Rounding,Round_To),0)*IF(Round_To&gt;Tax_Rounding,Tax_Rounding,Round_To)</f>
        <v>374300</v>
      </c>
      <c r="N158" s="29">
        <f>ROUND(+M158*(1+'Tax Tables'!$C$10)/IF(Round_To&gt;Tax_Rounding,Tax_Rounding,Round_To),0)*IF(Round_To&gt;Tax_Rounding,Tax_Rounding,Round_To)</f>
        <v>382500</v>
      </c>
      <c r="O158" s="29">
        <f>ROUND(+N158*(1+'Tax Tables'!$C$10)/IF(Round_To&gt;Tax_Rounding,Tax_Rounding,Round_To),0)*IF(Round_To&gt;Tax_Rounding,Tax_Rounding,Round_To)</f>
        <v>390900</v>
      </c>
      <c r="P158" s="29">
        <f>ROUND(+O158*(1+'Tax Tables'!$C$10)/IF(Round_To&gt;Tax_Rounding,Tax_Rounding,Round_To),0)*IF(Round_To&gt;Tax_Rounding,Tax_Rounding,Round_To)</f>
        <v>399500</v>
      </c>
      <c r="Q158" s="29">
        <f>ROUND(+P158*(1+'Tax Tables'!$C$10)/IF(Round_To&gt;Tax_Rounding,Tax_Rounding,Round_To),0)*IF(Round_To&gt;Tax_Rounding,Tax_Rounding,Round_To)</f>
        <v>408300</v>
      </c>
      <c r="R158" s="29">
        <f>ROUND(+Q158*(1+'Tax Tables'!$C$10)/IF(Round_To&gt;Tax_Rounding,Tax_Rounding,Round_To),0)*IF(Round_To&gt;Tax_Rounding,Tax_Rounding,Round_To)</f>
        <v>417300</v>
      </c>
      <c r="S158" s="29">
        <f>ROUND(+R158*(1+'Tax Tables'!$C$10)/IF(Round_To&gt;Tax_Rounding,Tax_Rounding,Round_To),0)*IF(Round_To&gt;Tax_Rounding,Tax_Rounding,Round_To)</f>
        <v>426500</v>
      </c>
      <c r="T158" s="29">
        <f>ROUND(+S158*(1+'Tax Tables'!$C$10)/IF(Round_To&gt;Tax_Rounding,Tax_Rounding,Round_To),0)*IF(Round_To&gt;Tax_Rounding,Tax_Rounding,Round_To)</f>
        <v>435900</v>
      </c>
      <c r="U158" s="29">
        <f>ROUND(+T158*(1+'Tax Tables'!$C$10)/IF(Round_To&gt;Tax_Rounding,Tax_Rounding,Round_To),0)*IF(Round_To&gt;Tax_Rounding,Tax_Rounding,Round_To)</f>
        <v>445500</v>
      </c>
      <c r="V158" s="29">
        <f>ROUND(+U158*(1+'Tax Tables'!$C$10)/IF(Round_To&gt;Tax_Rounding,Tax_Rounding,Round_To),0)*IF(Round_To&gt;Tax_Rounding,Tax_Rounding,Round_To)</f>
        <v>455300</v>
      </c>
      <c r="W158" s="29">
        <f>ROUND(+V158*(1+'Tax Tables'!$C$10)/IF(Round_To&gt;Tax_Rounding,Tax_Rounding,Round_To),0)*IF(Round_To&gt;Tax_Rounding,Tax_Rounding,Round_To)</f>
        <v>465300</v>
      </c>
      <c r="X158" s="29">
        <f>ROUND(+W158*(1+'Tax Tables'!$C$10)/IF(Round_To&gt;Tax_Rounding,Tax_Rounding,Round_To),0)*IF(Round_To&gt;Tax_Rounding,Tax_Rounding,Round_To)</f>
        <v>475500</v>
      </c>
      <c r="Y158" s="29">
        <f>ROUND(+X158*(1+'Tax Tables'!$C$10)/IF(Round_To&gt;Tax_Rounding,Tax_Rounding,Round_To),0)*IF(Round_To&gt;Tax_Rounding,Tax_Rounding,Round_To)</f>
        <v>486000</v>
      </c>
      <c r="Z158" s="29">
        <f>ROUND(+Y158*(1+'Tax Tables'!$C$10)/IF(Round_To&gt;Tax_Rounding,Tax_Rounding,Round_To),0)*IF(Round_To&gt;Tax_Rounding,Tax_Rounding,Round_To)</f>
        <v>496700</v>
      </c>
      <c r="AA158" s="29">
        <f>ROUND(+Z158*(1+'Tax Tables'!$C$10)/IF(Round_To&gt;Tax_Rounding,Tax_Rounding,Round_To),0)*IF(Round_To&gt;Tax_Rounding,Tax_Rounding,Round_To)</f>
        <v>507600</v>
      </c>
      <c r="AB158" s="29">
        <f>ROUND(+AA158*(1+'Tax Tables'!$C$10)/IF(Round_To&gt;Tax_Rounding,Tax_Rounding,Round_To),0)*IF(Round_To&gt;Tax_Rounding,Tax_Rounding,Round_To)</f>
        <v>518800</v>
      </c>
      <c r="AC158" s="29">
        <f>ROUND(+AB158*(1+'Tax Tables'!$C$10)/IF(Round_To&gt;Tax_Rounding,Tax_Rounding,Round_To),0)*IF(Round_To&gt;Tax_Rounding,Tax_Rounding,Round_To)</f>
        <v>530200</v>
      </c>
      <c r="AD158" s="29">
        <f>ROUND(+AC158*(1+'Tax Tables'!$C$10)/IF(Round_To&gt;Tax_Rounding,Tax_Rounding,Round_To),0)*IF(Round_To&gt;Tax_Rounding,Tax_Rounding,Round_To)</f>
        <v>541900</v>
      </c>
      <c r="AE158" s="29">
        <f>ROUND(+AD158*(1+'Tax Tables'!$C$10)/IF(Round_To&gt;Tax_Rounding,Tax_Rounding,Round_To),0)*IF(Round_To&gt;Tax_Rounding,Tax_Rounding,Round_To)</f>
        <v>553800</v>
      </c>
      <c r="AF158" s="29">
        <f>ROUND(+AE158*(1+'Tax Tables'!$C$10)/IF(Round_To&gt;Tax_Rounding,Tax_Rounding,Round_To),0)*IF(Round_To&gt;Tax_Rounding,Tax_Rounding,Round_To)</f>
        <v>566000</v>
      </c>
      <c r="AG158" s="29">
        <f>ROUND(+AF158*(1+'Tax Tables'!$C$10)/IF(Round_To&gt;Tax_Rounding,Tax_Rounding,Round_To),0)*IF(Round_To&gt;Tax_Rounding,Tax_Rounding,Round_To)</f>
        <v>578500</v>
      </c>
      <c r="AH158" s="29">
        <f>ROUND(+AG158*(1+'Tax Tables'!$C$10)/IF(Round_To&gt;Tax_Rounding,Tax_Rounding,Round_To),0)*IF(Round_To&gt;Tax_Rounding,Tax_Rounding,Round_To)</f>
        <v>591200</v>
      </c>
      <c r="AI158" s="29">
        <f>ROUND(+AH158*(1+'Tax Tables'!$C$10)/IF(Round_To&gt;Tax_Rounding,Tax_Rounding,Round_To),0)*IF(Round_To&gt;Tax_Rounding,Tax_Rounding,Round_To)</f>
        <v>604200</v>
      </c>
      <c r="AJ158" s="29">
        <f>ROUND(+AI158*(1+'Tax Tables'!$C$10)/IF(Round_To&gt;Tax_Rounding,Tax_Rounding,Round_To),0)*IF(Round_To&gt;Tax_Rounding,Tax_Rounding,Round_To)</f>
        <v>617500</v>
      </c>
      <c r="AK158" s="29">
        <f>ROUND(+AJ158*(1+'Tax Tables'!$C$10)/IF(Round_To&gt;Tax_Rounding,Tax_Rounding,Round_To),0)*IF(Round_To&gt;Tax_Rounding,Tax_Rounding,Round_To)</f>
        <v>631100</v>
      </c>
      <c r="AL158" s="29">
        <f>ROUND(+AK158*(1+'Tax Tables'!$C$10)/IF(Round_To&gt;Tax_Rounding,Tax_Rounding,Round_To),0)*IF(Round_To&gt;Tax_Rounding,Tax_Rounding,Round_To)</f>
        <v>645000</v>
      </c>
      <c r="AM158" s="29">
        <f>ROUND(+AL158*(1+'Tax Tables'!$C$10)/IF(Round_To&gt;Tax_Rounding,Tax_Rounding,Round_To),0)*IF(Round_To&gt;Tax_Rounding,Tax_Rounding,Round_To)</f>
        <v>659200</v>
      </c>
      <c r="AN158" s="29">
        <f>ROUND(+AM158*(1+'Tax Tables'!$C$10)/IF(Round_To&gt;Tax_Rounding,Tax_Rounding,Round_To),0)*IF(Round_To&gt;Tax_Rounding,Tax_Rounding,Round_To)</f>
        <v>673700</v>
      </c>
      <c r="AO158" s="29">
        <f>ROUND(+AN158*(1+'Tax Tables'!$C$10)/IF(Round_To&gt;Tax_Rounding,Tax_Rounding,Round_To),0)*IF(Round_To&gt;Tax_Rounding,Tax_Rounding,Round_To)</f>
        <v>688500</v>
      </c>
      <c r="AP158" s="29">
        <f>ROUND(+AO158*(1+'Tax Tables'!$C$10)/IF(Round_To&gt;Tax_Rounding,Tax_Rounding,Round_To),0)*IF(Round_To&gt;Tax_Rounding,Tax_Rounding,Round_To)</f>
        <v>703600</v>
      </c>
      <c r="AQ158" s="29">
        <f>ROUND(+AP158*(1+'Tax Tables'!$C$10)/IF(Round_To&gt;Tax_Rounding,Tax_Rounding,Round_To),0)*IF(Round_To&gt;Tax_Rounding,Tax_Rounding,Round_To)</f>
        <v>719100</v>
      </c>
      <c r="AR158" s="29">
        <f>ROUND(+AQ158*(1+'Tax Tables'!$C$10)/IF(Round_To&gt;Tax_Rounding,Tax_Rounding,Round_To),0)*IF(Round_To&gt;Tax_Rounding,Tax_Rounding,Round_To)</f>
        <v>734900</v>
      </c>
      <c r="AS158" s="29">
        <f>ROUND(+AR158*(1+'Tax Tables'!$C$10)/IF(Round_To&gt;Tax_Rounding,Tax_Rounding,Round_To),0)*IF(Round_To&gt;Tax_Rounding,Tax_Rounding,Round_To)</f>
        <v>751100</v>
      </c>
      <c r="AT158" s="29"/>
      <c r="AU158" s="66">
        <v>237950</v>
      </c>
    </row>
    <row r="159" spans="2:47" ht="15.6">
      <c r="B159" s="8" t="s">
        <v>1475</v>
      </c>
      <c r="D159" s="225"/>
      <c r="E159" s="1644">
        <v>400000</v>
      </c>
      <c r="F159" s="487">
        <v>408200</v>
      </c>
      <c r="G159" s="29">
        <f>ROUND(+F159*(1+'Tax Tables'!$C$10)/IF(Round_To&gt;Tax_Rounding,Tax_Rounding,Round_To),0)*IF(Round_To&gt;Tax_Rounding,Tax_Rounding,Round_To)</f>
        <v>417200</v>
      </c>
      <c r="H159" s="29">
        <f>ROUND(+G159*(1+'Tax Tables'!$C$10)/IF(Round_To&gt;Tax_Rounding,Tax_Rounding,Round_To),0)*IF(Round_To&gt;Tax_Rounding,Tax_Rounding,Round_To)</f>
        <v>426400</v>
      </c>
      <c r="I159" s="29">
        <f>ROUND(+H159*(1+'Tax Tables'!$C$10)/IF(Round_To&gt;Tax_Rounding,Tax_Rounding,Round_To),0)*IF(Round_To&gt;Tax_Rounding,Tax_Rounding,Round_To)</f>
        <v>435800</v>
      </c>
      <c r="J159" s="29">
        <f>ROUND(+I159*(1+'Tax Tables'!$C$10)/IF(Round_To&gt;Tax_Rounding,Tax_Rounding,Round_To),0)*IF(Round_To&gt;Tax_Rounding,Tax_Rounding,Round_To)</f>
        <v>445400</v>
      </c>
      <c r="K159" s="29">
        <f>ROUND(+J159*(1+'Tax Tables'!$C$10)/IF(Round_To&gt;Tax_Rounding,Tax_Rounding,Round_To),0)*IF(Round_To&gt;Tax_Rounding,Tax_Rounding,Round_To)</f>
        <v>455200</v>
      </c>
      <c r="L159" s="29">
        <f>ROUND(+K159*(1+'Tax Tables'!$C$10)/IF(Round_To&gt;Tax_Rounding,Tax_Rounding,Round_To),0)*IF(Round_To&gt;Tax_Rounding,Tax_Rounding,Round_To)</f>
        <v>465200</v>
      </c>
      <c r="M159" s="29">
        <f>ROUND(+L159*(1+'Tax Tables'!$C$10)/IF(Round_To&gt;Tax_Rounding,Tax_Rounding,Round_To),0)*IF(Round_To&gt;Tax_Rounding,Tax_Rounding,Round_To)</f>
        <v>475400</v>
      </c>
      <c r="N159" s="29">
        <f>ROUND(+M159*(1+'Tax Tables'!$C$10)/IF(Round_To&gt;Tax_Rounding,Tax_Rounding,Round_To),0)*IF(Round_To&gt;Tax_Rounding,Tax_Rounding,Round_To)</f>
        <v>485900</v>
      </c>
      <c r="O159" s="29">
        <f>ROUND(+N159*(1+'Tax Tables'!$C$10)/IF(Round_To&gt;Tax_Rounding,Tax_Rounding,Round_To),0)*IF(Round_To&gt;Tax_Rounding,Tax_Rounding,Round_To)</f>
        <v>496600</v>
      </c>
      <c r="P159" s="29">
        <f>ROUND(+O159*(1+'Tax Tables'!$C$10)/IF(Round_To&gt;Tax_Rounding,Tax_Rounding,Round_To),0)*IF(Round_To&gt;Tax_Rounding,Tax_Rounding,Round_To)</f>
        <v>507500</v>
      </c>
      <c r="Q159" s="29">
        <f>ROUND(+P159*(1+'Tax Tables'!$C$10)/IF(Round_To&gt;Tax_Rounding,Tax_Rounding,Round_To),0)*IF(Round_To&gt;Tax_Rounding,Tax_Rounding,Round_To)</f>
        <v>518700</v>
      </c>
      <c r="R159" s="29">
        <f>ROUND(+Q159*(1+'Tax Tables'!$C$10)/IF(Round_To&gt;Tax_Rounding,Tax_Rounding,Round_To),0)*IF(Round_To&gt;Tax_Rounding,Tax_Rounding,Round_To)</f>
        <v>530100</v>
      </c>
      <c r="S159" s="29">
        <f>ROUND(+R159*(1+'Tax Tables'!$C$10)/IF(Round_To&gt;Tax_Rounding,Tax_Rounding,Round_To),0)*IF(Round_To&gt;Tax_Rounding,Tax_Rounding,Round_To)</f>
        <v>541800</v>
      </c>
      <c r="T159" s="29">
        <f>ROUND(+S159*(1+'Tax Tables'!$C$10)/IF(Round_To&gt;Tax_Rounding,Tax_Rounding,Round_To),0)*IF(Round_To&gt;Tax_Rounding,Tax_Rounding,Round_To)</f>
        <v>553700</v>
      </c>
      <c r="U159" s="29">
        <f>ROUND(+T159*(1+'Tax Tables'!$C$10)/IF(Round_To&gt;Tax_Rounding,Tax_Rounding,Round_To),0)*IF(Round_To&gt;Tax_Rounding,Tax_Rounding,Round_To)</f>
        <v>565900</v>
      </c>
      <c r="V159" s="29">
        <f>ROUND(+U159*(1+'Tax Tables'!$C$10)/IF(Round_To&gt;Tax_Rounding,Tax_Rounding,Round_To),0)*IF(Round_To&gt;Tax_Rounding,Tax_Rounding,Round_To)</f>
        <v>578300</v>
      </c>
      <c r="W159" s="29">
        <f>ROUND(+V159*(1+'Tax Tables'!$C$10)/IF(Round_To&gt;Tax_Rounding,Tax_Rounding,Round_To),0)*IF(Round_To&gt;Tax_Rounding,Tax_Rounding,Round_To)</f>
        <v>591000</v>
      </c>
      <c r="X159" s="29">
        <f>ROUND(+W159*(1+'Tax Tables'!$C$10)/IF(Round_To&gt;Tax_Rounding,Tax_Rounding,Round_To),0)*IF(Round_To&gt;Tax_Rounding,Tax_Rounding,Round_To)</f>
        <v>604000</v>
      </c>
      <c r="Y159" s="29">
        <f>ROUND(+X159*(1+'Tax Tables'!$C$10)/IF(Round_To&gt;Tax_Rounding,Tax_Rounding,Round_To),0)*IF(Round_To&gt;Tax_Rounding,Tax_Rounding,Round_To)</f>
        <v>617300</v>
      </c>
      <c r="Z159" s="29">
        <f>ROUND(+Y159*(1+'Tax Tables'!$C$10)/IF(Round_To&gt;Tax_Rounding,Tax_Rounding,Round_To),0)*IF(Round_To&gt;Tax_Rounding,Tax_Rounding,Round_To)</f>
        <v>630900</v>
      </c>
      <c r="AA159" s="29">
        <f>ROUND(+Z159*(1+'Tax Tables'!$C$10)/IF(Round_To&gt;Tax_Rounding,Tax_Rounding,Round_To),0)*IF(Round_To&gt;Tax_Rounding,Tax_Rounding,Round_To)</f>
        <v>644800</v>
      </c>
      <c r="AB159" s="29">
        <f>ROUND(+AA159*(1+'Tax Tables'!$C$10)/IF(Round_To&gt;Tax_Rounding,Tax_Rounding,Round_To),0)*IF(Round_To&gt;Tax_Rounding,Tax_Rounding,Round_To)</f>
        <v>659000</v>
      </c>
      <c r="AC159" s="29">
        <f>ROUND(+AB159*(1+'Tax Tables'!$C$10)/IF(Round_To&gt;Tax_Rounding,Tax_Rounding,Round_To),0)*IF(Round_To&gt;Tax_Rounding,Tax_Rounding,Round_To)</f>
        <v>673500</v>
      </c>
      <c r="AD159" s="29">
        <f>ROUND(+AC159*(1+'Tax Tables'!$C$10)/IF(Round_To&gt;Tax_Rounding,Tax_Rounding,Round_To),0)*IF(Round_To&gt;Tax_Rounding,Tax_Rounding,Round_To)</f>
        <v>688300</v>
      </c>
      <c r="AE159" s="29">
        <f>ROUND(+AD159*(1+'Tax Tables'!$C$10)/IF(Round_To&gt;Tax_Rounding,Tax_Rounding,Round_To),0)*IF(Round_To&gt;Tax_Rounding,Tax_Rounding,Round_To)</f>
        <v>703400</v>
      </c>
      <c r="AF159" s="29">
        <f>ROUND(+AE159*(1+'Tax Tables'!$C$10)/IF(Round_To&gt;Tax_Rounding,Tax_Rounding,Round_To),0)*IF(Round_To&gt;Tax_Rounding,Tax_Rounding,Round_To)</f>
        <v>718900</v>
      </c>
      <c r="AG159" s="29">
        <f>ROUND(+AF159*(1+'Tax Tables'!$C$10)/IF(Round_To&gt;Tax_Rounding,Tax_Rounding,Round_To),0)*IF(Round_To&gt;Tax_Rounding,Tax_Rounding,Round_To)</f>
        <v>734700</v>
      </c>
      <c r="AH159" s="29">
        <f>ROUND(+AG159*(1+'Tax Tables'!$C$10)/IF(Round_To&gt;Tax_Rounding,Tax_Rounding,Round_To),0)*IF(Round_To&gt;Tax_Rounding,Tax_Rounding,Round_To)</f>
        <v>750900</v>
      </c>
      <c r="AI159" s="29">
        <f>ROUND(+AH159*(1+'Tax Tables'!$C$10)/IF(Round_To&gt;Tax_Rounding,Tax_Rounding,Round_To),0)*IF(Round_To&gt;Tax_Rounding,Tax_Rounding,Round_To)</f>
        <v>767400</v>
      </c>
      <c r="AJ159" s="29">
        <f>ROUND(+AI159*(1+'Tax Tables'!$C$10)/IF(Round_To&gt;Tax_Rounding,Tax_Rounding,Round_To),0)*IF(Round_To&gt;Tax_Rounding,Tax_Rounding,Round_To)</f>
        <v>784300</v>
      </c>
      <c r="AK159" s="29">
        <f>ROUND(+AJ159*(1+'Tax Tables'!$C$10)/IF(Round_To&gt;Tax_Rounding,Tax_Rounding,Round_To),0)*IF(Round_To&gt;Tax_Rounding,Tax_Rounding,Round_To)</f>
        <v>801600</v>
      </c>
      <c r="AL159" s="29">
        <f>ROUND(+AK159*(1+'Tax Tables'!$C$10)/IF(Round_To&gt;Tax_Rounding,Tax_Rounding,Round_To),0)*IF(Round_To&gt;Tax_Rounding,Tax_Rounding,Round_To)</f>
        <v>819200</v>
      </c>
      <c r="AM159" s="29">
        <f>ROUND(+AL159*(1+'Tax Tables'!$C$10)/IF(Round_To&gt;Tax_Rounding,Tax_Rounding,Round_To),0)*IF(Round_To&gt;Tax_Rounding,Tax_Rounding,Round_To)</f>
        <v>837200</v>
      </c>
      <c r="AN159" s="29">
        <f>ROUND(+AM159*(1+'Tax Tables'!$C$10)/IF(Round_To&gt;Tax_Rounding,Tax_Rounding,Round_To),0)*IF(Round_To&gt;Tax_Rounding,Tax_Rounding,Round_To)</f>
        <v>855600</v>
      </c>
      <c r="AO159" s="29">
        <f>ROUND(+AN159*(1+'Tax Tables'!$C$10)/IF(Round_To&gt;Tax_Rounding,Tax_Rounding,Round_To),0)*IF(Round_To&gt;Tax_Rounding,Tax_Rounding,Round_To)</f>
        <v>874400</v>
      </c>
      <c r="AP159" s="29">
        <f>ROUND(+AO159*(1+'Tax Tables'!$C$10)/IF(Round_To&gt;Tax_Rounding,Tax_Rounding,Round_To),0)*IF(Round_To&gt;Tax_Rounding,Tax_Rounding,Round_To)</f>
        <v>893600</v>
      </c>
      <c r="AQ159" s="29">
        <f>ROUND(+AP159*(1+'Tax Tables'!$C$10)/IF(Round_To&gt;Tax_Rounding,Tax_Rounding,Round_To),0)*IF(Round_To&gt;Tax_Rounding,Tax_Rounding,Round_To)</f>
        <v>913300</v>
      </c>
      <c r="AR159" s="29">
        <f>ROUND(+AQ159*(1+'Tax Tables'!$C$10)/IF(Round_To&gt;Tax_Rounding,Tax_Rounding,Round_To),0)*IF(Round_To&gt;Tax_Rounding,Tax_Rounding,Round_To)</f>
        <v>933400</v>
      </c>
      <c r="AS159" s="29">
        <f>ROUND(+AR159*(1+'Tax Tables'!$C$10)/IF(Round_To&gt;Tax_Rounding,Tax_Rounding,Round_To),0)*IF(Round_To&gt;Tax_Rounding,Tax_Rounding,Round_To)</f>
        <v>953900</v>
      </c>
      <c r="AT159" s="29"/>
      <c r="AU159" s="66">
        <v>424950</v>
      </c>
    </row>
    <row r="160" spans="2:47" ht="15.6">
      <c r="B160" s="8" t="s">
        <v>1476</v>
      </c>
      <c r="D160" s="226"/>
      <c r="E160" s="1645">
        <v>0.32</v>
      </c>
      <c r="F160" s="469">
        <v>0.32</v>
      </c>
      <c r="G160" s="61">
        <f>IF(Tax_Rates_Alt="y",IF(G$93=Setup!$F$237,+Setup!$E$237,+F160),+F160)</f>
        <v>0.32</v>
      </c>
      <c r="H160" s="61">
        <f>IF(Tax_Rates_Alt="y",IF(H$93=Setup!$F$237,+Setup!$E$237,+G160),+G160)</f>
        <v>0.32</v>
      </c>
      <c r="I160" s="61">
        <f>IF(Tax_Rates_Alt="y",IF(I$93=Setup!$F$237,+Setup!$E$237,+H160),+H160)</f>
        <v>0.32</v>
      </c>
      <c r="J160" s="61">
        <f>IF(Tax_Rates_Alt="y",IF(J$93=Setup!$F$237,+Setup!$E$237,+I160),+I160)</f>
        <v>0.32</v>
      </c>
      <c r="K160" s="61">
        <f>IF(Tax_Rates_Alt="y",IF(K$93=Setup!$F$237,+Setup!$E$237,+J160),+J160)</f>
        <v>0.32</v>
      </c>
      <c r="L160" s="61">
        <f>IF(Tax_Rates_Alt="y",IF(L$93=Setup!$F$237,+Setup!$E$237,+K160),+K160)</f>
        <v>0.32</v>
      </c>
      <c r="M160" s="61">
        <f>IF(Tax_Rates_Alt="y",IF(M$93=Setup!$F$237,+Setup!$E$237,+L160),+L160)</f>
        <v>0.32</v>
      </c>
      <c r="N160" s="61">
        <f>IF(Tax_Rates_Alt="y",IF(N$93=Setup!$F$237,+Setup!$E$237,+M160),+M160)</f>
        <v>0.32</v>
      </c>
      <c r="O160" s="61">
        <f>IF(Tax_Rates_Alt="y",IF(O$93=Setup!$F$237,+Setup!$E$237,+N160),+N160)</f>
        <v>0.32</v>
      </c>
      <c r="P160" s="61">
        <f>IF(Tax_Rates_Alt="y",IF(P$93=Setup!$F$237,+Setup!$E$237,+O160),+O160)</f>
        <v>0.32</v>
      </c>
      <c r="Q160" s="61">
        <f>IF(Tax_Rates_Alt="y",IF(Q$93=Setup!$F$237,+Setup!$E$237,+P160),+P160)</f>
        <v>0.32</v>
      </c>
      <c r="R160" s="61">
        <f>IF(Tax_Rates_Alt="y",IF(R$93=Setup!$F$237,+Setup!$E$237,+Q160),+Q160)</f>
        <v>0.32</v>
      </c>
      <c r="S160" s="61">
        <f>IF(Tax_Rates_Alt="y",IF(S$93=Setup!$F$237,+Setup!$E$237,+R160),+R160)</f>
        <v>0.32</v>
      </c>
      <c r="T160" s="61">
        <f>IF(Tax_Rates_Alt="y",IF(T$93=Setup!$F$237,+Setup!$E$237,+S160),+S160)</f>
        <v>0.32</v>
      </c>
      <c r="U160" s="61">
        <f>IF(Tax_Rates_Alt="y",IF(U$93=Setup!$F$237,+Setup!$E$237,+T160),+T160)</f>
        <v>0.32</v>
      </c>
      <c r="V160" s="61">
        <f>IF(Tax_Rates_Alt="y",IF(V$93=Setup!$F$237,+Setup!$E$237,+U160),+U160)</f>
        <v>0.32</v>
      </c>
      <c r="W160" s="61">
        <f>IF(Tax_Rates_Alt="y",IF(W$93=Setup!$F$237,+Setup!$E$237,+V160),+V160)</f>
        <v>0.32</v>
      </c>
      <c r="X160" s="61">
        <f>IF(Tax_Rates_Alt="y",IF(X$93=Setup!$F$237,+Setup!$E$237,+W160),+W160)</f>
        <v>0.32</v>
      </c>
      <c r="Y160" s="61">
        <f>IF(Tax_Rates_Alt="y",IF(Y$93=Setup!$F$237,+Setup!$E$237,+X160),+X160)</f>
        <v>0.32</v>
      </c>
      <c r="Z160" s="61">
        <f>IF(Tax_Rates_Alt="y",IF(Z$93=Setup!$F$237,+Setup!$E$237,+Y160),+Y160)</f>
        <v>0.32</v>
      </c>
      <c r="AA160" s="61">
        <f>IF(Tax_Rates_Alt="y",IF(AA$93=Setup!$F$237,+Setup!$E$237,+Z160),+Z160)</f>
        <v>0.32</v>
      </c>
      <c r="AB160" s="61">
        <f>IF(Tax_Rates_Alt="y",IF(AB$93=Setup!$F$237,+Setup!$E$237,+AA160),+AA160)</f>
        <v>0.32</v>
      </c>
      <c r="AC160" s="61">
        <f>IF(Tax_Rates_Alt="y",IF(AC$93=Setup!$F$237,+Setup!$E$237,+AB160),+AB160)</f>
        <v>0.32</v>
      </c>
      <c r="AD160" s="61">
        <f>IF(Tax_Rates_Alt="y",IF(AD$93=Setup!$F$237,+Setup!$E$237,+AC160),+AC160)</f>
        <v>0.32</v>
      </c>
      <c r="AE160" s="61">
        <f>IF(Tax_Rates_Alt="y",IF(AE$93=Setup!$F$237,+Setup!$E$237,+AD160),+AD160)</f>
        <v>0.32</v>
      </c>
      <c r="AF160" s="61">
        <f>IF(Tax_Rates_Alt="y",IF(AF$93=Setup!$F$237,+Setup!$E$237,+AE160),+AE160)</f>
        <v>0.32</v>
      </c>
      <c r="AG160" s="61">
        <f>IF(Tax_Rates_Alt="y",IF(AG$93=Setup!$F$237,+Setup!$E$237,+AF160),+AF160)</f>
        <v>0.32</v>
      </c>
      <c r="AH160" s="61">
        <f>IF(Tax_Rates_Alt="y",IF(AH$93=Setup!$F$237,+Setup!$E$237,+AG160),+AG160)</f>
        <v>0.32</v>
      </c>
      <c r="AI160" s="61">
        <f>IF(Tax_Rates_Alt="y",IF(AI$93=Setup!$F$237,+Setup!$E$237,+AH160),+AH160)</f>
        <v>0.32</v>
      </c>
      <c r="AJ160" s="61">
        <f>IF(Tax_Rates_Alt="y",IF(AJ$93=Setup!$F$237,+Setup!$E$237,+AI160),+AI160)</f>
        <v>0.32</v>
      </c>
      <c r="AK160" s="61">
        <f>IF(Tax_Rates_Alt="y",IF(AK$93=Setup!$F$237,+Setup!$E$237,+AJ160),+AJ160)</f>
        <v>0.32</v>
      </c>
      <c r="AL160" s="61">
        <f>IF(Tax_Rates_Alt="y",IF(AL$93=Setup!$F$237,+Setup!$E$237,+AK160),+AK160)</f>
        <v>0.32</v>
      </c>
      <c r="AM160" s="61">
        <f>IF(Tax_Rates_Alt="y",IF(AM$93=Setup!$F$237,+Setup!$E$237,+AL160),+AL160)</f>
        <v>0.32</v>
      </c>
      <c r="AN160" s="61">
        <f>IF(Tax_Rates_Alt="y",IF(AN$93=Setup!$F$237,+Setup!$E$237,+AM160),+AM160)</f>
        <v>0.32</v>
      </c>
      <c r="AO160" s="61">
        <f>IF(Tax_Rates_Alt="y",IF(AO$93=Setup!$F$237,+Setup!$E$237,+AN160),+AN160)</f>
        <v>0.32</v>
      </c>
      <c r="AP160" s="61">
        <f>IF(Tax_Rates_Alt="y",IF(AP$93=Setup!$F$237,+Setup!$E$237,+AO160),+AO160)</f>
        <v>0.32</v>
      </c>
      <c r="AQ160" s="61">
        <f>IF(Tax_Rates_Alt="y",IF(AQ$93=Setup!$F$237,+Setup!$E$237,+AP160),+AP160)</f>
        <v>0.32</v>
      </c>
      <c r="AR160" s="61">
        <f>IF(Tax_Rates_Alt="y",IF(AR$93=Setup!$F$237,+Setup!$E$237,+AQ160),+AQ160)</f>
        <v>0.32</v>
      </c>
      <c r="AS160" s="61">
        <f>IF(Tax_Rates_Alt="y",IF(AS$93=Setup!$F$237,+Setup!$E$237,+AR160),+AR160)</f>
        <v>0.32</v>
      </c>
      <c r="AT160" s="61"/>
      <c r="AU160" s="1403">
        <v>0.33</v>
      </c>
    </row>
    <row r="161" spans="1:47" ht="15.6">
      <c r="B161" s="8" t="s">
        <v>1414</v>
      </c>
      <c r="D161" s="29"/>
      <c r="E161" s="29">
        <f t="shared" ref="E161:AS161" si="115">ROUND((+E159-E158)*E160/IF(Round_To&gt;Tax_Rounding,Tax_Rounding,Round_To),0)*IF(Round_To&gt;Tax_Rounding,Tax_Rounding,Round_To)</f>
        <v>27200</v>
      </c>
      <c r="F161" s="29">
        <f t="shared" si="115"/>
        <v>27800</v>
      </c>
      <c r="G161" s="29">
        <f t="shared" si="115"/>
        <v>28400</v>
      </c>
      <c r="H161" s="29">
        <f t="shared" si="115"/>
        <v>29000</v>
      </c>
      <c r="I161" s="29">
        <f t="shared" si="115"/>
        <v>29700</v>
      </c>
      <c r="J161" s="29">
        <f t="shared" si="115"/>
        <v>30300</v>
      </c>
      <c r="K161" s="29">
        <f t="shared" si="115"/>
        <v>31000</v>
      </c>
      <c r="L161" s="29">
        <f t="shared" si="115"/>
        <v>31700</v>
      </c>
      <c r="M161" s="29">
        <f t="shared" si="115"/>
        <v>32400</v>
      </c>
      <c r="N161" s="29">
        <f t="shared" si="115"/>
        <v>33100</v>
      </c>
      <c r="O161" s="29">
        <f t="shared" si="115"/>
        <v>33800</v>
      </c>
      <c r="P161" s="29">
        <f t="shared" si="115"/>
        <v>34600</v>
      </c>
      <c r="Q161" s="29">
        <f t="shared" si="115"/>
        <v>35300</v>
      </c>
      <c r="R161" s="29">
        <f t="shared" si="115"/>
        <v>36100</v>
      </c>
      <c r="S161" s="29">
        <f t="shared" si="115"/>
        <v>36900</v>
      </c>
      <c r="T161" s="29">
        <f t="shared" si="115"/>
        <v>37700</v>
      </c>
      <c r="U161" s="29">
        <f t="shared" si="115"/>
        <v>38500</v>
      </c>
      <c r="V161" s="29">
        <f t="shared" si="115"/>
        <v>39400</v>
      </c>
      <c r="W161" s="29">
        <f t="shared" si="115"/>
        <v>40200</v>
      </c>
      <c r="X161" s="29">
        <f t="shared" si="115"/>
        <v>41100</v>
      </c>
      <c r="Y161" s="29">
        <f t="shared" si="115"/>
        <v>42000</v>
      </c>
      <c r="Z161" s="29">
        <f t="shared" si="115"/>
        <v>42900</v>
      </c>
      <c r="AA161" s="29">
        <f t="shared" si="115"/>
        <v>43900</v>
      </c>
      <c r="AB161" s="29">
        <f t="shared" si="115"/>
        <v>44900</v>
      </c>
      <c r="AC161" s="29">
        <f t="shared" si="115"/>
        <v>45900</v>
      </c>
      <c r="AD161" s="29">
        <f t="shared" si="115"/>
        <v>46800</v>
      </c>
      <c r="AE161" s="29">
        <f t="shared" si="115"/>
        <v>47900</v>
      </c>
      <c r="AF161" s="29">
        <f t="shared" si="115"/>
        <v>48900</v>
      </c>
      <c r="AG161" s="29">
        <f t="shared" si="115"/>
        <v>50000</v>
      </c>
      <c r="AH161" s="29">
        <f t="shared" si="115"/>
        <v>51100</v>
      </c>
      <c r="AI161" s="29">
        <f t="shared" si="115"/>
        <v>52200</v>
      </c>
      <c r="AJ161" s="29">
        <f t="shared" si="115"/>
        <v>53400</v>
      </c>
      <c r="AK161" s="29">
        <f t="shared" si="115"/>
        <v>54600</v>
      </c>
      <c r="AL161" s="29">
        <f t="shared" si="115"/>
        <v>55700</v>
      </c>
      <c r="AM161" s="29">
        <f t="shared" si="115"/>
        <v>57000</v>
      </c>
      <c r="AN161" s="29">
        <f t="shared" si="115"/>
        <v>58200</v>
      </c>
      <c r="AO161" s="29">
        <f t="shared" si="115"/>
        <v>59500</v>
      </c>
      <c r="AP161" s="29">
        <f t="shared" si="115"/>
        <v>60800</v>
      </c>
      <c r="AQ161" s="29">
        <f t="shared" si="115"/>
        <v>62100</v>
      </c>
      <c r="AR161" s="29">
        <f t="shared" si="115"/>
        <v>63500</v>
      </c>
      <c r="AS161" s="29">
        <f t="shared" si="115"/>
        <v>64900</v>
      </c>
      <c r="AT161" s="29"/>
      <c r="AU161" s="66"/>
    </row>
    <row r="162" spans="1:47" ht="15.6">
      <c r="C162" s="8"/>
      <c r="D162" s="29"/>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66"/>
    </row>
    <row r="163" spans="1:47" ht="15.6">
      <c r="B163" s="539" t="s">
        <v>1979</v>
      </c>
      <c r="C163" s="8"/>
      <c r="D163" s="29"/>
      <c r="E163" s="29">
        <f>+E159</f>
        <v>400000</v>
      </c>
      <c r="F163" s="33">
        <f>+F159</f>
        <v>408200</v>
      </c>
      <c r="G163" s="29">
        <f>ROUND(+F163*(1+'Tax Tables'!$C$10)/IF(Round_To&gt;Tax_Rounding,Tax_Rounding,Round_To),0)*IF(Round_To&gt;Tax_Rounding,Tax_Rounding,Round_To)</f>
        <v>417200</v>
      </c>
      <c r="H163" s="29">
        <f>ROUND(+G163*(1+'Tax Tables'!$C$10)/IF(Round_To&gt;Tax_Rounding,Tax_Rounding,Round_To),0)*IF(Round_To&gt;Tax_Rounding,Tax_Rounding,Round_To)</f>
        <v>426400</v>
      </c>
      <c r="I163" s="29">
        <f>ROUND(+H163*(1+'Tax Tables'!$C$10)/IF(Round_To&gt;Tax_Rounding,Tax_Rounding,Round_To),0)*IF(Round_To&gt;Tax_Rounding,Tax_Rounding,Round_To)</f>
        <v>435800</v>
      </c>
      <c r="J163" s="29">
        <f>ROUND(+I163*(1+'Tax Tables'!$C$10)/IF(Round_To&gt;Tax_Rounding,Tax_Rounding,Round_To),0)*IF(Round_To&gt;Tax_Rounding,Tax_Rounding,Round_To)</f>
        <v>445400</v>
      </c>
      <c r="K163" s="29">
        <f>ROUND(+J163*(1+'Tax Tables'!$C$10)/IF(Round_To&gt;Tax_Rounding,Tax_Rounding,Round_To),0)*IF(Round_To&gt;Tax_Rounding,Tax_Rounding,Round_To)</f>
        <v>455200</v>
      </c>
      <c r="L163" s="29">
        <f>ROUND(+K163*(1+'Tax Tables'!$C$10)/IF(Round_To&gt;Tax_Rounding,Tax_Rounding,Round_To),0)*IF(Round_To&gt;Tax_Rounding,Tax_Rounding,Round_To)</f>
        <v>465200</v>
      </c>
      <c r="M163" s="29">
        <f>ROUND(+L163*(1+'Tax Tables'!$C$10)/IF(Round_To&gt;Tax_Rounding,Tax_Rounding,Round_To),0)*IF(Round_To&gt;Tax_Rounding,Tax_Rounding,Round_To)</f>
        <v>475400</v>
      </c>
      <c r="N163" s="29">
        <f>ROUND(+M163*(1+'Tax Tables'!$C$10)/IF(Round_To&gt;Tax_Rounding,Tax_Rounding,Round_To),0)*IF(Round_To&gt;Tax_Rounding,Tax_Rounding,Round_To)</f>
        <v>485900</v>
      </c>
      <c r="O163" s="29">
        <f>ROUND(+N163*(1+'Tax Tables'!$C$10)/IF(Round_To&gt;Tax_Rounding,Tax_Rounding,Round_To),0)*IF(Round_To&gt;Tax_Rounding,Tax_Rounding,Round_To)</f>
        <v>496600</v>
      </c>
      <c r="P163" s="29">
        <f>ROUND(+O163*(1+'Tax Tables'!$C$10)/IF(Round_To&gt;Tax_Rounding,Tax_Rounding,Round_To),0)*IF(Round_To&gt;Tax_Rounding,Tax_Rounding,Round_To)</f>
        <v>507500</v>
      </c>
      <c r="Q163" s="29">
        <f>ROUND(+P163*(1+'Tax Tables'!$C$10)/IF(Round_To&gt;Tax_Rounding,Tax_Rounding,Round_To),0)*IF(Round_To&gt;Tax_Rounding,Tax_Rounding,Round_To)</f>
        <v>518700</v>
      </c>
      <c r="R163" s="29">
        <f>ROUND(+Q163*(1+'Tax Tables'!$C$10)/IF(Round_To&gt;Tax_Rounding,Tax_Rounding,Round_To),0)*IF(Round_To&gt;Tax_Rounding,Tax_Rounding,Round_To)</f>
        <v>530100</v>
      </c>
      <c r="S163" s="29">
        <f>ROUND(+R163*(1+'Tax Tables'!$C$10)/IF(Round_To&gt;Tax_Rounding,Tax_Rounding,Round_To),0)*IF(Round_To&gt;Tax_Rounding,Tax_Rounding,Round_To)</f>
        <v>541800</v>
      </c>
      <c r="T163" s="29">
        <f>ROUND(+S163*(1+'Tax Tables'!$C$10)/IF(Round_To&gt;Tax_Rounding,Tax_Rounding,Round_To),0)*IF(Round_To&gt;Tax_Rounding,Tax_Rounding,Round_To)</f>
        <v>553700</v>
      </c>
      <c r="U163" s="29">
        <f>ROUND(+T163*(1+'Tax Tables'!$C$10)/IF(Round_To&gt;Tax_Rounding,Tax_Rounding,Round_To),0)*IF(Round_To&gt;Tax_Rounding,Tax_Rounding,Round_To)</f>
        <v>565900</v>
      </c>
      <c r="V163" s="29">
        <f>ROUND(+U163*(1+'Tax Tables'!$C$10)/IF(Round_To&gt;Tax_Rounding,Tax_Rounding,Round_To),0)*IF(Round_To&gt;Tax_Rounding,Tax_Rounding,Round_To)</f>
        <v>578300</v>
      </c>
      <c r="W163" s="29">
        <f>ROUND(+V163*(1+'Tax Tables'!$C$10)/IF(Round_To&gt;Tax_Rounding,Tax_Rounding,Round_To),0)*IF(Round_To&gt;Tax_Rounding,Tax_Rounding,Round_To)</f>
        <v>591000</v>
      </c>
      <c r="X163" s="29">
        <f>ROUND(+W163*(1+'Tax Tables'!$C$10)/IF(Round_To&gt;Tax_Rounding,Tax_Rounding,Round_To),0)*IF(Round_To&gt;Tax_Rounding,Tax_Rounding,Round_To)</f>
        <v>604000</v>
      </c>
      <c r="Y163" s="29">
        <f>ROUND(+X163*(1+'Tax Tables'!$C$10)/IF(Round_To&gt;Tax_Rounding,Tax_Rounding,Round_To),0)*IF(Round_To&gt;Tax_Rounding,Tax_Rounding,Round_To)</f>
        <v>617300</v>
      </c>
      <c r="Z163" s="29">
        <f>ROUND(+Y163*(1+'Tax Tables'!$C$10)/IF(Round_To&gt;Tax_Rounding,Tax_Rounding,Round_To),0)*IF(Round_To&gt;Tax_Rounding,Tax_Rounding,Round_To)</f>
        <v>630900</v>
      </c>
      <c r="AA163" s="29">
        <f>ROUND(+Z163*(1+'Tax Tables'!$C$10)/IF(Round_To&gt;Tax_Rounding,Tax_Rounding,Round_To),0)*IF(Round_To&gt;Tax_Rounding,Tax_Rounding,Round_To)</f>
        <v>644800</v>
      </c>
      <c r="AB163" s="29">
        <f>ROUND(+AA163*(1+'Tax Tables'!$C$10)/IF(Round_To&gt;Tax_Rounding,Tax_Rounding,Round_To),0)*IF(Round_To&gt;Tax_Rounding,Tax_Rounding,Round_To)</f>
        <v>659000</v>
      </c>
      <c r="AC163" s="29">
        <f>ROUND(+AB163*(1+'Tax Tables'!$C$10)/IF(Round_To&gt;Tax_Rounding,Tax_Rounding,Round_To),0)*IF(Round_To&gt;Tax_Rounding,Tax_Rounding,Round_To)</f>
        <v>673500</v>
      </c>
      <c r="AD163" s="29">
        <f>ROUND(+AC163*(1+'Tax Tables'!$C$10)/IF(Round_To&gt;Tax_Rounding,Tax_Rounding,Round_To),0)*IF(Round_To&gt;Tax_Rounding,Tax_Rounding,Round_To)</f>
        <v>688300</v>
      </c>
      <c r="AE163" s="29">
        <f>ROUND(+AD163*(1+'Tax Tables'!$C$10)/IF(Round_To&gt;Tax_Rounding,Tax_Rounding,Round_To),0)*IF(Round_To&gt;Tax_Rounding,Tax_Rounding,Round_To)</f>
        <v>703400</v>
      </c>
      <c r="AF163" s="29">
        <f>ROUND(+AE163*(1+'Tax Tables'!$C$10)/IF(Round_To&gt;Tax_Rounding,Tax_Rounding,Round_To),0)*IF(Round_To&gt;Tax_Rounding,Tax_Rounding,Round_To)</f>
        <v>718900</v>
      </c>
      <c r="AG163" s="29">
        <f>ROUND(+AF163*(1+'Tax Tables'!$C$10)/IF(Round_To&gt;Tax_Rounding,Tax_Rounding,Round_To),0)*IF(Round_To&gt;Tax_Rounding,Tax_Rounding,Round_To)</f>
        <v>734700</v>
      </c>
      <c r="AH163" s="29">
        <f>ROUND(+AG163*(1+'Tax Tables'!$C$10)/IF(Round_To&gt;Tax_Rounding,Tax_Rounding,Round_To),0)*IF(Round_To&gt;Tax_Rounding,Tax_Rounding,Round_To)</f>
        <v>750900</v>
      </c>
      <c r="AI163" s="29">
        <f>ROUND(+AH163*(1+'Tax Tables'!$C$10)/IF(Round_To&gt;Tax_Rounding,Tax_Rounding,Round_To),0)*IF(Round_To&gt;Tax_Rounding,Tax_Rounding,Round_To)</f>
        <v>767400</v>
      </c>
      <c r="AJ163" s="29">
        <f>ROUND(+AI163*(1+'Tax Tables'!$C$10)/IF(Round_To&gt;Tax_Rounding,Tax_Rounding,Round_To),0)*IF(Round_To&gt;Tax_Rounding,Tax_Rounding,Round_To)</f>
        <v>784300</v>
      </c>
      <c r="AK163" s="29">
        <f>ROUND(+AJ163*(1+'Tax Tables'!$C$10)/IF(Round_To&gt;Tax_Rounding,Tax_Rounding,Round_To),0)*IF(Round_To&gt;Tax_Rounding,Tax_Rounding,Round_To)</f>
        <v>801600</v>
      </c>
      <c r="AL163" s="29">
        <f>ROUND(+AK163*(1+'Tax Tables'!$C$10)/IF(Round_To&gt;Tax_Rounding,Tax_Rounding,Round_To),0)*IF(Round_To&gt;Tax_Rounding,Tax_Rounding,Round_To)</f>
        <v>819200</v>
      </c>
      <c r="AM163" s="29">
        <f>ROUND(+AL163*(1+'Tax Tables'!$C$10)/IF(Round_To&gt;Tax_Rounding,Tax_Rounding,Round_To),0)*IF(Round_To&gt;Tax_Rounding,Tax_Rounding,Round_To)</f>
        <v>837200</v>
      </c>
      <c r="AN163" s="29">
        <f>ROUND(+AM163*(1+'Tax Tables'!$C$10)/IF(Round_To&gt;Tax_Rounding,Tax_Rounding,Round_To),0)*IF(Round_To&gt;Tax_Rounding,Tax_Rounding,Round_To)</f>
        <v>855600</v>
      </c>
      <c r="AO163" s="29">
        <f>ROUND(+AN163*(1+'Tax Tables'!$C$10)/IF(Round_To&gt;Tax_Rounding,Tax_Rounding,Round_To),0)*IF(Round_To&gt;Tax_Rounding,Tax_Rounding,Round_To)</f>
        <v>874400</v>
      </c>
      <c r="AP163" s="29">
        <f>ROUND(+AO163*(1+'Tax Tables'!$C$10)/IF(Round_To&gt;Tax_Rounding,Tax_Rounding,Round_To),0)*IF(Round_To&gt;Tax_Rounding,Tax_Rounding,Round_To)</f>
        <v>893600</v>
      </c>
      <c r="AQ163" s="29">
        <f>ROUND(+AP163*(1+'Tax Tables'!$C$10)/IF(Round_To&gt;Tax_Rounding,Tax_Rounding,Round_To),0)*IF(Round_To&gt;Tax_Rounding,Tax_Rounding,Round_To)</f>
        <v>913300</v>
      </c>
      <c r="AR163" s="29">
        <f>ROUND(+AQ163*(1+'Tax Tables'!$C$10)/IF(Round_To&gt;Tax_Rounding,Tax_Rounding,Round_To),0)*IF(Round_To&gt;Tax_Rounding,Tax_Rounding,Round_To)</f>
        <v>933400</v>
      </c>
      <c r="AS163" s="29">
        <f>ROUND(+AR163*(1+'Tax Tables'!$C$10)/IF(Round_To&gt;Tax_Rounding,Tax_Rounding,Round_To),0)*IF(Round_To&gt;Tax_Rounding,Tax_Rounding,Round_To)</f>
        <v>953900</v>
      </c>
      <c r="AT163" s="29"/>
      <c r="AU163" s="66">
        <v>424950</v>
      </c>
    </row>
    <row r="164" spans="1:47" ht="15.6">
      <c r="B164" s="8" t="s">
        <v>1475</v>
      </c>
      <c r="D164" s="225"/>
      <c r="E164" s="1644">
        <v>600000</v>
      </c>
      <c r="F164" s="487">
        <v>612350</v>
      </c>
      <c r="G164" s="29">
        <f>ROUND(+F164*(1+'Tax Tables'!$C$10)/IF(Round_To&gt;Tax_Rounding,Tax_Rounding,Round_To),0)*IF(Round_To&gt;Tax_Rounding,Tax_Rounding,Round_To)</f>
        <v>625800</v>
      </c>
      <c r="H164" s="29">
        <f>ROUND(+G164*(1+'Tax Tables'!$C$10)/IF(Round_To&gt;Tax_Rounding,Tax_Rounding,Round_To),0)*IF(Round_To&gt;Tax_Rounding,Tax_Rounding,Round_To)</f>
        <v>639600</v>
      </c>
      <c r="I164" s="29">
        <f>ROUND(+H164*(1+'Tax Tables'!$C$10)/IF(Round_To&gt;Tax_Rounding,Tax_Rounding,Round_To),0)*IF(Round_To&gt;Tax_Rounding,Tax_Rounding,Round_To)</f>
        <v>653700</v>
      </c>
      <c r="J164" s="29">
        <f>ROUND(+I164*(1+'Tax Tables'!$C$10)/IF(Round_To&gt;Tax_Rounding,Tax_Rounding,Round_To),0)*IF(Round_To&gt;Tax_Rounding,Tax_Rounding,Round_To)</f>
        <v>668100</v>
      </c>
      <c r="K164" s="29">
        <f>ROUND(+J164*(1+'Tax Tables'!$C$10)/IF(Round_To&gt;Tax_Rounding,Tax_Rounding,Round_To),0)*IF(Round_To&gt;Tax_Rounding,Tax_Rounding,Round_To)</f>
        <v>682800</v>
      </c>
      <c r="L164" s="29">
        <f>ROUND(+K164*(1+'Tax Tables'!$C$10)/IF(Round_To&gt;Tax_Rounding,Tax_Rounding,Round_To),0)*IF(Round_To&gt;Tax_Rounding,Tax_Rounding,Round_To)</f>
        <v>697800</v>
      </c>
      <c r="M164" s="29">
        <f>ROUND(+L164*(1+'Tax Tables'!$C$10)/IF(Round_To&gt;Tax_Rounding,Tax_Rounding,Round_To),0)*IF(Round_To&gt;Tax_Rounding,Tax_Rounding,Round_To)</f>
        <v>713200</v>
      </c>
      <c r="N164" s="29">
        <f>ROUND(+M164*(1+'Tax Tables'!$C$10)/IF(Round_To&gt;Tax_Rounding,Tax_Rounding,Round_To),0)*IF(Round_To&gt;Tax_Rounding,Tax_Rounding,Round_To)</f>
        <v>728900</v>
      </c>
      <c r="O164" s="29">
        <f>ROUND(+N164*(1+'Tax Tables'!$C$10)/IF(Round_To&gt;Tax_Rounding,Tax_Rounding,Round_To),0)*IF(Round_To&gt;Tax_Rounding,Tax_Rounding,Round_To)</f>
        <v>744900</v>
      </c>
      <c r="P164" s="29">
        <f>ROUND(+O164*(1+'Tax Tables'!$C$10)/IF(Round_To&gt;Tax_Rounding,Tax_Rounding,Round_To),0)*IF(Round_To&gt;Tax_Rounding,Tax_Rounding,Round_To)</f>
        <v>761300</v>
      </c>
      <c r="Q164" s="29">
        <f>ROUND(+P164*(1+'Tax Tables'!$C$10)/IF(Round_To&gt;Tax_Rounding,Tax_Rounding,Round_To),0)*IF(Round_To&gt;Tax_Rounding,Tax_Rounding,Round_To)</f>
        <v>778000</v>
      </c>
      <c r="R164" s="29">
        <f>ROUND(+Q164*(1+'Tax Tables'!$C$10)/IF(Round_To&gt;Tax_Rounding,Tax_Rounding,Round_To),0)*IF(Round_To&gt;Tax_Rounding,Tax_Rounding,Round_To)</f>
        <v>795100</v>
      </c>
      <c r="S164" s="29">
        <f>ROUND(+R164*(1+'Tax Tables'!$C$10)/IF(Round_To&gt;Tax_Rounding,Tax_Rounding,Round_To),0)*IF(Round_To&gt;Tax_Rounding,Tax_Rounding,Round_To)</f>
        <v>812600</v>
      </c>
      <c r="T164" s="29">
        <f>ROUND(+S164*(1+'Tax Tables'!$C$10)/IF(Round_To&gt;Tax_Rounding,Tax_Rounding,Round_To),0)*IF(Round_To&gt;Tax_Rounding,Tax_Rounding,Round_To)</f>
        <v>830500</v>
      </c>
      <c r="U164" s="29">
        <f>ROUND(+T164*(1+'Tax Tables'!$C$10)/IF(Round_To&gt;Tax_Rounding,Tax_Rounding,Round_To),0)*IF(Round_To&gt;Tax_Rounding,Tax_Rounding,Round_To)</f>
        <v>848800</v>
      </c>
      <c r="V164" s="29">
        <f>ROUND(+U164*(1+'Tax Tables'!$C$10)/IF(Round_To&gt;Tax_Rounding,Tax_Rounding,Round_To),0)*IF(Round_To&gt;Tax_Rounding,Tax_Rounding,Round_To)</f>
        <v>867500</v>
      </c>
      <c r="W164" s="29">
        <f>ROUND(+V164*(1+'Tax Tables'!$C$10)/IF(Round_To&gt;Tax_Rounding,Tax_Rounding,Round_To),0)*IF(Round_To&gt;Tax_Rounding,Tax_Rounding,Round_To)</f>
        <v>886600</v>
      </c>
      <c r="X164" s="29">
        <f>ROUND(+W164*(1+'Tax Tables'!$C$10)/IF(Round_To&gt;Tax_Rounding,Tax_Rounding,Round_To),0)*IF(Round_To&gt;Tax_Rounding,Tax_Rounding,Round_To)</f>
        <v>906100</v>
      </c>
      <c r="Y164" s="29">
        <f>ROUND(+X164*(1+'Tax Tables'!$C$10)/IF(Round_To&gt;Tax_Rounding,Tax_Rounding,Round_To),0)*IF(Round_To&gt;Tax_Rounding,Tax_Rounding,Round_To)</f>
        <v>926000</v>
      </c>
      <c r="Z164" s="29">
        <f>ROUND(+Y164*(1+'Tax Tables'!$C$10)/IF(Round_To&gt;Tax_Rounding,Tax_Rounding,Round_To),0)*IF(Round_To&gt;Tax_Rounding,Tax_Rounding,Round_To)</f>
        <v>946400</v>
      </c>
      <c r="AA164" s="29">
        <f>ROUND(+Z164*(1+'Tax Tables'!$C$10)/IF(Round_To&gt;Tax_Rounding,Tax_Rounding,Round_To),0)*IF(Round_To&gt;Tax_Rounding,Tax_Rounding,Round_To)</f>
        <v>967200</v>
      </c>
      <c r="AB164" s="29">
        <f>ROUND(+AA164*(1+'Tax Tables'!$C$10)/IF(Round_To&gt;Tax_Rounding,Tax_Rounding,Round_To),0)*IF(Round_To&gt;Tax_Rounding,Tax_Rounding,Round_To)</f>
        <v>988500</v>
      </c>
      <c r="AC164" s="29">
        <f>ROUND(+AB164*(1+'Tax Tables'!$C$10)/IF(Round_To&gt;Tax_Rounding,Tax_Rounding,Round_To),0)*IF(Round_To&gt;Tax_Rounding,Tax_Rounding,Round_To)</f>
        <v>1010200</v>
      </c>
      <c r="AD164" s="29">
        <f>ROUND(+AC164*(1+'Tax Tables'!$C$10)/IF(Round_To&gt;Tax_Rounding,Tax_Rounding,Round_To),0)*IF(Round_To&gt;Tax_Rounding,Tax_Rounding,Round_To)</f>
        <v>1032400</v>
      </c>
      <c r="AE164" s="29">
        <f>ROUND(+AD164*(1+'Tax Tables'!$C$10)/IF(Round_To&gt;Tax_Rounding,Tax_Rounding,Round_To),0)*IF(Round_To&gt;Tax_Rounding,Tax_Rounding,Round_To)</f>
        <v>1055100</v>
      </c>
      <c r="AF164" s="29">
        <f>ROUND(+AE164*(1+'Tax Tables'!$C$10)/IF(Round_To&gt;Tax_Rounding,Tax_Rounding,Round_To),0)*IF(Round_To&gt;Tax_Rounding,Tax_Rounding,Round_To)</f>
        <v>1078300</v>
      </c>
      <c r="AG164" s="29">
        <f>ROUND(+AF164*(1+'Tax Tables'!$C$10)/IF(Round_To&gt;Tax_Rounding,Tax_Rounding,Round_To),0)*IF(Round_To&gt;Tax_Rounding,Tax_Rounding,Round_To)</f>
        <v>1102000</v>
      </c>
      <c r="AH164" s="29">
        <f>ROUND(+AG164*(1+'Tax Tables'!$C$10)/IF(Round_To&gt;Tax_Rounding,Tax_Rounding,Round_To),0)*IF(Round_To&gt;Tax_Rounding,Tax_Rounding,Round_To)</f>
        <v>1126200</v>
      </c>
      <c r="AI164" s="29">
        <f>ROUND(+AH164*(1+'Tax Tables'!$C$10)/IF(Round_To&gt;Tax_Rounding,Tax_Rounding,Round_To),0)*IF(Round_To&gt;Tax_Rounding,Tax_Rounding,Round_To)</f>
        <v>1151000</v>
      </c>
      <c r="AJ164" s="29">
        <f>ROUND(+AI164*(1+'Tax Tables'!$C$10)/IF(Round_To&gt;Tax_Rounding,Tax_Rounding,Round_To),0)*IF(Round_To&gt;Tax_Rounding,Tax_Rounding,Round_To)</f>
        <v>1176300</v>
      </c>
      <c r="AK164" s="29">
        <f>ROUND(+AJ164*(1+'Tax Tables'!$C$10)/IF(Round_To&gt;Tax_Rounding,Tax_Rounding,Round_To),0)*IF(Round_To&gt;Tax_Rounding,Tax_Rounding,Round_To)</f>
        <v>1202200</v>
      </c>
      <c r="AL164" s="29">
        <f>ROUND(+AK164*(1+'Tax Tables'!$C$10)/IF(Round_To&gt;Tax_Rounding,Tax_Rounding,Round_To),0)*IF(Round_To&gt;Tax_Rounding,Tax_Rounding,Round_To)</f>
        <v>1228600</v>
      </c>
      <c r="AM164" s="29">
        <f>ROUND(+AL164*(1+'Tax Tables'!$C$10)/IF(Round_To&gt;Tax_Rounding,Tax_Rounding,Round_To),0)*IF(Round_To&gt;Tax_Rounding,Tax_Rounding,Round_To)</f>
        <v>1255600</v>
      </c>
      <c r="AN164" s="29">
        <f>ROUND(+AM164*(1+'Tax Tables'!$C$10)/IF(Round_To&gt;Tax_Rounding,Tax_Rounding,Round_To),0)*IF(Round_To&gt;Tax_Rounding,Tax_Rounding,Round_To)</f>
        <v>1283200</v>
      </c>
      <c r="AO164" s="29">
        <f>ROUND(+AN164*(1+'Tax Tables'!$C$10)/IF(Round_To&gt;Tax_Rounding,Tax_Rounding,Round_To),0)*IF(Round_To&gt;Tax_Rounding,Tax_Rounding,Round_To)</f>
        <v>1311400</v>
      </c>
      <c r="AP164" s="29">
        <f>ROUND(+AO164*(1+'Tax Tables'!$C$10)/IF(Round_To&gt;Tax_Rounding,Tax_Rounding,Round_To),0)*IF(Round_To&gt;Tax_Rounding,Tax_Rounding,Round_To)</f>
        <v>1340300</v>
      </c>
      <c r="AQ164" s="29">
        <f>ROUND(+AP164*(1+'Tax Tables'!$C$10)/IF(Round_To&gt;Tax_Rounding,Tax_Rounding,Round_To),0)*IF(Round_To&gt;Tax_Rounding,Tax_Rounding,Round_To)</f>
        <v>1369800</v>
      </c>
      <c r="AR164" s="29">
        <f>ROUND(+AQ164*(1+'Tax Tables'!$C$10)/IF(Round_To&gt;Tax_Rounding,Tax_Rounding,Round_To),0)*IF(Round_To&gt;Tax_Rounding,Tax_Rounding,Round_To)</f>
        <v>1399900</v>
      </c>
      <c r="AS164" s="29">
        <f>ROUND(+AR164*(1+'Tax Tables'!$C$10)/IF(Round_To&gt;Tax_Rounding,Tax_Rounding,Round_To),0)*IF(Round_To&gt;Tax_Rounding,Tax_Rounding,Round_To)</f>
        <v>1430700</v>
      </c>
      <c r="AT164" s="29"/>
      <c r="AU164" s="66">
        <v>480050</v>
      </c>
    </row>
    <row r="165" spans="1:47" ht="15.6">
      <c r="B165" s="8" t="s">
        <v>1476</v>
      </c>
      <c r="D165" s="226"/>
      <c r="E165" s="1645">
        <v>0.35</v>
      </c>
      <c r="F165" s="469">
        <v>0.35</v>
      </c>
      <c r="G165" s="61">
        <f>IF(Tax_Rates_Alt="y",IF(G$93=Setup!$F$238,+Setup!$E$238,+F165),+F165)</f>
        <v>0.35</v>
      </c>
      <c r="H165" s="61">
        <f>IF(Tax_Rates_Alt="y",IF(H$93=Setup!$F$238,+Setup!$E$238,+G165),+G165)</f>
        <v>0.35</v>
      </c>
      <c r="I165" s="61">
        <f>IF(Tax_Rates_Alt="y",IF(I$93=Setup!$F$238,+Setup!$E$238,+H165),+H165)</f>
        <v>0.35</v>
      </c>
      <c r="J165" s="61">
        <f>IF(Tax_Rates_Alt="y",IF(J$93=Setup!$F$238,+Setup!$E$238,+I165),+I165)</f>
        <v>0.35</v>
      </c>
      <c r="K165" s="61">
        <f>IF(Tax_Rates_Alt="y",IF(K$93=Setup!$F$238,+Setup!$E$238,+J165),+J165)</f>
        <v>0.35</v>
      </c>
      <c r="L165" s="61">
        <f>IF(Tax_Rates_Alt="y",IF(L$93=Setup!$F$238,+Setup!$E$238,+K165),+K165)</f>
        <v>0.35</v>
      </c>
      <c r="M165" s="61">
        <f>IF(Tax_Rates_Alt="y",IF(M$93=Setup!$F$238,+Setup!$E$238,+L165),+L165)</f>
        <v>0.35</v>
      </c>
      <c r="N165" s="61">
        <f>IF(Tax_Rates_Alt="y",IF(N$93=Setup!$F$238,+Setup!$E$238,+M165),+M165)</f>
        <v>0.35</v>
      </c>
      <c r="O165" s="61">
        <f>IF(Tax_Rates_Alt="y",IF(O$93=Setup!$F$238,+Setup!$E$238,+N165),+N165)</f>
        <v>0.35</v>
      </c>
      <c r="P165" s="61">
        <f>IF(Tax_Rates_Alt="y",IF(P$93=Setup!$F$238,+Setup!$E$238,+O165),+O165)</f>
        <v>0.35</v>
      </c>
      <c r="Q165" s="61">
        <f>IF(Tax_Rates_Alt="y",IF(Q$93=Setup!$F$238,+Setup!$E$238,+P165),+P165)</f>
        <v>0.35</v>
      </c>
      <c r="R165" s="61">
        <f>IF(Tax_Rates_Alt="y",IF(R$93=Setup!$F$238,+Setup!$E$238,+Q165),+Q165)</f>
        <v>0.35</v>
      </c>
      <c r="S165" s="61">
        <f>IF(Tax_Rates_Alt="y",IF(S$93=Setup!$F$238,+Setup!$E$238,+R165),+R165)</f>
        <v>0.35</v>
      </c>
      <c r="T165" s="61">
        <f>IF(Tax_Rates_Alt="y",IF(T$93=Setup!$F$238,+Setup!$E$238,+S165),+S165)</f>
        <v>0.35</v>
      </c>
      <c r="U165" s="61">
        <f>IF(Tax_Rates_Alt="y",IF(U$93=Setup!$F$238,+Setup!$E$238,+T165),+T165)</f>
        <v>0.35</v>
      </c>
      <c r="V165" s="61">
        <f>IF(Tax_Rates_Alt="y",IF(V$93=Setup!$F$238,+Setup!$E$238,+U165),+U165)</f>
        <v>0.35</v>
      </c>
      <c r="W165" s="61">
        <f>IF(Tax_Rates_Alt="y",IF(W$93=Setup!$F$238,+Setup!$E$238,+V165),+V165)</f>
        <v>0.35</v>
      </c>
      <c r="X165" s="61">
        <f>IF(Tax_Rates_Alt="y",IF(X$93=Setup!$F$238,+Setup!$E$238,+W165),+W165)</f>
        <v>0.35</v>
      </c>
      <c r="Y165" s="61">
        <f>IF(Tax_Rates_Alt="y",IF(Y$93=Setup!$F$238,+Setup!$E$238,+X165),+X165)</f>
        <v>0.35</v>
      </c>
      <c r="Z165" s="61">
        <f>IF(Tax_Rates_Alt="y",IF(Z$93=Setup!$F$238,+Setup!$E$238,+Y165),+Y165)</f>
        <v>0.35</v>
      </c>
      <c r="AA165" s="61">
        <f>IF(Tax_Rates_Alt="y",IF(AA$93=Setup!$F$238,+Setup!$E$238,+Z165),+Z165)</f>
        <v>0.35</v>
      </c>
      <c r="AB165" s="61">
        <f>IF(Tax_Rates_Alt="y",IF(AB$93=Setup!$F$238,+Setup!$E$238,+AA165),+AA165)</f>
        <v>0.35</v>
      </c>
      <c r="AC165" s="61">
        <f>IF(Tax_Rates_Alt="y",IF(AC$93=Setup!$F$238,+Setup!$E$238,+AB165),+AB165)</f>
        <v>0.35</v>
      </c>
      <c r="AD165" s="61">
        <f>IF(Tax_Rates_Alt="y",IF(AD$93=Setup!$F$238,+Setup!$E$238,+AC165),+AC165)</f>
        <v>0.35</v>
      </c>
      <c r="AE165" s="61">
        <f>IF(Tax_Rates_Alt="y",IF(AE$93=Setup!$F$238,+Setup!$E$238,+AD165),+AD165)</f>
        <v>0.35</v>
      </c>
      <c r="AF165" s="61">
        <f>IF(Tax_Rates_Alt="y",IF(AF$93=Setup!$F$238,+Setup!$E$238,+AE165),+AE165)</f>
        <v>0.35</v>
      </c>
      <c r="AG165" s="61">
        <f>IF(Tax_Rates_Alt="y",IF(AG$93=Setup!$F$238,+Setup!$E$238,+AF165),+AF165)</f>
        <v>0.35</v>
      </c>
      <c r="AH165" s="61">
        <f>IF(Tax_Rates_Alt="y",IF(AH$93=Setup!$F$238,+Setup!$E$238,+AG165),+AG165)</f>
        <v>0.35</v>
      </c>
      <c r="AI165" s="61">
        <f>IF(Tax_Rates_Alt="y",IF(AI$93=Setup!$F$238,+Setup!$E$238,+AH165),+AH165)</f>
        <v>0.35</v>
      </c>
      <c r="AJ165" s="61">
        <f>IF(Tax_Rates_Alt="y",IF(AJ$93=Setup!$F$238,+Setup!$E$238,+AI165),+AI165)</f>
        <v>0.35</v>
      </c>
      <c r="AK165" s="61">
        <f>IF(Tax_Rates_Alt="y",IF(AK$93=Setup!$F$238,+Setup!$E$238,+AJ165),+AJ165)</f>
        <v>0.35</v>
      </c>
      <c r="AL165" s="61">
        <f>IF(Tax_Rates_Alt="y",IF(AL$93=Setup!$F$238,+Setup!$E$238,+AK165),+AK165)</f>
        <v>0.35</v>
      </c>
      <c r="AM165" s="61">
        <f>IF(Tax_Rates_Alt="y",IF(AM$93=Setup!$F$238,+Setup!$E$238,+AL165),+AL165)</f>
        <v>0.35</v>
      </c>
      <c r="AN165" s="61">
        <f>IF(Tax_Rates_Alt="y",IF(AN$93=Setup!$F$238,+Setup!$E$238,+AM165),+AM165)</f>
        <v>0.35</v>
      </c>
      <c r="AO165" s="61">
        <f>IF(Tax_Rates_Alt="y",IF(AO$93=Setup!$F$238,+Setup!$E$238,+AN165),+AN165)</f>
        <v>0.35</v>
      </c>
      <c r="AP165" s="61">
        <f>IF(Tax_Rates_Alt="y",IF(AP$93=Setup!$F$238,+Setup!$E$238,+AO165),+AO165)</f>
        <v>0.35</v>
      </c>
      <c r="AQ165" s="61">
        <f>IF(Tax_Rates_Alt="y",IF(AQ$93=Setup!$F$238,+Setup!$E$238,+AP165),+AP165)</f>
        <v>0.35</v>
      </c>
      <c r="AR165" s="61">
        <f>IF(Tax_Rates_Alt="y",IF(AR$93=Setup!$F$238,+Setup!$E$238,+AQ165),+AQ165)</f>
        <v>0.35</v>
      </c>
      <c r="AS165" s="61">
        <f>IF(Tax_Rates_Alt="y",IF(AS$93=Setup!$F$238,+Setup!$E$238,+AR165),+AR165)</f>
        <v>0.35</v>
      </c>
      <c r="AT165" s="61"/>
      <c r="AU165" s="1403">
        <v>0.35</v>
      </c>
    </row>
    <row r="166" spans="1:47" ht="15.6">
      <c r="B166" s="8" t="s">
        <v>1414</v>
      </c>
      <c r="D166" s="29"/>
      <c r="E166" s="29">
        <f t="shared" ref="E166:AS166" si="116">ROUND((+E164-E163)*E165/IF(Round_To&gt;Tax_Rounding,Tax_Rounding,Round_To),0)*IF(Round_To&gt;Tax_Rounding,Tax_Rounding,Round_To)</f>
        <v>70000</v>
      </c>
      <c r="F166" s="29">
        <f t="shared" si="116"/>
        <v>71500</v>
      </c>
      <c r="G166" s="29">
        <f t="shared" si="116"/>
        <v>73000</v>
      </c>
      <c r="H166" s="29">
        <f t="shared" si="116"/>
        <v>74600</v>
      </c>
      <c r="I166" s="29">
        <f t="shared" si="116"/>
        <v>76300</v>
      </c>
      <c r="J166" s="29">
        <f t="shared" si="116"/>
        <v>77900</v>
      </c>
      <c r="K166" s="29">
        <f t="shared" si="116"/>
        <v>79700</v>
      </c>
      <c r="L166" s="29">
        <f t="shared" si="116"/>
        <v>81400</v>
      </c>
      <c r="M166" s="29">
        <f t="shared" si="116"/>
        <v>83200</v>
      </c>
      <c r="N166" s="29">
        <f t="shared" si="116"/>
        <v>85100</v>
      </c>
      <c r="O166" s="29">
        <f t="shared" si="116"/>
        <v>86900</v>
      </c>
      <c r="P166" s="29">
        <f t="shared" si="116"/>
        <v>88800</v>
      </c>
      <c r="Q166" s="29">
        <f t="shared" si="116"/>
        <v>90800</v>
      </c>
      <c r="R166" s="29">
        <f t="shared" si="116"/>
        <v>92800</v>
      </c>
      <c r="S166" s="29">
        <f t="shared" si="116"/>
        <v>94800</v>
      </c>
      <c r="T166" s="29">
        <f t="shared" si="116"/>
        <v>96900</v>
      </c>
      <c r="U166" s="29">
        <f t="shared" si="116"/>
        <v>99000</v>
      </c>
      <c r="V166" s="29">
        <f t="shared" si="116"/>
        <v>101200</v>
      </c>
      <c r="W166" s="29">
        <f t="shared" si="116"/>
        <v>103500</v>
      </c>
      <c r="X166" s="29">
        <f t="shared" si="116"/>
        <v>105700</v>
      </c>
      <c r="Y166" s="29">
        <f t="shared" si="116"/>
        <v>108000</v>
      </c>
      <c r="Z166" s="29">
        <f t="shared" si="116"/>
        <v>110400</v>
      </c>
      <c r="AA166" s="29">
        <f t="shared" si="116"/>
        <v>112800</v>
      </c>
      <c r="AB166" s="29">
        <f t="shared" si="116"/>
        <v>115300</v>
      </c>
      <c r="AC166" s="29">
        <f t="shared" si="116"/>
        <v>117800</v>
      </c>
      <c r="AD166" s="29">
        <f t="shared" si="116"/>
        <v>120400</v>
      </c>
      <c r="AE166" s="29">
        <f t="shared" si="116"/>
        <v>123100</v>
      </c>
      <c r="AF166" s="29">
        <f t="shared" si="116"/>
        <v>125800</v>
      </c>
      <c r="AG166" s="29">
        <f t="shared" si="116"/>
        <v>128600</v>
      </c>
      <c r="AH166" s="29">
        <f t="shared" si="116"/>
        <v>131400</v>
      </c>
      <c r="AI166" s="29">
        <f t="shared" si="116"/>
        <v>134300</v>
      </c>
      <c r="AJ166" s="29">
        <f t="shared" si="116"/>
        <v>137200</v>
      </c>
      <c r="AK166" s="29">
        <f t="shared" si="116"/>
        <v>140200</v>
      </c>
      <c r="AL166" s="29">
        <f t="shared" si="116"/>
        <v>143300</v>
      </c>
      <c r="AM166" s="29">
        <f t="shared" si="116"/>
        <v>146400</v>
      </c>
      <c r="AN166" s="29">
        <f t="shared" si="116"/>
        <v>149700</v>
      </c>
      <c r="AO166" s="29">
        <f t="shared" si="116"/>
        <v>153000</v>
      </c>
      <c r="AP166" s="29">
        <f t="shared" si="116"/>
        <v>156300</v>
      </c>
      <c r="AQ166" s="29">
        <f t="shared" si="116"/>
        <v>159800</v>
      </c>
      <c r="AR166" s="29">
        <f t="shared" si="116"/>
        <v>163300</v>
      </c>
      <c r="AS166" s="29">
        <f t="shared" si="116"/>
        <v>166900</v>
      </c>
      <c r="AT166" s="29"/>
      <c r="AU166" s="66"/>
    </row>
    <row r="167" spans="1:47" ht="15.6">
      <c r="C167" s="8"/>
      <c r="D167" s="29"/>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66"/>
    </row>
    <row r="168" spans="1:47" ht="15.6">
      <c r="B168" s="539" t="s">
        <v>1980</v>
      </c>
      <c r="C168" s="8"/>
      <c r="D168" s="29"/>
      <c r="E168" s="29">
        <f>+E164</f>
        <v>600000</v>
      </c>
      <c r="F168" s="33">
        <f>+F164</f>
        <v>612350</v>
      </c>
      <c r="G168" s="29">
        <f>ROUND(+F168*(1+'Tax Tables'!$C$10)/IF(Round_To&gt;Tax_Rounding,Tax_Rounding,Round_To),0)*IF(Round_To&gt;Tax_Rounding,Tax_Rounding,Round_To)</f>
        <v>625800</v>
      </c>
      <c r="H168" s="29">
        <f>ROUND(+G168*(1+'Tax Tables'!$C$10)/IF(Round_To&gt;Tax_Rounding,Tax_Rounding,Round_To),0)*IF(Round_To&gt;Tax_Rounding,Tax_Rounding,Round_To)</f>
        <v>639600</v>
      </c>
      <c r="I168" s="29">
        <f>ROUND(+H168*(1+'Tax Tables'!$C$10)/IF(Round_To&gt;Tax_Rounding,Tax_Rounding,Round_To),0)*IF(Round_To&gt;Tax_Rounding,Tax_Rounding,Round_To)</f>
        <v>653700</v>
      </c>
      <c r="J168" s="29">
        <f>ROUND(+I168*(1+'Tax Tables'!$C$10)/IF(Round_To&gt;Tax_Rounding,Tax_Rounding,Round_To),0)*IF(Round_To&gt;Tax_Rounding,Tax_Rounding,Round_To)</f>
        <v>668100</v>
      </c>
      <c r="K168" s="29">
        <f>ROUND(+J168*(1+'Tax Tables'!$C$10)/IF(Round_To&gt;Tax_Rounding,Tax_Rounding,Round_To),0)*IF(Round_To&gt;Tax_Rounding,Tax_Rounding,Round_To)</f>
        <v>682800</v>
      </c>
      <c r="L168" s="29">
        <f>ROUND(+K168*(1+'Tax Tables'!$C$10)/IF(Round_To&gt;Tax_Rounding,Tax_Rounding,Round_To),0)*IF(Round_To&gt;Tax_Rounding,Tax_Rounding,Round_To)</f>
        <v>697800</v>
      </c>
      <c r="M168" s="29">
        <f>ROUND(+L168*(1+'Tax Tables'!$C$10)/IF(Round_To&gt;Tax_Rounding,Tax_Rounding,Round_To),0)*IF(Round_To&gt;Tax_Rounding,Tax_Rounding,Round_To)</f>
        <v>713200</v>
      </c>
      <c r="N168" s="29">
        <f>ROUND(+M168*(1+'Tax Tables'!$C$10)/IF(Round_To&gt;Tax_Rounding,Tax_Rounding,Round_To),0)*IF(Round_To&gt;Tax_Rounding,Tax_Rounding,Round_To)</f>
        <v>728900</v>
      </c>
      <c r="O168" s="29">
        <f>ROUND(+N168*(1+'Tax Tables'!$C$10)/IF(Round_To&gt;Tax_Rounding,Tax_Rounding,Round_To),0)*IF(Round_To&gt;Tax_Rounding,Tax_Rounding,Round_To)</f>
        <v>744900</v>
      </c>
      <c r="P168" s="29">
        <f>ROUND(+O168*(1+'Tax Tables'!$C$10)/IF(Round_To&gt;Tax_Rounding,Tax_Rounding,Round_To),0)*IF(Round_To&gt;Tax_Rounding,Tax_Rounding,Round_To)</f>
        <v>761300</v>
      </c>
      <c r="Q168" s="29">
        <f>ROUND(+P168*(1+'Tax Tables'!$C$10)/IF(Round_To&gt;Tax_Rounding,Tax_Rounding,Round_To),0)*IF(Round_To&gt;Tax_Rounding,Tax_Rounding,Round_To)</f>
        <v>778000</v>
      </c>
      <c r="R168" s="29">
        <f>ROUND(+Q168*(1+'Tax Tables'!$C$10)/IF(Round_To&gt;Tax_Rounding,Tax_Rounding,Round_To),0)*IF(Round_To&gt;Tax_Rounding,Tax_Rounding,Round_To)</f>
        <v>795100</v>
      </c>
      <c r="S168" s="29">
        <f>ROUND(+R168*(1+'Tax Tables'!$C$10)/IF(Round_To&gt;Tax_Rounding,Tax_Rounding,Round_To),0)*IF(Round_To&gt;Tax_Rounding,Tax_Rounding,Round_To)</f>
        <v>812600</v>
      </c>
      <c r="T168" s="29">
        <f>ROUND(+S168*(1+'Tax Tables'!$C$10)/IF(Round_To&gt;Tax_Rounding,Tax_Rounding,Round_To),0)*IF(Round_To&gt;Tax_Rounding,Tax_Rounding,Round_To)</f>
        <v>830500</v>
      </c>
      <c r="U168" s="29">
        <f>ROUND(+T168*(1+'Tax Tables'!$C$10)/IF(Round_To&gt;Tax_Rounding,Tax_Rounding,Round_To),0)*IF(Round_To&gt;Tax_Rounding,Tax_Rounding,Round_To)</f>
        <v>848800</v>
      </c>
      <c r="V168" s="29">
        <f>ROUND(+U168*(1+'Tax Tables'!$C$10)/IF(Round_To&gt;Tax_Rounding,Tax_Rounding,Round_To),0)*IF(Round_To&gt;Tax_Rounding,Tax_Rounding,Round_To)</f>
        <v>867500</v>
      </c>
      <c r="W168" s="29">
        <f>ROUND(+V168*(1+'Tax Tables'!$C$10)/IF(Round_To&gt;Tax_Rounding,Tax_Rounding,Round_To),0)*IF(Round_To&gt;Tax_Rounding,Tax_Rounding,Round_To)</f>
        <v>886600</v>
      </c>
      <c r="X168" s="29">
        <f>ROUND(+W168*(1+'Tax Tables'!$C$10)/IF(Round_To&gt;Tax_Rounding,Tax_Rounding,Round_To),0)*IF(Round_To&gt;Tax_Rounding,Tax_Rounding,Round_To)</f>
        <v>906100</v>
      </c>
      <c r="Y168" s="29">
        <f>ROUND(+X168*(1+'Tax Tables'!$C$10)/IF(Round_To&gt;Tax_Rounding,Tax_Rounding,Round_To),0)*IF(Round_To&gt;Tax_Rounding,Tax_Rounding,Round_To)</f>
        <v>926000</v>
      </c>
      <c r="Z168" s="29">
        <f>ROUND(+Y168*(1+'Tax Tables'!$C$10)/IF(Round_To&gt;Tax_Rounding,Tax_Rounding,Round_To),0)*IF(Round_To&gt;Tax_Rounding,Tax_Rounding,Round_To)</f>
        <v>946400</v>
      </c>
      <c r="AA168" s="29">
        <f>ROUND(+Z168*(1+'Tax Tables'!$C$10)/IF(Round_To&gt;Tax_Rounding,Tax_Rounding,Round_To),0)*IF(Round_To&gt;Tax_Rounding,Tax_Rounding,Round_To)</f>
        <v>967200</v>
      </c>
      <c r="AB168" s="29">
        <f>ROUND(+AA168*(1+'Tax Tables'!$C$10)/IF(Round_To&gt;Tax_Rounding,Tax_Rounding,Round_To),0)*IF(Round_To&gt;Tax_Rounding,Tax_Rounding,Round_To)</f>
        <v>988500</v>
      </c>
      <c r="AC168" s="29">
        <f>ROUND(+AB168*(1+'Tax Tables'!$C$10)/IF(Round_To&gt;Tax_Rounding,Tax_Rounding,Round_To),0)*IF(Round_To&gt;Tax_Rounding,Tax_Rounding,Round_To)</f>
        <v>1010200</v>
      </c>
      <c r="AD168" s="29">
        <f>ROUND(+AC168*(1+'Tax Tables'!$C$10)/IF(Round_To&gt;Tax_Rounding,Tax_Rounding,Round_To),0)*IF(Round_To&gt;Tax_Rounding,Tax_Rounding,Round_To)</f>
        <v>1032400</v>
      </c>
      <c r="AE168" s="29">
        <f>ROUND(+AD168*(1+'Tax Tables'!$C$10)/IF(Round_To&gt;Tax_Rounding,Tax_Rounding,Round_To),0)*IF(Round_To&gt;Tax_Rounding,Tax_Rounding,Round_To)</f>
        <v>1055100</v>
      </c>
      <c r="AF168" s="29">
        <f>ROUND(+AE168*(1+'Tax Tables'!$C$10)/IF(Round_To&gt;Tax_Rounding,Tax_Rounding,Round_To),0)*IF(Round_To&gt;Tax_Rounding,Tax_Rounding,Round_To)</f>
        <v>1078300</v>
      </c>
      <c r="AG168" s="29">
        <f>ROUND(+AF168*(1+'Tax Tables'!$C$10)/IF(Round_To&gt;Tax_Rounding,Tax_Rounding,Round_To),0)*IF(Round_To&gt;Tax_Rounding,Tax_Rounding,Round_To)</f>
        <v>1102000</v>
      </c>
      <c r="AH168" s="29">
        <f>ROUND(+AG168*(1+'Tax Tables'!$C$10)/IF(Round_To&gt;Tax_Rounding,Tax_Rounding,Round_To),0)*IF(Round_To&gt;Tax_Rounding,Tax_Rounding,Round_To)</f>
        <v>1126200</v>
      </c>
      <c r="AI168" s="29">
        <f>ROUND(+AH168*(1+'Tax Tables'!$C$10)/IF(Round_To&gt;Tax_Rounding,Tax_Rounding,Round_To),0)*IF(Round_To&gt;Tax_Rounding,Tax_Rounding,Round_To)</f>
        <v>1151000</v>
      </c>
      <c r="AJ168" s="29">
        <f>ROUND(+AI168*(1+'Tax Tables'!$C$10)/IF(Round_To&gt;Tax_Rounding,Tax_Rounding,Round_To),0)*IF(Round_To&gt;Tax_Rounding,Tax_Rounding,Round_To)</f>
        <v>1176300</v>
      </c>
      <c r="AK168" s="29">
        <f>ROUND(+AJ168*(1+'Tax Tables'!$C$10)/IF(Round_To&gt;Tax_Rounding,Tax_Rounding,Round_To),0)*IF(Round_To&gt;Tax_Rounding,Tax_Rounding,Round_To)</f>
        <v>1202200</v>
      </c>
      <c r="AL168" s="29">
        <f>ROUND(+AK168*(1+'Tax Tables'!$C$10)/IF(Round_To&gt;Tax_Rounding,Tax_Rounding,Round_To),0)*IF(Round_To&gt;Tax_Rounding,Tax_Rounding,Round_To)</f>
        <v>1228600</v>
      </c>
      <c r="AM168" s="29">
        <f>ROUND(+AL168*(1+'Tax Tables'!$C$10)/IF(Round_To&gt;Tax_Rounding,Tax_Rounding,Round_To),0)*IF(Round_To&gt;Tax_Rounding,Tax_Rounding,Round_To)</f>
        <v>1255600</v>
      </c>
      <c r="AN168" s="29">
        <f>ROUND(+AM168*(1+'Tax Tables'!$C$10)/IF(Round_To&gt;Tax_Rounding,Tax_Rounding,Round_To),0)*IF(Round_To&gt;Tax_Rounding,Tax_Rounding,Round_To)</f>
        <v>1283200</v>
      </c>
      <c r="AO168" s="29">
        <f>ROUND(+AN168*(1+'Tax Tables'!$C$10)/IF(Round_To&gt;Tax_Rounding,Tax_Rounding,Round_To),0)*IF(Round_To&gt;Tax_Rounding,Tax_Rounding,Round_To)</f>
        <v>1311400</v>
      </c>
      <c r="AP168" s="29">
        <f>ROUND(+AO168*(1+'Tax Tables'!$C$10)/IF(Round_To&gt;Tax_Rounding,Tax_Rounding,Round_To),0)*IF(Round_To&gt;Tax_Rounding,Tax_Rounding,Round_To)</f>
        <v>1340300</v>
      </c>
      <c r="AQ168" s="29">
        <f>ROUND(+AP168*(1+'Tax Tables'!$C$10)/IF(Round_To&gt;Tax_Rounding,Tax_Rounding,Round_To),0)*IF(Round_To&gt;Tax_Rounding,Tax_Rounding,Round_To)</f>
        <v>1369800</v>
      </c>
      <c r="AR168" s="29">
        <f>ROUND(+AQ168*(1+'Tax Tables'!$C$10)/IF(Round_To&gt;Tax_Rounding,Tax_Rounding,Round_To),0)*IF(Round_To&gt;Tax_Rounding,Tax_Rounding,Round_To)</f>
        <v>1399900</v>
      </c>
      <c r="AS168" s="29">
        <f>ROUND(+AR168*(1+'Tax Tables'!$C$10)/IF(Round_To&gt;Tax_Rounding,Tax_Rounding,Round_To),0)*IF(Round_To&gt;Tax_Rounding,Tax_Rounding,Round_To)</f>
        <v>1430700</v>
      </c>
      <c r="AT168" s="29"/>
      <c r="AU168" s="66">
        <v>480050</v>
      </c>
    </row>
    <row r="169" spans="1:47" ht="15.6">
      <c r="B169" s="8" t="s">
        <v>1476</v>
      </c>
      <c r="D169" s="226"/>
      <c r="E169" s="1646">
        <v>0.37</v>
      </c>
      <c r="F169" s="1436">
        <v>0.37</v>
      </c>
      <c r="G169" s="61">
        <f>IF(Tax_Rates_Alt="y",IF(G$93=Setup!$F$239,+Setup!$E$239,+F169),+F169)</f>
        <v>0.37</v>
      </c>
      <c r="H169" s="61">
        <f>IF(Tax_Rates_Alt="y",IF(H$93=Setup!$F$239,+Setup!$E$239,+G169),+G169)</f>
        <v>0.37</v>
      </c>
      <c r="I169" s="61">
        <f>IF(Tax_Rates_Alt="y",IF(I$93=Setup!$F$239,+Setup!$E$239,+H169),+H169)</f>
        <v>0.37</v>
      </c>
      <c r="J169" s="61">
        <f>IF(Tax_Rates_Alt="y",IF(J$93=Setup!$F$239,+Setup!$E$239,+I169),+I169)</f>
        <v>0.37</v>
      </c>
      <c r="K169" s="61">
        <f>IF(Tax_Rates_Alt="y",IF(K$93=Setup!$F$239,+Setup!$E$239,+J169),+J169)</f>
        <v>0.37</v>
      </c>
      <c r="L169" s="61">
        <f>IF(Tax_Rates_Alt="y",IF(L$93=Setup!$F$239,+Setup!$E$239,+K169),+K169)</f>
        <v>0.37</v>
      </c>
      <c r="M169" s="61">
        <f>IF(Tax_Rates_Alt="y",IF(M$93=Setup!$F$239,+Setup!$E$239,+L169),+L169)</f>
        <v>0.37</v>
      </c>
      <c r="N169" s="61">
        <f>IF(Tax_Rates_Alt="y",IF(N$93=Setup!$F$239,+Setup!$E$239,+M169),+M169)</f>
        <v>0.37</v>
      </c>
      <c r="O169" s="61">
        <f>IF(Tax_Rates_Alt="y",IF(O$93=Setup!$F$239,+Setup!$E$239,+N169),+N169)</f>
        <v>0.37</v>
      </c>
      <c r="P169" s="61">
        <f>IF(Tax_Rates_Alt="y",IF(P$93=Setup!$F$239,+Setup!$E$239,+O169),+O169)</f>
        <v>0.37</v>
      </c>
      <c r="Q169" s="61">
        <f>IF(Tax_Rates_Alt="y",IF(Q$93=Setup!$F$239,+Setup!$E$239,+P169),+P169)</f>
        <v>0.37</v>
      </c>
      <c r="R169" s="61">
        <f>IF(Tax_Rates_Alt="y",IF(R$93=Setup!$F$239,+Setup!$E$239,+Q169),+Q169)</f>
        <v>0.37</v>
      </c>
      <c r="S169" s="61">
        <f>IF(Tax_Rates_Alt="y",IF(S$93=Setup!$F$239,+Setup!$E$239,+R169),+R169)</f>
        <v>0.37</v>
      </c>
      <c r="T169" s="61">
        <f>IF(Tax_Rates_Alt="y",IF(T$93=Setup!$F$239,+Setup!$E$239,+S169),+S169)</f>
        <v>0.37</v>
      </c>
      <c r="U169" s="61">
        <f>IF(Tax_Rates_Alt="y",IF(U$93=Setup!$F$239,+Setup!$E$239,+T169),+T169)</f>
        <v>0.37</v>
      </c>
      <c r="V169" s="61">
        <f>IF(Tax_Rates_Alt="y",IF(V$93=Setup!$F$239,+Setup!$E$239,+U169),+U169)</f>
        <v>0.37</v>
      </c>
      <c r="W169" s="61">
        <f>IF(Tax_Rates_Alt="y",IF(W$93=Setup!$F$239,+Setup!$E$239,+V169),+V169)</f>
        <v>0.37</v>
      </c>
      <c r="X169" s="61">
        <f>IF(Tax_Rates_Alt="y",IF(X$93=Setup!$F$239,+Setup!$E$239,+W169),+W169)</f>
        <v>0.37</v>
      </c>
      <c r="Y169" s="61">
        <f>IF(Tax_Rates_Alt="y",IF(Y$93=Setup!$F$239,+Setup!$E$239,+X169),+X169)</f>
        <v>0.37</v>
      </c>
      <c r="Z169" s="61">
        <f>IF(Tax_Rates_Alt="y",IF(Z$93=Setup!$F$239,+Setup!$E$239,+Y169),+Y169)</f>
        <v>0.37</v>
      </c>
      <c r="AA169" s="61">
        <f>IF(Tax_Rates_Alt="y",IF(AA$93=Setup!$F$239,+Setup!$E$239,+Z169),+Z169)</f>
        <v>0.37</v>
      </c>
      <c r="AB169" s="61">
        <f>IF(Tax_Rates_Alt="y",IF(AB$93=Setup!$F$239,+Setup!$E$239,+AA169),+AA169)</f>
        <v>0.37</v>
      </c>
      <c r="AC169" s="61">
        <f>IF(Tax_Rates_Alt="y",IF(AC$93=Setup!$F$239,+Setup!$E$239,+AB169),+AB169)</f>
        <v>0.37</v>
      </c>
      <c r="AD169" s="61">
        <f>IF(Tax_Rates_Alt="y",IF(AD$93=Setup!$F$239,+Setup!$E$239,+AC169),+AC169)</f>
        <v>0.37</v>
      </c>
      <c r="AE169" s="61">
        <f>IF(Tax_Rates_Alt="y",IF(AE$93=Setup!$F$239,+Setup!$E$239,+AD169),+AD169)</f>
        <v>0.37</v>
      </c>
      <c r="AF169" s="61">
        <f>IF(Tax_Rates_Alt="y",IF(AF$93=Setup!$F$239,+Setup!$E$239,+AE169),+AE169)</f>
        <v>0.37</v>
      </c>
      <c r="AG169" s="61">
        <f>IF(Tax_Rates_Alt="y",IF(AG$93=Setup!$F$239,+Setup!$E$239,+AF169),+AF169)</f>
        <v>0.37</v>
      </c>
      <c r="AH169" s="61">
        <f>IF(Tax_Rates_Alt="y",IF(AH$93=Setup!$F$239,+Setup!$E$239,+AG169),+AG169)</f>
        <v>0.37</v>
      </c>
      <c r="AI169" s="61">
        <f>IF(Tax_Rates_Alt="y",IF(AI$93=Setup!$F$239,+Setup!$E$239,+AH169),+AH169)</f>
        <v>0.37</v>
      </c>
      <c r="AJ169" s="61">
        <f>IF(Tax_Rates_Alt="y",IF(AJ$93=Setup!$F$239,+Setup!$E$239,+AI169),+AI169)</f>
        <v>0.37</v>
      </c>
      <c r="AK169" s="61">
        <f>IF(Tax_Rates_Alt="y",IF(AK$93=Setup!$F$239,+Setup!$E$239,+AJ169),+AJ169)</f>
        <v>0.37</v>
      </c>
      <c r="AL169" s="61">
        <f>IF(Tax_Rates_Alt="y",IF(AL$93=Setup!$F$239,+Setup!$E$239,+AK169),+AK169)</f>
        <v>0.37</v>
      </c>
      <c r="AM169" s="61">
        <f>IF(Tax_Rates_Alt="y",IF(AM$93=Setup!$F$239,+Setup!$E$239,+AL169),+AL169)</f>
        <v>0.37</v>
      </c>
      <c r="AN169" s="61">
        <f>IF(Tax_Rates_Alt="y",IF(AN$93=Setup!$F$239,+Setup!$E$239,+AM169),+AM169)</f>
        <v>0.37</v>
      </c>
      <c r="AO169" s="61">
        <f>IF(Tax_Rates_Alt="y",IF(AO$93=Setup!$F$239,+Setup!$E$239,+AN169),+AN169)</f>
        <v>0.37</v>
      </c>
      <c r="AP169" s="61">
        <f>IF(Tax_Rates_Alt="y",IF(AP$93=Setup!$F$239,+Setup!$E$239,+AO169),+AO169)</f>
        <v>0.37</v>
      </c>
      <c r="AQ169" s="61">
        <f>IF(Tax_Rates_Alt="y",IF(AQ$93=Setup!$F$239,+Setup!$E$239,+AP169),+AP169)</f>
        <v>0.37</v>
      </c>
      <c r="AR169" s="61">
        <f>IF(Tax_Rates_Alt="y",IF(AR$93=Setup!$F$239,+Setup!$E$239,+AQ169),+AQ169)</f>
        <v>0.37</v>
      </c>
      <c r="AS169" s="61">
        <f>IF(Tax_Rates_Alt="y",IF(AS$93=Setup!$F$239,+Setup!$E$239,+AR169),+AR169)</f>
        <v>0.37</v>
      </c>
      <c r="AT169" s="61"/>
      <c r="AU169" s="1404">
        <v>0.39600000000000002</v>
      </c>
    </row>
    <row r="170" spans="1:47" ht="15.6">
      <c r="C170" s="8"/>
      <c r="D170" s="8"/>
      <c r="E170" s="227"/>
      <c r="F170" s="289"/>
      <c r="G170" s="61"/>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c r="AE170" s="61"/>
      <c r="AF170" s="61"/>
      <c r="AG170" s="61"/>
      <c r="AH170" s="61"/>
      <c r="AI170" s="61"/>
      <c r="AJ170" s="61"/>
      <c r="AK170" s="61"/>
      <c r="AL170" s="61"/>
      <c r="AM170" s="61"/>
      <c r="AN170" s="61"/>
      <c r="AO170" s="61"/>
      <c r="AP170" s="61"/>
      <c r="AQ170" s="61"/>
      <c r="AR170" s="61"/>
      <c r="AS170" s="61"/>
      <c r="AT170" s="61"/>
    </row>
    <row r="171" spans="1:47" ht="15.6">
      <c r="B171" s="312" t="str">
        <f>IF(Filing_Status="S","Filing Status: Single",IF(Single_Rate_Start&lt;&gt;"","Filing Status: Joint then Single in " &amp; Single_Rate_Start,"Filing Status: Married Filing Jointly"))</f>
        <v>Filing Status: Joint then Single in 2043</v>
      </c>
      <c r="C171" s="8"/>
      <c r="D171" s="589" t="str">
        <f>IF(Tax_Rates_Alt="y","ALERT: Alternative tax rates activated ","")</f>
        <v/>
      </c>
      <c r="E171" s="705"/>
      <c r="F171" s="289"/>
      <c r="G171" s="61"/>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c r="AE171" s="61"/>
      <c r="AF171" s="61"/>
      <c r="AG171" s="61"/>
      <c r="AH171" s="61"/>
      <c r="AI171" s="61"/>
      <c r="AJ171" s="61"/>
      <c r="AK171" s="61"/>
      <c r="AL171" s="61"/>
      <c r="AM171" s="61"/>
      <c r="AN171" s="61"/>
      <c r="AO171" s="61"/>
      <c r="AP171" s="61"/>
      <c r="AQ171" s="61"/>
      <c r="AR171" s="61"/>
      <c r="AS171" s="61"/>
      <c r="AT171" s="61"/>
    </row>
    <row r="172" spans="1:47" ht="19.95" customHeight="1">
      <c r="A172" s="710"/>
      <c r="B172" s="710" t="s">
        <v>523</v>
      </c>
      <c r="C172" s="59"/>
      <c r="E172" s="706" t="str">
        <f>"Memo " &amp; Tax_Rates_Year-1</f>
        <v>Memo 2018</v>
      </c>
      <c r="F172" s="119" t="str">
        <f t="shared" ref="F172:AS172" si="117">IF(Single_Rate_Start=F1,"Start Yr",".")</f>
        <v>.</v>
      </c>
      <c r="G172" s="119" t="str">
        <f t="shared" si="117"/>
        <v>.</v>
      </c>
      <c r="H172" s="119" t="str">
        <f t="shared" si="117"/>
        <v>.</v>
      </c>
      <c r="I172" s="119" t="str">
        <f t="shared" si="117"/>
        <v>.</v>
      </c>
      <c r="J172" s="119" t="str">
        <f t="shared" si="117"/>
        <v>.</v>
      </c>
      <c r="K172" s="119" t="str">
        <f t="shared" si="117"/>
        <v>.</v>
      </c>
      <c r="L172" s="119" t="str">
        <f t="shared" si="117"/>
        <v>.</v>
      </c>
      <c r="M172" s="119" t="str">
        <f t="shared" si="117"/>
        <v>.</v>
      </c>
      <c r="N172" s="119" t="str">
        <f t="shared" si="117"/>
        <v>.</v>
      </c>
      <c r="O172" s="119" t="str">
        <f t="shared" si="117"/>
        <v>.</v>
      </c>
      <c r="P172" s="119" t="str">
        <f t="shared" si="117"/>
        <v>.</v>
      </c>
      <c r="Q172" s="119" t="str">
        <f t="shared" si="117"/>
        <v>.</v>
      </c>
      <c r="R172" s="119" t="str">
        <f t="shared" si="117"/>
        <v>.</v>
      </c>
      <c r="S172" s="119" t="str">
        <f t="shared" si="117"/>
        <v>.</v>
      </c>
      <c r="T172" s="119" t="str">
        <f t="shared" si="117"/>
        <v>.</v>
      </c>
      <c r="U172" s="119" t="str">
        <f t="shared" si="117"/>
        <v>.</v>
      </c>
      <c r="V172" s="119" t="str">
        <f t="shared" si="117"/>
        <v>.</v>
      </c>
      <c r="W172" s="119" t="str">
        <f t="shared" si="117"/>
        <v>.</v>
      </c>
      <c r="X172" s="119" t="str">
        <f t="shared" si="117"/>
        <v>.</v>
      </c>
      <c r="Y172" s="119" t="str">
        <f t="shared" si="117"/>
        <v>.</v>
      </c>
      <c r="Z172" s="119" t="str">
        <f t="shared" si="117"/>
        <v>.</v>
      </c>
      <c r="AA172" s="119" t="str">
        <f t="shared" si="117"/>
        <v>.</v>
      </c>
      <c r="AB172" s="119" t="str">
        <f t="shared" si="117"/>
        <v>.</v>
      </c>
      <c r="AC172" s="119" t="str">
        <f t="shared" si="117"/>
        <v>.</v>
      </c>
      <c r="AD172" s="119" t="str">
        <f t="shared" si="117"/>
        <v>Start Yr</v>
      </c>
      <c r="AE172" s="119" t="str">
        <f t="shared" si="117"/>
        <v>.</v>
      </c>
      <c r="AF172" s="119" t="str">
        <f t="shared" si="117"/>
        <v>.</v>
      </c>
      <c r="AG172" s="119" t="str">
        <f t="shared" si="117"/>
        <v>.</v>
      </c>
      <c r="AH172" s="119" t="str">
        <f t="shared" si="117"/>
        <v>.</v>
      </c>
      <c r="AI172" s="119" t="str">
        <f t="shared" si="117"/>
        <v>.</v>
      </c>
      <c r="AJ172" s="119" t="str">
        <f t="shared" si="117"/>
        <v>.</v>
      </c>
      <c r="AK172" s="119" t="str">
        <f t="shared" si="117"/>
        <v>.</v>
      </c>
      <c r="AL172" s="119" t="str">
        <f t="shared" si="117"/>
        <v>.</v>
      </c>
      <c r="AM172" s="119" t="str">
        <f t="shared" si="117"/>
        <v>.</v>
      </c>
      <c r="AN172" s="119" t="str">
        <f t="shared" si="117"/>
        <v>.</v>
      </c>
      <c r="AO172" s="119" t="str">
        <f t="shared" si="117"/>
        <v>.</v>
      </c>
      <c r="AP172" s="119" t="str">
        <f t="shared" si="117"/>
        <v>.</v>
      </c>
      <c r="AQ172" s="119" t="str">
        <f t="shared" si="117"/>
        <v>.</v>
      </c>
      <c r="AR172" s="119" t="str">
        <f t="shared" si="117"/>
        <v>.</v>
      </c>
      <c r="AS172" s="119" t="str">
        <f t="shared" si="117"/>
        <v>.</v>
      </c>
    </row>
    <row r="173" spans="1:47" ht="15.6">
      <c r="B173" s="1492" t="s">
        <v>1541</v>
      </c>
      <c r="C173" s="175"/>
      <c r="E173" s="74"/>
      <c r="F173" s="176" t="str">
        <f>IF(Filing_Status="s",+Details!F$184,"-")</f>
        <v>-</v>
      </c>
      <c r="G173" s="176" t="str">
        <f>IF(Filing_Status="s",+Details!G$184,"-")</f>
        <v>-</v>
      </c>
      <c r="H173" s="176" t="str">
        <f>IF(Filing_Status="s",+Details!H$184,"-")</f>
        <v>-</v>
      </c>
      <c r="I173" s="176" t="str">
        <f>IF(Filing_Status="s",+Details!I$184,"-")</f>
        <v>-</v>
      </c>
      <c r="J173" s="176" t="str">
        <f>IF(Filing_Status="s",+Details!J$184,"-")</f>
        <v>-</v>
      </c>
      <c r="K173" s="176" t="str">
        <f>IF(Filing_Status="s",+Details!K$184,"-")</f>
        <v>-</v>
      </c>
      <c r="L173" s="176" t="str">
        <f>IF(Filing_Status="s",+Details!L$184,"-")</f>
        <v>-</v>
      </c>
      <c r="M173" s="176" t="str">
        <f>IF(Filing_Status="s",+Details!M$184,"-")</f>
        <v>-</v>
      </c>
      <c r="N173" s="176" t="str">
        <f>IF(Filing_Status="s",+Details!N$184,"-")</f>
        <v>-</v>
      </c>
      <c r="O173" s="176" t="str">
        <f>IF(Filing_Status="s",+Details!O$184,"-")</f>
        <v>-</v>
      </c>
      <c r="P173" s="176" t="str">
        <f>IF(Filing_Status="s",+Details!P$184,"-")</f>
        <v>-</v>
      </c>
      <c r="Q173" s="176" t="str">
        <f>IF(Filing_Status="s",+Details!Q$184,"-")</f>
        <v>-</v>
      </c>
      <c r="R173" s="176" t="str">
        <f>IF(Filing_Status="s",+Details!R$184,"-")</f>
        <v>-</v>
      </c>
      <c r="S173" s="176" t="str">
        <f>IF(Filing_Status="s",+Details!S$184,"-")</f>
        <v>-</v>
      </c>
      <c r="T173" s="176" t="str">
        <f>IF(Filing_Status="s",+Details!T$184,"-")</f>
        <v>-</v>
      </c>
      <c r="U173" s="176" t="str">
        <f>IF(Filing_Status="s",+Details!U$184,"-")</f>
        <v>-</v>
      </c>
      <c r="V173" s="176" t="str">
        <f>IF(Filing_Status="s",+Details!V$184,"-")</f>
        <v>-</v>
      </c>
      <c r="W173" s="176" t="str">
        <f>IF(Filing_Status="s",+Details!W$184,"-")</f>
        <v>-</v>
      </c>
      <c r="X173" s="176" t="str">
        <f>IF(Filing_Status="s",+Details!X$184,"-")</f>
        <v>-</v>
      </c>
      <c r="Y173" s="176" t="str">
        <f>IF(Filing_Status="s",+Details!Y$184,"-")</f>
        <v>-</v>
      </c>
      <c r="Z173" s="176" t="str">
        <f>IF(Filing_Status="s",+Details!Z$184,"-")</f>
        <v>-</v>
      </c>
      <c r="AA173" s="176" t="str">
        <f>IF(Filing_Status="s",+Details!AA$184,"-")</f>
        <v>-</v>
      </c>
      <c r="AB173" s="176" t="str">
        <f>IF(Filing_Status="s",+Details!AB$184,"-")</f>
        <v>-</v>
      </c>
      <c r="AC173" s="176" t="str">
        <f>IF(Filing_Status="s",+Details!AC$184,"-")</f>
        <v>-</v>
      </c>
      <c r="AD173" s="176" t="str">
        <f>IF(Filing_Status="s",+Details!AD$184,"-")</f>
        <v>-</v>
      </c>
      <c r="AE173" s="176" t="str">
        <f>IF(Filing_Status="s",+Details!AE$184,"-")</f>
        <v>-</v>
      </c>
      <c r="AF173" s="176" t="str">
        <f>IF(Filing_Status="s",+Details!AF$184,"-")</f>
        <v>-</v>
      </c>
      <c r="AG173" s="176" t="str">
        <f>IF(Filing_Status="s",+Details!AG$184,"-")</f>
        <v>-</v>
      </c>
      <c r="AH173" s="176" t="str">
        <f>IF(Filing_Status="s",+Details!AH$184,"-")</f>
        <v>-</v>
      </c>
      <c r="AI173" s="176" t="str">
        <f>IF(Filing_Status="s",+Details!AI$184,"-")</f>
        <v>-</v>
      </c>
      <c r="AJ173" s="176" t="str">
        <f>IF(Filing_Status="s",+Details!AJ$184,"-")</f>
        <v>-</v>
      </c>
      <c r="AK173" s="176" t="str">
        <f>IF(Filing_Status="s",+Details!AK$184,"-")</f>
        <v>-</v>
      </c>
      <c r="AL173" s="176" t="str">
        <f>IF(Filing_Status="s",+Details!AL$184,"-")</f>
        <v>-</v>
      </c>
      <c r="AM173" s="176" t="str">
        <f>IF(Filing_Status="s",+Details!AM$184,"-")</f>
        <v>-</v>
      </c>
      <c r="AN173" s="176" t="str">
        <f>IF(Filing_Status="s",+Details!AN$184,"-")</f>
        <v>-</v>
      </c>
      <c r="AO173" s="176" t="str">
        <f>IF(Filing_Status="s",+Details!AO$184,"-")</f>
        <v>-</v>
      </c>
      <c r="AP173" s="176" t="str">
        <f>IF(Filing_Status="s",+Details!AP$184,"-")</f>
        <v>-</v>
      </c>
      <c r="AQ173" s="176" t="str">
        <f>IF(Filing_Status="s",+Details!AQ$184,"-")</f>
        <v>-</v>
      </c>
      <c r="AR173" s="176" t="str">
        <f>IF(Filing_Status="s",+Details!AR$184,"-")</f>
        <v>-</v>
      </c>
      <c r="AS173" s="176" t="str">
        <f>IF(Filing_Status="s",+Details!AS$184,"-")</f>
        <v>-</v>
      </c>
      <c r="AT173" s="176"/>
    </row>
    <row r="174" spans="1:47" ht="15.6">
      <c r="B174" s="633" t="s">
        <v>1906</v>
      </c>
      <c r="C174" s="72"/>
      <c r="E174" s="74"/>
      <c r="F174" s="176" t="str">
        <f>IF(Filing_Status="s",+Base!F$184,"-")</f>
        <v>-</v>
      </c>
      <c r="G174" s="176" t="str">
        <f>IF(Filing_Status="s",+Base!G$184,"-")</f>
        <v>-</v>
      </c>
      <c r="H174" s="176" t="str">
        <f>IF(Filing_Status="s",+Base!H$184,"-")</f>
        <v>-</v>
      </c>
      <c r="I174" s="176" t="str">
        <f>IF(Filing_Status="s",+Base!I$184,"-")</f>
        <v>-</v>
      </c>
      <c r="J174" s="176" t="str">
        <f>IF(Filing_Status="s",+Base!J$184,"-")</f>
        <v>-</v>
      </c>
      <c r="K174" s="176" t="str">
        <f>IF(Filing_Status="s",+Base!K$184,"-")</f>
        <v>-</v>
      </c>
      <c r="L174" s="176" t="str">
        <f>IF(Filing_Status="s",+Base!L$184,"-")</f>
        <v>-</v>
      </c>
      <c r="M174" s="176" t="str">
        <f>IF(Filing_Status="s",+Base!M$184,"-")</f>
        <v>-</v>
      </c>
      <c r="N174" s="176" t="str">
        <f>IF(Filing_Status="s",+Base!N$184,"-")</f>
        <v>-</v>
      </c>
      <c r="O174" s="176" t="str">
        <f>IF(Filing_Status="s",+Base!O$184,"-")</f>
        <v>-</v>
      </c>
      <c r="P174" s="176" t="str">
        <f>IF(Filing_Status="s",+Base!P$184,"-")</f>
        <v>-</v>
      </c>
      <c r="Q174" s="176" t="str">
        <f>IF(Filing_Status="s",+Base!Q$184,"-")</f>
        <v>-</v>
      </c>
      <c r="R174" s="176" t="str">
        <f>IF(Filing_Status="s",+Base!R$184,"-")</f>
        <v>-</v>
      </c>
      <c r="S174" s="176" t="str">
        <f>IF(Filing_Status="s",+Base!S$184,"-")</f>
        <v>-</v>
      </c>
      <c r="T174" s="176" t="str">
        <f>IF(Filing_Status="s",+Base!T$184,"-")</f>
        <v>-</v>
      </c>
      <c r="U174" s="176" t="str">
        <f>IF(Filing_Status="s",+Base!U$184,"-")</f>
        <v>-</v>
      </c>
      <c r="V174" s="176" t="str">
        <f>IF(Filing_Status="s",+Base!V$184,"-")</f>
        <v>-</v>
      </c>
      <c r="W174" s="176" t="str">
        <f>IF(Filing_Status="s",+Base!W$184,"-")</f>
        <v>-</v>
      </c>
      <c r="X174" s="176" t="str">
        <f>IF(Filing_Status="s",+Base!X$184,"-")</f>
        <v>-</v>
      </c>
      <c r="Y174" s="176" t="str">
        <f>IF(Filing_Status="s",+Base!Y$184,"-")</f>
        <v>-</v>
      </c>
      <c r="Z174" s="176" t="str">
        <f>IF(Filing_Status="s",+Base!Z$184,"-")</f>
        <v>-</v>
      </c>
      <c r="AA174" s="176" t="str">
        <f>IF(Filing_Status="s",+Base!AA$184,"-")</f>
        <v>-</v>
      </c>
      <c r="AB174" s="176" t="str">
        <f>IF(Filing_Status="s",+Base!AB$184,"-")</f>
        <v>-</v>
      </c>
      <c r="AC174" s="176" t="str">
        <f>IF(Filing_Status="s",+Base!AC$184,"-")</f>
        <v>-</v>
      </c>
      <c r="AD174" s="176" t="str">
        <f>IF(Filing_Status="s",+Base!AD$184,"-")</f>
        <v>-</v>
      </c>
      <c r="AE174" s="176" t="str">
        <f>IF(Filing_Status="s",+Base!AE$184,"-")</f>
        <v>-</v>
      </c>
      <c r="AF174" s="176" t="str">
        <f>IF(Filing_Status="s",+Base!AF$184,"-")</f>
        <v>-</v>
      </c>
      <c r="AG174" s="176" t="str">
        <f>IF(Filing_Status="s",+Base!AG$184,"-")</f>
        <v>-</v>
      </c>
      <c r="AH174" s="176" t="str">
        <f>IF(Filing_Status="s",+Base!AH$184,"-")</f>
        <v>-</v>
      </c>
      <c r="AI174" s="176" t="str">
        <f>IF(Filing_Status="s",+Base!AI$184,"-")</f>
        <v>-</v>
      </c>
      <c r="AJ174" s="176" t="str">
        <f>IF(Filing_Status="s",+Base!AJ$184,"-")</f>
        <v>-</v>
      </c>
      <c r="AK174" s="176" t="str">
        <f>IF(Filing_Status="s",+Base!AK$184,"-")</f>
        <v>-</v>
      </c>
      <c r="AL174" s="176" t="str">
        <f>IF(Filing_Status="s",+Base!AL$184,"-")</f>
        <v>-</v>
      </c>
      <c r="AM174" s="176" t="str">
        <f>IF(Filing_Status="s",+Base!AM$184,"-")</f>
        <v>-</v>
      </c>
      <c r="AN174" s="176" t="str">
        <f>IF(Filing_Status="s",+Base!AN$184,"-")</f>
        <v>-</v>
      </c>
      <c r="AO174" s="176" t="str">
        <f>IF(Filing_Status="s",+Base!AO$184,"-")</f>
        <v>-</v>
      </c>
      <c r="AP174" s="176" t="str">
        <f>IF(Filing_Status="s",+Base!AP$184,"-")</f>
        <v>-</v>
      </c>
      <c r="AQ174" s="176" t="str">
        <f>IF(Filing_Status="s",+Base!AQ$184,"-")</f>
        <v>-</v>
      </c>
      <c r="AR174" s="176" t="str">
        <f>IF(Filing_Status="s",+Base!AR$184,"-")</f>
        <v>-</v>
      </c>
      <c r="AS174" s="176" t="str">
        <f>IF(Filing_Status="s",+Base!AS$184,"-")</f>
        <v>-</v>
      </c>
      <c r="AT174" s="176"/>
    </row>
    <row r="175" spans="1:47" ht="15.6">
      <c r="B175" s="159" t="s">
        <v>969</v>
      </c>
      <c r="C175" s="59"/>
      <c r="E175" s="74"/>
      <c r="F175" s="78">
        <f t="shared" ref="F175:AS175" si="118">(1+IF(AND(Exemptions_Start&lt;=F$91,F$91&lt;=Exemptions_End),Exemptions_Add,0))*IF(F$93-$F$93&lt;=Total_Years-1,1,0)</f>
        <v>1</v>
      </c>
      <c r="G175" s="78">
        <f t="shared" si="118"/>
        <v>1</v>
      </c>
      <c r="H175" s="78">
        <f t="shared" si="118"/>
        <v>1</v>
      </c>
      <c r="I175" s="78">
        <f t="shared" si="118"/>
        <v>1</v>
      </c>
      <c r="J175" s="78">
        <f t="shared" si="118"/>
        <v>1</v>
      </c>
      <c r="K175" s="78">
        <f t="shared" si="118"/>
        <v>1</v>
      </c>
      <c r="L175" s="78">
        <f t="shared" si="118"/>
        <v>1</v>
      </c>
      <c r="M175" s="78">
        <f t="shared" si="118"/>
        <v>1</v>
      </c>
      <c r="N175" s="78">
        <f t="shared" si="118"/>
        <v>1</v>
      </c>
      <c r="O175" s="78">
        <f t="shared" si="118"/>
        <v>1</v>
      </c>
      <c r="P175" s="78">
        <f t="shared" si="118"/>
        <v>1</v>
      </c>
      <c r="Q175" s="78">
        <f t="shared" si="118"/>
        <v>1</v>
      </c>
      <c r="R175" s="78">
        <f t="shared" si="118"/>
        <v>1</v>
      </c>
      <c r="S175" s="78">
        <f t="shared" si="118"/>
        <v>1</v>
      </c>
      <c r="T175" s="78">
        <f t="shared" si="118"/>
        <v>1</v>
      </c>
      <c r="U175" s="78">
        <f t="shared" si="118"/>
        <v>1</v>
      </c>
      <c r="V175" s="78">
        <f t="shared" si="118"/>
        <v>1</v>
      </c>
      <c r="W175" s="78">
        <f t="shared" si="118"/>
        <v>1</v>
      </c>
      <c r="X175" s="78">
        <f t="shared" si="118"/>
        <v>1</v>
      </c>
      <c r="Y175" s="78">
        <f t="shared" si="118"/>
        <v>1</v>
      </c>
      <c r="Z175" s="78">
        <f t="shared" si="118"/>
        <v>1</v>
      </c>
      <c r="AA175" s="78">
        <f t="shared" si="118"/>
        <v>1</v>
      </c>
      <c r="AB175" s="78">
        <f t="shared" si="118"/>
        <v>1</v>
      </c>
      <c r="AC175" s="78">
        <f t="shared" si="118"/>
        <v>1</v>
      </c>
      <c r="AD175" s="78">
        <f t="shared" si="118"/>
        <v>1</v>
      </c>
      <c r="AE175" s="78">
        <f t="shared" si="118"/>
        <v>1</v>
      </c>
      <c r="AF175" s="78">
        <f t="shared" si="118"/>
        <v>1</v>
      </c>
      <c r="AG175" s="78">
        <f t="shared" si="118"/>
        <v>1</v>
      </c>
      <c r="AH175" s="78">
        <f t="shared" si="118"/>
        <v>1</v>
      </c>
      <c r="AI175" s="78">
        <f t="shared" si="118"/>
        <v>1</v>
      </c>
      <c r="AJ175" s="78">
        <f t="shared" si="118"/>
        <v>0</v>
      </c>
      <c r="AK175" s="78">
        <f t="shared" si="118"/>
        <v>0</v>
      </c>
      <c r="AL175" s="78">
        <f t="shared" si="118"/>
        <v>0</v>
      </c>
      <c r="AM175" s="78">
        <f t="shared" si="118"/>
        <v>0</v>
      </c>
      <c r="AN175" s="78">
        <f t="shared" si="118"/>
        <v>0</v>
      </c>
      <c r="AO175" s="78">
        <f t="shared" si="118"/>
        <v>0</v>
      </c>
      <c r="AP175" s="78">
        <f t="shared" si="118"/>
        <v>0</v>
      </c>
      <c r="AQ175" s="78">
        <f t="shared" si="118"/>
        <v>0</v>
      </c>
      <c r="AR175" s="78">
        <f t="shared" si="118"/>
        <v>0</v>
      </c>
      <c r="AS175" s="78">
        <f t="shared" si="118"/>
        <v>0</v>
      </c>
      <c r="AT175" s="678"/>
      <c r="AU175" s="1109"/>
    </row>
    <row r="176" spans="1:47">
      <c r="B176" s="155" t="s">
        <v>1907</v>
      </c>
      <c r="C176" s="320"/>
      <c r="D176" s="741"/>
      <c r="E176" s="1643">
        <v>0</v>
      </c>
      <c r="F176" s="15">
        <f t="shared" ref="F176:AS176" si="119">+F14*F175</f>
        <v>0</v>
      </c>
      <c r="G176" s="15">
        <f t="shared" si="119"/>
        <v>0</v>
      </c>
      <c r="H176" s="15">
        <f t="shared" si="119"/>
        <v>0</v>
      </c>
      <c r="I176" s="15">
        <f t="shared" si="119"/>
        <v>0</v>
      </c>
      <c r="J176" s="15">
        <f t="shared" si="119"/>
        <v>0</v>
      </c>
      <c r="K176" s="15">
        <f t="shared" si="119"/>
        <v>0</v>
      </c>
      <c r="L176" s="15">
        <f t="shared" si="119"/>
        <v>0</v>
      </c>
      <c r="M176" s="15">
        <f t="shared" si="119"/>
        <v>0</v>
      </c>
      <c r="N176" s="15">
        <f t="shared" si="119"/>
        <v>0</v>
      </c>
      <c r="O176" s="15">
        <f t="shared" si="119"/>
        <v>0</v>
      </c>
      <c r="P176" s="15">
        <f t="shared" si="119"/>
        <v>0</v>
      </c>
      <c r="Q176" s="15">
        <f t="shared" si="119"/>
        <v>0</v>
      </c>
      <c r="R176" s="15">
        <f t="shared" si="119"/>
        <v>0</v>
      </c>
      <c r="S176" s="15">
        <f t="shared" si="119"/>
        <v>0</v>
      </c>
      <c r="T176" s="15">
        <f t="shared" si="119"/>
        <v>0</v>
      </c>
      <c r="U176" s="15">
        <f t="shared" si="119"/>
        <v>0</v>
      </c>
      <c r="V176" s="15">
        <f t="shared" si="119"/>
        <v>0</v>
      </c>
      <c r="W176" s="15">
        <f t="shared" si="119"/>
        <v>0</v>
      </c>
      <c r="X176" s="15">
        <f t="shared" si="119"/>
        <v>0</v>
      </c>
      <c r="Y176" s="15">
        <f t="shared" si="119"/>
        <v>0</v>
      </c>
      <c r="Z176" s="15">
        <f t="shared" si="119"/>
        <v>0</v>
      </c>
      <c r="AA176" s="15">
        <f t="shared" si="119"/>
        <v>0</v>
      </c>
      <c r="AB176" s="15">
        <f t="shared" si="119"/>
        <v>0</v>
      </c>
      <c r="AC176" s="15">
        <f t="shared" si="119"/>
        <v>0</v>
      </c>
      <c r="AD176" s="15">
        <f t="shared" si="119"/>
        <v>0</v>
      </c>
      <c r="AE176" s="15">
        <f t="shared" si="119"/>
        <v>0</v>
      </c>
      <c r="AF176" s="15">
        <f t="shared" si="119"/>
        <v>0</v>
      </c>
      <c r="AG176" s="15">
        <f t="shared" si="119"/>
        <v>0</v>
      </c>
      <c r="AH176" s="15">
        <f t="shared" si="119"/>
        <v>0</v>
      </c>
      <c r="AI176" s="15">
        <f t="shared" si="119"/>
        <v>0</v>
      </c>
      <c r="AJ176" s="15">
        <f t="shared" si="119"/>
        <v>0</v>
      </c>
      <c r="AK176" s="15">
        <f t="shared" si="119"/>
        <v>0</v>
      </c>
      <c r="AL176" s="15">
        <f t="shared" si="119"/>
        <v>0</v>
      </c>
      <c r="AM176" s="15">
        <f t="shared" si="119"/>
        <v>0</v>
      </c>
      <c r="AN176" s="15">
        <f t="shared" si="119"/>
        <v>0</v>
      </c>
      <c r="AO176" s="15">
        <f t="shared" si="119"/>
        <v>0</v>
      </c>
      <c r="AP176" s="15">
        <f t="shared" si="119"/>
        <v>0</v>
      </c>
      <c r="AQ176" s="15">
        <f t="shared" si="119"/>
        <v>0</v>
      </c>
      <c r="AR176" s="15">
        <f t="shared" si="119"/>
        <v>0</v>
      </c>
      <c r="AS176" s="15">
        <f t="shared" si="119"/>
        <v>0</v>
      </c>
      <c r="AT176" s="73"/>
    </row>
    <row r="177" spans="2:46" ht="23.4" customHeight="1">
      <c r="B177" s="159" t="s">
        <v>1477</v>
      </c>
      <c r="C177" s="159"/>
      <c r="D177" s="741" t="str">
        <f>"Rounding set at $" &amp; ED_Rounding</f>
        <v>Rounding set at $50</v>
      </c>
      <c r="E177" s="1643">
        <v>12000</v>
      </c>
      <c r="F177" s="29">
        <f t="shared" ref="F177:AS177" si="120">+F11</f>
        <v>12200</v>
      </c>
      <c r="G177" s="29">
        <f t="shared" si="120"/>
        <v>12450</v>
      </c>
      <c r="H177" s="29">
        <f t="shared" si="120"/>
        <v>12700</v>
      </c>
      <c r="I177" s="29">
        <f t="shared" si="120"/>
        <v>13000</v>
      </c>
      <c r="J177" s="29">
        <f t="shared" si="120"/>
        <v>13300</v>
      </c>
      <c r="K177" s="29">
        <f t="shared" si="120"/>
        <v>13600</v>
      </c>
      <c r="L177" s="29">
        <f t="shared" si="120"/>
        <v>13900</v>
      </c>
      <c r="M177" s="29">
        <f t="shared" si="120"/>
        <v>14200</v>
      </c>
      <c r="N177" s="29">
        <f t="shared" si="120"/>
        <v>14500</v>
      </c>
      <c r="O177" s="29">
        <f t="shared" si="120"/>
        <v>14800</v>
      </c>
      <c r="P177" s="29">
        <f t="shared" si="120"/>
        <v>15150</v>
      </c>
      <c r="Q177" s="29">
        <f t="shared" si="120"/>
        <v>15500</v>
      </c>
      <c r="R177" s="29">
        <f t="shared" si="120"/>
        <v>15850</v>
      </c>
      <c r="S177" s="29">
        <f t="shared" si="120"/>
        <v>16200</v>
      </c>
      <c r="T177" s="29">
        <f t="shared" si="120"/>
        <v>16550</v>
      </c>
      <c r="U177" s="29">
        <f t="shared" si="120"/>
        <v>16900</v>
      </c>
      <c r="V177" s="29">
        <f t="shared" si="120"/>
        <v>17250</v>
      </c>
      <c r="W177" s="29">
        <f t="shared" si="120"/>
        <v>17650</v>
      </c>
      <c r="X177" s="29">
        <f t="shared" si="120"/>
        <v>18050</v>
      </c>
      <c r="Y177" s="29">
        <f t="shared" si="120"/>
        <v>18450</v>
      </c>
      <c r="Z177" s="29">
        <f t="shared" si="120"/>
        <v>18850</v>
      </c>
      <c r="AA177" s="29">
        <f t="shared" si="120"/>
        <v>19250</v>
      </c>
      <c r="AB177" s="29">
        <f t="shared" si="120"/>
        <v>19650</v>
      </c>
      <c r="AC177" s="29">
        <f t="shared" si="120"/>
        <v>20100</v>
      </c>
      <c r="AD177" s="29">
        <f t="shared" si="120"/>
        <v>20550</v>
      </c>
      <c r="AE177" s="29">
        <f t="shared" si="120"/>
        <v>21000</v>
      </c>
      <c r="AF177" s="29">
        <f t="shared" si="120"/>
        <v>21450</v>
      </c>
      <c r="AG177" s="29">
        <f t="shared" si="120"/>
        <v>21900</v>
      </c>
      <c r="AH177" s="29">
        <f t="shared" si="120"/>
        <v>22400</v>
      </c>
      <c r="AI177" s="29">
        <f t="shared" si="120"/>
        <v>22900</v>
      </c>
      <c r="AJ177" s="29">
        <f t="shared" si="120"/>
        <v>23400</v>
      </c>
      <c r="AK177" s="29">
        <f t="shared" si="120"/>
        <v>23900</v>
      </c>
      <c r="AL177" s="29">
        <f t="shared" si="120"/>
        <v>24450</v>
      </c>
      <c r="AM177" s="29">
        <f t="shared" si="120"/>
        <v>25000</v>
      </c>
      <c r="AN177" s="29">
        <f t="shared" si="120"/>
        <v>25550</v>
      </c>
      <c r="AO177" s="29">
        <f t="shared" si="120"/>
        <v>26100</v>
      </c>
      <c r="AP177" s="29">
        <f t="shared" si="120"/>
        <v>26650</v>
      </c>
      <c r="AQ177" s="29">
        <f t="shared" si="120"/>
        <v>27250</v>
      </c>
      <c r="AR177" s="29">
        <f t="shared" si="120"/>
        <v>27850</v>
      </c>
      <c r="AS177" s="29">
        <f t="shared" si="120"/>
        <v>28450</v>
      </c>
      <c r="AT177" s="73"/>
    </row>
    <row r="178" spans="2:46">
      <c r="B178" s="159" t="s">
        <v>1478</v>
      </c>
      <c r="C178" s="159"/>
      <c r="E178" s="1644">
        <v>1600</v>
      </c>
      <c r="F178" s="33">
        <f>+IF(F$91&gt;=65,$D$13,0)</f>
        <v>0</v>
      </c>
      <c r="G178" s="29">
        <f t="shared" ref="G178:AS178" si="121">ROUND(IF(G$91&gt;=65,($D$13*(1+$C$10)^(G$91-$F$91)),0)/ED_Rounding,0)*ED_Rounding</f>
        <v>0</v>
      </c>
      <c r="H178" s="29">
        <f t="shared" si="121"/>
        <v>0</v>
      </c>
      <c r="I178" s="29">
        <f t="shared" si="121"/>
        <v>1750</v>
      </c>
      <c r="J178" s="29">
        <f t="shared" si="121"/>
        <v>1800</v>
      </c>
      <c r="K178" s="29">
        <f t="shared" si="121"/>
        <v>1850</v>
      </c>
      <c r="L178" s="29">
        <f t="shared" si="121"/>
        <v>1900</v>
      </c>
      <c r="M178" s="29">
        <f t="shared" si="121"/>
        <v>1900</v>
      </c>
      <c r="N178" s="29">
        <f t="shared" si="121"/>
        <v>1950</v>
      </c>
      <c r="O178" s="29">
        <f t="shared" si="121"/>
        <v>2000</v>
      </c>
      <c r="P178" s="29">
        <f t="shared" si="121"/>
        <v>2050</v>
      </c>
      <c r="Q178" s="29">
        <f t="shared" si="121"/>
        <v>2100</v>
      </c>
      <c r="R178" s="29">
        <f t="shared" si="121"/>
        <v>2150</v>
      </c>
      <c r="S178" s="29">
        <f t="shared" si="121"/>
        <v>2200</v>
      </c>
      <c r="T178" s="29">
        <f t="shared" si="121"/>
        <v>2250</v>
      </c>
      <c r="U178" s="29">
        <f t="shared" si="121"/>
        <v>2300</v>
      </c>
      <c r="V178" s="29">
        <f t="shared" si="121"/>
        <v>2350</v>
      </c>
      <c r="W178" s="29">
        <f t="shared" si="121"/>
        <v>2400</v>
      </c>
      <c r="X178" s="29">
        <f t="shared" si="121"/>
        <v>2450</v>
      </c>
      <c r="Y178" s="29">
        <f t="shared" si="121"/>
        <v>2500</v>
      </c>
      <c r="Z178" s="29">
        <f t="shared" si="121"/>
        <v>2550</v>
      </c>
      <c r="AA178" s="29">
        <f t="shared" si="121"/>
        <v>2600</v>
      </c>
      <c r="AB178" s="29">
        <f t="shared" si="121"/>
        <v>2650</v>
      </c>
      <c r="AC178" s="29">
        <f t="shared" si="121"/>
        <v>2700</v>
      </c>
      <c r="AD178" s="29">
        <f t="shared" si="121"/>
        <v>2800</v>
      </c>
      <c r="AE178" s="29">
        <f t="shared" si="121"/>
        <v>2850</v>
      </c>
      <c r="AF178" s="29">
        <f t="shared" si="121"/>
        <v>2900</v>
      </c>
      <c r="AG178" s="29">
        <f t="shared" si="121"/>
        <v>2950</v>
      </c>
      <c r="AH178" s="29">
        <f t="shared" si="121"/>
        <v>3050</v>
      </c>
      <c r="AI178" s="29">
        <f t="shared" si="121"/>
        <v>3100</v>
      </c>
      <c r="AJ178" s="29">
        <f t="shared" si="121"/>
        <v>3150</v>
      </c>
      <c r="AK178" s="29">
        <f t="shared" si="121"/>
        <v>3250</v>
      </c>
      <c r="AL178" s="29">
        <f t="shared" si="121"/>
        <v>3300</v>
      </c>
      <c r="AM178" s="29">
        <f t="shared" si="121"/>
        <v>3400</v>
      </c>
      <c r="AN178" s="29">
        <f t="shared" si="121"/>
        <v>3450</v>
      </c>
      <c r="AO178" s="29">
        <f t="shared" si="121"/>
        <v>3550</v>
      </c>
      <c r="AP178" s="29">
        <f t="shared" si="121"/>
        <v>3600</v>
      </c>
      <c r="AQ178" s="29">
        <f t="shared" si="121"/>
        <v>3700</v>
      </c>
      <c r="AR178" s="29">
        <f t="shared" si="121"/>
        <v>3750</v>
      </c>
      <c r="AS178" s="29">
        <f t="shared" si="121"/>
        <v>3850</v>
      </c>
      <c r="AT178" s="29"/>
    </row>
    <row r="179" spans="2:46">
      <c r="B179" s="159" t="s">
        <v>1447</v>
      </c>
      <c r="C179" s="12" t="s">
        <v>1343</v>
      </c>
      <c r="D179" s="594">
        <f>Esc_Itemized</f>
        <v>0.05</v>
      </c>
      <c r="E179" s="14"/>
      <c r="F179" s="85">
        <f>+Setup!E197</f>
        <v>25000</v>
      </c>
      <c r="G179" s="29">
        <f t="shared" ref="G179:AS179" si="122">+F179*(1+Esc_Itemized)</f>
        <v>26250</v>
      </c>
      <c r="H179" s="29">
        <f t="shared" si="122"/>
        <v>27562.5</v>
      </c>
      <c r="I179" s="29">
        <f t="shared" si="122"/>
        <v>28940.625</v>
      </c>
      <c r="J179" s="29">
        <f t="shared" si="122"/>
        <v>30387.65625</v>
      </c>
      <c r="K179" s="29">
        <f t="shared" si="122"/>
        <v>31907.0390625</v>
      </c>
      <c r="L179" s="29">
        <f t="shared" si="122"/>
        <v>33502.391015624999</v>
      </c>
      <c r="M179" s="29">
        <f t="shared" si="122"/>
        <v>35177.51056640625</v>
      </c>
      <c r="N179" s="29">
        <f t="shared" si="122"/>
        <v>36936.386094726564</v>
      </c>
      <c r="O179" s="29">
        <f t="shared" si="122"/>
        <v>38783.205399462895</v>
      </c>
      <c r="P179" s="29">
        <f t="shared" si="122"/>
        <v>40722.36566943604</v>
      </c>
      <c r="Q179" s="29">
        <f t="shared" si="122"/>
        <v>42758.483952907845</v>
      </c>
      <c r="R179" s="29">
        <f t="shared" si="122"/>
        <v>44896.408150553238</v>
      </c>
      <c r="S179" s="29">
        <f t="shared" si="122"/>
        <v>47141.228558080904</v>
      </c>
      <c r="T179" s="29">
        <f t="shared" si="122"/>
        <v>49498.289985984949</v>
      </c>
      <c r="U179" s="29">
        <f t="shared" si="122"/>
        <v>51973.204485284201</v>
      </c>
      <c r="V179" s="29">
        <f t="shared" si="122"/>
        <v>54571.864709548412</v>
      </c>
      <c r="W179" s="29">
        <f t="shared" si="122"/>
        <v>57300.457945025832</v>
      </c>
      <c r="X179" s="29">
        <f t="shared" si="122"/>
        <v>60165.480842277124</v>
      </c>
      <c r="Y179" s="29">
        <f t="shared" si="122"/>
        <v>63173.754884390983</v>
      </c>
      <c r="Z179" s="29">
        <f t="shared" si="122"/>
        <v>66332.44262861053</v>
      </c>
      <c r="AA179" s="29">
        <f t="shared" si="122"/>
        <v>69649.064760041059</v>
      </c>
      <c r="AB179" s="29">
        <f t="shared" si="122"/>
        <v>73131.517998043113</v>
      </c>
      <c r="AC179" s="29">
        <f t="shared" si="122"/>
        <v>76788.093897945277</v>
      </c>
      <c r="AD179" s="29">
        <f t="shared" si="122"/>
        <v>80627.498592842545</v>
      </c>
      <c r="AE179" s="29">
        <f t="shared" si="122"/>
        <v>84658.873522484675</v>
      </c>
      <c r="AF179" s="29">
        <f t="shared" si="122"/>
        <v>88891.817198608915</v>
      </c>
      <c r="AG179" s="29">
        <f t="shared" si="122"/>
        <v>93336.408058539368</v>
      </c>
      <c r="AH179" s="29">
        <f t="shared" si="122"/>
        <v>98003.228461466337</v>
      </c>
      <c r="AI179" s="29">
        <f t="shared" si="122"/>
        <v>102903.38988453966</v>
      </c>
      <c r="AJ179" s="29">
        <f t="shared" si="122"/>
        <v>108048.55937876664</v>
      </c>
      <c r="AK179" s="29">
        <f t="shared" si="122"/>
        <v>113450.98734770498</v>
      </c>
      <c r="AL179" s="29">
        <f t="shared" si="122"/>
        <v>119123.53671509023</v>
      </c>
      <c r="AM179" s="29">
        <f t="shared" si="122"/>
        <v>125079.71355084475</v>
      </c>
      <c r="AN179" s="29">
        <f t="shared" si="122"/>
        <v>131333.69922838701</v>
      </c>
      <c r="AO179" s="29">
        <f t="shared" si="122"/>
        <v>137900.38418980635</v>
      </c>
      <c r="AP179" s="29">
        <f t="shared" si="122"/>
        <v>144795.40339929669</v>
      </c>
      <c r="AQ179" s="29">
        <f t="shared" si="122"/>
        <v>152035.17356926153</v>
      </c>
      <c r="AR179" s="29">
        <f t="shared" si="122"/>
        <v>159636.93224772462</v>
      </c>
      <c r="AS179" s="29">
        <f t="shared" si="122"/>
        <v>167618.77886011085</v>
      </c>
      <c r="AT179" s="29"/>
    </row>
    <row r="180" spans="2:46">
      <c r="B180" s="159" t="s">
        <v>765</v>
      </c>
      <c r="C180" s="12" t="s">
        <v>1344</v>
      </c>
      <c r="D180" s="593">
        <f>IF(End_Itemized&gt;0,End_Itemized,Final_Year)</f>
        <v>68</v>
      </c>
      <c r="E180" s="14"/>
      <c r="F180" s="85">
        <f>IF(AND(End_Itemized&lt;F$91,End_Itemized&lt;&gt;0),0,F179)</f>
        <v>25000</v>
      </c>
      <c r="G180" s="15">
        <f t="shared" ref="G180:AS180" si="123">ROUND(IF(AND(End_Itemized&lt;G$91,End_Itemized&lt;&gt;0),0,G179)/ED_Rounding,0)*ED_Rounding</f>
        <v>26250</v>
      </c>
      <c r="H180" s="15">
        <f t="shared" si="123"/>
        <v>27550</v>
      </c>
      <c r="I180" s="15">
        <f t="shared" si="123"/>
        <v>28950</v>
      </c>
      <c r="J180" s="15">
        <f t="shared" si="123"/>
        <v>30400</v>
      </c>
      <c r="K180" s="15">
        <f t="shared" si="123"/>
        <v>31900</v>
      </c>
      <c r="L180" s="15">
        <f t="shared" si="123"/>
        <v>33500</v>
      </c>
      <c r="M180" s="15">
        <f t="shared" si="123"/>
        <v>0</v>
      </c>
      <c r="N180" s="15">
        <f t="shared" si="123"/>
        <v>0</v>
      </c>
      <c r="O180" s="15">
        <f t="shared" si="123"/>
        <v>0</v>
      </c>
      <c r="P180" s="15">
        <f t="shared" si="123"/>
        <v>0</v>
      </c>
      <c r="Q180" s="15">
        <f t="shared" si="123"/>
        <v>0</v>
      </c>
      <c r="R180" s="15">
        <f t="shared" si="123"/>
        <v>0</v>
      </c>
      <c r="S180" s="15">
        <f t="shared" si="123"/>
        <v>0</v>
      </c>
      <c r="T180" s="15">
        <f t="shared" si="123"/>
        <v>0</v>
      </c>
      <c r="U180" s="15">
        <f t="shared" si="123"/>
        <v>0</v>
      </c>
      <c r="V180" s="15">
        <f t="shared" si="123"/>
        <v>0</v>
      </c>
      <c r="W180" s="15">
        <f t="shared" si="123"/>
        <v>0</v>
      </c>
      <c r="X180" s="15">
        <f t="shared" si="123"/>
        <v>0</v>
      </c>
      <c r="Y180" s="15">
        <f t="shared" si="123"/>
        <v>0</v>
      </c>
      <c r="Z180" s="15">
        <f t="shared" si="123"/>
        <v>0</v>
      </c>
      <c r="AA180" s="15">
        <f t="shared" si="123"/>
        <v>0</v>
      </c>
      <c r="AB180" s="15">
        <f t="shared" si="123"/>
        <v>0</v>
      </c>
      <c r="AC180" s="15">
        <f t="shared" si="123"/>
        <v>0</v>
      </c>
      <c r="AD180" s="15">
        <f t="shared" si="123"/>
        <v>0</v>
      </c>
      <c r="AE180" s="15">
        <f t="shared" si="123"/>
        <v>0</v>
      </c>
      <c r="AF180" s="15">
        <f t="shared" si="123"/>
        <v>0</v>
      </c>
      <c r="AG180" s="15">
        <f t="shared" si="123"/>
        <v>0</v>
      </c>
      <c r="AH180" s="15">
        <f t="shared" si="123"/>
        <v>0</v>
      </c>
      <c r="AI180" s="15">
        <f t="shared" si="123"/>
        <v>0</v>
      </c>
      <c r="AJ180" s="15">
        <f t="shared" si="123"/>
        <v>0</v>
      </c>
      <c r="AK180" s="15">
        <f t="shared" si="123"/>
        <v>0</v>
      </c>
      <c r="AL180" s="15">
        <f t="shared" si="123"/>
        <v>0</v>
      </c>
      <c r="AM180" s="15">
        <f t="shared" si="123"/>
        <v>0</v>
      </c>
      <c r="AN180" s="15">
        <f t="shared" si="123"/>
        <v>0</v>
      </c>
      <c r="AO180" s="15">
        <f t="shared" si="123"/>
        <v>0</v>
      </c>
      <c r="AP180" s="15">
        <f t="shared" si="123"/>
        <v>0</v>
      </c>
      <c r="AQ180" s="15">
        <f t="shared" si="123"/>
        <v>0</v>
      </c>
      <c r="AR180" s="15">
        <f t="shared" si="123"/>
        <v>0</v>
      </c>
      <c r="AS180" s="15">
        <f t="shared" si="123"/>
        <v>0</v>
      </c>
      <c r="AT180" s="15"/>
    </row>
    <row r="181" spans="2:46" ht="22.2" customHeight="1">
      <c r="B181" s="159" t="s">
        <v>740</v>
      </c>
      <c r="C181" s="159"/>
      <c r="E181" s="14"/>
      <c r="F181" s="29">
        <f t="shared" ref="F181:AS181" si="124">IF(F180&gt;0,F180,F177+F178)</f>
        <v>25000</v>
      </c>
      <c r="G181" s="29">
        <f t="shared" si="124"/>
        <v>26250</v>
      </c>
      <c r="H181" s="29">
        <f t="shared" si="124"/>
        <v>27550</v>
      </c>
      <c r="I181" s="29">
        <f t="shared" si="124"/>
        <v>28950</v>
      </c>
      <c r="J181" s="29">
        <f t="shared" si="124"/>
        <v>30400</v>
      </c>
      <c r="K181" s="29">
        <f t="shared" si="124"/>
        <v>31900</v>
      </c>
      <c r="L181" s="29">
        <f t="shared" si="124"/>
        <v>33500</v>
      </c>
      <c r="M181" s="29">
        <f t="shared" si="124"/>
        <v>16100</v>
      </c>
      <c r="N181" s="29">
        <f t="shared" si="124"/>
        <v>16450</v>
      </c>
      <c r="O181" s="29">
        <f t="shared" si="124"/>
        <v>16800</v>
      </c>
      <c r="P181" s="29">
        <f t="shared" si="124"/>
        <v>17200</v>
      </c>
      <c r="Q181" s="29">
        <f t="shared" si="124"/>
        <v>17600</v>
      </c>
      <c r="R181" s="29">
        <f t="shared" si="124"/>
        <v>18000</v>
      </c>
      <c r="S181" s="29">
        <f t="shared" si="124"/>
        <v>18400</v>
      </c>
      <c r="T181" s="29">
        <f t="shared" si="124"/>
        <v>18800</v>
      </c>
      <c r="U181" s="29">
        <f t="shared" si="124"/>
        <v>19200</v>
      </c>
      <c r="V181" s="29">
        <f t="shared" si="124"/>
        <v>19600</v>
      </c>
      <c r="W181" s="29">
        <f t="shared" si="124"/>
        <v>20050</v>
      </c>
      <c r="X181" s="29">
        <f t="shared" si="124"/>
        <v>20500</v>
      </c>
      <c r="Y181" s="29">
        <f t="shared" si="124"/>
        <v>20950</v>
      </c>
      <c r="Z181" s="29">
        <f t="shared" si="124"/>
        <v>21400</v>
      </c>
      <c r="AA181" s="29">
        <f t="shared" si="124"/>
        <v>21850</v>
      </c>
      <c r="AB181" s="29">
        <f t="shared" si="124"/>
        <v>22300</v>
      </c>
      <c r="AC181" s="29">
        <f t="shared" si="124"/>
        <v>22800</v>
      </c>
      <c r="AD181" s="29">
        <f t="shared" si="124"/>
        <v>23350</v>
      </c>
      <c r="AE181" s="29">
        <f t="shared" si="124"/>
        <v>23850</v>
      </c>
      <c r="AF181" s="29">
        <f t="shared" si="124"/>
        <v>24350</v>
      </c>
      <c r="AG181" s="29">
        <f t="shared" si="124"/>
        <v>24850</v>
      </c>
      <c r="AH181" s="29">
        <f t="shared" si="124"/>
        <v>25450</v>
      </c>
      <c r="AI181" s="29">
        <f t="shared" si="124"/>
        <v>26000</v>
      </c>
      <c r="AJ181" s="29">
        <f t="shared" si="124"/>
        <v>26550</v>
      </c>
      <c r="AK181" s="29">
        <f t="shared" si="124"/>
        <v>27150</v>
      </c>
      <c r="AL181" s="29">
        <f t="shared" si="124"/>
        <v>27750</v>
      </c>
      <c r="AM181" s="29">
        <f t="shared" si="124"/>
        <v>28400</v>
      </c>
      <c r="AN181" s="29">
        <f t="shared" si="124"/>
        <v>29000</v>
      </c>
      <c r="AO181" s="29">
        <f t="shared" si="124"/>
        <v>29650</v>
      </c>
      <c r="AP181" s="29">
        <f t="shared" si="124"/>
        <v>30250</v>
      </c>
      <c r="AQ181" s="29">
        <f t="shared" si="124"/>
        <v>30950</v>
      </c>
      <c r="AR181" s="29">
        <f t="shared" si="124"/>
        <v>31600</v>
      </c>
      <c r="AS181" s="29">
        <f t="shared" si="124"/>
        <v>32300</v>
      </c>
      <c r="AT181" s="29"/>
    </row>
    <row r="182" spans="2:46" ht="16.2" customHeight="1">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row>
    <row r="183" spans="2:46"/>
    <row r="184" spans="2:46" s="1" customFormat="1" ht="15.6">
      <c r="B184" s="170"/>
      <c r="C184" s="260"/>
      <c r="D184" s="629"/>
      <c r="E184" s="226"/>
      <c r="F184" s="901"/>
      <c r="G184" s="61"/>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c r="AE184" s="61"/>
      <c r="AF184" s="61"/>
      <c r="AG184" s="61"/>
      <c r="AH184" s="61"/>
      <c r="AI184" s="61"/>
      <c r="AJ184" s="61"/>
      <c r="AK184" s="61"/>
      <c r="AL184" s="61"/>
      <c r="AM184" s="61"/>
      <c r="AN184" s="61"/>
      <c r="AO184" s="61"/>
      <c r="AP184" s="61"/>
      <c r="AQ184" s="61"/>
      <c r="AR184" s="61"/>
      <c r="AS184" s="61"/>
      <c r="AT184" s="61"/>
    </row>
    <row r="185" spans="2:46" s="1" customFormat="1">
      <c r="B185" s="319" t="s">
        <v>1958</v>
      </c>
      <c r="C185" s="63"/>
      <c r="D185" s="629"/>
      <c r="E185" s="102"/>
      <c r="F185" s="102"/>
      <c r="G185" s="102"/>
      <c r="H185" s="102"/>
      <c r="I185" s="102"/>
      <c r="J185" s="102"/>
      <c r="K185" s="102"/>
      <c r="L185" s="102"/>
      <c r="M185" s="102"/>
      <c r="N185" s="102"/>
      <c r="O185" s="102"/>
      <c r="P185" s="102"/>
      <c r="Q185" s="102"/>
      <c r="R185" s="102"/>
      <c r="S185" s="102"/>
      <c r="T185" s="102"/>
      <c r="U185" s="102"/>
      <c r="V185" s="102"/>
      <c r="W185" s="102"/>
      <c r="X185" s="102"/>
      <c r="Y185" s="102"/>
      <c r="Z185" s="102"/>
      <c r="AA185" s="102"/>
      <c r="AB185" s="102"/>
      <c r="AC185" s="102"/>
      <c r="AD185" s="102"/>
      <c r="AE185" s="102"/>
      <c r="AF185" s="102"/>
      <c r="AG185" s="102"/>
      <c r="AH185" s="102"/>
      <c r="AI185" s="102"/>
      <c r="AJ185" s="102"/>
      <c r="AK185" s="102"/>
      <c r="AL185" s="102"/>
      <c r="AM185" s="102"/>
      <c r="AN185" s="102"/>
      <c r="AO185" s="102"/>
      <c r="AP185" s="102"/>
      <c r="AQ185" s="102"/>
      <c r="AR185" s="102"/>
      <c r="AS185" s="102"/>
      <c r="AT185" s="102"/>
    </row>
    <row r="186" spans="2:46" s="1" customFormat="1" hidden="1">
      <c r="B186"/>
      <c r="C186" s="902"/>
      <c r="D186" s="8" t="s">
        <v>1474</v>
      </c>
      <c r="E186" s="29">
        <v>0</v>
      </c>
      <c r="F186" s="29">
        <v>0</v>
      </c>
      <c r="G186" s="29">
        <v>0</v>
      </c>
      <c r="H186" s="29">
        <v>0</v>
      </c>
      <c r="I186" s="29">
        <v>0</v>
      </c>
      <c r="J186" s="29">
        <v>0</v>
      </c>
      <c r="K186" s="29">
        <v>0</v>
      </c>
      <c r="L186" s="29">
        <v>0</v>
      </c>
      <c r="M186" s="29">
        <v>0</v>
      </c>
      <c r="N186" s="29">
        <v>0</v>
      </c>
      <c r="O186" s="29">
        <v>0</v>
      </c>
      <c r="P186" s="29">
        <v>0</v>
      </c>
      <c r="Q186" s="29">
        <v>0</v>
      </c>
      <c r="R186" s="29">
        <v>0</v>
      </c>
      <c r="S186" s="29">
        <v>0</v>
      </c>
      <c r="T186" s="29">
        <v>0</v>
      </c>
      <c r="U186" s="29">
        <v>0</v>
      </c>
      <c r="V186" s="29">
        <v>0</v>
      </c>
      <c r="W186" s="29">
        <v>0</v>
      </c>
      <c r="X186" s="29">
        <v>0</v>
      </c>
      <c r="Y186" s="29">
        <v>0</v>
      </c>
      <c r="Z186" s="29">
        <v>0</v>
      </c>
      <c r="AA186" s="29">
        <v>0</v>
      </c>
      <c r="AB186" s="29">
        <v>0</v>
      </c>
      <c r="AC186" s="29">
        <v>0</v>
      </c>
      <c r="AD186" s="29">
        <v>0</v>
      </c>
      <c r="AE186" s="29">
        <v>0</v>
      </c>
      <c r="AF186" s="29">
        <v>0</v>
      </c>
      <c r="AG186" s="29">
        <v>0</v>
      </c>
      <c r="AH186" s="29">
        <v>0</v>
      </c>
      <c r="AI186" s="29">
        <v>0</v>
      </c>
      <c r="AJ186" s="29">
        <v>0</v>
      </c>
      <c r="AK186" s="29">
        <v>0</v>
      </c>
      <c r="AL186" s="29">
        <v>0</v>
      </c>
      <c r="AM186" s="29">
        <v>0</v>
      </c>
      <c r="AN186" s="29">
        <v>0</v>
      </c>
      <c r="AO186" s="29">
        <v>0</v>
      </c>
      <c r="AP186" s="29">
        <v>0</v>
      </c>
      <c r="AQ186" s="29">
        <v>0</v>
      </c>
      <c r="AR186" s="29">
        <v>0</v>
      </c>
      <c r="AS186" s="29">
        <v>0</v>
      </c>
      <c r="AT186" s="102"/>
    </row>
    <row r="187" spans="2:46" ht="15.6" hidden="1">
      <c r="C187" s="902"/>
      <c r="D187" s="8" t="s">
        <v>1475</v>
      </c>
      <c r="E187" s="224">
        <v>36250</v>
      </c>
      <c r="F187" s="213">
        <v>9525</v>
      </c>
      <c r="G187" s="29">
        <f>+F187*(1+'Tax Tables'!$C$10)</f>
        <v>9734.5500000000011</v>
      </c>
      <c r="H187" s="29">
        <f>+G187*(1+'Tax Tables'!$C$10)</f>
        <v>9948.7101000000021</v>
      </c>
      <c r="I187" s="29">
        <f>+H187*(1+'Tax Tables'!$C$10)</f>
        <v>10167.581722200002</v>
      </c>
      <c r="J187" s="29">
        <f>+I187*(1+'Tax Tables'!$C$10)</f>
        <v>10391.268520088403</v>
      </c>
      <c r="K187" s="29">
        <f>+J187*(1+'Tax Tables'!$C$10)</f>
        <v>10619.876427530347</v>
      </c>
      <c r="L187" s="29">
        <f>+K187*(1+'Tax Tables'!$C$10)</f>
        <v>10853.513708936016</v>
      </c>
      <c r="M187" s="29">
        <f>+L187*(1+'Tax Tables'!$C$10)</f>
        <v>11092.291010532608</v>
      </c>
      <c r="N187" s="29">
        <f>+M187*(1+'Tax Tables'!$C$10)</f>
        <v>11336.321412764326</v>
      </c>
      <c r="O187" s="29">
        <f>+N187*(1+'Tax Tables'!$C$10)</f>
        <v>11585.720483845142</v>
      </c>
      <c r="P187" s="29">
        <f>+O187*(1+'Tax Tables'!$C$10)</f>
        <v>11840.606334489736</v>
      </c>
      <c r="Q187" s="29">
        <f>+P187*(1+'Tax Tables'!$C$10)</f>
        <v>12101.09967384851</v>
      </c>
      <c r="R187" s="29">
        <f>+Q187*(1+'Tax Tables'!$C$10)</f>
        <v>12367.323866673178</v>
      </c>
      <c r="S187" s="29">
        <f>+R187*(1+'Tax Tables'!$C$10)</f>
        <v>12639.404991739988</v>
      </c>
      <c r="T187" s="29">
        <f>+S187*(1+'Tax Tables'!$C$10)</f>
        <v>12917.471901558269</v>
      </c>
      <c r="U187" s="29">
        <f>+T187*(1+'Tax Tables'!$C$10)</f>
        <v>13201.656283392551</v>
      </c>
      <c r="V187" s="29">
        <f>+U187*(1+'Tax Tables'!$C$10)</f>
        <v>13492.092721627187</v>
      </c>
      <c r="W187" s="29">
        <f>+V187*(1+'Tax Tables'!$C$10)</f>
        <v>13788.918761502984</v>
      </c>
      <c r="X187" s="29">
        <f>+W187*(1+'Tax Tables'!$C$10)</f>
        <v>14092.27497425605</v>
      </c>
      <c r="Y187" s="29">
        <f>+X187*(1+'Tax Tables'!$C$10)</f>
        <v>14402.305023689683</v>
      </c>
      <c r="Z187" s="29">
        <f>+Y187*(1+'Tax Tables'!$C$10)</f>
        <v>14719.155734210857</v>
      </c>
      <c r="AA187" s="29">
        <f>+Z187*(1+'Tax Tables'!$C$10)</f>
        <v>15042.977160363496</v>
      </c>
      <c r="AB187" s="29">
        <f>+AA187*(1+'Tax Tables'!$C$10)</f>
        <v>15373.922657891493</v>
      </c>
      <c r="AC187" s="29">
        <f>+AB187*(1+'Tax Tables'!$C$10)</f>
        <v>15712.148956365107</v>
      </c>
      <c r="AD187" s="29">
        <f>+AC187*(1+'Tax Tables'!$C$10)</f>
        <v>16057.816233405139</v>
      </c>
      <c r="AE187" s="29">
        <f>+AD187*(1+'Tax Tables'!$C$10)</f>
        <v>16411.088190540053</v>
      </c>
      <c r="AF187" s="29">
        <f>+AE187*(1+'Tax Tables'!$C$10)</f>
        <v>16772.132130731934</v>
      </c>
      <c r="AG187" s="29">
        <f>+AF187*(1+'Tax Tables'!$C$10)</f>
        <v>17141.119037608038</v>
      </c>
      <c r="AH187" s="29">
        <f>+AG187*(1+'Tax Tables'!$C$10)</f>
        <v>17518.223656435413</v>
      </c>
      <c r="AI187" s="29">
        <f>+AH187*(1+'Tax Tables'!$C$10)</f>
        <v>17903.624576876991</v>
      </c>
      <c r="AJ187" s="29">
        <f>+AI187*(1+'Tax Tables'!$C$10)</f>
        <v>18297.504317568284</v>
      </c>
      <c r="AK187" s="29">
        <f>+AJ187*(1+'Tax Tables'!$C$10)</f>
        <v>18700.049412554788</v>
      </c>
      <c r="AL187" s="29">
        <f>+AK187*(1+'Tax Tables'!$C$10)</f>
        <v>19111.450499630995</v>
      </c>
      <c r="AM187" s="29">
        <f>+AL187*(1+'Tax Tables'!$C$10)</f>
        <v>19531.902410622879</v>
      </c>
      <c r="AN187" s="29">
        <f>+AM187*(1+'Tax Tables'!$C$10)</f>
        <v>19961.604263656583</v>
      </c>
      <c r="AO187" s="29">
        <f>+AN187*(1+'Tax Tables'!$C$10)</f>
        <v>20400.75955745703</v>
      </c>
      <c r="AP187" s="29">
        <f>+AO187*(1+'Tax Tables'!$C$10)</f>
        <v>20849.576267721084</v>
      </c>
      <c r="AQ187" s="29">
        <f>+AP187*(1+'Tax Tables'!$C$10)</f>
        <v>21308.266945610947</v>
      </c>
      <c r="AR187" s="29">
        <f>+AQ187*(1+'Tax Tables'!$C$10)</f>
        <v>21777.048818414387</v>
      </c>
      <c r="AS187" s="29">
        <f>+AR187*(1+'Tax Tables'!$C$10)</f>
        <v>22256.143892419503</v>
      </c>
      <c r="AT187" s="29"/>
    </row>
    <row r="188" spans="2:46" ht="15.6" hidden="1">
      <c r="C188" s="902"/>
      <c r="D188" s="8" t="s">
        <v>1476</v>
      </c>
      <c r="E188" s="226">
        <v>0.15</v>
      </c>
      <c r="F188" s="253">
        <v>0.1</v>
      </c>
      <c r="G188" s="61">
        <f>+F188</f>
        <v>0.1</v>
      </c>
      <c r="H188" s="61">
        <f t="shared" ref="H188:AS188" si="125">+G188</f>
        <v>0.1</v>
      </c>
      <c r="I188" s="61">
        <f t="shared" si="125"/>
        <v>0.1</v>
      </c>
      <c r="J188" s="61">
        <f t="shared" si="125"/>
        <v>0.1</v>
      </c>
      <c r="K188" s="61">
        <f t="shared" si="125"/>
        <v>0.1</v>
      </c>
      <c r="L188" s="61">
        <f t="shared" si="125"/>
        <v>0.1</v>
      </c>
      <c r="M188" s="61">
        <f t="shared" si="125"/>
        <v>0.1</v>
      </c>
      <c r="N188" s="61">
        <f t="shared" si="125"/>
        <v>0.1</v>
      </c>
      <c r="O188" s="61">
        <f t="shared" si="125"/>
        <v>0.1</v>
      </c>
      <c r="P188" s="61">
        <f t="shared" si="125"/>
        <v>0.1</v>
      </c>
      <c r="Q188" s="61">
        <f t="shared" si="125"/>
        <v>0.1</v>
      </c>
      <c r="R188" s="61">
        <f t="shared" si="125"/>
        <v>0.1</v>
      </c>
      <c r="S188" s="61">
        <f t="shared" si="125"/>
        <v>0.1</v>
      </c>
      <c r="T188" s="61">
        <f t="shared" si="125"/>
        <v>0.1</v>
      </c>
      <c r="U188" s="61">
        <f t="shared" si="125"/>
        <v>0.1</v>
      </c>
      <c r="V188" s="61">
        <f t="shared" si="125"/>
        <v>0.1</v>
      </c>
      <c r="W188" s="61">
        <f t="shared" si="125"/>
        <v>0.1</v>
      </c>
      <c r="X188" s="61">
        <f t="shared" si="125"/>
        <v>0.1</v>
      </c>
      <c r="Y188" s="61">
        <f t="shared" si="125"/>
        <v>0.1</v>
      </c>
      <c r="Z188" s="61">
        <f t="shared" si="125"/>
        <v>0.1</v>
      </c>
      <c r="AA188" s="61">
        <f t="shared" si="125"/>
        <v>0.1</v>
      </c>
      <c r="AB188" s="61">
        <f t="shared" si="125"/>
        <v>0.1</v>
      </c>
      <c r="AC188" s="61">
        <f t="shared" si="125"/>
        <v>0.1</v>
      </c>
      <c r="AD188" s="61">
        <f t="shared" si="125"/>
        <v>0.1</v>
      </c>
      <c r="AE188" s="61">
        <f t="shared" si="125"/>
        <v>0.1</v>
      </c>
      <c r="AF188" s="61">
        <f t="shared" si="125"/>
        <v>0.1</v>
      </c>
      <c r="AG188" s="61">
        <f t="shared" si="125"/>
        <v>0.1</v>
      </c>
      <c r="AH188" s="61">
        <f t="shared" si="125"/>
        <v>0.1</v>
      </c>
      <c r="AI188" s="61">
        <f t="shared" si="125"/>
        <v>0.1</v>
      </c>
      <c r="AJ188" s="61">
        <f t="shared" si="125"/>
        <v>0.1</v>
      </c>
      <c r="AK188" s="61">
        <f t="shared" si="125"/>
        <v>0.1</v>
      </c>
      <c r="AL188" s="61">
        <f t="shared" si="125"/>
        <v>0.1</v>
      </c>
      <c r="AM188" s="61">
        <f t="shared" si="125"/>
        <v>0.1</v>
      </c>
      <c r="AN188" s="61">
        <f t="shared" si="125"/>
        <v>0.1</v>
      </c>
      <c r="AO188" s="61">
        <f t="shared" si="125"/>
        <v>0.1</v>
      </c>
      <c r="AP188" s="61">
        <f t="shared" si="125"/>
        <v>0.1</v>
      </c>
      <c r="AQ188" s="61">
        <f t="shared" si="125"/>
        <v>0.1</v>
      </c>
      <c r="AR188" s="61">
        <f t="shared" si="125"/>
        <v>0.1</v>
      </c>
      <c r="AS188" s="61">
        <f t="shared" si="125"/>
        <v>0.1</v>
      </c>
      <c r="AT188" s="29"/>
    </row>
    <row r="189" spans="2:46" hidden="1">
      <c r="C189" s="902"/>
      <c r="D189" s="8" t="s">
        <v>1414</v>
      </c>
      <c r="E189" s="29">
        <f t="shared" ref="E189:AS189" si="126">(+E187-E186)*E188</f>
        <v>5437.5</v>
      </c>
      <c r="F189" s="29">
        <f t="shared" si="126"/>
        <v>952.5</v>
      </c>
      <c r="G189" s="29">
        <f t="shared" si="126"/>
        <v>973.45500000000015</v>
      </c>
      <c r="H189" s="29">
        <f t="shared" si="126"/>
        <v>994.8710100000003</v>
      </c>
      <c r="I189" s="29">
        <f t="shared" si="126"/>
        <v>1016.7581722200002</v>
      </c>
      <c r="J189" s="29">
        <f t="shared" si="126"/>
        <v>1039.1268520088404</v>
      </c>
      <c r="K189" s="29">
        <f t="shared" si="126"/>
        <v>1061.9876427530348</v>
      </c>
      <c r="L189" s="29">
        <f t="shared" si="126"/>
        <v>1085.3513708936016</v>
      </c>
      <c r="M189" s="29">
        <f t="shared" si="126"/>
        <v>1109.2291010532608</v>
      </c>
      <c r="N189" s="29">
        <f t="shared" si="126"/>
        <v>1133.6321412764325</v>
      </c>
      <c r="O189" s="29">
        <f t="shared" si="126"/>
        <v>1158.5720483845141</v>
      </c>
      <c r="P189" s="29">
        <f t="shared" si="126"/>
        <v>1184.0606334489737</v>
      </c>
      <c r="Q189" s="29">
        <f t="shared" si="126"/>
        <v>1210.109967384851</v>
      </c>
      <c r="R189" s="29">
        <f t="shared" si="126"/>
        <v>1236.7323866673178</v>
      </c>
      <c r="S189" s="29">
        <f t="shared" si="126"/>
        <v>1263.9404991739989</v>
      </c>
      <c r="T189" s="29">
        <f t="shared" si="126"/>
        <v>1291.747190155827</v>
      </c>
      <c r="U189" s="29">
        <f t="shared" si="126"/>
        <v>1320.1656283392551</v>
      </c>
      <c r="V189" s="29">
        <f t="shared" si="126"/>
        <v>1349.2092721627187</v>
      </c>
      <c r="W189" s="29">
        <f t="shared" si="126"/>
        <v>1378.8918761502985</v>
      </c>
      <c r="X189" s="29">
        <f t="shared" si="126"/>
        <v>1409.2274974256052</v>
      </c>
      <c r="Y189" s="29">
        <f t="shared" si="126"/>
        <v>1440.2305023689685</v>
      </c>
      <c r="Z189" s="29">
        <f t="shared" si="126"/>
        <v>1471.9155734210858</v>
      </c>
      <c r="AA189" s="29">
        <f t="shared" si="126"/>
        <v>1504.2977160363498</v>
      </c>
      <c r="AB189" s="29">
        <f t="shared" si="126"/>
        <v>1537.3922657891494</v>
      </c>
      <c r="AC189" s="29">
        <f t="shared" si="126"/>
        <v>1571.2148956365108</v>
      </c>
      <c r="AD189" s="29">
        <f t="shared" si="126"/>
        <v>1605.781623340514</v>
      </c>
      <c r="AE189" s="29">
        <f t="shared" si="126"/>
        <v>1641.1088190540054</v>
      </c>
      <c r="AF189" s="29">
        <f t="shared" si="126"/>
        <v>1677.2132130731934</v>
      </c>
      <c r="AG189" s="29">
        <f t="shared" si="126"/>
        <v>1714.1119037608039</v>
      </c>
      <c r="AH189" s="29">
        <f t="shared" si="126"/>
        <v>1751.8223656435414</v>
      </c>
      <c r="AI189" s="29">
        <f t="shared" si="126"/>
        <v>1790.3624576876991</v>
      </c>
      <c r="AJ189" s="29">
        <f t="shared" si="126"/>
        <v>1829.7504317568284</v>
      </c>
      <c r="AK189" s="29">
        <f t="shared" si="126"/>
        <v>1870.004941255479</v>
      </c>
      <c r="AL189" s="29">
        <f t="shared" si="126"/>
        <v>1911.1450499630996</v>
      </c>
      <c r="AM189" s="29">
        <f t="shared" si="126"/>
        <v>1953.1902410622879</v>
      </c>
      <c r="AN189" s="29">
        <f t="shared" si="126"/>
        <v>1996.1604263656584</v>
      </c>
      <c r="AO189" s="29">
        <f t="shared" si="126"/>
        <v>2040.0759557457031</v>
      </c>
      <c r="AP189" s="29">
        <f t="shared" si="126"/>
        <v>2084.9576267721086</v>
      </c>
      <c r="AQ189" s="29">
        <f t="shared" si="126"/>
        <v>2130.8266945610949</v>
      </c>
      <c r="AR189" s="29">
        <f t="shared" si="126"/>
        <v>2177.7048818414387</v>
      </c>
      <c r="AS189" s="29">
        <f t="shared" si="126"/>
        <v>2225.6143892419504</v>
      </c>
      <c r="AT189" s="61"/>
    </row>
    <row r="190" spans="2:46" hidden="1">
      <c r="C190" s="903"/>
      <c r="D190" s="8"/>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row>
    <row r="191" spans="2:46" hidden="1">
      <c r="C191" s="902"/>
      <c r="D191" s="8" t="s">
        <v>1474</v>
      </c>
      <c r="E191" s="29">
        <f>+E187</f>
        <v>36250</v>
      </c>
      <c r="F191" s="29">
        <f>+F187</f>
        <v>9525</v>
      </c>
      <c r="G191" s="29">
        <f>+F191*(1+'Tax Tables'!$C$10)</f>
        <v>9734.5500000000011</v>
      </c>
      <c r="H191" s="29">
        <f>+G191*(1+'Tax Tables'!$C$10)</f>
        <v>9948.7101000000021</v>
      </c>
      <c r="I191" s="29">
        <f>+H191*(1+'Tax Tables'!$C$10)</f>
        <v>10167.581722200002</v>
      </c>
      <c r="J191" s="29">
        <f>+I191*(1+'Tax Tables'!$C$10)</f>
        <v>10391.268520088403</v>
      </c>
      <c r="K191" s="29">
        <f>+J191*(1+'Tax Tables'!$C$10)</f>
        <v>10619.876427530347</v>
      </c>
      <c r="L191" s="29">
        <f>+K191*(1+'Tax Tables'!$C$10)</f>
        <v>10853.513708936016</v>
      </c>
      <c r="M191" s="29">
        <f>+L191*(1+'Tax Tables'!$C$10)</f>
        <v>11092.291010532608</v>
      </c>
      <c r="N191" s="29">
        <f>+M191*(1+'Tax Tables'!$C$10)</f>
        <v>11336.321412764326</v>
      </c>
      <c r="O191" s="29">
        <f>+N191*(1+'Tax Tables'!$C$10)</f>
        <v>11585.720483845142</v>
      </c>
      <c r="P191" s="29">
        <f>+O191*(1+'Tax Tables'!$C$10)</f>
        <v>11840.606334489736</v>
      </c>
      <c r="Q191" s="29">
        <f>+P191*(1+'Tax Tables'!$C$10)</f>
        <v>12101.09967384851</v>
      </c>
      <c r="R191" s="29">
        <f>+Q191*(1+'Tax Tables'!$C$10)</f>
        <v>12367.323866673178</v>
      </c>
      <c r="S191" s="29">
        <f>+R191*(1+'Tax Tables'!$C$10)</f>
        <v>12639.404991739988</v>
      </c>
      <c r="T191" s="29">
        <f>+S191*(1+'Tax Tables'!$C$10)</f>
        <v>12917.471901558269</v>
      </c>
      <c r="U191" s="29">
        <f>+T191*(1+'Tax Tables'!$C$10)</f>
        <v>13201.656283392551</v>
      </c>
      <c r="V191" s="29">
        <f>+U191*(1+'Tax Tables'!$C$10)</f>
        <v>13492.092721627187</v>
      </c>
      <c r="W191" s="29">
        <f>+V191*(1+'Tax Tables'!$C$10)</f>
        <v>13788.918761502984</v>
      </c>
      <c r="X191" s="29">
        <f>+W191*(1+'Tax Tables'!$C$10)</f>
        <v>14092.27497425605</v>
      </c>
      <c r="Y191" s="29">
        <f>+X191*(1+'Tax Tables'!$C$10)</f>
        <v>14402.305023689683</v>
      </c>
      <c r="Z191" s="29">
        <f>+Y191*(1+'Tax Tables'!$C$10)</f>
        <v>14719.155734210857</v>
      </c>
      <c r="AA191" s="29">
        <f>+Z191*(1+'Tax Tables'!$C$10)</f>
        <v>15042.977160363496</v>
      </c>
      <c r="AB191" s="29">
        <f>+AA191*(1+'Tax Tables'!$C$10)</f>
        <v>15373.922657891493</v>
      </c>
      <c r="AC191" s="29">
        <f>+AB191*(1+'Tax Tables'!$C$10)</f>
        <v>15712.148956365107</v>
      </c>
      <c r="AD191" s="29">
        <f>+AC191*(1+'Tax Tables'!$C$10)</f>
        <v>16057.816233405139</v>
      </c>
      <c r="AE191" s="29">
        <f>+AD191*(1+'Tax Tables'!$C$10)</f>
        <v>16411.088190540053</v>
      </c>
      <c r="AF191" s="29">
        <f>+AE191*(1+'Tax Tables'!$C$10)</f>
        <v>16772.132130731934</v>
      </c>
      <c r="AG191" s="29">
        <f>+AF191*(1+'Tax Tables'!$C$10)</f>
        <v>17141.119037608038</v>
      </c>
      <c r="AH191" s="29">
        <f>+AG191*(1+'Tax Tables'!$C$10)</f>
        <v>17518.223656435413</v>
      </c>
      <c r="AI191" s="29">
        <f>+AH191*(1+'Tax Tables'!$C$10)</f>
        <v>17903.624576876991</v>
      </c>
      <c r="AJ191" s="29">
        <f>+AI191*(1+'Tax Tables'!$C$10)</f>
        <v>18297.504317568284</v>
      </c>
      <c r="AK191" s="29">
        <f>+AJ191*(1+'Tax Tables'!$C$10)</f>
        <v>18700.049412554788</v>
      </c>
      <c r="AL191" s="29">
        <f>+AK191*(1+'Tax Tables'!$C$10)</f>
        <v>19111.450499630995</v>
      </c>
      <c r="AM191" s="29">
        <f>+AL191*(1+'Tax Tables'!$C$10)</f>
        <v>19531.902410622879</v>
      </c>
      <c r="AN191" s="29">
        <f>+AM191*(1+'Tax Tables'!$C$10)</f>
        <v>19961.604263656583</v>
      </c>
      <c r="AO191" s="29">
        <f>+AN191*(1+'Tax Tables'!$C$10)</f>
        <v>20400.75955745703</v>
      </c>
      <c r="AP191" s="29">
        <f>+AO191*(1+'Tax Tables'!$C$10)</f>
        <v>20849.576267721084</v>
      </c>
      <c r="AQ191" s="29">
        <f>+AP191*(1+'Tax Tables'!$C$10)</f>
        <v>21308.266945610947</v>
      </c>
      <c r="AR191" s="29">
        <f>+AQ191*(1+'Tax Tables'!$C$10)</f>
        <v>21777.048818414387</v>
      </c>
      <c r="AS191" s="29">
        <f>+AR191*(1+'Tax Tables'!$C$10)</f>
        <v>22256.143892419503</v>
      </c>
      <c r="AT191" s="29"/>
    </row>
    <row r="192" spans="2:46" ht="15.6" hidden="1">
      <c r="C192" s="902"/>
      <c r="D192" s="8" t="s">
        <v>1475</v>
      </c>
      <c r="E192" s="224">
        <v>87850</v>
      </c>
      <c r="F192" s="213">
        <v>38700</v>
      </c>
      <c r="G192" s="29">
        <f>+F192*(1+'Tax Tables'!$C$10)</f>
        <v>39551.4</v>
      </c>
      <c r="H192" s="29">
        <f>+G192*(1+'Tax Tables'!$C$10)</f>
        <v>40421.5308</v>
      </c>
      <c r="I192" s="29">
        <f>+H192*(1+'Tax Tables'!$C$10)</f>
        <v>41310.804477600002</v>
      </c>
      <c r="J192" s="29">
        <f>+I192*(1+'Tax Tables'!$C$10)</f>
        <v>42219.642176107205</v>
      </c>
      <c r="K192" s="29">
        <f>+J192*(1+'Tax Tables'!$C$10)</f>
        <v>43148.474303981566</v>
      </c>
      <c r="L192" s="29">
        <f>+K192*(1+'Tax Tables'!$C$10)</f>
        <v>44097.740738669163</v>
      </c>
      <c r="M192" s="29">
        <f>+L192*(1+'Tax Tables'!$C$10)</f>
        <v>45067.891034919885</v>
      </c>
      <c r="N192" s="29">
        <f>+M192*(1+'Tax Tables'!$C$10)</f>
        <v>46059.384637688127</v>
      </c>
      <c r="O192" s="29">
        <f>+N192*(1+'Tax Tables'!$C$10)</f>
        <v>47072.691099717267</v>
      </c>
      <c r="P192" s="29">
        <f>+O192*(1+'Tax Tables'!$C$10)</f>
        <v>48108.290303911046</v>
      </c>
      <c r="Q192" s="29">
        <f>+P192*(1+'Tax Tables'!$C$10)</f>
        <v>49166.672690597094</v>
      </c>
      <c r="R192" s="29">
        <f>+Q192*(1+'Tax Tables'!$C$10)</f>
        <v>50248.339489790233</v>
      </c>
      <c r="S192" s="29">
        <f>+R192*(1+'Tax Tables'!$C$10)</f>
        <v>51353.802958565619</v>
      </c>
      <c r="T192" s="29">
        <f>+S192*(1+'Tax Tables'!$C$10)</f>
        <v>52483.586623654061</v>
      </c>
      <c r="U192" s="29">
        <f>+T192*(1+'Tax Tables'!$C$10)</f>
        <v>53638.225529374453</v>
      </c>
      <c r="V192" s="29">
        <f>+U192*(1+'Tax Tables'!$C$10)</f>
        <v>54818.266491020695</v>
      </c>
      <c r="W192" s="29">
        <f>+V192*(1+'Tax Tables'!$C$10)</f>
        <v>56024.26835382315</v>
      </c>
      <c r="X192" s="29">
        <f>+W192*(1+'Tax Tables'!$C$10)</f>
        <v>57256.802257607262</v>
      </c>
      <c r="Y192" s="29">
        <f>+X192*(1+'Tax Tables'!$C$10)</f>
        <v>58516.451907274626</v>
      </c>
      <c r="Z192" s="29">
        <f>+Y192*(1+'Tax Tables'!$C$10)</f>
        <v>59803.81384923467</v>
      </c>
      <c r="AA192" s="29">
        <f>+Z192*(1+'Tax Tables'!$C$10)</f>
        <v>61119.497753917836</v>
      </c>
      <c r="AB192" s="29">
        <f>+AA192*(1+'Tax Tables'!$C$10)</f>
        <v>62464.126704504029</v>
      </c>
      <c r="AC192" s="29">
        <f>+AB192*(1+'Tax Tables'!$C$10)</f>
        <v>63838.33749200312</v>
      </c>
      <c r="AD192" s="29">
        <f>+AC192*(1+'Tax Tables'!$C$10)</f>
        <v>65242.780916827192</v>
      </c>
      <c r="AE192" s="29">
        <f>+AD192*(1+'Tax Tables'!$C$10)</f>
        <v>66678.122096997395</v>
      </c>
      <c r="AF192" s="29">
        <f>+AE192*(1+'Tax Tables'!$C$10)</f>
        <v>68145.040783131335</v>
      </c>
      <c r="AG192" s="29">
        <f>+AF192*(1+'Tax Tables'!$C$10)</f>
        <v>69644.23168036023</v>
      </c>
      <c r="AH192" s="29">
        <f>+AG192*(1+'Tax Tables'!$C$10)</f>
        <v>71176.404777328149</v>
      </c>
      <c r="AI192" s="29">
        <f>+AH192*(1+'Tax Tables'!$C$10)</f>
        <v>72742.28568242937</v>
      </c>
      <c r="AJ192" s="29">
        <f>+AI192*(1+'Tax Tables'!$C$10)</f>
        <v>74342.61596744282</v>
      </c>
      <c r="AK192" s="29">
        <f>+AJ192*(1+'Tax Tables'!$C$10)</f>
        <v>75978.153518726569</v>
      </c>
      <c r="AL192" s="29">
        <f>+AK192*(1+'Tax Tables'!$C$10)</f>
        <v>77649.672896138552</v>
      </c>
      <c r="AM192" s="29">
        <f>+AL192*(1+'Tax Tables'!$C$10)</f>
        <v>79357.965699853608</v>
      </c>
      <c r="AN192" s="29">
        <f>+AM192*(1+'Tax Tables'!$C$10)</f>
        <v>81103.840945250384</v>
      </c>
      <c r="AO192" s="29">
        <f>+AN192*(1+'Tax Tables'!$C$10)</f>
        <v>82888.125446045888</v>
      </c>
      <c r="AP192" s="29">
        <f>+AO192*(1+'Tax Tables'!$C$10)</f>
        <v>84711.664205858906</v>
      </c>
      <c r="AQ192" s="29">
        <f>+AP192*(1+'Tax Tables'!$C$10)</f>
        <v>86575.320818387801</v>
      </c>
      <c r="AR192" s="29">
        <f>+AQ192*(1+'Tax Tables'!$C$10)</f>
        <v>88479.977876392339</v>
      </c>
      <c r="AS192" s="29">
        <f>+AR192*(1+'Tax Tables'!$C$10)</f>
        <v>90426.537389672972</v>
      </c>
      <c r="AT192" s="29"/>
    </row>
    <row r="193" spans="3:46" ht="15.6" hidden="1">
      <c r="C193" s="902"/>
      <c r="D193" s="8" t="s">
        <v>1476</v>
      </c>
      <c r="E193" s="226">
        <v>0.25</v>
      </c>
      <c r="F193" s="253">
        <v>0.12</v>
      </c>
      <c r="G193" s="61">
        <f>+F193</f>
        <v>0.12</v>
      </c>
      <c r="H193" s="61">
        <f t="shared" ref="H193:AS193" si="127">+G193</f>
        <v>0.12</v>
      </c>
      <c r="I193" s="61">
        <f t="shared" si="127"/>
        <v>0.12</v>
      </c>
      <c r="J193" s="61">
        <f t="shared" si="127"/>
        <v>0.12</v>
      </c>
      <c r="K193" s="61">
        <f t="shared" si="127"/>
        <v>0.12</v>
      </c>
      <c r="L193" s="61">
        <f t="shared" si="127"/>
        <v>0.12</v>
      </c>
      <c r="M193" s="61">
        <f t="shared" si="127"/>
        <v>0.12</v>
      </c>
      <c r="N193" s="61">
        <f t="shared" si="127"/>
        <v>0.12</v>
      </c>
      <c r="O193" s="61">
        <f t="shared" si="127"/>
        <v>0.12</v>
      </c>
      <c r="P193" s="61">
        <f t="shared" si="127"/>
        <v>0.12</v>
      </c>
      <c r="Q193" s="61">
        <f t="shared" si="127"/>
        <v>0.12</v>
      </c>
      <c r="R193" s="61">
        <f t="shared" si="127"/>
        <v>0.12</v>
      </c>
      <c r="S193" s="61">
        <f t="shared" si="127"/>
        <v>0.12</v>
      </c>
      <c r="T193" s="61">
        <f t="shared" si="127"/>
        <v>0.12</v>
      </c>
      <c r="U193" s="61">
        <f t="shared" si="127"/>
        <v>0.12</v>
      </c>
      <c r="V193" s="61">
        <f t="shared" si="127"/>
        <v>0.12</v>
      </c>
      <c r="W193" s="61">
        <f t="shared" si="127"/>
        <v>0.12</v>
      </c>
      <c r="X193" s="61">
        <f t="shared" si="127"/>
        <v>0.12</v>
      </c>
      <c r="Y193" s="61">
        <f t="shared" si="127"/>
        <v>0.12</v>
      </c>
      <c r="Z193" s="61">
        <f t="shared" si="127"/>
        <v>0.12</v>
      </c>
      <c r="AA193" s="61">
        <f t="shared" si="127"/>
        <v>0.12</v>
      </c>
      <c r="AB193" s="61">
        <f t="shared" si="127"/>
        <v>0.12</v>
      </c>
      <c r="AC193" s="61">
        <f t="shared" si="127"/>
        <v>0.12</v>
      </c>
      <c r="AD193" s="61">
        <f t="shared" si="127"/>
        <v>0.12</v>
      </c>
      <c r="AE193" s="61">
        <f t="shared" si="127"/>
        <v>0.12</v>
      </c>
      <c r="AF193" s="61">
        <f t="shared" si="127"/>
        <v>0.12</v>
      </c>
      <c r="AG193" s="61">
        <f t="shared" si="127"/>
        <v>0.12</v>
      </c>
      <c r="AH193" s="61">
        <f t="shared" si="127"/>
        <v>0.12</v>
      </c>
      <c r="AI193" s="61">
        <f t="shared" si="127"/>
        <v>0.12</v>
      </c>
      <c r="AJ193" s="61">
        <f t="shared" si="127"/>
        <v>0.12</v>
      </c>
      <c r="AK193" s="61">
        <f t="shared" si="127"/>
        <v>0.12</v>
      </c>
      <c r="AL193" s="61">
        <f t="shared" si="127"/>
        <v>0.12</v>
      </c>
      <c r="AM193" s="61">
        <f t="shared" si="127"/>
        <v>0.12</v>
      </c>
      <c r="AN193" s="61">
        <f t="shared" si="127"/>
        <v>0.12</v>
      </c>
      <c r="AO193" s="61">
        <f t="shared" si="127"/>
        <v>0.12</v>
      </c>
      <c r="AP193" s="61">
        <f t="shared" si="127"/>
        <v>0.12</v>
      </c>
      <c r="AQ193" s="61">
        <f t="shared" si="127"/>
        <v>0.12</v>
      </c>
      <c r="AR193" s="61">
        <f t="shared" si="127"/>
        <v>0.12</v>
      </c>
      <c r="AS193" s="61">
        <f t="shared" si="127"/>
        <v>0.12</v>
      </c>
      <c r="AT193" s="29"/>
    </row>
    <row r="194" spans="3:46" hidden="1">
      <c r="C194" s="902"/>
      <c r="D194" s="8" t="s">
        <v>1414</v>
      </c>
      <c r="E194" s="29">
        <f t="shared" ref="E194:AS194" si="128">(+E192-E191)*E193</f>
        <v>12900</v>
      </c>
      <c r="F194" s="29">
        <f t="shared" si="128"/>
        <v>3501</v>
      </c>
      <c r="G194" s="29">
        <f t="shared" si="128"/>
        <v>3578.0219999999995</v>
      </c>
      <c r="H194" s="29">
        <f t="shared" si="128"/>
        <v>3656.7384839999995</v>
      </c>
      <c r="I194" s="29">
        <f t="shared" si="128"/>
        <v>3737.1867306479999</v>
      </c>
      <c r="J194" s="29">
        <f t="shared" si="128"/>
        <v>3819.4048387222565</v>
      </c>
      <c r="K194" s="29">
        <f t="shared" si="128"/>
        <v>3903.4317451741463</v>
      </c>
      <c r="L194" s="29">
        <f t="shared" si="128"/>
        <v>3989.3072435679778</v>
      </c>
      <c r="M194" s="29">
        <f t="shared" si="128"/>
        <v>4077.072002926473</v>
      </c>
      <c r="N194" s="29">
        <f t="shared" si="128"/>
        <v>4166.7675869908553</v>
      </c>
      <c r="O194" s="29">
        <f t="shared" si="128"/>
        <v>4258.436473904655</v>
      </c>
      <c r="P194" s="29">
        <f t="shared" si="128"/>
        <v>4352.1220763305573</v>
      </c>
      <c r="Q194" s="29">
        <f t="shared" si="128"/>
        <v>4447.8687620098299</v>
      </c>
      <c r="R194" s="29">
        <f t="shared" si="128"/>
        <v>4545.7218747740462</v>
      </c>
      <c r="S194" s="29">
        <f t="shared" si="128"/>
        <v>4645.7277560190751</v>
      </c>
      <c r="T194" s="29">
        <f t="shared" si="128"/>
        <v>4747.9337666514948</v>
      </c>
      <c r="U194" s="29">
        <f t="shared" si="128"/>
        <v>4852.388309517828</v>
      </c>
      <c r="V194" s="29">
        <f t="shared" si="128"/>
        <v>4959.1408523272203</v>
      </c>
      <c r="W194" s="29">
        <f t="shared" si="128"/>
        <v>5068.2419510784202</v>
      </c>
      <c r="X194" s="29">
        <f t="shared" si="128"/>
        <v>5179.7432740021459</v>
      </c>
      <c r="Y194" s="29">
        <f t="shared" si="128"/>
        <v>5293.6976260301935</v>
      </c>
      <c r="Z194" s="29">
        <f t="shared" si="128"/>
        <v>5410.158973802857</v>
      </c>
      <c r="AA194" s="29">
        <f t="shared" si="128"/>
        <v>5529.1824712265206</v>
      </c>
      <c r="AB194" s="29">
        <f t="shared" si="128"/>
        <v>5650.8244855935036</v>
      </c>
      <c r="AC194" s="29">
        <f t="shared" si="128"/>
        <v>5775.1426242765619</v>
      </c>
      <c r="AD194" s="29">
        <f t="shared" si="128"/>
        <v>5902.1957620106459</v>
      </c>
      <c r="AE194" s="29">
        <f t="shared" si="128"/>
        <v>6032.0440687748805</v>
      </c>
      <c r="AF194" s="29">
        <f t="shared" si="128"/>
        <v>6164.7490382879287</v>
      </c>
      <c r="AG194" s="29">
        <f t="shared" si="128"/>
        <v>6300.3735171302633</v>
      </c>
      <c r="AH194" s="29">
        <f t="shared" si="128"/>
        <v>6438.9817345071287</v>
      </c>
      <c r="AI194" s="29">
        <f t="shared" si="128"/>
        <v>6580.6393326662856</v>
      </c>
      <c r="AJ194" s="29">
        <f t="shared" si="128"/>
        <v>6725.4133979849448</v>
      </c>
      <c r="AK194" s="29">
        <f t="shared" si="128"/>
        <v>6873.3724927406138</v>
      </c>
      <c r="AL194" s="29">
        <f t="shared" si="128"/>
        <v>7024.5866875809061</v>
      </c>
      <c r="AM194" s="29">
        <f t="shared" si="128"/>
        <v>7179.1275947076874</v>
      </c>
      <c r="AN194" s="29">
        <f t="shared" si="128"/>
        <v>7337.0684017912554</v>
      </c>
      <c r="AO194" s="29">
        <f t="shared" si="128"/>
        <v>7498.4839066306631</v>
      </c>
      <c r="AP194" s="29">
        <f t="shared" si="128"/>
        <v>7663.450552576538</v>
      </c>
      <c r="AQ194" s="29">
        <f t="shared" si="128"/>
        <v>7832.0464647332228</v>
      </c>
      <c r="AR194" s="29">
        <f t="shared" si="128"/>
        <v>8004.3514869573537</v>
      </c>
      <c r="AS194" s="29">
        <f t="shared" si="128"/>
        <v>8180.4472196704173</v>
      </c>
      <c r="AT194" s="61"/>
    </row>
    <row r="195" spans="3:46" hidden="1">
      <c r="C195" s="903"/>
      <c r="D195" s="8"/>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row>
    <row r="196" spans="3:46" hidden="1">
      <c r="C196" s="902"/>
      <c r="D196" s="8" t="s">
        <v>1474</v>
      </c>
      <c r="E196" s="29">
        <f>+E192</f>
        <v>87850</v>
      </c>
      <c r="F196" s="29">
        <f>+F192</f>
        <v>38700</v>
      </c>
      <c r="G196" s="29">
        <f>+F196*(1+'Tax Tables'!$C$10)</f>
        <v>39551.4</v>
      </c>
      <c r="H196" s="29">
        <f>+G196*(1+'Tax Tables'!$C$10)</f>
        <v>40421.5308</v>
      </c>
      <c r="I196" s="29">
        <f>+H196*(1+'Tax Tables'!$C$10)</f>
        <v>41310.804477600002</v>
      </c>
      <c r="J196" s="29">
        <f>+I196*(1+'Tax Tables'!$C$10)</f>
        <v>42219.642176107205</v>
      </c>
      <c r="K196" s="29">
        <f>+J196*(1+'Tax Tables'!$C$10)</f>
        <v>43148.474303981566</v>
      </c>
      <c r="L196" s="29">
        <f>+K196*(1+'Tax Tables'!$C$10)</f>
        <v>44097.740738669163</v>
      </c>
      <c r="M196" s="29">
        <f>+L196*(1+'Tax Tables'!$C$10)</f>
        <v>45067.891034919885</v>
      </c>
      <c r="N196" s="29">
        <f>+M196*(1+'Tax Tables'!$C$10)</f>
        <v>46059.384637688127</v>
      </c>
      <c r="O196" s="29">
        <f>+N196*(1+'Tax Tables'!$C$10)</f>
        <v>47072.691099717267</v>
      </c>
      <c r="P196" s="29">
        <f>+O196*(1+'Tax Tables'!$C$10)</f>
        <v>48108.290303911046</v>
      </c>
      <c r="Q196" s="29">
        <f>+P196*(1+'Tax Tables'!$C$10)</f>
        <v>49166.672690597094</v>
      </c>
      <c r="R196" s="29">
        <f>+Q196*(1+'Tax Tables'!$C$10)</f>
        <v>50248.339489790233</v>
      </c>
      <c r="S196" s="29">
        <f>+R196*(1+'Tax Tables'!$C$10)</f>
        <v>51353.802958565619</v>
      </c>
      <c r="T196" s="29">
        <f>+S196*(1+'Tax Tables'!$C$10)</f>
        <v>52483.586623654061</v>
      </c>
      <c r="U196" s="29">
        <f>+T196*(1+'Tax Tables'!$C$10)</f>
        <v>53638.225529374453</v>
      </c>
      <c r="V196" s="29">
        <f>+U196*(1+'Tax Tables'!$C$10)</f>
        <v>54818.266491020695</v>
      </c>
      <c r="W196" s="29">
        <f>+V196*(1+'Tax Tables'!$C$10)</f>
        <v>56024.26835382315</v>
      </c>
      <c r="X196" s="29">
        <f>+W196*(1+'Tax Tables'!$C$10)</f>
        <v>57256.802257607262</v>
      </c>
      <c r="Y196" s="29">
        <f>+X196*(1+'Tax Tables'!$C$10)</f>
        <v>58516.451907274626</v>
      </c>
      <c r="Z196" s="29">
        <f>+Y196*(1+'Tax Tables'!$C$10)</f>
        <v>59803.81384923467</v>
      </c>
      <c r="AA196" s="29">
        <f>+Z196*(1+'Tax Tables'!$C$10)</f>
        <v>61119.497753917836</v>
      </c>
      <c r="AB196" s="29">
        <f>+AA196*(1+'Tax Tables'!$C$10)</f>
        <v>62464.126704504029</v>
      </c>
      <c r="AC196" s="29">
        <f>+AB196*(1+'Tax Tables'!$C$10)</f>
        <v>63838.33749200312</v>
      </c>
      <c r="AD196" s="29">
        <f>+AC196*(1+'Tax Tables'!$C$10)</f>
        <v>65242.780916827192</v>
      </c>
      <c r="AE196" s="29">
        <f>+AD196*(1+'Tax Tables'!$C$10)</f>
        <v>66678.122096997395</v>
      </c>
      <c r="AF196" s="29">
        <f>+AE196*(1+'Tax Tables'!$C$10)</f>
        <v>68145.040783131335</v>
      </c>
      <c r="AG196" s="29">
        <f>+AF196*(1+'Tax Tables'!$C$10)</f>
        <v>69644.23168036023</v>
      </c>
      <c r="AH196" s="29">
        <f>+AG196*(1+'Tax Tables'!$C$10)</f>
        <v>71176.404777328149</v>
      </c>
      <c r="AI196" s="29">
        <f>+AH196*(1+'Tax Tables'!$C$10)</f>
        <v>72742.28568242937</v>
      </c>
      <c r="AJ196" s="29">
        <f>+AI196*(1+'Tax Tables'!$C$10)</f>
        <v>74342.61596744282</v>
      </c>
      <c r="AK196" s="29">
        <f>+AJ196*(1+'Tax Tables'!$C$10)</f>
        <v>75978.153518726569</v>
      </c>
      <c r="AL196" s="29">
        <f>+AK196*(1+'Tax Tables'!$C$10)</f>
        <v>77649.672896138552</v>
      </c>
      <c r="AM196" s="29">
        <f>+AL196*(1+'Tax Tables'!$C$10)</f>
        <v>79357.965699853608</v>
      </c>
      <c r="AN196" s="29">
        <f>+AM196*(1+'Tax Tables'!$C$10)</f>
        <v>81103.840945250384</v>
      </c>
      <c r="AO196" s="29">
        <f>+AN196*(1+'Tax Tables'!$C$10)</f>
        <v>82888.125446045888</v>
      </c>
      <c r="AP196" s="29">
        <f>+AO196*(1+'Tax Tables'!$C$10)</f>
        <v>84711.664205858906</v>
      </c>
      <c r="AQ196" s="29">
        <f>+AP196*(1+'Tax Tables'!$C$10)</f>
        <v>86575.320818387801</v>
      </c>
      <c r="AR196" s="29">
        <f>+AQ196*(1+'Tax Tables'!$C$10)</f>
        <v>88479.977876392339</v>
      </c>
      <c r="AS196" s="29">
        <f>+AR196*(1+'Tax Tables'!$C$10)</f>
        <v>90426.537389672972</v>
      </c>
      <c r="AT196" s="29"/>
    </row>
    <row r="197" spans="3:46" ht="15.6" hidden="1">
      <c r="C197" s="902"/>
      <c r="D197" s="8" t="s">
        <v>1475</v>
      </c>
      <c r="E197" s="224">
        <v>183250</v>
      </c>
      <c r="F197" s="213">
        <v>82500</v>
      </c>
      <c r="G197" s="29">
        <f>+F197*(1+'Tax Tables'!$C$10)</f>
        <v>84315</v>
      </c>
      <c r="H197" s="29">
        <f>+G197*(1+'Tax Tables'!$C$10)</f>
        <v>86169.930000000008</v>
      </c>
      <c r="I197" s="29">
        <f>+H197*(1+'Tax Tables'!$C$10)</f>
        <v>88065.668460000015</v>
      </c>
      <c r="J197" s="29">
        <f>+I197*(1+'Tax Tables'!$C$10)</f>
        <v>90003.11316612002</v>
      </c>
      <c r="K197" s="29">
        <f>+J197*(1+'Tax Tables'!$C$10)</f>
        <v>91983.181655774664</v>
      </c>
      <c r="L197" s="29">
        <f>+K197*(1+'Tax Tables'!$C$10)</f>
        <v>94006.811652201708</v>
      </c>
      <c r="M197" s="29">
        <f>+L197*(1+'Tax Tables'!$C$10)</f>
        <v>96074.961508550143</v>
      </c>
      <c r="N197" s="29">
        <f>+M197*(1+'Tax Tables'!$C$10)</f>
        <v>98188.610661738247</v>
      </c>
      <c r="O197" s="29">
        <f>+N197*(1+'Tax Tables'!$C$10)</f>
        <v>100348.76009629649</v>
      </c>
      <c r="P197" s="29">
        <f>+O197*(1+'Tax Tables'!$C$10)</f>
        <v>102556.43281841502</v>
      </c>
      <c r="Q197" s="29">
        <f>+P197*(1+'Tax Tables'!$C$10)</f>
        <v>104812.67434042016</v>
      </c>
      <c r="R197" s="29">
        <f>+Q197*(1+'Tax Tables'!$C$10)</f>
        <v>107118.5531759094</v>
      </c>
      <c r="S197" s="29">
        <f>+R197*(1+'Tax Tables'!$C$10)</f>
        <v>109475.16134577942</v>
      </c>
      <c r="T197" s="29">
        <f>+S197*(1+'Tax Tables'!$C$10)</f>
        <v>111883.61489538656</v>
      </c>
      <c r="U197" s="29">
        <f>+T197*(1+'Tax Tables'!$C$10)</f>
        <v>114345.05442308506</v>
      </c>
      <c r="V197" s="29">
        <f>+U197*(1+'Tax Tables'!$C$10)</f>
        <v>116860.64562039294</v>
      </c>
      <c r="W197" s="29">
        <f>+V197*(1+'Tax Tables'!$C$10)</f>
        <v>119431.57982404159</v>
      </c>
      <c r="X197" s="29">
        <f>+W197*(1+'Tax Tables'!$C$10)</f>
        <v>122059.07458017051</v>
      </c>
      <c r="Y197" s="29">
        <f>+X197*(1+'Tax Tables'!$C$10)</f>
        <v>124744.37422093426</v>
      </c>
      <c r="Z197" s="29">
        <f>+Y197*(1+'Tax Tables'!$C$10)</f>
        <v>127488.75045379481</v>
      </c>
      <c r="AA197" s="29">
        <f>+Z197*(1+'Tax Tables'!$C$10)</f>
        <v>130293.5029637783</v>
      </c>
      <c r="AB197" s="29">
        <f>+AA197*(1+'Tax Tables'!$C$10)</f>
        <v>133159.96002898141</v>
      </c>
      <c r="AC197" s="29">
        <f>+AB197*(1+'Tax Tables'!$C$10)</f>
        <v>136089.479149619</v>
      </c>
      <c r="AD197" s="29">
        <f>+AC197*(1+'Tax Tables'!$C$10)</f>
        <v>139083.44769091063</v>
      </c>
      <c r="AE197" s="29">
        <f>+AD197*(1+'Tax Tables'!$C$10)</f>
        <v>142143.28354011066</v>
      </c>
      <c r="AF197" s="29">
        <f>+AE197*(1+'Tax Tables'!$C$10)</f>
        <v>145270.43577799309</v>
      </c>
      <c r="AG197" s="29">
        <f>+AF197*(1+'Tax Tables'!$C$10)</f>
        <v>148466.38536510893</v>
      </c>
      <c r="AH197" s="29">
        <f>+AG197*(1+'Tax Tables'!$C$10)</f>
        <v>151732.64584314133</v>
      </c>
      <c r="AI197" s="29">
        <f>+AH197*(1+'Tax Tables'!$C$10)</f>
        <v>155070.76405169044</v>
      </c>
      <c r="AJ197" s="29">
        <f>+AI197*(1+'Tax Tables'!$C$10)</f>
        <v>158482.32086082763</v>
      </c>
      <c r="AK197" s="29">
        <f>+AJ197*(1+'Tax Tables'!$C$10)</f>
        <v>161968.93191976583</v>
      </c>
      <c r="AL197" s="29">
        <f>+AK197*(1+'Tax Tables'!$C$10)</f>
        <v>165532.24842200067</v>
      </c>
      <c r="AM197" s="29">
        <f>+AL197*(1+'Tax Tables'!$C$10)</f>
        <v>169173.95788728469</v>
      </c>
      <c r="AN197" s="29">
        <f>+AM197*(1+'Tax Tables'!$C$10)</f>
        <v>172895.78496080494</v>
      </c>
      <c r="AO197" s="29">
        <f>+AN197*(1+'Tax Tables'!$C$10)</f>
        <v>176699.49222994267</v>
      </c>
      <c r="AP197" s="29">
        <f>+AO197*(1+'Tax Tables'!$C$10)</f>
        <v>180586.8810590014</v>
      </c>
      <c r="AQ197" s="29">
        <f>+AP197*(1+'Tax Tables'!$C$10)</f>
        <v>184559.79244229943</v>
      </c>
      <c r="AR197" s="29">
        <f>+AQ197*(1+'Tax Tables'!$C$10)</f>
        <v>188620.10787603003</v>
      </c>
      <c r="AS197" s="29">
        <f>+AR197*(1+'Tax Tables'!$C$10)</f>
        <v>192769.75024930268</v>
      </c>
      <c r="AT197" s="29"/>
    </row>
    <row r="198" spans="3:46" ht="15.6" hidden="1">
      <c r="C198" s="902"/>
      <c r="D198" s="8" t="s">
        <v>1476</v>
      </c>
      <c r="E198" s="226">
        <v>0.28000000000000003</v>
      </c>
      <c r="F198" s="253">
        <v>0.22</v>
      </c>
      <c r="G198" s="61">
        <f>+F198</f>
        <v>0.22</v>
      </c>
      <c r="H198" s="61">
        <f t="shared" ref="H198:AS198" si="129">+G198</f>
        <v>0.22</v>
      </c>
      <c r="I198" s="61">
        <f t="shared" si="129"/>
        <v>0.22</v>
      </c>
      <c r="J198" s="61">
        <f t="shared" si="129"/>
        <v>0.22</v>
      </c>
      <c r="K198" s="61">
        <f t="shared" si="129"/>
        <v>0.22</v>
      </c>
      <c r="L198" s="61">
        <f t="shared" si="129"/>
        <v>0.22</v>
      </c>
      <c r="M198" s="61">
        <f t="shared" si="129"/>
        <v>0.22</v>
      </c>
      <c r="N198" s="61">
        <f t="shared" si="129"/>
        <v>0.22</v>
      </c>
      <c r="O198" s="61">
        <f t="shared" si="129"/>
        <v>0.22</v>
      </c>
      <c r="P198" s="61">
        <f t="shared" si="129"/>
        <v>0.22</v>
      </c>
      <c r="Q198" s="61">
        <f t="shared" si="129"/>
        <v>0.22</v>
      </c>
      <c r="R198" s="61">
        <f t="shared" si="129"/>
        <v>0.22</v>
      </c>
      <c r="S198" s="61">
        <f t="shared" si="129"/>
        <v>0.22</v>
      </c>
      <c r="T198" s="61">
        <f t="shared" si="129"/>
        <v>0.22</v>
      </c>
      <c r="U198" s="61">
        <f t="shared" si="129"/>
        <v>0.22</v>
      </c>
      <c r="V198" s="61">
        <f t="shared" si="129"/>
        <v>0.22</v>
      </c>
      <c r="W198" s="61">
        <f t="shared" si="129"/>
        <v>0.22</v>
      </c>
      <c r="X198" s="61">
        <f t="shared" si="129"/>
        <v>0.22</v>
      </c>
      <c r="Y198" s="61">
        <f t="shared" si="129"/>
        <v>0.22</v>
      </c>
      <c r="Z198" s="61">
        <f t="shared" si="129"/>
        <v>0.22</v>
      </c>
      <c r="AA198" s="61">
        <f t="shared" si="129"/>
        <v>0.22</v>
      </c>
      <c r="AB198" s="61">
        <f t="shared" si="129"/>
        <v>0.22</v>
      </c>
      <c r="AC198" s="61">
        <f t="shared" si="129"/>
        <v>0.22</v>
      </c>
      <c r="AD198" s="61">
        <f t="shared" si="129"/>
        <v>0.22</v>
      </c>
      <c r="AE198" s="61">
        <f t="shared" si="129"/>
        <v>0.22</v>
      </c>
      <c r="AF198" s="61">
        <f t="shared" si="129"/>
        <v>0.22</v>
      </c>
      <c r="AG198" s="61">
        <f t="shared" si="129"/>
        <v>0.22</v>
      </c>
      <c r="AH198" s="61">
        <f t="shared" si="129"/>
        <v>0.22</v>
      </c>
      <c r="AI198" s="61">
        <f t="shared" si="129"/>
        <v>0.22</v>
      </c>
      <c r="AJ198" s="61">
        <f t="shared" si="129"/>
        <v>0.22</v>
      </c>
      <c r="AK198" s="61">
        <f t="shared" si="129"/>
        <v>0.22</v>
      </c>
      <c r="AL198" s="61">
        <f t="shared" si="129"/>
        <v>0.22</v>
      </c>
      <c r="AM198" s="61">
        <f t="shared" si="129"/>
        <v>0.22</v>
      </c>
      <c r="AN198" s="61">
        <f t="shared" si="129"/>
        <v>0.22</v>
      </c>
      <c r="AO198" s="61">
        <f t="shared" si="129"/>
        <v>0.22</v>
      </c>
      <c r="AP198" s="61">
        <f t="shared" si="129"/>
        <v>0.22</v>
      </c>
      <c r="AQ198" s="61">
        <f t="shared" si="129"/>
        <v>0.22</v>
      </c>
      <c r="AR198" s="61">
        <f t="shared" si="129"/>
        <v>0.22</v>
      </c>
      <c r="AS198" s="61">
        <f t="shared" si="129"/>
        <v>0.22</v>
      </c>
      <c r="AT198" s="29"/>
    </row>
    <row r="199" spans="3:46" hidden="1">
      <c r="C199" s="902"/>
      <c r="D199" s="8" t="s">
        <v>1414</v>
      </c>
      <c r="E199" s="29">
        <f t="shared" ref="E199:AS199" si="130">(+E197-E196)*E198</f>
        <v>26712.000000000004</v>
      </c>
      <c r="F199" s="29">
        <f t="shared" si="130"/>
        <v>9636</v>
      </c>
      <c r="G199" s="29">
        <f t="shared" si="130"/>
        <v>9847.9920000000002</v>
      </c>
      <c r="H199" s="29">
        <f t="shared" si="130"/>
        <v>10064.647824000001</v>
      </c>
      <c r="I199" s="29">
        <f t="shared" si="130"/>
        <v>10286.070076128002</v>
      </c>
      <c r="J199" s="29">
        <f t="shared" si="130"/>
        <v>10512.363617802819</v>
      </c>
      <c r="K199" s="29">
        <f t="shared" si="130"/>
        <v>10743.635617394482</v>
      </c>
      <c r="L199" s="29">
        <f t="shared" si="130"/>
        <v>10979.995600977159</v>
      </c>
      <c r="M199" s="29">
        <f t="shared" si="130"/>
        <v>11221.555504198657</v>
      </c>
      <c r="N199" s="29">
        <f t="shared" si="130"/>
        <v>11468.429725291027</v>
      </c>
      <c r="O199" s="29">
        <f t="shared" si="130"/>
        <v>11720.735179247429</v>
      </c>
      <c r="P199" s="29">
        <f t="shared" si="130"/>
        <v>11978.591353190875</v>
      </c>
      <c r="Q199" s="29">
        <f t="shared" si="130"/>
        <v>12242.120362961074</v>
      </c>
      <c r="R199" s="29">
        <f t="shared" si="130"/>
        <v>12511.447010946216</v>
      </c>
      <c r="S199" s="29">
        <f t="shared" si="130"/>
        <v>12786.698845187035</v>
      </c>
      <c r="T199" s="29">
        <f t="shared" si="130"/>
        <v>13068.006219781151</v>
      </c>
      <c r="U199" s="29">
        <f t="shared" si="130"/>
        <v>13355.502356616335</v>
      </c>
      <c r="V199" s="29">
        <f t="shared" si="130"/>
        <v>13649.323408461894</v>
      </c>
      <c r="W199" s="29">
        <f t="shared" si="130"/>
        <v>13949.608523448056</v>
      </c>
      <c r="X199" s="29">
        <f t="shared" si="130"/>
        <v>14256.499910963914</v>
      </c>
      <c r="Y199" s="29">
        <f t="shared" si="130"/>
        <v>14570.142909005119</v>
      </c>
      <c r="Z199" s="29">
        <f t="shared" si="130"/>
        <v>14890.686053003234</v>
      </c>
      <c r="AA199" s="29">
        <f t="shared" si="130"/>
        <v>15218.281146169302</v>
      </c>
      <c r="AB199" s="29">
        <f t="shared" si="130"/>
        <v>15553.083331385023</v>
      </c>
      <c r="AC199" s="29">
        <f t="shared" si="130"/>
        <v>15895.251164675494</v>
      </c>
      <c r="AD199" s="29">
        <f t="shared" si="130"/>
        <v>16244.946690298357</v>
      </c>
      <c r="AE199" s="29">
        <f t="shared" si="130"/>
        <v>16602.335517484917</v>
      </c>
      <c r="AF199" s="29">
        <f t="shared" si="130"/>
        <v>16967.586898869584</v>
      </c>
      <c r="AG199" s="29">
        <f t="shared" si="130"/>
        <v>17340.873810644713</v>
      </c>
      <c r="AH199" s="29">
        <f t="shared" si="130"/>
        <v>17722.3730344789</v>
      </c>
      <c r="AI199" s="29">
        <f t="shared" si="130"/>
        <v>18112.265241237434</v>
      </c>
      <c r="AJ199" s="29">
        <f t="shared" si="130"/>
        <v>18510.735076544657</v>
      </c>
      <c r="AK199" s="29">
        <f t="shared" si="130"/>
        <v>18917.971248228638</v>
      </c>
      <c r="AL199" s="29">
        <f t="shared" si="130"/>
        <v>19334.166615689668</v>
      </c>
      <c r="AM199" s="29">
        <f t="shared" si="130"/>
        <v>19759.518281234839</v>
      </c>
      <c r="AN199" s="29">
        <f t="shared" si="130"/>
        <v>20194.227683422003</v>
      </c>
      <c r="AO199" s="29">
        <f t="shared" si="130"/>
        <v>20638.500692457292</v>
      </c>
      <c r="AP199" s="29">
        <f t="shared" si="130"/>
        <v>21092.547707691348</v>
      </c>
      <c r="AQ199" s="29">
        <f t="shared" si="130"/>
        <v>21556.583757260556</v>
      </c>
      <c r="AR199" s="29">
        <f t="shared" si="130"/>
        <v>22030.828599920293</v>
      </c>
      <c r="AS199" s="29">
        <f t="shared" si="130"/>
        <v>22515.506829118538</v>
      </c>
      <c r="AT199" s="61"/>
    </row>
    <row r="200" spans="3:46" hidden="1">
      <c r="C200" s="903"/>
      <c r="D200" s="8"/>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row>
    <row r="201" spans="3:46" hidden="1">
      <c r="C201" s="902"/>
      <c r="D201" s="8" t="s">
        <v>1474</v>
      </c>
      <c r="E201" s="29">
        <f>+E197</f>
        <v>183250</v>
      </c>
      <c r="F201" s="29">
        <f>+F197</f>
        <v>82500</v>
      </c>
      <c r="G201" s="29">
        <f>+F201*(1+'Tax Tables'!$C$10)</f>
        <v>84315</v>
      </c>
      <c r="H201" s="29">
        <f>+G201*(1+'Tax Tables'!$C$10)</f>
        <v>86169.930000000008</v>
      </c>
      <c r="I201" s="29">
        <f>+H201*(1+'Tax Tables'!$C$10)</f>
        <v>88065.668460000015</v>
      </c>
      <c r="J201" s="29">
        <f>+I201*(1+'Tax Tables'!$C$10)</f>
        <v>90003.11316612002</v>
      </c>
      <c r="K201" s="29">
        <f>+J201*(1+'Tax Tables'!$C$10)</f>
        <v>91983.181655774664</v>
      </c>
      <c r="L201" s="29">
        <f>+K201*(1+'Tax Tables'!$C$10)</f>
        <v>94006.811652201708</v>
      </c>
      <c r="M201" s="29">
        <f>+L201*(1+'Tax Tables'!$C$10)</f>
        <v>96074.961508550143</v>
      </c>
      <c r="N201" s="29">
        <f>+M201*(1+'Tax Tables'!$C$10)</f>
        <v>98188.610661738247</v>
      </c>
      <c r="O201" s="29">
        <f>+N201*(1+'Tax Tables'!$C$10)</f>
        <v>100348.76009629649</v>
      </c>
      <c r="P201" s="29">
        <f>+O201*(1+'Tax Tables'!$C$10)</f>
        <v>102556.43281841502</v>
      </c>
      <c r="Q201" s="29">
        <f>+P201*(1+'Tax Tables'!$C$10)</f>
        <v>104812.67434042016</v>
      </c>
      <c r="R201" s="29">
        <f>+Q201*(1+'Tax Tables'!$C$10)</f>
        <v>107118.5531759094</v>
      </c>
      <c r="S201" s="29">
        <f>+R201*(1+'Tax Tables'!$C$10)</f>
        <v>109475.16134577942</v>
      </c>
      <c r="T201" s="29">
        <f>+S201*(1+'Tax Tables'!$C$10)</f>
        <v>111883.61489538656</v>
      </c>
      <c r="U201" s="29">
        <f>+T201*(1+'Tax Tables'!$C$10)</f>
        <v>114345.05442308506</v>
      </c>
      <c r="V201" s="29">
        <f>+U201*(1+'Tax Tables'!$C$10)</f>
        <v>116860.64562039294</v>
      </c>
      <c r="W201" s="29">
        <f>+V201*(1+'Tax Tables'!$C$10)</f>
        <v>119431.57982404159</v>
      </c>
      <c r="X201" s="29">
        <f>+W201*(1+'Tax Tables'!$C$10)</f>
        <v>122059.07458017051</v>
      </c>
      <c r="Y201" s="29">
        <f>+X201*(1+'Tax Tables'!$C$10)</f>
        <v>124744.37422093426</v>
      </c>
      <c r="Z201" s="29">
        <f>+Y201*(1+'Tax Tables'!$C$10)</f>
        <v>127488.75045379481</v>
      </c>
      <c r="AA201" s="29">
        <f>+Z201*(1+'Tax Tables'!$C$10)</f>
        <v>130293.5029637783</v>
      </c>
      <c r="AB201" s="29">
        <f>+AA201*(1+'Tax Tables'!$C$10)</f>
        <v>133159.96002898141</v>
      </c>
      <c r="AC201" s="29">
        <f>+AB201*(1+'Tax Tables'!$C$10)</f>
        <v>136089.479149619</v>
      </c>
      <c r="AD201" s="29">
        <f>+AC201*(1+'Tax Tables'!$C$10)</f>
        <v>139083.44769091063</v>
      </c>
      <c r="AE201" s="29">
        <f>+AD201*(1+'Tax Tables'!$C$10)</f>
        <v>142143.28354011066</v>
      </c>
      <c r="AF201" s="29">
        <f>+AE201*(1+'Tax Tables'!$C$10)</f>
        <v>145270.43577799309</v>
      </c>
      <c r="AG201" s="29">
        <f>+AF201*(1+'Tax Tables'!$C$10)</f>
        <v>148466.38536510893</v>
      </c>
      <c r="AH201" s="29">
        <f>+AG201*(1+'Tax Tables'!$C$10)</f>
        <v>151732.64584314133</v>
      </c>
      <c r="AI201" s="29">
        <f>+AH201*(1+'Tax Tables'!$C$10)</f>
        <v>155070.76405169044</v>
      </c>
      <c r="AJ201" s="29">
        <f>+AI201*(1+'Tax Tables'!$C$10)</f>
        <v>158482.32086082763</v>
      </c>
      <c r="AK201" s="29">
        <f>+AJ201*(1+'Tax Tables'!$C$10)</f>
        <v>161968.93191976583</v>
      </c>
      <c r="AL201" s="29">
        <f>+AK201*(1+'Tax Tables'!$C$10)</f>
        <v>165532.24842200067</v>
      </c>
      <c r="AM201" s="29">
        <f>+AL201*(1+'Tax Tables'!$C$10)</f>
        <v>169173.95788728469</v>
      </c>
      <c r="AN201" s="29">
        <f>+AM201*(1+'Tax Tables'!$C$10)</f>
        <v>172895.78496080494</v>
      </c>
      <c r="AO201" s="29">
        <f>+AN201*(1+'Tax Tables'!$C$10)</f>
        <v>176699.49222994267</v>
      </c>
      <c r="AP201" s="29">
        <f>+AO201*(1+'Tax Tables'!$C$10)</f>
        <v>180586.8810590014</v>
      </c>
      <c r="AQ201" s="29">
        <f>+AP201*(1+'Tax Tables'!$C$10)</f>
        <v>184559.79244229943</v>
      </c>
      <c r="AR201" s="29">
        <f>+AQ201*(1+'Tax Tables'!$C$10)</f>
        <v>188620.10787603003</v>
      </c>
      <c r="AS201" s="29">
        <f>+AR201*(1+'Tax Tables'!$C$10)</f>
        <v>192769.75024930268</v>
      </c>
      <c r="AT201" s="29"/>
    </row>
    <row r="202" spans="3:46" ht="15.6" hidden="1">
      <c r="C202" s="902"/>
      <c r="D202" s="8" t="s">
        <v>1475</v>
      </c>
      <c r="E202" s="225">
        <v>398350</v>
      </c>
      <c r="F202" s="252">
        <v>157500</v>
      </c>
      <c r="G202" s="29">
        <f>+F202*(1+'Tax Tables'!$C$10)</f>
        <v>160965</v>
      </c>
      <c r="H202" s="29">
        <f>+G202*(1+'Tax Tables'!$C$10)</f>
        <v>164506.23000000001</v>
      </c>
      <c r="I202" s="29">
        <f>+H202*(1+'Tax Tables'!$C$10)</f>
        <v>168125.36706000002</v>
      </c>
      <c r="J202" s="29">
        <f>+I202*(1+'Tax Tables'!$C$10)</f>
        <v>171824.12513532004</v>
      </c>
      <c r="K202" s="29">
        <f>+J202*(1+'Tax Tables'!$C$10)</f>
        <v>175604.25588829708</v>
      </c>
      <c r="L202" s="29">
        <f>+K202*(1+'Tax Tables'!$C$10)</f>
        <v>179467.54951783962</v>
      </c>
      <c r="M202" s="29">
        <f>+L202*(1+'Tax Tables'!$C$10)</f>
        <v>183415.83560723209</v>
      </c>
      <c r="N202" s="29">
        <f>+M202*(1+'Tax Tables'!$C$10)</f>
        <v>187450.98399059119</v>
      </c>
      <c r="O202" s="29">
        <f>+N202*(1+'Tax Tables'!$C$10)</f>
        <v>191574.9056383842</v>
      </c>
      <c r="P202" s="29">
        <f>+O202*(1+'Tax Tables'!$C$10)</f>
        <v>195789.55356242866</v>
      </c>
      <c r="Q202" s="29">
        <f>+P202*(1+'Tax Tables'!$C$10)</f>
        <v>200096.9237408021</v>
      </c>
      <c r="R202" s="29">
        <f>+Q202*(1+'Tax Tables'!$C$10)</f>
        <v>204499.05606309976</v>
      </c>
      <c r="S202" s="29">
        <f>+R202*(1+'Tax Tables'!$C$10)</f>
        <v>208998.03529648797</v>
      </c>
      <c r="T202" s="29">
        <f>+S202*(1+'Tax Tables'!$C$10)</f>
        <v>213595.99207301071</v>
      </c>
      <c r="U202" s="29">
        <f>+T202*(1+'Tax Tables'!$C$10)</f>
        <v>218295.10389861694</v>
      </c>
      <c r="V202" s="29">
        <f>+U202*(1+'Tax Tables'!$C$10)</f>
        <v>223097.59618438652</v>
      </c>
      <c r="W202" s="29">
        <f>+V202*(1+'Tax Tables'!$C$10)</f>
        <v>228005.74330044302</v>
      </c>
      <c r="X202" s="29">
        <f>+W202*(1+'Tax Tables'!$C$10)</f>
        <v>233021.86965305277</v>
      </c>
      <c r="Y202" s="29">
        <f>+X202*(1+'Tax Tables'!$C$10)</f>
        <v>238148.35078541993</v>
      </c>
      <c r="Z202" s="29">
        <f>+Y202*(1+'Tax Tables'!$C$10)</f>
        <v>243387.61450269917</v>
      </c>
      <c r="AA202" s="29">
        <f>+Z202*(1+'Tax Tables'!$C$10)</f>
        <v>248742.14202175857</v>
      </c>
      <c r="AB202" s="29">
        <f>+AA202*(1+'Tax Tables'!$C$10)</f>
        <v>254214.46914623727</v>
      </c>
      <c r="AC202" s="29">
        <f>+AB202*(1+'Tax Tables'!$C$10)</f>
        <v>259807.1874674545</v>
      </c>
      <c r="AD202" s="29">
        <f>+AC202*(1+'Tax Tables'!$C$10)</f>
        <v>265522.94559173851</v>
      </c>
      <c r="AE202" s="29">
        <f>+AD202*(1+'Tax Tables'!$C$10)</f>
        <v>271364.45039475674</v>
      </c>
      <c r="AF202" s="29">
        <f>+AE202*(1+'Tax Tables'!$C$10)</f>
        <v>277334.46830344142</v>
      </c>
      <c r="AG202" s="29">
        <f>+AF202*(1+'Tax Tables'!$C$10)</f>
        <v>283435.82660611713</v>
      </c>
      <c r="AH202" s="29">
        <f>+AG202*(1+'Tax Tables'!$C$10)</f>
        <v>289671.41479145171</v>
      </c>
      <c r="AI202" s="29">
        <f>+AH202*(1+'Tax Tables'!$C$10)</f>
        <v>296044.18591686367</v>
      </c>
      <c r="AJ202" s="29">
        <f>+AI202*(1+'Tax Tables'!$C$10)</f>
        <v>302557.15800703468</v>
      </c>
      <c r="AK202" s="29">
        <f>+AJ202*(1+'Tax Tables'!$C$10)</f>
        <v>309213.41548318946</v>
      </c>
      <c r="AL202" s="29">
        <f>+AK202*(1+'Tax Tables'!$C$10)</f>
        <v>316016.11062381964</v>
      </c>
      <c r="AM202" s="29">
        <f>+AL202*(1+'Tax Tables'!$C$10)</f>
        <v>322968.46505754365</v>
      </c>
      <c r="AN202" s="29">
        <f>+AM202*(1+'Tax Tables'!$C$10)</f>
        <v>330073.7712888096</v>
      </c>
      <c r="AO202" s="29">
        <f>+AN202*(1+'Tax Tables'!$C$10)</f>
        <v>337335.3942571634</v>
      </c>
      <c r="AP202" s="29">
        <f>+AO202*(1+'Tax Tables'!$C$10)</f>
        <v>344756.772930821</v>
      </c>
      <c r="AQ202" s="29">
        <f>+AP202*(1+'Tax Tables'!$C$10)</f>
        <v>352341.42193529906</v>
      </c>
      <c r="AR202" s="29">
        <f>+AQ202*(1+'Tax Tables'!$C$10)</f>
        <v>360092.93321787566</v>
      </c>
      <c r="AS202" s="29">
        <f>+AR202*(1+'Tax Tables'!$C$10)</f>
        <v>368014.97774866893</v>
      </c>
      <c r="AT202" s="29"/>
    </row>
    <row r="203" spans="3:46" ht="15.6" hidden="1">
      <c r="C203" s="902"/>
      <c r="D203" s="8" t="s">
        <v>1476</v>
      </c>
      <c r="E203" s="226">
        <v>0.33</v>
      </c>
      <c r="F203" s="253">
        <v>0.24</v>
      </c>
      <c r="G203" s="61">
        <f>+F203</f>
        <v>0.24</v>
      </c>
      <c r="H203" s="61">
        <f t="shared" ref="H203:AS203" si="131">+G203</f>
        <v>0.24</v>
      </c>
      <c r="I203" s="61">
        <f t="shared" si="131"/>
        <v>0.24</v>
      </c>
      <c r="J203" s="61">
        <f t="shared" si="131"/>
        <v>0.24</v>
      </c>
      <c r="K203" s="61">
        <f t="shared" si="131"/>
        <v>0.24</v>
      </c>
      <c r="L203" s="61">
        <f t="shared" si="131"/>
        <v>0.24</v>
      </c>
      <c r="M203" s="61">
        <f t="shared" si="131"/>
        <v>0.24</v>
      </c>
      <c r="N203" s="61">
        <f t="shared" si="131"/>
        <v>0.24</v>
      </c>
      <c r="O203" s="61">
        <f t="shared" si="131"/>
        <v>0.24</v>
      </c>
      <c r="P203" s="61">
        <f t="shared" si="131"/>
        <v>0.24</v>
      </c>
      <c r="Q203" s="61">
        <f t="shared" si="131"/>
        <v>0.24</v>
      </c>
      <c r="R203" s="61">
        <f t="shared" si="131"/>
        <v>0.24</v>
      </c>
      <c r="S203" s="61">
        <f t="shared" si="131"/>
        <v>0.24</v>
      </c>
      <c r="T203" s="61">
        <f t="shared" si="131"/>
        <v>0.24</v>
      </c>
      <c r="U203" s="61">
        <f t="shared" si="131"/>
        <v>0.24</v>
      </c>
      <c r="V203" s="61">
        <f t="shared" si="131"/>
        <v>0.24</v>
      </c>
      <c r="W203" s="61">
        <f t="shared" si="131"/>
        <v>0.24</v>
      </c>
      <c r="X203" s="61">
        <f t="shared" si="131"/>
        <v>0.24</v>
      </c>
      <c r="Y203" s="61">
        <f t="shared" si="131"/>
        <v>0.24</v>
      </c>
      <c r="Z203" s="61">
        <f t="shared" si="131"/>
        <v>0.24</v>
      </c>
      <c r="AA203" s="61">
        <f t="shared" si="131"/>
        <v>0.24</v>
      </c>
      <c r="AB203" s="61">
        <f t="shared" si="131"/>
        <v>0.24</v>
      </c>
      <c r="AC203" s="61">
        <f t="shared" si="131"/>
        <v>0.24</v>
      </c>
      <c r="AD203" s="61">
        <f t="shared" si="131"/>
        <v>0.24</v>
      </c>
      <c r="AE203" s="61">
        <f t="shared" si="131"/>
        <v>0.24</v>
      </c>
      <c r="AF203" s="61">
        <f t="shared" si="131"/>
        <v>0.24</v>
      </c>
      <c r="AG203" s="61">
        <f t="shared" si="131"/>
        <v>0.24</v>
      </c>
      <c r="AH203" s="61">
        <f t="shared" si="131"/>
        <v>0.24</v>
      </c>
      <c r="AI203" s="61">
        <f t="shared" si="131"/>
        <v>0.24</v>
      </c>
      <c r="AJ203" s="61">
        <f t="shared" si="131"/>
        <v>0.24</v>
      </c>
      <c r="AK203" s="61">
        <f t="shared" si="131"/>
        <v>0.24</v>
      </c>
      <c r="AL203" s="61">
        <f t="shared" si="131"/>
        <v>0.24</v>
      </c>
      <c r="AM203" s="61">
        <f t="shared" si="131"/>
        <v>0.24</v>
      </c>
      <c r="AN203" s="61">
        <f t="shared" si="131"/>
        <v>0.24</v>
      </c>
      <c r="AO203" s="61">
        <f t="shared" si="131"/>
        <v>0.24</v>
      </c>
      <c r="AP203" s="61">
        <f t="shared" si="131"/>
        <v>0.24</v>
      </c>
      <c r="AQ203" s="61">
        <f t="shared" si="131"/>
        <v>0.24</v>
      </c>
      <c r="AR203" s="61">
        <f t="shared" si="131"/>
        <v>0.24</v>
      </c>
      <c r="AS203" s="61">
        <f t="shared" si="131"/>
        <v>0.24</v>
      </c>
      <c r="AT203" s="29"/>
    </row>
    <row r="204" spans="3:46" hidden="1">
      <c r="C204" s="902"/>
      <c r="D204" s="8" t="s">
        <v>1414</v>
      </c>
      <c r="E204" s="29">
        <f t="shared" ref="E204:AS204" si="132">(+E202-E201)*E203</f>
        <v>70983</v>
      </c>
      <c r="F204" s="29">
        <f t="shared" si="132"/>
        <v>18000</v>
      </c>
      <c r="G204" s="29">
        <f t="shared" si="132"/>
        <v>18396</v>
      </c>
      <c r="H204" s="29">
        <f t="shared" si="132"/>
        <v>18800.712</v>
      </c>
      <c r="I204" s="29">
        <f t="shared" si="132"/>
        <v>19214.327664</v>
      </c>
      <c r="J204" s="29">
        <f t="shared" si="132"/>
        <v>19637.042872608003</v>
      </c>
      <c r="K204" s="29">
        <f t="shared" si="132"/>
        <v>20069.05781580538</v>
      </c>
      <c r="L204" s="29">
        <f t="shared" si="132"/>
        <v>20510.577087753099</v>
      </c>
      <c r="M204" s="29">
        <f t="shared" si="132"/>
        <v>20961.809783683668</v>
      </c>
      <c r="N204" s="29">
        <f t="shared" si="132"/>
        <v>21422.969598924708</v>
      </c>
      <c r="O204" s="29">
        <f t="shared" si="132"/>
        <v>21894.274930101048</v>
      </c>
      <c r="P204" s="29">
        <f t="shared" si="132"/>
        <v>22375.948978563272</v>
      </c>
      <c r="Q204" s="29">
        <f t="shared" si="132"/>
        <v>22868.219856091666</v>
      </c>
      <c r="R204" s="29">
        <f t="shared" si="132"/>
        <v>23371.320692925685</v>
      </c>
      <c r="S204" s="29">
        <f t="shared" si="132"/>
        <v>23885.489748170054</v>
      </c>
      <c r="T204" s="29">
        <f t="shared" si="132"/>
        <v>24410.970522629796</v>
      </c>
      <c r="U204" s="29">
        <f t="shared" si="132"/>
        <v>24948.011874127649</v>
      </c>
      <c r="V204" s="29">
        <f t="shared" si="132"/>
        <v>25496.868135358458</v>
      </c>
      <c r="W204" s="29">
        <f t="shared" si="132"/>
        <v>26057.799234336344</v>
      </c>
      <c r="X204" s="29">
        <f t="shared" si="132"/>
        <v>26631.070817491742</v>
      </c>
      <c r="Y204" s="29">
        <f t="shared" si="132"/>
        <v>27216.954375476558</v>
      </c>
      <c r="Z204" s="29">
        <f t="shared" si="132"/>
        <v>27815.727371737044</v>
      </c>
      <c r="AA204" s="29">
        <f t="shared" si="132"/>
        <v>28427.673373915262</v>
      </c>
      <c r="AB204" s="29">
        <f t="shared" si="132"/>
        <v>29053.082188141405</v>
      </c>
      <c r="AC204" s="29">
        <f t="shared" si="132"/>
        <v>29692.249996280516</v>
      </c>
      <c r="AD204" s="29">
        <f t="shared" si="132"/>
        <v>30345.479496198688</v>
      </c>
      <c r="AE204" s="29">
        <f t="shared" si="132"/>
        <v>31013.080045115061</v>
      </c>
      <c r="AF204" s="29">
        <f t="shared" si="132"/>
        <v>31695.367806107599</v>
      </c>
      <c r="AG204" s="29">
        <f t="shared" si="132"/>
        <v>32392.665897841965</v>
      </c>
      <c r="AH204" s="29">
        <f t="shared" si="132"/>
        <v>33105.304547594489</v>
      </c>
      <c r="AI204" s="29">
        <f t="shared" si="132"/>
        <v>33833.621247641575</v>
      </c>
      <c r="AJ204" s="29">
        <f t="shared" si="132"/>
        <v>34577.960915089694</v>
      </c>
      <c r="AK204" s="29">
        <f t="shared" si="132"/>
        <v>35338.676055221666</v>
      </c>
      <c r="AL204" s="29">
        <f t="shared" si="132"/>
        <v>36116.126928436548</v>
      </c>
      <c r="AM204" s="29">
        <f t="shared" si="132"/>
        <v>36910.681720862151</v>
      </c>
      <c r="AN204" s="29">
        <f t="shared" si="132"/>
        <v>37722.716718721116</v>
      </c>
      <c r="AO204" s="29">
        <f t="shared" si="132"/>
        <v>38552.61648653297</v>
      </c>
      <c r="AP204" s="29">
        <f t="shared" si="132"/>
        <v>39400.774049236701</v>
      </c>
      <c r="AQ204" s="29">
        <f t="shared" si="132"/>
        <v>40267.591078319914</v>
      </c>
      <c r="AR204" s="29">
        <f t="shared" si="132"/>
        <v>41153.478082042951</v>
      </c>
      <c r="AS204" s="29">
        <f t="shared" si="132"/>
        <v>42058.854599847895</v>
      </c>
      <c r="AT204" s="61"/>
    </row>
    <row r="205" spans="3:46" hidden="1">
      <c r="C205" s="903"/>
      <c r="D205" s="8"/>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row>
    <row r="206" spans="3:46" hidden="1">
      <c r="C206" s="902"/>
      <c r="D206" s="8" t="s">
        <v>1474</v>
      </c>
      <c r="E206" s="29">
        <f>+E202</f>
        <v>398350</v>
      </c>
      <c r="F206" s="29">
        <f>+F202</f>
        <v>157500</v>
      </c>
      <c r="G206" s="29">
        <f>+F206*(1+'Tax Tables'!$C$10)</f>
        <v>160965</v>
      </c>
      <c r="H206" s="29">
        <f>+G206*(1+'Tax Tables'!$C$10)</f>
        <v>164506.23000000001</v>
      </c>
      <c r="I206" s="29">
        <f>+H206*(1+'Tax Tables'!$C$10)</f>
        <v>168125.36706000002</v>
      </c>
      <c r="J206" s="29">
        <f>+I206*(1+'Tax Tables'!$C$10)</f>
        <v>171824.12513532004</v>
      </c>
      <c r="K206" s="29">
        <f>+J206*(1+'Tax Tables'!$C$10)</f>
        <v>175604.25588829708</v>
      </c>
      <c r="L206" s="29">
        <f>+K206*(1+'Tax Tables'!$C$10)</f>
        <v>179467.54951783962</v>
      </c>
      <c r="M206" s="29">
        <f>+L206*(1+'Tax Tables'!$C$10)</f>
        <v>183415.83560723209</v>
      </c>
      <c r="N206" s="29">
        <f>+M206*(1+'Tax Tables'!$C$10)</f>
        <v>187450.98399059119</v>
      </c>
      <c r="O206" s="29">
        <f>+N206*(1+'Tax Tables'!$C$10)</f>
        <v>191574.9056383842</v>
      </c>
      <c r="P206" s="29">
        <f>+O206*(1+'Tax Tables'!$C$10)</f>
        <v>195789.55356242866</v>
      </c>
      <c r="Q206" s="29">
        <f>+P206*(1+'Tax Tables'!$C$10)</f>
        <v>200096.9237408021</v>
      </c>
      <c r="R206" s="29">
        <f>+Q206*(1+'Tax Tables'!$C$10)</f>
        <v>204499.05606309976</v>
      </c>
      <c r="S206" s="29">
        <f>+R206*(1+'Tax Tables'!$C$10)</f>
        <v>208998.03529648797</v>
      </c>
      <c r="T206" s="29">
        <f>+S206*(1+'Tax Tables'!$C$10)</f>
        <v>213595.99207301071</v>
      </c>
      <c r="U206" s="29">
        <f>+T206*(1+'Tax Tables'!$C$10)</f>
        <v>218295.10389861694</v>
      </c>
      <c r="V206" s="29">
        <f>+U206*(1+'Tax Tables'!$C$10)</f>
        <v>223097.59618438652</v>
      </c>
      <c r="W206" s="29">
        <f>+V206*(1+'Tax Tables'!$C$10)</f>
        <v>228005.74330044302</v>
      </c>
      <c r="X206" s="29">
        <f>+W206*(1+'Tax Tables'!$C$10)</f>
        <v>233021.86965305277</v>
      </c>
      <c r="Y206" s="29">
        <f>+X206*(1+'Tax Tables'!$C$10)</f>
        <v>238148.35078541993</v>
      </c>
      <c r="Z206" s="29">
        <f>+Y206*(1+'Tax Tables'!$C$10)</f>
        <v>243387.61450269917</v>
      </c>
      <c r="AA206" s="29">
        <f>+Z206*(1+'Tax Tables'!$C$10)</f>
        <v>248742.14202175857</v>
      </c>
      <c r="AB206" s="29">
        <f>+AA206*(1+'Tax Tables'!$C$10)</f>
        <v>254214.46914623727</v>
      </c>
      <c r="AC206" s="29">
        <f>+AB206*(1+'Tax Tables'!$C$10)</f>
        <v>259807.1874674545</v>
      </c>
      <c r="AD206" s="29">
        <f>+AC206*(1+'Tax Tables'!$C$10)</f>
        <v>265522.94559173851</v>
      </c>
      <c r="AE206" s="29">
        <f>+AD206*(1+'Tax Tables'!$C$10)</f>
        <v>271364.45039475674</v>
      </c>
      <c r="AF206" s="29">
        <f>+AE206*(1+'Tax Tables'!$C$10)</f>
        <v>277334.46830344142</v>
      </c>
      <c r="AG206" s="29">
        <f>+AF206*(1+'Tax Tables'!$C$10)</f>
        <v>283435.82660611713</v>
      </c>
      <c r="AH206" s="29">
        <f>+AG206*(1+'Tax Tables'!$C$10)</f>
        <v>289671.41479145171</v>
      </c>
      <c r="AI206" s="29">
        <f>+AH206*(1+'Tax Tables'!$C$10)</f>
        <v>296044.18591686367</v>
      </c>
      <c r="AJ206" s="29">
        <f>+AI206*(1+'Tax Tables'!$C$10)</f>
        <v>302557.15800703468</v>
      </c>
      <c r="AK206" s="29">
        <f>+AJ206*(1+'Tax Tables'!$C$10)</f>
        <v>309213.41548318946</v>
      </c>
      <c r="AL206" s="29">
        <f>+AK206*(1+'Tax Tables'!$C$10)</f>
        <v>316016.11062381964</v>
      </c>
      <c r="AM206" s="29">
        <f>+AL206*(1+'Tax Tables'!$C$10)</f>
        <v>322968.46505754365</v>
      </c>
      <c r="AN206" s="29">
        <f>+AM206*(1+'Tax Tables'!$C$10)</f>
        <v>330073.7712888096</v>
      </c>
      <c r="AO206" s="29">
        <f>+AN206*(1+'Tax Tables'!$C$10)</f>
        <v>337335.3942571634</v>
      </c>
      <c r="AP206" s="29">
        <f>+AO206*(1+'Tax Tables'!$C$10)</f>
        <v>344756.772930821</v>
      </c>
      <c r="AQ206" s="29">
        <f>+AP206*(1+'Tax Tables'!$C$10)</f>
        <v>352341.42193529906</v>
      </c>
      <c r="AR206" s="29">
        <f>+AQ206*(1+'Tax Tables'!$C$10)</f>
        <v>360092.93321787566</v>
      </c>
      <c r="AS206" s="29">
        <f>+AR206*(1+'Tax Tables'!$C$10)</f>
        <v>368014.97774866893</v>
      </c>
      <c r="AT206" s="29"/>
    </row>
    <row r="207" spans="3:46" ht="15.6" hidden="1">
      <c r="C207" s="902"/>
      <c r="D207" s="8" t="s">
        <v>1475</v>
      </c>
      <c r="E207" s="225">
        <v>400000</v>
      </c>
      <c r="F207" s="252">
        <v>200000</v>
      </c>
      <c r="G207" s="29">
        <f>+F207*(1+'Tax Tables'!$C$10)</f>
        <v>204400</v>
      </c>
      <c r="H207" s="29">
        <f>+G207*(1+'Tax Tables'!$C$10)</f>
        <v>208896.80000000002</v>
      </c>
      <c r="I207" s="29">
        <f>+H207*(1+'Tax Tables'!$C$10)</f>
        <v>213492.52960000001</v>
      </c>
      <c r="J207" s="29">
        <f>+I207*(1+'Tax Tables'!$C$10)</f>
        <v>218189.36525120001</v>
      </c>
      <c r="K207" s="29">
        <f>+J207*(1+'Tax Tables'!$C$10)</f>
        <v>222989.53128672641</v>
      </c>
      <c r="L207" s="29">
        <f>+K207*(1+'Tax Tables'!$C$10)</f>
        <v>227895.30097503439</v>
      </c>
      <c r="M207" s="29">
        <f>+L207*(1+'Tax Tables'!$C$10)</f>
        <v>232908.99759648516</v>
      </c>
      <c r="N207" s="29">
        <f>+M207*(1+'Tax Tables'!$C$10)</f>
        <v>238032.99554360783</v>
      </c>
      <c r="O207" s="29">
        <f>+N207*(1+'Tax Tables'!$C$10)</f>
        <v>243269.72144556721</v>
      </c>
      <c r="P207" s="29">
        <f>+O207*(1+'Tax Tables'!$C$10)</f>
        <v>248621.6553173697</v>
      </c>
      <c r="Q207" s="29">
        <f>+P207*(1+'Tax Tables'!$C$10)</f>
        <v>254091.33173435184</v>
      </c>
      <c r="R207" s="29">
        <f>+Q207*(1+'Tax Tables'!$C$10)</f>
        <v>259681.3410325076</v>
      </c>
      <c r="S207" s="29">
        <f>+R207*(1+'Tax Tables'!$C$10)</f>
        <v>265394.33053522278</v>
      </c>
      <c r="T207" s="29">
        <f>+S207*(1+'Tax Tables'!$C$10)</f>
        <v>271233.00580699771</v>
      </c>
      <c r="U207" s="29">
        <f>+T207*(1+'Tax Tables'!$C$10)</f>
        <v>277200.13193475164</v>
      </c>
      <c r="V207" s="29">
        <f>+U207*(1+'Tax Tables'!$C$10)</f>
        <v>283298.5348373162</v>
      </c>
      <c r="W207" s="29">
        <f>+V207*(1+'Tax Tables'!$C$10)</f>
        <v>289531.10260373715</v>
      </c>
      <c r="X207" s="29">
        <f>+W207*(1+'Tax Tables'!$C$10)</f>
        <v>295900.78686101938</v>
      </c>
      <c r="Y207" s="29">
        <f>+X207*(1+'Tax Tables'!$C$10)</f>
        <v>302410.60417196184</v>
      </c>
      <c r="Z207" s="29">
        <f>+Y207*(1+'Tax Tables'!$C$10)</f>
        <v>309063.63746374502</v>
      </c>
      <c r="AA207" s="29">
        <f>+Z207*(1+'Tax Tables'!$C$10)</f>
        <v>315863.03748794744</v>
      </c>
      <c r="AB207" s="29">
        <f>+AA207*(1+'Tax Tables'!$C$10)</f>
        <v>322812.02431268228</v>
      </c>
      <c r="AC207" s="29">
        <f>+AB207*(1+'Tax Tables'!$C$10)</f>
        <v>329913.88884756132</v>
      </c>
      <c r="AD207" s="29">
        <f>+AC207*(1+'Tax Tables'!$C$10)</f>
        <v>337171.99440220767</v>
      </c>
      <c r="AE207" s="29">
        <f>+AD207*(1+'Tax Tables'!$C$10)</f>
        <v>344589.77827905625</v>
      </c>
      <c r="AF207" s="29">
        <f>+AE207*(1+'Tax Tables'!$C$10)</f>
        <v>352170.75340119551</v>
      </c>
      <c r="AG207" s="29">
        <f>+AF207*(1+'Tax Tables'!$C$10)</f>
        <v>359918.50997602183</v>
      </c>
      <c r="AH207" s="29">
        <f>+AG207*(1+'Tax Tables'!$C$10)</f>
        <v>367836.71719549433</v>
      </c>
      <c r="AI207" s="29">
        <f>+AH207*(1+'Tax Tables'!$C$10)</f>
        <v>375929.1249737952</v>
      </c>
      <c r="AJ207" s="29">
        <f>+AI207*(1+'Tax Tables'!$C$10)</f>
        <v>384199.56572321872</v>
      </c>
      <c r="AK207" s="29">
        <f>+AJ207*(1+'Tax Tables'!$C$10)</f>
        <v>392651.95616912952</v>
      </c>
      <c r="AL207" s="29">
        <f>+AK207*(1+'Tax Tables'!$C$10)</f>
        <v>401290.29920485039</v>
      </c>
      <c r="AM207" s="29">
        <f>+AL207*(1+'Tax Tables'!$C$10)</f>
        <v>410118.6857873571</v>
      </c>
      <c r="AN207" s="29">
        <f>+AM207*(1+'Tax Tables'!$C$10)</f>
        <v>419141.29687467898</v>
      </c>
      <c r="AO207" s="29">
        <f>+AN207*(1+'Tax Tables'!$C$10)</f>
        <v>428362.40540592192</v>
      </c>
      <c r="AP207" s="29">
        <f>+AO207*(1+'Tax Tables'!$C$10)</f>
        <v>437786.37832485221</v>
      </c>
      <c r="AQ207" s="29">
        <f>+AP207*(1+'Tax Tables'!$C$10)</f>
        <v>447417.67864799895</v>
      </c>
      <c r="AR207" s="29">
        <f>+AQ207*(1+'Tax Tables'!$C$10)</f>
        <v>457260.86757825495</v>
      </c>
      <c r="AS207" s="29">
        <f>+AR207*(1+'Tax Tables'!$C$10)</f>
        <v>467320.60666497657</v>
      </c>
      <c r="AT207" s="29"/>
    </row>
    <row r="208" spans="3:46" ht="15.6" hidden="1">
      <c r="C208" s="902"/>
      <c r="D208" s="8" t="s">
        <v>1476</v>
      </c>
      <c r="E208" s="226">
        <v>0.35</v>
      </c>
      <c r="F208" s="253">
        <v>0.32</v>
      </c>
      <c r="G208" s="61">
        <f>+F208</f>
        <v>0.32</v>
      </c>
      <c r="H208" s="61">
        <f t="shared" ref="H208:AS208" si="133">+G208</f>
        <v>0.32</v>
      </c>
      <c r="I208" s="61">
        <f t="shared" si="133"/>
        <v>0.32</v>
      </c>
      <c r="J208" s="61">
        <f t="shared" si="133"/>
        <v>0.32</v>
      </c>
      <c r="K208" s="61">
        <f t="shared" si="133"/>
        <v>0.32</v>
      </c>
      <c r="L208" s="61">
        <f t="shared" si="133"/>
        <v>0.32</v>
      </c>
      <c r="M208" s="61">
        <f t="shared" si="133"/>
        <v>0.32</v>
      </c>
      <c r="N208" s="61">
        <f t="shared" si="133"/>
        <v>0.32</v>
      </c>
      <c r="O208" s="61">
        <f t="shared" si="133"/>
        <v>0.32</v>
      </c>
      <c r="P208" s="61">
        <f t="shared" si="133"/>
        <v>0.32</v>
      </c>
      <c r="Q208" s="61">
        <f t="shared" si="133"/>
        <v>0.32</v>
      </c>
      <c r="R208" s="61">
        <f t="shared" si="133"/>
        <v>0.32</v>
      </c>
      <c r="S208" s="61">
        <f t="shared" si="133"/>
        <v>0.32</v>
      </c>
      <c r="T208" s="61">
        <f t="shared" si="133"/>
        <v>0.32</v>
      </c>
      <c r="U208" s="61">
        <f t="shared" si="133"/>
        <v>0.32</v>
      </c>
      <c r="V208" s="61">
        <f t="shared" si="133"/>
        <v>0.32</v>
      </c>
      <c r="W208" s="61">
        <f t="shared" si="133"/>
        <v>0.32</v>
      </c>
      <c r="X208" s="61">
        <f t="shared" si="133"/>
        <v>0.32</v>
      </c>
      <c r="Y208" s="61">
        <f t="shared" si="133"/>
        <v>0.32</v>
      </c>
      <c r="Z208" s="61">
        <f t="shared" si="133"/>
        <v>0.32</v>
      </c>
      <c r="AA208" s="61">
        <f t="shared" si="133"/>
        <v>0.32</v>
      </c>
      <c r="AB208" s="61">
        <f t="shared" si="133"/>
        <v>0.32</v>
      </c>
      <c r="AC208" s="61">
        <f t="shared" si="133"/>
        <v>0.32</v>
      </c>
      <c r="AD208" s="61">
        <f t="shared" si="133"/>
        <v>0.32</v>
      </c>
      <c r="AE208" s="61">
        <f t="shared" si="133"/>
        <v>0.32</v>
      </c>
      <c r="AF208" s="61">
        <f t="shared" si="133"/>
        <v>0.32</v>
      </c>
      <c r="AG208" s="61">
        <f t="shared" si="133"/>
        <v>0.32</v>
      </c>
      <c r="AH208" s="61">
        <f t="shared" si="133"/>
        <v>0.32</v>
      </c>
      <c r="AI208" s="61">
        <f t="shared" si="133"/>
        <v>0.32</v>
      </c>
      <c r="AJ208" s="61">
        <f t="shared" si="133"/>
        <v>0.32</v>
      </c>
      <c r="AK208" s="61">
        <f t="shared" si="133"/>
        <v>0.32</v>
      </c>
      <c r="AL208" s="61">
        <f t="shared" si="133"/>
        <v>0.32</v>
      </c>
      <c r="AM208" s="61">
        <f t="shared" si="133"/>
        <v>0.32</v>
      </c>
      <c r="AN208" s="61">
        <f t="shared" si="133"/>
        <v>0.32</v>
      </c>
      <c r="AO208" s="61">
        <f t="shared" si="133"/>
        <v>0.32</v>
      </c>
      <c r="AP208" s="61">
        <f t="shared" si="133"/>
        <v>0.32</v>
      </c>
      <c r="AQ208" s="61">
        <f t="shared" si="133"/>
        <v>0.32</v>
      </c>
      <c r="AR208" s="61">
        <f t="shared" si="133"/>
        <v>0.32</v>
      </c>
      <c r="AS208" s="61">
        <f t="shared" si="133"/>
        <v>0.32</v>
      </c>
      <c r="AT208" s="29"/>
    </row>
    <row r="209" spans="2:47" hidden="1">
      <c r="C209" s="902"/>
      <c r="D209" s="8" t="s">
        <v>1414</v>
      </c>
      <c r="E209" s="29">
        <f t="shared" ref="E209:AS209" si="134">(+E207-E206)*E208</f>
        <v>577.5</v>
      </c>
      <c r="F209" s="29">
        <f t="shared" si="134"/>
        <v>13600</v>
      </c>
      <c r="G209" s="29">
        <f t="shared" si="134"/>
        <v>13899.2</v>
      </c>
      <c r="H209" s="29">
        <f t="shared" si="134"/>
        <v>14204.982400000003</v>
      </c>
      <c r="I209" s="29">
        <f t="shared" si="134"/>
        <v>14517.492012799998</v>
      </c>
      <c r="J209" s="29">
        <f t="shared" si="134"/>
        <v>14836.876837081592</v>
      </c>
      <c r="K209" s="29">
        <f t="shared" si="134"/>
        <v>15163.288127497388</v>
      </c>
      <c r="L209" s="29">
        <f t="shared" si="134"/>
        <v>15496.880466302326</v>
      </c>
      <c r="M209" s="29">
        <f t="shared" si="134"/>
        <v>15837.811836560984</v>
      </c>
      <c r="N209" s="29">
        <f t="shared" si="134"/>
        <v>16186.243696965324</v>
      </c>
      <c r="O209" s="29">
        <f t="shared" si="134"/>
        <v>16542.341058298563</v>
      </c>
      <c r="P209" s="29">
        <f t="shared" si="134"/>
        <v>16906.272561581136</v>
      </c>
      <c r="Q209" s="29">
        <f t="shared" si="134"/>
        <v>17278.210557935919</v>
      </c>
      <c r="R209" s="29">
        <f t="shared" si="134"/>
        <v>17658.331190210505</v>
      </c>
      <c r="S209" s="29">
        <f t="shared" si="134"/>
        <v>18046.814476395139</v>
      </c>
      <c r="T209" s="29">
        <f t="shared" si="134"/>
        <v>18443.844394875839</v>
      </c>
      <c r="U209" s="29">
        <f t="shared" si="134"/>
        <v>18849.608971563102</v>
      </c>
      <c r="V209" s="29">
        <f t="shared" si="134"/>
        <v>19264.300368937496</v>
      </c>
      <c r="W209" s="29">
        <f t="shared" si="134"/>
        <v>19688.11497705412</v>
      </c>
      <c r="X209" s="29">
        <f t="shared" si="134"/>
        <v>20121.253506549318</v>
      </c>
      <c r="Y209" s="29">
        <f t="shared" si="134"/>
        <v>20563.921083693411</v>
      </c>
      <c r="Z209" s="29">
        <f t="shared" si="134"/>
        <v>21016.327347534672</v>
      </c>
      <c r="AA209" s="29">
        <f t="shared" si="134"/>
        <v>21478.686549180438</v>
      </c>
      <c r="AB209" s="29">
        <f t="shared" si="134"/>
        <v>21951.2176532624</v>
      </c>
      <c r="AC209" s="29">
        <f t="shared" si="134"/>
        <v>22434.144441634184</v>
      </c>
      <c r="AD209" s="29">
        <f t="shared" si="134"/>
        <v>22927.695619350132</v>
      </c>
      <c r="AE209" s="29">
        <f t="shared" si="134"/>
        <v>23432.104922975843</v>
      </c>
      <c r="AF209" s="29">
        <f t="shared" si="134"/>
        <v>23947.611231281309</v>
      </c>
      <c r="AG209" s="29">
        <f t="shared" si="134"/>
        <v>24474.458678369505</v>
      </c>
      <c r="AH209" s="29">
        <f t="shared" si="134"/>
        <v>25012.896769293642</v>
      </c>
      <c r="AI209" s="29">
        <f t="shared" si="134"/>
        <v>25563.180498218091</v>
      </c>
      <c r="AJ209" s="29">
        <f t="shared" si="134"/>
        <v>26125.570469178892</v>
      </c>
      <c r="AK209" s="29">
        <f t="shared" si="134"/>
        <v>26700.333019500824</v>
      </c>
      <c r="AL209" s="29">
        <f t="shared" si="134"/>
        <v>27287.740345929844</v>
      </c>
      <c r="AM209" s="29">
        <f t="shared" si="134"/>
        <v>27888.070633540305</v>
      </c>
      <c r="AN209" s="29">
        <f t="shared" si="134"/>
        <v>28501.608187478203</v>
      </c>
      <c r="AO209" s="29">
        <f t="shared" si="134"/>
        <v>29128.643567602729</v>
      </c>
      <c r="AP209" s="29">
        <f t="shared" si="134"/>
        <v>29769.473726089989</v>
      </c>
      <c r="AQ209" s="29">
        <f t="shared" si="134"/>
        <v>30424.402148063964</v>
      </c>
      <c r="AR209" s="29">
        <f t="shared" si="134"/>
        <v>31093.738995321375</v>
      </c>
      <c r="AS209" s="29">
        <f t="shared" si="134"/>
        <v>31777.801253218448</v>
      </c>
      <c r="AT209" s="61"/>
    </row>
    <row r="210" spans="2:47" hidden="1">
      <c r="C210" s="903"/>
      <c r="D210" s="8"/>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row>
    <row r="211" spans="2:47" hidden="1">
      <c r="C211" s="902"/>
      <c r="D211" s="8" t="s">
        <v>1474</v>
      </c>
      <c r="E211" s="29">
        <f>+E202</f>
        <v>398350</v>
      </c>
      <c r="F211" s="29">
        <f>+F207</f>
        <v>200000</v>
      </c>
      <c r="G211" s="29">
        <f>+F211*(1+'Tax Tables'!$C$10)</f>
        <v>204400</v>
      </c>
      <c r="H211" s="29">
        <f>+G211*(1+'Tax Tables'!$C$10)</f>
        <v>208896.80000000002</v>
      </c>
      <c r="I211" s="29">
        <f>+H211*(1+'Tax Tables'!$C$10)</f>
        <v>213492.52960000001</v>
      </c>
      <c r="J211" s="29">
        <f>+I211*(1+'Tax Tables'!$C$10)</f>
        <v>218189.36525120001</v>
      </c>
      <c r="K211" s="29">
        <f>+J211*(1+'Tax Tables'!$C$10)</f>
        <v>222989.53128672641</v>
      </c>
      <c r="L211" s="29">
        <f>+K211*(1+'Tax Tables'!$C$10)</f>
        <v>227895.30097503439</v>
      </c>
      <c r="M211" s="29">
        <f>+L211*(1+'Tax Tables'!$C$10)</f>
        <v>232908.99759648516</v>
      </c>
      <c r="N211" s="29">
        <f>+M211*(1+'Tax Tables'!$C$10)</f>
        <v>238032.99554360783</v>
      </c>
      <c r="O211" s="29">
        <f>+N211*(1+'Tax Tables'!$C$10)</f>
        <v>243269.72144556721</v>
      </c>
      <c r="P211" s="29">
        <f>+O211*(1+'Tax Tables'!$C$10)</f>
        <v>248621.6553173697</v>
      </c>
      <c r="Q211" s="29">
        <f>+P211*(1+'Tax Tables'!$C$10)</f>
        <v>254091.33173435184</v>
      </c>
      <c r="R211" s="29">
        <f>+Q211*(1+'Tax Tables'!$C$10)</f>
        <v>259681.3410325076</v>
      </c>
      <c r="S211" s="29">
        <f>+R211*(1+'Tax Tables'!$C$10)</f>
        <v>265394.33053522278</v>
      </c>
      <c r="T211" s="29">
        <f>+S211*(1+'Tax Tables'!$C$10)</f>
        <v>271233.00580699771</v>
      </c>
      <c r="U211" s="29">
        <f>+T211*(1+'Tax Tables'!$C$10)</f>
        <v>277200.13193475164</v>
      </c>
      <c r="V211" s="29">
        <f>+U211*(1+'Tax Tables'!$C$10)</f>
        <v>283298.5348373162</v>
      </c>
      <c r="W211" s="29">
        <f>+V211*(1+'Tax Tables'!$C$10)</f>
        <v>289531.10260373715</v>
      </c>
      <c r="X211" s="29">
        <f>+W211*(1+'Tax Tables'!$C$10)</f>
        <v>295900.78686101938</v>
      </c>
      <c r="Y211" s="29">
        <f>+X211*(1+'Tax Tables'!$C$10)</f>
        <v>302410.60417196184</v>
      </c>
      <c r="Z211" s="29">
        <f>+Y211*(1+'Tax Tables'!$C$10)</f>
        <v>309063.63746374502</v>
      </c>
      <c r="AA211" s="29">
        <f>+Z211*(1+'Tax Tables'!$C$10)</f>
        <v>315863.03748794744</v>
      </c>
      <c r="AB211" s="29">
        <f>+AA211*(1+'Tax Tables'!$C$10)</f>
        <v>322812.02431268228</v>
      </c>
      <c r="AC211" s="29">
        <f>+AB211*(1+'Tax Tables'!$C$10)</f>
        <v>329913.88884756132</v>
      </c>
      <c r="AD211" s="29">
        <f>+AC211*(1+'Tax Tables'!$C$10)</f>
        <v>337171.99440220767</v>
      </c>
      <c r="AE211" s="29">
        <f>+AD211*(1+'Tax Tables'!$C$10)</f>
        <v>344589.77827905625</v>
      </c>
      <c r="AF211" s="29">
        <f>+AE211*(1+'Tax Tables'!$C$10)</f>
        <v>352170.75340119551</v>
      </c>
      <c r="AG211" s="29">
        <f>+AF211*(1+'Tax Tables'!$C$10)</f>
        <v>359918.50997602183</v>
      </c>
      <c r="AH211" s="29">
        <f>+AG211*(1+'Tax Tables'!$C$10)</f>
        <v>367836.71719549433</v>
      </c>
      <c r="AI211" s="29">
        <f>+AH211*(1+'Tax Tables'!$C$10)</f>
        <v>375929.1249737952</v>
      </c>
      <c r="AJ211" s="29">
        <f>+AI211*(1+'Tax Tables'!$C$10)</f>
        <v>384199.56572321872</v>
      </c>
      <c r="AK211" s="29">
        <f>+AJ211*(1+'Tax Tables'!$C$10)</f>
        <v>392651.95616912952</v>
      </c>
      <c r="AL211" s="29">
        <f>+AK211*(1+'Tax Tables'!$C$10)</f>
        <v>401290.29920485039</v>
      </c>
      <c r="AM211" s="29">
        <f>+AL211*(1+'Tax Tables'!$C$10)</f>
        <v>410118.6857873571</v>
      </c>
      <c r="AN211" s="29">
        <f>+AM211*(1+'Tax Tables'!$C$10)</f>
        <v>419141.29687467898</v>
      </c>
      <c r="AO211" s="29">
        <f>+AN211*(1+'Tax Tables'!$C$10)</f>
        <v>428362.40540592192</v>
      </c>
      <c r="AP211" s="29">
        <f>+AO211*(1+'Tax Tables'!$C$10)</f>
        <v>437786.37832485221</v>
      </c>
      <c r="AQ211" s="29">
        <f>+AP211*(1+'Tax Tables'!$C$10)</f>
        <v>447417.67864799895</v>
      </c>
      <c r="AR211" s="29">
        <f>+AQ211*(1+'Tax Tables'!$C$10)</f>
        <v>457260.86757825495</v>
      </c>
      <c r="AS211" s="29">
        <f>+AR211*(1+'Tax Tables'!$C$10)</f>
        <v>467320.60666497657</v>
      </c>
      <c r="AT211" s="29"/>
    </row>
    <row r="212" spans="2:47" ht="15.6" hidden="1">
      <c r="B212" s="89"/>
      <c r="C212" s="902"/>
      <c r="D212" s="8" t="s">
        <v>1476</v>
      </c>
      <c r="E212" s="227">
        <v>0.39600000000000002</v>
      </c>
      <c r="F212" s="254">
        <v>0.35</v>
      </c>
      <c r="G212" s="61">
        <f>+F212</f>
        <v>0.35</v>
      </c>
      <c r="H212" s="61">
        <f t="shared" ref="H212:AS212" si="135">+G212</f>
        <v>0.35</v>
      </c>
      <c r="I212" s="61">
        <f t="shared" si="135"/>
        <v>0.35</v>
      </c>
      <c r="J212" s="61">
        <f t="shared" si="135"/>
        <v>0.35</v>
      </c>
      <c r="K212" s="61">
        <f t="shared" si="135"/>
        <v>0.35</v>
      </c>
      <c r="L212" s="61">
        <f t="shared" si="135"/>
        <v>0.35</v>
      </c>
      <c r="M212" s="61">
        <f t="shared" si="135"/>
        <v>0.35</v>
      </c>
      <c r="N212" s="61">
        <f t="shared" si="135"/>
        <v>0.35</v>
      </c>
      <c r="O212" s="61">
        <f t="shared" si="135"/>
        <v>0.35</v>
      </c>
      <c r="P212" s="61">
        <f t="shared" si="135"/>
        <v>0.35</v>
      </c>
      <c r="Q212" s="61">
        <f t="shared" si="135"/>
        <v>0.35</v>
      </c>
      <c r="R212" s="61">
        <f t="shared" si="135"/>
        <v>0.35</v>
      </c>
      <c r="S212" s="61">
        <f t="shared" si="135"/>
        <v>0.35</v>
      </c>
      <c r="T212" s="61">
        <f t="shared" si="135"/>
        <v>0.35</v>
      </c>
      <c r="U212" s="61">
        <f t="shared" si="135"/>
        <v>0.35</v>
      </c>
      <c r="V212" s="61">
        <f t="shared" si="135"/>
        <v>0.35</v>
      </c>
      <c r="W212" s="61">
        <f t="shared" si="135"/>
        <v>0.35</v>
      </c>
      <c r="X212" s="61">
        <f t="shared" si="135"/>
        <v>0.35</v>
      </c>
      <c r="Y212" s="61">
        <f t="shared" si="135"/>
        <v>0.35</v>
      </c>
      <c r="Z212" s="61">
        <f t="shared" si="135"/>
        <v>0.35</v>
      </c>
      <c r="AA212" s="61">
        <f t="shared" si="135"/>
        <v>0.35</v>
      </c>
      <c r="AB212" s="61">
        <f t="shared" si="135"/>
        <v>0.35</v>
      </c>
      <c r="AC212" s="61">
        <f t="shared" si="135"/>
        <v>0.35</v>
      </c>
      <c r="AD212" s="61">
        <f t="shared" si="135"/>
        <v>0.35</v>
      </c>
      <c r="AE212" s="61">
        <f t="shared" si="135"/>
        <v>0.35</v>
      </c>
      <c r="AF212" s="61">
        <f t="shared" si="135"/>
        <v>0.35</v>
      </c>
      <c r="AG212" s="61">
        <f t="shared" si="135"/>
        <v>0.35</v>
      </c>
      <c r="AH212" s="61">
        <f t="shared" si="135"/>
        <v>0.35</v>
      </c>
      <c r="AI212" s="61">
        <f t="shared" si="135"/>
        <v>0.35</v>
      </c>
      <c r="AJ212" s="61">
        <f t="shared" si="135"/>
        <v>0.35</v>
      </c>
      <c r="AK212" s="61">
        <f t="shared" si="135"/>
        <v>0.35</v>
      </c>
      <c r="AL212" s="61">
        <f t="shared" si="135"/>
        <v>0.35</v>
      </c>
      <c r="AM212" s="61">
        <f t="shared" si="135"/>
        <v>0.35</v>
      </c>
      <c r="AN212" s="61">
        <f t="shared" si="135"/>
        <v>0.35</v>
      </c>
      <c r="AO212" s="61">
        <f t="shared" si="135"/>
        <v>0.35</v>
      </c>
      <c r="AP212" s="61">
        <f t="shared" si="135"/>
        <v>0.35</v>
      </c>
      <c r="AQ212" s="61">
        <f t="shared" si="135"/>
        <v>0.35</v>
      </c>
      <c r="AR212" s="61">
        <f t="shared" si="135"/>
        <v>0.35</v>
      </c>
      <c r="AS212" s="61">
        <f t="shared" si="135"/>
        <v>0.35</v>
      </c>
      <c r="AT212" s="29"/>
    </row>
    <row r="213" spans="2:47" ht="15.6">
      <c r="B213" s="319" t="s">
        <v>1959</v>
      </c>
      <c r="C213" s="387"/>
      <c r="D213" s="8"/>
      <c r="E213" s="227"/>
      <c r="F213" s="289"/>
      <c r="G213" s="61"/>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c r="AE213" s="61"/>
      <c r="AF213" s="61"/>
      <c r="AG213" s="61"/>
      <c r="AH213" s="61"/>
      <c r="AI213" s="61"/>
      <c r="AJ213" s="61"/>
      <c r="AK213" s="61"/>
      <c r="AL213" s="61"/>
      <c r="AM213" s="61"/>
      <c r="AN213" s="61"/>
      <c r="AO213" s="61"/>
      <c r="AP213" s="61"/>
      <c r="AQ213" s="61"/>
      <c r="AR213" s="61"/>
      <c r="AS213" s="61"/>
      <c r="AT213" s="29"/>
    </row>
    <row r="214" spans="2:47" ht="15.6">
      <c r="D214" s="232"/>
      <c r="E214" s="227"/>
      <c r="F214" s="289"/>
      <c r="G214" s="61"/>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c r="AE214" s="61"/>
      <c r="AF214" s="61"/>
      <c r="AG214" s="61"/>
      <c r="AH214" s="61"/>
      <c r="AI214" s="61"/>
      <c r="AJ214" s="61"/>
      <c r="AK214" s="61"/>
      <c r="AL214" s="61"/>
      <c r="AM214" s="61"/>
      <c r="AN214" s="61"/>
      <c r="AO214" s="61"/>
      <c r="AP214" s="61"/>
      <c r="AQ214" s="61"/>
      <c r="AR214" s="61"/>
      <c r="AS214" s="61"/>
      <c r="AT214" s="61"/>
      <c r="AU214" s="1398" t="s">
        <v>1778</v>
      </c>
    </row>
    <row r="215" spans="2:47" ht="15.6">
      <c r="C215" s="233" t="s">
        <v>1981</v>
      </c>
      <c r="D215" s="232"/>
      <c r="AT215" s="61"/>
      <c r="AU215" s="1398" t="s">
        <v>1779</v>
      </c>
    </row>
    <row r="216" spans="2:47" ht="16.2" customHeight="1" thickBot="1">
      <c r="B216" s="866" t="s">
        <v>1049</v>
      </c>
      <c r="C216" s="529">
        <f>+Tax_Yr_P</f>
        <v>2018</v>
      </c>
      <c r="D216" s="529">
        <f>+Tax_Yr_C</f>
        <v>2019</v>
      </c>
      <c r="E216" s="706" t="str">
        <f>"Memo " &amp; Tax_Rates_Year-1</f>
        <v>Memo 2018</v>
      </c>
      <c r="F216" s="1386" t="s">
        <v>1766</v>
      </c>
      <c r="G216" s="678" t="str">
        <f>IF(Tax_Rates_Alt="y",IF(Setup!$I$233='Tax Tables'!G$1,"Rate Chg","."),".")</f>
        <v>.</v>
      </c>
      <c r="H216" s="678" t="str">
        <f>IF(Tax_Rates_Alt="y",IF(Setup!$I$233='Tax Tables'!H$1,"Rate Chg","."),".")</f>
        <v>.</v>
      </c>
      <c r="I216" s="678" t="str">
        <f>IF(Tax_Rates_Alt="y",IF(Setup!$I$233='Tax Tables'!I$1,"Rate Chg","."),".")</f>
        <v>.</v>
      </c>
      <c r="J216" s="678" t="str">
        <f>IF(Tax_Rates_Alt="y",IF(Setup!$I$233='Tax Tables'!J$1,"Rate Chg","."),".")</f>
        <v>.</v>
      </c>
      <c r="K216" s="678" t="str">
        <f>IF(Tax_Rates_Alt="y",IF(Setup!$I$233='Tax Tables'!K$1,"Rate Chg","."),".")</f>
        <v>.</v>
      </c>
      <c r="L216" s="678" t="str">
        <f>IF(Tax_Rates_Alt="y",IF(Setup!$I$233='Tax Tables'!L$1,"Rate Chg","."),".")</f>
        <v>.</v>
      </c>
      <c r="M216" s="678" t="str">
        <f>IF(Tax_Rates_Alt="y",IF(Setup!$I$233='Tax Tables'!M$1,"Rate Chg","."),".")</f>
        <v>.</v>
      </c>
      <c r="N216" s="678" t="str">
        <f>IF(Tax_Rates_Alt="y",IF(Setup!$I$233='Tax Tables'!N$1,"Rate Chg","."),".")</f>
        <v>.</v>
      </c>
      <c r="O216" s="678" t="str">
        <f>IF(Tax_Rates_Alt="y",IF(Setup!$I$233='Tax Tables'!O$1,"Rate Chg","."),".")</f>
        <v>.</v>
      </c>
      <c r="P216" s="678" t="str">
        <f>IF(Tax_Rates_Alt="y",IF(Setup!$I$233='Tax Tables'!P$1,"Rate Chg","."),".")</f>
        <v>.</v>
      </c>
      <c r="Q216" s="678" t="str">
        <f>IF(Tax_Rates_Alt="y",IF(Setup!$I$233='Tax Tables'!Q$1,"Rate Chg","."),".")</f>
        <v>.</v>
      </c>
      <c r="R216" s="678" t="str">
        <f>IF(Tax_Rates_Alt="y",IF(Setup!$I$233='Tax Tables'!R$1,"Rate Chg","."),".")</f>
        <v>.</v>
      </c>
      <c r="S216" s="678" t="str">
        <f>IF(Tax_Rates_Alt="y",IF(Setup!$I$233='Tax Tables'!S$1,"Rate Chg","."),".")</f>
        <v>.</v>
      </c>
      <c r="T216" s="678" t="str">
        <f>IF(Tax_Rates_Alt="y",IF(Setup!$I$233='Tax Tables'!T$1,"Rate Chg","."),".")</f>
        <v>.</v>
      </c>
      <c r="U216" s="678" t="str">
        <f>IF(Tax_Rates_Alt="y",IF(Setup!$I$233='Tax Tables'!U$1,"Rate Chg","."),".")</f>
        <v>.</v>
      </c>
      <c r="V216" s="678" t="str">
        <f>IF(Tax_Rates_Alt="y",IF(Setup!$I$233='Tax Tables'!V$1,"Rate Chg","."),".")</f>
        <v>.</v>
      </c>
      <c r="W216" s="678" t="str">
        <f>IF(Tax_Rates_Alt="y",IF(Setup!$I$233='Tax Tables'!W$1,"Rate Chg","."),".")</f>
        <v>.</v>
      </c>
      <c r="X216" s="678" t="str">
        <f>IF(Tax_Rates_Alt="y",IF(Setup!$I$233='Tax Tables'!X$1,"Rate Chg","."),".")</f>
        <v>.</v>
      </c>
      <c r="Y216" s="678" t="str">
        <f>IF(Tax_Rates_Alt="y",IF(Setup!$I$233='Tax Tables'!Y$1,"Rate Chg","."),".")</f>
        <v>.</v>
      </c>
      <c r="Z216" s="678" t="str">
        <f>IF(Tax_Rates_Alt="y",IF(Setup!$I$233='Tax Tables'!Z$1,"Rate Chg","."),".")</f>
        <v>.</v>
      </c>
      <c r="AA216" s="678" t="str">
        <f>IF(Tax_Rates_Alt="y",IF(Setup!$I$233='Tax Tables'!AA$1,"Rate Chg","."),".")</f>
        <v>.</v>
      </c>
      <c r="AB216" s="678" t="str">
        <f>IF(Tax_Rates_Alt="y",IF(Setup!$I$233='Tax Tables'!AB$1,"Rate Chg","."),".")</f>
        <v>.</v>
      </c>
      <c r="AC216" s="678" t="str">
        <f>IF(Tax_Rates_Alt="y",IF(Setup!$I$233='Tax Tables'!AC$1,"Rate Chg","."),".")</f>
        <v>.</v>
      </c>
      <c r="AD216" s="678" t="str">
        <f>IF(Tax_Rates_Alt="y",IF(Setup!$I$233='Tax Tables'!AD$1,"Rate Chg","."),".")</f>
        <v>.</v>
      </c>
      <c r="AE216" s="678" t="str">
        <f>IF(Tax_Rates_Alt="y",IF(Setup!$I$233='Tax Tables'!AE$1,"Rate Chg","."),".")</f>
        <v>.</v>
      </c>
      <c r="AF216" s="678" t="str">
        <f>IF(Tax_Rates_Alt="y",IF(Setup!$I$233='Tax Tables'!AF$1,"Rate Chg","."),".")</f>
        <v>.</v>
      </c>
      <c r="AG216" s="678" t="str">
        <f>IF(Tax_Rates_Alt="y",IF(Setup!$I$233='Tax Tables'!AG$1,"Rate Chg","."),".")</f>
        <v>.</v>
      </c>
      <c r="AH216" s="678" t="str">
        <f>IF(Tax_Rates_Alt="y",IF(Setup!$I$233='Tax Tables'!AH$1,"Rate Chg","."),".")</f>
        <v>.</v>
      </c>
      <c r="AI216" s="678" t="str">
        <f>IF(Tax_Rates_Alt="y",IF(Setup!$I$233='Tax Tables'!AI$1,"Rate Chg","."),".")</f>
        <v>.</v>
      </c>
      <c r="AJ216" s="678" t="str">
        <f>IF(Tax_Rates_Alt="y",IF(Setup!$I$233='Tax Tables'!AJ$1,"Rate Chg","."),".")</f>
        <v>.</v>
      </c>
      <c r="AK216" s="678" t="str">
        <f>IF(Tax_Rates_Alt="y",IF(Setup!$I$233='Tax Tables'!AK$1,"Rate Chg","."),".")</f>
        <v>.</v>
      </c>
      <c r="AL216" s="678" t="str">
        <f>IF(Tax_Rates_Alt="y",IF(Setup!$I$233='Tax Tables'!AL$1,"Rate Chg","."),".")</f>
        <v>.</v>
      </c>
      <c r="AM216" s="678" t="str">
        <f>IF(Tax_Rates_Alt="y",IF(Setup!$I$233='Tax Tables'!AM$1,"Rate Chg","."),".")</f>
        <v>.</v>
      </c>
      <c r="AN216" s="678" t="str">
        <f>IF(Tax_Rates_Alt="y",IF(Setup!$I$233='Tax Tables'!AN$1,"Rate Chg","."),".")</f>
        <v>.</v>
      </c>
      <c r="AO216" s="678" t="str">
        <f>IF(Tax_Rates_Alt="y",IF(Setup!$I$233='Tax Tables'!AO$1,"Rate Chg","."),".")</f>
        <v>.</v>
      </c>
      <c r="AP216" s="678" t="str">
        <f>IF(Tax_Rates_Alt="y",IF(Setup!$I$233='Tax Tables'!AP$1,"Rate Chg","."),".")</f>
        <v>.</v>
      </c>
      <c r="AQ216" s="678" t="str">
        <f>IF(Tax_Rates_Alt="y",IF(Setup!$I$233='Tax Tables'!AQ$1,"Rate Chg","."),".")</f>
        <v>.</v>
      </c>
      <c r="AR216" s="678" t="str">
        <f>IF(Tax_Rates_Alt="y",IF(Setup!$I$233='Tax Tables'!AR$1,"Rate Chg","."),".")</f>
        <v>.</v>
      </c>
      <c r="AS216" s="678" t="str">
        <f>IF(Tax_Rates_Alt="y",IF(Setup!$I$233='Tax Tables'!AS$1,"Rate Chg","."),".")</f>
        <v>.</v>
      </c>
      <c r="AT216" s="678"/>
      <c r="AU216" s="244">
        <v>2018</v>
      </c>
    </row>
    <row r="217" spans="2:47" ht="15.6">
      <c r="B217" s="539" t="s">
        <v>1974</v>
      </c>
      <c r="C217" s="224">
        <v>0</v>
      </c>
      <c r="D217" s="224">
        <v>0</v>
      </c>
      <c r="E217" s="1643">
        <v>0</v>
      </c>
      <c r="F217" s="464">
        <v>0</v>
      </c>
      <c r="G217" s="14">
        <v>0</v>
      </c>
      <c r="H217" s="14">
        <v>0</v>
      </c>
      <c r="I217" s="14">
        <v>0</v>
      </c>
      <c r="J217" s="14">
        <v>0</v>
      </c>
      <c r="K217" s="14">
        <v>0</v>
      </c>
      <c r="L217" s="14">
        <v>0</v>
      </c>
      <c r="M217" s="14">
        <v>0</v>
      </c>
      <c r="N217" s="14">
        <v>0</v>
      </c>
      <c r="O217" s="14">
        <v>0</v>
      </c>
      <c r="P217" s="14">
        <v>0</v>
      </c>
      <c r="Q217" s="14">
        <v>0</v>
      </c>
      <c r="R217" s="14">
        <v>0</v>
      </c>
      <c r="S217" s="14">
        <v>0</v>
      </c>
      <c r="T217" s="14">
        <v>0</v>
      </c>
      <c r="U217" s="14">
        <v>0</v>
      </c>
      <c r="V217" s="14">
        <v>0</v>
      </c>
      <c r="W217" s="14">
        <v>0</v>
      </c>
      <c r="X217" s="14">
        <v>0</v>
      </c>
      <c r="Y217" s="14">
        <v>0</v>
      </c>
      <c r="Z217" s="14">
        <v>0</v>
      </c>
      <c r="AA217" s="14">
        <v>0</v>
      </c>
      <c r="AB217" s="14">
        <v>0</v>
      </c>
      <c r="AC217" s="14">
        <v>0</v>
      </c>
      <c r="AD217" s="14">
        <v>0</v>
      </c>
      <c r="AE217" s="14">
        <v>0</v>
      </c>
      <c r="AF217" s="14">
        <v>0</v>
      </c>
      <c r="AG217" s="14">
        <v>0</v>
      </c>
      <c r="AH217" s="14">
        <v>0</v>
      </c>
      <c r="AI217" s="14">
        <v>0</v>
      </c>
      <c r="AJ217" s="14">
        <v>0</v>
      </c>
      <c r="AK217" s="14">
        <v>0</v>
      </c>
      <c r="AL217" s="14">
        <v>0</v>
      </c>
      <c r="AM217" s="14">
        <v>0</v>
      </c>
      <c r="AN217" s="14">
        <v>0</v>
      </c>
      <c r="AO217" s="14">
        <v>0</v>
      </c>
      <c r="AP217" s="14">
        <v>0</v>
      </c>
      <c r="AQ217" s="14">
        <v>0</v>
      </c>
      <c r="AR217" s="14">
        <v>0</v>
      </c>
      <c r="AS217" s="14">
        <v>0</v>
      </c>
      <c r="AT217" s="14"/>
      <c r="AU217" s="66">
        <v>0</v>
      </c>
    </row>
    <row r="218" spans="2:47" ht="15.6">
      <c r="B218" s="8" t="s">
        <v>1475</v>
      </c>
      <c r="C218" s="224">
        <v>38600</v>
      </c>
      <c r="D218" s="224">
        <v>39375</v>
      </c>
      <c r="E218" s="1643">
        <v>9525</v>
      </c>
      <c r="F218" s="464">
        <v>9700</v>
      </c>
      <c r="G218" s="29">
        <f>ROUND(+F218*(1+'Tax Tables'!$C$10)/IF(Round_To&gt;Tax_Rounding,Tax_Rounding,Round_To),0)*IF(Round_To&gt;Tax_Rounding,Tax_Rounding,Round_To)</f>
        <v>9900</v>
      </c>
      <c r="H218" s="29">
        <f>ROUND(+G218*(1+'Tax Tables'!$C$10)/IF(Round_To&gt;Tax_Rounding,Tax_Rounding,Round_To),0)*IF(Round_To&gt;Tax_Rounding,Tax_Rounding,Round_To)</f>
        <v>10100</v>
      </c>
      <c r="I218" s="29">
        <f>ROUND(+H218*(1+'Tax Tables'!$C$10)/IF(Round_To&gt;Tax_Rounding,Tax_Rounding,Round_To),0)*IF(Round_To&gt;Tax_Rounding,Tax_Rounding,Round_To)</f>
        <v>10300</v>
      </c>
      <c r="J218" s="29">
        <f>ROUND(+I218*(1+'Tax Tables'!$C$10)/IF(Round_To&gt;Tax_Rounding,Tax_Rounding,Round_To),0)*IF(Round_To&gt;Tax_Rounding,Tax_Rounding,Round_To)</f>
        <v>10500</v>
      </c>
      <c r="K218" s="29">
        <f>ROUND(+J218*(1+'Tax Tables'!$C$10)/IF(Round_To&gt;Tax_Rounding,Tax_Rounding,Round_To),0)*IF(Round_To&gt;Tax_Rounding,Tax_Rounding,Round_To)</f>
        <v>10700</v>
      </c>
      <c r="L218" s="29">
        <f>ROUND(+K218*(1+'Tax Tables'!$C$10)/IF(Round_To&gt;Tax_Rounding,Tax_Rounding,Round_To),0)*IF(Round_To&gt;Tax_Rounding,Tax_Rounding,Round_To)</f>
        <v>10900</v>
      </c>
      <c r="M218" s="29">
        <f>ROUND(+L218*(1+'Tax Tables'!$C$10)/IF(Round_To&gt;Tax_Rounding,Tax_Rounding,Round_To),0)*IF(Round_To&gt;Tax_Rounding,Tax_Rounding,Round_To)</f>
        <v>11100</v>
      </c>
      <c r="N218" s="29">
        <f>ROUND(+M218*(1+'Tax Tables'!$C$10)/IF(Round_To&gt;Tax_Rounding,Tax_Rounding,Round_To),0)*IF(Round_To&gt;Tax_Rounding,Tax_Rounding,Round_To)</f>
        <v>11300</v>
      </c>
      <c r="O218" s="29">
        <f>ROUND(+N218*(1+'Tax Tables'!$C$10)/IF(Round_To&gt;Tax_Rounding,Tax_Rounding,Round_To),0)*IF(Round_To&gt;Tax_Rounding,Tax_Rounding,Round_To)</f>
        <v>11500</v>
      </c>
      <c r="P218" s="29">
        <f>ROUND(+O218*(1+'Tax Tables'!$C$10)/IF(Round_To&gt;Tax_Rounding,Tax_Rounding,Round_To),0)*IF(Round_To&gt;Tax_Rounding,Tax_Rounding,Round_To)</f>
        <v>11800</v>
      </c>
      <c r="Q218" s="29">
        <f>ROUND(+P218*(1+'Tax Tables'!$C$10)/IF(Round_To&gt;Tax_Rounding,Tax_Rounding,Round_To),0)*IF(Round_To&gt;Tax_Rounding,Tax_Rounding,Round_To)</f>
        <v>12100</v>
      </c>
      <c r="R218" s="29">
        <f>ROUND(+Q218*(1+'Tax Tables'!$C$10)/IF(Round_To&gt;Tax_Rounding,Tax_Rounding,Round_To),0)*IF(Round_To&gt;Tax_Rounding,Tax_Rounding,Round_To)</f>
        <v>12400</v>
      </c>
      <c r="S218" s="29">
        <f>ROUND(+R218*(1+'Tax Tables'!$C$10)/IF(Round_To&gt;Tax_Rounding,Tax_Rounding,Round_To),0)*IF(Round_To&gt;Tax_Rounding,Tax_Rounding,Round_To)</f>
        <v>12700</v>
      </c>
      <c r="T218" s="29">
        <f>ROUND(+S218*(1+'Tax Tables'!$C$10)/IF(Round_To&gt;Tax_Rounding,Tax_Rounding,Round_To),0)*IF(Round_To&gt;Tax_Rounding,Tax_Rounding,Round_To)</f>
        <v>13000</v>
      </c>
      <c r="U218" s="29">
        <f>ROUND(+T218*(1+'Tax Tables'!$C$10)/IF(Round_To&gt;Tax_Rounding,Tax_Rounding,Round_To),0)*IF(Round_To&gt;Tax_Rounding,Tax_Rounding,Round_To)</f>
        <v>13300</v>
      </c>
      <c r="V218" s="29">
        <f>ROUND(+U218*(1+'Tax Tables'!$C$10)/IF(Round_To&gt;Tax_Rounding,Tax_Rounding,Round_To),0)*IF(Round_To&gt;Tax_Rounding,Tax_Rounding,Round_To)</f>
        <v>13600</v>
      </c>
      <c r="W218" s="29">
        <f>ROUND(+V218*(1+'Tax Tables'!$C$10)/IF(Round_To&gt;Tax_Rounding,Tax_Rounding,Round_To),0)*IF(Round_To&gt;Tax_Rounding,Tax_Rounding,Round_To)</f>
        <v>13900</v>
      </c>
      <c r="X218" s="29">
        <f>ROUND(+W218*(1+'Tax Tables'!$C$10)/IF(Round_To&gt;Tax_Rounding,Tax_Rounding,Round_To),0)*IF(Round_To&gt;Tax_Rounding,Tax_Rounding,Round_To)</f>
        <v>14200</v>
      </c>
      <c r="Y218" s="29">
        <f>ROUND(+X218*(1+'Tax Tables'!$C$10)/IF(Round_To&gt;Tax_Rounding,Tax_Rounding,Round_To),0)*IF(Round_To&gt;Tax_Rounding,Tax_Rounding,Round_To)</f>
        <v>14500</v>
      </c>
      <c r="Z218" s="29">
        <f>ROUND(+Y218*(1+'Tax Tables'!$C$10)/IF(Round_To&gt;Tax_Rounding,Tax_Rounding,Round_To),0)*IF(Round_To&gt;Tax_Rounding,Tax_Rounding,Round_To)</f>
        <v>14800</v>
      </c>
      <c r="AA218" s="29">
        <f>ROUND(+Z218*(1+'Tax Tables'!$C$10)/IF(Round_To&gt;Tax_Rounding,Tax_Rounding,Round_To),0)*IF(Round_To&gt;Tax_Rounding,Tax_Rounding,Round_To)</f>
        <v>15100</v>
      </c>
      <c r="AB218" s="29">
        <f>ROUND(+AA218*(1+'Tax Tables'!$C$10)/IF(Round_To&gt;Tax_Rounding,Tax_Rounding,Round_To),0)*IF(Round_To&gt;Tax_Rounding,Tax_Rounding,Round_To)</f>
        <v>15400</v>
      </c>
      <c r="AC218" s="29">
        <f>ROUND(+AB218*(1+'Tax Tables'!$C$10)/IF(Round_To&gt;Tax_Rounding,Tax_Rounding,Round_To),0)*IF(Round_To&gt;Tax_Rounding,Tax_Rounding,Round_To)</f>
        <v>15700</v>
      </c>
      <c r="AD218" s="29">
        <f>ROUND(+AC218*(1+'Tax Tables'!$C$10)/IF(Round_To&gt;Tax_Rounding,Tax_Rounding,Round_To),0)*IF(Round_To&gt;Tax_Rounding,Tax_Rounding,Round_To)</f>
        <v>16000</v>
      </c>
      <c r="AE218" s="29">
        <f>ROUND(+AD218*(1+'Tax Tables'!$C$10)/IF(Round_To&gt;Tax_Rounding,Tax_Rounding,Round_To),0)*IF(Round_To&gt;Tax_Rounding,Tax_Rounding,Round_To)</f>
        <v>16400</v>
      </c>
      <c r="AF218" s="29">
        <f>ROUND(+AE218*(1+'Tax Tables'!$C$10)/IF(Round_To&gt;Tax_Rounding,Tax_Rounding,Round_To),0)*IF(Round_To&gt;Tax_Rounding,Tax_Rounding,Round_To)</f>
        <v>16800</v>
      </c>
      <c r="AG218" s="29">
        <f>ROUND(+AF218*(1+'Tax Tables'!$C$10)/IF(Round_To&gt;Tax_Rounding,Tax_Rounding,Round_To),0)*IF(Round_To&gt;Tax_Rounding,Tax_Rounding,Round_To)</f>
        <v>17200</v>
      </c>
      <c r="AH218" s="29">
        <f>ROUND(+AG218*(1+'Tax Tables'!$C$10)/IF(Round_To&gt;Tax_Rounding,Tax_Rounding,Round_To),0)*IF(Round_To&gt;Tax_Rounding,Tax_Rounding,Round_To)</f>
        <v>17600</v>
      </c>
      <c r="AI218" s="29">
        <f>ROUND(+AH218*(1+'Tax Tables'!$C$10)/IF(Round_To&gt;Tax_Rounding,Tax_Rounding,Round_To),0)*IF(Round_To&gt;Tax_Rounding,Tax_Rounding,Round_To)</f>
        <v>18000</v>
      </c>
      <c r="AJ218" s="29">
        <f>ROUND(+AI218*(1+'Tax Tables'!$C$10)/IF(Round_To&gt;Tax_Rounding,Tax_Rounding,Round_To),0)*IF(Round_To&gt;Tax_Rounding,Tax_Rounding,Round_To)</f>
        <v>18400</v>
      </c>
      <c r="AK218" s="29">
        <f>ROUND(+AJ218*(1+'Tax Tables'!$C$10)/IF(Round_To&gt;Tax_Rounding,Tax_Rounding,Round_To),0)*IF(Round_To&gt;Tax_Rounding,Tax_Rounding,Round_To)</f>
        <v>18800</v>
      </c>
      <c r="AL218" s="29">
        <f>ROUND(+AK218*(1+'Tax Tables'!$C$10)/IF(Round_To&gt;Tax_Rounding,Tax_Rounding,Round_To),0)*IF(Round_To&gt;Tax_Rounding,Tax_Rounding,Round_To)</f>
        <v>19200</v>
      </c>
      <c r="AM218" s="29">
        <f>ROUND(+AL218*(1+'Tax Tables'!$C$10)/IF(Round_To&gt;Tax_Rounding,Tax_Rounding,Round_To),0)*IF(Round_To&gt;Tax_Rounding,Tax_Rounding,Round_To)</f>
        <v>19600</v>
      </c>
      <c r="AN218" s="29">
        <f>ROUND(+AM218*(1+'Tax Tables'!$C$10)/IF(Round_To&gt;Tax_Rounding,Tax_Rounding,Round_To),0)*IF(Round_To&gt;Tax_Rounding,Tax_Rounding,Round_To)</f>
        <v>20000</v>
      </c>
      <c r="AO218" s="29">
        <f>ROUND(+AN218*(1+'Tax Tables'!$C$10)/IF(Round_To&gt;Tax_Rounding,Tax_Rounding,Round_To),0)*IF(Round_To&gt;Tax_Rounding,Tax_Rounding,Round_To)</f>
        <v>20400</v>
      </c>
      <c r="AP218" s="29">
        <f>ROUND(+AO218*(1+'Tax Tables'!$C$10)/IF(Round_To&gt;Tax_Rounding,Tax_Rounding,Round_To),0)*IF(Round_To&gt;Tax_Rounding,Tax_Rounding,Round_To)</f>
        <v>20800</v>
      </c>
      <c r="AQ218" s="29">
        <f>ROUND(+AP218*(1+'Tax Tables'!$C$10)/IF(Round_To&gt;Tax_Rounding,Tax_Rounding,Round_To),0)*IF(Round_To&gt;Tax_Rounding,Tax_Rounding,Round_To)</f>
        <v>21300</v>
      </c>
      <c r="AR218" s="29">
        <f>ROUND(+AQ218*(1+'Tax Tables'!$C$10)/IF(Round_To&gt;Tax_Rounding,Tax_Rounding,Round_To),0)*IF(Round_To&gt;Tax_Rounding,Tax_Rounding,Round_To)</f>
        <v>21800</v>
      </c>
      <c r="AS218" s="29">
        <f>ROUND(+AR218*(1+'Tax Tables'!$C$10)/IF(Round_To&gt;Tax_Rounding,Tax_Rounding,Round_To),0)*IF(Round_To&gt;Tax_Rounding,Tax_Rounding,Round_To)</f>
        <v>22300</v>
      </c>
      <c r="AT218" s="29"/>
      <c r="AU218" s="66">
        <v>9525</v>
      </c>
    </row>
    <row r="219" spans="2:47" ht="15.6">
      <c r="B219" s="8" t="s">
        <v>1476</v>
      </c>
      <c r="C219" s="226">
        <v>0</v>
      </c>
      <c r="D219" s="226">
        <v>0</v>
      </c>
      <c r="E219" s="1645">
        <v>0.1</v>
      </c>
      <c r="F219" s="469">
        <v>0.1</v>
      </c>
      <c r="G219" s="61">
        <f>IF(Tax_Rates_Alt="y",IF(G$93=Setup!$I$233,+Setup!$H$233,+F219),+F219)</f>
        <v>0.1</v>
      </c>
      <c r="H219" s="61">
        <f>IF(Tax_Rates_Alt="y",IF(H$93=Setup!$I$233,+Setup!$H$233,+G219),+G219)</f>
        <v>0.1</v>
      </c>
      <c r="I219" s="61">
        <f>IF(Tax_Rates_Alt="y",IF(I$93=Setup!$I$233,+Setup!$H$233,+H219),+H219)</f>
        <v>0.1</v>
      </c>
      <c r="J219" s="61">
        <f>IF(Tax_Rates_Alt="y",IF(J$93=Setup!$I$233,+Setup!$H$233,+I219),+I219)</f>
        <v>0.1</v>
      </c>
      <c r="K219" s="61">
        <f>IF(Tax_Rates_Alt="y",IF(K$93=Setup!$I$233,+Setup!$H$233,+J219),+J219)</f>
        <v>0.1</v>
      </c>
      <c r="L219" s="61">
        <f>IF(Tax_Rates_Alt="y",IF(L$93=Setup!$I$233,+Setup!$H$233,+K219),+K219)</f>
        <v>0.1</v>
      </c>
      <c r="M219" s="61">
        <f>IF(Tax_Rates_Alt="y",IF(M$93=Setup!$I$233,+Setup!$H$233,+L219),+L219)</f>
        <v>0.1</v>
      </c>
      <c r="N219" s="61">
        <f>IF(Tax_Rates_Alt="y",IF(N$93=Setup!$I$233,+Setup!$H$233,+M219),+M219)</f>
        <v>0.1</v>
      </c>
      <c r="O219" s="61">
        <f>IF(Tax_Rates_Alt="y",IF(O$93=Setup!$I$233,+Setup!$H$233,+N219),+N219)</f>
        <v>0.1</v>
      </c>
      <c r="P219" s="61">
        <f>IF(Tax_Rates_Alt="y",IF(P$93=Setup!$I$233,+Setup!$H$233,+O219),+O219)</f>
        <v>0.1</v>
      </c>
      <c r="Q219" s="61">
        <f>IF(Tax_Rates_Alt="y",IF(Q$93=Setup!$I$233,+Setup!$H$233,+P219),+P219)</f>
        <v>0.1</v>
      </c>
      <c r="R219" s="61">
        <f>IF(Tax_Rates_Alt="y",IF(R$93=Setup!$I$233,+Setup!$H$233,+Q219),+Q219)</f>
        <v>0.1</v>
      </c>
      <c r="S219" s="61">
        <f>IF(Tax_Rates_Alt="y",IF(S$93=Setup!$I$233,+Setup!$H$233,+R219),+R219)</f>
        <v>0.1</v>
      </c>
      <c r="T219" s="61">
        <f>IF(Tax_Rates_Alt="y",IF(T$93=Setup!$I$233,+Setup!$H$233,+S219),+S219)</f>
        <v>0.1</v>
      </c>
      <c r="U219" s="61">
        <f>IF(Tax_Rates_Alt="y",IF(U$93=Setup!$I$233,+Setup!$H$233,+T219),+T219)</f>
        <v>0.1</v>
      </c>
      <c r="V219" s="61">
        <f>IF(Tax_Rates_Alt="y",IF(V$93=Setup!$I$233,+Setup!$H$233,+U219),+U219)</f>
        <v>0.1</v>
      </c>
      <c r="W219" s="61">
        <f>IF(Tax_Rates_Alt="y",IF(W$93=Setup!$I$233,+Setup!$H$233,+V219),+V219)</f>
        <v>0.1</v>
      </c>
      <c r="X219" s="61">
        <f>IF(Tax_Rates_Alt="y",IF(X$93=Setup!$I$233,+Setup!$H$233,+W219),+W219)</f>
        <v>0.1</v>
      </c>
      <c r="Y219" s="61">
        <f>IF(Tax_Rates_Alt="y",IF(Y$93=Setup!$I$233,+Setup!$H$233,+X219),+X219)</f>
        <v>0.1</v>
      </c>
      <c r="Z219" s="61">
        <f>IF(Tax_Rates_Alt="y",IF(Z$93=Setup!$I$233,+Setup!$H$233,+Y219),+Y219)</f>
        <v>0.1</v>
      </c>
      <c r="AA219" s="61">
        <f>IF(Tax_Rates_Alt="y",IF(AA$93=Setup!$I$233,+Setup!$H$233,+Z219),+Z219)</f>
        <v>0.1</v>
      </c>
      <c r="AB219" s="61">
        <f>IF(Tax_Rates_Alt="y",IF(AB$93=Setup!$I$233,+Setup!$H$233,+AA219),+AA219)</f>
        <v>0.1</v>
      </c>
      <c r="AC219" s="61">
        <f>IF(Tax_Rates_Alt="y",IF(AC$93=Setup!$I$233,+Setup!$H$233,+AB219),+AB219)</f>
        <v>0.1</v>
      </c>
      <c r="AD219" s="61">
        <f>IF(Tax_Rates_Alt="y",IF(AD$93=Setup!$I$233,+Setup!$H$233,+AC219),+AC219)</f>
        <v>0.1</v>
      </c>
      <c r="AE219" s="61">
        <f>IF(Tax_Rates_Alt="y",IF(AE$93=Setup!$I$233,+Setup!$H$233,+AD219),+AD219)</f>
        <v>0.1</v>
      </c>
      <c r="AF219" s="61">
        <f>IF(Tax_Rates_Alt="y",IF(AF$93=Setup!$I$233,+Setup!$H$233,+AE219),+AE219)</f>
        <v>0.1</v>
      </c>
      <c r="AG219" s="61">
        <f>IF(Tax_Rates_Alt="y",IF(AG$93=Setup!$I$233,+Setup!$H$233,+AF219),+AF219)</f>
        <v>0.1</v>
      </c>
      <c r="AH219" s="61">
        <f>IF(Tax_Rates_Alt="y",IF(AH$93=Setup!$I$233,+Setup!$H$233,+AG219),+AG219)</f>
        <v>0.1</v>
      </c>
      <c r="AI219" s="61">
        <f>IF(Tax_Rates_Alt="y",IF(AI$93=Setup!$I$233,+Setup!$H$233,+AH219),+AH219)</f>
        <v>0.1</v>
      </c>
      <c r="AJ219" s="61">
        <f>IF(Tax_Rates_Alt="y",IF(AJ$93=Setup!$I$233,+Setup!$H$233,+AI219),+AI219)</f>
        <v>0.1</v>
      </c>
      <c r="AK219" s="61">
        <f>IF(Tax_Rates_Alt="y",IF(AK$93=Setup!$I$233,+Setup!$H$233,+AJ219),+AJ219)</f>
        <v>0.1</v>
      </c>
      <c r="AL219" s="61">
        <f>IF(Tax_Rates_Alt="y",IF(AL$93=Setup!$I$233,+Setup!$H$233,+AK219),+AK219)</f>
        <v>0.1</v>
      </c>
      <c r="AM219" s="61">
        <f>IF(Tax_Rates_Alt="y",IF(AM$93=Setup!$I$233,+Setup!$H$233,+AL219),+AL219)</f>
        <v>0.1</v>
      </c>
      <c r="AN219" s="61">
        <f>IF(Tax_Rates_Alt="y",IF(AN$93=Setup!$I$233,+Setup!$H$233,+AM219),+AM219)</f>
        <v>0.1</v>
      </c>
      <c r="AO219" s="61">
        <f>IF(Tax_Rates_Alt="y",IF(AO$93=Setup!$I$233,+Setup!$H$233,+AN219),+AN219)</f>
        <v>0.1</v>
      </c>
      <c r="AP219" s="61">
        <f>IF(Tax_Rates_Alt="y",IF(AP$93=Setup!$I$233,+Setup!$H$233,+AO219),+AO219)</f>
        <v>0.1</v>
      </c>
      <c r="AQ219" s="61">
        <f>IF(Tax_Rates_Alt="y",IF(AQ$93=Setup!$I$233,+Setup!$H$233,+AP219),+AP219)</f>
        <v>0.1</v>
      </c>
      <c r="AR219" s="61">
        <f>IF(Tax_Rates_Alt="y",IF(AR$93=Setup!$I$233,+Setup!$H$233,+AQ219),+AQ219)</f>
        <v>0.1</v>
      </c>
      <c r="AS219" s="61">
        <f>IF(Tax_Rates_Alt="y",IF(AS$93=Setup!$I$233,+Setup!$H$233,+AR219),+AR219)</f>
        <v>0.1</v>
      </c>
      <c r="AT219" s="61"/>
      <c r="AU219" s="1403">
        <v>0.1</v>
      </c>
    </row>
    <row r="220" spans="2:47" ht="15.6">
      <c r="B220" s="8" t="s">
        <v>1414</v>
      </c>
      <c r="C220" s="29">
        <f>(+C218-C217)*C219</f>
        <v>0</v>
      </c>
      <c r="D220" s="29">
        <f>(+D218-D217)*D219</f>
        <v>0</v>
      </c>
      <c r="E220" s="29">
        <f t="shared" ref="E220:AS220" si="136">ROUND((+E218-E217)*E219/IF(Round_To&gt;Tax_Rounding,Tax_Rounding,Round_To),0)*IF(Round_To&gt;Tax_Rounding,Tax_Rounding,Round_To)</f>
        <v>1000</v>
      </c>
      <c r="F220" s="29">
        <f t="shared" si="136"/>
        <v>1000</v>
      </c>
      <c r="G220" s="29">
        <f t="shared" si="136"/>
        <v>1000</v>
      </c>
      <c r="H220" s="29">
        <f t="shared" si="136"/>
        <v>1000</v>
      </c>
      <c r="I220" s="29">
        <f t="shared" si="136"/>
        <v>1000</v>
      </c>
      <c r="J220" s="29">
        <f t="shared" si="136"/>
        <v>1100</v>
      </c>
      <c r="K220" s="29">
        <f t="shared" si="136"/>
        <v>1100</v>
      </c>
      <c r="L220" s="29">
        <f t="shared" si="136"/>
        <v>1100</v>
      </c>
      <c r="M220" s="29">
        <f t="shared" si="136"/>
        <v>1100</v>
      </c>
      <c r="N220" s="29">
        <f t="shared" si="136"/>
        <v>1100</v>
      </c>
      <c r="O220" s="29">
        <f t="shared" si="136"/>
        <v>1200</v>
      </c>
      <c r="P220" s="29">
        <f t="shared" si="136"/>
        <v>1200</v>
      </c>
      <c r="Q220" s="29">
        <f t="shared" si="136"/>
        <v>1200</v>
      </c>
      <c r="R220" s="29">
        <f t="shared" si="136"/>
        <v>1200</v>
      </c>
      <c r="S220" s="29">
        <f t="shared" si="136"/>
        <v>1300</v>
      </c>
      <c r="T220" s="29">
        <f t="shared" si="136"/>
        <v>1300</v>
      </c>
      <c r="U220" s="29">
        <f t="shared" si="136"/>
        <v>1300</v>
      </c>
      <c r="V220" s="29">
        <f t="shared" si="136"/>
        <v>1400</v>
      </c>
      <c r="W220" s="29">
        <f t="shared" si="136"/>
        <v>1400</v>
      </c>
      <c r="X220" s="29">
        <f t="shared" si="136"/>
        <v>1400</v>
      </c>
      <c r="Y220" s="29">
        <f t="shared" si="136"/>
        <v>1500</v>
      </c>
      <c r="Z220" s="29">
        <f t="shared" si="136"/>
        <v>1500</v>
      </c>
      <c r="AA220" s="29">
        <f t="shared" si="136"/>
        <v>1500</v>
      </c>
      <c r="AB220" s="29">
        <f t="shared" si="136"/>
        <v>1500</v>
      </c>
      <c r="AC220" s="29">
        <f t="shared" si="136"/>
        <v>1600</v>
      </c>
      <c r="AD220" s="29">
        <f t="shared" si="136"/>
        <v>1600</v>
      </c>
      <c r="AE220" s="29">
        <f t="shared" si="136"/>
        <v>1600</v>
      </c>
      <c r="AF220" s="29">
        <f t="shared" si="136"/>
        <v>1700</v>
      </c>
      <c r="AG220" s="29">
        <f t="shared" si="136"/>
        <v>1700</v>
      </c>
      <c r="AH220" s="29">
        <f t="shared" si="136"/>
        <v>1800</v>
      </c>
      <c r="AI220" s="29">
        <f t="shared" si="136"/>
        <v>1800</v>
      </c>
      <c r="AJ220" s="29">
        <f t="shared" si="136"/>
        <v>1800</v>
      </c>
      <c r="AK220" s="29">
        <f t="shared" si="136"/>
        <v>1900</v>
      </c>
      <c r="AL220" s="29">
        <f t="shared" si="136"/>
        <v>1900</v>
      </c>
      <c r="AM220" s="29">
        <f t="shared" si="136"/>
        <v>2000</v>
      </c>
      <c r="AN220" s="29">
        <f t="shared" si="136"/>
        <v>2000</v>
      </c>
      <c r="AO220" s="29">
        <f t="shared" si="136"/>
        <v>2000</v>
      </c>
      <c r="AP220" s="29">
        <f t="shared" si="136"/>
        <v>2100</v>
      </c>
      <c r="AQ220" s="29">
        <f t="shared" si="136"/>
        <v>2100</v>
      </c>
      <c r="AR220" s="29">
        <f t="shared" si="136"/>
        <v>2200</v>
      </c>
      <c r="AS220" s="29">
        <f t="shared" si="136"/>
        <v>2200</v>
      </c>
      <c r="AT220" s="29"/>
      <c r="AU220" s="22"/>
    </row>
    <row r="221" spans="2:47" ht="15.6">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2"/>
    </row>
    <row r="222" spans="2:47" ht="15.6">
      <c r="B222" s="539" t="s">
        <v>1975</v>
      </c>
      <c r="C222" s="29">
        <f>+C218</f>
        <v>38600</v>
      </c>
      <c r="D222" s="29">
        <f>+D218</f>
        <v>39375</v>
      </c>
      <c r="E222" s="29">
        <f>+E218</f>
        <v>9525</v>
      </c>
      <c r="F222" s="33">
        <f>+F218</f>
        <v>9700</v>
      </c>
      <c r="G222" s="29">
        <f>ROUND(+F222*(1+'Tax Tables'!$C$10)/IF(Round_To&gt;Tax_Rounding,Tax_Rounding,Round_To),0)*IF(Round_To&gt;Tax_Rounding,Tax_Rounding,Round_To)</f>
        <v>9900</v>
      </c>
      <c r="H222" s="29">
        <f>ROUND(+G222*(1+'Tax Tables'!$C$10)/IF(Round_To&gt;Tax_Rounding,Tax_Rounding,Round_To),0)*IF(Round_To&gt;Tax_Rounding,Tax_Rounding,Round_To)</f>
        <v>10100</v>
      </c>
      <c r="I222" s="29">
        <f>ROUND(+H222*(1+'Tax Tables'!$C$10)/IF(Round_To&gt;Tax_Rounding,Tax_Rounding,Round_To),0)*IF(Round_To&gt;Tax_Rounding,Tax_Rounding,Round_To)</f>
        <v>10300</v>
      </c>
      <c r="J222" s="29">
        <f>ROUND(+I222*(1+'Tax Tables'!$C$10)/IF(Round_To&gt;Tax_Rounding,Tax_Rounding,Round_To),0)*IF(Round_To&gt;Tax_Rounding,Tax_Rounding,Round_To)</f>
        <v>10500</v>
      </c>
      <c r="K222" s="29">
        <f>ROUND(+J222*(1+'Tax Tables'!$C$10)/IF(Round_To&gt;Tax_Rounding,Tax_Rounding,Round_To),0)*IF(Round_To&gt;Tax_Rounding,Tax_Rounding,Round_To)</f>
        <v>10700</v>
      </c>
      <c r="L222" s="29">
        <f>ROUND(+K222*(1+'Tax Tables'!$C$10)/IF(Round_To&gt;Tax_Rounding,Tax_Rounding,Round_To),0)*IF(Round_To&gt;Tax_Rounding,Tax_Rounding,Round_To)</f>
        <v>10900</v>
      </c>
      <c r="M222" s="29">
        <f>ROUND(+L222*(1+'Tax Tables'!$C$10)/IF(Round_To&gt;Tax_Rounding,Tax_Rounding,Round_To),0)*IF(Round_To&gt;Tax_Rounding,Tax_Rounding,Round_To)</f>
        <v>11100</v>
      </c>
      <c r="N222" s="29">
        <f>ROUND(+M222*(1+'Tax Tables'!$C$10)/IF(Round_To&gt;Tax_Rounding,Tax_Rounding,Round_To),0)*IF(Round_To&gt;Tax_Rounding,Tax_Rounding,Round_To)</f>
        <v>11300</v>
      </c>
      <c r="O222" s="29">
        <f>ROUND(+N222*(1+'Tax Tables'!$C$10)/IF(Round_To&gt;Tax_Rounding,Tax_Rounding,Round_To),0)*IF(Round_To&gt;Tax_Rounding,Tax_Rounding,Round_To)</f>
        <v>11500</v>
      </c>
      <c r="P222" s="29">
        <f>ROUND(+O222*(1+'Tax Tables'!$C$10)/IF(Round_To&gt;Tax_Rounding,Tax_Rounding,Round_To),0)*IF(Round_To&gt;Tax_Rounding,Tax_Rounding,Round_To)</f>
        <v>11800</v>
      </c>
      <c r="Q222" s="29">
        <f>ROUND(+P222*(1+'Tax Tables'!$C$10)/IF(Round_To&gt;Tax_Rounding,Tax_Rounding,Round_To),0)*IF(Round_To&gt;Tax_Rounding,Tax_Rounding,Round_To)</f>
        <v>12100</v>
      </c>
      <c r="R222" s="29">
        <f>ROUND(+Q222*(1+'Tax Tables'!$C$10)/IF(Round_To&gt;Tax_Rounding,Tax_Rounding,Round_To),0)*IF(Round_To&gt;Tax_Rounding,Tax_Rounding,Round_To)</f>
        <v>12400</v>
      </c>
      <c r="S222" s="29">
        <f>ROUND(+R222*(1+'Tax Tables'!$C$10)/IF(Round_To&gt;Tax_Rounding,Tax_Rounding,Round_To),0)*IF(Round_To&gt;Tax_Rounding,Tax_Rounding,Round_To)</f>
        <v>12700</v>
      </c>
      <c r="T222" s="29">
        <f>ROUND(+S222*(1+'Tax Tables'!$C$10)/IF(Round_To&gt;Tax_Rounding,Tax_Rounding,Round_To),0)*IF(Round_To&gt;Tax_Rounding,Tax_Rounding,Round_To)</f>
        <v>13000</v>
      </c>
      <c r="U222" s="29">
        <f>ROUND(+T222*(1+'Tax Tables'!$C$10)/IF(Round_To&gt;Tax_Rounding,Tax_Rounding,Round_To),0)*IF(Round_To&gt;Tax_Rounding,Tax_Rounding,Round_To)</f>
        <v>13300</v>
      </c>
      <c r="V222" s="29">
        <f>ROUND(+U222*(1+'Tax Tables'!$C$10)/IF(Round_To&gt;Tax_Rounding,Tax_Rounding,Round_To),0)*IF(Round_To&gt;Tax_Rounding,Tax_Rounding,Round_To)</f>
        <v>13600</v>
      </c>
      <c r="W222" s="29">
        <f>ROUND(+V222*(1+'Tax Tables'!$C$10)/IF(Round_To&gt;Tax_Rounding,Tax_Rounding,Round_To),0)*IF(Round_To&gt;Tax_Rounding,Tax_Rounding,Round_To)</f>
        <v>13900</v>
      </c>
      <c r="X222" s="29">
        <f>ROUND(+W222*(1+'Tax Tables'!$C$10)/IF(Round_To&gt;Tax_Rounding,Tax_Rounding,Round_To),0)*IF(Round_To&gt;Tax_Rounding,Tax_Rounding,Round_To)</f>
        <v>14200</v>
      </c>
      <c r="Y222" s="29">
        <f>ROUND(+X222*(1+'Tax Tables'!$C$10)/IF(Round_To&gt;Tax_Rounding,Tax_Rounding,Round_To),0)*IF(Round_To&gt;Tax_Rounding,Tax_Rounding,Round_To)</f>
        <v>14500</v>
      </c>
      <c r="Z222" s="29">
        <f>ROUND(+Y222*(1+'Tax Tables'!$C$10)/IF(Round_To&gt;Tax_Rounding,Tax_Rounding,Round_To),0)*IF(Round_To&gt;Tax_Rounding,Tax_Rounding,Round_To)</f>
        <v>14800</v>
      </c>
      <c r="AA222" s="29">
        <f>ROUND(+Z222*(1+'Tax Tables'!$C$10)/IF(Round_To&gt;Tax_Rounding,Tax_Rounding,Round_To),0)*IF(Round_To&gt;Tax_Rounding,Tax_Rounding,Round_To)</f>
        <v>15100</v>
      </c>
      <c r="AB222" s="29">
        <f>ROUND(+AA222*(1+'Tax Tables'!$C$10)/IF(Round_To&gt;Tax_Rounding,Tax_Rounding,Round_To),0)*IF(Round_To&gt;Tax_Rounding,Tax_Rounding,Round_To)</f>
        <v>15400</v>
      </c>
      <c r="AC222" s="29">
        <f>ROUND(+AB222*(1+'Tax Tables'!$C$10)/IF(Round_To&gt;Tax_Rounding,Tax_Rounding,Round_To),0)*IF(Round_To&gt;Tax_Rounding,Tax_Rounding,Round_To)</f>
        <v>15700</v>
      </c>
      <c r="AD222" s="29">
        <f>ROUND(+AC222*(1+'Tax Tables'!$C$10)/IF(Round_To&gt;Tax_Rounding,Tax_Rounding,Round_To),0)*IF(Round_To&gt;Tax_Rounding,Tax_Rounding,Round_To)</f>
        <v>16000</v>
      </c>
      <c r="AE222" s="29">
        <f>ROUND(+AD222*(1+'Tax Tables'!$C$10)/IF(Round_To&gt;Tax_Rounding,Tax_Rounding,Round_To),0)*IF(Round_To&gt;Tax_Rounding,Tax_Rounding,Round_To)</f>
        <v>16400</v>
      </c>
      <c r="AF222" s="29">
        <f>ROUND(+AE222*(1+'Tax Tables'!$C$10)/IF(Round_To&gt;Tax_Rounding,Tax_Rounding,Round_To),0)*IF(Round_To&gt;Tax_Rounding,Tax_Rounding,Round_To)</f>
        <v>16800</v>
      </c>
      <c r="AG222" s="29">
        <f>ROUND(+AF222*(1+'Tax Tables'!$C$10)/IF(Round_To&gt;Tax_Rounding,Tax_Rounding,Round_To),0)*IF(Round_To&gt;Tax_Rounding,Tax_Rounding,Round_To)</f>
        <v>17200</v>
      </c>
      <c r="AH222" s="29">
        <f>ROUND(+AG222*(1+'Tax Tables'!$C$10)/IF(Round_To&gt;Tax_Rounding,Tax_Rounding,Round_To),0)*IF(Round_To&gt;Tax_Rounding,Tax_Rounding,Round_To)</f>
        <v>17600</v>
      </c>
      <c r="AI222" s="29">
        <f>ROUND(+AH222*(1+'Tax Tables'!$C$10)/IF(Round_To&gt;Tax_Rounding,Tax_Rounding,Round_To),0)*IF(Round_To&gt;Tax_Rounding,Tax_Rounding,Round_To)</f>
        <v>18000</v>
      </c>
      <c r="AJ222" s="29">
        <f>ROUND(+AI222*(1+'Tax Tables'!$C$10)/IF(Round_To&gt;Tax_Rounding,Tax_Rounding,Round_To),0)*IF(Round_To&gt;Tax_Rounding,Tax_Rounding,Round_To)</f>
        <v>18400</v>
      </c>
      <c r="AK222" s="29">
        <f>ROUND(+AJ222*(1+'Tax Tables'!$C$10)/IF(Round_To&gt;Tax_Rounding,Tax_Rounding,Round_To),0)*IF(Round_To&gt;Tax_Rounding,Tax_Rounding,Round_To)</f>
        <v>18800</v>
      </c>
      <c r="AL222" s="29">
        <f>ROUND(+AK222*(1+'Tax Tables'!$C$10)/IF(Round_To&gt;Tax_Rounding,Tax_Rounding,Round_To),0)*IF(Round_To&gt;Tax_Rounding,Tax_Rounding,Round_To)</f>
        <v>19200</v>
      </c>
      <c r="AM222" s="29">
        <f>ROUND(+AL222*(1+'Tax Tables'!$C$10)/IF(Round_To&gt;Tax_Rounding,Tax_Rounding,Round_To),0)*IF(Round_To&gt;Tax_Rounding,Tax_Rounding,Round_To)</f>
        <v>19600</v>
      </c>
      <c r="AN222" s="29">
        <f>ROUND(+AM222*(1+'Tax Tables'!$C$10)/IF(Round_To&gt;Tax_Rounding,Tax_Rounding,Round_To),0)*IF(Round_To&gt;Tax_Rounding,Tax_Rounding,Round_To)</f>
        <v>20000</v>
      </c>
      <c r="AO222" s="29">
        <f>ROUND(+AN222*(1+'Tax Tables'!$C$10)/IF(Round_To&gt;Tax_Rounding,Tax_Rounding,Round_To),0)*IF(Round_To&gt;Tax_Rounding,Tax_Rounding,Round_To)</f>
        <v>20400</v>
      </c>
      <c r="AP222" s="29">
        <f>ROUND(+AO222*(1+'Tax Tables'!$C$10)/IF(Round_To&gt;Tax_Rounding,Tax_Rounding,Round_To),0)*IF(Round_To&gt;Tax_Rounding,Tax_Rounding,Round_To)</f>
        <v>20800</v>
      </c>
      <c r="AQ222" s="29">
        <f>ROUND(+AP222*(1+'Tax Tables'!$C$10)/IF(Round_To&gt;Tax_Rounding,Tax_Rounding,Round_To),0)*IF(Round_To&gt;Tax_Rounding,Tax_Rounding,Round_To)</f>
        <v>21300</v>
      </c>
      <c r="AR222" s="29">
        <f>ROUND(+AQ222*(1+'Tax Tables'!$C$10)/IF(Round_To&gt;Tax_Rounding,Tax_Rounding,Round_To),0)*IF(Round_To&gt;Tax_Rounding,Tax_Rounding,Round_To)</f>
        <v>21800</v>
      </c>
      <c r="AS222" s="29">
        <f>ROUND(+AR222*(1+'Tax Tables'!$C$10)/IF(Round_To&gt;Tax_Rounding,Tax_Rounding,Round_To),0)*IF(Round_To&gt;Tax_Rounding,Tax_Rounding,Round_To)</f>
        <v>22300</v>
      </c>
      <c r="AT222" s="29"/>
      <c r="AU222" s="66">
        <v>9525</v>
      </c>
    </row>
    <row r="223" spans="2:47" ht="15.6">
      <c r="B223" s="8" t="s">
        <v>1475</v>
      </c>
      <c r="C223" s="224">
        <v>425000</v>
      </c>
      <c r="D223" s="224">
        <v>434550</v>
      </c>
      <c r="E223" s="1643">
        <v>38700</v>
      </c>
      <c r="F223" s="464">
        <v>39475</v>
      </c>
      <c r="G223" s="29">
        <f>ROUND(+F223*(1+'Tax Tables'!$C$10)/IF(Round_To&gt;Tax_Rounding,Tax_Rounding,Round_To),0)*IF(Round_To&gt;Tax_Rounding,Tax_Rounding,Round_To)</f>
        <v>40300</v>
      </c>
      <c r="H223" s="29">
        <f>ROUND(+G223*(1+'Tax Tables'!$C$10)/IF(Round_To&gt;Tax_Rounding,Tax_Rounding,Round_To),0)*IF(Round_To&gt;Tax_Rounding,Tax_Rounding,Round_To)</f>
        <v>41200</v>
      </c>
      <c r="I223" s="29">
        <f>ROUND(+H223*(1+'Tax Tables'!$C$10)/IF(Round_To&gt;Tax_Rounding,Tax_Rounding,Round_To),0)*IF(Round_To&gt;Tax_Rounding,Tax_Rounding,Round_To)</f>
        <v>42100</v>
      </c>
      <c r="J223" s="29">
        <f>ROUND(+I223*(1+'Tax Tables'!$C$10)/IF(Round_To&gt;Tax_Rounding,Tax_Rounding,Round_To),0)*IF(Round_To&gt;Tax_Rounding,Tax_Rounding,Round_To)</f>
        <v>43000</v>
      </c>
      <c r="K223" s="29">
        <f>ROUND(+J223*(1+'Tax Tables'!$C$10)/IF(Round_To&gt;Tax_Rounding,Tax_Rounding,Round_To),0)*IF(Round_To&gt;Tax_Rounding,Tax_Rounding,Round_To)</f>
        <v>43900</v>
      </c>
      <c r="L223" s="29">
        <f>ROUND(+K223*(1+'Tax Tables'!$C$10)/IF(Round_To&gt;Tax_Rounding,Tax_Rounding,Round_To),0)*IF(Round_To&gt;Tax_Rounding,Tax_Rounding,Round_To)</f>
        <v>44900</v>
      </c>
      <c r="M223" s="29">
        <f>ROUND(+L223*(1+'Tax Tables'!$C$10)/IF(Round_To&gt;Tax_Rounding,Tax_Rounding,Round_To),0)*IF(Round_To&gt;Tax_Rounding,Tax_Rounding,Round_To)</f>
        <v>45900</v>
      </c>
      <c r="N223" s="29">
        <f>ROUND(+M223*(1+'Tax Tables'!$C$10)/IF(Round_To&gt;Tax_Rounding,Tax_Rounding,Round_To),0)*IF(Round_To&gt;Tax_Rounding,Tax_Rounding,Round_To)</f>
        <v>46900</v>
      </c>
      <c r="O223" s="29">
        <f>ROUND(+N223*(1+'Tax Tables'!$C$10)/IF(Round_To&gt;Tax_Rounding,Tax_Rounding,Round_To),0)*IF(Round_To&gt;Tax_Rounding,Tax_Rounding,Round_To)</f>
        <v>47900</v>
      </c>
      <c r="P223" s="29">
        <f>ROUND(+O223*(1+'Tax Tables'!$C$10)/IF(Round_To&gt;Tax_Rounding,Tax_Rounding,Round_To),0)*IF(Round_To&gt;Tax_Rounding,Tax_Rounding,Round_To)</f>
        <v>49000</v>
      </c>
      <c r="Q223" s="29">
        <f>ROUND(+P223*(1+'Tax Tables'!$C$10)/IF(Round_To&gt;Tax_Rounding,Tax_Rounding,Round_To),0)*IF(Round_To&gt;Tax_Rounding,Tax_Rounding,Round_To)</f>
        <v>50100</v>
      </c>
      <c r="R223" s="29">
        <f>ROUND(+Q223*(1+'Tax Tables'!$C$10)/IF(Round_To&gt;Tax_Rounding,Tax_Rounding,Round_To),0)*IF(Round_To&gt;Tax_Rounding,Tax_Rounding,Round_To)</f>
        <v>51200</v>
      </c>
      <c r="S223" s="29">
        <f>ROUND(+R223*(1+'Tax Tables'!$C$10)/IF(Round_To&gt;Tax_Rounding,Tax_Rounding,Round_To),0)*IF(Round_To&gt;Tax_Rounding,Tax_Rounding,Round_To)</f>
        <v>52300</v>
      </c>
      <c r="T223" s="29">
        <f>ROUND(+S223*(1+'Tax Tables'!$C$10)/IF(Round_To&gt;Tax_Rounding,Tax_Rounding,Round_To),0)*IF(Round_To&gt;Tax_Rounding,Tax_Rounding,Round_To)</f>
        <v>53500</v>
      </c>
      <c r="U223" s="29">
        <f>ROUND(+T223*(1+'Tax Tables'!$C$10)/IF(Round_To&gt;Tax_Rounding,Tax_Rounding,Round_To),0)*IF(Round_To&gt;Tax_Rounding,Tax_Rounding,Round_To)</f>
        <v>54700</v>
      </c>
      <c r="V223" s="29">
        <f>ROUND(+U223*(1+'Tax Tables'!$C$10)/IF(Round_To&gt;Tax_Rounding,Tax_Rounding,Round_To),0)*IF(Round_To&gt;Tax_Rounding,Tax_Rounding,Round_To)</f>
        <v>55900</v>
      </c>
      <c r="W223" s="29">
        <f>ROUND(+V223*(1+'Tax Tables'!$C$10)/IF(Round_To&gt;Tax_Rounding,Tax_Rounding,Round_To),0)*IF(Round_To&gt;Tax_Rounding,Tax_Rounding,Round_To)</f>
        <v>57100</v>
      </c>
      <c r="X223" s="29">
        <f>ROUND(+W223*(1+'Tax Tables'!$C$10)/IF(Round_To&gt;Tax_Rounding,Tax_Rounding,Round_To),0)*IF(Round_To&gt;Tax_Rounding,Tax_Rounding,Round_To)</f>
        <v>58400</v>
      </c>
      <c r="Y223" s="29">
        <f>ROUND(+X223*(1+'Tax Tables'!$C$10)/IF(Round_To&gt;Tax_Rounding,Tax_Rounding,Round_To),0)*IF(Round_To&gt;Tax_Rounding,Tax_Rounding,Round_To)</f>
        <v>59700</v>
      </c>
      <c r="Z223" s="29">
        <f>ROUND(+Y223*(1+'Tax Tables'!$C$10)/IF(Round_To&gt;Tax_Rounding,Tax_Rounding,Round_To),0)*IF(Round_To&gt;Tax_Rounding,Tax_Rounding,Round_To)</f>
        <v>61000</v>
      </c>
      <c r="AA223" s="29">
        <f>ROUND(+Z223*(1+'Tax Tables'!$C$10)/IF(Round_To&gt;Tax_Rounding,Tax_Rounding,Round_To),0)*IF(Round_To&gt;Tax_Rounding,Tax_Rounding,Round_To)</f>
        <v>62300</v>
      </c>
      <c r="AB223" s="29">
        <f>ROUND(+AA223*(1+'Tax Tables'!$C$10)/IF(Round_To&gt;Tax_Rounding,Tax_Rounding,Round_To),0)*IF(Round_To&gt;Tax_Rounding,Tax_Rounding,Round_To)</f>
        <v>63700</v>
      </c>
      <c r="AC223" s="29">
        <f>ROUND(+AB223*(1+'Tax Tables'!$C$10)/IF(Round_To&gt;Tax_Rounding,Tax_Rounding,Round_To),0)*IF(Round_To&gt;Tax_Rounding,Tax_Rounding,Round_To)</f>
        <v>65100</v>
      </c>
      <c r="AD223" s="29">
        <f>ROUND(+AC223*(1+'Tax Tables'!$C$10)/IF(Round_To&gt;Tax_Rounding,Tax_Rounding,Round_To),0)*IF(Round_To&gt;Tax_Rounding,Tax_Rounding,Round_To)</f>
        <v>66500</v>
      </c>
      <c r="AE223" s="29">
        <f>ROUND(+AD223*(1+'Tax Tables'!$C$10)/IF(Round_To&gt;Tax_Rounding,Tax_Rounding,Round_To),0)*IF(Round_To&gt;Tax_Rounding,Tax_Rounding,Round_To)</f>
        <v>68000</v>
      </c>
      <c r="AF223" s="29">
        <f>ROUND(+AE223*(1+'Tax Tables'!$C$10)/IF(Round_To&gt;Tax_Rounding,Tax_Rounding,Round_To),0)*IF(Round_To&gt;Tax_Rounding,Tax_Rounding,Round_To)</f>
        <v>69500</v>
      </c>
      <c r="AG223" s="29">
        <f>ROUND(+AF223*(1+'Tax Tables'!$C$10)/IF(Round_To&gt;Tax_Rounding,Tax_Rounding,Round_To),0)*IF(Round_To&gt;Tax_Rounding,Tax_Rounding,Round_To)</f>
        <v>71000</v>
      </c>
      <c r="AH223" s="29">
        <f>ROUND(+AG223*(1+'Tax Tables'!$C$10)/IF(Round_To&gt;Tax_Rounding,Tax_Rounding,Round_To),0)*IF(Round_To&gt;Tax_Rounding,Tax_Rounding,Round_To)</f>
        <v>72600</v>
      </c>
      <c r="AI223" s="29">
        <f>ROUND(+AH223*(1+'Tax Tables'!$C$10)/IF(Round_To&gt;Tax_Rounding,Tax_Rounding,Round_To),0)*IF(Round_To&gt;Tax_Rounding,Tax_Rounding,Round_To)</f>
        <v>74200</v>
      </c>
      <c r="AJ223" s="29">
        <f>ROUND(+AI223*(1+'Tax Tables'!$C$10)/IF(Round_To&gt;Tax_Rounding,Tax_Rounding,Round_To),0)*IF(Round_To&gt;Tax_Rounding,Tax_Rounding,Round_To)</f>
        <v>75800</v>
      </c>
      <c r="AK223" s="29">
        <f>ROUND(+AJ223*(1+'Tax Tables'!$C$10)/IF(Round_To&gt;Tax_Rounding,Tax_Rounding,Round_To),0)*IF(Round_To&gt;Tax_Rounding,Tax_Rounding,Round_To)</f>
        <v>77500</v>
      </c>
      <c r="AL223" s="29">
        <f>ROUND(+AK223*(1+'Tax Tables'!$C$10)/IF(Round_To&gt;Tax_Rounding,Tax_Rounding,Round_To),0)*IF(Round_To&gt;Tax_Rounding,Tax_Rounding,Round_To)</f>
        <v>79200</v>
      </c>
      <c r="AM223" s="29">
        <f>ROUND(+AL223*(1+'Tax Tables'!$C$10)/IF(Round_To&gt;Tax_Rounding,Tax_Rounding,Round_To),0)*IF(Round_To&gt;Tax_Rounding,Tax_Rounding,Round_To)</f>
        <v>80900</v>
      </c>
      <c r="AN223" s="29">
        <f>ROUND(+AM223*(1+'Tax Tables'!$C$10)/IF(Round_To&gt;Tax_Rounding,Tax_Rounding,Round_To),0)*IF(Round_To&gt;Tax_Rounding,Tax_Rounding,Round_To)</f>
        <v>82700</v>
      </c>
      <c r="AO223" s="29">
        <f>ROUND(+AN223*(1+'Tax Tables'!$C$10)/IF(Round_To&gt;Tax_Rounding,Tax_Rounding,Round_To),0)*IF(Round_To&gt;Tax_Rounding,Tax_Rounding,Round_To)</f>
        <v>84500</v>
      </c>
      <c r="AP223" s="29">
        <f>ROUND(+AO223*(1+'Tax Tables'!$C$10)/IF(Round_To&gt;Tax_Rounding,Tax_Rounding,Round_To),0)*IF(Round_To&gt;Tax_Rounding,Tax_Rounding,Round_To)</f>
        <v>86400</v>
      </c>
      <c r="AQ223" s="29">
        <f>ROUND(+AP223*(1+'Tax Tables'!$C$10)/IF(Round_To&gt;Tax_Rounding,Tax_Rounding,Round_To),0)*IF(Round_To&gt;Tax_Rounding,Tax_Rounding,Round_To)</f>
        <v>88300</v>
      </c>
      <c r="AR223" s="29">
        <f>ROUND(+AQ223*(1+'Tax Tables'!$C$10)/IF(Round_To&gt;Tax_Rounding,Tax_Rounding,Round_To),0)*IF(Round_To&gt;Tax_Rounding,Tax_Rounding,Round_To)</f>
        <v>90200</v>
      </c>
      <c r="AS223" s="29">
        <f>ROUND(+AR223*(1+'Tax Tables'!$C$10)/IF(Round_To&gt;Tax_Rounding,Tax_Rounding,Round_To),0)*IF(Round_To&gt;Tax_Rounding,Tax_Rounding,Round_To)</f>
        <v>92200</v>
      </c>
      <c r="AT223" s="29"/>
      <c r="AU223" s="66">
        <v>38700</v>
      </c>
    </row>
    <row r="224" spans="2:47" ht="15.6">
      <c r="B224" s="8" t="s">
        <v>1476</v>
      </c>
      <c r="C224" s="226">
        <v>0.15</v>
      </c>
      <c r="D224" s="226">
        <v>0.15</v>
      </c>
      <c r="E224" s="1645">
        <v>0.12</v>
      </c>
      <c r="F224" s="469">
        <v>0.12</v>
      </c>
      <c r="G224" s="61">
        <f>IF(Tax_Rates_Alt="y",IF(G$93=Setup!$I$234,+Setup!$H$234,+F224),+F224)</f>
        <v>0.12</v>
      </c>
      <c r="H224" s="61">
        <f>IF(Tax_Rates_Alt="y",IF(H$93=Setup!$I$234,+Setup!$H$234,+G224),+G224)</f>
        <v>0.12</v>
      </c>
      <c r="I224" s="61">
        <f>IF(Tax_Rates_Alt="y",IF(I$93=Setup!$I$234,+Setup!$H$234,+H224),+H224)</f>
        <v>0.12</v>
      </c>
      <c r="J224" s="61">
        <f>IF(Tax_Rates_Alt="y",IF(J$93=Setup!$I$234,+Setup!$H$234,+I224),+I224)</f>
        <v>0.12</v>
      </c>
      <c r="K224" s="61">
        <f>IF(Tax_Rates_Alt="y",IF(K$93=Setup!$I$234,+Setup!$H$234,+J224),+J224)</f>
        <v>0.12</v>
      </c>
      <c r="L224" s="61">
        <f>IF(Tax_Rates_Alt="y",IF(L$93=Setup!$I$234,+Setup!$H$234,+K224),+K224)</f>
        <v>0.12</v>
      </c>
      <c r="M224" s="61">
        <f>IF(Tax_Rates_Alt="y",IF(M$93=Setup!$I$234,+Setup!$H$234,+L224),+L224)</f>
        <v>0.12</v>
      </c>
      <c r="N224" s="61">
        <f>IF(Tax_Rates_Alt="y",IF(N$93=Setup!$I$234,+Setup!$H$234,+M224),+M224)</f>
        <v>0.12</v>
      </c>
      <c r="O224" s="61">
        <f>IF(Tax_Rates_Alt="y",IF(O$93=Setup!$I$234,+Setup!$H$234,+N224),+N224)</f>
        <v>0.12</v>
      </c>
      <c r="P224" s="61">
        <f>IF(Tax_Rates_Alt="y",IF(P$93=Setup!$I$234,+Setup!$H$234,+O224),+O224)</f>
        <v>0.12</v>
      </c>
      <c r="Q224" s="61">
        <f>IF(Tax_Rates_Alt="y",IF(Q$93=Setup!$I$234,+Setup!$H$234,+P224),+P224)</f>
        <v>0.12</v>
      </c>
      <c r="R224" s="61">
        <f>IF(Tax_Rates_Alt="y",IF(R$93=Setup!$I$234,+Setup!$H$234,+Q224),+Q224)</f>
        <v>0.12</v>
      </c>
      <c r="S224" s="61">
        <f>IF(Tax_Rates_Alt="y",IF(S$93=Setup!$I$234,+Setup!$H$234,+R224),+R224)</f>
        <v>0.12</v>
      </c>
      <c r="T224" s="61">
        <f>IF(Tax_Rates_Alt="y",IF(T$93=Setup!$I$234,+Setup!$H$234,+S224),+S224)</f>
        <v>0.12</v>
      </c>
      <c r="U224" s="61">
        <f>IF(Tax_Rates_Alt="y",IF(U$93=Setup!$I$234,+Setup!$H$234,+T224),+T224)</f>
        <v>0.12</v>
      </c>
      <c r="V224" s="61">
        <f>IF(Tax_Rates_Alt="y",IF(V$93=Setup!$I$234,+Setup!$H$234,+U224),+U224)</f>
        <v>0.12</v>
      </c>
      <c r="W224" s="61">
        <f>IF(Tax_Rates_Alt="y",IF(W$93=Setup!$I$234,+Setup!$H$234,+V224),+V224)</f>
        <v>0.12</v>
      </c>
      <c r="X224" s="61">
        <f>IF(Tax_Rates_Alt="y",IF(X$93=Setup!$I$234,+Setup!$H$234,+W224),+W224)</f>
        <v>0.12</v>
      </c>
      <c r="Y224" s="61">
        <f>IF(Tax_Rates_Alt="y",IF(Y$93=Setup!$I$234,+Setup!$H$234,+X224),+X224)</f>
        <v>0.12</v>
      </c>
      <c r="Z224" s="61">
        <f>IF(Tax_Rates_Alt="y",IF(Z$93=Setup!$I$234,+Setup!$H$234,+Y224),+Y224)</f>
        <v>0.12</v>
      </c>
      <c r="AA224" s="61">
        <f>IF(Tax_Rates_Alt="y",IF(AA$93=Setup!$I$234,+Setup!$H$234,+Z224),+Z224)</f>
        <v>0.12</v>
      </c>
      <c r="AB224" s="61">
        <f>IF(Tax_Rates_Alt="y",IF(AB$93=Setup!$I$234,+Setup!$H$234,+AA224),+AA224)</f>
        <v>0.12</v>
      </c>
      <c r="AC224" s="61">
        <f>IF(Tax_Rates_Alt="y",IF(AC$93=Setup!$I$234,+Setup!$H$234,+AB224),+AB224)</f>
        <v>0.12</v>
      </c>
      <c r="AD224" s="61">
        <f>IF(Tax_Rates_Alt="y",IF(AD$93=Setup!$I$234,+Setup!$H$234,+AC224),+AC224)</f>
        <v>0.12</v>
      </c>
      <c r="AE224" s="61">
        <f>IF(Tax_Rates_Alt="y",IF(AE$93=Setup!$I$234,+Setup!$H$234,+AD224),+AD224)</f>
        <v>0.12</v>
      </c>
      <c r="AF224" s="61">
        <f>IF(Tax_Rates_Alt="y",IF(AF$93=Setup!$I$234,+Setup!$H$234,+AE224),+AE224)</f>
        <v>0.12</v>
      </c>
      <c r="AG224" s="61">
        <f>IF(Tax_Rates_Alt="y",IF(AG$93=Setup!$I$234,+Setup!$H$234,+AF224),+AF224)</f>
        <v>0.12</v>
      </c>
      <c r="AH224" s="61">
        <f>IF(Tax_Rates_Alt="y",IF(AH$93=Setup!$I$234,+Setup!$H$234,+AG224),+AG224)</f>
        <v>0.12</v>
      </c>
      <c r="AI224" s="61">
        <f>IF(Tax_Rates_Alt="y",IF(AI$93=Setup!$I$234,+Setup!$H$234,+AH224),+AH224)</f>
        <v>0.12</v>
      </c>
      <c r="AJ224" s="61">
        <f>IF(Tax_Rates_Alt="y",IF(AJ$93=Setup!$I$234,+Setup!$H$234,+AI224),+AI224)</f>
        <v>0.12</v>
      </c>
      <c r="AK224" s="61">
        <f>IF(Tax_Rates_Alt="y",IF(AK$93=Setup!$I$234,+Setup!$H$234,+AJ224),+AJ224)</f>
        <v>0.12</v>
      </c>
      <c r="AL224" s="61">
        <f>IF(Tax_Rates_Alt="y",IF(AL$93=Setup!$I$234,+Setup!$H$234,+AK224),+AK224)</f>
        <v>0.12</v>
      </c>
      <c r="AM224" s="61">
        <f>IF(Tax_Rates_Alt="y",IF(AM$93=Setup!$I$234,+Setup!$H$234,+AL224),+AL224)</f>
        <v>0.12</v>
      </c>
      <c r="AN224" s="61">
        <f>IF(Tax_Rates_Alt="y",IF(AN$93=Setup!$I$234,+Setup!$H$234,+AM224),+AM224)</f>
        <v>0.12</v>
      </c>
      <c r="AO224" s="61">
        <f>IF(Tax_Rates_Alt="y",IF(AO$93=Setup!$I$234,+Setup!$H$234,+AN224),+AN224)</f>
        <v>0.12</v>
      </c>
      <c r="AP224" s="61">
        <f>IF(Tax_Rates_Alt="y",IF(AP$93=Setup!$I$234,+Setup!$H$234,+AO224),+AO224)</f>
        <v>0.12</v>
      </c>
      <c r="AQ224" s="61">
        <f>IF(Tax_Rates_Alt="y",IF(AQ$93=Setup!$I$234,+Setup!$H$234,+AP224),+AP224)</f>
        <v>0.12</v>
      </c>
      <c r="AR224" s="61">
        <f>IF(Tax_Rates_Alt="y",IF(AR$93=Setup!$I$234,+Setup!$H$234,+AQ224),+AQ224)</f>
        <v>0.12</v>
      </c>
      <c r="AS224" s="61">
        <f>IF(Tax_Rates_Alt="y",IF(AS$93=Setup!$I$234,+Setup!$H$234,+AR224),+AR224)</f>
        <v>0.12</v>
      </c>
      <c r="AT224" s="61"/>
      <c r="AU224" s="1403">
        <v>0.15</v>
      </c>
    </row>
    <row r="225" spans="2:47" ht="15.6">
      <c r="B225" s="8" t="s">
        <v>1414</v>
      </c>
      <c r="C225" s="29">
        <f>(+C223-C222)*C224</f>
        <v>57960</v>
      </c>
      <c r="D225" s="29">
        <f>(+D223-D222)*D224</f>
        <v>59276.25</v>
      </c>
      <c r="E225" s="29">
        <f t="shared" ref="E225:AS225" si="137">ROUND((+E223-E222)*E224/IF(Round_To&gt;Tax_Rounding,Tax_Rounding,Round_To),0)*IF(Round_To&gt;Tax_Rounding,Tax_Rounding,Round_To)</f>
        <v>3500</v>
      </c>
      <c r="F225" s="29">
        <f t="shared" si="137"/>
        <v>3600</v>
      </c>
      <c r="G225" s="29">
        <f t="shared" si="137"/>
        <v>3600</v>
      </c>
      <c r="H225" s="29">
        <f t="shared" si="137"/>
        <v>3700</v>
      </c>
      <c r="I225" s="29">
        <f t="shared" si="137"/>
        <v>3800</v>
      </c>
      <c r="J225" s="29">
        <f t="shared" si="137"/>
        <v>3900</v>
      </c>
      <c r="K225" s="29">
        <f t="shared" si="137"/>
        <v>4000</v>
      </c>
      <c r="L225" s="29">
        <f t="shared" si="137"/>
        <v>4100</v>
      </c>
      <c r="M225" s="29">
        <f t="shared" si="137"/>
        <v>4200</v>
      </c>
      <c r="N225" s="29">
        <f t="shared" si="137"/>
        <v>4300</v>
      </c>
      <c r="O225" s="29">
        <f t="shared" si="137"/>
        <v>4400</v>
      </c>
      <c r="P225" s="29">
        <f t="shared" si="137"/>
        <v>4500</v>
      </c>
      <c r="Q225" s="29">
        <f t="shared" si="137"/>
        <v>4600</v>
      </c>
      <c r="R225" s="29">
        <f t="shared" si="137"/>
        <v>4700</v>
      </c>
      <c r="S225" s="29">
        <f t="shared" si="137"/>
        <v>4800</v>
      </c>
      <c r="T225" s="29">
        <f t="shared" si="137"/>
        <v>4900</v>
      </c>
      <c r="U225" s="29">
        <f t="shared" si="137"/>
        <v>5000</v>
      </c>
      <c r="V225" s="29">
        <f t="shared" si="137"/>
        <v>5100</v>
      </c>
      <c r="W225" s="29">
        <f t="shared" si="137"/>
        <v>5200</v>
      </c>
      <c r="X225" s="29">
        <f t="shared" si="137"/>
        <v>5300</v>
      </c>
      <c r="Y225" s="29">
        <f t="shared" si="137"/>
        <v>5400</v>
      </c>
      <c r="Z225" s="29">
        <f t="shared" si="137"/>
        <v>5500</v>
      </c>
      <c r="AA225" s="29">
        <f t="shared" si="137"/>
        <v>5700</v>
      </c>
      <c r="AB225" s="29">
        <f t="shared" si="137"/>
        <v>5800</v>
      </c>
      <c r="AC225" s="29">
        <f t="shared" si="137"/>
        <v>5900</v>
      </c>
      <c r="AD225" s="29">
        <f t="shared" si="137"/>
        <v>6100</v>
      </c>
      <c r="AE225" s="29">
        <f t="shared" si="137"/>
        <v>6200</v>
      </c>
      <c r="AF225" s="29">
        <f t="shared" si="137"/>
        <v>6300</v>
      </c>
      <c r="AG225" s="29">
        <f t="shared" si="137"/>
        <v>6500</v>
      </c>
      <c r="AH225" s="29">
        <f t="shared" si="137"/>
        <v>6600</v>
      </c>
      <c r="AI225" s="29">
        <f t="shared" si="137"/>
        <v>6700</v>
      </c>
      <c r="AJ225" s="29">
        <f t="shared" si="137"/>
        <v>6900</v>
      </c>
      <c r="AK225" s="29">
        <f t="shared" si="137"/>
        <v>7000</v>
      </c>
      <c r="AL225" s="29">
        <f t="shared" si="137"/>
        <v>7200</v>
      </c>
      <c r="AM225" s="29">
        <f t="shared" si="137"/>
        <v>7400</v>
      </c>
      <c r="AN225" s="29">
        <f t="shared" si="137"/>
        <v>7500</v>
      </c>
      <c r="AO225" s="29">
        <f t="shared" si="137"/>
        <v>7700</v>
      </c>
      <c r="AP225" s="29">
        <f t="shared" si="137"/>
        <v>7900</v>
      </c>
      <c r="AQ225" s="29">
        <f t="shared" si="137"/>
        <v>8000</v>
      </c>
      <c r="AR225" s="29">
        <f t="shared" si="137"/>
        <v>8200</v>
      </c>
      <c r="AS225" s="29">
        <f t="shared" si="137"/>
        <v>8400</v>
      </c>
      <c r="AT225" s="29"/>
      <c r="AU225" s="22"/>
    </row>
    <row r="226" spans="2:47" ht="15.6">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2"/>
    </row>
    <row r="227" spans="2:47" ht="15.6">
      <c r="B227" s="539" t="s">
        <v>1976</v>
      </c>
      <c r="C227" s="29">
        <f>+C223</f>
        <v>425000</v>
      </c>
      <c r="D227" s="29">
        <f>+D223</f>
        <v>434550</v>
      </c>
      <c r="E227" s="29">
        <f>+E223</f>
        <v>38700</v>
      </c>
      <c r="F227" s="33">
        <f>+F223</f>
        <v>39475</v>
      </c>
      <c r="G227" s="29">
        <f>ROUND(+F227*(1+'Tax Tables'!$C$10)/IF(Round_To&gt;Tax_Rounding,Tax_Rounding,Round_To),0)*IF(Round_To&gt;Tax_Rounding,Tax_Rounding,Round_To)</f>
        <v>40300</v>
      </c>
      <c r="H227" s="29">
        <f>ROUND(+G227*(1+'Tax Tables'!$C$10)/IF(Round_To&gt;Tax_Rounding,Tax_Rounding,Round_To),0)*IF(Round_To&gt;Tax_Rounding,Tax_Rounding,Round_To)</f>
        <v>41200</v>
      </c>
      <c r="I227" s="29">
        <f>ROUND(+H227*(1+'Tax Tables'!$C$10)/IF(Round_To&gt;Tax_Rounding,Tax_Rounding,Round_To),0)*IF(Round_To&gt;Tax_Rounding,Tax_Rounding,Round_To)</f>
        <v>42100</v>
      </c>
      <c r="J227" s="29">
        <f>ROUND(+I227*(1+'Tax Tables'!$C$10)/IF(Round_To&gt;Tax_Rounding,Tax_Rounding,Round_To),0)*IF(Round_To&gt;Tax_Rounding,Tax_Rounding,Round_To)</f>
        <v>43000</v>
      </c>
      <c r="K227" s="29">
        <f>ROUND(+J227*(1+'Tax Tables'!$C$10)/IF(Round_To&gt;Tax_Rounding,Tax_Rounding,Round_To),0)*IF(Round_To&gt;Tax_Rounding,Tax_Rounding,Round_To)</f>
        <v>43900</v>
      </c>
      <c r="L227" s="29">
        <f>ROUND(+K227*(1+'Tax Tables'!$C$10)/IF(Round_To&gt;Tax_Rounding,Tax_Rounding,Round_To),0)*IF(Round_To&gt;Tax_Rounding,Tax_Rounding,Round_To)</f>
        <v>44900</v>
      </c>
      <c r="M227" s="29">
        <f>ROUND(+L227*(1+'Tax Tables'!$C$10)/IF(Round_To&gt;Tax_Rounding,Tax_Rounding,Round_To),0)*IF(Round_To&gt;Tax_Rounding,Tax_Rounding,Round_To)</f>
        <v>45900</v>
      </c>
      <c r="N227" s="29">
        <f>ROUND(+M227*(1+'Tax Tables'!$C$10)/IF(Round_To&gt;Tax_Rounding,Tax_Rounding,Round_To),0)*IF(Round_To&gt;Tax_Rounding,Tax_Rounding,Round_To)</f>
        <v>46900</v>
      </c>
      <c r="O227" s="29">
        <f>ROUND(+N227*(1+'Tax Tables'!$C$10)/IF(Round_To&gt;Tax_Rounding,Tax_Rounding,Round_To),0)*IF(Round_To&gt;Tax_Rounding,Tax_Rounding,Round_To)</f>
        <v>47900</v>
      </c>
      <c r="P227" s="29">
        <f>ROUND(+O227*(1+'Tax Tables'!$C$10)/IF(Round_To&gt;Tax_Rounding,Tax_Rounding,Round_To),0)*IF(Round_To&gt;Tax_Rounding,Tax_Rounding,Round_To)</f>
        <v>49000</v>
      </c>
      <c r="Q227" s="29">
        <f>ROUND(+P227*(1+'Tax Tables'!$C$10)/IF(Round_To&gt;Tax_Rounding,Tax_Rounding,Round_To),0)*IF(Round_To&gt;Tax_Rounding,Tax_Rounding,Round_To)</f>
        <v>50100</v>
      </c>
      <c r="R227" s="29">
        <f>ROUND(+Q227*(1+'Tax Tables'!$C$10)/IF(Round_To&gt;Tax_Rounding,Tax_Rounding,Round_To),0)*IF(Round_To&gt;Tax_Rounding,Tax_Rounding,Round_To)</f>
        <v>51200</v>
      </c>
      <c r="S227" s="29">
        <f>ROUND(+R227*(1+'Tax Tables'!$C$10)/IF(Round_To&gt;Tax_Rounding,Tax_Rounding,Round_To),0)*IF(Round_To&gt;Tax_Rounding,Tax_Rounding,Round_To)</f>
        <v>52300</v>
      </c>
      <c r="T227" s="29">
        <f>ROUND(+S227*(1+'Tax Tables'!$C$10)/IF(Round_To&gt;Tax_Rounding,Tax_Rounding,Round_To),0)*IF(Round_To&gt;Tax_Rounding,Tax_Rounding,Round_To)</f>
        <v>53500</v>
      </c>
      <c r="U227" s="29">
        <f>ROUND(+T227*(1+'Tax Tables'!$C$10)/IF(Round_To&gt;Tax_Rounding,Tax_Rounding,Round_To),0)*IF(Round_To&gt;Tax_Rounding,Tax_Rounding,Round_To)</f>
        <v>54700</v>
      </c>
      <c r="V227" s="29">
        <f>ROUND(+U227*(1+'Tax Tables'!$C$10)/IF(Round_To&gt;Tax_Rounding,Tax_Rounding,Round_To),0)*IF(Round_To&gt;Tax_Rounding,Tax_Rounding,Round_To)</f>
        <v>55900</v>
      </c>
      <c r="W227" s="29">
        <f>ROUND(+V227*(1+'Tax Tables'!$C$10)/IF(Round_To&gt;Tax_Rounding,Tax_Rounding,Round_To),0)*IF(Round_To&gt;Tax_Rounding,Tax_Rounding,Round_To)</f>
        <v>57100</v>
      </c>
      <c r="X227" s="29">
        <f>ROUND(+W227*(1+'Tax Tables'!$C$10)/IF(Round_To&gt;Tax_Rounding,Tax_Rounding,Round_To),0)*IF(Round_To&gt;Tax_Rounding,Tax_Rounding,Round_To)</f>
        <v>58400</v>
      </c>
      <c r="Y227" s="29">
        <f>ROUND(+X227*(1+'Tax Tables'!$C$10)/IF(Round_To&gt;Tax_Rounding,Tax_Rounding,Round_To),0)*IF(Round_To&gt;Tax_Rounding,Tax_Rounding,Round_To)</f>
        <v>59700</v>
      </c>
      <c r="Z227" s="29">
        <f>ROUND(+Y227*(1+'Tax Tables'!$C$10)/IF(Round_To&gt;Tax_Rounding,Tax_Rounding,Round_To),0)*IF(Round_To&gt;Tax_Rounding,Tax_Rounding,Round_To)</f>
        <v>61000</v>
      </c>
      <c r="AA227" s="29">
        <f>ROUND(+Z227*(1+'Tax Tables'!$C$10)/IF(Round_To&gt;Tax_Rounding,Tax_Rounding,Round_To),0)*IF(Round_To&gt;Tax_Rounding,Tax_Rounding,Round_To)</f>
        <v>62300</v>
      </c>
      <c r="AB227" s="29">
        <f>ROUND(+AA227*(1+'Tax Tables'!$C$10)/IF(Round_To&gt;Tax_Rounding,Tax_Rounding,Round_To),0)*IF(Round_To&gt;Tax_Rounding,Tax_Rounding,Round_To)</f>
        <v>63700</v>
      </c>
      <c r="AC227" s="29">
        <f>ROUND(+AB227*(1+'Tax Tables'!$C$10)/IF(Round_To&gt;Tax_Rounding,Tax_Rounding,Round_To),0)*IF(Round_To&gt;Tax_Rounding,Tax_Rounding,Round_To)</f>
        <v>65100</v>
      </c>
      <c r="AD227" s="29">
        <f>ROUND(+AC227*(1+'Tax Tables'!$C$10)/IF(Round_To&gt;Tax_Rounding,Tax_Rounding,Round_To),0)*IF(Round_To&gt;Tax_Rounding,Tax_Rounding,Round_To)</f>
        <v>66500</v>
      </c>
      <c r="AE227" s="29">
        <f>ROUND(+AD227*(1+'Tax Tables'!$C$10)/IF(Round_To&gt;Tax_Rounding,Tax_Rounding,Round_To),0)*IF(Round_To&gt;Tax_Rounding,Tax_Rounding,Round_To)</f>
        <v>68000</v>
      </c>
      <c r="AF227" s="29">
        <f>ROUND(+AE227*(1+'Tax Tables'!$C$10)/IF(Round_To&gt;Tax_Rounding,Tax_Rounding,Round_To),0)*IF(Round_To&gt;Tax_Rounding,Tax_Rounding,Round_To)</f>
        <v>69500</v>
      </c>
      <c r="AG227" s="29">
        <f>ROUND(+AF227*(1+'Tax Tables'!$C$10)/IF(Round_To&gt;Tax_Rounding,Tax_Rounding,Round_To),0)*IF(Round_To&gt;Tax_Rounding,Tax_Rounding,Round_To)</f>
        <v>71000</v>
      </c>
      <c r="AH227" s="29">
        <f>ROUND(+AG227*(1+'Tax Tables'!$C$10)/IF(Round_To&gt;Tax_Rounding,Tax_Rounding,Round_To),0)*IF(Round_To&gt;Tax_Rounding,Tax_Rounding,Round_To)</f>
        <v>72600</v>
      </c>
      <c r="AI227" s="29">
        <f>ROUND(+AH227*(1+'Tax Tables'!$C$10)/IF(Round_To&gt;Tax_Rounding,Tax_Rounding,Round_To),0)*IF(Round_To&gt;Tax_Rounding,Tax_Rounding,Round_To)</f>
        <v>74200</v>
      </c>
      <c r="AJ227" s="29">
        <f>ROUND(+AI227*(1+'Tax Tables'!$C$10)/IF(Round_To&gt;Tax_Rounding,Tax_Rounding,Round_To),0)*IF(Round_To&gt;Tax_Rounding,Tax_Rounding,Round_To)</f>
        <v>75800</v>
      </c>
      <c r="AK227" s="29">
        <f>ROUND(+AJ227*(1+'Tax Tables'!$C$10)/IF(Round_To&gt;Tax_Rounding,Tax_Rounding,Round_To),0)*IF(Round_To&gt;Tax_Rounding,Tax_Rounding,Round_To)</f>
        <v>77500</v>
      </c>
      <c r="AL227" s="29">
        <f>ROUND(+AK227*(1+'Tax Tables'!$C$10)/IF(Round_To&gt;Tax_Rounding,Tax_Rounding,Round_To),0)*IF(Round_To&gt;Tax_Rounding,Tax_Rounding,Round_To)</f>
        <v>79200</v>
      </c>
      <c r="AM227" s="29">
        <f>ROUND(+AL227*(1+'Tax Tables'!$C$10)/IF(Round_To&gt;Tax_Rounding,Tax_Rounding,Round_To),0)*IF(Round_To&gt;Tax_Rounding,Tax_Rounding,Round_To)</f>
        <v>80900</v>
      </c>
      <c r="AN227" s="29">
        <f>ROUND(+AM227*(1+'Tax Tables'!$C$10)/IF(Round_To&gt;Tax_Rounding,Tax_Rounding,Round_To),0)*IF(Round_To&gt;Tax_Rounding,Tax_Rounding,Round_To)</f>
        <v>82700</v>
      </c>
      <c r="AO227" s="29">
        <f>ROUND(+AN227*(1+'Tax Tables'!$C$10)/IF(Round_To&gt;Tax_Rounding,Tax_Rounding,Round_To),0)*IF(Round_To&gt;Tax_Rounding,Tax_Rounding,Round_To)</f>
        <v>84500</v>
      </c>
      <c r="AP227" s="29">
        <f>ROUND(+AO227*(1+'Tax Tables'!$C$10)/IF(Round_To&gt;Tax_Rounding,Tax_Rounding,Round_To),0)*IF(Round_To&gt;Tax_Rounding,Tax_Rounding,Round_To)</f>
        <v>86400</v>
      </c>
      <c r="AQ227" s="29">
        <f>ROUND(+AP227*(1+'Tax Tables'!$C$10)/IF(Round_To&gt;Tax_Rounding,Tax_Rounding,Round_To),0)*IF(Round_To&gt;Tax_Rounding,Tax_Rounding,Round_To)</f>
        <v>88300</v>
      </c>
      <c r="AR227" s="29">
        <f>ROUND(+AQ227*(1+'Tax Tables'!$C$10)/IF(Round_To&gt;Tax_Rounding,Tax_Rounding,Round_To),0)*IF(Round_To&gt;Tax_Rounding,Tax_Rounding,Round_To)</f>
        <v>90200</v>
      </c>
      <c r="AS227" s="29">
        <f>ROUND(+AR227*(1+'Tax Tables'!$C$10)/IF(Round_To&gt;Tax_Rounding,Tax_Rounding,Round_To),0)*IF(Round_To&gt;Tax_Rounding,Tax_Rounding,Round_To)</f>
        <v>92200</v>
      </c>
      <c r="AT227" s="29"/>
      <c r="AU227" s="66">
        <v>38700</v>
      </c>
    </row>
    <row r="228" spans="2:47" ht="15.6">
      <c r="B228" s="8" t="s">
        <v>1475</v>
      </c>
      <c r="C228" s="224"/>
      <c r="D228" s="224"/>
      <c r="E228" s="1643">
        <v>82500</v>
      </c>
      <c r="F228" s="464">
        <v>84200</v>
      </c>
      <c r="G228" s="29">
        <f>ROUND(+F228*(1+'Tax Tables'!$C$10)/IF(Round_To&gt;Tax_Rounding,Tax_Rounding,Round_To),0)*IF(Round_To&gt;Tax_Rounding,Tax_Rounding,Round_To)</f>
        <v>86100</v>
      </c>
      <c r="H228" s="29">
        <f>ROUND(+G228*(1+'Tax Tables'!$C$10)/IF(Round_To&gt;Tax_Rounding,Tax_Rounding,Round_To),0)*IF(Round_To&gt;Tax_Rounding,Tax_Rounding,Round_To)</f>
        <v>88000</v>
      </c>
      <c r="I228" s="29">
        <f>ROUND(+H228*(1+'Tax Tables'!$C$10)/IF(Round_To&gt;Tax_Rounding,Tax_Rounding,Round_To),0)*IF(Round_To&gt;Tax_Rounding,Tax_Rounding,Round_To)</f>
        <v>89900</v>
      </c>
      <c r="J228" s="29">
        <f>ROUND(+I228*(1+'Tax Tables'!$C$10)/IF(Round_To&gt;Tax_Rounding,Tax_Rounding,Round_To),0)*IF(Round_To&gt;Tax_Rounding,Tax_Rounding,Round_To)</f>
        <v>91900</v>
      </c>
      <c r="K228" s="29">
        <f>ROUND(+J228*(1+'Tax Tables'!$C$10)/IF(Round_To&gt;Tax_Rounding,Tax_Rounding,Round_To),0)*IF(Round_To&gt;Tax_Rounding,Tax_Rounding,Round_To)</f>
        <v>93900</v>
      </c>
      <c r="L228" s="29">
        <f>ROUND(+K228*(1+'Tax Tables'!$C$10)/IF(Round_To&gt;Tax_Rounding,Tax_Rounding,Round_To),0)*IF(Round_To&gt;Tax_Rounding,Tax_Rounding,Round_To)</f>
        <v>96000</v>
      </c>
      <c r="M228" s="29">
        <f>ROUND(+L228*(1+'Tax Tables'!$C$10)/IF(Round_To&gt;Tax_Rounding,Tax_Rounding,Round_To),0)*IF(Round_To&gt;Tax_Rounding,Tax_Rounding,Round_To)</f>
        <v>98100</v>
      </c>
      <c r="N228" s="29">
        <f>ROUND(+M228*(1+'Tax Tables'!$C$10)/IF(Round_To&gt;Tax_Rounding,Tax_Rounding,Round_To),0)*IF(Round_To&gt;Tax_Rounding,Tax_Rounding,Round_To)</f>
        <v>100300</v>
      </c>
      <c r="O228" s="29">
        <f>ROUND(+N228*(1+'Tax Tables'!$C$10)/IF(Round_To&gt;Tax_Rounding,Tax_Rounding,Round_To),0)*IF(Round_To&gt;Tax_Rounding,Tax_Rounding,Round_To)</f>
        <v>102500</v>
      </c>
      <c r="P228" s="29">
        <f>ROUND(+O228*(1+'Tax Tables'!$C$10)/IF(Round_To&gt;Tax_Rounding,Tax_Rounding,Round_To),0)*IF(Round_To&gt;Tax_Rounding,Tax_Rounding,Round_To)</f>
        <v>104800</v>
      </c>
      <c r="Q228" s="29">
        <f>ROUND(+P228*(1+'Tax Tables'!$C$10)/IF(Round_To&gt;Tax_Rounding,Tax_Rounding,Round_To),0)*IF(Round_To&gt;Tax_Rounding,Tax_Rounding,Round_To)</f>
        <v>107100</v>
      </c>
      <c r="R228" s="29">
        <f>ROUND(+Q228*(1+'Tax Tables'!$C$10)/IF(Round_To&gt;Tax_Rounding,Tax_Rounding,Round_To),0)*IF(Round_To&gt;Tax_Rounding,Tax_Rounding,Round_To)</f>
        <v>109500</v>
      </c>
      <c r="S228" s="29">
        <f>ROUND(+R228*(1+'Tax Tables'!$C$10)/IF(Round_To&gt;Tax_Rounding,Tax_Rounding,Round_To),0)*IF(Round_To&gt;Tax_Rounding,Tax_Rounding,Round_To)</f>
        <v>111900</v>
      </c>
      <c r="T228" s="29">
        <f>ROUND(+S228*(1+'Tax Tables'!$C$10)/IF(Round_To&gt;Tax_Rounding,Tax_Rounding,Round_To),0)*IF(Round_To&gt;Tax_Rounding,Tax_Rounding,Round_To)</f>
        <v>114400</v>
      </c>
      <c r="U228" s="29">
        <f>ROUND(+T228*(1+'Tax Tables'!$C$10)/IF(Round_To&gt;Tax_Rounding,Tax_Rounding,Round_To),0)*IF(Round_To&gt;Tax_Rounding,Tax_Rounding,Round_To)</f>
        <v>116900</v>
      </c>
      <c r="V228" s="29">
        <f>ROUND(+U228*(1+'Tax Tables'!$C$10)/IF(Round_To&gt;Tax_Rounding,Tax_Rounding,Round_To),0)*IF(Round_To&gt;Tax_Rounding,Tax_Rounding,Round_To)</f>
        <v>119500</v>
      </c>
      <c r="W228" s="29">
        <f>ROUND(+V228*(1+'Tax Tables'!$C$10)/IF(Round_To&gt;Tax_Rounding,Tax_Rounding,Round_To),0)*IF(Round_To&gt;Tax_Rounding,Tax_Rounding,Round_To)</f>
        <v>122100</v>
      </c>
      <c r="X228" s="29">
        <f>ROUND(+W228*(1+'Tax Tables'!$C$10)/IF(Round_To&gt;Tax_Rounding,Tax_Rounding,Round_To),0)*IF(Round_To&gt;Tax_Rounding,Tax_Rounding,Round_To)</f>
        <v>124800</v>
      </c>
      <c r="Y228" s="29">
        <f>ROUND(+X228*(1+'Tax Tables'!$C$10)/IF(Round_To&gt;Tax_Rounding,Tax_Rounding,Round_To),0)*IF(Round_To&gt;Tax_Rounding,Tax_Rounding,Round_To)</f>
        <v>127500</v>
      </c>
      <c r="Z228" s="29">
        <f>ROUND(+Y228*(1+'Tax Tables'!$C$10)/IF(Round_To&gt;Tax_Rounding,Tax_Rounding,Round_To),0)*IF(Round_To&gt;Tax_Rounding,Tax_Rounding,Round_To)</f>
        <v>130300</v>
      </c>
      <c r="AA228" s="29">
        <f>ROUND(+Z228*(1+'Tax Tables'!$C$10)/IF(Round_To&gt;Tax_Rounding,Tax_Rounding,Round_To),0)*IF(Round_To&gt;Tax_Rounding,Tax_Rounding,Round_To)</f>
        <v>133200</v>
      </c>
      <c r="AB228" s="29">
        <f>ROUND(+AA228*(1+'Tax Tables'!$C$10)/IF(Round_To&gt;Tax_Rounding,Tax_Rounding,Round_To),0)*IF(Round_To&gt;Tax_Rounding,Tax_Rounding,Round_To)</f>
        <v>136100</v>
      </c>
      <c r="AC228" s="29">
        <f>ROUND(+AB228*(1+'Tax Tables'!$C$10)/IF(Round_To&gt;Tax_Rounding,Tax_Rounding,Round_To),0)*IF(Round_To&gt;Tax_Rounding,Tax_Rounding,Round_To)</f>
        <v>139100</v>
      </c>
      <c r="AD228" s="29">
        <f>ROUND(+AC228*(1+'Tax Tables'!$C$10)/IF(Round_To&gt;Tax_Rounding,Tax_Rounding,Round_To),0)*IF(Round_To&gt;Tax_Rounding,Tax_Rounding,Round_To)</f>
        <v>142200</v>
      </c>
      <c r="AE228" s="29">
        <f>ROUND(+AD228*(1+'Tax Tables'!$C$10)/IF(Round_To&gt;Tax_Rounding,Tax_Rounding,Round_To),0)*IF(Round_To&gt;Tax_Rounding,Tax_Rounding,Round_To)</f>
        <v>145300</v>
      </c>
      <c r="AF228" s="29">
        <f>ROUND(+AE228*(1+'Tax Tables'!$C$10)/IF(Round_To&gt;Tax_Rounding,Tax_Rounding,Round_To),0)*IF(Round_To&gt;Tax_Rounding,Tax_Rounding,Round_To)</f>
        <v>148500</v>
      </c>
      <c r="AG228" s="29">
        <f>ROUND(+AF228*(1+'Tax Tables'!$C$10)/IF(Round_To&gt;Tax_Rounding,Tax_Rounding,Round_To),0)*IF(Round_To&gt;Tax_Rounding,Tax_Rounding,Round_To)</f>
        <v>151800</v>
      </c>
      <c r="AH228" s="29">
        <f>ROUND(+AG228*(1+'Tax Tables'!$C$10)/IF(Round_To&gt;Tax_Rounding,Tax_Rounding,Round_To),0)*IF(Round_To&gt;Tax_Rounding,Tax_Rounding,Round_To)</f>
        <v>155100</v>
      </c>
      <c r="AI228" s="29">
        <f>ROUND(+AH228*(1+'Tax Tables'!$C$10)/IF(Round_To&gt;Tax_Rounding,Tax_Rounding,Round_To),0)*IF(Round_To&gt;Tax_Rounding,Tax_Rounding,Round_To)</f>
        <v>158500</v>
      </c>
      <c r="AJ228" s="29">
        <f>ROUND(+AI228*(1+'Tax Tables'!$C$10)/IF(Round_To&gt;Tax_Rounding,Tax_Rounding,Round_To),0)*IF(Round_To&gt;Tax_Rounding,Tax_Rounding,Round_To)</f>
        <v>162000</v>
      </c>
      <c r="AK228" s="29">
        <f>ROUND(+AJ228*(1+'Tax Tables'!$C$10)/IF(Round_To&gt;Tax_Rounding,Tax_Rounding,Round_To),0)*IF(Round_To&gt;Tax_Rounding,Tax_Rounding,Round_To)</f>
        <v>165600</v>
      </c>
      <c r="AL228" s="29">
        <f>ROUND(+AK228*(1+'Tax Tables'!$C$10)/IF(Round_To&gt;Tax_Rounding,Tax_Rounding,Round_To),0)*IF(Round_To&gt;Tax_Rounding,Tax_Rounding,Round_To)</f>
        <v>169200</v>
      </c>
      <c r="AM228" s="29">
        <f>ROUND(+AL228*(1+'Tax Tables'!$C$10)/IF(Round_To&gt;Tax_Rounding,Tax_Rounding,Round_To),0)*IF(Round_To&gt;Tax_Rounding,Tax_Rounding,Round_To)</f>
        <v>172900</v>
      </c>
      <c r="AN228" s="29">
        <f>ROUND(+AM228*(1+'Tax Tables'!$C$10)/IF(Round_To&gt;Tax_Rounding,Tax_Rounding,Round_To),0)*IF(Round_To&gt;Tax_Rounding,Tax_Rounding,Round_To)</f>
        <v>176700</v>
      </c>
      <c r="AO228" s="29">
        <f>ROUND(+AN228*(1+'Tax Tables'!$C$10)/IF(Round_To&gt;Tax_Rounding,Tax_Rounding,Round_To),0)*IF(Round_To&gt;Tax_Rounding,Tax_Rounding,Round_To)</f>
        <v>180600</v>
      </c>
      <c r="AP228" s="29">
        <f>ROUND(+AO228*(1+'Tax Tables'!$C$10)/IF(Round_To&gt;Tax_Rounding,Tax_Rounding,Round_To),0)*IF(Round_To&gt;Tax_Rounding,Tax_Rounding,Round_To)</f>
        <v>184600</v>
      </c>
      <c r="AQ228" s="29">
        <f>ROUND(+AP228*(1+'Tax Tables'!$C$10)/IF(Round_To&gt;Tax_Rounding,Tax_Rounding,Round_To),0)*IF(Round_To&gt;Tax_Rounding,Tax_Rounding,Round_To)</f>
        <v>188700</v>
      </c>
      <c r="AR228" s="29">
        <f>ROUND(+AQ228*(1+'Tax Tables'!$C$10)/IF(Round_To&gt;Tax_Rounding,Tax_Rounding,Round_To),0)*IF(Round_To&gt;Tax_Rounding,Tax_Rounding,Round_To)</f>
        <v>192900</v>
      </c>
      <c r="AS228" s="29">
        <f>ROUND(+AR228*(1+'Tax Tables'!$C$10)/IF(Round_To&gt;Tax_Rounding,Tax_Rounding,Round_To),0)*IF(Round_To&gt;Tax_Rounding,Tax_Rounding,Round_To)</f>
        <v>197100</v>
      </c>
      <c r="AT228" s="29"/>
      <c r="AU228" s="66">
        <v>93700</v>
      </c>
    </row>
    <row r="229" spans="2:47" ht="15.6">
      <c r="B229" s="8" t="s">
        <v>1476</v>
      </c>
      <c r="C229" s="226">
        <v>0.2</v>
      </c>
      <c r="D229" s="226">
        <v>0.2</v>
      </c>
      <c r="E229" s="1645">
        <v>0.22</v>
      </c>
      <c r="F229" s="469">
        <v>0.22</v>
      </c>
      <c r="G229" s="61">
        <f>IF(Tax_Rates_Alt="y",IF(G$93=Setup!$I$235,+Setup!$H$235,+F229),+F229)</f>
        <v>0.22</v>
      </c>
      <c r="H229" s="61">
        <f>IF(Tax_Rates_Alt="y",IF(H$93=Setup!$I$235,+Setup!$H$235,+G229),+G229)</f>
        <v>0.22</v>
      </c>
      <c r="I229" s="61">
        <f>IF(Tax_Rates_Alt="y",IF(I$93=Setup!$I$235,+Setup!$H$235,+H229),+H229)</f>
        <v>0.22</v>
      </c>
      <c r="J229" s="61">
        <f>IF(Tax_Rates_Alt="y",IF(J$93=Setup!$I$235,+Setup!$H$235,+I229),+I229)</f>
        <v>0.22</v>
      </c>
      <c r="K229" s="61">
        <f>IF(Tax_Rates_Alt="y",IF(K$93=Setup!$I$235,+Setup!$H$235,+J229),+J229)</f>
        <v>0.22</v>
      </c>
      <c r="L229" s="61">
        <f>IF(Tax_Rates_Alt="y",IF(L$93=Setup!$I$235,+Setup!$H$235,+K229),+K229)</f>
        <v>0.22</v>
      </c>
      <c r="M229" s="61">
        <f>IF(Tax_Rates_Alt="y",IF(M$93=Setup!$I$235,+Setup!$H$235,+L229),+L229)</f>
        <v>0.22</v>
      </c>
      <c r="N229" s="61">
        <f>IF(Tax_Rates_Alt="y",IF(N$93=Setup!$I$235,+Setup!$H$235,+M229),+M229)</f>
        <v>0.22</v>
      </c>
      <c r="O229" s="61">
        <f>IF(Tax_Rates_Alt="y",IF(O$93=Setup!$I$235,+Setup!$H$235,+N229),+N229)</f>
        <v>0.22</v>
      </c>
      <c r="P229" s="61">
        <f>IF(Tax_Rates_Alt="y",IF(P$93=Setup!$I$235,+Setup!$H$235,+O229),+O229)</f>
        <v>0.22</v>
      </c>
      <c r="Q229" s="61">
        <f>IF(Tax_Rates_Alt="y",IF(Q$93=Setup!$I$235,+Setup!$H$235,+P229),+P229)</f>
        <v>0.22</v>
      </c>
      <c r="R229" s="61">
        <f>IF(Tax_Rates_Alt="y",IF(R$93=Setup!$I$235,+Setup!$H$235,+Q229),+Q229)</f>
        <v>0.22</v>
      </c>
      <c r="S229" s="61">
        <f>IF(Tax_Rates_Alt="y",IF(S$93=Setup!$I$235,+Setup!$H$235,+R229),+R229)</f>
        <v>0.22</v>
      </c>
      <c r="T229" s="61">
        <f>IF(Tax_Rates_Alt="y",IF(T$93=Setup!$I$235,+Setup!$H$235,+S229),+S229)</f>
        <v>0.22</v>
      </c>
      <c r="U229" s="61">
        <f>IF(Tax_Rates_Alt="y",IF(U$93=Setup!$I$235,+Setup!$H$235,+T229),+T229)</f>
        <v>0.22</v>
      </c>
      <c r="V229" s="61">
        <f>IF(Tax_Rates_Alt="y",IF(V$93=Setup!$I$235,+Setup!$H$235,+U229),+U229)</f>
        <v>0.22</v>
      </c>
      <c r="W229" s="61">
        <f>IF(Tax_Rates_Alt="y",IF(W$93=Setup!$I$235,+Setup!$H$235,+V229),+V229)</f>
        <v>0.22</v>
      </c>
      <c r="X229" s="61">
        <f>IF(Tax_Rates_Alt="y",IF(X$93=Setup!$I$235,+Setup!$H$235,+W229),+W229)</f>
        <v>0.22</v>
      </c>
      <c r="Y229" s="61">
        <f>IF(Tax_Rates_Alt="y",IF(Y$93=Setup!$I$235,+Setup!$H$235,+X229),+X229)</f>
        <v>0.22</v>
      </c>
      <c r="Z229" s="61">
        <f>IF(Tax_Rates_Alt="y",IF(Z$93=Setup!$I$235,+Setup!$H$235,+Y229),+Y229)</f>
        <v>0.22</v>
      </c>
      <c r="AA229" s="61">
        <f>IF(Tax_Rates_Alt="y",IF(AA$93=Setup!$I$235,+Setup!$H$235,+Z229),+Z229)</f>
        <v>0.22</v>
      </c>
      <c r="AB229" s="61">
        <f>IF(Tax_Rates_Alt="y",IF(AB$93=Setup!$I$235,+Setup!$H$235,+AA229),+AA229)</f>
        <v>0.22</v>
      </c>
      <c r="AC229" s="61">
        <f>IF(Tax_Rates_Alt="y",IF(AC$93=Setup!$I$235,+Setup!$H$235,+AB229),+AB229)</f>
        <v>0.22</v>
      </c>
      <c r="AD229" s="61">
        <f>IF(Tax_Rates_Alt="y",IF(AD$93=Setup!$I$235,+Setup!$H$235,+AC229),+AC229)</f>
        <v>0.22</v>
      </c>
      <c r="AE229" s="61">
        <f>IF(Tax_Rates_Alt="y",IF(AE$93=Setup!$I$235,+Setup!$H$235,+AD229),+AD229)</f>
        <v>0.22</v>
      </c>
      <c r="AF229" s="61">
        <f>IF(Tax_Rates_Alt="y",IF(AF$93=Setup!$I$235,+Setup!$H$235,+AE229),+AE229)</f>
        <v>0.22</v>
      </c>
      <c r="AG229" s="61">
        <f>IF(Tax_Rates_Alt="y",IF(AG$93=Setup!$I$235,+Setup!$H$235,+AF229),+AF229)</f>
        <v>0.22</v>
      </c>
      <c r="AH229" s="61">
        <f>IF(Tax_Rates_Alt="y",IF(AH$93=Setup!$I$235,+Setup!$H$235,+AG229),+AG229)</f>
        <v>0.22</v>
      </c>
      <c r="AI229" s="61">
        <f>IF(Tax_Rates_Alt="y",IF(AI$93=Setup!$I$235,+Setup!$H$235,+AH229),+AH229)</f>
        <v>0.22</v>
      </c>
      <c r="AJ229" s="61">
        <f>IF(Tax_Rates_Alt="y",IF(AJ$93=Setup!$I$235,+Setup!$H$235,+AI229),+AI229)</f>
        <v>0.22</v>
      </c>
      <c r="AK229" s="61">
        <f>IF(Tax_Rates_Alt="y",IF(AK$93=Setup!$I$235,+Setup!$H$235,+AJ229),+AJ229)</f>
        <v>0.22</v>
      </c>
      <c r="AL229" s="61">
        <f>IF(Tax_Rates_Alt="y",IF(AL$93=Setup!$I$235,+Setup!$H$235,+AK229),+AK229)</f>
        <v>0.22</v>
      </c>
      <c r="AM229" s="61">
        <f>IF(Tax_Rates_Alt="y",IF(AM$93=Setup!$I$235,+Setup!$H$235,+AL229),+AL229)</f>
        <v>0.22</v>
      </c>
      <c r="AN229" s="61">
        <f>IF(Tax_Rates_Alt="y",IF(AN$93=Setup!$I$235,+Setup!$H$235,+AM229),+AM229)</f>
        <v>0.22</v>
      </c>
      <c r="AO229" s="61">
        <f>IF(Tax_Rates_Alt="y",IF(AO$93=Setup!$I$235,+Setup!$H$235,+AN229),+AN229)</f>
        <v>0.22</v>
      </c>
      <c r="AP229" s="61">
        <f>IF(Tax_Rates_Alt="y",IF(AP$93=Setup!$I$235,+Setup!$H$235,+AO229),+AO229)</f>
        <v>0.22</v>
      </c>
      <c r="AQ229" s="61">
        <f>IF(Tax_Rates_Alt="y",IF(AQ$93=Setup!$I$235,+Setup!$H$235,+AP229),+AP229)</f>
        <v>0.22</v>
      </c>
      <c r="AR229" s="61">
        <f>IF(Tax_Rates_Alt="y",IF(AR$93=Setup!$I$235,+Setup!$H$235,+AQ229),+AQ229)</f>
        <v>0.22</v>
      </c>
      <c r="AS229" s="61">
        <f>IF(Tax_Rates_Alt="y",IF(AS$93=Setup!$I$235,+Setup!$H$235,+AR229),+AR229)</f>
        <v>0.22</v>
      </c>
      <c r="AT229" s="61"/>
      <c r="AU229" s="1403">
        <v>0.25</v>
      </c>
    </row>
    <row r="230" spans="2:47" ht="15.6">
      <c r="B230" s="8" t="s">
        <v>1414</v>
      </c>
      <c r="D230" s="29"/>
      <c r="E230" s="29">
        <f t="shared" ref="E230:AS230" si="138">ROUND((+E228-E227)*E229/IF(Round_To&gt;Tax_Rounding,Tax_Rounding,Round_To),0)*IF(Round_To&gt;Tax_Rounding,Tax_Rounding,Round_To)</f>
        <v>9600</v>
      </c>
      <c r="F230" s="29">
        <f t="shared" si="138"/>
        <v>9800</v>
      </c>
      <c r="G230" s="29">
        <f t="shared" si="138"/>
        <v>10100</v>
      </c>
      <c r="H230" s="29">
        <f t="shared" si="138"/>
        <v>10300</v>
      </c>
      <c r="I230" s="29">
        <f t="shared" si="138"/>
        <v>10500</v>
      </c>
      <c r="J230" s="29">
        <f t="shared" si="138"/>
        <v>10800</v>
      </c>
      <c r="K230" s="29">
        <f t="shared" si="138"/>
        <v>11000</v>
      </c>
      <c r="L230" s="29">
        <f t="shared" si="138"/>
        <v>11200</v>
      </c>
      <c r="M230" s="29">
        <f t="shared" si="138"/>
        <v>11500</v>
      </c>
      <c r="N230" s="29">
        <f t="shared" si="138"/>
        <v>11700</v>
      </c>
      <c r="O230" s="29">
        <f t="shared" si="138"/>
        <v>12000</v>
      </c>
      <c r="P230" s="29">
        <f t="shared" si="138"/>
        <v>12300</v>
      </c>
      <c r="Q230" s="29">
        <f t="shared" si="138"/>
        <v>12500</v>
      </c>
      <c r="R230" s="29">
        <f t="shared" si="138"/>
        <v>12800</v>
      </c>
      <c r="S230" s="29">
        <f t="shared" si="138"/>
        <v>13100</v>
      </c>
      <c r="T230" s="29">
        <f t="shared" si="138"/>
        <v>13400</v>
      </c>
      <c r="U230" s="29">
        <f t="shared" si="138"/>
        <v>13700</v>
      </c>
      <c r="V230" s="29">
        <f t="shared" si="138"/>
        <v>14000</v>
      </c>
      <c r="W230" s="29">
        <f t="shared" si="138"/>
        <v>14300</v>
      </c>
      <c r="X230" s="29">
        <f t="shared" si="138"/>
        <v>14600</v>
      </c>
      <c r="Y230" s="29">
        <f t="shared" si="138"/>
        <v>14900</v>
      </c>
      <c r="Z230" s="29">
        <f t="shared" si="138"/>
        <v>15200</v>
      </c>
      <c r="AA230" s="29">
        <f t="shared" si="138"/>
        <v>15600</v>
      </c>
      <c r="AB230" s="29">
        <f t="shared" si="138"/>
        <v>15900</v>
      </c>
      <c r="AC230" s="29">
        <f t="shared" si="138"/>
        <v>16300</v>
      </c>
      <c r="AD230" s="29">
        <f t="shared" si="138"/>
        <v>16700</v>
      </c>
      <c r="AE230" s="29">
        <f t="shared" si="138"/>
        <v>17000</v>
      </c>
      <c r="AF230" s="29">
        <f t="shared" si="138"/>
        <v>17400</v>
      </c>
      <c r="AG230" s="29">
        <f t="shared" si="138"/>
        <v>17800</v>
      </c>
      <c r="AH230" s="29">
        <f t="shared" si="138"/>
        <v>18200</v>
      </c>
      <c r="AI230" s="29">
        <f t="shared" si="138"/>
        <v>18500</v>
      </c>
      <c r="AJ230" s="29">
        <f t="shared" si="138"/>
        <v>19000</v>
      </c>
      <c r="AK230" s="29">
        <f t="shared" si="138"/>
        <v>19400</v>
      </c>
      <c r="AL230" s="29">
        <f t="shared" si="138"/>
        <v>19800</v>
      </c>
      <c r="AM230" s="29">
        <f t="shared" si="138"/>
        <v>20200</v>
      </c>
      <c r="AN230" s="29">
        <f t="shared" si="138"/>
        <v>20700</v>
      </c>
      <c r="AO230" s="29">
        <f t="shared" si="138"/>
        <v>21100</v>
      </c>
      <c r="AP230" s="29">
        <f t="shared" si="138"/>
        <v>21600</v>
      </c>
      <c r="AQ230" s="29">
        <f t="shared" si="138"/>
        <v>22100</v>
      </c>
      <c r="AR230" s="29">
        <f t="shared" si="138"/>
        <v>22600</v>
      </c>
      <c r="AS230" s="29">
        <f t="shared" si="138"/>
        <v>23100</v>
      </c>
      <c r="AT230" s="29"/>
      <c r="AU230" s="22"/>
    </row>
    <row r="231" spans="2:47" ht="15.6">
      <c r="C231" s="8"/>
      <c r="D231" s="29"/>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2"/>
    </row>
    <row r="232" spans="2:47" ht="15.6">
      <c r="B232" s="539" t="s">
        <v>1977</v>
      </c>
      <c r="C232" s="8"/>
      <c r="D232" s="29"/>
      <c r="E232" s="29">
        <f>+E228</f>
        <v>82500</v>
      </c>
      <c r="F232" s="33">
        <f>+F228</f>
        <v>84200</v>
      </c>
      <c r="G232" s="29">
        <f>ROUND(+F232*(1+'Tax Tables'!$C$10)/IF(Round_To&gt;Tax_Rounding,Tax_Rounding,Round_To),0)*IF(Round_To&gt;Tax_Rounding,Tax_Rounding,Round_To)</f>
        <v>86100</v>
      </c>
      <c r="H232" s="29">
        <f>ROUND(+G232*(1+'Tax Tables'!$C$10)/IF(Round_To&gt;Tax_Rounding,Tax_Rounding,Round_To),0)*IF(Round_To&gt;Tax_Rounding,Tax_Rounding,Round_To)</f>
        <v>88000</v>
      </c>
      <c r="I232" s="29">
        <f>ROUND(+H232*(1+'Tax Tables'!$C$10)/IF(Round_To&gt;Tax_Rounding,Tax_Rounding,Round_To),0)*IF(Round_To&gt;Tax_Rounding,Tax_Rounding,Round_To)</f>
        <v>89900</v>
      </c>
      <c r="J232" s="29">
        <f>ROUND(+I232*(1+'Tax Tables'!$C$10)/IF(Round_To&gt;Tax_Rounding,Tax_Rounding,Round_To),0)*IF(Round_To&gt;Tax_Rounding,Tax_Rounding,Round_To)</f>
        <v>91900</v>
      </c>
      <c r="K232" s="29">
        <f>ROUND(+J232*(1+'Tax Tables'!$C$10)/IF(Round_To&gt;Tax_Rounding,Tax_Rounding,Round_To),0)*IF(Round_To&gt;Tax_Rounding,Tax_Rounding,Round_To)</f>
        <v>93900</v>
      </c>
      <c r="L232" s="29">
        <f>ROUND(+K232*(1+'Tax Tables'!$C$10)/IF(Round_To&gt;Tax_Rounding,Tax_Rounding,Round_To),0)*IF(Round_To&gt;Tax_Rounding,Tax_Rounding,Round_To)</f>
        <v>96000</v>
      </c>
      <c r="M232" s="29">
        <f>ROUND(+L232*(1+'Tax Tables'!$C$10)/IF(Round_To&gt;Tax_Rounding,Tax_Rounding,Round_To),0)*IF(Round_To&gt;Tax_Rounding,Tax_Rounding,Round_To)</f>
        <v>98100</v>
      </c>
      <c r="N232" s="29">
        <f>ROUND(+M232*(1+'Tax Tables'!$C$10)/IF(Round_To&gt;Tax_Rounding,Tax_Rounding,Round_To),0)*IF(Round_To&gt;Tax_Rounding,Tax_Rounding,Round_To)</f>
        <v>100300</v>
      </c>
      <c r="O232" s="29">
        <f>ROUND(+N232*(1+'Tax Tables'!$C$10)/IF(Round_To&gt;Tax_Rounding,Tax_Rounding,Round_To),0)*IF(Round_To&gt;Tax_Rounding,Tax_Rounding,Round_To)</f>
        <v>102500</v>
      </c>
      <c r="P232" s="29">
        <f>ROUND(+O232*(1+'Tax Tables'!$C$10)/IF(Round_To&gt;Tax_Rounding,Tax_Rounding,Round_To),0)*IF(Round_To&gt;Tax_Rounding,Tax_Rounding,Round_To)</f>
        <v>104800</v>
      </c>
      <c r="Q232" s="29">
        <f>ROUND(+P232*(1+'Tax Tables'!$C$10)/IF(Round_To&gt;Tax_Rounding,Tax_Rounding,Round_To),0)*IF(Round_To&gt;Tax_Rounding,Tax_Rounding,Round_To)</f>
        <v>107100</v>
      </c>
      <c r="R232" s="29">
        <f>ROUND(+Q232*(1+'Tax Tables'!$C$10)/IF(Round_To&gt;Tax_Rounding,Tax_Rounding,Round_To),0)*IF(Round_To&gt;Tax_Rounding,Tax_Rounding,Round_To)</f>
        <v>109500</v>
      </c>
      <c r="S232" s="29">
        <f>ROUND(+R232*(1+'Tax Tables'!$C$10)/IF(Round_To&gt;Tax_Rounding,Tax_Rounding,Round_To),0)*IF(Round_To&gt;Tax_Rounding,Tax_Rounding,Round_To)</f>
        <v>111900</v>
      </c>
      <c r="T232" s="29">
        <f>ROUND(+S232*(1+'Tax Tables'!$C$10)/IF(Round_To&gt;Tax_Rounding,Tax_Rounding,Round_To),0)*IF(Round_To&gt;Tax_Rounding,Tax_Rounding,Round_To)</f>
        <v>114400</v>
      </c>
      <c r="U232" s="29">
        <f>ROUND(+T232*(1+'Tax Tables'!$C$10)/IF(Round_To&gt;Tax_Rounding,Tax_Rounding,Round_To),0)*IF(Round_To&gt;Tax_Rounding,Tax_Rounding,Round_To)</f>
        <v>116900</v>
      </c>
      <c r="V232" s="29">
        <f>ROUND(+U232*(1+'Tax Tables'!$C$10)/IF(Round_To&gt;Tax_Rounding,Tax_Rounding,Round_To),0)*IF(Round_To&gt;Tax_Rounding,Tax_Rounding,Round_To)</f>
        <v>119500</v>
      </c>
      <c r="W232" s="29">
        <f>ROUND(+V232*(1+'Tax Tables'!$C$10)/IF(Round_To&gt;Tax_Rounding,Tax_Rounding,Round_To),0)*IF(Round_To&gt;Tax_Rounding,Tax_Rounding,Round_To)</f>
        <v>122100</v>
      </c>
      <c r="X232" s="29">
        <f>ROUND(+W232*(1+'Tax Tables'!$C$10)/IF(Round_To&gt;Tax_Rounding,Tax_Rounding,Round_To),0)*IF(Round_To&gt;Tax_Rounding,Tax_Rounding,Round_To)</f>
        <v>124800</v>
      </c>
      <c r="Y232" s="29">
        <f>ROUND(+X232*(1+'Tax Tables'!$C$10)/IF(Round_To&gt;Tax_Rounding,Tax_Rounding,Round_To),0)*IF(Round_To&gt;Tax_Rounding,Tax_Rounding,Round_To)</f>
        <v>127500</v>
      </c>
      <c r="Z232" s="29">
        <f>ROUND(+Y232*(1+'Tax Tables'!$C$10)/IF(Round_To&gt;Tax_Rounding,Tax_Rounding,Round_To),0)*IF(Round_To&gt;Tax_Rounding,Tax_Rounding,Round_To)</f>
        <v>130300</v>
      </c>
      <c r="AA232" s="29">
        <f>ROUND(+Z232*(1+'Tax Tables'!$C$10)/IF(Round_To&gt;Tax_Rounding,Tax_Rounding,Round_To),0)*IF(Round_To&gt;Tax_Rounding,Tax_Rounding,Round_To)</f>
        <v>133200</v>
      </c>
      <c r="AB232" s="29">
        <f>ROUND(+AA232*(1+'Tax Tables'!$C$10)/IF(Round_To&gt;Tax_Rounding,Tax_Rounding,Round_To),0)*IF(Round_To&gt;Tax_Rounding,Tax_Rounding,Round_To)</f>
        <v>136100</v>
      </c>
      <c r="AC232" s="29">
        <f>ROUND(+AB232*(1+'Tax Tables'!$C$10)/IF(Round_To&gt;Tax_Rounding,Tax_Rounding,Round_To),0)*IF(Round_To&gt;Tax_Rounding,Tax_Rounding,Round_To)</f>
        <v>139100</v>
      </c>
      <c r="AD232" s="29">
        <f>ROUND(+AC232*(1+'Tax Tables'!$C$10)/IF(Round_To&gt;Tax_Rounding,Tax_Rounding,Round_To),0)*IF(Round_To&gt;Tax_Rounding,Tax_Rounding,Round_To)</f>
        <v>142200</v>
      </c>
      <c r="AE232" s="29">
        <f>ROUND(+AD232*(1+'Tax Tables'!$C$10)/IF(Round_To&gt;Tax_Rounding,Tax_Rounding,Round_To),0)*IF(Round_To&gt;Tax_Rounding,Tax_Rounding,Round_To)</f>
        <v>145300</v>
      </c>
      <c r="AF232" s="29">
        <f>ROUND(+AE232*(1+'Tax Tables'!$C$10)/IF(Round_To&gt;Tax_Rounding,Tax_Rounding,Round_To),0)*IF(Round_To&gt;Tax_Rounding,Tax_Rounding,Round_To)</f>
        <v>148500</v>
      </c>
      <c r="AG232" s="29">
        <f>ROUND(+AF232*(1+'Tax Tables'!$C$10)/IF(Round_To&gt;Tax_Rounding,Tax_Rounding,Round_To),0)*IF(Round_To&gt;Tax_Rounding,Tax_Rounding,Round_To)</f>
        <v>151800</v>
      </c>
      <c r="AH232" s="29">
        <f>ROUND(+AG232*(1+'Tax Tables'!$C$10)/IF(Round_To&gt;Tax_Rounding,Tax_Rounding,Round_To),0)*IF(Round_To&gt;Tax_Rounding,Tax_Rounding,Round_To)</f>
        <v>155100</v>
      </c>
      <c r="AI232" s="29">
        <f>ROUND(+AH232*(1+'Tax Tables'!$C$10)/IF(Round_To&gt;Tax_Rounding,Tax_Rounding,Round_To),0)*IF(Round_To&gt;Tax_Rounding,Tax_Rounding,Round_To)</f>
        <v>158500</v>
      </c>
      <c r="AJ232" s="29">
        <f>ROUND(+AI232*(1+'Tax Tables'!$C$10)/IF(Round_To&gt;Tax_Rounding,Tax_Rounding,Round_To),0)*IF(Round_To&gt;Tax_Rounding,Tax_Rounding,Round_To)</f>
        <v>162000</v>
      </c>
      <c r="AK232" s="29">
        <f>ROUND(+AJ232*(1+'Tax Tables'!$C$10)/IF(Round_To&gt;Tax_Rounding,Tax_Rounding,Round_To),0)*IF(Round_To&gt;Tax_Rounding,Tax_Rounding,Round_To)</f>
        <v>165600</v>
      </c>
      <c r="AL232" s="29">
        <f>ROUND(+AK232*(1+'Tax Tables'!$C$10)/IF(Round_To&gt;Tax_Rounding,Tax_Rounding,Round_To),0)*IF(Round_To&gt;Tax_Rounding,Tax_Rounding,Round_To)</f>
        <v>169200</v>
      </c>
      <c r="AM232" s="29">
        <f>ROUND(+AL232*(1+'Tax Tables'!$C$10)/IF(Round_To&gt;Tax_Rounding,Tax_Rounding,Round_To),0)*IF(Round_To&gt;Tax_Rounding,Tax_Rounding,Round_To)</f>
        <v>172900</v>
      </c>
      <c r="AN232" s="29">
        <f>ROUND(+AM232*(1+'Tax Tables'!$C$10)/IF(Round_To&gt;Tax_Rounding,Tax_Rounding,Round_To),0)*IF(Round_To&gt;Tax_Rounding,Tax_Rounding,Round_To)</f>
        <v>176700</v>
      </c>
      <c r="AO232" s="29">
        <f>ROUND(+AN232*(1+'Tax Tables'!$C$10)/IF(Round_To&gt;Tax_Rounding,Tax_Rounding,Round_To),0)*IF(Round_To&gt;Tax_Rounding,Tax_Rounding,Round_To)</f>
        <v>180600</v>
      </c>
      <c r="AP232" s="29">
        <f>ROUND(+AO232*(1+'Tax Tables'!$C$10)/IF(Round_To&gt;Tax_Rounding,Tax_Rounding,Round_To),0)*IF(Round_To&gt;Tax_Rounding,Tax_Rounding,Round_To)</f>
        <v>184600</v>
      </c>
      <c r="AQ232" s="29">
        <f>ROUND(+AP232*(1+'Tax Tables'!$C$10)/IF(Round_To&gt;Tax_Rounding,Tax_Rounding,Round_To),0)*IF(Round_To&gt;Tax_Rounding,Tax_Rounding,Round_To)</f>
        <v>188700</v>
      </c>
      <c r="AR232" s="29">
        <f>ROUND(+AQ232*(1+'Tax Tables'!$C$10)/IF(Round_To&gt;Tax_Rounding,Tax_Rounding,Round_To),0)*IF(Round_To&gt;Tax_Rounding,Tax_Rounding,Round_To)</f>
        <v>192900</v>
      </c>
      <c r="AS232" s="29">
        <f>ROUND(+AR232*(1+'Tax Tables'!$C$10)/IF(Round_To&gt;Tax_Rounding,Tax_Rounding,Round_To),0)*IF(Round_To&gt;Tax_Rounding,Tax_Rounding,Round_To)</f>
        <v>197100</v>
      </c>
      <c r="AT232" s="29"/>
      <c r="AU232" s="66">
        <v>93700</v>
      </c>
    </row>
    <row r="233" spans="2:47" ht="15.6">
      <c r="B233" s="8" t="s">
        <v>1475</v>
      </c>
      <c r="D233" s="224"/>
      <c r="E233" s="1643">
        <v>157500</v>
      </c>
      <c r="F233" s="464">
        <v>160725</v>
      </c>
      <c r="G233" s="29">
        <f>ROUND(+F233*(1+'Tax Tables'!$C$10)/IF(Round_To&gt;Tax_Rounding,Tax_Rounding,Round_To),0)*IF(Round_To&gt;Tax_Rounding,Tax_Rounding,Round_To)</f>
        <v>164300</v>
      </c>
      <c r="H233" s="29">
        <f>ROUND(+G233*(1+'Tax Tables'!$C$10)/IF(Round_To&gt;Tax_Rounding,Tax_Rounding,Round_To),0)*IF(Round_To&gt;Tax_Rounding,Tax_Rounding,Round_To)</f>
        <v>167900</v>
      </c>
      <c r="I233" s="29">
        <f>ROUND(+H233*(1+'Tax Tables'!$C$10)/IF(Round_To&gt;Tax_Rounding,Tax_Rounding,Round_To),0)*IF(Round_To&gt;Tax_Rounding,Tax_Rounding,Round_To)</f>
        <v>171600</v>
      </c>
      <c r="J233" s="29">
        <f>ROUND(+I233*(1+'Tax Tables'!$C$10)/IF(Round_To&gt;Tax_Rounding,Tax_Rounding,Round_To),0)*IF(Round_To&gt;Tax_Rounding,Tax_Rounding,Round_To)</f>
        <v>175400</v>
      </c>
      <c r="K233" s="29">
        <f>ROUND(+J233*(1+'Tax Tables'!$C$10)/IF(Round_To&gt;Tax_Rounding,Tax_Rounding,Round_To),0)*IF(Round_To&gt;Tax_Rounding,Tax_Rounding,Round_To)</f>
        <v>179300</v>
      </c>
      <c r="L233" s="29">
        <f>ROUND(+K233*(1+'Tax Tables'!$C$10)/IF(Round_To&gt;Tax_Rounding,Tax_Rounding,Round_To),0)*IF(Round_To&gt;Tax_Rounding,Tax_Rounding,Round_To)</f>
        <v>183200</v>
      </c>
      <c r="M233" s="29">
        <f>ROUND(+L233*(1+'Tax Tables'!$C$10)/IF(Round_To&gt;Tax_Rounding,Tax_Rounding,Round_To),0)*IF(Round_To&gt;Tax_Rounding,Tax_Rounding,Round_To)</f>
        <v>187200</v>
      </c>
      <c r="N233" s="29">
        <f>ROUND(+M233*(1+'Tax Tables'!$C$10)/IF(Round_To&gt;Tax_Rounding,Tax_Rounding,Round_To),0)*IF(Round_To&gt;Tax_Rounding,Tax_Rounding,Round_To)</f>
        <v>191300</v>
      </c>
      <c r="O233" s="29">
        <f>ROUND(+N233*(1+'Tax Tables'!$C$10)/IF(Round_To&gt;Tax_Rounding,Tax_Rounding,Round_To),0)*IF(Round_To&gt;Tax_Rounding,Tax_Rounding,Round_To)</f>
        <v>195500</v>
      </c>
      <c r="P233" s="29">
        <f>ROUND(+O233*(1+'Tax Tables'!$C$10)/IF(Round_To&gt;Tax_Rounding,Tax_Rounding,Round_To),0)*IF(Round_To&gt;Tax_Rounding,Tax_Rounding,Round_To)</f>
        <v>199800</v>
      </c>
      <c r="Q233" s="29">
        <f>ROUND(+P233*(1+'Tax Tables'!$C$10)/IF(Round_To&gt;Tax_Rounding,Tax_Rounding,Round_To),0)*IF(Round_To&gt;Tax_Rounding,Tax_Rounding,Round_To)</f>
        <v>204200</v>
      </c>
      <c r="R233" s="29">
        <f>ROUND(+Q233*(1+'Tax Tables'!$C$10)/IF(Round_To&gt;Tax_Rounding,Tax_Rounding,Round_To),0)*IF(Round_To&gt;Tax_Rounding,Tax_Rounding,Round_To)</f>
        <v>208700</v>
      </c>
      <c r="S233" s="29">
        <f>ROUND(+R233*(1+'Tax Tables'!$C$10)/IF(Round_To&gt;Tax_Rounding,Tax_Rounding,Round_To),0)*IF(Round_To&gt;Tax_Rounding,Tax_Rounding,Round_To)</f>
        <v>213300</v>
      </c>
      <c r="T233" s="29">
        <f>ROUND(+S233*(1+'Tax Tables'!$C$10)/IF(Round_To&gt;Tax_Rounding,Tax_Rounding,Round_To),0)*IF(Round_To&gt;Tax_Rounding,Tax_Rounding,Round_To)</f>
        <v>218000</v>
      </c>
      <c r="U233" s="29">
        <f>ROUND(+T233*(1+'Tax Tables'!$C$10)/IF(Round_To&gt;Tax_Rounding,Tax_Rounding,Round_To),0)*IF(Round_To&gt;Tax_Rounding,Tax_Rounding,Round_To)</f>
        <v>222800</v>
      </c>
      <c r="V233" s="29">
        <f>ROUND(+U233*(1+'Tax Tables'!$C$10)/IF(Round_To&gt;Tax_Rounding,Tax_Rounding,Round_To),0)*IF(Round_To&gt;Tax_Rounding,Tax_Rounding,Round_To)</f>
        <v>227700</v>
      </c>
      <c r="W233" s="29">
        <f>ROUND(+V233*(1+'Tax Tables'!$C$10)/IF(Round_To&gt;Tax_Rounding,Tax_Rounding,Round_To),0)*IF(Round_To&gt;Tax_Rounding,Tax_Rounding,Round_To)</f>
        <v>232700</v>
      </c>
      <c r="X233" s="29">
        <f>ROUND(+W233*(1+'Tax Tables'!$C$10)/IF(Round_To&gt;Tax_Rounding,Tax_Rounding,Round_To),0)*IF(Round_To&gt;Tax_Rounding,Tax_Rounding,Round_To)</f>
        <v>237800</v>
      </c>
      <c r="Y233" s="29">
        <f>ROUND(+X233*(1+'Tax Tables'!$C$10)/IF(Round_To&gt;Tax_Rounding,Tax_Rounding,Round_To),0)*IF(Round_To&gt;Tax_Rounding,Tax_Rounding,Round_To)</f>
        <v>243000</v>
      </c>
      <c r="Z233" s="29">
        <f>ROUND(+Y233*(1+'Tax Tables'!$C$10)/IF(Round_To&gt;Tax_Rounding,Tax_Rounding,Round_To),0)*IF(Round_To&gt;Tax_Rounding,Tax_Rounding,Round_To)</f>
        <v>248300</v>
      </c>
      <c r="AA233" s="29">
        <f>ROUND(+Z233*(1+'Tax Tables'!$C$10)/IF(Round_To&gt;Tax_Rounding,Tax_Rounding,Round_To),0)*IF(Round_To&gt;Tax_Rounding,Tax_Rounding,Round_To)</f>
        <v>253800</v>
      </c>
      <c r="AB233" s="29">
        <f>ROUND(+AA233*(1+'Tax Tables'!$C$10)/IF(Round_To&gt;Tax_Rounding,Tax_Rounding,Round_To),0)*IF(Round_To&gt;Tax_Rounding,Tax_Rounding,Round_To)</f>
        <v>259400</v>
      </c>
      <c r="AC233" s="29">
        <f>ROUND(+AB233*(1+'Tax Tables'!$C$10)/IF(Round_To&gt;Tax_Rounding,Tax_Rounding,Round_To),0)*IF(Round_To&gt;Tax_Rounding,Tax_Rounding,Round_To)</f>
        <v>265100</v>
      </c>
      <c r="AD233" s="29">
        <f>ROUND(+AC233*(1+'Tax Tables'!$C$10)/IF(Round_To&gt;Tax_Rounding,Tax_Rounding,Round_To),0)*IF(Round_To&gt;Tax_Rounding,Tax_Rounding,Round_To)</f>
        <v>270900</v>
      </c>
      <c r="AE233" s="29">
        <f>ROUND(+AD233*(1+'Tax Tables'!$C$10)/IF(Round_To&gt;Tax_Rounding,Tax_Rounding,Round_To),0)*IF(Round_To&gt;Tax_Rounding,Tax_Rounding,Round_To)</f>
        <v>276900</v>
      </c>
      <c r="AF233" s="29">
        <f>ROUND(+AE233*(1+'Tax Tables'!$C$10)/IF(Round_To&gt;Tax_Rounding,Tax_Rounding,Round_To),0)*IF(Round_To&gt;Tax_Rounding,Tax_Rounding,Round_To)</f>
        <v>283000</v>
      </c>
      <c r="AG233" s="29">
        <f>ROUND(+AF233*(1+'Tax Tables'!$C$10)/IF(Round_To&gt;Tax_Rounding,Tax_Rounding,Round_To),0)*IF(Round_To&gt;Tax_Rounding,Tax_Rounding,Round_To)</f>
        <v>289200</v>
      </c>
      <c r="AH233" s="29">
        <f>ROUND(+AG233*(1+'Tax Tables'!$C$10)/IF(Round_To&gt;Tax_Rounding,Tax_Rounding,Round_To),0)*IF(Round_To&gt;Tax_Rounding,Tax_Rounding,Round_To)</f>
        <v>295600</v>
      </c>
      <c r="AI233" s="29">
        <f>ROUND(+AH233*(1+'Tax Tables'!$C$10)/IF(Round_To&gt;Tax_Rounding,Tax_Rounding,Round_To),0)*IF(Round_To&gt;Tax_Rounding,Tax_Rounding,Round_To)</f>
        <v>302100</v>
      </c>
      <c r="AJ233" s="29">
        <f>ROUND(+AI233*(1+'Tax Tables'!$C$10)/IF(Round_To&gt;Tax_Rounding,Tax_Rounding,Round_To),0)*IF(Round_To&gt;Tax_Rounding,Tax_Rounding,Round_To)</f>
        <v>308700</v>
      </c>
      <c r="AK233" s="29">
        <f>ROUND(+AJ233*(1+'Tax Tables'!$C$10)/IF(Round_To&gt;Tax_Rounding,Tax_Rounding,Round_To),0)*IF(Round_To&gt;Tax_Rounding,Tax_Rounding,Round_To)</f>
        <v>315500</v>
      </c>
      <c r="AL233" s="29">
        <f>ROUND(+AK233*(1+'Tax Tables'!$C$10)/IF(Round_To&gt;Tax_Rounding,Tax_Rounding,Round_To),0)*IF(Round_To&gt;Tax_Rounding,Tax_Rounding,Round_To)</f>
        <v>322400</v>
      </c>
      <c r="AM233" s="29">
        <f>ROUND(+AL233*(1+'Tax Tables'!$C$10)/IF(Round_To&gt;Tax_Rounding,Tax_Rounding,Round_To),0)*IF(Round_To&gt;Tax_Rounding,Tax_Rounding,Round_To)</f>
        <v>329500</v>
      </c>
      <c r="AN233" s="29">
        <f>ROUND(+AM233*(1+'Tax Tables'!$C$10)/IF(Round_To&gt;Tax_Rounding,Tax_Rounding,Round_To),0)*IF(Round_To&gt;Tax_Rounding,Tax_Rounding,Round_To)</f>
        <v>336700</v>
      </c>
      <c r="AO233" s="29">
        <f>ROUND(+AN233*(1+'Tax Tables'!$C$10)/IF(Round_To&gt;Tax_Rounding,Tax_Rounding,Round_To),0)*IF(Round_To&gt;Tax_Rounding,Tax_Rounding,Round_To)</f>
        <v>344100</v>
      </c>
      <c r="AP233" s="29">
        <f>ROUND(+AO233*(1+'Tax Tables'!$C$10)/IF(Round_To&gt;Tax_Rounding,Tax_Rounding,Round_To),0)*IF(Round_To&gt;Tax_Rounding,Tax_Rounding,Round_To)</f>
        <v>351700</v>
      </c>
      <c r="AQ233" s="29">
        <f>ROUND(+AP233*(1+'Tax Tables'!$C$10)/IF(Round_To&gt;Tax_Rounding,Tax_Rounding,Round_To),0)*IF(Round_To&gt;Tax_Rounding,Tax_Rounding,Round_To)</f>
        <v>359400</v>
      </c>
      <c r="AR233" s="29">
        <f>ROUND(+AQ233*(1+'Tax Tables'!$C$10)/IF(Round_To&gt;Tax_Rounding,Tax_Rounding,Round_To),0)*IF(Round_To&gt;Tax_Rounding,Tax_Rounding,Round_To)</f>
        <v>367300</v>
      </c>
      <c r="AS233" s="29">
        <f>ROUND(+AR233*(1+'Tax Tables'!$C$10)/IF(Round_To&gt;Tax_Rounding,Tax_Rounding,Round_To),0)*IF(Round_To&gt;Tax_Rounding,Tax_Rounding,Round_To)</f>
        <v>375400</v>
      </c>
      <c r="AT233" s="29"/>
      <c r="AU233" s="66">
        <v>195450</v>
      </c>
    </row>
    <row r="234" spans="2:47" ht="15.6">
      <c r="B234" s="8" t="s">
        <v>1476</v>
      </c>
      <c r="D234" s="226"/>
      <c r="E234" s="1645">
        <v>0.24</v>
      </c>
      <c r="F234" s="469">
        <v>0.24</v>
      </c>
      <c r="G234" s="61">
        <f>IF(Tax_Rates_Alt="y",IF(G$93=Setup!$I$236,+Setup!$H$236,+F234),+F234)</f>
        <v>0.24</v>
      </c>
      <c r="H234" s="61">
        <f>IF(Tax_Rates_Alt="y",IF(H$93=Setup!$I$236,+Setup!$H$236,+G234),+G234)</f>
        <v>0.24</v>
      </c>
      <c r="I234" s="61">
        <f>IF(Tax_Rates_Alt="y",IF(I$93=Setup!$I$236,+Setup!$H$236,+H234),+H234)</f>
        <v>0.24</v>
      </c>
      <c r="J234" s="61">
        <f>IF(Tax_Rates_Alt="y",IF(J$93=Setup!$I$236,+Setup!$H$236,+I234),+I234)</f>
        <v>0.24</v>
      </c>
      <c r="K234" s="61">
        <f>IF(Tax_Rates_Alt="y",IF(K$93=Setup!$I$236,+Setup!$H$236,+J234),+J234)</f>
        <v>0.24</v>
      </c>
      <c r="L234" s="61">
        <f>IF(Tax_Rates_Alt="y",IF(L$93=Setup!$I$236,+Setup!$H$236,+K234),+K234)</f>
        <v>0.24</v>
      </c>
      <c r="M234" s="61">
        <f>IF(Tax_Rates_Alt="y",IF(M$93=Setup!$I$236,+Setup!$H$236,+L234),+L234)</f>
        <v>0.24</v>
      </c>
      <c r="N234" s="61">
        <f>IF(Tax_Rates_Alt="y",IF(N$93=Setup!$I$236,+Setup!$H$236,+M234),+M234)</f>
        <v>0.24</v>
      </c>
      <c r="O234" s="61">
        <f>IF(Tax_Rates_Alt="y",IF(O$93=Setup!$I$236,+Setup!$H$236,+N234),+N234)</f>
        <v>0.24</v>
      </c>
      <c r="P234" s="61">
        <f>IF(Tax_Rates_Alt="y",IF(P$93=Setup!$I$236,+Setup!$H$236,+O234),+O234)</f>
        <v>0.24</v>
      </c>
      <c r="Q234" s="61">
        <f>IF(Tax_Rates_Alt="y",IF(Q$93=Setup!$I$236,+Setup!$H$236,+P234),+P234)</f>
        <v>0.24</v>
      </c>
      <c r="R234" s="61">
        <f>IF(Tax_Rates_Alt="y",IF(R$93=Setup!$I$236,+Setup!$H$236,+Q234),+Q234)</f>
        <v>0.24</v>
      </c>
      <c r="S234" s="61">
        <f>IF(Tax_Rates_Alt="y",IF(S$93=Setup!$I$236,+Setup!$H$236,+R234),+R234)</f>
        <v>0.24</v>
      </c>
      <c r="T234" s="61">
        <f>IF(Tax_Rates_Alt="y",IF(T$93=Setup!$I$236,+Setup!$H$236,+S234),+S234)</f>
        <v>0.24</v>
      </c>
      <c r="U234" s="61">
        <f>IF(Tax_Rates_Alt="y",IF(U$93=Setup!$I$236,+Setup!$H$236,+T234),+T234)</f>
        <v>0.24</v>
      </c>
      <c r="V234" s="61">
        <f>IF(Tax_Rates_Alt="y",IF(V$93=Setup!$I$236,+Setup!$H$236,+U234),+U234)</f>
        <v>0.24</v>
      </c>
      <c r="W234" s="61">
        <f>IF(Tax_Rates_Alt="y",IF(W$93=Setup!$I$236,+Setup!$H$236,+V234),+V234)</f>
        <v>0.24</v>
      </c>
      <c r="X234" s="61">
        <f>IF(Tax_Rates_Alt="y",IF(X$93=Setup!$I$236,+Setup!$H$236,+W234),+W234)</f>
        <v>0.24</v>
      </c>
      <c r="Y234" s="61">
        <f>IF(Tax_Rates_Alt="y",IF(Y$93=Setup!$I$236,+Setup!$H$236,+X234),+X234)</f>
        <v>0.24</v>
      </c>
      <c r="Z234" s="61">
        <f>IF(Tax_Rates_Alt="y",IF(Z$93=Setup!$I$236,+Setup!$H$236,+Y234),+Y234)</f>
        <v>0.24</v>
      </c>
      <c r="AA234" s="61">
        <f>IF(Tax_Rates_Alt="y",IF(AA$93=Setup!$I$236,+Setup!$H$236,+Z234),+Z234)</f>
        <v>0.24</v>
      </c>
      <c r="AB234" s="61">
        <f>IF(Tax_Rates_Alt="y",IF(AB$93=Setup!$I$236,+Setup!$H$236,+AA234),+AA234)</f>
        <v>0.24</v>
      </c>
      <c r="AC234" s="61">
        <f>IF(Tax_Rates_Alt="y",IF(AC$93=Setup!$I$236,+Setup!$H$236,+AB234),+AB234)</f>
        <v>0.24</v>
      </c>
      <c r="AD234" s="61">
        <f>IF(Tax_Rates_Alt="y",IF(AD$93=Setup!$I$236,+Setup!$H$236,+AC234),+AC234)</f>
        <v>0.24</v>
      </c>
      <c r="AE234" s="61">
        <f>IF(Tax_Rates_Alt="y",IF(AE$93=Setup!$I$236,+Setup!$H$236,+AD234),+AD234)</f>
        <v>0.24</v>
      </c>
      <c r="AF234" s="61">
        <f>IF(Tax_Rates_Alt="y",IF(AF$93=Setup!$I$236,+Setup!$H$236,+AE234),+AE234)</f>
        <v>0.24</v>
      </c>
      <c r="AG234" s="61">
        <f>IF(Tax_Rates_Alt="y",IF(AG$93=Setup!$I$236,+Setup!$H$236,+AF234),+AF234)</f>
        <v>0.24</v>
      </c>
      <c r="AH234" s="61">
        <f>IF(Tax_Rates_Alt="y",IF(AH$93=Setup!$I$236,+Setup!$H$236,+AG234),+AG234)</f>
        <v>0.24</v>
      </c>
      <c r="AI234" s="61">
        <f>IF(Tax_Rates_Alt="y",IF(AI$93=Setup!$I$236,+Setup!$H$236,+AH234),+AH234)</f>
        <v>0.24</v>
      </c>
      <c r="AJ234" s="61">
        <f>IF(Tax_Rates_Alt="y",IF(AJ$93=Setup!$I$236,+Setup!$H$236,+AI234),+AI234)</f>
        <v>0.24</v>
      </c>
      <c r="AK234" s="61">
        <f>IF(Tax_Rates_Alt="y",IF(AK$93=Setup!$I$236,+Setup!$H$236,+AJ234),+AJ234)</f>
        <v>0.24</v>
      </c>
      <c r="AL234" s="61">
        <f>IF(Tax_Rates_Alt="y",IF(AL$93=Setup!$I$236,+Setup!$H$236,+AK234),+AK234)</f>
        <v>0.24</v>
      </c>
      <c r="AM234" s="61">
        <f>IF(Tax_Rates_Alt="y",IF(AM$93=Setup!$I$236,+Setup!$H$236,+AL234),+AL234)</f>
        <v>0.24</v>
      </c>
      <c r="AN234" s="61">
        <f>IF(Tax_Rates_Alt="y",IF(AN$93=Setup!$I$236,+Setup!$H$236,+AM234),+AM234)</f>
        <v>0.24</v>
      </c>
      <c r="AO234" s="61">
        <f>IF(Tax_Rates_Alt="y",IF(AO$93=Setup!$I$236,+Setup!$H$236,+AN234),+AN234)</f>
        <v>0.24</v>
      </c>
      <c r="AP234" s="61">
        <f>IF(Tax_Rates_Alt="y",IF(AP$93=Setup!$I$236,+Setup!$H$236,+AO234),+AO234)</f>
        <v>0.24</v>
      </c>
      <c r="AQ234" s="61">
        <f>IF(Tax_Rates_Alt="y",IF(AQ$93=Setup!$I$236,+Setup!$H$236,+AP234),+AP234)</f>
        <v>0.24</v>
      </c>
      <c r="AR234" s="61">
        <f>IF(Tax_Rates_Alt="y",IF(AR$93=Setup!$I$236,+Setup!$H$236,+AQ234),+AQ234)</f>
        <v>0.24</v>
      </c>
      <c r="AS234" s="61">
        <f>IF(Tax_Rates_Alt="y",IF(AS$93=Setup!$I$236,+Setup!$H$236,+AR234),+AR234)</f>
        <v>0.24</v>
      </c>
      <c r="AT234" s="61"/>
      <c r="AU234" s="1403">
        <v>0.28000000000000003</v>
      </c>
    </row>
    <row r="235" spans="2:47" ht="15.6">
      <c r="B235" s="8" t="s">
        <v>1414</v>
      </c>
      <c r="D235" s="29"/>
      <c r="E235" s="29">
        <f t="shared" ref="E235:AS235" si="139">ROUND((+E233-E232)*E234/IF(Round_To&gt;Tax_Rounding,Tax_Rounding,Round_To),0)*IF(Round_To&gt;Tax_Rounding,Tax_Rounding,Round_To)</f>
        <v>18000</v>
      </c>
      <c r="F235" s="29">
        <f t="shared" si="139"/>
        <v>18400</v>
      </c>
      <c r="G235" s="29">
        <f t="shared" si="139"/>
        <v>18800</v>
      </c>
      <c r="H235" s="29">
        <f t="shared" si="139"/>
        <v>19200</v>
      </c>
      <c r="I235" s="29">
        <f t="shared" si="139"/>
        <v>19600</v>
      </c>
      <c r="J235" s="29">
        <f t="shared" si="139"/>
        <v>20000</v>
      </c>
      <c r="K235" s="29">
        <f t="shared" si="139"/>
        <v>20500</v>
      </c>
      <c r="L235" s="29">
        <f t="shared" si="139"/>
        <v>20900</v>
      </c>
      <c r="M235" s="29">
        <f t="shared" si="139"/>
        <v>21400</v>
      </c>
      <c r="N235" s="29">
        <f t="shared" si="139"/>
        <v>21800</v>
      </c>
      <c r="O235" s="29">
        <f t="shared" si="139"/>
        <v>22300</v>
      </c>
      <c r="P235" s="29">
        <f t="shared" si="139"/>
        <v>22800</v>
      </c>
      <c r="Q235" s="29">
        <f t="shared" si="139"/>
        <v>23300</v>
      </c>
      <c r="R235" s="29">
        <f t="shared" si="139"/>
        <v>23800</v>
      </c>
      <c r="S235" s="29">
        <f t="shared" si="139"/>
        <v>24300</v>
      </c>
      <c r="T235" s="29">
        <f t="shared" si="139"/>
        <v>24900</v>
      </c>
      <c r="U235" s="29">
        <f t="shared" si="139"/>
        <v>25400</v>
      </c>
      <c r="V235" s="29">
        <f t="shared" si="139"/>
        <v>26000</v>
      </c>
      <c r="W235" s="29">
        <f t="shared" si="139"/>
        <v>26500</v>
      </c>
      <c r="X235" s="29">
        <f t="shared" si="139"/>
        <v>27100</v>
      </c>
      <c r="Y235" s="29">
        <f t="shared" si="139"/>
        <v>27700</v>
      </c>
      <c r="Z235" s="29">
        <f t="shared" si="139"/>
        <v>28300</v>
      </c>
      <c r="AA235" s="29">
        <f t="shared" si="139"/>
        <v>28900</v>
      </c>
      <c r="AB235" s="29">
        <f t="shared" si="139"/>
        <v>29600</v>
      </c>
      <c r="AC235" s="29">
        <f t="shared" si="139"/>
        <v>30200</v>
      </c>
      <c r="AD235" s="29">
        <f t="shared" si="139"/>
        <v>30900</v>
      </c>
      <c r="AE235" s="29">
        <f t="shared" si="139"/>
        <v>31600</v>
      </c>
      <c r="AF235" s="29">
        <f t="shared" si="139"/>
        <v>32300</v>
      </c>
      <c r="AG235" s="29">
        <f t="shared" si="139"/>
        <v>33000</v>
      </c>
      <c r="AH235" s="29">
        <f t="shared" si="139"/>
        <v>33700</v>
      </c>
      <c r="AI235" s="29">
        <f t="shared" si="139"/>
        <v>34500</v>
      </c>
      <c r="AJ235" s="29">
        <f t="shared" si="139"/>
        <v>35200</v>
      </c>
      <c r="AK235" s="29">
        <f t="shared" si="139"/>
        <v>36000</v>
      </c>
      <c r="AL235" s="29">
        <f t="shared" si="139"/>
        <v>36800</v>
      </c>
      <c r="AM235" s="29">
        <f t="shared" si="139"/>
        <v>37600</v>
      </c>
      <c r="AN235" s="29">
        <f t="shared" si="139"/>
        <v>38400</v>
      </c>
      <c r="AO235" s="29">
        <f t="shared" si="139"/>
        <v>39200</v>
      </c>
      <c r="AP235" s="29">
        <f t="shared" si="139"/>
        <v>40100</v>
      </c>
      <c r="AQ235" s="29">
        <f t="shared" si="139"/>
        <v>41000</v>
      </c>
      <c r="AR235" s="29">
        <f t="shared" si="139"/>
        <v>41900</v>
      </c>
      <c r="AS235" s="29">
        <f t="shared" si="139"/>
        <v>42800</v>
      </c>
      <c r="AT235" s="29"/>
      <c r="AU235" s="22"/>
    </row>
    <row r="236" spans="2:47" ht="15.6">
      <c r="C236" s="8"/>
      <c r="D236" s="29"/>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2"/>
    </row>
    <row r="237" spans="2:47" ht="15.6">
      <c r="B237" s="539" t="s">
        <v>1978</v>
      </c>
      <c r="C237" s="8"/>
      <c r="D237" s="29"/>
      <c r="E237" s="29">
        <f>+E233</f>
        <v>157500</v>
      </c>
      <c r="F237" s="33">
        <f>+F233</f>
        <v>160725</v>
      </c>
      <c r="G237" s="29">
        <f>ROUND(+F237*(1+'Tax Tables'!$C$10)/IF(Round_To&gt;Tax_Rounding,Tax_Rounding,Round_To),0)*IF(Round_To&gt;Tax_Rounding,Tax_Rounding,Round_To)</f>
        <v>164300</v>
      </c>
      <c r="H237" s="29">
        <f>ROUND(+G237*(1+'Tax Tables'!$C$10)/IF(Round_To&gt;Tax_Rounding,Tax_Rounding,Round_To),0)*IF(Round_To&gt;Tax_Rounding,Tax_Rounding,Round_To)</f>
        <v>167900</v>
      </c>
      <c r="I237" s="29">
        <f>ROUND(+H237*(1+'Tax Tables'!$C$10)/IF(Round_To&gt;Tax_Rounding,Tax_Rounding,Round_To),0)*IF(Round_To&gt;Tax_Rounding,Tax_Rounding,Round_To)</f>
        <v>171600</v>
      </c>
      <c r="J237" s="29">
        <f>ROUND(+I237*(1+'Tax Tables'!$C$10)/IF(Round_To&gt;Tax_Rounding,Tax_Rounding,Round_To),0)*IF(Round_To&gt;Tax_Rounding,Tax_Rounding,Round_To)</f>
        <v>175400</v>
      </c>
      <c r="K237" s="29">
        <f>ROUND(+J237*(1+'Tax Tables'!$C$10)/IF(Round_To&gt;Tax_Rounding,Tax_Rounding,Round_To),0)*IF(Round_To&gt;Tax_Rounding,Tax_Rounding,Round_To)</f>
        <v>179300</v>
      </c>
      <c r="L237" s="29">
        <f>ROUND(+K237*(1+'Tax Tables'!$C$10)/IF(Round_To&gt;Tax_Rounding,Tax_Rounding,Round_To),0)*IF(Round_To&gt;Tax_Rounding,Tax_Rounding,Round_To)</f>
        <v>183200</v>
      </c>
      <c r="M237" s="29">
        <f>ROUND(+L237*(1+'Tax Tables'!$C$10)/IF(Round_To&gt;Tax_Rounding,Tax_Rounding,Round_To),0)*IF(Round_To&gt;Tax_Rounding,Tax_Rounding,Round_To)</f>
        <v>187200</v>
      </c>
      <c r="N237" s="29">
        <f>ROUND(+M237*(1+'Tax Tables'!$C$10)/IF(Round_To&gt;Tax_Rounding,Tax_Rounding,Round_To),0)*IF(Round_To&gt;Tax_Rounding,Tax_Rounding,Round_To)</f>
        <v>191300</v>
      </c>
      <c r="O237" s="29">
        <f>ROUND(+N237*(1+'Tax Tables'!$C$10)/IF(Round_To&gt;Tax_Rounding,Tax_Rounding,Round_To),0)*IF(Round_To&gt;Tax_Rounding,Tax_Rounding,Round_To)</f>
        <v>195500</v>
      </c>
      <c r="P237" s="29">
        <f>ROUND(+O237*(1+'Tax Tables'!$C$10)/IF(Round_To&gt;Tax_Rounding,Tax_Rounding,Round_To),0)*IF(Round_To&gt;Tax_Rounding,Tax_Rounding,Round_To)</f>
        <v>199800</v>
      </c>
      <c r="Q237" s="29">
        <f>ROUND(+P237*(1+'Tax Tables'!$C$10)/IF(Round_To&gt;Tax_Rounding,Tax_Rounding,Round_To),0)*IF(Round_To&gt;Tax_Rounding,Tax_Rounding,Round_To)</f>
        <v>204200</v>
      </c>
      <c r="R237" s="29">
        <f>ROUND(+Q237*(1+'Tax Tables'!$C$10)/IF(Round_To&gt;Tax_Rounding,Tax_Rounding,Round_To),0)*IF(Round_To&gt;Tax_Rounding,Tax_Rounding,Round_To)</f>
        <v>208700</v>
      </c>
      <c r="S237" s="29">
        <f>ROUND(+R237*(1+'Tax Tables'!$C$10)/IF(Round_To&gt;Tax_Rounding,Tax_Rounding,Round_To),0)*IF(Round_To&gt;Tax_Rounding,Tax_Rounding,Round_To)</f>
        <v>213300</v>
      </c>
      <c r="T237" s="29">
        <f>ROUND(+S237*(1+'Tax Tables'!$C$10)/IF(Round_To&gt;Tax_Rounding,Tax_Rounding,Round_To),0)*IF(Round_To&gt;Tax_Rounding,Tax_Rounding,Round_To)</f>
        <v>218000</v>
      </c>
      <c r="U237" s="29">
        <f>ROUND(+T237*(1+'Tax Tables'!$C$10)/IF(Round_To&gt;Tax_Rounding,Tax_Rounding,Round_To),0)*IF(Round_To&gt;Tax_Rounding,Tax_Rounding,Round_To)</f>
        <v>222800</v>
      </c>
      <c r="V237" s="29">
        <f>ROUND(+U237*(1+'Tax Tables'!$C$10)/IF(Round_To&gt;Tax_Rounding,Tax_Rounding,Round_To),0)*IF(Round_To&gt;Tax_Rounding,Tax_Rounding,Round_To)</f>
        <v>227700</v>
      </c>
      <c r="W237" s="29">
        <f>ROUND(+V237*(1+'Tax Tables'!$C$10)/IF(Round_To&gt;Tax_Rounding,Tax_Rounding,Round_To),0)*IF(Round_To&gt;Tax_Rounding,Tax_Rounding,Round_To)</f>
        <v>232700</v>
      </c>
      <c r="X237" s="29">
        <f>ROUND(+W237*(1+'Tax Tables'!$C$10)/IF(Round_To&gt;Tax_Rounding,Tax_Rounding,Round_To),0)*IF(Round_To&gt;Tax_Rounding,Tax_Rounding,Round_To)</f>
        <v>237800</v>
      </c>
      <c r="Y237" s="29">
        <f>ROUND(+X237*(1+'Tax Tables'!$C$10)/IF(Round_To&gt;Tax_Rounding,Tax_Rounding,Round_To),0)*IF(Round_To&gt;Tax_Rounding,Tax_Rounding,Round_To)</f>
        <v>243000</v>
      </c>
      <c r="Z237" s="29">
        <f>ROUND(+Y237*(1+'Tax Tables'!$C$10)/IF(Round_To&gt;Tax_Rounding,Tax_Rounding,Round_To),0)*IF(Round_To&gt;Tax_Rounding,Tax_Rounding,Round_To)</f>
        <v>248300</v>
      </c>
      <c r="AA237" s="29">
        <f>ROUND(+Z237*(1+'Tax Tables'!$C$10)/IF(Round_To&gt;Tax_Rounding,Tax_Rounding,Round_To),0)*IF(Round_To&gt;Tax_Rounding,Tax_Rounding,Round_To)</f>
        <v>253800</v>
      </c>
      <c r="AB237" s="29">
        <f>ROUND(+AA237*(1+'Tax Tables'!$C$10)/IF(Round_To&gt;Tax_Rounding,Tax_Rounding,Round_To),0)*IF(Round_To&gt;Tax_Rounding,Tax_Rounding,Round_To)</f>
        <v>259400</v>
      </c>
      <c r="AC237" s="29">
        <f>ROUND(+AB237*(1+'Tax Tables'!$C$10)/IF(Round_To&gt;Tax_Rounding,Tax_Rounding,Round_To),0)*IF(Round_To&gt;Tax_Rounding,Tax_Rounding,Round_To)</f>
        <v>265100</v>
      </c>
      <c r="AD237" s="29">
        <f>ROUND(+AC237*(1+'Tax Tables'!$C$10)/IF(Round_To&gt;Tax_Rounding,Tax_Rounding,Round_To),0)*IF(Round_To&gt;Tax_Rounding,Tax_Rounding,Round_To)</f>
        <v>270900</v>
      </c>
      <c r="AE237" s="29">
        <f>ROUND(+AD237*(1+'Tax Tables'!$C$10)/IF(Round_To&gt;Tax_Rounding,Tax_Rounding,Round_To),0)*IF(Round_To&gt;Tax_Rounding,Tax_Rounding,Round_To)</f>
        <v>276900</v>
      </c>
      <c r="AF237" s="29">
        <f>ROUND(+AE237*(1+'Tax Tables'!$C$10)/IF(Round_To&gt;Tax_Rounding,Tax_Rounding,Round_To),0)*IF(Round_To&gt;Tax_Rounding,Tax_Rounding,Round_To)</f>
        <v>283000</v>
      </c>
      <c r="AG237" s="29">
        <f>ROUND(+AF237*(1+'Tax Tables'!$C$10)/IF(Round_To&gt;Tax_Rounding,Tax_Rounding,Round_To),0)*IF(Round_To&gt;Tax_Rounding,Tax_Rounding,Round_To)</f>
        <v>289200</v>
      </c>
      <c r="AH237" s="29">
        <f>ROUND(+AG237*(1+'Tax Tables'!$C$10)/IF(Round_To&gt;Tax_Rounding,Tax_Rounding,Round_To),0)*IF(Round_To&gt;Tax_Rounding,Tax_Rounding,Round_To)</f>
        <v>295600</v>
      </c>
      <c r="AI237" s="29">
        <f>ROUND(+AH237*(1+'Tax Tables'!$C$10)/IF(Round_To&gt;Tax_Rounding,Tax_Rounding,Round_To),0)*IF(Round_To&gt;Tax_Rounding,Tax_Rounding,Round_To)</f>
        <v>302100</v>
      </c>
      <c r="AJ237" s="29">
        <f>ROUND(+AI237*(1+'Tax Tables'!$C$10)/IF(Round_To&gt;Tax_Rounding,Tax_Rounding,Round_To),0)*IF(Round_To&gt;Tax_Rounding,Tax_Rounding,Round_To)</f>
        <v>308700</v>
      </c>
      <c r="AK237" s="29">
        <f>ROUND(+AJ237*(1+'Tax Tables'!$C$10)/IF(Round_To&gt;Tax_Rounding,Tax_Rounding,Round_To),0)*IF(Round_To&gt;Tax_Rounding,Tax_Rounding,Round_To)</f>
        <v>315500</v>
      </c>
      <c r="AL237" s="29">
        <f>ROUND(+AK237*(1+'Tax Tables'!$C$10)/IF(Round_To&gt;Tax_Rounding,Tax_Rounding,Round_To),0)*IF(Round_To&gt;Tax_Rounding,Tax_Rounding,Round_To)</f>
        <v>322400</v>
      </c>
      <c r="AM237" s="29">
        <f>ROUND(+AL237*(1+'Tax Tables'!$C$10)/IF(Round_To&gt;Tax_Rounding,Tax_Rounding,Round_To),0)*IF(Round_To&gt;Tax_Rounding,Tax_Rounding,Round_To)</f>
        <v>329500</v>
      </c>
      <c r="AN237" s="29">
        <f>ROUND(+AM237*(1+'Tax Tables'!$C$10)/IF(Round_To&gt;Tax_Rounding,Tax_Rounding,Round_To),0)*IF(Round_To&gt;Tax_Rounding,Tax_Rounding,Round_To)</f>
        <v>336700</v>
      </c>
      <c r="AO237" s="29">
        <f>ROUND(+AN237*(1+'Tax Tables'!$C$10)/IF(Round_To&gt;Tax_Rounding,Tax_Rounding,Round_To),0)*IF(Round_To&gt;Tax_Rounding,Tax_Rounding,Round_To)</f>
        <v>344100</v>
      </c>
      <c r="AP237" s="29">
        <f>ROUND(+AO237*(1+'Tax Tables'!$C$10)/IF(Round_To&gt;Tax_Rounding,Tax_Rounding,Round_To),0)*IF(Round_To&gt;Tax_Rounding,Tax_Rounding,Round_To)</f>
        <v>351700</v>
      </c>
      <c r="AQ237" s="29">
        <f>ROUND(+AP237*(1+'Tax Tables'!$C$10)/IF(Round_To&gt;Tax_Rounding,Tax_Rounding,Round_To),0)*IF(Round_To&gt;Tax_Rounding,Tax_Rounding,Round_To)</f>
        <v>359400</v>
      </c>
      <c r="AR237" s="29">
        <f>ROUND(+AQ237*(1+'Tax Tables'!$C$10)/IF(Round_To&gt;Tax_Rounding,Tax_Rounding,Round_To),0)*IF(Round_To&gt;Tax_Rounding,Tax_Rounding,Round_To)</f>
        <v>367300</v>
      </c>
      <c r="AS237" s="29">
        <f>ROUND(+AR237*(1+'Tax Tables'!$C$10)/IF(Round_To&gt;Tax_Rounding,Tax_Rounding,Round_To),0)*IF(Round_To&gt;Tax_Rounding,Tax_Rounding,Round_To)</f>
        <v>375400</v>
      </c>
      <c r="AT237" s="29"/>
      <c r="AU237" s="66">
        <v>195450</v>
      </c>
    </row>
    <row r="238" spans="2:47" ht="15.6">
      <c r="B238" s="8" t="s">
        <v>1475</v>
      </c>
      <c r="D238" s="225"/>
      <c r="E238" s="1644">
        <v>200000</v>
      </c>
      <c r="F238" s="487">
        <v>204100</v>
      </c>
      <c r="G238" s="29">
        <f>ROUND(+F238*(1+'Tax Tables'!$C$10)/IF(Round_To&gt;Tax_Rounding,Tax_Rounding,Round_To),0)*IF(Round_To&gt;Tax_Rounding,Tax_Rounding,Round_To)</f>
        <v>208600</v>
      </c>
      <c r="H238" s="29">
        <f>ROUND(+G238*(1+'Tax Tables'!$C$10)/IF(Round_To&gt;Tax_Rounding,Tax_Rounding,Round_To),0)*IF(Round_To&gt;Tax_Rounding,Tax_Rounding,Round_To)</f>
        <v>213200</v>
      </c>
      <c r="I238" s="29">
        <f>ROUND(+H238*(1+'Tax Tables'!$C$10)/IF(Round_To&gt;Tax_Rounding,Tax_Rounding,Round_To),0)*IF(Round_To&gt;Tax_Rounding,Tax_Rounding,Round_To)</f>
        <v>217900</v>
      </c>
      <c r="J238" s="29">
        <f>ROUND(+I238*(1+'Tax Tables'!$C$10)/IF(Round_To&gt;Tax_Rounding,Tax_Rounding,Round_To),0)*IF(Round_To&gt;Tax_Rounding,Tax_Rounding,Round_To)</f>
        <v>222700</v>
      </c>
      <c r="K238" s="29">
        <f>ROUND(+J238*(1+'Tax Tables'!$C$10)/IF(Round_To&gt;Tax_Rounding,Tax_Rounding,Round_To),0)*IF(Round_To&gt;Tax_Rounding,Tax_Rounding,Round_To)</f>
        <v>227600</v>
      </c>
      <c r="L238" s="29">
        <f>ROUND(+K238*(1+'Tax Tables'!$C$10)/IF(Round_To&gt;Tax_Rounding,Tax_Rounding,Round_To),0)*IF(Round_To&gt;Tax_Rounding,Tax_Rounding,Round_To)</f>
        <v>232600</v>
      </c>
      <c r="M238" s="29">
        <f>ROUND(+L238*(1+'Tax Tables'!$C$10)/IF(Round_To&gt;Tax_Rounding,Tax_Rounding,Round_To),0)*IF(Round_To&gt;Tax_Rounding,Tax_Rounding,Round_To)</f>
        <v>237700</v>
      </c>
      <c r="N238" s="29">
        <f>ROUND(+M238*(1+'Tax Tables'!$C$10)/IF(Round_To&gt;Tax_Rounding,Tax_Rounding,Round_To),0)*IF(Round_To&gt;Tax_Rounding,Tax_Rounding,Round_To)</f>
        <v>242900</v>
      </c>
      <c r="O238" s="29">
        <f>ROUND(+N238*(1+'Tax Tables'!$C$10)/IF(Round_To&gt;Tax_Rounding,Tax_Rounding,Round_To),0)*IF(Round_To&gt;Tax_Rounding,Tax_Rounding,Round_To)</f>
        <v>248200</v>
      </c>
      <c r="P238" s="29">
        <f>ROUND(+O238*(1+'Tax Tables'!$C$10)/IF(Round_To&gt;Tax_Rounding,Tax_Rounding,Round_To),0)*IF(Round_To&gt;Tax_Rounding,Tax_Rounding,Round_To)</f>
        <v>253700</v>
      </c>
      <c r="Q238" s="29">
        <f>ROUND(+P238*(1+'Tax Tables'!$C$10)/IF(Round_To&gt;Tax_Rounding,Tax_Rounding,Round_To),0)*IF(Round_To&gt;Tax_Rounding,Tax_Rounding,Round_To)</f>
        <v>259300</v>
      </c>
      <c r="R238" s="29">
        <f>ROUND(+Q238*(1+'Tax Tables'!$C$10)/IF(Round_To&gt;Tax_Rounding,Tax_Rounding,Round_To),0)*IF(Round_To&gt;Tax_Rounding,Tax_Rounding,Round_To)</f>
        <v>265000</v>
      </c>
      <c r="S238" s="29">
        <f>ROUND(+R238*(1+'Tax Tables'!$C$10)/IF(Round_To&gt;Tax_Rounding,Tax_Rounding,Round_To),0)*IF(Round_To&gt;Tax_Rounding,Tax_Rounding,Round_To)</f>
        <v>270800</v>
      </c>
      <c r="T238" s="29">
        <f>ROUND(+S238*(1+'Tax Tables'!$C$10)/IF(Round_To&gt;Tax_Rounding,Tax_Rounding,Round_To),0)*IF(Round_To&gt;Tax_Rounding,Tax_Rounding,Round_To)</f>
        <v>276800</v>
      </c>
      <c r="U238" s="29">
        <f>ROUND(+T238*(1+'Tax Tables'!$C$10)/IF(Round_To&gt;Tax_Rounding,Tax_Rounding,Round_To),0)*IF(Round_To&gt;Tax_Rounding,Tax_Rounding,Round_To)</f>
        <v>282900</v>
      </c>
      <c r="V238" s="29">
        <f>ROUND(+U238*(1+'Tax Tables'!$C$10)/IF(Round_To&gt;Tax_Rounding,Tax_Rounding,Round_To),0)*IF(Round_To&gt;Tax_Rounding,Tax_Rounding,Round_To)</f>
        <v>289100</v>
      </c>
      <c r="W238" s="29">
        <f>ROUND(+V238*(1+'Tax Tables'!$C$10)/IF(Round_To&gt;Tax_Rounding,Tax_Rounding,Round_To),0)*IF(Round_To&gt;Tax_Rounding,Tax_Rounding,Round_To)</f>
        <v>295500</v>
      </c>
      <c r="X238" s="29">
        <f>ROUND(+W238*(1+'Tax Tables'!$C$10)/IF(Round_To&gt;Tax_Rounding,Tax_Rounding,Round_To),0)*IF(Round_To&gt;Tax_Rounding,Tax_Rounding,Round_To)</f>
        <v>302000</v>
      </c>
      <c r="Y238" s="29">
        <f>ROUND(+X238*(1+'Tax Tables'!$C$10)/IF(Round_To&gt;Tax_Rounding,Tax_Rounding,Round_To),0)*IF(Round_To&gt;Tax_Rounding,Tax_Rounding,Round_To)</f>
        <v>308600</v>
      </c>
      <c r="Z238" s="29">
        <f>ROUND(+Y238*(1+'Tax Tables'!$C$10)/IF(Round_To&gt;Tax_Rounding,Tax_Rounding,Round_To),0)*IF(Round_To&gt;Tax_Rounding,Tax_Rounding,Round_To)</f>
        <v>315400</v>
      </c>
      <c r="AA238" s="29">
        <f>ROUND(+Z238*(1+'Tax Tables'!$C$10)/IF(Round_To&gt;Tax_Rounding,Tax_Rounding,Round_To),0)*IF(Round_To&gt;Tax_Rounding,Tax_Rounding,Round_To)</f>
        <v>322300</v>
      </c>
      <c r="AB238" s="29">
        <f>ROUND(+AA238*(1+'Tax Tables'!$C$10)/IF(Round_To&gt;Tax_Rounding,Tax_Rounding,Round_To),0)*IF(Round_To&gt;Tax_Rounding,Tax_Rounding,Round_To)</f>
        <v>329400</v>
      </c>
      <c r="AC238" s="29">
        <f>ROUND(+AB238*(1+'Tax Tables'!$C$10)/IF(Round_To&gt;Tax_Rounding,Tax_Rounding,Round_To),0)*IF(Round_To&gt;Tax_Rounding,Tax_Rounding,Round_To)</f>
        <v>336600</v>
      </c>
      <c r="AD238" s="29">
        <f>ROUND(+AC238*(1+'Tax Tables'!$C$10)/IF(Round_To&gt;Tax_Rounding,Tax_Rounding,Round_To),0)*IF(Round_To&gt;Tax_Rounding,Tax_Rounding,Round_To)</f>
        <v>344000</v>
      </c>
      <c r="AE238" s="29">
        <f>ROUND(+AD238*(1+'Tax Tables'!$C$10)/IF(Round_To&gt;Tax_Rounding,Tax_Rounding,Round_To),0)*IF(Round_To&gt;Tax_Rounding,Tax_Rounding,Round_To)</f>
        <v>351600</v>
      </c>
      <c r="AF238" s="29">
        <f>ROUND(+AE238*(1+'Tax Tables'!$C$10)/IF(Round_To&gt;Tax_Rounding,Tax_Rounding,Round_To),0)*IF(Round_To&gt;Tax_Rounding,Tax_Rounding,Round_To)</f>
        <v>359300</v>
      </c>
      <c r="AG238" s="29">
        <f>ROUND(+AF238*(1+'Tax Tables'!$C$10)/IF(Round_To&gt;Tax_Rounding,Tax_Rounding,Round_To),0)*IF(Round_To&gt;Tax_Rounding,Tax_Rounding,Round_To)</f>
        <v>367200</v>
      </c>
      <c r="AH238" s="29">
        <f>ROUND(+AG238*(1+'Tax Tables'!$C$10)/IF(Round_To&gt;Tax_Rounding,Tax_Rounding,Round_To),0)*IF(Round_To&gt;Tax_Rounding,Tax_Rounding,Round_To)</f>
        <v>375300</v>
      </c>
      <c r="AI238" s="29">
        <f>ROUND(+AH238*(1+'Tax Tables'!$C$10)/IF(Round_To&gt;Tax_Rounding,Tax_Rounding,Round_To),0)*IF(Round_To&gt;Tax_Rounding,Tax_Rounding,Round_To)</f>
        <v>383600</v>
      </c>
      <c r="AJ238" s="29">
        <f>ROUND(+AI238*(1+'Tax Tables'!$C$10)/IF(Round_To&gt;Tax_Rounding,Tax_Rounding,Round_To),0)*IF(Round_To&gt;Tax_Rounding,Tax_Rounding,Round_To)</f>
        <v>392000</v>
      </c>
      <c r="AK238" s="29">
        <f>ROUND(+AJ238*(1+'Tax Tables'!$C$10)/IF(Round_To&gt;Tax_Rounding,Tax_Rounding,Round_To),0)*IF(Round_To&gt;Tax_Rounding,Tax_Rounding,Round_To)</f>
        <v>400600</v>
      </c>
      <c r="AL238" s="29">
        <f>ROUND(+AK238*(1+'Tax Tables'!$C$10)/IF(Round_To&gt;Tax_Rounding,Tax_Rounding,Round_To),0)*IF(Round_To&gt;Tax_Rounding,Tax_Rounding,Round_To)</f>
        <v>409400</v>
      </c>
      <c r="AM238" s="29">
        <f>ROUND(+AL238*(1+'Tax Tables'!$C$10)/IF(Round_To&gt;Tax_Rounding,Tax_Rounding,Round_To),0)*IF(Round_To&gt;Tax_Rounding,Tax_Rounding,Round_To)</f>
        <v>418400</v>
      </c>
      <c r="AN238" s="29">
        <f>ROUND(+AM238*(1+'Tax Tables'!$C$10)/IF(Round_To&gt;Tax_Rounding,Tax_Rounding,Round_To),0)*IF(Round_To&gt;Tax_Rounding,Tax_Rounding,Round_To)</f>
        <v>427600</v>
      </c>
      <c r="AO238" s="29">
        <f>ROUND(+AN238*(1+'Tax Tables'!$C$10)/IF(Round_To&gt;Tax_Rounding,Tax_Rounding,Round_To),0)*IF(Round_To&gt;Tax_Rounding,Tax_Rounding,Round_To)</f>
        <v>437000</v>
      </c>
      <c r="AP238" s="29">
        <f>ROUND(+AO238*(1+'Tax Tables'!$C$10)/IF(Round_To&gt;Tax_Rounding,Tax_Rounding,Round_To),0)*IF(Round_To&gt;Tax_Rounding,Tax_Rounding,Round_To)</f>
        <v>446600</v>
      </c>
      <c r="AQ238" s="29">
        <f>ROUND(+AP238*(1+'Tax Tables'!$C$10)/IF(Round_To&gt;Tax_Rounding,Tax_Rounding,Round_To),0)*IF(Round_To&gt;Tax_Rounding,Tax_Rounding,Round_To)</f>
        <v>456400</v>
      </c>
      <c r="AR238" s="29">
        <f>ROUND(+AQ238*(1+'Tax Tables'!$C$10)/IF(Round_To&gt;Tax_Rounding,Tax_Rounding,Round_To),0)*IF(Round_To&gt;Tax_Rounding,Tax_Rounding,Round_To)</f>
        <v>466400</v>
      </c>
      <c r="AS238" s="29">
        <f>ROUND(+AR238*(1+'Tax Tables'!$C$10)/IF(Round_To&gt;Tax_Rounding,Tax_Rounding,Round_To),0)*IF(Round_To&gt;Tax_Rounding,Tax_Rounding,Round_To)</f>
        <v>476700</v>
      </c>
      <c r="AT238" s="29"/>
      <c r="AU238" s="66">
        <v>424950</v>
      </c>
    </row>
    <row r="239" spans="2:47" ht="15.6">
      <c r="B239" s="8" t="s">
        <v>1476</v>
      </c>
      <c r="D239" s="226"/>
      <c r="E239" s="1645">
        <v>0.32</v>
      </c>
      <c r="F239" s="469">
        <v>0.32</v>
      </c>
      <c r="G239" s="61">
        <f>IF(Tax_Rates_Alt="y",IF(G$93=Setup!$I$237,+Setup!$H$237,+F239),+F239)</f>
        <v>0.32</v>
      </c>
      <c r="H239" s="61">
        <f>IF(Tax_Rates_Alt="y",IF(H$93=Setup!$I$237,+Setup!$H$237,+G239),+G239)</f>
        <v>0.32</v>
      </c>
      <c r="I239" s="61">
        <f>IF(Tax_Rates_Alt="y",IF(I$93=Setup!$I$237,+Setup!$H$237,+H239),+H239)</f>
        <v>0.32</v>
      </c>
      <c r="J239" s="61">
        <f>IF(Tax_Rates_Alt="y",IF(J$93=Setup!$I$237,+Setup!$H$237,+I239),+I239)</f>
        <v>0.32</v>
      </c>
      <c r="K239" s="61">
        <f>IF(Tax_Rates_Alt="y",IF(K$93=Setup!$I$237,+Setup!$H$237,+J239),+J239)</f>
        <v>0.32</v>
      </c>
      <c r="L239" s="61">
        <f>IF(Tax_Rates_Alt="y",IF(L$93=Setup!$I$237,+Setup!$H$237,+K239),+K239)</f>
        <v>0.32</v>
      </c>
      <c r="M239" s="61">
        <f>IF(Tax_Rates_Alt="y",IF(M$93=Setup!$I$237,+Setup!$H$237,+L239),+L239)</f>
        <v>0.32</v>
      </c>
      <c r="N239" s="61">
        <f>IF(Tax_Rates_Alt="y",IF(N$93=Setup!$I$237,+Setup!$H$237,+M239),+M239)</f>
        <v>0.32</v>
      </c>
      <c r="O239" s="61">
        <f>IF(Tax_Rates_Alt="y",IF(O$93=Setup!$I$237,+Setup!$H$237,+N239),+N239)</f>
        <v>0.32</v>
      </c>
      <c r="P239" s="61">
        <f>IF(Tax_Rates_Alt="y",IF(P$93=Setup!$I$237,+Setup!$H$237,+O239),+O239)</f>
        <v>0.32</v>
      </c>
      <c r="Q239" s="61">
        <f>IF(Tax_Rates_Alt="y",IF(Q$93=Setup!$I$237,+Setup!$H$237,+P239),+P239)</f>
        <v>0.32</v>
      </c>
      <c r="R239" s="61">
        <f>IF(Tax_Rates_Alt="y",IF(R$93=Setup!$I$237,+Setup!$H$237,+Q239),+Q239)</f>
        <v>0.32</v>
      </c>
      <c r="S239" s="61">
        <f>IF(Tax_Rates_Alt="y",IF(S$93=Setup!$I$237,+Setup!$H$237,+R239),+R239)</f>
        <v>0.32</v>
      </c>
      <c r="T239" s="61">
        <f>IF(Tax_Rates_Alt="y",IF(T$93=Setup!$I$237,+Setup!$H$237,+S239),+S239)</f>
        <v>0.32</v>
      </c>
      <c r="U239" s="61">
        <f>IF(Tax_Rates_Alt="y",IF(U$93=Setup!$I$237,+Setup!$H$237,+T239),+T239)</f>
        <v>0.32</v>
      </c>
      <c r="V239" s="61">
        <f>IF(Tax_Rates_Alt="y",IF(V$93=Setup!$I$237,+Setup!$H$237,+U239),+U239)</f>
        <v>0.32</v>
      </c>
      <c r="W239" s="61">
        <f>IF(Tax_Rates_Alt="y",IF(W$93=Setup!$I$237,+Setup!$H$237,+V239),+V239)</f>
        <v>0.32</v>
      </c>
      <c r="X239" s="61">
        <f>IF(Tax_Rates_Alt="y",IF(X$93=Setup!$I$237,+Setup!$H$237,+W239),+W239)</f>
        <v>0.32</v>
      </c>
      <c r="Y239" s="61">
        <f>IF(Tax_Rates_Alt="y",IF(Y$93=Setup!$I$237,+Setup!$H$237,+X239),+X239)</f>
        <v>0.32</v>
      </c>
      <c r="Z239" s="61">
        <f>IF(Tax_Rates_Alt="y",IF(Z$93=Setup!$I$237,+Setup!$H$237,+Y239),+Y239)</f>
        <v>0.32</v>
      </c>
      <c r="AA239" s="61">
        <f>IF(Tax_Rates_Alt="y",IF(AA$93=Setup!$I$237,+Setup!$H$237,+Z239),+Z239)</f>
        <v>0.32</v>
      </c>
      <c r="AB239" s="61">
        <f>IF(Tax_Rates_Alt="y",IF(AB$93=Setup!$I$237,+Setup!$H$237,+AA239),+AA239)</f>
        <v>0.32</v>
      </c>
      <c r="AC239" s="61">
        <f>IF(Tax_Rates_Alt="y",IF(AC$93=Setup!$I$237,+Setup!$H$237,+AB239),+AB239)</f>
        <v>0.32</v>
      </c>
      <c r="AD239" s="61">
        <f>IF(Tax_Rates_Alt="y",IF(AD$93=Setup!$I$237,+Setup!$H$237,+AC239),+AC239)</f>
        <v>0.32</v>
      </c>
      <c r="AE239" s="61">
        <f>IF(Tax_Rates_Alt="y",IF(AE$93=Setup!$I$237,+Setup!$H$237,+AD239),+AD239)</f>
        <v>0.32</v>
      </c>
      <c r="AF239" s="61">
        <f>IF(Tax_Rates_Alt="y",IF(AF$93=Setup!$I$237,+Setup!$H$237,+AE239),+AE239)</f>
        <v>0.32</v>
      </c>
      <c r="AG239" s="61">
        <f>IF(Tax_Rates_Alt="y",IF(AG$93=Setup!$I$237,+Setup!$H$237,+AF239),+AF239)</f>
        <v>0.32</v>
      </c>
      <c r="AH239" s="61">
        <f>IF(Tax_Rates_Alt="y",IF(AH$93=Setup!$I$237,+Setup!$H$237,+AG239),+AG239)</f>
        <v>0.32</v>
      </c>
      <c r="AI239" s="61">
        <f>IF(Tax_Rates_Alt="y",IF(AI$93=Setup!$I$237,+Setup!$H$237,+AH239),+AH239)</f>
        <v>0.32</v>
      </c>
      <c r="AJ239" s="61">
        <f>IF(Tax_Rates_Alt="y",IF(AJ$93=Setup!$I$237,+Setup!$H$237,+AI239),+AI239)</f>
        <v>0.32</v>
      </c>
      <c r="AK239" s="61">
        <f>IF(Tax_Rates_Alt="y",IF(AK$93=Setup!$I$237,+Setup!$H$237,+AJ239),+AJ239)</f>
        <v>0.32</v>
      </c>
      <c r="AL239" s="61">
        <f>IF(Tax_Rates_Alt="y",IF(AL$93=Setup!$I$237,+Setup!$H$237,+AK239),+AK239)</f>
        <v>0.32</v>
      </c>
      <c r="AM239" s="61">
        <f>IF(Tax_Rates_Alt="y",IF(AM$93=Setup!$I$237,+Setup!$H$237,+AL239),+AL239)</f>
        <v>0.32</v>
      </c>
      <c r="AN239" s="61">
        <f>IF(Tax_Rates_Alt="y",IF(AN$93=Setup!$I$237,+Setup!$H$237,+AM239),+AM239)</f>
        <v>0.32</v>
      </c>
      <c r="AO239" s="61">
        <f>IF(Tax_Rates_Alt="y",IF(AO$93=Setup!$I$237,+Setup!$H$237,+AN239),+AN239)</f>
        <v>0.32</v>
      </c>
      <c r="AP239" s="61">
        <f>IF(Tax_Rates_Alt="y",IF(AP$93=Setup!$I$237,+Setup!$H$237,+AO239),+AO239)</f>
        <v>0.32</v>
      </c>
      <c r="AQ239" s="61">
        <f>IF(Tax_Rates_Alt="y",IF(AQ$93=Setup!$I$237,+Setup!$H$237,+AP239),+AP239)</f>
        <v>0.32</v>
      </c>
      <c r="AR239" s="61">
        <f>IF(Tax_Rates_Alt="y",IF(AR$93=Setup!$I$237,+Setup!$H$237,+AQ239),+AQ239)</f>
        <v>0.32</v>
      </c>
      <c r="AS239" s="61">
        <f>IF(Tax_Rates_Alt="y",IF(AS$93=Setup!$I$237,+Setup!$H$237,+AR239),+AR239)</f>
        <v>0.32</v>
      </c>
      <c r="AT239" s="61"/>
      <c r="AU239" s="1403">
        <v>0.33</v>
      </c>
    </row>
    <row r="240" spans="2:47" ht="15.6">
      <c r="B240" s="8" t="s">
        <v>1414</v>
      </c>
      <c r="D240" s="29"/>
      <c r="E240" s="29">
        <f t="shared" ref="E240:AS240" si="140">ROUND((+E238-E237)*E239/IF(Round_To&gt;Tax_Rounding,Tax_Rounding,Round_To),0)*IF(Round_To&gt;Tax_Rounding,Tax_Rounding,Round_To)</f>
        <v>13600</v>
      </c>
      <c r="F240" s="29">
        <f t="shared" si="140"/>
        <v>13900</v>
      </c>
      <c r="G240" s="29">
        <f t="shared" si="140"/>
        <v>14200</v>
      </c>
      <c r="H240" s="29">
        <f t="shared" si="140"/>
        <v>14500</v>
      </c>
      <c r="I240" s="29">
        <f t="shared" si="140"/>
        <v>14800</v>
      </c>
      <c r="J240" s="29">
        <f t="shared" si="140"/>
        <v>15100</v>
      </c>
      <c r="K240" s="29">
        <f t="shared" si="140"/>
        <v>15500</v>
      </c>
      <c r="L240" s="29">
        <f t="shared" si="140"/>
        <v>15800</v>
      </c>
      <c r="M240" s="29">
        <f t="shared" si="140"/>
        <v>16200</v>
      </c>
      <c r="N240" s="29">
        <f t="shared" si="140"/>
        <v>16500</v>
      </c>
      <c r="O240" s="29">
        <f t="shared" si="140"/>
        <v>16900</v>
      </c>
      <c r="P240" s="29">
        <f t="shared" si="140"/>
        <v>17200</v>
      </c>
      <c r="Q240" s="29">
        <f t="shared" si="140"/>
        <v>17600</v>
      </c>
      <c r="R240" s="29">
        <f t="shared" si="140"/>
        <v>18000</v>
      </c>
      <c r="S240" s="29">
        <f t="shared" si="140"/>
        <v>18400</v>
      </c>
      <c r="T240" s="29">
        <f t="shared" si="140"/>
        <v>18800</v>
      </c>
      <c r="U240" s="29">
        <f t="shared" si="140"/>
        <v>19200</v>
      </c>
      <c r="V240" s="29">
        <f t="shared" si="140"/>
        <v>19600</v>
      </c>
      <c r="W240" s="29">
        <f t="shared" si="140"/>
        <v>20100</v>
      </c>
      <c r="X240" s="29">
        <f t="shared" si="140"/>
        <v>20500</v>
      </c>
      <c r="Y240" s="29">
        <f t="shared" si="140"/>
        <v>21000</v>
      </c>
      <c r="Z240" s="29">
        <f t="shared" si="140"/>
        <v>21500</v>
      </c>
      <c r="AA240" s="29">
        <f t="shared" si="140"/>
        <v>21900</v>
      </c>
      <c r="AB240" s="29">
        <f t="shared" si="140"/>
        <v>22400</v>
      </c>
      <c r="AC240" s="29">
        <f t="shared" si="140"/>
        <v>22900</v>
      </c>
      <c r="AD240" s="29">
        <f t="shared" si="140"/>
        <v>23400</v>
      </c>
      <c r="AE240" s="29">
        <f t="shared" si="140"/>
        <v>23900</v>
      </c>
      <c r="AF240" s="29">
        <f t="shared" si="140"/>
        <v>24400</v>
      </c>
      <c r="AG240" s="29">
        <f t="shared" si="140"/>
        <v>25000</v>
      </c>
      <c r="AH240" s="29">
        <f t="shared" si="140"/>
        <v>25500</v>
      </c>
      <c r="AI240" s="29">
        <f t="shared" si="140"/>
        <v>26100</v>
      </c>
      <c r="AJ240" s="29">
        <f t="shared" si="140"/>
        <v>26700</v>
      </c>
      <c r="AK240" s="29">
        <f t="shared" si="140"/>
        <v>27200</v>
      </c>
      <c r="AL240" s="29">
        <f t="shared" si="140"/>
        <v>27800</v>
      </c>
      <c r="AM240" s="29">
        <f t="shared" si="140"/>
        <v>28400</v>
      </c>
      <c r="AN240" s="29">
        <f t="shared" si="140"/>
        <v>29100</v>
      </c>
      <c r="AO240" s="29">
        <f t="shared" si="140"/>
        <v>29700</v>
      </c>
      <c r="AP240" s="29">
        <f t="shared" si="140"/>
        <v>30400</v>
      </c>
      <c r="AQ240" s="29">
        <f t="shared" si="140"/>
        <v>31000</v>
      </c>
      <c r="AR240" s="29">
        <f t="shared" si="140"/>
        <v>31700</v>
      </c>
      <c r="AS240" s="29">
        <f t="shared" si="140"/>
        <v>32400</v>
      </c>
      <c r="AT240" s="29"/>
      <c r="AU240" s="22"/>
    </row>
    <row r="241" spans="1:47" ht="15.6">
      <c r="C241" s="8"/>
      <c r="D241" s="29"/>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2"/>
    </row>
    <row r="242" spans="1:47" ht="15.6">
      <c r="B242" s="539" t="s">
        <v>1979</v>
      </c>
      <c r="C242" s="8"/>
      <c r="D242" s="29"/>
      <c r="E242" s="29">
        <f>+E238</f>
        <v>200000</v>
      </c>
      <c r="F242" s="33">
        <f>+F238</f>
        <v>204100</v>
      </c>
      <c r="G242" s="29">
        <f>ROUND(+F242*(1+'Tax Tables'!$C$10)/IF(Round_To&gt;Tax_Rounding,Tax_Rounding,Round_To),0)*IF(Round_To&gt;Tax_Rounding,Tax_Rounding,Round_To)</f>
        <v>208600</v>
      </c>
      <c r="H242" s="29">
        <f>ROUND(+G242*(1+'Tax Tables'!$C$10)/IF(Round_To&gt;Tax_Rounding,Tax_Rounding,Round_To),0)*IF(Round_To&gt;Tax_Rounding,Tax_Rounding,Round_To)</f>
        <v>213200</v>
      </c>
      <c r="I242" s="29">
        <f>ROUND(+H242*(1+'Tax Tables'!$C$10)/IF(Round_To&gt;Tax_Rounding,Tax_Rounding,Round_To),0)*IF(Round_To&gt;Tax_Rounding,Tax_Rounding,Round_To)</f>
        <v>217900</v>
      </c>
      <c r="J242" s="29">
        <f>ROUND(+I242*(1+'Tax Tables'!$C$10)/IF(Round_To&gt;Tax_Rounding,Tax_Rounding,Round_To),0)*IF(Round_To&gt;Tax_Rounding,Tax_Rounding,Round_To)</f>
        <v>222700</v>
      </c>
      <c r="K242" s="29">
        <f>ROUND(+J242*(1+'Tax Tables'!$C$10)/IF(Round_To&gt;Tax_Rounding,Tax_Rounding,Round_To),0)*IF(Round_To&gt;Tax_Rounding,Tax_Rounding,Round_To)</f>
        <v>227600</v>
      </c>
      <c r="L242" s="29">
        <f>ROUND(+K242*(1+'Tax Tables'!$C$10)/IF(Round_To&gt;Tax_Rounding,Tax_Rounding,Round_To),0)*IF(Round_To&gt;Tax_Rounding,Tax_Rounding,Round_To)</f>
        <v>232600</v>
      </c>
      <c r="M242" s="29">
        <f>ROUND(+L242*(1+'Tax Tables'!$C$10)/IF(Round_To&gt;Tax_Rounding,Tax_Rounding,Round_To),0)*IF(Round_To&gt;Tax_Rounding,Tax_Rounding,Round_To)</f>
        <v>237700</v>
      </c>
      <c r="N242" s="29">
        <f>ROUND(+M242*(1+'Tax Tables'!$C$10)/IF(Round_To&gt;Tax_Rounding,Tax_Rounding,Round_To),0)*IF(Round_To&gt;Tax_Rounding,Tax_Rounding,Round_To)</f>
        <v>242900</v>
      </c>
      <c r="O242" s="29">
        <f>ROUND(+N242*(1+'Tax Tables'!$C$10)/IF(Round_To&gt;Tax_Rounding,Tax_Rounding,Round_To),0)*IF(Round_To&gt;Tax_Rounding,Tax_Rounding,Round_To)</f>
        <v>248200</v>
      </c>
      <c r="P242" s="29">
        <f>ROUND(+O242*(1+'Tax Tables'!$C$10)/IF(Round_To&gt;Tax_Rounding,Tax_Rounding,Round_To),0)*IF(Round_To&gt;Tax_Rounding,Tax_Rounding,Round_To)</f>
        <v>253700</v>
      </c>
      <c r="Q242" s="29">
        <f>ROUND(+P242*(1+'Tax Tables'!$C$10)/IF(Round_To&gt;Tax_Rounding,Tax_Rounding,Round_To),0)*IF(Round_To&gt;Tax_Rounding,Tax_Rounding,Round_To)</f>
        <v>259300</v>
      </c>
      <c r="R242" s="29">
        <f>ROUND(+Q242*(1+'Tax Tables'!$C$10)/IF(Round_To&gt;Tax_Rounding,Tax_Rounding,Round_To),0)*IF(Round_To&gt;Tax_Rounding,Tax_Rounding,Round_To)</f>
        <v>265000</v>
      </c>
      <c r="S242" s="29">
        <f>ROUND(+R242*(1+'Tax Tables'!$C$10)/IF(Round_To&gt;Tax_Rounding,Tax_Rounding,Round_To),0)*IF(Round_To&gt;Tax_Rounding,Tax_Rounding,Round_To)</f>
        <v>270800</v>
      </c>
      <c r="T242" s="29">
        <f>ROUND(+S242*(1+'Tax Tables'!$C$10)/IF(Round_To&gt;Tax_Rounding,Tax_Rounding,Round_To),0)*IF(Round_To&gt;Tax_Rounding,Tax_Rounding,Round_To)</f>
        <v>276800</v>
      </c>
      <c r="U242" s="29">
        <f>ROUND(+T242*(1+'Tax Tables'!$C$10)/IF(Round_To&gt;Tax_Rounding,Tax_Rounding,Round_To),0)*IF(Round_To&gt;Tax_Rounding,Tax_Rounding,Round_To)</f>
        <v>282900</v>
      </c>
      <c r="V242" s="29">
        <f>ROUND(+U242*(1+'Tax Tables'!$C$10)/IF(Round_To&gt;Tax_Rounding,Tax_Rounding,Round_To),0)*IF(Round_To&gt;Tax_Rounding,Tax_Rounding,Round_To)</f>
        <v>289100</v>
      </c>
      <c r="W242" s="29">
        <f>ROUND(+V242*(1+'Tax Tables'!$C$10)/IF(Round_To&gt;Tax_Rounding,Tax_Rounding,Round_To),0)*IF(Round_To&gt;Tax_Rounding,Tax_Rounding,Round_To)</f>
        <v>295500</v>
      </c>
      <c r="X242" s="29">
        <f>ROUND(+W242*(1+'Tax Tables'!$C$10)/IF(Round_To&gt;Tax_Rounding,Tax_Rounding,Round_To),0)*IF(Round_To&gt;Tax_Rounding,Tax_Rounding,Round_To)</f>
        <v>302000</v>
      </c>
      <c r="Y242" s="29">
        <f>ROUND(+X242*(1+'Tax Tables'!$C$10)/IF(Round_To&gt;Tax_Rounding,Tax_Rounding,Round_To),0)*IF(Round_To&gt;Tax_Rounding,Tax_Rounding,Round_To)</f>
        <v>308600</v>
      </c>
      <c r="Z242" s="29">
        <f>ROUND(+Y242*(1+'Tax Tables'!$C$10)/IF(Round_To&gt;Tax_Rounding,Tax_Rounding,Round_To),0)*IF(Round_To&gt;Tax_Rounding,Tax_Rounding,Round_To)</f>
        <v>315400</v>
      </c>
      <c r="AA242" s="29">
        <f>ROUND(+Z242*(1+'Tax Tables'!$C$10)/IF(Round_To&gt;Tax_Rounding,Tax_Rounding,Round_To),0)*IF(Round_To&gt;Tax_Rounding,Tax_Rounding,Round_To)</f>
        <v>322300</v>
      </c>
      <c r="AB242" s="29">
        <f>ROUND(+AA242*(1+'Tax Tables'!$C$10)/IF(Round_To&gt;Tax_Rounding,Tax_Rounding,Round_To),0)*IF(Round_To&gt;Tax_Rounding,Tax_Rounding,Round_To)</f>
        <v>329400</v>
      </c>
      <c r="AC242" s="29">
        <f>ROUND(+AB242*(1+'Tax Tables'!$C$10)/IF(Round_To&gt;Tax_Rounding,Tax_Rounding,Round_To),0)*IF(Round_To&gt;Tax_Rounding,Tax_Rounding,Round_To)</f>
        <v>336600</v>
      </c>
      <c r="AD242" s="29">
        <f>ROUND(+AC242*(1+'Tax Tables'!$C$10)/IF(Round_To&gt;Tax_Rounding,Tax_Rounding,Round_To),0)*IF(Round_To&gt;Tax_Rounding,Tax_Rounding,Round_To)</f>
        <v>344000</v>
      </c>
      <c r="AE242" s="29">
        <f>ROUND(+AD242*(1+'Tax Tables'!$C$10)/IF(Round_To&gt;Tax_Rounding,Tax_Rounding,Round_To),0)*IF(Round_To&gt;Tax_Rounding,Tax_Rounding,Round_To)</f>
        <v>351600</v>
      </c>
      <c r="AF242" s="29">
        <f>ROUND(+AE242*(1+'Tax Tables'!$C$10)/IF(Round_To&gt;Tax_Rounding,Tax_Rounding,Round_To),0)*IF(Round_To&gt;Tax_Rounding,Tax_Rounding,Round_To)</f>
        <v>359300</v>
      </c>
      <c r="AG242" s="29">
        <f>ROUND(+AF242*(1+'Tax Tables'!$C$10)/IF(Round_To&gt;Tax_Rounding,Tax_Rounding,Round_To),0)*IF(Round_To&gt;Tax_Rounding,Tax_Rounding,Round_To)</f>
        <v>367200</v>
      </c>
      <c r="AH242" s="29">
        <f>ROUND(+AG242*(1+'Tax Tables'!$C$10)/IF(Round_To&gt;Tax_Rounding,Tax_Rounding,Round_To),0)*IF(Round_To&gt;Tax_Rounding,Tax_Rounding,Round_To)</f>
        <v>375300</v>
      </c>
      <c r="AI242" s="29">
        <f>ROUND(+AH242*(1+'Tax Tables'!$C$10)/IF(Round_To&gt;Tax_Rounding,Tax_Rounding,Round_To),0)*IF(Round_To&gt;Tax_Rounding,Tax_Rounding,Round_To)</f>
        <v>383600</v>
      </c>
      <c r="AJ242" s="29">
        <f>ROUND(+AI242*(1+'Tax Tables'!$C$10)/IF(Round_To&gt;Tax_Rounding,Tax_Rounding,Round_To),0)*IF(Round_To&gt;Tax_Rounding,Tax_Rounding,Round_To)</f>
        <v>392000</v>
      </c>
      <c r="AK242" s="29">
        <f>ROUND(+AJ242*(1+'Tax Tables'!$C$10)/IF(Round_To&gt;Tax_Rounding,Tax_Rounding,Round_To),0)*IF(Round_To&gt;Tax_Rounding,Tax_Rounding,Round_To)</f>
        <v>400600</v>
      </c>
      <c r="AL242" s="29">
        <f>ROUND(+AK242*(1+'Tax Tables'!$C$10)/IF(Round_To&gt;Tax_Rounding,Tax_Rounding,Round_To),0)*IF(Round_To&gt;Tax_Rounding,Tax_Rounding,Round_To)</f>
        <v>409400</v>
      </c>
      <c r="AM242" s="29">
        <f>ROUND(+AL242*(1+'Tax Tables'!$C$10)/IF(Round_To&gt;Tax_Rounding,Tax_Rounding,Round_To),0)*IF(Round_To&gt;Tax_Rounding,Tax_Rounding,Round_To)</f>
        <v>418400</v>
      </c>
      <c r="AN242" s="29">
        <f>ROUND(+AM242*(1+'Tax Tables'!$C$10)/IF(Round_To&gt;Tax_Rounding,Tax_Rounding,Round_To),0)*IF(Round_To&gt;Tax_Rounding,Tax_Rounding,Round_To)</f>
        <v>427600</v>
      </c>
      <c r="AO242" s="29">
        <f>ROUND(+AN242*(1+'Tax Tables'!$C$10)/IF(Round_To&gt;Tax_Rounding,Tax_Rounding,Round_To),0)*IF(Round_To&gt;Tax_Rounding,Tax_Rounding,Round_To)</f>
        <v>437000</v>
      </c>
      <c r="AP242" s="29">
        <f>ROUND(+AO242*(1+'Tax Tables'!$C$10)/IF(Round_To&gt;Tax_Rounding,Tax_Rounding,Round_To),0)*IF(Round_To&gt;Tax_Rounding,Tax_Rounding,Round_To)</f>
        <v>446600</v>
      </c>
      <c r="AQ242" s="29">
        <f>ROUND(+AP242*(1+'Tax Tables'!$C$10)/IF(Round_To&gt;Tax_Rounding,Tax_Rounding,Round_To),0)*IF(Round_To&gt;Tax_Rounding,Tax_Rounding,Round_To)</f>
        <v>456400</v>
      </c>
      <c r="AR242" s="29">
        <f>ROUND(+AQ242*(1+'Tax Tables'!$C$10)/IF(Round_To&gt;Tax_Rounding,Tax_Rounding,Round_To),0)*IF(Round_To&gt;Tax_Rounding,Tax_Rounding,Round_To)</f>
        <v>466400</v>
      </c>
      <c r="AS242" s="29">
        <f>ROUND(+AR242*(1+'Tax Tables'!$C$10)/IF(Round_To&gt;Tax_Rounding,Tax_Rounding,Round_To),0)*IF(Round_To&gt;Tax_Rounding,Tax_Rounding,Round_To)</f>
        <v>476700</v>
      </c>
      <c r="AT242" s="29"/>
      <c r="AU242" s="66">
        <v>424950</v>
      </c>
    </row>
    <row r="243" spans="1:47" ht="15.6">
      <c r="B243" s="8" t="s">
        <v>1475</v>
      </c>
      <c r="D243" s="225"/>
      <c r="E243" s="1644">
        <v>500000</v>
      </c>
      <c r="F243" s="487">
        <v>510300</v>
      </c>
      <c r="G243" s="29">
        <f>ROUND(+F243*(1+'Tax Tables'!$C$10)/IF(Round_To&gt;Tax_Rounding,Tax_Rounding,Round_To),0)*IF(Round_To&gt;Tax_Rounding,Tax_Rounding,Round_To)</f>
        <v>521500</v>
      </c>
      <c r="H243" s="29">
        <f>ROUND(+G243*(1+'Tax Tables'!$C$10)/IF(Round_To&gt;Tax_Rounding,Tax_Rounding,Round_To),0)*IF(Round_To&gt;Tax_Rounding,Tax_Rounding,Round_To)</f>
        <v>533000</v>
      </c>
      <c r="I243" s="29">
        <f>ROUND(+H243*(1+'Tax Tables'!$C$10)/IF(Round_To&gt;Tax_Rounding,Tax_Rounding,Round_To),0)*IF(Round_To&gt;Tax_Rounding,Tax_Rounding,Round_To)</f>
        <v>544700</v>
      </c>
      <c r="J243" s="29">
        <f>ROUND(+I243*(1+'Tax Tables'!$C$10)/IF(Round_To&gt;Tax_Rounding,Tax_Rounding,Round_To),0)*IF(Round_To&gt;Tax_Rounding,Tax_Rounding,Round_To)</f>
        <v>556700</v>
      </c>
      <c r="K243" s="29">
        <f>ROUND(+J243*(1+'Tax Tables'!$C$10)/IF(Round_To&gt;Tax_Rounding,Tax_Rounding,Round_To),0)*IF(Round_To&gt;Tax_Rounding,Tax_Rounding,Round_To)</f>
        <v>568900</v>
      </c>
      <c r="L243" s="29">
        <f>ROUND(+K243*(1+'Tax Tables'!$C$10)/IF(Round_To&gt;Tax_Rounding,Tax_Rounding,Round_To),0)*IF(Round_To&gt;Tax_Rounding,Tax_Rounding,Round_To)</f>
        <v>581400</v>
      </c>
      <c r="M243" s="29">
        <f>ROUND(+L243*(1+'Tax Tables'!$C$10)/IF(Round_To&gt;Tax_Rounding,Tax_Rounding,Round_To),0)*IF(Round_To&gt;Tax_Rounding,Tax_Rounding,Round_To)</f>
        <v>594200</v>
      </c>
      <c r="N243" s="29">
        <f>ROUND(+M243*(1+'Tax Tables'!$C$10)/IF(Round_To&gt;Tax_Rounding,Tax_Rounding,Round_To),0)*IF(Round_To&gt;Tax_Rounding,Tax_Rounding,Round_To)</f>
        <v>607300</v>
      </c>
      <c r="O243" s="29">
        <f>ROUND(+N243*(1+'Tax Tables'!$C$10)/IF(Round_To&gt;Tax_Rounding,Tax_Rounding,Round_To),0)*IF(Round_To&gt;Tax_Rounding,Tax_Rounding,Round_To)</f>
        <v>620700</v>
      </c>
      <c r="P243" s="29">
        <f>ROUND(+O243*(1+'Tax Tables'!$C$10)/IF(Round_To&gt;Tax_Rounding,Tax_Rounding,Round_To),0)*IF(Round_To&gt;Tax_Rounding,Tax_Rounding,Round_To)</f>
        <v>634400</v>
      </c>
      <c r="Q243" s="29">
        <f>ROUND(+P243*(1+'Tax Tables'!$C$10)/IF(Round_To&gt;Tax_Rounding,Tax_Rounding,Round_To),0)*IF(Round_To&gt;Tax_Rounding,Tax_Rounding,Round_To)</f>
        <v>648400</v>
      </c>
      <c r="R243" s="29">
        <f>ROUND(+Q243*(1+'Tax Tables'!$C$10)/IF(Round_To&gt;Tax_Rounding,Tax_Rounding,Round_To),0)*IF(Round_To&gt;Tax_Rounding,Tax_Rounding,Round_To)</f>
        <v>662700</v>
      </c>
      <c r="S243" s="29">
        <f>ROUND(+R243*(1+'Tax Tables'!$C$10)/IF(Round_To&gt;Tax_Rounding,Tax_Rounding,Round_To),0)*IF(Round_To&gt;Tax_Rounding,Tax_Rounding,Round_To)</f>
        <v>677300</v>
      </c>
      <c r="T243" s="29">
        <f>ROUND(+S243*(1+'Tax Tables'!$C$10)/IF(Round_To&gt;Tax_Rounding,Tax_Rounding,Round_To),0)*IF(Round_To&gt;Tax_Rounding,Tax_Rounding,Round_To)</f>
        <v>692200</v>
      </c>
      <c r="U243" s="29">
        <f>ROUND(+T243*(1+'Tax Tables'!$C$10)/IF(Round_To&gt;Tax_Rounding,Tax_Rounding,Round_To),0)*IF(Round_To&gt;Tax_Rounding,Tax_Rounding,Round_To)</f>
        <v>707400</v>
      </c>
      <c r="V243" s="29">
        <f>ROUND(+U243*(1+'Tax Tables'!$C$10)/IF(Round_To&gt;Tax_Rounding,Tax_Rounding,Round_To),0)*IF(Round_To&gt;Tax_Rounding,Tax_Rounding,Round_To)</f>
        <v>723000</v>
      </c>
      <c r="W243" s="29">
        <f>ROUND(+V243*(1+'Tax Tables'!$C$10)/IF(Round_To&gt;Tax_Rounding,Tax_Rounding,Round_To),0)*IF(Round_To&gt;Tax_Rounding,Tax_Rounding,Round_To)</f>
        <v>738900</v>
      </c>
      <c r="X243" s="29">
        <f>ROUND(+W243*(1+'Tax Tables'!$C$10)/IF(Round_To&gt;Tax_Rounding,Tax_Rounding,Round_To),0)*IF(Round_To&gt;Tax_Rounding,Tax_Rounding,Round_To)</f>
        <v>755200</v>
      </c>
      <c r="Y243" s="29">
        <f>ROUND(+X243*(1+'Tax Tables'!$C$10)/IF(Round_To&gt;Tax_Rounding,Tax_Rounding,Round_To),0)*IF(Round_To&gt;Tax_Rounding,Tax_Rounding,Round_To)</f>
        <v>771800</v>
      </c>
      <c r="Z243" s="29">
        <f>ROUND(+Y243*(1+'Tax Tables'!$C$10)/IF(Round_To&gt;Tax_Rounding,Tax_Rounding,Round_To),0)*IF(Round_To&gt;Tax_Rounding,Tax_Rounding,Round_To)</f>
        <v>788800</v>
      </c>
      <c r="AA243" s="29">
        <f>ROUND(+Z243*(1+'Tax Tables'!$C$10)/IF(Round_To&gt;Tax_Rounding,Tax_Rounding,Round_To),0)*IF(Round_To&gt;Tax_Rounding,Tax_Rounding,Round_To)</f>
        <v>806200</v>
      </c>
      <c r="AB243" s="29">
        <f>ROUND(+AA243*(1+'Tax Tables'!$C$10)/IF(Round_To&gt;Tax_Rounding,Tax_Rounding,Round_To),0)*IF(Round_To&gt;Tax_Rounding,Tax_Rounding,Round_To)</f>
        <v>823900</v>
      </c>
      <c r="AC243" s="29">
        <f>ROUND(+AB243*(1+'Tax Tables'!$C$10)/IF(Round_To&gt;Tax_Rounding,Tax_Rounding,Round_To),0)*IF(Round_To&gt;Tax_Rounding,Tax_Rounding,Round_To)</f>
        <v>842000</v>
      </c>
      <c r="AD243" s="29">
        <f>ROUND(+AC243*(1+'Tax Tables'!$C$10)/IF(Round_To&gt;Tax_Rounding,Tax_Rounding,Round_To),0)*IF(Round_To&gt;Tax_Rounding,Tax_Rounding,Round_To)</f>
        <v>860500</v>
      </c>
      <c r="AE243" s="29">
        <f>ROUND(+AD243*(1+'Tax Tables'!$C$10)/IF(Round_To&gt;Tax_Rounding,Tax_Rounding,Round_To),0)*IF(Round_To&gt;Tax_Rounding,Tax_Rounding,Round_To)</f>
        <v>879400</v>
      </c>
      <c r="AF243" s="29">
        <f>ROUND(+AE243*(1+'Tax Tables'!$C$10)/IF(Round_To&gt;Tax_Rounding,Tax_Rounding,Round_To),0)*IF(Round_To&gt;Tax_Rounding,Tax_Rounding,Round_To)</f>
        <v>898700</v>
      </c>
      <c r="AG243" s="29">
        <f>ROUND(+AF243*(1+'Tax Tables'!$C$10)/IF(Round_To&gt;Tax_Rounding,Tax_Rounding,Round_To),0)*IF(Round_To&gt;Tax_Rounding,Tax_Rounding,Round_To)</f>
        <v>918500</v>
      </c>
      <c r="AH243" s="29">
        <f>ROUND(+AG243*(1+'Tax Tables'!$C$10)/IF(Round_To&gt;Tax_Rounding,Tax_Rounding,Round_To),0)*IF(Round_To&gt;Tax_Rounding,Tax_Rounding,Round_To)</f>
        <v>938700</v>
      </c>
      <c r="AI243" s="29">
        <f>ROUND(+AH243*(1+'Tax Tables'!$C$10)/IF(Round_To&gt;Tax_Rounding,Tax_Rounding,Round_To),0)*IF(Round_To&gt;Tax_Rounding,Tax_Rounding,Round_To)</f>
        <v>959400</v>
      </c>
      <c r="AJ243" s="29">
        <f>ROUND(+AI243*(1+'Tax Tables'!$C$10)/IF(Round_To&gt;Tax_Rounding,Tax_Rounding,Round_To),0)*IF(Round_To&gt;Tax_Rounding,Tax_Rounding,Round_To)</f>
        <v>980500</v>
      </c>
      <c r="AK243" s="29">
        <f>ROUND(+AJ243*(1+'Tax Tables'!$C$10)/IF(Round_To&gt;Tax_Rounding,Tax_Rounding,Round_To),0)*IF(Round_To&gt;Tax_Rounding,Tax_Rounding,Round_To)</f>
        <v>1002100</v>
      </c>
      <c r="AL243" s="29">
        <f>ROUND(+AK243*(1+'Tax Tables'!$C$10)/IF(Round_To&gt;Tax_Rounding,Tax_Rounding,Round_To),0)*IF(Round_To&gt;Tax_Rounding,Tax_Rounding,Round_To)</f>
        <v>1024100</v>
      </c>
      <c r="AM243" s="29">
        <f>ROUND(+AL243*(1+'Tax Tables'!$C$10)/IF(Round_To&gt;Tax_Rounding,Tax_Rounding,Round_To),0)*IF(Round_To&gt;Tax_Rounding,Tax_Rounding,Round_To)</f>
        <v>1046600</v>
      </c>
      <c r="AN243" s="29">
        <f>ROUND(+AM243*(1+'Tax Tables'!$C$10)/IF(Round_To&gt;Tax_Rounding,Tax_Rounding,Round_To),0)*IF(Round_To&gt;Tax_Rounding,Tax_Rounding,Round_To)</f>
        <v>1069600</v>
      </c>
      <c r="AO243" s="29">
        <f>ROUND(+AN243*(1+'Tax Tables'!$C$10)/IF(Round_To&gt;Tax_Rounding,Tax_Rounding,Round_To),0)*IF(Round_To&gt;Tax_Rounding,Tax_Rounding,Round_To)</f>
        <v>1093100</v>
      </c>
      <c r="AP243" s="29">
        <f>ROUND(+AO243*(1+'Tax Tables'!$C$10)/IF(Round_To&gt;Tax_Rounding,Tax_Rounding,Round_To),0)*IF(Round_To&gt;Tax_Rounding,Tax_Rounding,Round_To)</f>
        <v>1117100</v>
      </c>
      <c r="AQ243" s="29">
        <f>ROUND(+AP243*(1+'Tax Tables'!$C$10)/IF(Round_To&gt;Tax_Rounding,Tax_Rounding,Round_To),0)*IF(Round_To&gt;Tax_Rounding,Tax_Rounding,Round_To)</f>
        <v>1141700</v>
      </c>
      <c r="AR243" s="29">
        <f>ROUND(+AQ243*(1+'Tax Tables'!$C$10)/IF(Round_To&gt;Tax_Rounding,Tax_Rounding,Round_To),0)*IF(Round_To&gt;Tax_Rounding,Tax_Rounding,Round_To)</f>
        <v>1166800</v>
      </c>
      <c r="AS243" s="29">
        <f>ROUND(+AR243*(1+'Tax Tables'!$C$10)/IF(Round_To&gt;Tax_Rounding,Tax_Rounding,Round_To),0)*IF(Round_To&gt;Tax_Rounding,Tax_Rounding,Round_To)</f>
        <v>1192500</v>
      </c>
      <c r="AT243" s="29"/>
      <c r="AU243" s="66">
        <v>426700</v>
      </c>
    </row>
    <row r="244" spans="1:47" ht="15.6">
      <c r="B244" s="8" t="s">
        <v>1476</v>
      </c>
      <c r="D244" s="226"/>
      <c r="E244" s="1645">
        <v>0.35</v>
      </c>
      <c r="F244" s="469">
        <v>0.35</v>
      </c>
      <c r="G244" s="61">
        <f>IF(Tax_Rates_Alt="y",IF(G$93=Setup!$I$238,+Setup!$H$238,+F244),+F244)</f>
        <v>0.35</v>
      </c>
      <c r="H244" s="61">
        <f>IF(Tax_Rates_Alt="y",IF(H$93=Setup!$I$238,+Setup!$H$238,+G244),+G244)</f>
        <v>0.35</v>
      </c>
      <c r="I244" s="61">
        <f>IF(Tax_Rates_Alt="y",IF(I$93=Setup!$I$238,+Setup!$H$238,+H244),+H244)</f>
        <v>0.35</v>
      </c>
      <c r="J244" s="61">
        <f>IF(Tax_Rates_Alt="y",IF(J$93=Setup!$I$238,+Setup!$H$238,+I244),+I244)</f>
        <v>0.35</v>
      </c>
      <c r="K244" s="61">
        <f>IF(Tax_Rates_Alt="y",IF(K$93=Setup!$I$238,+Setup!$H$238,+J244),+J244)</f>
        <v>0.35</v>
      </c>
      <c r="L244" s="61">
        <f>IF(Tax_Rates_Alt="y",IF(L$93=Setup!$I$238,+Setup!$H$238,+K244),+K244)</f>
        <v>0.35</v>
      </c>
      <c r="M244" s="61">
        <f>IF(Tax_Rates_Alt="y",IF(M$93=Setup!$I$238,+Setup!$H$238,+L244),+L244)</f>
        <v>0.35</v>
      </c>
      <c r="N244" s="61">
        <f>IF(Tax_Rates_Alt="y",IF(N$93=Setup!$I$238,+Setup!$H$238,+M244),+M244)</f>
        <v>0.35</v>
      </c>
      <c r="O244" s="61">
        <f>IF(Tax_Rates_Alt="y",IF(O$93=Setup!$I$238,+Setup!$H$238,+N244),+N244)</f>
        <v>0.35</v>
      </c>
      <c r="P244" s="61">
        <f>IF(Tax_Rates_Alt="y",IF(P$93=Setup!$I$238,+Setup!$H$238,+O244),+O244)</f>
        <v>0.35</v>
      </c>
      <c r="Q244" s="61">
        <f>IF(Tax_Rates_Alt="y",IF(Q$93=Setup!$I$238,+Setup!$H$238,+P244),+P244)</f>
        <v>0.35</v>
      </c>
      <c r="R244" s="61">
        <f>IF(Tax_Rates_Alt="y",IF(R$93=Setup!$I$238,+Setup!$H$238,+Q244),+Q244)</f>
        <v>0.35</v>
      </c>
      <c r="S244" s="61">
        <f>IF(Tax_Rates_Alt="y",IF(S$93=Setup!$I$238,+Setup!$H$238,+R244),+R244)</f>
        <v>0.35</v>
      </c>
      <c r="T244" s="61">
        <f>IF(Tax_Rates_Alt="y",IF(T$93=Setup!$I$238,+Setup!$H$238,+S244),+S244)</f>
        <v>0.35</v>
      </c>
      <c r="U244" s="61">
        <f>IF(Tax_Rates_Alt="y",IF(U$93=Setup!$I$238,+Setup!$H$238,+T244),+T244)</f>
        <v>0.35</v>
      </c>
      <c r="V244" s="61">
        <f>IF(Tax_Rates_Alt="y",IF(V$93=Setup!$I$238,+Setup!$H$238,+U244),+U244)</f>
        <v>0.35</v>
      </c>
      <c r="W244" s="61">
        <f>IF(Tax_Rates_Alt="y",IF(W$93=Setup!$I$238,+Setup!$H$238,+V244),+V244)</f>
        <v>0.35</v>
      </c>
      <c r="X244" s="61">
        <f>IF(Tax_Rates_Alt="y",IF(X$93=Setup!$I$238,+Setup!$H$238,+W244),+W244)</f>
        <v>0.35</v>
      </c>
      <c r="Y244" s="61">
        <f>IF(Tax_Rates_Alt="y",IF(Y$93=Setup!$I$238,+Setup!$H$238,+X244),+X244)</f>
        <v>0.35</v>
      </c>
      <c r="Z244" s="61">
        <f>IF(Tax_Rates_Alt="y",IF(Z$93=Setup!$I$238,+Setup!$H$238,+Y244),+Y244)</f>
        <v>0.35</v>
      </c>
      <c r="AA244" s="61">
        <f>IF(Tax_Rates_Alt="y",IF(AA$93=Setup!$I$238,+Setup!$H$238,+Z244),+Z244)</f>
        <v>0.35</v>
      </c>
      <c r="AB244" s="61">
        <f>IF(Tax_Rates_Alt="y",IF(AB$93=Setup!$I$238,+Setup!$H$238,+AA244),+AA244)</f>
        <v>0.35</v>
      </c>
      <c r="AC244" s="61">
        <f>IF(Tax_Rates_Alt="y",IF(AC$93=Setup!$I$238,+Setup!$H$238,+AB244),+AB244)</f>
        <v>0.35</v>
      </c>
      <c r="AD244" s="61">
        <f>IF(Tax_Rates_Alt="y",IF(AD$93=Setup!$I$238,+Setup!$H$238,+AC244),+AC244)</f>
        <v>0.35</v>
      </c>
      <c r="AE244" s="61">
        <f>IF(Tax_Rates_Alt="y",IF(AE$93=Setup!$I$238,+Setup!$H$238,+AD244),+AD244)</f>
        <v>0.35</v>
      </c>
      <c r="AF244" s="61">
        <f>IF(Tax_Rates_Alt="y",IF(AF$93=Setup!$I$238,+Setup!$H$238,+AE244),+AE244)</f>
        <v>0.35</v>
      </c>
      <c r="AG244" s="61">
        <f>IF(Tax_Rates_Alt="y",IF(AG$93=Setup!$I$238,+Setup!$H$238,+AF244),+AF244)</f>
        <v>0.35</v>
      </c>
      <c r="AH244" s="61">
        <f>IF(Tax_Rates_Alt="y",IF(AH$93=Setup!$I$238,+Setup!$H$238,+AG244),+AG244)</f>
        <v>0.35</v>
      </c>
      <c r="AI244" s="61">
        <f>IF(Tax_Rates_Alt="y",IF(AI$93=Setup!$I$238,+Setup!$H$238,+AH244),+AH244)</f>
        <v>0.35</v>
      </c>
      <c r="AJ244" s="61">
        <f>IF(Tax_Rates_Alt="y",IF(AJ$93=Setup!$I$238,+Setup!$H$238,+AI244),+AI244)</f>
        <v>0.35</v>
      </c>
      <c r="AK244" s="61">
        <f>IF(Tax_Rates_Alt="y",IF(AK$93=Setup!$I$238,+Setup!$H$238,+AJ244),+AJ244)</f>
        <v>0.35</v>
      </c>
      <c r="AL244" s="61">
        <f>IF(Tax_Rates_Alt="y",IF(AL$93=Setup!$I$238,+Setup!$H$238,+AK244),+AK244)</f>
        <v>0.35</v>
      </c>
      <c r="AM244" s="61">
        <f>IF(Tax_Rates_Alt="y",IF(AM$93=Setup!$I$238,+Setup!$H$238,+AL244),+AL244)</f>
        <v>0.35</v>
      </c>
      <c r="AN244" s="61">
        <f>IF(Tax_Rates_Alt="y",IF(AN$93=Setup!$I$238,+Setup!$H$238,+AM244),+AM244)</f>
        <v>0.35</v>
      </c>
      <c r="AO244" s="61">
        <f>IF(Tax_Rates_Alt="y",IF(AO$93=Setup!$I$238,+Setup!$H$238,+AN244),+AN244)</f>
        <v>0.35</v>
      </c>
      <c r="AP244" s="61">
        <f>IF(Tax_Rates_Alt="y",IF(AP$93=Setup!$I$238,+Setup!$H$238,+AO244),+AO244)</f>
        <v>0.35</v>
      </c>
      <c r="AQ244" s="61">
        <f>IF(Tax_Rates_Alt="y",IF(AQ$93=Setup!$I$238,+Setup!$H$238,+AP244),+AP244)</f>
        <v>0.35</v>
      </c>
      <c r="AR244" s="61">
        <f>IF(Tax_Rates_Alt="y",IF(AR$93=Setup!$I$238,+Setup!$H$238,+AQ244),+AQ244)</f>
        <v>0.35</v>
      </c>
      <c r="AS244" s="61">
        <f>IF(Tax_Rates_Alt="y",IF(AS$93=Setup!$I$238,+Setup!$H$238,+AR244),+AR244)</f>
        <v>0.35</v>
      </c>
      <c r="AT244" s="61"/>
      <c r="AU244" s="1403">
        <v>0.35</v>
      </c>
    </row>
    <row r="245" spans="1:47" ht="15.6">
      <c r="B245" s="8" t="s">
        <v>1414</v>
      </c>
      <c r="D245" s="29"/>
      <c r="E245" s="29">
        <f t="shared" ref="E245:AS245" si="141">ROUND((+E243-E242)*E244/IF(Round_To&gt;Tax_Rounding,Tax_Rounding,Round_To),0)*IF(Round_To&gt;Tax_Rounding,Tax_Rounding,Round_To)</f>
        <v>105000</v>
      </c>
      <c r="F245" s="29">
        <f t="shared" si="141"/>
        <v>107200</v>
      </c>
      <c r="G245" s="29">
        <f t="shared" si="141"/>
        <v>109500</v>
      </c>
      <c r="H245" s="29">
        <f t="shared" si="141"/>
        <v>111900</v>
      </c>
      <c r="I245" s="29">
        <f t="shared" si="141"/>
        <v>114400</v>
      </c>
      <c r="J245" s="29">
        <f t="shared" si="141"/>
        <v>116900</v>
      </c>
      <c r="K245" s="29">
        <f t="shared" si="141"/>
        <v>119500</v>
      </c>
      <c r="L245" s="29">
        <f t="shared" si="141"/>
        <v>122100</v>
      </c>
      <c r="M245" s="29">
        <f t="shared" si="141"/>
        <v>124800</v>
      </c>
      <c r="N245" s="29">
        <f t="shared" si="141"/>
        <v>127500</v>
      </c>
      <c r="O245" s="29">
        <f t="shared" si="141"/>
        <v>130400</v>
      </c>
      <c r="P245" s="29">
        <f t="shared" si="141"/>
        <v>133200</v>
      </c>
      <c r="Q245" s="29">
        <f t="shared" si="141"/>
        <v>136200</v>
      </c>
      <c r="R245" s="29">
        <f t="shared" si="141"/>
        <v>139200</v>
      </c>
      <c r="S245" s="29">
        <f t="shared" si="141"/>
        <v>142300</v>
      </c>
      <c r="T245" s="29">
        <f t="shared" si="141"/>
        <v>145400</v>
      </c>
      <c r="U245" s="29">
        <f t="shared" si="141"/>
        <v>148600</v>
      </c>
      <c r="V245" s="29">
        <f t="shared" si="141"/>
        <v>151900</v>
      </c>
      <c r="W245" s="29">
        <f t="shared" si="141"/>
        <v>155200</v>
      </c>
      <c r="X245" s="29">
        <f t="shared" si="141"/>
        <v>158600</v>
      </c>
      <c r="Y245" s="29">
        <f t="shared" si="141"/>
        <v>162100</v>
      </c>
      <c r="Z245" s="29">
        <f t="shared" si="141"/>
        <v>165700</v>
      </c>
      <c r="AA245" s="29">
        <f t="shared" si="141"/>
        <v>169400</v>
      </c>
      <c r="AB245" s="29">
        <f t="shared" si="141"/>
        <v>173100</v>
      </c>
      <c r="AC245" s="29">
        <f t="shared" si="141"/>
        <v>176900</v>
      </c>
      <c r="AD245" s="29">
        <f t="shared" si="141"/>
        <v>180800</v>
      </c>
      <c r="AE245" s="29">
        <f t="shared" si="141"/>
        <v>184700</v>
      </c>
      <c r="AF245" s="29">
        <f t="shared" si="141"/>
        <v>188800</v>
      </c>
      <c r="AG245" s="29">
        <f t="shared" si="141"/>
        <v>193000</v>
      </c>
      <c r="AH245" s="29">
        <f t="shared" si="141"/>
        <v>197200</v>
      </c>
      <c r="AI245" s="29">
        <f t="shared" si="141"/>
        <v>201500</v>
      </c>
      <c r="AJ245" s="29">
        <f t="shared" si="141"/>
        <v>206000</v>
      </c>
      <c r="AK245" s="29">
        <f t="shared" si="141"/>
        <v>210500</v>
      </c>
      <c r="AL245" s="29">
        <f t="shared" si="141"/>
        <v>215100</v>
      </c>
      <c r="AM245" s="29">
        <f t="shared" si="141"/>
        <v>219900</v>
      </c>
      <c r="AN245" s="29">
        <f t="shared" si="141"/>
        <v>224700</v>
      </c>
      <c r="AO245" s="29">
        <f t="shared" si="141"/>
        <v>229600</v>
      </c>
      <c r="AP245" s="29">
        <f t="shared" si="141"/>
        <v>234700</v>
      </c>
      <c r="AQ245" s="29">
        <f t="shared" si="141"/>
        <v>239900</v>
      </c>
      <c r="AR245" s="29">
        <f t="shared" si="141"/>
        <v>245100</v>
      </c>
      <c r="AS245" s="29">
        <f t="shared" si="141"/>
        <v>250500</v>
      </c>
      <c r="AT245" s="29"/>
      <c r="AU245" s="22"/>
    </row>
    <row r="246" spans="1:47" ht="15.6">
      <c r="C246" s="8"/>
      <c r="D246" s="29"/>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2"/>
    </row>
    <row r="247" spans="1:47" ht="15.6">
      <c r="B247" s="539" t="s">
        <v>1980</v>
      </c>
      <c r="C247" s="8"/>
      <c r="D247" s="29"/>
      <c r="E247" s="29">
        <f>+E243</f>
        <v>500000</v>
      </c>
      <c r="F247" s="33">
        <f>+F243</f>
        <v>510300</v>
      </c>
      <c r="G247" s="29">
        <f>ROUND(+F247*(1+'Tax Tables'!$C$10)/IF(Round_To&gt;Tax_Rounding,Tax_Rounding,Round_To),0)*IF(Round_To&gt;Tax_Rounding,Tax_Rounding,Round_To)</f>
        <v>521500</v>
      </c>
      <c r="H247" s="29">
        <f>ROUND(+G247*(1+'Tax Tables'!$C$10)/IF(Round_To&gt;Tax_Rounding,Tax_Rounding,Round_To),0)*IF(Round_To&gt;Tax_Rounding,Tax_Rounding,Round_To)</f>
        <v>533000</v>
      </c>
      <c r="I247" s="29">
        <f>ROUND(+H247*(1+'Tax Tables'!$C$10)/IF(Round_To&gt;Tax_Rounding,Tax_Rounding,Round_To),0)*IF(Round_To&gt;Tax_Rounding,Tax_Rounding,Round_To)</f>
        <v>544700</v>
      </c>
      <c r="J247" s="29">
        <f>ROUND(+I247*(1+'Tax Tables'!$C$10)/IF(Round_To&gt;Tax_Rounding,Tax_Rounding,Round_To),0)*IF(Round_To&gt;Tax_Rounding,Tax_Rounding,Round_To)</f>
        <v>556700</v>
      </c>
      <c r="K247" s="29">
        <f>ROUND(+J247*(1+'Tax Tables'!$C$10)/IF(Round_To&gt;Tax_Rounding,Tax_Rounding,Round_To),0)*IF(Round_To&gt;Tax_Rounding,Tax_Rounding,Round_To)</f>
        <v>568900</v>
      </c>
      <c r="L247" s="29">
        <f>ROUND(+K247*(1+'Tax Tables'!$C$10)/IF(Round_To&gt;Tax_Rounding,Tax_Rounding,Round_To),0)*IF(Round_To&gt;Tax_Rounding,Tax_Rounding,Round_To)</f>
        <v>581400</v>
      </c>
      <c r="M247" s="29">
        <f>ROUND(+L247*(1+'Tax Tables'!$C$10)/IF(Round_To&gt;Tax_Rounding,Tax_Rounding,Round_To),0)*IF(Round_To&gt;Tax_Rounding,Tax_Rounding,Round_To)</f>
        <v>594200</v>
      </c>
      <c r="N247" s="29">
        <f>ROUND(+M247*(1+'Tax Tables'!$C$10)/IF(Round_To&gt;Tax_Rounding,Tax_Rounding,Round_To),0)*IF(Round_To&gt;Tax_Rounding,Tax_Rounding,Round_To)</f>
        <v>607300</v>
      </c>
      <c r="O247" s="29">
        <f>ROUND(+N247*(1+'Tax Tables'!$C$10)/IF(Round_To&gt;Tax_Rounding,Tax_Rounding,Round_To),0)*IF(Round_To&gt;Tax_Rounding,Tax_Rounding,Round_To)</f>
        <v>620700</v>
      </c>
      <c r="P247" s="29">
        <f>ROUND(+O247*(1+'Tax Tables'!$C$10)/IF(Round_To&gt;Tax_Rounding,Tax_Rounding,Round_To),0)*IF(Round_To&gt;Tax_Rounding,Tax_Rounding,Round_To)</f>
        <v>634400</v>
      </c>
      <c r="Q247" s="29">
        <f>ROUND(+P247*(1+'Tax Tables'!$C$10)/IF(Round_To&gt;Tax_Rounding,Tax_Rounding,Round_To),0)*IF(Round_To&gt;Tax_Rounding,Tax_Rounding,Round_To)</f>
        <v>648400</v>
      </c>
      <c r="R247" s="29">
        <f>ROUND(+Q247*(1+'Tax Tables'!$C$10)/IF(Round_To&gt;Tax_Rounding,Tax_Rounding,Round_To),0)*IF(Round_To&gt;Tax_Rounding,Tax_Rounding,Round_To)</f>
        <v>662700</v>
      </c>
      <c r="S247" s="29">
        <f>ROUND(+R247*(1+'Tax Tables'!$C$10)/IF(Round_To&gt;Tax_Rounding,Tax_Rounding,Round_To),0)*IF(Round_To&gt;Tax_Rounding,Tax_Rounding,Round_To)</f>
        <v>677300</v>
      </c>
      <c r="T247" s="29">
        <f>ROUND(+S247*(1+'Tax Tables'!$C$10)/IF(Round_To&gt;Tax_Rounding,Tax_Rounding,Round_To),0)*IF(Round_To&gt;Tax_Rounding,Tax_Rounding,Round_To)</f>
        <v>692200</v>
      </c>
      <c r="U247" s="29">
        <f>ROUND(+T247*(1+'Tax Tables'!$C$10)/IF(Round_To&gt;Tax_Rounding,Tax_Rounding,Round_To),0)*IF(Round_To&gt;Tax_Rounding,Tax_Rounding,Round_To)</f>
        <v>707400</v>
      </c>
      <c r="V247" s="29">
        <f>ROUND(+U247*(1+'Tax Tables'!$C$10)/IF(Round_To&gt;Tax_Rounding,Tax_Rounding,Round_To),0)*IF(Round_To&gt;Tax_Rounding,Tax_Rounding,Round_To)</f>
        <v>723000</v>
      </c>
      <c r="W247" s="29">
        <f>ROUND(+V247*(1+'Tax Tables'!$C$10)/IF(Round_To&gt;Tax_Rounding,Tax_Rounding,Round_To),0)*IF(Round_To&gt;Tax_Rounding,Tax_Rounding,Round_To)</f>
        <v>738900</v>
      </c>
      <c r="X247" s="29">
        <f>ROUND(+W247*(1+'Tax Tables'!$C$10)/IF(Round_To&gt;Tax_Rounding,Tax_Rounding,Round_To),0)*IF(Round_To&gt;Tax_Rounding,Tax_Rounding,Round_To)</f>
        <v>755200</v>
      </c>
      <c r="Y247" s="29">
        <f>ROUND(+X247*(1+'Tax Tables'!$C$10)/IF(Round_To&gt;Tax_Rounding,Tax_Rounding,Round_To),0)*IF(Round_To&gt;Tax_Rounding,Tax_Rounding,Round_To)</f>
        <v>771800</v>
      </c>
      <c r="Z247" s="29">
        <f>ROUND(+Y247*(1+'Tax Tables'!$C$10)/IF(Round_To&gt;Tax_Rounding,Tax_Rounding,Round_To),0)*IF(Round_To&gt;Tax_Rounding,Tax_Rounding,Round_To)</f>
        <v>788800</v>
      </c>
      <c r="AA247" s="29">
        <f>ROUND(+Z247*(1+'Tax Tables'!$C$10)/IF(Round_To&gt;Tax_Rounding,Tax_Rounding,Round_To),0)*IF(Round_To&gt;Tax_Rounding,Tax_Rounding,Round_To)</f>
        <v>806200</v>
      </c>
      <c r="AB247" s="29">
        <f>ROUND(+AA247*(1+'Tax Tables'!$C$10)/IF(Round_To&gt;Tax_Rounding,Tax_Rounding,Round_To),0)*IF(Round_To&gt;Tax_Rounding,Tax_Rounding,Round_To)</f>
        <v>823900</v>
      </c>
      <c r="AC247" s="29">
        <f>ROUND(+AB247*(1+'Tax Tables'!$C$10)/IF(Round_To&gt;Tax_Rounding,Tax_Rounding,Round_To),0)*IF(Round_To&gt;Tax_Rounding,Tax_Rounding,Round_To)</f>
        <v>842000</v>
      </c>
      <c r="AD247" s="29">
        <f>ROUND(+AC247*(1+'Tax Tables'!$C$10)/IF(Round_To&gt;Tax_Rounding,Tax_Rounding,Round_To),0)*IF(Round_To&gt;Tax_Rounding,Tax_Rounding,Round_To)</f>
        <v>860500</v>
      </c>
      <c r="AE247" s="29">
        <f>ROUND(+AD247*(1+'Tax Tables'!$C$10)/IF(Round_To&gt;Tax_Rounding,Tax_Rounding,Round_To),0)*IF(Round_To&gt;Tax_Rounding,Tax_Rounding,Round_To)</f>
        <v>879400</v>
      </c>
      <c r="AF247" s="29">
        <f>ROUND(+AE247*(1+'Tax Tables'!$C$10)/IF(Round_To&gt;Tax_Rounding,Tax_Rounding,Round_To),0)*IF(Round_To&gt;Tax_Rounding,Tax_Rounding,Round_To)</f>
        <v>898700</v>
      </c>
      <c r="AG247" s="29">
        <f>ROUND(+AF247*(1+'Tax Tables'!$C$10)/IF(Round_To&gt;Tax_Rounding,Tax_Rounding,Round_To),0)*IF(Round_To&gt;Tax_Rounding,Tax_Rounding,Round_To)</f>
        <v>918500</v>
      </c>
      <c r="AH247" s="29">
        <f>ROUND(+AG247*(1+'Tax Tables'!$C$10)/IF(Round_To&gt;Tax_Rounding,Tax_Rounding,Round_To),0)*IF(Round_To&gt;Tax_Rounding,Tax_Rounding,Round_To)</f>
        <v>938700</v>
      </c>
      <c r="AI247" s="29">
        <f>ROUND(+AH247*(1+'Tax Tables'!$C$10)/IF(Round_To&gt;Tax_Rounding,Tax_Rounding,Round_To),0)*IF(Round_To&gt;Tax_Rounding,Tax_Rounding,Round_To)</f>
        <v>959400</v>
      </c>
      <c r="AJ247" s="29">
        <f>ROUND(+AI247*(1+'Tax Tables'!$C$10)/IF(Round_To&gt;Tax_Rounding,Tax_Rounding,Round_To),0)*IF(Round_To&gt;Tax_Rounding,Tax_Rounding,Round_To)</f>
        <v>980500</v>
      </c>
      <c r="AK247" s="29">
        <f>ROUND(+AJ247*(1+'Tax Tables'!$C$10)/IF(Round_To&gt;Tax_Rounding,Tax_Rounding,Round_To),0)*IF(Round_To&gt;Tax_Rounding,Tax_Rounding,Round_To)</f>
        <v>1002100</v>
      </c>
      <c r="AL247" s="29">
        <f>ROUND(+AK247*(1+'Tax Tables'!$C$10)/IF(Round_To&gt;Tax_Rounding,Tax_Rounding,Round_To),0)*IF(Round_To&gt;Tax_Rounding,Tax_Rounding,Round_To)</f>
        <v>1024100</v>
      </c>
      <c r="AM247" s="29">
        <f>ROUND(+AL247*(1+'Tax Tables'!$C$10)/IF(Round_To&gt;Tax_Rounding,Tax_Rounding,Round_To),0)*IF(Round_To&gt;Tax_Rounding,Tax_Rounding,Round_To)</f>
        <v>1046600</v>
      </c>
      <c r="AN247" s="29">
        <f>ROUND(+AM247*(1+'Tax Tables'!$C$10)/IF(Round_To&gt;Tax_Rounding,Tax_Rounding,Round_To),0)*IF(Round_To&gt;Tax_Rounding,Tax_Rounding,Round_To)</f>
        <v>1069600</v>
      </c>
      <c r="AO247" s="29">
        <f>ROUND(+AN247*(1+'Tax Tables'!$C$10)/IF(Round_To&gt;Tax_Rounding,Tax_Rounding,Round_To),0)*IF(Round_To&gt;Tax_Rounding,Tax_Rounding,Round_To)</f>
        <v>1093100</v>
      </c>
      <c r="AP247" s="29">
        <f>ROUND(+AO247*(1+'Tax Tables'!$C$10)/IF(Round_To&gt;Tax_Rounding,Tax_Rounding,Round_To),0)*IF(Round_To&gt;Tax_Rounding,Tax_Rounding,Round_To)</f>
        <v>1117100</v>
      </c>
      <c r="AQ247" s="29">
        <f>ROUND(+AP247*(1+'Tax Tables'!$C$10)/IF(Round_To&gt;Tax_Rounding,Tax_Rounding,Round_To),0)*IF(Round_To&gt;Tax_Rounding,Tax_Rounding,Round_To)</f>
        <v>1141700</v>
      </c>
      <c r="AR247" s="29">
        <f>ROUND(+AQ247*(1+'Tax Tables'!$C$10)/IF(Round_To&gt;Tax_Rounding,Tax_Rounding,Round_To),0)*IF(Round_To&gt;Tax_Rounding,Tax_Rounding,Round_To)</f>
        <v>1166800</v>
      </c>
      <c r="AS247" s="29">
        <f>ROUND(+AR247*(1+'Tax Tables'!$C$10)/IF(Round_To&gt;Tax_Rounding,Tax_Rounding,Round_To),0)*IF(Round_To&gt;Tax_Rounding,Tax_Rounding,Round_To)</f>
        <v>1192500</v>
      </c>
      <c r="AT247" s="29"/>
      <c r="AU247" s="66">
        <v>426700</v>
      </c>
    </row>
    <row r="248" spans="1:47" ht="15.6">
      <c r="B248" s="8" t="s">
        <v>1476</v>
      </c>
      <c r="D248" s="226"/>
      <c r="E248" s="1646">
        <v>0.37</v>
      </c>
      <c r="F248" s="489">
        <v>0.37</v>
      </c>
      <c r="G248" s="61">
        <f>IF(Tax_Rates_Alt="y",IF(G$93=Setup!$I$239,+Setup!$H$239,+F248),+F248)</f>
        <v>0.37</v>
      </c>
      <c r="H248" s="61">
        <f>IF(Tax_Rates_Alt="y",IF(H$93=Setup!$I$239,+Setup!$H$239,+G248),+G248)</f>
        <v>0.37</v>
      </c>
      <c r="I248" s="61">
        <f>IF(Tax_Rates_Alt="y",IF(I$93=Setup!$I$239,+Setup!$H$239,+H248),+H248)</f>
        <v>0.37</v>
      </c>
      <c r="J248" s="61">
        <f>IF(Tax_Rates_Alt="y",IF(J$93=Setup!$I$239,+Setup!$H$239,+I248),+I248)</f>
        <v>0.37</v>
      </c>
      <c r="K248" s="61">
        <f>IF(Tax_Rates_Alt="y",IF(K$93=Setup!$I$239,+Setup!$H$239,+J248),+J248)</f>
        <v>0.37</v>
      </c>
      <c r="L248" s="61">
        <f>IF(Tax_Rates_Alt="y",IF(L$93=Setup!$I$239,+Setup!$H$239,+K248),+K248)</f>
        <v>0.37</v>
      </c>
      <c r="M248" s="61">
        <f>IF(Tax_Rates_Alt="y",IF(M$93=Setup!$I$239,+Setup!$H$239,+L248),+L248)</f>
        <v>0.37</v>
      </c>
      <c r="N248" s="61">
        <f>IF(Tax_Rates_Alt="y",IF(N$93=Setup!$I$239,+Setup!$H$239,+M248),+M248)</f>
        <v>0.37</v>
      </c>
      <c r="O248" s="61">
        <f>IF(Tax_Rates_Alt="y",IF(O$93=Setup!$I$239,+Setup!$H$239,+N248),+N248)</f>
        <v>0.37</v>
      </c>
      <c r="P248" s="61">
        <f>IF(Tax_Rates_Alt="y",IF(P$93=Setup!$I$239,+Setup!$H$239,+O248),+O248)</f>
        <v>0.37</v>
      </c>
      <c r="Q248" s="61">
        <f>IF(Tax_Rates_Alt="y",IF(Q$93=Setup!$I$239,+Setup!$H$239,+P248),+P248)</f>
        <v>0.37</v>
      </c>
      <c r="R248" s="61">
        <f>IF(Tax_Rates_Alt="y",IF(R$93=Setup!$I$239,+Setup!$H$239,+Q248),+Q248)</f>
        <v>0.37</v>
      </c>
      <c r="S248" s="61">
        <f>IF(Tax_Rates_Alt="y",IF(S$93=Setup!$I$239,+Setup!$H$239,+R248),+R248)</f>
        <v>0.37</v>
      </c>
      <c r="T248" s="61">
        <f>IF(Tax_Rates_Alt="y",IF(T$93=Setup!$I$239,+Setup!$H$239,+S248),+S248)</f>
        <v>0.37</v>
      </c>
      <c r="U248" s="61">
        <f>IF(Tax_Rates_Alt="y",IF(U$93=Setup!$I$239,+Setup!$H$239,+T248),+T248)</f>
        <v>0.37</v>
      </c>
      <c r="V248" s="61">
        <f>IF(Tax_Rates_Alt="y",IF(V$93=Setup!$I$239,+Setup!$H$239,+U248),+U248)</f>
        <v>0.37</v>
      </c>
      <c r="W248" s="61">
        <f>IF(Tax_Rates_Alt="y",IF(W$93=Setup!$I$239,+Setup!$H$239,+V248),+V248)</f>
        <v>0.37</v>
      </c>
      <c r="X248" s="61">
        <f>IF(Tax_Rates_Alt="y",IF(X$93=Setup!$I$239,+Setup!$H$239,+W248),+W248)</f>
        <v>0.37</v>
      </c>
      <c r="Y248" s="61">
        <f>IF(Tax_Rates_Alt="y",IF(Y$93=Setup!$I$239,+Setup!$H$239,+X248),+X248)</f>
        <v>0.37</v>
      </c>
      <c r="Z248" s="61">
        <f>IF(Tax_Rates_Alt="y",IF(Z$93=Setup!$I$239,+Setup!$H$239,+Y248),+Y248)</f>
        <v>0.37</v>
      </c>
      <c r="AA248" s="61">
        <f>IF(Tax_Rates_Alt="y",IF(AA$93=Setup!$I$239,+Setup!$H$239,+Z248),+Z248)</f>
        <v>0.37</v>
      </c>
      <c r="AB248" s="61">
        <f>IF(Tax_Rates_Alt="y",IF(AB$93=Setup!$I$239,+Setup!$H$239,+AA248),+AA248)</f>
        <v>0.37</v>
      </c>
      <c r="AC248" s="61">
        <f>IF(Tax_Rates_Alt="y",IF(AC$93=Setup!$I$239,+Setup!$H$239,+AB248),+AB248)</f>
        <v>0.37</v>
      </c>
      <c r="AD248" s="61">
        <f>IF(Tax_Rates_Alt="y",IF(AD$93=Setup!$I$239,+Setup!$H$239,+AC248),+AC248)</f>
        <v>0.37</v>
      </c>
      <c r="AE248" s="61">
        <f>IF(Tax_Rates_Alt="y",IF(AE$93=Setup!$I$239,+Setup!$H$239,+AD248),+AD248)</f>
        <v>0.37</v>
      </c>
      <c r="AF248" s="61">
        <f>IF(Tax_Rates_Alt="y",IF(AF$93=Setup!$I$239,+Setup!$H$239,+AE248),+AE248)</f>
        <v>0.37</v>
      </c>
      <c r="AG248" s="61">
        <f>IF(Tax_Rates_Alt="y",IF(AG$93=Setup!$I$239,+Setup!$H$239,+AF248),+AF248)</f>
        <v>0.37</v>
      </c>
      <c r="AH248" s="61">
        <f>IF(Tax_Rates_Alt="y",IF(AH$93=Setup!$I$239,+Setup!$H$239,+AG248),+AG248)</f>
        <v>0.37</v>
      </c>
      <c r="AI248" s="61">
        <f>IF(Tax_Rates_Alt="y",IF(AI$93=Setup!$I$239,+Setup!$H$239,+AH248),+AH248)</f>
        <v>0.37</v>
      </c>
      <c r="AJ248" s="61">
        <f>IF(Tax_Rates_Alt="y",IF(AJ$93=Setup!$I$239,+Setup!$H$239,+AI248),+AI248)</f>
        <v>0.37</v>
      </c>
      <c r="AK248" s="61">
        <f>IF(Tax_Rates_Alt="y",IF(AK$93=Setup!$I$239,+Setup!$H$239,+AJ248),+AJ248)</f>
        <v>0.37</v>
      </c>
      <c r="AL248" s="61">
        <f>IF(Tax_Rates_Alt="y",IF(AL$93=Setup!$I$239,+Setup!$H$239,+AK248),+AK248)</f>
        <v>0.37</v>
      </c>
      <c r="AM248" s="61">
        <f>IF(Tax_Rates_Alt="y",IF(AM$93=Setup!$I$239,+Setup!$H$239,+AL248),+AL248)</f>
        <v>0.37</v>
      </c>
      <c r="AN248" s="61">
        <f>IF(Tax_Rates_Alt="y",IF(AN$93=Setup!$I$239,+Setup!$H$239,+AM248),+AM248)</f>
        <v>0.37</v>
      </c>
      <c r="AO248" s="61">
        <f>IF(Tax_Rates_Alt="y",IF(AO$93=Setup!$I$239,+Setup!$H$239,+AN248),+AN248)</f>
        <v>0.37</v>
      </c>
      <c r="AP248" s="61">
        <f>IF(Tax_Rates_Alt="y",IF(AP$93=Setup!$I$239,+Setup!$H$239,+AO248),+AO248)</f>
        <v>0.37</v>
      </c>
      <c r="AQ248" s="61">
        <f>IF(Tax_Rates_Alt="y",IF(AQ$93=Setup!$I$239,+Setup!$H$239,+AP248),+AP248)</f>
        <v>0.37</v>
      </c>
      <c r="AR248" s="61">
        <f>IF(Tax_Rates_Alt="y",IF(AR$93=Setup!$I$239,+Setup!$H$239,+AQ248),+AQ248)</f>
        <v>0.37</v>
      </c>
      <c r="AS248" s="61">
        <f>IF(Tax_Rates_Alt="y",IF(AS$93=Setup!$I$239,+Setup!$H$239,+AR248),+AR248)</f>
        <v>0.37</v>
      </c>
      <c r="AT248" s="61"/>
      <c r="AU248" s="1404">
        <v>0.39600000000000002</v>
      </c>
    </row>
    <row r="249" spans="1:47" ht="15.6">
      <c r="C249" s="29"/>
      <c r="D249" s="8"/>
      <c r="E249" s="227"/>
      <c r="F249" s="856"/>
      <c r="G249" s="61"/>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c r="AE249" s="61"/>
      <c r="AF249" s="61"/>
      <c r="AG249" s="61"/>
      <c r="AH249" s="61"/>
      <c r="AI249" s="61"/>
      <c r="AJ249" s="61"/>
      <c r="AK249" s="61"/>
      <c r="AL249" s="61"/>
      <c r="AM249" s="61"/>
      <c r="AN249" s="61"/>
      <c r="AO249" s="61"/>
      <c r="AP249" s="61"/>
      <c r="AQ249" s="61"/>
      <c r="AR249" s="61"/>
      <c r="AS249" s="61"/>
      <c r="AT249" s="61"/>
    </row>
    <row r="250" spans="1:47">
      <c r="C250" s="8"/>
      <c r="D250" s="8"/>
      <c r="E250" s="60"/>
      <c r="F250" s="60"/>
      <c r="G250" s="61"/>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c r="AE250" s="61"/>
      <c r="AF250" s="61"/>
      <c r="AG250" s="61"/>
      <c r="AH250" s="61"/>
      <c r="AI250" s="61"/>
      <c r="AJ250" s="61"/>
      <c r="AK250" s="61"/>
      <c r="AL250" s="61"/>
      <c r="AM250" s="61"/>
      <c r="AN250" s="61"/>
      <c r="AO250" s="61"/>
      <c r="AP250" s="61"/>
      <c r="AQ250" s="61"/>
      <c r="AR250" s="61"/>
      <c r="AS250" s="61"/>
      <c r="AT250" s="61"/>
    </row>
    <row r="251" spans="1:47" ht="17.399999999999999">
      <c r="A251" s="710"/>
      <c r="B251" s="710" t="s">
        <v>970</v>
      </c>
      <c r="C251" s="8"/>
      <c r="D251" s="8"/>
      <c r="E251" s="60"/>
      <c r="F251" s="1108" t="str">
        <f t="shared" ref="F251:AS251" si="142">IF(End_Itemized+1=F$91,"std ded","") &amp; IF(Single_Rate_Start=F$1,"single rate",".") &amp; IF(State_Move_Age=F$91,"new state","")</f>
        <v>.</v>
      </c>
      <c r="G251" s="1108" t="str">
        <f t="shared" si="142"/>
        <v>.</v>
      </c>
      <c r="H251" s="1108" t="str">
        <f t="shared" si="142"/>
        <v>.</v>
      </c>
      <c r="I251" s="1108" t="str">
        <f t="shared" si="142"/>
        <v>.</v>
      </c>
      <c r="J251" s="1108" t="str">
        <f t="shared" si="142"/>
        <v>.</v>
      </c>
      <c r="K251" s="1108" t="str">
        <f t="shared" si="142"/>
        <v>.</v>
      </c>
      <c r="L251" s="1108" t="str">
        <f t="shared" si="142"/>
        <v>.</v>
      </c>
      <c r="M251" s="1108" t="str">
        <f t="shared" si="142"/>
        <v>std ded.</v>
      </c>
      <c r="N251" s="1108" t="str">
        <f t="shared" si="142"/>
        <v>.</v>
      </c>
      <c r="O251" s="1108" t="str">
        <f t="shared" si="142"/>
        <v>.</v>
      </c>
      <c r="P251" s="1108" t="str">
        <f t="shared" si="142"/>
        <v>.</v>
      </c>
      <c r="Q251" s="1108" t="str">
        <f t="shared" si="142"/>
        <v>.</v>
      </c>
      <c r="R251" s="1108" t="str">
        <f t="shared" si="142"/>
        <v>.</v>
      </c>
      <c r="S251" s="1108" t="str">
        <f t="shared" si="142"/>
        <v>.</v>
      </c>
      <c r="T251" s="1108" t="str">
        <f t="shared" si="142"/>
        <v>.</v>
      </c>
      <c r="U251" s="1108" t="str">
        <f t="shared" si="142"/>
        <v>.</v>
      </c>
      <c r="V251" s="1108" t="str">
        <f t="shared" si="142"/>
        <v>.</v>
      </c>
      <c r="W251" s="1108" t="str">
        <f t="shared" si="142"/>
        <v>.</v>
      </c>
      <c r="X251" s="1108" t="str">
        <f t="shared" si="142"/>
        <v>.</v>
      </c>
      <c r="Y251" s="1108" t="str">
        <f t="shared" si="142"/>
        <v>.</v>
      </c>
      <c r="Z251" s="1108" t="str">
        <f t="shared" si="142"/>
        <v>.</v>
      </c>
      <c r="AA251" s="1108" t="str">
        <f t="shared" si="142"/>
        <v>.</v>
      </c>
      <c r="AB251" s="1108" t="str">
        <f t="shared" si="142"/>
        <v>.new state</v>
      </c>
      <c r="AC251" s="1108" t="str">
        <f t="shared" si="142"/>
        <v>.</v>
      </c>
      <c r="AD251" s="1108" t="str">
        <f t="shared" si="142"/>
        <v>single rate</v>
      </c>
      <c r="AE251" s="1108" t="str">
        <f t="shared" si="142"/>
        <v>.</v>
      </c>
      <c r="AF251" s="1108" t="str">
        <f t="shared" si="142"/>
        <v>.</v>
      </c>
      <c r="AG251" s="1108" t="str">
        <f t="shared" si="142"/>
        <v>.</v>
      </c>
      <c r="AH251" s="1108" t="str">
        <f t="shared" si="142"/>
        <v>.</v>
      </c>
      <c r="AI251" s="1108" t="str">
        <f t="shared" si="142"/>
        <v>.</v>
      </c>
      <c r="AJ251" s="1108" t="str">
        <f t="shared" si="142"/>
        <v>.</v>
      </c>
      <c r="AK251" s="1108" t="str">
        <f t="shared" si="142"/>
        <v>.</v>
      </c>
      <c r="AL251" s="1108" t="str">
        <f t="shared" si="142"/>
        <v>.</v>
      </c>
      <c r="AM251" s="1108" t="str">
        <f t="shared" si="142"/>
        <v>.</v>
      </c>
      <c r="AN251" s="1108" t="str">
        <f t="shared" si="142"/>
        <v>.</v>
      </c>
      <c r="AO251" s="1108" t="str">
        <f t="shared" si="142"/>
        <v>.</v>
      </c>
      <c r="AP251" s="1108" t="str">
        <f t="shared" si="142"/>
        <v>.</v>
      </c>
      <c r="AQ251" s="1108" t="str">
        <f t="shared" si="142"/>
        <v>.</v>
      </c>
      <c r="AR251" s="1108" t="str">
        <f t="shared" si="142"/>
        <v>.</v>
      </c>
      <c r="AS251" s="1108" t="str">
        <f t="shared" si="142"/>
        <v>.</v>
      </c>
      <c r="AT251" s="819"/>
    </row>
    <row r="252" spans="1:47">
      <c r="A252" s="276"/>
      <c r="B252" s="276" t="s">
        <v>971</v>
      </c>
      <c r="C252" s="276"/>
      <c r="D252" s="276"/>
      <c r="E252" s="60"/>
      <c r="F252" s="820">
        <f t="shared" ref="F252:AS252" si="143">IF(OR(AND(Filing_Status="m",Single_Rate_Start&lt;=F$1),Filing_Status="s"),1,2)*IF(F$1-$F1&lt;=Total_Years-1,1,0)</f>
        <v>2</v>
      </c>
      <c r="G252" s="820">
        <f t="shared" si="143"/>
        <v>2</v>
      </c>
      <c r="H252" s="820">
        <f t="shared" si="143"/>
        <v>2</v>
      </c>
      <c r="I252" s="820">
        <f t="shared" si="143"/>
        <v>2</v>
      </c>
      <c r="J252" s="820">
        <f t="shared" si="143"/>
        <v>2</v>
      </c>
      <c r="K252" s="820">
        <f t="shared" si="143"/>
        <v>2</v>
      </c>
      <c r="L252" s="820">
        <f t="shared" si="143"/>
        <v>2</v>
      </c>
      <c r="M252" s="820">
        <f t="shared" si="143"/>
        <v>2</v>
      </c>
      <c r="N252" s="820">
        <f t="shared" si="143"/>
        <v>2</v>
      </c>
      <c r="O252" s="820">
        <f t="shared" si="143"/>
        <v>2</v>
      </c>
      <c r="P252" s="820">
        <f t="shared" si="143"/>
        <v>2</v>
      </c>
      <c r="Q252" s="820">
        <f t="shared" si="143"/>
        <v>2</v>
      </c>
      <c r="R252" s="820">
        <f t="shared" si="143"/>
        <v>2</v>
      </c>
      <c r="S252" s="820">
        <f t="shared" si="143"/>
        <v>2</v>
      </c>
      <c r="T252" s="820">
        <f t="shared" si="143"/>
        <v>2</v>
      </c>
      <c r="U252" s="820">
        <f t="shared" si="143"/>
        <v>2</v>
      </c>
      <c r="V252" s="820">
        <f t="shared" si="143"/>
        <v>2</v>
      </c>
      <c r="W252" s="820">
        <f t="shared" si="143"/>
        <v>2</v>
      </c>
      <c r="X252" s="820">
        <f t="shared" si="143"/>
        <v>2</v>
      </c>
      <c r="Y252" s="820">
        <f t="shared" si="143"/>
        <v>2</v>
      </c>
      <c r="Z252" s="820">
        <f t="shared" si="143"/>
        <v>2</v>
      </c>
      <c r="AA252" s="820">
        <f t="shared" si="143"/>
        <v>2</v>
      </c>
      <c r="AB252" s="820">
        <f t="shared" si="143"/>
        <v>2</v>
      </c>
      <c r="AC252" s="820">
        <f t="shared" si="143"/>
        <v>2</v>
      </c>
      <c r="AD252" s="820">
        <f t="shared" si="143"/>
        <v>1</v>
      </c>
      <c r="AE252" s="820">
        <f t="shared" si="143"/>
        <v>1</v>
      </c>
      <c r="AF252" s="820">
        <f t="shared" si="143"/>
        <v>1</v>
      </c>
      <c r="AG252" s="820">
        <f t="shared" si="143"/>
        <v>1</v>
      </c>
      <c r="AH252" s="820">
        <f t="shared" si="143"/>
        <v>1</v>
      </c>
      <c r="AI252" s="820">
        <f t="shared" si="143"/>
        <v>1</v>
      </c>
      <c r="AJ252" s="820">
        <f t="shared" si="143"/>
        <v>0</v>
      </c>
      <c r="AK252" s="820">
        <f t="shared" si="143"/>
        <v>0</v>
      </c>
      <c r="AL252" s="820">
        <f t="shared" si="143"/>
        <v>0</v>
      </c>
      <c r="AM252" s="820">
        <f t="shared" si="143"/>
        <v>0</v>
      </c>
      <c r="AN252" s="820">
        <f t="shared" si="143"/>
        <v>0</v>
      </c>
      <c r="AO252" s="820">
        <f t="shared" si="143"/>
        <v>0</v>
      </c>
      <c r="AP252" s="820">
        <f t="shared" si="143"/>
        <v>0</v>
      </c>
      <c r="AQ252" s="820">
        <f t="shared" si="143"/>
        <v>0</v>
      </c>
      <c r="AR252" s="820">
        <f t="shared" si="143"/>
        <v>0</v>
      </c>
      <c r="AS252" s="820">
        <f t="shared" si="143"/>
        <v>0</v>
      </c>
      <c r="AT252" s="820"/>
    </row>
    <row r="253" spans="1:47" ht="15.6">
      <c r="A253" s="276"/>
      <c r="B253" s="148" t="s">
        <v>973</v>
      </c>
      <c r="C253" s="276"/>
      <c r="D253" s="276"/>
      <c r="E253" s="60"/>
      <c r="F253" s="60"/>
      <c r="G253" s="61"/>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c r="AE253" s="61"/>
      <c r="AF253" s="61"/>
      <c r="AG253" s="61"/>
      <c r="AH253" s="61"/>
      <c r="AI253" s="61"/>
      <c r="AJ253" s="61"/>
      <c r="AK253" s="61"/>
      <c r="AL253" s="61"/>
      <c r="AM253" s="61"/>
      <c r="AN253" s="61"/>
      <c r="AO253" s="61"/>
      <c r="AP253" s="61"/>
      <c r="AQ253" s="61"/>
      <c r="AR253" s="61"/>
      <c r="AS253" s="61"/>
      <c r="AT253" s="61"/>
    </row>
    <row r="254" spans="1:47">
      <c r="A254" s="276"/>
      <c r="B254" s="72" t="s">
        <v>969</v>
      </c>
      <c r="C254" s="276"/>
      <c r="D254" s="741" t="str">
        <f>"Rounding set at $" &amp; ED_Rounding</f>
        <v>Rounding set at $50</v>
      </c>
      <c r="E254" s="60"/>
      <c r="F254" s="237">
        <f>+State_PE*F252</f>
        <v>4000</v>
      </c>
      <c r="G254" s="73">
        <f>ROUND(+F254*(1+'Tax Tables'!$C$10)*IF(G$252&gt;0,G$252/F$252,0)/ED_Rounding,0)*ED_Rounding</f>
        <v>4100</v>
      </c>
      <c r="H254" s="73">
        <f>ROUND(+G254*(1+'Tax Tables'!$C$10)*IF(H$252&gt;0,H$252/G$252,0)/ED_Rounding,0)*ED_Rounding</f>
        <v>4200</v>
      </c>
      <c r="I254" s="73">
        <f>ROUND(+H254*(1+'Tax Tables'!$C$10)*IF(I$252&gt;0,I$252/H$252,0)/ED_Rounding,0)*ED_Rounding</f>
        <v>4300</v>
      </c>
      <c r="J254" s="73">
        <f>ROUND(+I254*(1+'Tax Tables'!$C$10)*IF(J$252&gt;0,J$252/I$252,0)/ED_Rounding,0)*ED_Rounding</f>
        <v>4400</v>
      </c>
      <c r="K254" s="73">
        <f>ROUND(+J254*(1+'Tax Tables'!$C$10)*IF(K$252&gt;0,K$252/J$252,0)/ED_Rounding,0)*ED_Rounding</f>
        <v>4500</v>
      </c>
      <c r="L254" s="73">
        <f>ROUND(+K254*(1+'Tax Tables'!$C$10)*IF(L$252&gt;0,L$252/K$252,0)/ED_Rounding,0)*ED_Rounding</f>
        <v>4600</v>
      </c>
      <c r="M254" s="73">
        <f>ROUND(+L254*(1+'Tax Tables'!$C$10)*IF(M$252&gt;0,M$252/L$252,0)/ED_Rounding,0)*ED_Rounding</f>
        <v>4700</v>
      </c>
      <c r="N254" s="73">
        <f>ROUND(+M254*(1+'Tax Tables'!$C$10)*IF(N$252&gt;0,N$252/M$252,0)/ED_Rounding,0)*ED_Rounding</f>
        <v>4800</v>
      </c>
      <c r="O254" s="73">
        <f>ROUND(+N254*(1+'Tax Tables'!$C$10)*IF(O$252&gt;0,O$252/N$252,0)/ED_Rounding,0)*ED_Rounding</f>
        <v>4900</v>
      </c>
      <c r="P254" s="73">
        <f>ROUND(+O254*(1+'Tax Tables'!$C$10)*IF(P$252&gt;0,P$252/O$252,0)/ED_Rounding,0)*ED_Rounding</f>
        <v>5000</v>
      </c>
      <c r="Q254" s="73">
        <f>ROUND(+P254*(1+'Tax Tables'!$C$10)*IF(Q$252&gt;0,Q$252/P$252,0)/ED_Rounding,0)*ED_Rounding</f>
        <v>5100</v>
      </c>
      <c r="R254" s="73">
        <f>ROUND(+Q254*(1+'Tax Tables'!$C$10)*IF(R$252&gt;0,R$252/Q$252,0)/ED_Rounding,0)*ED_Rounding</f>
        <v>5200</v>
      </c>
      <c r="S254" s="73">
        <f>ROUND(+R254*(1+'Tax Tables'!$C$10)*IF(S$252&gt;0,S$252/R$252,0)/ED_Rounding,0)*ED_Rounding</f>
        <v>5300</v>
      </c>
      <c r="T254" s="73">
        <f>ROUND(+S254*(1+'Tax Tables'!$C$10)*IF(T$252&gt;0,T$252/S$252,0)/ED_Rounding,0)*ED_Rounding</f>
        <v>5400</v>
      </c>
      <c r="U254" s="73">
        <f>ROUND(+T254*(1+'Tax Tables'!$C$10)*IF(U$252&gt;0,U$252/T$252,0)/ED_Rounding,0)*ED_Rounding</f>
        <v>5500</v>
      </c>
      <c r="V254" s="73">
        <f>ROUND(+U254*(1+'Tax Tables'!$C$10)*IF(V$252&gt;0,V$252/U$252,0)/ED_Rounding,0)*ED_Rounding</f>
        <v>5600</v>
      </c>
      <c r="W254" s="73">
        <f>ROUND(+V254*(1+'Tax Tables'!$C$10)*IF(W$252&gt;0,W$252/V$252,0)/ED_Rounding,0)*ED_Rounding</f>
        <v>5700</v>
      </c>
      <c r="X254" s="73">
        <f>ROUND(+W254*(1+'Tax Tables'!$C$10)*IF(X$252&gt;0,X$252/W$252,0)/ED_Rounding,0)*ED_Rounding</f>
        <v>5850</v>
      </c>
      <c r="Y254" s="73">
        <f>ROUND(+X254*(1+'Tax Tables'!$C$10)*IF(Y$252&gt;0,Y$252/X$252,0)/ED_Rounding,0)*ED_Rounding</f>
        <v>6000</v>
      </c>
      <c r="Z254" s="73">
        <f>ROUND(+Y254*(1+'Tax Tables'!$C$10)*IF(Z$252&gt;0,Z$252/Y$252,0)/ED_Rounding,0)*ED_Rounding</f>
        <v>6150</v>
      </c>
      <c r="AA254" s="73">
        <f>ROUND(+Z254*(1+'Tax Tables'!$C$10)*IF(AA$252&gt;0,AA$252/Z$252,0)/ED_Rounding,0)*ED_Rounding</f>
        <v>6300</v>
      </c>
      <c r="AB254" s="73">
        <f>ROUND(+AA254*(1+'Tax Tables'!$C$10)*IF(AB$252&gt;0,AB$252/AA$252,0)/ED_Rounding,0)*ED_Rounding</f>
        <v>6450</v>
      </c>
      <c r="AC254" s="73">
        <f>ROUND(+AB254*(1+'Tax Tables'!$C$10)*IF(AC$252&gt;0,AC$252/AB$252,0)/ED_Rounding,0)*ED_Rounding</f>
        <v>6600</v>
      </c>
      <c r="AD254" s="73">
        <f>ROUND(+AC254*(1+'Tax Tables'!$C$10)*IF(AD$252&gt;0,AD$252/AC$252,0)/ED_Rounding,0)*ED_Rounding</f>
        <v>3350</v>
      </c>
      <c r="AE254" s="73">
        <f>ROUND(+AD254*(1+'Tax Tables'!$C$10)*IF(AE$252&gt;0,AE$252/AD$252,0)/ED_Rounding,0)*ED_Rounding</f>
        <v>3400</v>
      </c>
      <c r="AF254" s="73">
        <f>ROUND(+AE254*(1+'Tax Tables'!$C$10)*IF(AF$252&gt;0,AF$252/AE$252,0)/ED_Rounding,0)*ED_Rounding</f>
        <v>3450</v>
      </c>
      <c r="AG254" s="73">
        <f>ROUND(+AF254*(1+'Tax Tables'!$C$10)*IF(AG$252&gt;0,AG$252/AF$252,0)/ED_Rounding,0)*ED_Rounding</f>
        <v>3550</v>
      </c>
      <c r="AH254" s="73">
        <f>ROUND(+AG254*(1+'Tax Tables'!$C$10)*IF(AH$252&gt;0,AH$252/AG$252,0)/ED_Rounding,0)*ED_Rounding</f>
        <v>3650</v>
      </c>
      <c r="AI254" s="73">
        <f>ROUND(+AH254*(1+'Tax Tables'!$C$10)*IF(AI$252&gt;0,AI$252/AH$252,0)/ED_Rounding,0)*ED_Rounding</f>
        <v>3750</v>
      </c>
      <c r="AJ254" s="73">
        <f>ROUND(+AI254*(1+'Tax Tables'!$C$10)*IF(AJ$252&gt;0,AJ$252/AI$252,0)/ED_Rounding,0)*ED_Rounding</f>
        <v>0</v>
      </c>
      <c r="AK254" s="73">
        <f>ROUND(+AJ254*(1+'Tax Tables'!$C$10)*IF(AK$252&gt;0,AK$252/AJ$252,0)/ED_Rounding,0)*ED_Rounding</f>
        <v>0</v>
      </c>
      <c r="AL254" s="73">
        <f>ROUND(+AK254*(1+'Tax Tables'!$C$10)*IF(AL$252&gt;0,AL$252/AK$252,0)/ED_Rounding,0)*ED_Rounding</f>
        <v>0</v>
      </c>
      <c r="AM254" s="73">
        <f>ROUND(+AL254*(1+'Tax Tables'!$C$10)*IF(AM$252&gt;0,AM$252/AL$252,0)/ED_Rounding,0)*ED_Rounding</f>
        <v>0</v>
      </c>
      <c r="AN254" s="73">
        <f>ROUND(+AM254*(1+'Tax Tables'!$C$10)*IF(AN$252&gt;0,AN$252/AM$252,0)/ED_Rounding,0)*ED_Rounding</f>
        <v>0</v>
      </c>
      <c r="AO254" s="73">
        <f>ROUND(+AN254*(1+'Tax Tables'!$C$10)*IF(AO$252&gt;0,AO$252/AN$252,0)/ED_Rounding,0)*ED_Rounding</f>
        <v>0</v>
      </c>
      <c r="AP254" s="73">
        <f>ROUND(+AO254*(1+'Tax Tables'!$C$10)*IF(AP$252&gt;0,AP$252/AO$252,0)/ED_Rounding,0)*ED_Rounding</f>
        <v>0</v>
      </c>
      <c r="AQ254" s="73">
        <f>ROUND(+AP254*(1+'Tax Tables'!$C$10)*IF(AQ$252&gt;0,AQ$252/AP$252,0)/ED_Rounding,0)*ED_Rounding</f>
        <v>0</v>
      </c>
      <c r="AR254" s="73">
        <f>ROUND(+AQ254*(1+'Tax Tables'!$C$10)*IF(AR$252&gt;0,AR$252/AQ$252,0)/ED_Rounding,0)*ED_Rounding</f>
        <v>0</v>
      </c>
      <c r="AS254" s="73">
        <f>ROUND(+AR254*(1+'Tax Tables'!$C$10)*IF(AS$252&gt;0,AS$252/AR$252,0)/ED_Rounding,0)*ED_Rounding</f>
        <v>0</v>
      </c>
      <c r="AT254" s="73"/>
    </row>
    <row r="255" spans="1:47" ht="19.95" customHeight="1">
      <c r="A255" s="276"/>
      <c r="B255" s="72" t="s">
        <v>957</v>
      </c>
      <c r="C255" s="276"/>
      <c r="D255" s="741" t="str">
        <f>"Rounding set at $" &amp; ED_Rounding</f>
        <v>Rounding set at $50</v>
      </c>
      <c r="E255" s="60"/>
      <c r="F255" s="237">
        <f>+State_SD*F252</f>
        <v>10000</v>
      </c>
      <c r="G255" s="73">
        <f>ROUND(+F255*(1+'Tax Tables'!$C$10)*IF(G$252&gt;0,G$252/F$252,0)/ED_Rounding,0)*ED_Rounding</f>
        <v>10200</v>
      </c>
      <c r="H255" s="73">
        <f>ROUND(+G255*(1+'Tax Tables'!$C$10)*IF(H$252&gt;0,H$252/G$252,0)/ED_Rounding,0)*ED_Rounding</f>
        <v>10400</v>
      </c>
      <c r="I255" s="73">
        <f>ROUND(+H255*(1+'Tax Tables'!$C$10)*IF(I$252&gt;0,I$252/H$252,0)/ED_Rounding,0)*ED_Rounding</f>
        <v>10650</v>
      </c>
      <c r="J255" s="73">
        <f>ROUND(+I255*(1+'Tax Tables'!$C$10)*IF(J$252&gt;0,J$252/I$252,0)/ED_Rounding,0)*ED_Rounding</f>
        <v>10900</v>
      </c>
      <c r="K255" s="73">
        <f>ROUND(+J255*(1+'Tax Tables'!$C$10)*IF(K$252&gt;0,K$252/J$252,0)/ED_Rounding,0)*ED_Rounding</f>
        <v>11150</v>
      </c>
      <c r="L255" s="73">
        <f>ROUND(+K255*(1+'Tax Tables'!$C$10)*IF(L$252&gt;0,L$252/K$252,0)/ED_Rounding,0)*ED_Rounding</f>
        <v>11400</v>
      </c>
      <c r="M255" s="73">
        <f>ROUND(+L255*(1+'Tax Tables'!$C$10)*IF(M$252&gt;0,M$252/L$252,0)/ED_Rounding,0)*ED_Rounding</f>
        <v>11650</v>
      </c>
      <c r="N255" s="73">
        <f>ROUND(+M255*(1+'Tax Tables'!$C$10)*IF(N$252&gt;0,N$252/M$252,0)/ED_Rounding,0)*ED_Rounding</f>
        <v>11900</v>
      </c>
      <c r="O255" s="73">
        <f>ROUND(+N255*(1+'Tax Tables'!$C$10)*IF(O$252&gt;0,O$252/N$252,0)/ED_Rounding,0)*ED_Rounding</f>
        <v>12150</v>
      </c>
      <c r="P255" s="73">
        <f>ROUND(+O255*(1+'Tax Tables'!$C$10)*IF(P$252&gt;0,P$252/O$252,0)/ED_Rounding,0)*ED_Rounding</f>
        <v>12400</v>
      </c>
      <c r="Q255" s="73">
        <f>ROUND(+P255*(1+'Tax Tables'!$C$10)*IF(Q$252&gt;0,Q$252/P$252,0)/ED_Rounding,0)*ED_Rounding</f>
        <v>12650</v>
      </c>
      <c r="R255" s="73">
        <f>ROUND(+Q255*(1+'Tax Tables'!$C$10)*IF(R$252&gt;0,R$252/Q$252,0)/ED_Rounding,0)*ED_Rounding</f>
        <v>12950</v>
      </c>
      <c r="S255" s="73">
        <f>ROUND(+R255*(1+'Tax Tables'!$C$10)*IF(S$252&gt;0,S$252/R$252,0)/ED_Rounding,0)*ED_Rounding</f>
        <v>13250</v>
      </c>
      <c r="T255" s="73">
        <f>ROUND(+S255*(1+'Tax Tables'!$C$10)*IF(T$252&gt;0,T$252/S$252,0)/ED_Rounding,0)*ED_Rounding</f>
        <v>13550</v>
      </c>
      <c r="U255" s="73">
        <f>ROUND(+T255*(1+'Tax Tables'!$C$10)*IF(U$252&gt;0,U$252/T$252,0)/ED_Rounding,0)*ED_Rounding</f>
        <v>13850</v>
      </c>
      <c r="V255" s="73">
        <f>ROUND(+U255*(1+'Tax Tables'!$C$10)*IF(V$252&gt;0,V$252/U$252,0)/ED_Rounding,0)*ED_Rounding</f>
        <v>14150</v>
      </c>
      <c r="W255" s="73">
        <f>ROUND(+V255*(1+'Tax Tables'!$C$10)*IF(W$252&gt;0,W$252/V$252,0)/ED_Rounding,0)*ED_Rounding</f>
        <v>14450</v>
      </c>
      <c r="X255" s="73">
        <f>ROUND(+W255*(1+'Tax Tables'!$C$10)*IF(X$252&gt;0,X$252/W$252,0)/ED_Rounding,0)*ED_Rounding</f>
        <v>14750</v>
      </c>
      <c r="Y255" s="73">
        <f>ROUND(+X255*(1+'Tax Tables'!$C$10)*IF(Y$252&gt;0,Y$252/X$252,0)/ED_Rounding,0)*ED_Rounding</f>
        <v>15050</v>
      </c>
      <c r="Z255" s="73">
        <f>ROUND(+Y255*(1+'Tax Tables'!$C$10)*IF(Z$252&gt;0,Z$252/Y$252,0)/ED_Rounding,0)*ED_Rounding</f>
        <v>15400</v>
      </c>
      <c r="AA255" s="73">
        <f>ROUND(+Z255*(1+'Tax Tables'!$C$10)*IF(AA$252&gt;0,AA$252/Z$252,0)/ED_Rounding,0)*ED_Rounding</f>
        <v>15750</v>
      </c>
      <c r="AB255" s="73">
        <f>ROUND(+AA255*(1+'Tax Tables'!$C$10)*IF(AB$252&gt;0,AB$252/AA$252,0)/ED_Rounding,0)*ED_Rounding</f>
        <v>16100</v>
      </c>
      <c r="AC255" s="73">
        <f>ROUND(+AB255*(1+'Tax Tables'!$C$10)*IF(AC$252&gt;0,AC$252/AB$252,0)/ED_Rounding,0)*ED_Rounding</f>
        <v>16450</v>
      </c>
      <c r="AD255" s="73">
        <f>ROUND(+AC255*(1+'Tax Tables'!$C$10)*IF(AD$252&gt;0,AD$252/AC$252,0)/ED_Rounding,0)*ED_Rounding</f>
        <v>8400</v>
      </c>
      <c r="AE255" s="73">
        <f>ROUND(+AD255*(1+'Tax Tables'!$C$10)*IF(AE$252&gt;0,AE$252/AD$252,0)/ED_Rounding,0)*ED_Rounding</f>
        <v>8600</v>
      </c>
      <c r="AF255" s="73">
        <f>ROUND(+AE255*(1+'Tax Tables'!$C$10)*IF(AF$252&gt;0,AF$252/AE$252,0)/ED_Rounding,0)*ED_Rounding</f>
        <v>8800</v>
      </c>
      <c r="AG255" s="73">
        <f>ROUND(+AF255*(1+'Tax Tables'!$C$10)*IF(AG$252&gt;0,AG$252/AF$252,0)/ED_Rounding,0)*ED_Rounding</f>
        <v>9000</v>
      </c>
      <c r="AH255" s="73">
        <f>ROUND(+AG255*(1+'Tax Tables'!$C$10)*IF(AH$252&gt;0,AH$252/AG$252,0)/ED_Rounding,0)*ED_Rounding</f>
        <v>9200</v>
      </c>
      <c r="AI255" s="73">
        <f>ROUND(+AH255*(1+'Tax Tables'!$C$10)*IF(AI$252&gt;0,AI$252/AH$252,0)/ED_Rounding,0)*ED_Rounding</f>
        <v>9400</v>
      </c>
      <c r="AJ255" s="73">
        <f>ROUND(+AI255*(1+'Tax Tables'!$C$10)*IF(AJ$252&gt;0,AJ$252/AI$252,0)/ED_Rounding,0)*ED_Rounding</f>
        <v>0</v>
      </c>
      <c r="AK255" s="73">
        <f>ROUND(+AJ255*(1+'Tax Tables'!$C$10)*IF(AK$252&gt;0,AK$252/AJ$252,0)/ED_Rounding,0)*ED_Rounding</f>
        <v>0</v>
      </c>
      <c r="AL255" s="73">
        <f>ROUND(+AK255*(1+'Tax Tables'!$C$10)*IF(AL$252&gt;0,AL$252/AK$252,0)/ED_Rounding,0)*ED_Rounding</f>
        <v>0</v>
      </c>
      <c r="AM255" s="73">
        <f>ROUND(+AL255*(1+'Tax Tables'!$C$10)*IF(AM$252&gt;0,AM$252/AL$252,0)/ED_Rounding,0)*ED_Rounding</f>
        <v>0</v>
      </c>
      <c r="AN255" s="73">
        <f>ROUND(+AM255*(1+'Tax Tables'!$C$10)*IF(AN$252&gt;0,AN$252/AM$252,0)/ED_Rounding,0)*ED_Rounding</f>
        <v>0</v>
      </c>
      <c r="AO255" s="73">
        <f>ROUND(+AN255*(1+'Tax Tables'!$C$10)*IF(AO$252&gt;0,AO$252/AN$252,0)/ED_Rounding,0)*ED_Rounding</f>
        <v>0</v>
      </c>
      <c r="AP255" s="73">
        <f>ROUND(+AO255*(1+'Tax Tables'!$C$10)*IF(AP$252&gt;0,AP$252/AO$252,0)/ED_Rounding,0)*ED_Rounding</f>
        <v>0</v>
      </c>
      <c r="AQ255" s="73">
        <f>ROUND(+AP255*(1+'Tax Tables'!$C$10)*IF(AQ$252&gt;0,AQ$252/AP$252,0)/ED_Rounding,0)*ED_Rounding</f>
        <v>0</v>
      </c>
      <c r="AR255" s="73">
        <f>ROUND(+AQ255*(1+'Tax Tables'!$C$10)*IF(AR$252&gt;0,AR$252/AQ$252,0)/ED_Rounding,0)*ED_Rounding</f>
        <v>0</v>
      </c>
      <c r="AS255" s="73">
        <f>ROUND(+AR255*(1+'Tax Tables'!$C$10)*IF(AS$252&gt;0,AS$252/AR$252,0)/ED_Rounding,0)*ED_Rounding</f>
        <v>0</v>
      </c>
      <c r="AT255" s="73"/>
    </row>
    <row r="256" spans="1:47">
      <c r="A256" s="276"/>
      <c r="B256" s="159" t="s">
        <v>1447</v>
      </c>
      <c r="C256" s="12" t="s">
        <v>1343</v>
      </c>
      <c r="D256" s="594">
        <f>Esc_Itemized</f>
        <v>0.05</v>
      </c>
      <c r="E256" s="60"/>
      <c r="F256" s="85">
        <f>Itemized</f>
        <v>25000</v>
      </c>
      <c r="G256" s="29">
        <f t="shared" ref="G256:AS256" si="144">+F256*(1+Esc_Itemized)</f>
        <v>26250</v>
      </c>
      <c r="H256" s="29">
        <f t="shared" si="144"/>
        <v>27562.5</v>
      </c>
      <c r="I256" s="29">
        <f t="shared" si="144"/>
        <v>28940.625</v>
      </c>
      <c r="J256" s="29">
        <f t="shared" si="144"/>
        <v>30387.65625</v>
      </c>
      <c r="K256" s="29">
        <f t="shared" si="144"/>
        <v>31907.0390625</v>
      </c>
      <c r="L256" s="29">
        <f t="shared" si="144"/>
        <v>33502.391015624999</v>
      </c>
      <c r="M256" s="29">
        <f t="shared" si="144"/>
        <v>35177.51056640625</v>
      </c>
      <c r="N256" s="29">
        <f t="shared" si="144"/>
        <v>36936.386094726564</v>
      </c>
      <c r="O256" s="29">
        <f t="shared" si="144"/>
        <v>38783.205399462895</v>
      </c>
      <c r="P256" s="29">
        <f t="shared" si="144"/>
        <v>40722.36566943604</v>
      </c>
      <c r="Q256" s="29">
        <f t="shared" si="144"/>
        <v>42758.483952907845</v>
      </c>
      <c r="R256" s="29">
        <f t="shared" si="144"/>
        <v>44896.408150553238</v>
      </c>
      <c r="S256" s="29">
        <f t="shared" si="144"/>
        <v>47141.228558080904</v>
      </c>
      <c r="T256" s="29">
        <f t="shared" si="144"/>
        <v>49498.289985984949</v>
      </c>
      <c r="U256" s="29">
        <f t="shared" si="144"/>
        <v>51973.204485284201</v>
      </c>
      <c r="V256" s="29">
        <f t="shared" si="144"/>
        <v>54571.864709548412</v>
      </c>
      <c r="W256" s="29">
        <f t="shared" si="144"/>
        <v>57300.457945025832</v>
      </c>
      <c r="X256" s="29">
        <f t="shared" si="144"/>
        <v>60165.480842277124</v>
      </c>
      <c r="Y256" s="29">
        <f t="shared" si="144"/>
        <v>63173.754884390983</v>
      </c>
      <c r="Z256" s="29">
        <f t="shared" si="144"/>
        <v>66332.44262861053</v>
      </c>
      <c r="AA256" s="29">
        <f t="shared" si="144"/>
        <v>69649.064760041059</v>
      </c>
      <c r="AB256" s="29">
        <f t="shared" si="144"/>
        <v>73131.517998043113</v>
      </c>
      <c r="AC256" s="29">
        <f t="shared" si="144"/>
        <v>76788.093897945277</v>
      </c>
      <c r="AD256" s="29">
        <f t="shared" si="144"/>
        <v>80627.498592842545</v>
      </c>
      <c r="AE256" s="29">
        <f t="shared" si="144"/>
        <v>84658.873522484675</v>
      </c>
      <c r="AF256" s="29">
        <f t="shared" si="144"/>
        <v>88891.817198608915</v>
      </c>
      <c r="AG256" s="29">
        <f t="shared" si="144"/>
        <v>93336.408058539368</v>
      </c>
      <c r="AH256" s="29">
        <f t="shared" si="144"/>
        <v>98003.228461466337</v>
      </c>
      <c r="AI256" s="29">
        <f t="shared" si="144"/>
        <v>102903.38988453966</v>
      </c>
      <c r="AJ256" s="29">
        <f t="shared" si="144"/>
        <v>108048.55937876664</v>
      </c>
      <c r="AK256" s="29">
        <f t="shared" si="144"/>
        <v>113450.98734770498</v>
      </c>
      <c r="AL256" s="29">
        <f t="shared" si="144"/>
        <v>119123.53671509023</v>
      </c>
      <c r="AM256" s="29">
        <f t="shared" si="144"/>
        <v>125079.71355084475</v>
      </c>
      <c r="AN256" s="29">
        <f t="shared" si="144"/>
        <v>131333.69922838701</v>
      </c>
      <c r="AO256" s="29">
        <f t="shared" si="144"/>
        <v>137900.38418980635</v>
      </c>
      <c r="AP256" s="29">
        <f t="shared" si="144"/>
        <v>144795.40339929669</v>
      </c>
      <c r="AQ256" s="29">
        <f t="shared" si="144"/>
        <v>152035.17356926153</v>
      </c>
      <c r="AR256" s="29">
        <f t="shared" si="144"/>
        <v>159636.93224772462</v>
      </c>
      <c r="AS256" s="29">
        <f t="shared" si="144"/>
        <v>167618.77886011085</v>
      </c>
      <c r="AT256" s="29"/>
    </row>
    <row r="257" spans="1:46">
      <c r="A257" s="276"/>
      <c r="B257" s="159" t="s">
        <v>765</v>
      </c>
      <c r="C257" s="12" t="s">
        <v>1344</v>
      </c>
      <c r="D257" s="593">
        <f>IF(End_Itemized&gt;0,End_Itemized,Final_Year)</f>
        <v>68</v>
      </c>
      <c r="E257" s="60"/>
      <c r="F257" s="85">
        <f>IF(AND(End_Itemized&lt;F$91,End_Itemized&lt;&gt;0),0,F256)</f>
        <v>25000</v>
      </c>
      <c r="G257" s="15">
        <f t="shared" ref="G257:AS257" si="145">ROUND(IF(AND(End_Itemized&lt;G$91,End_Itemized&lt;&gt;0),0,G256)/ED_Rounding,0)*ED_Rounding</f>
        <v>26250</v>
      </c>
      <c r="H257" s="15">
        <f t="shared" si="145"/>
        <v>27550</v>
      </c>
      <c r="I257" s="15">
        <f t="shared" si="145"/>
        <v>28950</v>
      </c>
      <c r="J257" s="15">
        <f t="shared" si="145"/>
        <v>30400</v>
      </c>
      <c r="K257" s="15">
        <f t="shared" si="145"/>
        <v>31900</v>
      </c>
      <c r="L257" s="15">
        <f t="shared" si="145"/>
        <v>33500</v>
      </c>
      <c r="M257" s="15">
        <f t="shared" si="145"/>
        <v>0</v>
      </c>
      <c r="N257" s="15">
        <f t="shared" si="145"/>
        <v>0</v>
      </c>
      <c r="O257" s="15">
        <f t="shared" si="145"/>
        <v>0</v>
      </c>
      <c r="P257" s="15">
        <f t="shared" si="145"/>
        <v>0</v>
      </c>
      <c r="Q257" s="15">
        <f t="shared" si="145"/>
        <v>0</v>
      </c>
      <c r="R257" s="15">
        <f t="shared" si="145"/>
        <v>0</v>
      </c>
      <c r="S257" s="15">
        <f t="shared" si="145"/>
        <v>0</v>
      </c>
      <c r="T257" s="15">
        <f t="shared" si="145"/>
        <v>0</v>
      </c>
      <c r="U257" s="15">
        <f t="shared" si="145"/>
        <v>0</v>
      </c>
      <c r="V257" s="15">
        <f t="shared" si="145"/>
        <v>0</v>
      </c>
      <c r="W257" s="15">
        <f t="shared" si="145"/>
        <v>0</v>
      </c>
      <c r="X257" s="15">
        <f t="shared" si="145"/>
        <v>0</v>
      </c>
      <c r="Y257" s="15">
        <f t="shared" si="145"/>
        <v>0</v>
      </c>
      <c r="Z257" s="15">
        <f t="shared" si="145"/>
        <v>0</v>
      </c>
      <c r="AA257" s="15">
        <f t="shared" si="145"/>
        <v>0</v>
      </c>
      <c r="AB257" s="15">
        <f t="shared" si="145"/>
        <v>0</v>
      </c>
      <c r="AC257" s="15">
        <f t="shared" si="145"/>
        <v>0</v>
      </c>
      <c r="AD257" s="15">
        <f t="shared" si="145"/>
        <v>0</v>
      </c>
      <c r="AE257" s="15">
        <f t="shared" si="145"/>
        <v>0</v>
      </c>
      <c r="AF257" s="15">
        <f t="shared" si="145"/>
        <v>0</v>
      </c>
      <c r="AG257" s="15">
        <f t="shared" si="145"/>
        <v>0</v>
      </c>
      <c r="AH257" s="15">
        <f t="shared" si="145"/>
        <v>0</v>
      </c>
      <c r="AI257" s="15">
        <f t="shared" si="145"/>
        <v>0</v>
      </c>
      <c r="AJ257" s="15">
        <f t="shared" si="145"/>
        <v>0</v>
      </c>
      <c r="AK257" s="15">
        <f t="shared" si="145"/>
        <v>0</v>
      </c>
      <c r="AL257" s="15">
        <f t="shared" si="145"/>
        <v>0</v>
      </c>
      <c r="AM257" s="15">
        <f t="shared" si="145"/>
        <v>0</v>
      </c>
      <c r="AN257" s="15">
        <f t="shared" si="145"/>
        <v>0</v>
      </c>
      <c r="AO257" s="15">
        <f t="shared" si="145"/>
        <v>0</v>
      </c>
      <c r="AP257" s="15">
        <f t="shared" si="145"/>
        <v>0</v>
      </c>
      <c r="AQ257" s="15">
        <f t="shared" si="145"/>
        <v>0</v>
      </c>
      <c r="AR257" s="15">
        <f t="shared" si="145"/>
        <v>0</v>
      </c>
      <c r="AS257" s="15">
        <f t="shared" si="145"/>
        <v>0</v>
      </c>
      <c r="AT257" s="15"/>
    </row>
    <row r="258" spans="1:46">
      <c r="A258" s="276"/>
      <c r="B258" s="159" t="s">
        <v>740</v>
      </c>
      <c r="C258" s="12"/>
      <c r="D258" s="593" t="str">
        <f>+State_Deduct</f>
        <v>i</v>
      </c>
      <c r="E258" s="60"/>
      <c r="F258" s="15">
        <f>IF(State_Deduct="I",F257+IF(F$91&gt;End_Itemized,F255,0),F255)</f>
        <v>25000</v>
      </c>
      <c r="G258" s="15">
        <f t="shared" ref="G258:AS258" si="146">IF(State_Deduct="I",G257+IF(G91&gt;End_Itemized,G255,0),G255)</f>
        <v>26250</v>
      </c>
      <c r="H258" s="15">
        <f t="shared" si="146"/>
        <v>27550</v>
      </c>
      <c r="I258" s="15">
        <f t="shared" si="146"/>
        <v>28950</v>
      </c>
      <c r="J258" s="15">
        <f t="shared" si="146"/>
        <v>30400</v>
      </c>
      <c r="K258" s="15">
        <f t="shared" si="146"/>
        <v>31900</v>
      </c>
      <c r="L258" s="15">
        <f t="shared" si="146"/>
        <v>33500</v>
      </c>
      <c r="M258" s="15">
        <f t="shared" si="146"/>
        <v>11650</v>
      </c>
      <c r="N258" s="15">
        <f t="shared" si="146"/>
        <v>11900</v>
      </c>
      <c r="O258" s="15">
        <f t="shared" si="146"/>
        <v>12150</v>
      </c>
      <c r="P258" s="15">
        <f t="shared" si="146"/>
        <v>12400</v>
      </c>
      <c r="Q258" s="15">
        <f t="shared" si="146"/>
        <v>12650</v>
      </c>
      <c r="R258" s="15">
        <f t="shared" si="146"/>
        <v>12950</v>
      </c>
      <c r="S258" s="15">
        <f t="shared" si="146"/>
        <v>13250</v>
      </c>
      <c r="T258" s="15">
        <f t="shared" si="146"/>
        <v>13550</v>
      </c>
      <c r="U258" s="15">
        <f t="shared" si="146"/>
        <v>13850</v>
      </c>
      <c r="V258" s="15">
        <f t="shared" si="146"/>
        <v>14150</v>
      </c>
      <c r="W258" s="15">
        <f t="shared" si="146"/>
        <v>14450</v>
      </c>
      <c r="X258" s="15">
        <f t="shared" si="146"/>
        <v>14750</v>
      </c>
      <c r="Y258" s="15">
        <f t="shared" si="146"/>
        <v>15050</v>
      </c>
      <c r="Z258" s="15">
        <f t="shared" si="146"/>
        <v>15400</v>
      </c>
      <c r="AA258" s="15">
        <f t="shared" si="146"/>
        <v>15750</v>
      </c>
      <c r="AB258" s="15">
        <f t="shared" si="146"/>
        <v>16100</v>
      </c>
      <c r="AC258" s="15">
        <f t="shared" si="146"/>
        <v>16450</v>
      </c>
      <c r="AD258" s="15">
        <f t="shared" si="146"/>
        <v>8400</v>
      </c>
      <c r="AE258" s="15">
        <f t="shared" si="146"/>
        <v>8600</v>
      </c>
      <c r="AF258" s="15">
        <f t="shared" si="146"/>
        <v>8800</v>
      </c>
      <c r="AG258" s="15">
        <f t="shared" si="146"/>
        <v>9000</v>
      </c>
      <c r="AH258" s="15">
        <f t="shared" si="146"/>
        <v>9200</v>
      </c>
      <c r="AI258" s="15">
        <f t="shared" si="146"/>
        <v>9400</v>
      </c>
      <c r="AJ258" s="15">
        <f t="shared" si="146"/>
        <v>0</v>
      </c>
      <c r="AK258" s="15">
        <f t="shared" si="146"/>
        <v>0</v>
      </c>
      <c r="AL258" s="15">
        <f t="shared" si="146"/>
        <v>0</v>
      </c>
      <c r="AM258" s="15">
        <f t="shared" si="146"/>
        <v>0</v>
      </c>
      <c r="AN258" s="15">
        <f t="shared" si="146"/>
        <v>0</v>
      </c>
      <c r="AO258" s="15">
        <f t="shared" si="146"/>
        <v>0</v>
      </c>
      <c r="AP258" s="15">
        <f t="shared" si="146"/>
        <v>0</v>
      </c>
      <c r="AQ258" s="15">
        <f t="shared" si="146"/>
        <v>0</v>
      </c>
      <c r="AR258" s="15">
        <f t="shared" si="146"/>
        <v>0</v>
      </c>
      <c r="AS258" s="15">
        <f t="shared" si="146"/>
        <v>0</v>
      </c>
      <c r="AT258" s="15"/>
    </row>
    <row r="259" spans="1:46">
      <c r="A259" s="276"/>
      <c r="B259" s="159"/>
      <c r="C259" s="12"/>
      <c r="D259" s="593"/>
      <c r="E259" s="60"/>
      <c r="F259" s="8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15"/>
    </row>
    <row r="260" spans="1:46" ht="15.6">
      <c r="A260" s="276"/>
      <c r="B260" s="148" t="s">
        <v>972</v>
      </c>
      <c r="C260" s="276"/>
      <c r="D260" s="307">
        <f>State_Move_Age</f>
        <v>84</v>
      </c>
      <c r="E260" s="60"/>
    </row>
    <row r="261" spans="1:46">
      <c r="A261" s="276"/>
      <c r="B261" s="72" t="s">
        <v>969</v>
      </c>
      <c r="C261" s="276"/>
      <c r="D261" s="741" t="str">
        <f>"Rounding set at $" &amp; ED_Rounding</f>
        <v>Rounding set at $50</v>
      </c>
      <c r="E261" s="60"/>
      <c r="F261" s="237">
        <f>+State2_PE*F252</f>
        <v>8000</v>
      </c>
      <c r="G261" s="73">
        <f>ROUND(+F261*(1+'Tax Tables'!$C$10)*IF(G$252&gt;0,G$252/F$252,0)/ED_Rounding,0)*ED_Rounding</f>
        <v>8200</v>
      </c>
      <c r="H261" s="73">
        <f>ROUND(+G261*(1+'Tax Tables'!$C$10)*IF(H$252&gt;0,H$252/G$252,0)/ED_Rounding,0)*ED_Rounding</f>
        <v>8400</v>
      </c>
      <c r="I261" s="73">
        <f>ROUND(+H261*(1+'Tax Tables'!$C$10)*IF(I$252&gt;0,I$252/H$252,0)/ED_Rounding,0)*ED_Rounding</f>
        <v>8600</v>
      </c>
      <c r="J261" s="73">
        <f>ROUND(+I261*(1+'Tax Tables'!$C$10)*IF(J$252&gt;0,J$252/I$252,0)/ED_Rounding,0)*ED_Rounding</f>
        <v>8800</v>
      </c>
      <c r="K261" s="73">
        <f>ROUND(+J261*(1+'Tax Tables'!$C$10)*IF(K$252&gt;0,K$252/J$252,0)/ED_Rounding,0)*ED_Rounding</f>
        <v>9000</v>
      </c>
      <c r="L261" s="73">
        <f>ROUND(+K261*(1+'Tax Tables'!$C$10)*IF(L$252&gt;0,L$252/K$252,0)/ED_Rounding,0)*ED_Rounding</f>
        <v>9200</v>
      </c>
      <c r="M261" s="73">
        <f>ROUND(+L261*(1+'Tax Tables'!$C$10)*IF(M$252&gt;0,M$252/L$252,0)/ED_Rounding,0)*ED_Rounding</f>
        <v>9400</v>
      </c>
      <c r="N261" s="73">
        <f>ROUND(+M261*(1+'Tax Tables'!$C$10)*IF(N$252&gt;0,N$252/M$252,0)/ED_Rounding,0)*ED_Rounding</f>
        <v>9600</v>
      </c>
      <c r="O261" s="73">
        <f>ROUND(+N261*(1+'Tax Tables'!$C$10)*IF(O$252&gt;0,O$252/N$252,0)/ED_Rounding,0)*ED_Rounding</f>
        <v>9800</v>
      </c>
      <c r="P261" s="73">
        <f>ROUND(+O261*(1+'Tax Tables'!$C$10)*IF(P$252&gt;0,P$252/O$252,0)/ED_Rounding,0)*ED_Rounding</f>
        <v>10000</v>
      </c>
      <c r="Q261" s="73">
        <f>ROUND(+P261*(1+'Tax Tables'!$C$10)*IF(Q$252&gt;0,Q$252/P$252,0)/ED_Rounding,0)*ED_Rounding</f>
        <v>10200</v>
      </c>
      <c r="R261" s="73">
        <f>ROUND(+Q261*(1+'Tax Tables'!$C$10)*IF(R$252&gt;0,R$252/Q$252,0)/ED_Rounding,0)*ED_Rounding</f>
        <v>10400</v>
      </c>
      <c r="S261" s="73">
        <f>ROUND(+R261*(1+'Tax Tables'!$C$10)*IF(S$252&gt;0,S$252/R$252,0)/ED_Rounding,0)*ED_Rounding</f>
        <v>10650</v>
      </c>
      <c r="T261" s="73">
        <f>ROUND(+S261*(1+'Tax Tables'!$C$10)*IF(T$252&gt;0,T$252/S$252,0)/ED_Rounding,0)*ED_Rounding</f>
        <v>10900</v>
      </c>
      <c r="U261" s="73">
        <f>ROUND(+T261*(1+'Tax Tables'!$C$10)*IF(U$252&gt;0,U$252/T$252,0)/ED_Rounding,0)*ED_Rounding</f>
        <v>11150</v>
      </c>
      <c r="V261" s="73">
        <f>ROUND(+U261*(1+'Tax Tables'!$C$10)*IF(V$252&gt;0,V$252/U$252,0)/ED_Rounding,0)*ED_Rounding</f>
        <v>11400</v>
      </c>
      <c r="W261" s="73">
        <f>ROUND(+V261*(1+'Tax Tables'!$C$10)*IF(W$252&gt;0,W$252/V$252,0)/ED_Rounding,0)*ED_Rounding</f>
        <v>11650</v>
      </c>
      <c r="X261" s="73">
        <f>ROUND(+W261*(1+'Tax Tables'!$C$10)*IF(X$252&gt;0,X$252/W$252,0)/ED_Rounding,0)*ED_Rounding</f>
        <v>11900</v>
      </c>
      <c r="Y261" s="73">
        <f>ROUND(+X261*(1+'Tax Tables'!$C$10)*IF(Y$252&gt;0,Y$252/X$252,0)/ED_Rounding,0)*ED_Rounding</f>
        <v>12150</v>
      </c>
      <c r="Z261" s="73">
        <f>ROUND(+Y261*(1+'Tax Tables'!$C$10)*IF(Z$252&gt;0,Z$252/Y$252,0)/ED_Rounding,0)*ED_Rounding</f>
        <v>12400</v>
      </c>
      <c r="AA261" s="73">
        <f>ROUND(+Z261*(1+'Tax Tables'!$C$10)*IF(AA$252&gt;0,AA$252/Z$252,0)/ED_Rounding,0)*ED_Rounding</f>
        <v>12650</v>
      </c>
      <c r="AB261" s="73">
        <f>ROUND(+AA261*(1+'Tax Tables'!$C$10)*IF(AB$252&gt;0,AB$252/AA$252,0)/ED_Rounding,0)*ED_Rounding</f>
        <v>12950</v>
      </c>
      <c r="AC261" s="73">
        <f>ROUND(+AB261*(1+'Tax Tables'!$C$10)*IF(AC$252&gt;0,AC$252/AB$252,0)/ED_Rounding,0)*ED_Rounding</f>
        <v>13250</v>
      </c>
      <c r="AD261" s="73">
        <f>ROUND(+AC261*(1+'Tax Tables'!$C$10)*IF(AD$252&gt;0,AD$252/AC$252,0)/ED_Rounding,0)*ED_Rounding</f>
        <v>6750</v>
      </c>
      <c r="AE261" s="73">
        <f>ROUND(+AD261*(1+'Tax Tables'!$C$10)*IF(AE$252&gt;0,AE$252/AD$252,0)/ED_Rounding,0)*ED_Rounding</f>
        <v>6900</v>
      </c>
      <c r="AF261" s="73">
        <f>ROUND(+AE261*(1+'Tax Tables'!$C$10)*IF(AF$252&gt;0,AF$252/AE$252,0)/ED_Rounding,0)*ED_Rounding</f>
        <v>7050</v>
      </c>
      <c r="AG261" s="73">
        <f>ROUND(+AF261*(1+'Tax Tables'!$C$10)*IF(AG$252&gt;0,AG$252/AF$252,0)/ED_Rounding,0)*ED_Rounding</f>
        <v>7200</v>
      </c>
      <c r="AH261" s="73">
        <f>ROUND(+AG261*(1+'Tax Tables'!$C$10)*IF(AH$252&gt;0,AH$252/AG$252,0)/ED_Rounding,0)*ED_Rounding</f>
        <v>7350</v>
      </c>
      <c r="AI261" s="73">
        <f>ROUND(+AH261*(1+'Tax Tables'!$C$10)*IF(AI$252&gt;0,AI$252/AH$252,0)/ED_Rounding,0)*ED_Rounding</f>
        <v>7500</v>
      </c>
      <c r="AJ261" s="73">
        <f>ROUND(+AI261*(1+'Tax Tables'!$C$10)*IF(AJ$252&gt;0,AJ$252/AI$252,0)/ED_Rounding,0)*ED_Rounding</f>
        <v>0</v>
      </c>
      <c r="AK261" s="73">
        <f>ROUND(+AJ261*(1+'Tax Tables'!$C$10)*IF(AK$252&gt;0,AK$252/AJ$252,0)/ED_Rounding,0)*ED_Rounding</f>
        <v>0</v>
      </c>
      <c r="AL261" s="73">
        <f>ROUND(+AK261*(1+'Tax Tables'!$C$10)*IF(AL$252&gt;0,AL$252/AK$252,0)/ED_Rounding,0)*ED_Rounding</f>
        <v>0</v>
      </c>
      <c r="AM261" s="73">
        <f>ROUND(+AL261*(1+'Tax Tables'!$C$10)*IF(AM$252&gt;0,AM$252/AL$252,0)/ED_Rounding,0)*ED_Rounding</f>
        <v>0</v>
      </c>
      <c r="AN261" s="73">
        <f>ROUND(+AM261*(1+'Tax Tables'!$C$10)*IF(AN$252&gt;0,AN$252/AM$252,0)/ED_Rounding,0)*ED_Rounding</f>
        <v>0</v>
      </c>
      <c r="AO261" s="73">
        <f>ROUND(+AN261*(1+'Tax Tables'!$C$10)*IF(AO$252&gt;0,AO$252/AN$252,0)/ED_Rounding,0)*ED_Rounding</f>
        <v>0</v>
      </c>
      <c r="AP261" s="73">
        <f>ROUND(+AO261*(1+'Tax Tables'!$C$10)*IF(AP$252&gt;0,AP$252/AO$252,0)/ED_Rounding,0)*ED_Rounding</f>
        <v>0</v>
      </c>
      <c r="AQ261" s="73">
        <f>ROUND(+AP261*(1+'Tax Tables'!$C$10)*IF(AQ$252&gt;0,AQ$252/AP$252,0)/ED_Rounding,0)*ED_Rounding</f>
        <v>0</v>
      </c>
      <c r="AR261" s="73">
        <f>ROUND(+AQ261*(1+'Tax Tables'!$C$10)*IF(AR$252&gt;0,AR$252/AQ$252,0)/ED_Rounding,0)*ED_Rounding</f>
        <v>0</v>
      </c>
      <c r="AS261" s="73">
        <f>ROUND(+AR261*(1+'Tax Tables'!$C$10)*IF(AS$252&gt;0,AS$252/AR$252,0)/ED_Rounding,0)*ED_Rounding</f>
        <v>0</v>
      </c>
      <c r="AT261" s="73"/>
    </row>
    <row r="262" spans="1:46" ht="19.95" customHeight="1">
      <c r="A262" s="276"/>
      <c r="B262" s="72" t="s">
        <v>957</v>
      </c>
      <c r="C262" s="276"/>
      <c r="D262" s="741" t="str">
        <f>"Rounding set at $" &amp; ED_Rounding</f>
        <v>Rounding set at $50</v>
      </c>
      <c r="E262" s="60"/>
      <c r="F262" s="237">
        <f>+State2_SD*F252</f>
        <v>12000</v>
      </c>
      <c r="G262" s="73">
        <f>ROUND(+F262*(1+'Tax Tables'!$C$10)*IF(G$252&gt;0,G$252/F$252,0)/ED_Rounding,0)*ED_Rounding</f>
        <v>12250</v>
      </c>
      <c r="H262" s="73">
        <f>ROUND(+G262*(1+'Tax Tables'!$C$10)*IF(H$252&gt;0,H$252/G$252,0)/ED_Rounding,0)*ED_Rounding</f>
        <v>12500</v>
      </c>
      <c r="I262" s="73">
        <f>ROUND(+H262*(1+'Tax Tables'!$C$10)*IF(I$252&gt;0,I$252/H$252,0)/ED_Rounding,0)*ED_Rounding</f>
        <v>12800</v>
      </c>
      <c r="J262" s="73">
        <f>ROUND(+I262*(1+'Tax Tables'!$C$10)*IF(J$252&gt;0,J$252/I$252,0)/ED_Rounding,0)*ED_Rounding</f>
        <v>13100</v>
      </c>
      <c r="K262" s="73">
        <f>ROUND(+J262*(1+'Tax Tables'!$C$10)*IF(K$252&gt;0,K$252/J$252,0)/ED_Rounding,0)*ED_Rounding</f>
        <v>13400</v>
      </c>
      <c r="L262" s="73">
        <f>ROUND(+K262*(1+'Tax Tables'!$C$10)*IF(L$252&gt;0,L$252/K$252,0)/ED_Rounding,0)*ED_Rounding</f>
        <v>13700</v>
      </c>
      <c r="M262" s="73">
        <f>ROUND(+L262*(1+'Tax Tables'!$C$10)*IF(M$252&gt;0,M$252/L$252,0)/ED_Rounding,0)*ED_Rounding</f>
        <v>14000</v>
      </c>
      <c r="N262" s="73">
        <f>ROUND(+M262*(1+'Tax Tables'!$C$10)*IF(N$252&gt;0,N$252/M$252,0)/ED_Rounding,0)*ED_Rounding</f>
        <v>14300</v>
      </c>
      <c r="O262" s="73">
        <f>ROUND(+N262*(1+'Tax Tables'!$C$10)*IF(O$252&gt;0,O$252/N$252,0)/ED_Rounding,0)*ED_Rounding</f>
        <v>14600</v>
      </c>
      <c r="P262" s="73">
        <f>ROUND(+O262*(1+'Tax Tables'!$C$10)*IF(P$252&gt;0,P$252/O$252,0)/ED_Rounding,0)*ED_Rounding</f>
        <v>14900</v>
      </c>
      <c r="Q262" s="73">
        <f>ROUND(+P262*(1+'Tax Tables'!$C$10)*IF(Q$252&gt;0,Q$252/P$252,0)/ED_Rounding,0)*ED_Rounding</f>
        <v>15250</v>
      </c>
      <c r="R262" s="73">
        <f>ROUND(+Q262*(1+'Tax Tables'!$C$10)*IF(R$252&gt;0,R$252/Q$252,0)/ED_Rounding,0)*ED_Rounding</f>
        <v>15600</v>
      </c>
      <c r="S262" s="73">
        <f>ROUND(+R262*(1+'Tax Tables'!$C$10)*IF(S$252&gt;0,S$252/R$252,0)/ED_Rounding,0)*ED_Rounding</f>
        <v>15950</v>
      </c>
      <c r="T262" s="73">
        <f>ROUND(+S262*(1+'Tax Tables'!$C$10)*IF(T$252&gt;0,T$252/S$252,0)/ED_Rounding,0)*ED_Rounding</f>
        <v>16300</v>
      </c>
      <c r="U262" s="73">
        <f>ROUND(+T262*(1+'Tax Tables'!$C$10)*IF(U$252&gt;0,U$252/T$252,0)/ED_Rounding,0)*ED_Rounding</f>
        <v>16650</v>
      </c>
      <c r="V262" s="73">
        <f>ROUND(+U262*(1+'Tax Tables'!$C$10)*IF(V$252&gt;0,V$252/U$252,0)/ED_Rounding,0)*ED_Rounding</f>
        <v>17000</v>
      </c>
      <c r="W262" s="73">
        <f>ROUND(+V262*(1+'Tax Tables'!$C$10)*IF(W$252&gt;0,W$252/V$252,0)/ED_Rounding,0)*ED_Rounding</f>
        <v>17350</v>
      </c>
      <c r="X262" s="73">
        <f>ROUND(+W262*(1+'Tax Tables'!$C$10)*IF(X$252&gt;0,X$252/W$252,0)/ED_Rounding,0)*ED_Rounding</f>
        <v>17750</v>
      </c>
      <c r="Y262" s="73">
        <f>ROUND(+X262*(1+'Tax Tables'!$C$10)*IF(Y$252&gt;0,Y$252/X$252,0)/ED_Rounding,0)*ED_Rounding</f>
        <v>18150</v>
      </c>
      <c r="Z262" s="73">
        <f>ROUND(+Y262*(1+'Tax Tables'!$C$10)*IF(Z$252&gt;0,Z$252/Y$252,0)/ED_Rounding,0)*ED_Rounding</f>
        <v>18550</v>
      </c>
      <c r="AA262" s="73">
        <f>ROUND(+Z262*(1+'Tax Tables'!$C$10)*IF(AA$252&gt;0,AA$252/Z$252,0)/ED_Rounding,0)*ED_Rounding</f>
        <v>18950</v>
      </c>
      <c r="AB262" s="73">
        <f>ROUND(+AA262*(1+'Tax Tables'!$C$10)*IF(AB$252&gt;0,AB$252/AA$252,0)/ED_Rounding,0)*ED_Rounding</f>
        <v>19350</v>
      </c>
      <c r="AC262" s="73">
        <f>ROUND(+AB262*(1+'Tax Tables'!$C$10)*IF(AC$252&gt;0,AC$252/AB$252,0)/ED_Rounding,0)*ED_Rounding</f>
        <v>19800</v>
      </c>
      <c r="AD262" s="73">
        <f>ROUND(+AC262*(1+'Tax Tables'!$C$10)*IF(AD$252&gt;0,AD$252/AC$252,0)/ED_Rounding,0)*ED_Rounding</f>
        <v>10100</v>
      </c>
      <c r="AE262" s="73">
        <f>ROUND(+AD262*(1+'Tax Tables'!$C$10)*IF(AE$252&gt;0,AE$252/AD$252,0)/ED_Rounding,0)*ED_Rounding</f>
        <v>10300</v>
      </c>
      <c r="AF262" s="73">
        <f>ROUND(+AE262*(1+'Tax Tables'!$C$10)*IF(AF$252&gt;0,AF$252/AE$252,0)/ED_Rounding,0)*ED_Rounding</f>
        <v>10550</v>
      </c>
      <c r="AG262" s="73">
        <f>ROUND(+AF262*(1+'Tax Tables'!$C$10)*IF(AG$252&gt;0,AG$252/AF$252,0)/ED_Rounding,0)*ED_Rounding</f>
        <v>10800</v>
      </c>
      <c r="AH262" s="73">
        <f>ROUND(+AG262*(1+'Tax Tables'!$C$10)*IF(AH$252&gt;0,AH$252/AG$252,0)/ED_Rounding,0)*ED_Rounding</f>
        <v>11050</v>
      </c>
      <c r="AI262" s="73">
        <f>ROUND(+AH262*(1+'Tax Tables'!$C$10)*IF(AI$252&gt;0,AI$252/AH$252,0)/ED_Rounding,0)*ED_Rounding</f>
        <v>11300</v>
      </c>
      <c r="AJ262" s="73">
        <f>ROUND(+AI262*(1+'Tax Tables'!$C$10)*IF(AJ$252&gt;0,AJ$252/AI$252,0)/ED_Rounding,0)*ED_Rounding</f>
        <v>0</v>
      </c>
      <c r="AK262" s="73">
        <f>ROUND(+AJ262*(1+'Tax Tables'!$C$10)*IF(AK$252&gt;0,AK$252/AJ$252,0)/ED_Rounding,0)*ED_Rounding</f>
        <v>0</v>
      </c>
      <c r="AL262" s="73">
        <f>ROUND(+AK262*(1+'Tax Tables'!$C$10)*IF(AL$252&gt;0,AL$252/AK$252,0)/ED_Rounding,0)*ED_Rounding</f>
        <v>0</v>
      </c>
      <c r="AM262" s="73">
        <f>ROUND(+AL262*(1+'Tax Tables'!$C$10)*IF(AM$252&gt;0,AM$252/AL$252,0)/ED_Rounding,0)*ED_Rounding</f>
        <v>0</v>
      </c>
      <c r="AN262" s="73">
        <f>ROUND(+AM262*(1+'Tax Tables'!$C$10)*IF(AN$252&gt;0,AN$252/AM$252,0)/ED_Rounding,0)*ED_Rounding</f>
        <v>0</v>
      </c>
      <c r="AO262" s="73">
        <f>ROUND(+AN262*(1+'Tax Tables'!$C$10)*IF(AO$252&gt;0,AO$252/AN$252,0)/ED_Rounding,0)*ED_Rounding</f>
        <v>0</v>
      </c>
      <c r="AP262" s="73">
        <f>ROUND(+AO262*(1+'Tax Tables'!$C$10)*IF(AP$252&gt;0,AP$252/AO$252,0)/ED_Rounding,0)*ED_Rounding</f>
        <v>0</v>
      </c>
      <c r="AQ262" s="73">
        <f>ROUND(+AP262*(1+'Tax Tables'!$C$10)*IF(AQ$252&gt;0,AQ$252/AP$252,0)/ED_Rounding,0)*ED_Rounding</f>
        <v>0</v>
      </c>
      <c r="AR262" s="73">
        <f>ROUND(+AQ262*(1+'Tax Tables'!$C$10)*IF(AR$252&gt;0,AR$252/AQ$252,0)/ED_Rounding,0)*ED_Rounding</f>
        <v>0</v>
      </c>
      <c r="AS262" s="73">
        <f>ROUND(+AR262*(1+'Tax Tables'!$C$10)*IF(AS$252&gt;0,AS$252/AR$252,0)/ED_Rounding,0)*ED_Rounding</f>
        <v>0</v>
      </c>
      <c r="AT262" s="73"/>
    </row>
    <row r="263" spans="1:46">
      <c r="A263" s="276"/>
      <c r="B263" s="159" t="s">
        <v>1447</v>
      </c>
      <c r="C263" s="12" t="s">
        <v>1343</v>
      </c>
      <c r="D263" s="594">
        <f>Esc_Itemized</f>
        <v>0.05</v>
      </c>
      <c r="E263" s="60"/>
      <c r="F263" s="85">
        <f>Itemized</f>
        <v>25000</v>
      </c>
      <c r="G263" s="29">
        <f t="shared" ref="G263:AS263" si="147">+F263*(1+Esc_Itemized)</f>
        <v>26250</v>
      </c>
      <c r="H263" s="29">
        <f t="shared" si="147"/>
        <v>27562.5</v>
      </c>
      <c r="I263" s="29">
        <f t="shared" si="147"/>
        <v>28940.625</v>
      </c>
      <c r="J263" s="29">
        <f t="shared" si="147"/>
        <v>30387.65625</v>
      </c>
      <c r="K263" s="29">
        <f t="shared" si="147"/>
        <v>31907.0390625</v>
      </c>
      <c r="L263" s="29">
        <f t="shared" si="147"/>
        <v>33502.391015624999</v>
      </c>
      <c r="M263" s="29">
        <f t="shared" si="147"/>
        <v>35177.51056640625</v>
      </c>
      <c r="N263" s="29">
        <f t="shared" si="147"/>
        <v>36936.386094726564</v>
      </c>
      <c r="O263" s="29">
        <f t="shared" si="147"/>
        <v>38783.205399462895</v>
      </c>
      <c r="P263" s="29">
        <f t="shared" si="147"/>
        <v>40722.36566943604</v>
      </c>
      <c r="Q263" s="29">
        <f t="shared" si="147"/>
        <v>42758.483952907845</v>
      </c>
      <c r="R263" s="29">
        <f t="shared" si="147"/>
        <v>44896.408150553238</v>
      </c>
      <c r="S263" s="29">
        <f t="shared" si="147"/>
        <v>47141.228558080904</v>
      </c>
      <c r="T263" s="29">
        <f t="shared" si="147"/>
        <v>49498.289985984949</v>
      </c>
      <c r="U263" s="29">
        <f t="shared" si="147"/>
        <v>51973.204485284201</v>
      </c>
      <c r="V263" s="29">
        <f t="shared" si="147"/>
        <v>54571.864709548412</v>
      </c>
      <c r="W263" s="29">
        <f t="shared" si="147"/>
        <v>57300.457945025832</v>
      </c>
      <c r="X263" s="29">
        <f t="shared" si="147"/>
        <v>60165.480842277124</v>
      </c>
      <c r="Y263" s="29">
        <f t="shared" si="147"/>
        <v>63173.754884390983</v>
      </c>
      <c r="Z263" s="29">
        <f t="shared" si="147"/>
        <v>66332.44262861053</v>
      </c>
      <c r="AA263" s="29">
        <f t="shared" si="147"/>
        <v>69649.064760041059</v>
      </c>
      <c r="AB263" s="29">
        <f t="shared" si="147"/>
        <v>73131.517998043113</v>
      </c>
      <c r="AC263" s="29">
        <f t="shared" si="147"/>
        <v>76788.093897945277</v>
      </c>
      <c r="AD263" s="29">
        <f t="shared" si="147"/>
        <v>80627.498592842545</v>
      </c>
      <c r="AE263" s="29">
        <f t="shared" si="147"/>
        <v>84658.873522484675</v>
      </c>
      <c r="AF263" s="29">
        <f t="shared" si="147"/>
        <v>88891.817198608915</v>
      </c>
      <c r="AG263" s="29">
        <f t="shared" si="147"/>
        <v>93336.408058539368</v>
      </c>
      <c r="AH263" s="29">
        <f t="shared" si="147"/>
        <v>98003.228461466337</v>
      </c>
      <c r="AI263" s="29">
        <f t="shared" si="147"/>
        <v>102903.38988453966</v>
      </c>
      <c r="AJ263" s="29">
        <f t="shared" si="147"/>
        <v>108048.55937876664</v>
      </c>
      <c r="AK263" s="29">
        <f t="shared" si="147"/>
        <v>113450.98734770498</v>
      </c>
      <c r="AL263" s="29">
        <f t="shared" si="147"/>
        <v>119123.53671509023</v>
      </c>
      <c r="AM263" s="29">
        <f t="shared" si="147"/>
        <v>125079.71355084475</v>
      </c>
      <c r="AN263" s="29">
        <f t="shared" si="147"/>
        <v>131333.69922838701</v>
      </c>
      <c r="AO263" s="29">
        <f t="shared" si="147"/>
        <v>137900.38418980635</v>
      </c>
      <c r="AP263" s="29">
        <f t="shared" si="147"/>
        <v>144795.40339929669</v>
      </c>
      <c r="AQ263" s="29">
        <f t="shared" si="147"/>
        <v>152035.17356926153</v>
      </c>
      <c r="AR263" s="29">
        <f t="shared" si="147"/>
        <v>159636.93224772462</v>
      </c>
      <c r="AS263" s="29">
        <f t="shared" si="147"/>
        <v>167618.77886011085</v>
      </c>
      <c r="AT263" s="29"/>
    </row>
    <row r="264" spans="1:46">
      <c r="A264" s="276"/>
      <c r="B264" s="159" t="s">
        <v>765</v>
      </c>
      <c r="C264" s="12" t="s">
        <v>1344</v>
      </c>
      <c r="D264" s="593">
        <f>IF(End_Itemized&gt;0,End_Itemized,Final_Year)</f>
        <v>68</v>
      </c>
      <c r="E264" s="60"/>
      <c r="F264" s="85">
        <f>IF(AND(End_Itemized&lt;F$91,End_Itemized&lt;&gt;0),0,F263)</f>
        <v>25000</v>
      </c>
      <c r="G264" s="15">
        <f t="shared" ref="G264:AS264" si="148">ROUND(IF(AND(End_Itemized&lt;G$91,End_Itemized&lt;&gt;0),0,G263)/ED_Rounding,0)*ED_Rounding</f>
        <v>26250</v>
      </c>
      <c r="H264" s="15">
        <f t="shared" si="148"/>
        <v>27550</v>
      </c>
      <c r="I264" s="15">
        <f t="shared" si="148"/>
        <v>28950</v>
      </c>
      <c r="J264" s="15">
        <f t="shared" si="148"/>
        <v>30400</v>
      </c>
      <c r="K264" s="15">
        <f t="shared" si="148"/>
        <v>31900</v>
      </c>
      <c r="L264" s="15">
        <f t="shared" si="148"/>
        <v>33500</v>
      </c>
      <c r="M264" s="15">
        <f t="shared" si="148"/>
        <v>0</v>
      </c>
      <c r="N264" s="15">
        <f t="shared" si="148"/>
        <v>0</v>
      </c>
      <c r="O264" s="15">
        <f t="shared" si="148"/>
        <v>0</v>
      </c>
      <c r="P264" s="15">
        <f t="shared" si="148"/>
        <v>0</v>
      </c>
      <c r="Q264" s="15">
        <f t="shared" si="148"/>
        <v>0</v>
      </c>
      <c r="R264" s="15">
        <f t="shared" si="148"/>
        <v>0</v>
      </c>
      <c r="S264" s="15">
        <f t="shared" si="148"/>
        <v>0</v>
      </c>
      <c r="T264" s="15">
        <f t="shared" si="148"/>
        <v>0</v>
      </c>
      <c r="U264" s="15">
        <f t="shared" si="148"/>
        <v>0</v>
      </c>
      <c r="V264" s="15">
        <f t="shared" si="148"/>
        <v>0</v>
      </c>
      <c r="W264" s="15">
        <f t="shared" si="148"/>
        <v>0</v>
      </c>
      <c r="X264" s="15">
        <f t="shared" si="148"/>
        <v>0</v>
      </c>
      <c r="Y264" s="15">
        <f t="shared" si="148"/>
        <v>0</v>
      </c>
      <c r="Z264" s="15">
        <f t="shared" si="148"/>
        <v>0</v>
      </c>
      <c r="AA264" s="15">
        <f t="shared" si="148"/>
        <v>0</v>
      </c>
      <c r="AB264" s="15">
        <f t="shared" si="148"/>
        <v>0</v>
      </c>
      <c r="AC264" s="15">
        <f t="shared" si="148"/>
        <v>0</v>
      </c>
      <c r="AD264" s="15">
        <f t="shared" si="148"/>
        <v>0</v>
      </c>
      <c r="AE264" s="15">
        <f t="shared" si="148"/>
        <v>0</v>
      </c>
      <c r="AF264" s="15">
        <f t="shared" si="148"/>
        <v>0</v>
      </c>
      <c r="AG264" s="15">
        <f t="shared" si="148"/>
        <v>0</v>
      </c>
      <c r="AH264" s="15">
        <f t="shared" si="148"/>
        <v>0</v>
      </c>
      <c r="AI264" s="15">
        <f t="shared" si="148"/>
        <v>0</v>
      </c>
      <c r="AJ264" s="15">
        <f t="shared" si="148"/>
        <v>0</v>
      </c>
      <c r="AK264" s="15">
        <f t="shared" si="148"/>
        <v>0</v>
      </c>
      <c r="AL264" s="15">
        <f t="shared" si="148"/>
        <v>0</v>
      </c>
      <c r="AM264" s="15">
        <f t="shared" si="148"/>
        <v>0</v>
      </c>
      <c r="AN264" s="15">
        <f t="shared" si="148"/>
        <v>0</v>
      </c>
      <c r="AO264" s="15">
        <f t="shared" si="148"/>
        <v>0</v>
      </c>
      <c r="AP264" s="15">
        <f t="shared" si="148"/>
        <v>0</v>
      </c>
      <c r="AQ264" s="15">
        <f t="shared" si="148"/>
        <v>0</v>
      </c>
      <c r="AR264" s="15">
        <f t="shared" si="148"/>
        <v>0</v>
      </c>
      <c r="AS264" s="15">
        <f t="shared" si="148"/>
        <v>0</v>
      </c>
      <c r="AT264" s="15"/>
    </row>
    <row r="265" spans="1:46">
      <c r="A265" s="276"/>
      <c r="B265" s="159" t="s">
        <v>740</v>
      </c>
      <c r="C265" s="12"/>
      <c r="D265" s="593" t="str">
        <f>+State2_Deduct</f>
        <v>s</v>
      </c>
      <c r="E265" s="60"/>
      <c r="F265" s="15">
        <f t="shared" ref="F265:AS265" si="149">IF(State_Deduct="I",F264+IF(F$91&gt;End_Itemized,F262,0),F262)</f>
        <v>25000</v>
      </c>
      <c r="G265" s="15">
        <f t="shared" si="149"/>
        <v>26250</v>
      </c>
      <c r="H265" s="15">
        <f t="shared" si="149"/>
        <v>27550</v>
      </c>
      <c r="I265" s="15">
        <f t="shared" si="149"/>
        <v>28950</v>
      </c>
      <c r="J265" s="15">
        <f t="shared" si="149"/>
        <v>30400</v>
      </c>
      <c r="K265" s="15">
        <f t="shared" si="149"/>
        <v>31900</v>
      </c>
      <c r="L265" s="15">
        <f t="shared" si="149"/>
        <v>33500</v>
      </c>
      <c r="M265" s="15">
        <f t="shared" si="149"/>
        <v>14000</v>
      </c>
      <c r="N265" s="15">
        <f t="shared" si="149"/>
        <v>14300</v>
      </c>
      <c r="O265" s="15">
        <f t="shared" si="149"/>
        <v>14600</v>
      </c>
      <c r="P265" s="15">
        <f t="shared" si="149"/>
        <v>14900</v>
      </c>
      <c r="Q265" s="15">
        <f t="shared" si="149"/>
        <v>15250</v>
      </c>
      <c r="R265" s="15">
        <f t="shared" si="149"/>
        <v>15600</v>
      </c>
      <c r="S265" s="15">
        <f t="shared" si="149"/>
        <v>15950</v>
      </c>
      <c r="T265" s="15">
        <f t="shared" si="149"/>
        <v>16300</v>
      </c>
      <c r="U265" s="15">
        <f t="shared" si="149"/>
        <v>16650</v>
      </c>
      <c r="V265" s="15">
        <f t="shared" si="149"/>
        <v>17000</v>
      </c>
      <c r="W265" s="15">
        <f t="shared" si="149"/>
        <v>17350</v>
      </c>
      <c r="X265" s="15">
        <f t="shared" si="149"/>
        <v>17750</v>
      </c>
      <c r="Y265" s="15">
        <f t="shared" si="149"/>
        <v>18150</v>
      </c>
      <c r="Z265" s="15">
        <f t="shared" si="149"/>
        <v>18550</v>
      </c>
      <c r="AA265" s="15">
        <f t="shared" si="149"/>
        <v>18950</v>
      </c>
      <c r="AB265" s="15">
        <f t="shared" si="149"/>
        <v>19350</v>
      </c>
      <c r="AC265" s="15">
        <f t="shared" si="149"/>
        <v>19800</v>
      </c>
      <c r="AD265" s="15">
        <f t="shared" si="149"/>
        <v>10100</v>
      </c>
      <c r="AE265" s="15">
        <f t="shared" si="149"/>
        <v>10300</v>
      </c>
      <c r="AF265" s="15">
        <f t="shared" si="149"/>
        <v>10550</v>
      </c>
      <c r="AG265" s="15">
        <f t="shared" si="149"/>
        <v>10800</v>
      </c>
      <c r="AH265" s="15">
        <f t="shared" si="149"/>
        <v>11050</v>
      </c>
      <c r="AI265" s="15">
        <f t="shared" si="149"/>
        <v>11300</v>
      </c>
      <c r="AJ265" s="15">
        <f t="shared" si="149"/>
        <v>0</v>
      </c>
      <c r="AK265" s="15">
        <f t="shared" si="149"/>
        <v>0</v>
      </c>
      <c r="AL265" s="15">
        <f t="shared" si="149"/>
        <v>0</v>
      </c>
      <c r="AM265" s="15">
        <f t="shared" si="149"/>
        <v>0</v>
      </c>
      <c r="AN265" s="15">
        <f t="shared" si="149"/>
        <v>0</v>
      </c>
      <c r="AO265" s="15">
        <f t="shared" si="149"/>
        <v>0</v>
      </c>
      <c r="AP265" s="15">
        <f t="shared" si="149"/>
        <v>0</v>
      </c>
      <c r="AQ265" s="15">
        <f t="shared" si="149"/>
        <v>0</v>
      </c>
      <c r="AR265" s="15">
        <f t="shared" si="149"/>
        <v>0</v>
      </c>
      <c r="AS265" s="15">
        <f t="shared" si="149"/>
        <v>0</v>
      </c>
      <c r="AT265" s="15"/>
    </row>
    <row r="266" spans="1:46">
      <c r="A266" s="276"/>
      <c r="B266" s="276"/>
      <c r="C266" s="276"/>
      <c r="D266" s="276"/>
      <c r="E266" s="60"/>
      <c r="F266" s="60"/>
      <c r="G266" s="61"/>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c r="AE266" s="61"/>
      <c r="AF266" s="61"/>
      <c r="AG266" s="61"/>
      <c r="AH266" s="61"/>
      <c r="AI266" s="61"/>
      <c r="AJ266" s="61"/>
      <c r="AK266" s="61"/>
      <c r="AL266" s="61"/>
      <c r="AM266" s="61"/>
      <c r="AN266" s="61"/>
      <c r="AO266" s="61"/>
      <c r="AP266" s="61"/>
      <c r="AQ266" s="61"/>
      <c r="AR266" s="61"/>
      <c r="AS266" s="61"/>
      <c r="AT266" s="61"/>
    </row>
    <row r="267" spans="1:46" ht="15.6">
      <c r="B267" s="28" t="s">
        <v>1047</v>
      </c>
      <c r="C267" s="8"/>
      <c r="D267" s="8" t="s">
        <v>1474</v>
      </c>
      <c r="E267" s="224"/>
      <c r="F267" s="822">
        <v>0</v>
      </c>
      <c r="G267" s="14">
        <v>0</v>
      </c>
      <c r="H267" s="14">
        <v>0</v>
      </c>
      <c r="I267" s="14">
        <v>0</v>
      </c>
      <c r="J267" s="14">
        <v>0</v>
      </c>
      <c r="K267" s="14">
        <v>0</v>
      </c>
      <c r="L267" s="14">
        <v>0</v>
      </c>
      <c r="M267" s="14">
        <v>0</v>
      </c>
      <c r="N267" s="14">
        <v>0</v>
      </c>
      <c r="O267" s="14">
        <v>0</v>
      </c>
      <c r="P267" s="14">
        <v>0</v>
      </c>
      <c r="Q267" s="14">
        <v>0</v>
      </c>
      <c r="R267" s="14">
        <v>0</v>
      </c>
      <c r="S267" s="14">
        <v>0</v>
      </c>
      <c r="T267" s="14">
        <v>0</v>
      </c>
      <c r="U267" s="14">
        <v>0</v>
      </c>
      <c r="V267" s="14">
        <v>0</v>
      </c>
      <c r="W267" s="14">
        <v>0</v>
      </c>
      <c r="X267" s="14">
        <v>0</v>
      </c>
      <c r="Y267" s="14">
        <v>0</v>
      </c>
      <c r="Z267" s="14">
        <v>0</v>
      </c>
      <c r="AA267" s="14">
        <v>0</v>
      </c>
      <c r="AB267" s="14">
        <v>0</v>
      </c>
      <c r="AC267" s="14">
        <v>0</v>
      </c>
      <c r="AD267" s="14">
        <v>0</v>
      </c>
      <c r="AE267" s="14">
        <v>0</v>
      </c>
      <c r="AF267" s="14">
        <v>0</v>
      </c>
      <c r="AG267" s="14">
        <v>0</v>
      </c>
      <c r="AH267" s="14">
        <v>0</v>
      </c>
      <c r="AI267" s="14">
        <v>0</v>
      </c>
      <c r="AJ267" s="14">
        <v>0</v>
      </c>
      <c r="AK267" s="14">
        <v>0</v>
      </c>
      <c r="AL267" s="14">
        <v>0</v>
      </c>
      <c r="AM267" s="14">
        <v>0</v>
      </c>
      <c r="AN267" s="14">
        <v>0</v>
      </c>
      <c r="AO267" s="14">
        <v>0</v>
      </c>
      <c r="AP267" s="14">
        <v>0</v>
      </c>
      <c r="AQ267" s="14">
        <v>0</v>
      </c>
      <c r="AR267" s="14">
        <v>0</v>
      </c>
      <c r="AS267" s="14">
        <v>0</v>
      </c>
      <c r="AT267" s="14"/>
    </row>
    <row r="268" spans="1:46">
      <c r="C268" s="8"/>
      <c r="D268" s="8" t="s">
        <v>1475</v>
      </c>
      <c r="E268" s="224"/>
      <c r="F268" s="731">
        <f>+State_Br_Amt1</f>
        <v>10000</v>
      </c>
      <c r="G268" s="29">
        <f>ROUND(+F268*(1+'Tax Tables'!$C$10)/IF(Round_To&gt;Tax_Rounding,Tax_Rounding,Round_To),0)*IF(Round_To&gt;Tax_Rounding,Tax_Rounding,Round_To)</f>
        <v>10200</v>
      </c>
      <c r="H268" s="29">
        <f>ROUND(+G268*(1+'Tax Tables'!$C$10)/IF(Round_To&gt;Tax_Rounding,Tax_Rounding,Round_To),0)*IF(Round_To&gt;Tax_Rounding,Tax_Rounding,Round_To)</f>
        <v>10400</v>
      </c>
      <c r="I268" s="29">
        <f>ROUND(+H268*(1+'Tax Tables'!$C$10)/IF(Round_To&gt;Tax_Rounding,Tax_Rounding,Round_To),0)*IF(Round_To&gt;Tax_Rounding,Tax_Rounding,Round_To)</f>
        <v>10600</v>
      </c>
      <c r="J268" s="29">
        <f>ROUND(+I268*(1+'Tax Tables'!$C$10)/IF(Round_To&gt;Tax_Rounding,Tax_Rounding,Round_To),0)*IF(Round_To&gt;Tax_Rounding,Tax_Rounding,Round_To)</f>
        <v>10800</v>
      </c>
      <c r="K268" s="29">
        <f>ROUND(+J268*(1+'Tax Tables'!$C$10)/IF(Round_To&gt;Tax_Rounding,Tax_Rounding,Round_To),0)*IF(Round_To&gt;Tax_Rounding,Tax_Rounding,Round_To)</f>
        <v>11000</v>
      </c>
      <c r="L268" s="29">
        <f>ROUND(+K268*(1+'Tax Tables'!$C$10)/IF(Round_To&gt;Tax_Rounding,Tax_Rounding,Round_To),0)*IF(Round_To&gt;Tax_Rounding,Tax_Rounding,Round_To)</f>
        <v>11200</v>
      </c>
      <c r="M268" s="29">
        <f>ROUND(+L268*(1+'Tax Tables'!$C$10)/IF(Round_To&gt;Tax_Rounding,Tax_Rounding,Round_To),0)*IF(Round_To&gt;Tax_Rounding,Tax_Rounding,Round_To)</f>
        <v>11400</v>
      </c>
      <c r="N268" s="29">
        <f>ROUND(+M268*(1+'Tax Tables'!$C$10)/IF(Round_To&gt;Tax_Rounding,Tax_Rounding,Round_To),0)*IF(Round_To&gt;Tax_Rounding,Tax_Rounding,Round_To)</f>
        <v>11700</v>
      </c>
      <c r="O268" s="29">
        <f>ROUND(+N268*(1+'Tax Tables'!$C$10)/IF(Round_To&gt;Tax_Rounding,Tax_Rounding,Round_To),0)*IF(Round_To&gt;Tax_Rounding,Tax_Rounding,Round_To)</f>
        <v>12000</v>
      </c>
      <c r="P268" s="29">
        <f>ROUND(+O268*(1+'Tax Tables'!$C$10)/IF(Round_To&gt;Tax_Rounding,Tax_Rounding,Round_To),0)*IF(Round_To&gt;Tax_Rounding,Tax_Rounding,Round_To)</f>
        <v>12300</v>
      </c>
      <c r="Q268" s="29">
        <f>ROUND(+P268*(1+'Tax Tables'!$C$10)/IF(Round_To&gt;Tax_Rounding,Tax_Rounding,Round_To),0)*IF(Round_To&gt;Tax_Rounding,Tax_Rounding,Round_To)</f>
        <v>12600</v>
      </c>
      <c r="R268" s="29">
        <f>ROUND(+Q268*(1+'Tax Tables'!$C$10)/IF(Round_To&gt;Tax_Rounding,Tax_Rounding,Round_To),0)*IF(Round_To&gt;Tax_Rounding,Tax_Rounding,Round_To)</f>
        <v>12900</v>
      </c>
      <c r="S268" s="29">
        <f>ROUND(+R268*(1+'Tax Tables'!$C$10)/IF(Round_To&gt;Tax_Rounding,Tax_Rounding,Round_To),0)*IF(Round_To&gt;Tax_Rounding,Tax_Rounding,Round_To)</f>
        <v>13200</v>
      </c>
      <c r="T268" s="29">
        <f>ROUND(+S268*(1+'Tax Tables'!$C$10)/IF(Round_To&gt;Tax_Rounding,Tax_Rounding,Round_To),0)*IF(Round_To&gt;Tax_Rounding,Tax_Rounding,Round_To)</f>
        <v>13500</v>
      </c>
      <c r="U268" s="29">
        <f>ROUND(+T268*(1+'Tax Tables'!$C$10)/IF(Round_To&gt;Tax_Rounding,Tax_Rounding,Round_To),0)*IF(Round_To&gt;Tax_Rounding,Tax_Rounding,Round_To)</f>
        <v>13800</v>
      </c>
      <c r="V268" s="29">
        <f>ROUND(+U268*(1+'Tax Tables'!$C$10)/IF(Round_To&gt;Tax_Rounding,Tax_Rounding,Round_To),0)*IF(Round_To&gt;Tax_Rounding,Tax_Rounding,Round_To)</f>
        <v>14100</v>
      </c>
      <c r="W268" s="29">
        <f>ROUND(+V268*(1+'Tax Tables'!$C$10)/IF(Round_To&gt;Tax_Rounding,Tax_Rounding,Round_To),0)*IF(Round_To&gt;Tax_Rounding,Tax_Rounding,Round_To)</f>
        <v>14400</v>
      </c>
      <c r="X268" s="29">
        <f>ROUND(+W268*(1+'Tax Tables'!$C$10)/IF(Round_To&gt;Tax_Rounding,Tax_Rounding,Round_To),0)*IF(Round_To&gt;Tax_Rounding,Tax_Rounding,Round_To)</f>
        <v>14700</v>
      </c>
      <c r="Y268" s="29">
        <f>ROUND(+X268*(1+'Tax Tables'!$C$10)/IF(Round_To&gt;Tax_Rounding,Tax_Rounding,Round_To),0)*IF(Round_To&gt;Tax_Rounding,Tax_Rounding,Round_To)</f>
        <v>15000</v>
      </c>
      <c r="Z268" s="29">
        <f>ROUND(+Y268*(1+'Tax Tables'!$C$10)/IF(Round_To&gt;Tax_Rounding,Tax_Rounding,Round_To),0)*IF(Round_To&gt;Tax_Rounding,Tax_Rounding,Round_To)</f>
        <v>15300</v>
      </c>
      <c r="AA268" s="29">
        <f>ROUND(+Z268*(1+'Tax Tables'!$C$10)/IF(Round_To&gt;Tax_Rounding,Tax_Rounding,Round_To),0)*IF(Round_To&gt;Tax_Rounding,Tax_Rounding,Round_To)</f>
        <v>15600</v>
      </c>
      <c r="AB268" s="29">
        <f>ROUND(+AA268*(1+'Tax Tables'!$C$10)/IF(Round_To&gt;Tax_Rounding,Tax_Rounding,Round_To),0)*IF(Round_To&gt;Tax_Rounding,Tax_Rounding,Round_To)</f>
        <v>15900</v>
      </c>
      <c r="AC268" s="29">
        <f>ROUND(+AB268*(1+'Tax Tables'!$C$10)/IF(Round_To&gt;Tax_Rounding,Tax_Rounding,Round_To),0)*IF(Round_To&gt;Tax_Rounding,Tax_Rounding,Round_To)</f>
        <v>16200</v>
      </c>
      <c r="AD268" s="29">
        <f>ROUND(+AC268*(1+'Tax Tables'!$C$10)/IF(Round_To&gt;Tax_Rounding,Tax_Rounding,Round_To),0)*IF(Round_To&gt;Tax_Rounding,Tax_Rounding,Round_To)</f>
        <v>16600</v>
      </c>
      <c r="AE268" s="29">
        <f>ROUND(+AD268*(1+'Tax Tables'!$C$10)/IF(Round_To&gt;Tax_Rounding,Tax_Rounding,Round_To),0)*IF(Round_To&gt;Tax_Rounding,Tax_Rounding,Round_To)</f>
        <v>17000</v>
      </c>
      <c r="AF268" s="29">
        <f>ROUND(+AE268*(1+'Tax Tables'!$C$10)/IF(Round_To&gt;Tax_Rounding,Tax_Rounding,Round_To),0)*IF(Round_To&gt;Tax_Rounding,Tax_Rounding,Round_To)</f>
        <v>17400</v>
      </c>
      <c r="AG268" s="29">
        <f>ROUND(+AF268*(1+'Tax Tables'!$C$10)/IF(Round_To&gt;Tax_Rounding,Tax_Rounding,Round_To),0)*IF(Round_To&gt;Tax_Rounding,Tax_Rounding,Round_To)</f>
        <v>17800</v>
      </c>
      <c r="AH268" s="29">
        <f>ROUND(+AG268*(1+'Tax Tables'!$C$10)/IF(Round_To&gt;Tax_Rounding,Tax_Rounding,Round_To),0)*IF(Round_To&gt;Tax_Rounding,Tax_Rounding,Round_To)</f>
        <v>18200</v>
      </c>
      <c r="AI268" s="29">
        <f>ROUND(+AH268*(1+'Tax Tables'!$C$10)/IF(Round_To&gt;Tax_Rounding,Tax_Rounding,Round_To),0)*IF(Round_To&gt;Tax_Rounding,Tax_Rounding,Round_To)</f>
        <v>18600</v>
      </c>
      <c r="AJ268" s="29">
        <f>ROUND(+AI268*(1+'Tax Tables'!$C$10)/IF(Round_To&gt;Tax_Rounding,Tax_Rounding,Round_To),0)*IF(Round_To&gt;Tax_Rounding,Tax_Rounding,Round_To)</f>
        <v>19000</v>
      </c>
      <c r="AK268" s="29">
        <f>ROUND(+AJ268*(1+'Tax Tables'!$C$10)/IF(Round_To&gt;Tax_Rounding,Tax_Rounding,Round_To),0)*IF(Round_To&gt;Tax_Rounding,Tax_Rounding,Round_To)</f>
        <v>19400</v>
      </c>
      <c r="AL268" s="29">
        <f>ROUND(+AK268*(1+'Tax Tables'!$C$10)/IF(Round_To&gt;Tax_Rounding,Tax_Rounding,Round_To),0)*IF(Round_To&gt;Tax_Rounding,Tax_Rounding,Round_To)</f>
        <v>19800</v>
      </c>
      <c r="AM268" s="29">
        <f>ROUND(+AL268*(1+'Tax Tables'!$C$10)/IF(Round_To&gt;Tax_Rounding,Tax_Rounding,Round_To),0)*IF(Round_To&gt;Tax_Rounding,Tax_Rounding,Round_To)</f>
        <v>20200</v>
      </c>
      <c r="AN268" s="29">
        <f>ROUND(+AM268*(1+'Tax Tables'!$C$10)/IF(Round_To&gt;Tax_Rounding,Tax_Rounding,Round_To),0)*IF(Round_To&gt;Tax_Rounding,Tax_Rounding,Round_To)</f>
        <v>20600</v>
      </c>
      <c r="AO268" s="29">
        <f>ROUND(+AN268*(1+'Tax Tables'!$C$10)/IF(Round_To&gt;Tax_Rounding,Tax_Rounding,Round_To),0)*IF(Round_To&gt;Tax_Rounding,Tax_Rounding,Round_To)</f>
        <v>21100</v>
      </c>
      <c r="AP268" s="29">
        <f>ROUND(+AO268*(1+'Tax Tables'!$C$10)/IF(Round_To&gt;Tax_Rounding,Tax_Rounding,Round_To),0)*IF(Round_To&gt;Tax_Rounding,Tax_Rounding,Round_To)</f>
        <v>21600</v>
      </c>
      <c r="AQ268" s="29">
        <f>ROUND(+AP268*(1+'Tax Tables'!$C$10)/IF(Round_To&gt;Tax_Rounding,Tax_Rounding,Round_To),0)*IF(Round_To&gt;Tax_Rounding,Tax_Rounding,Round_To)</f>
        <v>22100</v>
      </c>
      <c r="AR268" s="29">
        <f>ROUND(+AQ268*(1+'Tax Tables'!$C$10)/IF(Round_To&gt;Tax_Rounding,Tax_Rounding,Round_To),0)*IF(Round_To&gt;Tax_Rounding,Tax_Rounding,Round_To)</f>
        <v>22600</v>
      </c>
      <c r="AS268" s="29">
        <f>ROUND(+AR268*(1+'Tax Tables'!$C$10)/IF(Round_To&gt;Tax_Rounding,Tax_Rounding,Round_To),0)*IF(Round_To&gt;Tax_Rounding,Tax_Rounding,Round_To)</f>
        <v>23100</v>
      </c>
      <c r="AT268" s="29"/>
    </row>
    <row r="269" spans="1:46">
      <c r="C269" s="8"/>
      <c r="D269" s="8" t="s">
        <v>1476</v>
      </c>
      <c r="E269" s="818"/>
      <c r="F269" s="823">
        <f>+State_Br_Per1</f>
        <v>0.02</v>
      </c>
      <c r="G269" s="61">
        <f>+F269</f>
        <v>0.02</v>
      </c>
      <c r="H269" s="61">
        <f t="shared" ref="H269:AS269" si="150">+G269</f>
        <v>0.02</v>
      </c>
      <c r="I269" s="61">
        <f t="shared" si="150"/>
        <v>0.02</v>
      </c>
      <c r="J269" s="61">
        <f t="shared" si="150"/>
        <v>0.02</v>
      </c>
      <c r="K269" s="61">
        <f t="shared" si="150"/>
        <v>0.02</v>
      </c>
      <c r="L269" s="61">
        <f t="shared" si="150"/>
        <v>0.02</v>
      </c>
      <c r="M269" s="61">
        <f t="shared" si="150"/>
        <v>0.02</v>
      </c>
      <c r="N269" s="61">
        <f t="shared" si="150"/>
        <v>0.02</v>
      </c>
      <c r="O269" s="61">
        <f t="shared" si="150"/>
        <v>0.02</v>
      </c>
      <c r="P269" s="61">
        <f t="shared" si="150"/>
        <v>0.02</v>
      </c>
      <c r="Q269" s="61">
        <f t="shared" si="150"/>
        <v>0.02</v>
      </c>
      <c r="R269" s="61">
        <f t="shared" si="150"/>
        <v>0.02</v>
      </c>
      <c r="S269" s="61">
        <f t="shared" si="150"/>
        <v>0.02</v>
      </c>
      <c r="T269" s="61">
        <f t="shared" si="150"/>
        <v>0.02</v>
      </c>
      <c r="U269" s="61">
        <f t="shared" si="150"/>
        <v>0.02</v>
      </c>
      <c r="V269" s="61">
        <f t="shared" si="150"/>
        <v>0.02</v>
      </c>
      <c r="W269" s="61">
        <f t="shared" si="150"/>
        <v>0.02</v>
      </c>
      <c r="X269" s="61">
        <f t="shared" si="150"/>
        <v>0.02</v>
      </c>
      <c r="Y269" s="61">
        <f t="shared" si="150"/>
        <v>0.02</v>
      </c>
      <c r="Z269" s="61">
        <f t="shared" si="150"/>
        <v>0.02</v>
      </c>
      <c r="AA269" s="61">
        <f t="shared" si="150"/>
        <v>0.02</v>
      </c>
      <c r="AB269" s="61">
        <f t="shared" si="150"/>
        <v>0.02</v>
      </c>
      <c r="AC269" s="61">
        <f t="shared" si="150"/>
        <v>0.02</v>
      </c>
      <c r="AD269" s="61">
        <f t="shared" si="150"/>
        <v>0.02</v>
      </c>
      <c r="AE269" s="61">
        <f t="shared" si="150"/>
        <v>0.02</v>
      </c>
      <c r="AF269" s="61">
        <f t="shared" si="150"/>
        <v>0.02</v>
      </c>
      <c r="AG269" s="61">
        <f t="shared" si="150"/>
        <v>0.02</v>
      </c>
      <c r="AH269" s="61">
        <f t="shared" si="150"/>
        <v>0.02</v>
      </c>
      <c r="AI269" s="61">
        <f t="shared" si="150"/>
        <v>0.02</v>
      </c>
      <c r="AJ269" s="61">
        <f t="shared" si="150"/>
        <v>0.02</v>
      </c>
      <c r="AK269" s="61">
        <f t="shared" si="150"/>
        <v>0.02</v>
      </c>
      <c r="AL269" s="61">
        <f t="shared" si="150"/>
        <v>0.02</v>
      </c>
      <c r="AM269" s="61">
        <f t="shared" si="150"/>
        <v>0.02</v>
      </c>
      <c r="AN269" s="61">
        <f t="shared" si="150"/>
        <v>0.02</v>
      </c>
      <c r="AO269" s="61">
        <f t="shared" si="150"/>
        <v>0.02</v>
      </c>
      <c r="AP269" s="61">
        <f t="shared" si="150"/>
        <v>0.02</v>
      </c>
      <c r="AQ269" s="61">
        <f t="shared" si="150"/>
        <v>0.02</v>
      </c>
      <c r="AR269" s="61">
        <f t="shared" si="150"/>
        <v>0.02</v>
      </c>
      <c r="AS269" s="61">
        <f t="shared" si="150"/>
        <v>0.02</v>
      </c>
      <c r="AT269" s="61"/>
    </row>
    <row r="270" spans="1:46">
      <c r="C270" s="8"/>
      <c r="D270" s="8" t="s">
        <v>1414</v>
      </c>
      <c r="E270" s="29"/>
      <c r="F270" s="102">
        <f t="shared" ref="F270:AS270" si="151">ROUND((+F268-F267)*F269/IF(Round_To&gt;Tax_Rounding,Tax_Rounding,Round_To),0)*IF(Round_To&gt;Tax_Rounding,Tax_Rounding,Round_To)</f>
        <v>200</v>
      </c>
      <c r="G270" s="29">
        <f t="shared" si="151"/>
        <v>200</v>
      </c>
      <c r="H270" s="29">
        <f t="shared" si="151"/>
        <v>200</v>
      </c>
      <c r="I270" s="29">
        <f t="shared" si="151"/>
        <v>200</v>
      </c>
      <c r="J270" s="29">
        <f t="shared" si="151"/>
        <v>200</v>
      </c>
      <c r="K270" s="29">
        <f t="shared" si="151"/>
        <v>200</v>
      </c>
      <c r="L270" s="29">
        <f t="shared" si="151"/>
        <v>200</v>
      </c>
      <c r="M270" s="29">
        <f t="shared" si="151"/>
        <v>200</v>
      </c>
      <c r="N270" s="29">
        <f t="shared" si="151"/>
        <v>200</v>
      </c>
      <c r="O270" s="29">
        <f t="shared" si="151"/>
        <v>200</v>
      </c>
      <c r="P270" s="29">
        <f t="shared" si="151"/>
        <v>200</v>
      </c>
      <c r="Q270" s="29">
        <f t="shared" si="151"/>
        <v>300</v>
      </c>
      <c r="R270" s="29">
        <f t="shared" si="151"/>
        <v>300</v>
      </c>
      <c r="S270" s="29">
        <f t="shared" si="151"/>
        <v>300</v>
      </c>
      <c r="T270" s="29">
        <f t="shared" si="151"/>
        <v>300</v>
      </c>
      <c r="U270" s="29">
        <f t="shared" si="151"/>
        <v>300</v>
      </c>
      <c r="V270" s="29">
        <f t="shared" si="151"/>
        <v>300</v>
      </c>
      <c r="W270" s="29">
        <f t="shared" si="151"/>
        <v>300</v>
      </c>
      <c r="X270" s="29">
        <f t="shared" si="151"/>
        <v>300</v>
      </c>
      <c r="Y270" s="29">
        <f t="shared" si="151"/>
        <v>300</v>
      </c>
      <c r="Z270" s="29">
        <f t="shared" si="151"/>
        <v>300</v>
      </c>
      <c r="AA270" s="29">
        <f t="shared" si="151"/>
        <v>300</v>
      </c>
      <c r="AB270" s="29">
        <f t="shared" si="151"/>
        <v>300</v>
      </c>
      <c r="AC270" s="29">
        <f t="shared" si="151"/>
        <v>300</v>
      </c>
      <c r="AD270" s="29">
        <f t="shared" si="151"/>
        <v>300</v>
      </c>
      <c r="AE270" s="29">
        <f t="shared" si="151"/>
        <v>300</v>
      </c>
      <c r="AF270" s="29">
        <f t="shared" si="151"/>
        <v>300</v>
      </c>
      <c r="AG270" s="29">
        <f t="shared" si="151"/>
        <v>400</v>
      </c>
      <c r="AH270" s="29">
        <f t="shared" si="151"/>
        <v>400</v>
      </c>
      <c r="AI270" s="29">
        <f t="shared" si="151"/>
        <v>400</v>
      </c>
      <c r="AJ270" s="29">
        <f t="shared" si="151"/>
        <v>400</v>
      </c>
      <c r="AK270" s="29">
        <f t="shared" si="151"/>
        <v>400</v>
      </c>
      <c r="AL270" s="29">
        <f t="shared" si="151"/>
        <v>400</v>
      </c>
      <c r="AM270" s="29">
        <f t="shared" si="151"/>
        <v>400</v>
      </c>
      <c r="AN270" s="29">
        <f t="shared" si="151"/>
        <v>400</v>
      </c>
      <c r="AO270" s="29">
        <f t="shared" si="151"/>
        <v>400</v>
      </c>
      <c r="AP270" s="29">
        <f t="shared" si="151"/>
        <v>400</v>
      </c>
      <c r="AQ270" s="29">
        <f t="shared" si="151"/>
        <v>400</v>
      </c>
      <c r="AR270" s="29">
        <f t="shared" si="151"/>
        <v>500</v>
      </c>
      <c r="AS270" s="29">
        <f t="shared" si="151"/>
        <v>500</v>
      </c>
      <c r="AT270" s="29"/>
    </row>
    <row r="271" spans="1:46">
      <c r="C271" s="8"/>
      <c r="D271" s="8"/>
      <c r="E271" s="29"/>
      <c r="F271" s="102"/>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row>
    <row r="272" spans="1:46">
      <c r="C272" s="8"/>
      <c r="D272" s="8" t="s">
        <v>1474</v>
      </c>
      <c r="E272" s="29"/>
      <c r="F272" s="110">
        <f>+F268</f>
        <v>10000</v>
      </c>
      <c r="G272" s="29">
        <f>ROUND(+F272*(1+'Tax Tables'!$C$10)/IF(Round_To&gt;Tax_Rounding,Tax_Rounding,Round_To),0)*IF(Round_To&gt;Tax_Rounding,Tax_Rounding,Round_To)</f>
        <v>10200</v>
      </c>
      <c r="H272" s="29">
        <f>ROUND(+G272*(1+'Tax Tables'!$C$10)/IF(Round_To&gt;Tax_Rounding,Tax_Rounding,Round_To),0)*IF(Round_To&gt;Tax_Rounding,Tax_Rounding,Round_To)</f>
        <v>10400</v>
      </c>
      <c r="I272" s="29">
        <f>ROUND(+H272*(1+'Tax Tables'!$C$10)/IF(Round_To&gt;Tax_Rounding,Tax_Rounding,Round_To),0)*IF(Round_To&gt;Tax_Rounding,Tax_Rounding,Round_To)</f>
        <v>10600</v>
      </c>
      <c r="J272" s="29">
        <f>ROUND(+I272*(1+'Tax Tables'!$C$10)/IF(Round_To&gt;Tax_Rounding,Tax_Rounding,Round_To),0)*IF(Round_To&gt;Tax_Rounding,Tax_Rounding,Round_To)</f>
        <v>10800</v>
      </c>
      <c r="K272" s="29">
        <f>ROUND(+J272*(1+'Tax Tables'!$C$10)/IF(Round_To&gt;Tax_Rounding,Tax_Rounding,Round_To),0)*IF(Round_To&gt;Tax_Rounding,Tax_Rounding,Round_To)</f>
        <v>11000</v>
      </c>
      <c r="L272" s="29">
        <f>ROUND(+K272*(1+'Tax Tables'!$C$10)/IF(Round_To&gt;Tax_Rounding,Tax_Rounding,Round_To),0)*IF(Round_To&gt;Tax_Rounding,Tax_Rounding,Round_To)</f>
        <v>11200</v>
      </c>
      <c r="M272" s="29">
        <f>ROUND(+L272*(1+'Tax Tables'!$C$10)/IF(Round_To&gt;Tax_Rounding,Tax_Rounding,Round_To),0)*IF(Round_To&gt;Tax_Rounding,Tax_Rounding,Round_To)</f>
        <v>11400</v>
      </c>
      <c r="N272" s="29">
        <f>ROUND(+M272*(1+'Tax Tables'!$C$10)/IF(Round_To&gt;Tax_Rounding,Tax_Rounding,Round_To),0)*IF(Round_To&gt;Tax_Rounding,Tax_Rounding,Round_To)</f>
        <v>11700</v>
      </c>
      <c r="O272" s="29">
        <f>ROUND(+N272*(1+'Tax Tables'!$C$10)/IF(Round_To&gt;Tax_Rounding,Tax_Rounding,Round_To),0)*IF(Round_To&gt;Tax_Rounding,Tax_Rounding,Round_To)</f>
        <v>12000</v>
      </c>
      <c r="P272" s="29">
        <f>ROUND(+O272*(1+'Tax Tables'!$C$10)/IF(Round_To&gt;Tax_Rounding,Tax_Rounding,Round_To),0)*IF(Round_To&gt;Tax_Rounding,Tax_Rounding,Round_To)</f>
        <v>12300</v>
      </c>
      <c r="Q272" s="29">
        <f>ROUND(+P272*(1+'Tax Tables'!$C$10)/IF(Round_To&gt;Tax_Rounding,Tax_Rounding,Round_To),0)*IF(Round_To&gt;Tax_Rounding,Tax_Rounding,Round_To)</f>
        <v>12600</v>
      </c>
      <c r="R272" s="29">
        <f>ROUND(+Q272*(1+'Tax Tables'!$C$10)/IF(Round_To&gt;Tax_Rounding,Tax_Rounding,Round_To),0)*IF(Round_To&gt;Tax_Rounding,Tax_Rounding,Round_To)</f>
        <v>12900</v>
      </c>
      <c r="S272" s="29">
        <f>ROUND(+R272*(1+'Tax Tables'!$C$10)/IF(Round_To&gt;Tax_Rounding,Tax_Rounding,Round_To),0)*IF(Round_To&gt;Tax_Rounding,Tax_Rounding,Round_To)</f>
        <v>13200</v>
      </c>
      <c r="T272" s="29">
        <f>ROUND(+S272*(1+'Tax Tables'!$C$10)/IF(Round_To&gt;Tax_Rounding,Tax_Rounding,Round_To),0)*IF(Round_To&gt;Tax_Rounding,Tax_Rounding,Round_To)</f>
        <v>13500</v>
      </c>
      <c r="U272" s="29">
        <f>ROUND(+T272*(1+'Tax Tables'!$C$10)/IF(Round_To&gt;Tax_Rounding,Tax_Rounding,Round_To),0)*IF(Round_To&gt;Tax_Rounding,Tax_Rounding,Round_To)</f>
        <v>13800</v>
      </c>
      <c r="V272" s="29">
        <f>ROUND(+U272*(1+'Tax Tables'!$C$10)/IF(Round_To&gt;Tax_Rounding,Tax_Rounding,Round_To),0)*IF(Round_To&gt;Tax_Rounding,Tax_Rounding,Round_To)</f>
        <v>14100</v>
      </c>
      <c r="W272" s="29">
        <f>ROUND(+V272*(1+'Tax Tables'!$C$10)/IF(Round_To&gt;Tax_Rounding,Tax_Rounding,Round_To),0)*IF(Round_To&gt;Tax_Rounding,Tax_Rounding,Round_To)</f>
        <v>14400</v>
      </c>
      <c r="X272" s="29">
        <f>ROUND(+W272*(1+'Tax Tables'!$C$10)/IF(Round_To&gt;Tax_Rounding,Tax_Rounding,Round_To),0)*IF(Round_To&gt;Tax_Rounding,Tax_Rounding,Round_To)</f>
        <v>14700</v>
      </c>
      <c r="Y272" s="29">
        <f>ROUND(+X272*(1+'Tax Tables'!$C$10)/IF(Round_To&gt;Tax_Rounding,Tax_Rounding,Round_To),0)*IF(Round_To&gt;Tax_Rounding,Tax_Rounding,Round_To)</f>
        <v>15000</v>
      </c>
      <c r="Z272" s="29">
        <f>ROUND(+Y272*(1+'Tax Tables'!$C$10)/IF(Round_To&gt;Tax_Rounding,Tax_Rounding,Round_To),0)*IF(Round_To&gt;Tax_Rounding,Tax_Rounding,Round_To)</f>
        <v>15300</v>
      </c>
      <c r="AA272" s="29">
        <f>ROUND(+Z272*(1+'Tax Tables'!$C$10)/IF(Round_To&gt;Tax_Rounding,Tax_Rounding,Round_To),0)*IF(Round_To&gt;Tax_Rounding,Tax_Rounding,Round_To)</f>
        <v>15600</v>
      </c>
      <c r="AB272" s="29">
        <f>ROUND(+AA272*(1+'Tax Tables'!$C$10)/IF(Round_To&gt;Tax_Rounding,Tax_Rounding,Round_To),0)*IF(Round_To&gt;Tax_Rounding,Tax_Rounding,Round_To)</f>
        <v>15900</v>
      </c>
      <c r="AC272" s="29">
        <f>ROUND(+AB272*(1+'Tax Tables'!$C$10)/IF(Round_To&gt;Tax_Rounding,Tax_Rounding,Round_To),0)*IF(Round_To&gt;Tax_Rounding,Tax_Rounding,Round_To)</f>
        <v>16200</v>
      </c>
      <c r="AD272" s="29">
        <f>ROUND(+AC272*(1+'Tax Tables'!$C$10)/IF(Round_To&gt;Tax_Rounding,Tax_Rounding,Round_To),0)*IF(Round_To&gt;Tax_Rounding,Tax_Rounding,Round_To)</f>
        <v>16600</v>
      </c>
      <c r="AE272" s="29">
        <f>ROUND(+AD272*(1+'Tax Tables'!$C$10)/IF(Round_To&gt;Tax_Rounding,Tax_Rounding,Round_To),0)*IF(Round_To&gt;Tax_Rounding,Tax_Rounding,Round_To)</f>
        <v>17000</v>
      </c>
      <c r="AF272" s="29">
        <f>ROUND(+AE272*(1+'Tax Tables'!$C$10)/IF(Round_To&gt;Tax_Rounding,Tax_Rounding,Round_To),0)*IF(Round_To&gt;Tax_Rounding,Tax_Rounding,Round_To)</f>
        <v>17400</v>
      </c>
      <c r="AG272" s="29">
        <f>ROUND(+AF272*(1+'Tax Tables'!$C$10)/IF(Round_To&gt;Tax_Rounding,Tax_Rounding,Round_To),0)*IF(Round_To&gt;Tax_Rounding,Tax_Rounding,Round_To)</f>
        <v>17800</v>
      </c>
      <c r="AH272" s="29">
        <f>ROUND(+AG272*(1+'Tax Tables'!$C$10)/IF(Round_To&gt;Tax_Rounding,Tax_Rounding,Round_To),0)*IF(Round_To&gt;Tax_Rounding,Tax_Rounding,Round_To)</f>
        <v>18200</v>
      </c>
      <c r="AI272" s="29">
        <f>ROUND(+AH272*(1+'Tax Tables'!$C$10)/IF(Round_To&gt;Tax_Rounding,Tax_Rounding,Round_To),0)*IF(Round_To&gt;Tax_Rounding,Tax_Rounding,Round_To)</f>
        <v>18600</v>
      </c>
      <c r="AJ272" s="29">
        <f>ROUND(+AI272*(1+'Tax Tables'!$C$10)/IF(Round_To&gt;Tax_Rounding,Tax_Rounding,Round_To),0)*IF(Round_To&gt;Tax_Rounding,Tax_Rounding,Round_To)</f>
        <v>19000</v>
      </c>
      <c r="AK272" s="29">
        <f>ROUND(+AJ272*(1+'Tax Tables'!$C$10)/IF(Round_To&gt;Tax_Rounding,Tax_Rounding,Round_To),0)*IF(Round_To&gt;Tax_Rounding,Tax_Rounding,Round_To)</f>
        <v>19400</v>
      </c>
      <c r="AL272" s="29">
        <f>ROUND(+AK272*(1+'Tax Tables'!$C$10)/IF(Round_To&gt;Tax_Rounding,Tax_Rounding,Round_To),0)*IF(Round_To&gt;Tax_Rounding,Tax_Rounding,Round_To)</f>
        <v>19800</v>
      </c>
      <c r="AM272" s="29">
        <f>ROUND(+AL272*(1+'Tax Tables'!$C$10)/IF(Round_To&gt;Tax_Rounding,Tax_Rounding,Round_To),0)*IF(Round_To&gt;Tax_Rounding,Tax_Rounding,Round_To)</f>
        <v>20200</v>
      </c>
      <c r="AN272" s="29">
        <f>ROUND(+AM272*(1+'Tax Tables'!$C$10)/IF(Round_To&gt;Tax_Rounding,Tax_Rounding,Round_To),0)*IF(Round_To&gt;Tax_Rounding,Tax_Rounding,Round_To)</f>
        <v>20600</v>
      </c>
      <c r="AO272" s="29">
        <f>ROUND(+AN272*(1+'Tax Tables'!$C$10)/IF(Round_To&gt;Tax_Rounding,Tax_Rounding,Round_To),0)*IF(Round_To&gt;Tax_Rounding,Tax_Rounding,Round_To)</f>
        <v>21100</v>
      </c>
      <c r="AP272" s="29">
        <f>ROUND(+AO272*(1+'Tax Tables'!$C$10)/IF(Round_To&gt;Tax_Rounding,Tax_Rounding,Round_To),0)*IF(Round_To&gt;Tax_Rounding,Tax_Rounding,Round_To)</f>
        <v>21600</v>
      </c>
      <c r="AQ272" s="29">
        <f>ROUND(+AP272*(1+'Tax Tables'!$C$10)/IF(Round_To&gt;Tax_Rounding,Tax_Rounding,Round_To),0)*IF(Round_To&gt;Tax_Rounding,Tax_Rounding,Round_To)</f>
        <v>22100</v>
      </c>
      <c r="AR272" s="29">
        <f>ROUND(+AQ272*(1+'Tax Tables'!$C$10)/IF(Round_To&gt;Tax_Rounding,Tax_Rounding,Round_To),0)*IF(Round_To&gt;Tax_Rounding,Tax_Rounding,Round_To)</f>
        <v>22600</v>
      </c>
      <c r="AS272" s="29">
        <f>ROUND(+AR272*(1+'Tax Tables'!$C$10)/IF(Round_To&gt;Tax_Rounding,Tax_Rounding,Round_To),0)*IF(Round_To&gt;Tax_Rounding,Tax_Rounding,Round_To)</f>
        <v>23100</v>
      </c>
      <c r="AT272" s="29"/>
    </row>
    <row r="273" spans="2:46">
      <c r="C273" s="8"/>
      <c r="D273" s="8" t="s">
        <v>1475</v>
      </c>
      <c r="E273" s="224"/>
      <c r="F273" s="731">
        <f>+State_Br_Amt2</f>
        <v>30000</v>
      </c>
      <c r="G273" s="29">
        <f>ROUND(+F273*(1+'Tax Tables'!$C$10)/IF(Round_To&gt;Tax_Rounding,Tax_Rounding,Round_To),0)*IF(Round_To&gt;Tax_Rounding,Tax_Rounding,Round_To)</f>
        <v>30700</v>
      </c>
      <c r="H273" s="29">
        <f>ROUND(+G273*(1+'Tax Tables'!$C$10)/IF(Round_To&gt;Tax_Rounding,Tax_Rounding,Round_To),0)*IF(Round_To&gt;Tax_Rounding,Tax_Rounding,Round_To)</f>
        <v>31400</v>
      </c>
      <c r="I273" s="29">
        <f>ROUND(+H273*(1+'Tax Tables'!$C$10)/IF(Round_To&gt;Tax_Rounding,Tax_Rounding,Round_To),0)*IF(Round_To&gt;Tax_Rounding,Tax_Rounding,Round_To)</f>
        <v>32100</v>
      </c>
      <c r="J273" s="29">
        <f>ROUND(+I273*(1+'Tax Tables'!$C$10)/IF(Round_To&gt;Tax_Rounding,Tax_Rounding,Round_To),0)*IF(Round_To&gt;Tax_Rounding,Tax_Rounding,Round_To)</f>
        <v>32800</v>
      </c>
      <c r="K273" s="29">
        <f>ROUND(+J273*(1+'Tax Tables'!$C$10)/IF(Round_To&gt;Tax_Rounding,Tax_Rounding,Round_To),0)*IF(Round_To&gt;Tax_Rounding,Tax_Rounding,Round_To)</f>
        <v>33500</v>
      </c>
      <c r="L273" s="29">
        <f>ROUND(+K273*(1+'Tax Tables'!$C$10)/IF(Round_To&gt;Tax_Rounding,Tax_Rounding,Round_To),0)*IF(Round_To&gt;Tax_Rounding,Tax_Rounding,Round_To)</f>
        <v>34200</v>
      </c>
      <c r="M273" s="29">
        <f>ROUND(+L273*(1+'Tax Tables'!$C$10)/IF(Round_To&gt;Tax_Rounding,Tax_Rounding,Round_To),0)*IF(Round_To&gt;Tax_Rounding,Tax_Rounding,Round_To)</f>
        <v>35000</v>
      </c>
      <c r="N273" s="29">
        <f>ROUND(+M273*(1+'Tax Tables'!$C$10)/IF(Round_To&gt;Tax_Rounding,Tax_Rounding,Round_To),0)*IF(Round_To&gt;Tax_Rounding,Tax_Rounding,Round_To)</f>
        <v>35800</v>
      </c>
      <c r="O273" s="29">
        <f>ROUND(+N273*(1+'Tax Tables'!$C$10)/IF(Round_To&gt;Tax_Rounding,Tax_Rounding,Round_To),0)*IF(Round_To&gt;Tax_Rounding,Tax_Rounding,Round_To)</f>
        <v>36600</v>
      </c>
      <c r="P273" s="29">
        <f>ROUND(+O273*(1+'Tax Tables'!$C$10)/IF(Round_To&gt;Tax_Rounding,Tax_Rounding,Round_To),0)*IF(Round_To&gt;Tax_Rounding,Tax_Rounding,Round_To)</f>
        <v>37400</v>
      </c>
      <c r="Q273" s="29">
        <f>ROUND(+P273*(1+'Tax Tables'!$C$10)/IF(Round_To&gt;Tax_Rounding,Tax_Rounding,Round_To),0)*IF(Round_To&gt;Tax_Rounding,Tax_Rounding,Round_To)</f>
        <v>38200</v>
      </c>
      <c r="R273" s="29">
        <f>ROUND(+Q273*(1+'Tax Tables'!$C$10)/IF(Round_To&gt;Tax_Rounding,Tax_Rounding,Round_To),0)*IF(Round_To&gt;Tax_Rounding,Tax_Rounding,Round_To)</f>
        <v>39000</v>
      </c>
      <c r="S273" s="29">
        <f>ROUND(+R273*(1+'Tax Tables'!$C$10)/IF(Round_To&gt;Tax_Rounding,Tax_Rounding,Round_To),0)*IF(Round_To&gt;Tax_Rounding,Tax_Rounding,Round_To)</f>
        <v>39900</v>
      </c>
      <c r="T273" s="29">
        <f>ROUND(+S273*(1+'Tax Tables'!$C$10)/IF(Round_To&gt;Tax_Rounding,Tax_Rounding,Round_To),0)*IF(Round_To&gt;Tax_Rounding,Tax_Rounding,Round_To)</f>
        <v>40800</v>
      </c>
      <c r="U273" s="29">
        <f>ROUND(+T273*(1+'Tax Tables'!$C$10)/IF(Round_To&gt;Tax_Rounding,Tax_Rounding,Round_To),0)*IF(Round_To&gt;Tax_Rounding,Tax_Rounding,Round_To)</f>
        <v>41700</v>
      </c>
      <c r="V273" s="29">
        <f>ROUND(+U273*(1+'Tax Tables'!$C$10)/IF(Round_To&gt;Tax_Rounding,Tax_Rounding,Round_To),0)*IF(Round_To&gt;Tax_Rounding,Tax_Rounding,Round_To)</f>
        <v>42600</v>
      </c>
      <c r="W273" s="29">
        <f>ROUND(+V273*(1+'Tax Tables'!$C$10)/IF(Round_To&gt;Tax_Rounding,Tax_Rounding,Round_To),0)*IF(Round_To&gt;Tax_Rounding,Tax_Rounding,Round_To)</f>
        <v>43500</v>
      </c>
      <c r="X273" s="29">
        <f>ROUND(+W273*(1+'Tax Tables'!$C$10)/IF(Round_To&gt;Tax_Rounding,Tax_Rounding,Round_To),0)*IF(Round_To&gt;Tax_Rounding,Tax_Rounding,Round_To)</f>
        <v>44500</v>
      </c>
      <c r="Y273" s="29">
        <f>ROUND(+X273*(1+'Tax Tables'!$C$10)/IF(Round_To&gt;Tax_Rounding,Tax_Rounding,Round_To),0)*IF(Round_To&gt;Tax_Rounding,Tax_Rounding,Round_To)</f>
        <v>45500</v>
      </c>
      <c r="Z273" s="29">
        <f>ROUND(+Y273*(1+'Tax Tables'!$C$10)/IF(Round_To&gt;Tax_Rounding,Tax_Rounding,Round_To),0)*IF(Round_To&gt;Tax_Rounding,Tax_Rounding,Round_To)</f>
        <v>46500</v>
      </c>
      <c r="AA273" s="29">
        <f>ROUND(+Z273*(1+'Tax Tables'!$C$10)/IF(Round_To&gt;Tax_Rounding,Tax_Rounding,Round_To),0)*IF(Round_To&gt;Tax_Rounding,Tax_Rounding,Round_To)</f>
        <v>47500</v>
      </c>
      <c r="AB273" s="29">
        <f>ROUND(+AA273*(1+'Tax Tables'!$C$10)/IF(Round_To&gt;Tax_Rounding,Tax_Rounding,Round_To),0)*IF(Round_To&gt;Tax_Rounding,Tax_Rounding,Round_To)</f>
        <v>48500</v>
      </c>
      <c r="AC273" s="29">
        <f>ROUND(+AB273*(1+'Tax Tables'!$C$10)/IF(Round_To&gt;Tax_Rounding,Tax_Rounding,Round_To),0)*IF(Round_To&gt;Tax_Rounding,Tax_Rounding,Round_To)</f>
        <v>49600</v>
      </c>
      <c r="AD273" s="29">
        <f>ROUND(+AC273*(1+'Tax Tables'!$C$10)/IF(Round_To&gt;Tax_Rounding,Tax_Rounding,Round_To),0)*IF(Round_To&gt;Tax_Rounding,Tax_Rounding,Round_To)</f>
        <v>50700</v>
      </c>
      <c r="AE273" s="29">
        <f>ROUND(+AD273*(1+'Tax Tables'!$C$10)/IF(Round_To&gt;Tax_Rounding,Tax_Rounding,Round_To),0)*IF(Round_To&gt;Tax_Rounding,Tax_Rounding,Round_To)</f>
        <v>51800</v>
      </c>
      <c r="AF273" s="29">
        <f>ROUND(+AE273*(1+'Tax Tables'!$C$10)/IF(Round_To&gt;Tax_Rounding,Tax_Rounding,Round_To),0)*IF(Round_To&gt;Tax_Rounding,Tax_Rounding,Round_To)</f>
        <v>52900</v>
      </c>
      <c r="AG273" s="29">
        <f>ROUND(+AF273*(1+'Tax Tables'!$C$10)/IF(Round_To&gt;Tax_Rounding,Tax_Rounding,Round_To),0)*IF(Round_To&gt;Tax_Rounding,Tax_Rounding,Round_To)</f>
        <v>54100</v>
      </c>
      <c r="AH273" s="29">
        <f>ROUND(+AG273*(1+'Tax Tables'!$C$10)/IF(Round_To&gt;Tax_Rounding,Tax_Rounding,Round_To),0)*IF(Round_To&gt;Tax_Rounding,Tax_Rounding,Round_To)</f>
        <v>55300</v>
      </c>
      <c r="AI273" s="29">
        <f>ROUND(+AH273*(1+'Tax Tables'!$C$10)/IF(Round_To&gt;Tax_Rounding,Tax_Rounding,Round_To),0)*IF(Round_To&gt;Tax_Rounding,Tax_Rounding,Round_To)</f>
        <v>56500</v>
      </c>
      <c r="AJ273" s="29">
        <f>ROUND(+AI273*(1+'Tax Tables'!$C$10)/IF(Round_To&gt;Tax_Rounding,Tax_Rounding,Round_To),0)*IF(Round_To&gt;Tax_Rounding,Tax_Rounding,Round_To)</f>
        <v>57700</v>
      </c>
      <c r="AK273" s="29">
        <f>ROUND(+AJ273*(1+'Tax Tables'!$C$10)/IF(Round_To&gt;Tax_Rounding,Tax_Rounding,Round_To),0)*IF(Round_To&gt;Tax_Rounding,Tax_Rounding,Round_To)</f>
        <v>59000</v>
      </c>
      <c r="AL273" s="29">
        <f>ROUND(+AK273*(1+'Tax Tables'!$C$10)/IF(Round_To&gt;Tax_Rounding,Tax_Rounding,Round_To),0)*IF(Round_To&gt;Tax_Rounding,Tax_Rounding,Round_To)</f>
        <v>60300</v>
      </c>
      <c r="AM273" s="29">
        <f>ROUND(+AL273*(1+'Tax Tables'!$C$10)/IF(Round_To&gt;Tax_Rounding,Tax_Rounding,Round_To),0)*IF(Round_To&gt;Tax_Rounding,Tax_Rounding,Round_To)</f>
        <v>61600</v>
      </c>
      <c r="AN273" s="29">
        <f>ROUND(+AM273*(1+'Tax Tables'!$C$10)/IF(Round_To&gt;Tax_Rounding,Tax_Rounding,Round_To),0)*IF(Round_To&gt;Tax_Rounding,Tax_Rounding,Round_To)</f>
        <v>63000</v>
      </c>
      <c r="AO273" s="29">
        <f>ROUND(+AN273*(1+'Tax Tables'!$C$10)/IF(Round_To&gt;Tax_Rounding,Tax_Rounding,Round_To),0)*IF(Round_To&gt;Tax_Rounding,Tax_Rounding,Round_To)</f>
        <v>64400</v>
      </c>
      <c r="AP273" s="29">
        <f>ROUND(+AO273*(1+'Tax Tables'!$C$10)/IF(Round_To&gt;Tax_Rounding,Tax_Rounding,Round_To),0)*IF(Round_To&gt;Tax_Rounding,Tax_Rounding,Round_To)</f>
        <v>65800</v>
      </c>
      <c r="AQ273" s="29">
        <f>ROUND(+AP273*(1+'Tax Tables'!$C$10)/IF(Round_To&gt;Tax_Rounding,Tax_Rounding,Round_To),0)*IF(Round_To&gt;Tax_Rounding,Tax_Rounding,Round_To)</f>
        <v>67200</v>
      </c>
      <c r="AR273" s="29">
        <f>ROUND(+AQ273*(1+'Tax Tables'!$C$10)/IF(Round_To&gt;Tax_Rounding,Tax_Rounding,Round_To),0)*IF(Round_To&gt;Tax_Rounding,Tax_Rounding,Round_To)</f>
        <v>68700</v>
      </c>
      <c r="AS273" s="29">
        <f>ROUND(+AR273*(1+'Tax Tables'!$C$10)/IF(Round_To&gt;Tax_Rounding,Tax_Rounding,Round_To),0)*IF(Round_To&gt;Tax_Rounding,Tax_Rounding,Round_To)</f>
        <v>70200</v>
      </c>
      <c r="AT273" s="29"/>
    </row>
    <row r="274" spans="2:46">
      <c r="C274" s="8"/>
      <c r="D274" s="8" t="s">
        <v>1476</v>
      </c>
      <c r="E274" s="226"/>
      <c r="F274" s="823">
        <f>+State_Br_Per2</f>
        <v>0.03</v>
      </c>
      <c r="G274" s="61">
        <f>+F274</f>
        <v>0.03</v>
      </c>
      <c r="H274" s="61">
        <f t="shared" ref="H274:AS274" si="152">+G274</f>
        <v>0.03</v>
      </c>
      <c r="I274" s="61">
        <f t="shared" si="152"/>
        <v>0.03</v>
      </c>
      <c r="J274" s="61">
        <f t="shared" si="152"/>
        <v>0.03</v>
      </c>
      <c r="K274" s="61">
        <f t="shared" si="152"/>
        <v>0.03</v>
      </c>
      <c r="L274" s="61">
        <f t="shared" si="152"/>
        <v>0.03</v>
      </c>
      <c r="M274" s="61">
        <f t="shared" si="152"/>
        <v>0.03</v>
      </c>
      <c r="N274" s="61">
        <f t="shared" si="152"/>
        <v>0.03</v>
      </c>
      <c r="O274" s="61">
        <f t="shared" si="152"/>
        <v>0.03</v>
      </c>
      <c r="P274" s="61">
        <f t="shared" si="152"/>
        <v>0.03</v>
      </c>
      <c r="Q274" s="61">
        <f t="shared" si="152"/>
        <v>0.03</v>
      </c>
      <c r="R274" s="61">
        <f t="shared" si="152"/>
        <v>0.03</v>
      </c>
      <c r="S274" s="61">
        <f t="shared" si="152"/>
        <v>0.03</v>
      </c>
      <c r="T274" s="61">
        <f t="shared" si="152"/>
        <v>0.03</v>
      </c>
      <c r="U274" s="61">
        <f t="shared" si="152"/>
        <v>0.03</v>
      </c>
      <c r="V274" s="61">
        <f t="shared" si="152"/>
        <v>0.03</v>
      </c>
      <c r="W274" s="61">
        <f t="shared" si="152"/>
        <v>0.03</v>
      </c>
      <c r="X274" s="61">
        <f t="shared" si="152"/>
        <v>0.03</v>
      </c>
      <c r="Y274" s="61">
        <f t="shared" si="152"/>
        <v>0.03</v>
      </c>
      <c r="Z274" s="61">
        <f t="shared" si="152"/>
        <v>0.03</v>
      </c>
      <c r="AA274" s="61">
        <f t="shared" si="152"/>
        <v>0.03</v>
      </c>
      <c r="AB274" s="61">
        <f t="shared" si="152"/>
        <v>0.03</v>
      </c>
      <c r="AC274" s="61">
        <f t="shared" si="152"/>
        <v>0.03</v>
      </c>
      <c r="AD274" s="61">
        <f t="shared" si="152"/>
        <v>0.03</v>
      </c>
      <c r="AE274" s="61">
        <f t="shared" si="152"/>
        <v>0.03</v>
      </c>
      <c r="AF274" s="61">
        <f t="shared" si="152"/>
        <v>0.03</v>
      </c>
      <c r="AG274" s="61">
        <f t="shared" si="152"/>
        <v>0.03</v>
      </c>
      <c r="AH274" s="61">
        <f t="shared" si="152"/>
        <v>0.03</v>
      </c>
      <c r="AI274" s="61">
        <f t="shared" si="152"/>
        <v>0.03</v>
      </c>
      <c r="AJ274" s="61">
        <f t="shared" si="152"/>
        <v>0.03</v>
      </c>
      <c r="AK274" s="61">
        <f t="shared" si="152"/>
        <v>0.03</v>
      </c>
      <c r="AL274" s="61">
        <f t="shared" si="152"/>
        <v>0.03</v>
      </c>
      <c r="AM274" s="61">
        <f t="shared" si="152"/>
        <v>0.03</v>
      </c>
      <c r="AN274" s="61">
        <f t="shared" si="152"/>
        <v>0.03</v>
      </c>
      <c r="AO274" s="61">
        <f t="shared" si="152"/>
        <v>0.03</v>
      </c>
      <c r="AP274" s="61">
        <f t="shared" si="152"/>
        <v>0.03</v>
      </c>
      <c r="AQ274" s="61">
        <f t="shared" si="152"/>
        <v>0.03</v>
      </c>
      <c r="AR274" s="61">
        <f t="shared" si="152"/>
        <v>0.03</v>
      </c>
      <c r="AS274" s="61">
        <f t="shared" si="152"/>
        <v>0.03</v>
      </c>
      <c r="AT274" s="61"/>
    </row>
    <row r="275" spans="2:46">
      <c r="C275" s="8"/>
      <c r="D275" s="8" t="s">
        <v>1414</v>
      </c>
      <c r="E275" s="29"/>
      <c r="F275" s="102">
        <f t="shared" ref="F275:AS275" si="153">ROUND((+F273-F272)*F274/IF(Round_To&gt;Tax_Rounding,Tax_Rounding,Round_To),0)*IF(Round_To&gt;Tax_Rounding,Tax_Rounding,Round_To)</f>
        <v>600</v>
      </c>
      <c r="G275" s="29">
        <f t="shared" si="153"/>
        <v>600</v>
      </c>
      <c r="H275" s="29">
        <f t="shared" si="153"/>
        <v>600</v>
      </c>
      <c r="I275" s="29">
        <f t="shared" si="153"/>
        <v>600</v>
      </c>
      <c r="J275" s="29">
        <f t="shared" si="153"/>
        <v>700</v>
      </c>
      <c r="K275" s="29">
        <f t="shared" si="153"/>
        <v>700</v>
      </c>
      <c r="L275" s="29">
        <f t="shared" si="153"/>
        <v>700</v>
      </c>
      <c r="M275" s="29">
        <f t="shared" si="153"/>
        <v>700</v>
      </c>
      <c r="N275" s="29">
        <f t="shared" si="153"/>
        <v>700</v>
      </c>
      <c r="O275" s="29">
        <f t="shared" si="153"/>
        <v>700</v>
      </c>
      <c r="P275" s="29">
        <f t="shared" si="153"/>
        <v>800</v>
      </c>
      <c r="Q275" s="29">
        <f t="shared" si="153"/>
        <v>800</v>
      </c>
      <c r="R275" s="29">
        <f t="shared" si="153"/>
        <v>800</v>
      </c>
      <c r="S275" s="29">
        <f t="shared" si="153"/>
        <v>800</v>
      </c>
      <c r="T275" s="29">
        <f t="shared" si="153"/>
        <v>800</v>
      </c>
      <c r="U275" s="29">
        <f t="shared" si="153"/>
        <v>800</v>
      </c>
      <c r="V275" s="29">
        <f t="shared" si="153"/>
        <v>900</v>
      </c>
      <c r="W275" s="29">
        <f t="shared" si="153"/>
        <v>900</v>
      </c>
      <c r="X275" s="29">
        <f t="shared" si="153"/>
        <v>900</v>
      </c>
      <c r="Y275" s="29">
        <f t="shared" si="153"/>
        <v>900</v>
      </c>
      <c r="Z275" s="29">
        <f t="shared" si="153"/>
        <v>900</v>
      </c>
      <c r="AA275" s="29">
        <f t="shared" si="153"/>
        <v>1000</v>
      </c>
      <c r="AB275" s="29">
        <f t="shared" si="153"/>
        <v>1000</v>
      </c>
      <c r="AC275" s="29">
        <f t="shared" si="153"/>
        <v>1000</v>
      </c>
      <c r="AD275" s="29">
        <f t="shared" si="153"/>
        <v>1000</v>
      </c>
      <c r="AE275" s="29">
        <f t="shared" si="153"/>
        <v>1000</v>
      </c>
      <c r="AF275" s="29">
        <f t="shared" si="153"/>
        <v>1100</v>
      </c>
      <c r="AG275" s="29">
        <f t="shared" si="153"/>
        <v>1100</v>
      </c>
      <c r="AH275" s="29">
        <f t="shared" si="153"/>
        <v>1100</v>
      </c>
      <c r="AI275" s="29">
        <f t="shared" si="153"/>
        <v>1100</v>
      </c>
      <c r="AJ275" s="29">
        <f t="shared" si="153"/>
        <v>1200</v>
      </c>
      <c r="AK275" s="29">
        <f t="shared" si="153"/>
        <v>1200</v>
      </c>
      <c r="AL275" s="29">
        <f t="shared" si="153"/>
        <v>1200</v>
      </c>
      <c r="AM275" s="29">
        <f t="shared" si="153"/>
        <v>1200</v>
      </c>
      <c r="AN275" s="29">
        <f t="shared" si="153"/>
        <v>1300</v>
      </c>
      <c r="AO275" s="29">
        <f t="shared" si="153"/>
        <v>1300</v>
      </c>
      <c r="AP275" s="29">
        <f t="shared" si="153"/>
        <v>1300</v>
      </c>
      <c r="AQ275" s="29">
        <f t="shared" si="153"/>
        <v>1400</v>
      </c>
      <c r="AR275" s="29">
        <f t="shared" si="153"/>
        <v>1400</v>
      </c>
      <c r="AS275" s="29">
        <f t="shared" si="153"/>
        <v>1400</v>
      </c>
      <c r="AT275" s="29"/>
    </row>
    <row r="276" spans="2:46">
      <c r="C276" s="8"/>
      <c r="D276" s="8"/>
      <c r="E276" s="29"/>
      <c r="F276" s="102"/>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row>
    <row r="277" spans="2:46">
      <c r="C277" s="8"/>
      <c r="D277" s="8" t="s">
        <v>1474</v>
      </c>
      <c r="E277" s="29"/>
      <c r="F277" s="110">
        <f>+F273</f>
        <v>30000</v>
      </c>
      <c r="G277" s="29">
        <f>ROUND(+F277*(1+'Tax Tables'!$C$10)/IF(Round_To&gt;Tax_Rounding,Tax_Rounding,Round_To),0)*IF(Round_To&gt;Tax_Rounding,Tax_Rounding,Round_To)</f>
        <v>30700</v>
      </c>
      <c r="H277" s="29">
        <f>ROUND(+G277*(1+'Tax Tables'!$C$10)/IF(Round_To&gt;Tax_Rounding,Tax_Rounding,Round_To),0)*IF(Round_To&gt;Tax_Rounding,Tax_Rounding,Round_To)</f>
        <v>31400</v>
      </c>
      <c r="I277" s="29">
        <f>ROUND(+H277*(1+'Tax Tables'!$C$10)/IF(Round_To&gt;Tax_Rounding,Tax_Rounding,Round_To),0)*IF(Round_To&gt;Tax_Rounding,Tax_Rounding,Round_To)</f>
        <v>32100</v>
      </c>
      <c r="J277" s="29">
        <f>ROUND(+I277*(1+'Tax Tables'!$C$10)/IF(Round_To&gt;Tax_Rounding,Tax_Rounding,Round_To),0)*IF(Round_To&gt;Tax_Rounding,Tax_Rounding,Round_To)</f>
        <v>32800</v>
      </c>
      <c r="K277" s="29">
        <f>ROUND(+J277*(1+'Tax Tables'!$C$10)/IF(Round_To&gt;Tax_Rounding,Tax_Rounding,Round_To),0)*IF(Round_To&gt;Tax_Rounding,Tax_Rounding,Round_To)</f>
        <v>33500</v>
      </c>
      <c r="L277" s="29">
        <f>ROUND(+K277*(1+'Tax Tables'!$C$10)/IF(Round_To&gt;Tax_Rounding,Tax_Rounding,Round_To),0)*IF(Round_To&gt;Tax_Rounding,Tax_Rounding,Round_To)</f>
        <v>34200</v>
      </c>
      <c r="M277" s="29">
        <f>ROUND(+L277*(1+'Tax Tables'!$C$10)/IF(Round_To&gt;Tax_Rounding,Tax_Rounding,Round_To),0)*IF(Round_To&gt;Tax_Rounding,Tax_Rounding,Round_To)</f>
        <v>35000</v>
      </c>
      <c r="N277" s="29">
        <f>ROUND(+M277*(1+'Tax Tables'!$C$10)/IF(Round_To&gt;Tax_Rounding,Tax_Rounding,Round_To),0)*IF(Round_To&gt;Tax_Rounding,Tax_Rounding,Round_To)</f>
        <v>35800</v>
      </c>
      <c r="O277" s="29">
        <f>ROUND(+N277*(1+'Tax Tables'!$C$10)/IF(Round_To&gt;Tax_Rounding,Tax_Rounding,Round_To),0)*IF(Round_To&gt;Tax_Rounding,Tax_Rounding,Round_To)</f>
        <v>36600</v>
      </c>
      <c r="P277" s="29">
        <f>ROUND(+O277*(1+'Tax Tables'!$C$10)/IF(Round_To&gt;Tax_Rounding,Tax_Rounding,Round_To),0)*IF(Round_To&gt;Tax_Rounding,Tax_Rounding,Round_To)</f>
        <v>37400</v>
      </c>
      <c r="Q277" s="29">
        <f>ROUND(+P277*(1+'Tax Tables'!$C$10)/IF(Round_To&gt;Tax_Rounding,Tax_Rounding,Round_To),0)*IF(Round_To&gt;Tax_Rounding,Tax_Rounding,Round_To)</f>
        <v>38200</v>
      </c>
      <c r="R277" s="29">
        <f>ROUND(+Q277*(1+'Tax Tables'!$C$10)/IF(Round_To&gt;Tax_Rounding,Tax_Rounding,Round_To),0)*IF(Round_To&gt;Tax_Rounding,Tax_Rounding,Round_To)</f>
        <v>39000</v>
      </c>
      <c r="S277" s="29">
        <f>ROUND(+R277*(1+'Tax Tables'!$C$10)/IF(Round_To&gt;Tax_Rounding,Tax_Rounding,Round_To),0)*IF(Round_To&gt;Tax_Rounding,Tax_Rounding,Round_To)</f>
        <v>39900</v>
      </c>
      <c r="T277" s="29">
        <f>ROUND(+S277*(1+'Tax Tables'!$C$10)/IF(Round_To&gt;Tax_Rounding,Tax_Rounding,Round_To),0)*IF(Round_To&gt;Tax_Rounding,Tax_Rounding,Round_To)</f>
        <v>40800</v>
      </c>
      <c r="U277" s="29">
        <f>ROUND(+T277*(1+'Tax Tables'!$C$10)/IF(Round_To&gt;Tax_Rounding,Tax_Rounding,Round_To),0)*IF(Round_To&gt;Tax_Rounding,Tax_Rounding,Round_To)</f>
        <v>41700</v>
      </c>
      <c r="V277" s="29">
        <f>ROUND(+U277*(1+'Tax Tables'!$C$10)/IF(Round_To&gt;Tax_Rounding,Tax_Rounding,Round_To),0)*IF(Round_To&gt;Tax_Rounding,Tax_Rounding,Round_To)</f>
        <v>42600</v>
      </c>
      <c r="W277" s="29">
        <f>ROUND(+V277*(1+'Tax Tables'!$C$10)/IF(Round_To&gt;Tax_Rounding,Tax_Rounding,Round_To),0)*IF(Round_To&gt;Tax_Rounding,Tax_Rounding,Round_To)</f>
        <v>43500</v>
      </c>
      <c r="X277" s="29">
        <f>ROUND(+W277*(1+'Tax Tables'!$C$10)/IF(Round_To&gt;Tax_Rounding,Tax_Rounding,Round_To),0)*IF(Round_To&gt;Tax_Rounding,Tax_Rounding,Round_To)</f>
        <v>44500</v>
      </c>
      <c r="Y277" s="29">
        <f>ROUND(+X277*(1+'Tax Tables'!$C$10)/IF(Round_To&gt;Tax_Rounding,Tax_Rounding,Round_To),0)*IF(Round_To&gt;Tax_Rounding,Tax_Rounding,Round_To)</f>
        <v>45500</v>
      </c>
      <c r="Z277" s="29">
        <f>ROUND(+Y277*(1+'Tax Tables'!$C$10)/IF(Round_To&gt;Tax_Rounding,Tax_Rounding,Round_To),0)*IF(Round_To&gt;Tax_Rounding,Tax_Rounding,Round_To)</f>
        <v>46500</v>
      </c>
      <c r="AA277" s="29">
        <f>ROUND(+Z277*(1+'Tax Tables'!$C$10)/IF(Round_To&gt;Tax_Rounding,Tax_Rounding,Round_To),0)*IF(Round_To&gt;Tax_Rounding,Tax_Rounding,Round_To)</f>
        <v>47500</v>
      </c>
      <c r="AB277" s="29">
        <f>ROUND(+AA277*(1+'Tax Tables'!$C$10)/IF(Round_To&gt;Tax_Rounding,Tax_Rounding,Round_To),0)*IF(Round_To&gt;Tax_Rounding,Tax_Rounding,Round_To)</f>
        <v>48500</v>
      </c>
      <c r="AC277" s="29">
        <f>ROUND(+AB277*(1+'Tax Tables'!$C$10)/IF(Round_To&gt;Tax_Rounding,Tax_Rounding,Round_To),0)*IF(Round_To&gt;Tax_Rounding,Tax_Rounding,Round_To)</f>
        <v>49600</v>
      </c>
      <c r="AD277" s="29">
        <f>ROUND(+AC277*(1+'Tax Tables'!$C$10)/IF(Round_To&gt;Tax_Rounding,Tax_Rounding,Round_To),0)*IF(Round_To&gt;Tax_Rounding,Tax_Rounding,Round_To)</f>
        <v>50700</v>
      </c>
      <c r="AE277" s="29">
        <f>ROUND(+AD277*(1+'Tax Tables'!$C$10)/IF(Round_To&gt;Tax_Rounding,Tax_Rounding,Round_To),0)*IF(Round_To&gt;Tax_Rounding,Tax_Rounding,Round_To)</f>
        <v>51800</v>
      </c>
      <c r="AF277" s="29">
        <f>ROUND(+AE277*(1+'Tax Tables'!$C$10)/IF(Round_To&gt;Tax_Rounding,Tax_Rounding,Round_To),0)*IF(Round_To&gt;Tax_Rounding,Tax_Rounding,Round_To)</f>
        <v>52900</v>
      </c>
      <c r="AG277" s="29">
        <f>ROUND(+AF277*(1+'Tax Tables'!$C$10)/IF(Round_To&gt;Tax_Rounding,Tax_Rounding,Round_To),0)*IF(Round_To&gt;Tax_Rounding,Tax_Rounding,Round_To)</f>
        <v>54100</v>
      </c>
      <c r="AH277" s="29">
        <f>ROUND(+AG277*(1+'Tax Tables'!$C$10)/IF(Round_To&gt;Tax_Rounding,Tax_Rounding,Round_To),0)*IF(Round_To&gt;Tax_Rounding,Tax_Rounding,Round_To)</f>
        <v>55300</v>
      </c>
      <c r="AI277" s="29">
        <f>ROUND(+AH277*(1+'Tax Tables'!$C$10)/IF(Round_To&gt;Tax_Rounding,Tax_Rounding,Round_To),0)*IF(Round_To&gt;Tax_Rounding,Tax_Rounding,Round_To)</f>
        <v>56500</v>
      </c>
      <c r="AJ277" s="29">
        <f>ROUND(+AI277*(1+'Tax Tables'!$C$10)/IF(Round_To&gt;Tax_Rounding,Tax_Rounding,Round_To),0)*IF(Round_To&gt;Tax_Rounding,Tax_Rounding,Round_To)</f>
        <v>57700</v>
      </c>
      <c r="AK277" s="29">
        <f>ROUND(+AJ277*(1+'Tax Tables'!$C$10)/IF(Round_To&gt;Tax_Rounding,Tax_Rounding,Round_To),0)*IF(Round_To&gt;Tax_Rounding,Tax_Rounding,Round_To)</f>
        <v>59000</v>
      </c>
      <c r="AL277" s="29">
        <f>ROUND(+AK277*(1+'Tax Tables'!$C$10)/IF(Round_To&gt;Tax_Rounding,Tax_Rounding,Round_To),0)*IF(Round_To&gt;Tax_Rounding,Tax_Rounding,Round_To)</f>
        <v>60300</v>
      </c>
      <c r="AM277" s="29">
        <f>ROUND(+AL277*(1+'Tax Tables'!$C$10)/IF(Round_To&gt;Tax_Rounding,Tax_Rounding,Round_To),0)*IF(Round_To&gt;Tax_Rounding,Tax_Rounding,Round_To)</f>
        <v>61600</v>
      </c>
      <c r="AN277" s="29">
        <f>ROUND(+AM277*(1+'Tax Tables'!$C$10)/IF(Round_To&gt;Tax_Rounding,Tax_Rounding,Round_To),0)*IF(Round_To&gt;Tax_Rounding,Tax_Rounding,Round_To)</f>
        <v>63000</v>
      </c>
      <c r="AO277" s="29">
        <f>ROUND(+AN277*(1+'Tax Tables'!$C$10)/IF(Round_To&gt;Tax_Rounding,Tax_Rounding,Round_To),0)*IF(Round_To&gt;Tax_Rounding,Tax_Rounding,Round_To)</f>
        <v>64400</v>
      </c>
      <c r="AP277" s="29">
        <f>ROUND(+AO277*(1+'Tax Tables'!$C$10)/IF(Round_To&gt;Tax_Rounding,Tax_Rounding,Round_To),0)*IF(Round_To&gt;Tax_Rounding,Tax_Rounding,Round_To)</f>
        <v>65800</v>
      </c>
      <c r="AQ277" s="29">
        <f>ROUND(+AP277*(1+'Tax Tables'!$C$10)/IF(Round_To&gt;Tax_Rounding,Tax_Rounding,Round_To),0)*IF(Round_To&gt;Tax_Rounding,Tax_Rounding,Round_To)</f>
        <v>67200</v>
      </c>
      <c r="AR277" s="29">
        <f>ROUND(+AQ277*(1+'Tax Tables'!$C$10)/IF(Round_To&gt;Tax_Rounding,Tax_Rounding,Round_To),0)*IF(Round_To&gt;Tax_Rounding,Tax_Rounding,Round_To)</f>
        <v>68700</v>
      </c>
      <c r="AS277" s="29">
        <f>ROUND(+AR277*(1+'Tax Tables'!$C$10)/IF(Round_To&gt;Tax_Rounding,Tax_Rounding,Round_To),0)*IF(Round_To&gt;Tax_Rounding,Tax_Rounding,Round_To)</f>
        <v>70200</v>
      </c>
      <c r="AT277" s="29"/>
    </row>
    <row r="278" spans="2:46">
      <c r="C278" s="8"/>
      <c r="D278" s="8" t="s">
        <v>1476</v>
      </c>
      <c r="E278" s="226"/>
      <c r="F278" s="823">
        <f>+State_Br_Per3</f>
        <v>0.04</v>
      </c>
      <c r="G278" s="61">
        <f>+F278</f>
        <v>0.04</v>
      </c>
      <c r="H278" s="61">
        <f t="shared" ref="H278:AS278" si="154">+G278</f>
        <v>0.04</v>
      </c>
      <c r="I278" s="61">
        <f t="shared" si="154"/>
        <v>0.04</v>
      </c>
      <c r="J278" s="61">
        <f t="shared" si="154"/>
        <v>0.04</v>
      </c>
      <c r="K278" s="61">
        <f t="shared" si="154"/>
        <v>0.04</v>
      </c>
      <c r="L278" s="61">
        <f t="shared" si="154"/>
        <v>0.04</v>
      </c>
      <c r="M278" s="61">
        <f t="shared" si="154"/>
        <v>0.04</v>
      </c>
      <c r="N278" s="61">
        <f t="shared" si="154"/>
        <v>0.04</v>
      </c>
      <c r="O278" s="61">
        <f t="shared" si="154"/>
        <v>0.04</v>
      </c>
      <c r="P278" s="61">
        <f t="shared" si="154"/>
        <v>0.04</v>
      </c>
      <c r="Q278" s="61">
        <f t="shared" si="154"/>
        <v>0.04</v>
      </c>
      <c r="R278" s="61">
        <f t="shared" si="154"/>
        <v>0.04</v>
      </c>
      <c r="S278" s="61">
        <f t="shared" si="154"/>
        <v>0.04</v>
      </c>
      <c r="T278" s="61">
        <f t="shared" si="154"/>
        <v>0.04</v>
      </c>
      <c r="U278" s="61">
        <f t="shared" si="154"/>
        <v>0.04</v>
      </c>
      <c r="V278" s="61">
        <f t="shared" si="154"/>
        <v>0.04</v>
      </c>
      <c r="W278" s="61">
        <f t="shared" si="154"/>
        <v>0.04</v>
      </c>
      <c r="X278" s="61">
        <f t="shared" si="154"/>
        <v>0.04</v>
      </c>
      <c r="Y278" s="61">
        <f t="shared" si="154"/>
        <v>0.04</v>
      </c>
      <c r="Z278" s="61">
        <f t="shared" si="154"/>
        <v>0.04</v>
      </c>
      <c r="AA278" s="61">
        <f t="shared" si="154"/>
        <v>0.04</v>
      </c>
      <c r="AB278" s="61">
        <f t="shared" si="154"/>
        <v>0.04</v>
      </c>
      <c r="AC278" s="61">
        <f t="shared" si="154"/>
        <v>0.04</v>
      </c>
      <c r="AD278" s="61">
        <f t="shared" si="154"/>
        <v>0.04</v>
      </c>
      <c r="AE278" s="61">
        <f t="shared" si="154"/>
        <v>0.04</v>
      </c>
      <c r="AF278" s="61">
        <f t="shared" si="154"/>
        <v>0.04</v>
      </c>
      <c r="AG278" s="61">
        <f t="shared" si="154"/>
        <v>0.04</v>
      </c>
      <c r="AH278" s="61">
        <f t="shared" si="154"/>
        <v>0.04</v>
      </c>
      <c r="AI278" s="61">
        <f t="shared" si="154"/>
        <v>0.04</v>
      </c>
      <c r="AJ278" s="61">
        <f t="shared" si="154"/>
        <v>0.04</v>
      </c>
      <c r="AK278" s="61">
        <f t="shared" si="154"/>
        <v>0.04</v>
      </c>
      <c r="AL278" s="61">
        <f t="shared" si="154"/>
        <v>0.04</v>
      </c>
      <c r="AM278" s="61">
        <f t="shared" si="154"/>
        <v>0.04</v>
      </c>
      <c r="AN278" s="61">
        <f t="shared" si="154"/>
        <v>0.04</v>
      </c>
      <c r="AO278" s="61">
        <f t="shared" si="154"/>
        <v>0.04</v>
      </c>
      <c r="AP278" s="61">
        <f t="shared" si="154"/>
        <v>0.04</v>
      </c>
      <c r="AQ278" s="61">
        <f t="shared" si="154"/>
        <v>0.04</v>
      </c>
      <c r="AR278" s="61">
        <f t="shared" si="154"/>
        <v>0.04</v>
      </c>
      <c r="AS278" s="61">
        <f t="shared" si="154"/>
        <v>0.04</v>
      </c>
      <c r="AT278" s="61"/>
    </row>
    <row r="279" spans="2:46">
      <c r="C279" s="8"/>
      <c r="D279" s="8"/>
      <c r="E279" s="60"/>
      <c r="F279" s="60"/>
      <c r="G279" s="61"/>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c r="AE279" s="61"/>
      <c r="AF279" s="61"/>
      <c r="AG279" s="61"/>
      <c r="AH279" s="61"/>
      <c r="AI279" s="61"/>
      <c r="AJ279" s="61"/>
      <c r="AK279" s="61"/>
      <c r="AL279" s="61"/>
      <c r="AM279" s="61"/>
      <c r="AN279" s="61"/>
      <c r="AO279" s="61"/>
      <c r="AP279" s="61"/>
      <c r="AQ279" s="61"/>
      <c r="AR279" s="61"/>
      <c r="AS279" s="61"/>
      <c r="AT279" s="61"/>
    </row>
    <row r="280" spans="2:46">
      <c r="C280" s="8"/>
      <c r="D280" s="8"/>
      <c r="E280" s="60"/>
      <c r="F280" s="60"/>
      <c r="G280" s="61"/>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c r="AE280" s="61"/>
      <c r="AF280" s="61"/>
      <c r="AG280" s="61"/>
      <c r="AH280" s="61"/>
      <c r="AI280" s="61"/>
      <c r="AJ280" s="61"/>
      <c r="AK280" s="61"/>
      <c r="AL280" s="61"/>
      <c r="AM280" s="61"/>
      <c r="AN280" s="61"/>
      <c r="AO280" s="61"/>
      <c r="AP280" s="61"/>
      <c r="AQ280" s="61"/>
      <c r="AR280" s="61"/>
      <c r="AS280" s="61"/>
      <c r="AT280" s="61"/>
    </row>
    <row r="281" spans="2:46" ht="15.6">
      <c r="B281" s="22" t="s">
        <v>1048</v>
      </c>
      <c r="C281" s="8"/>
      <c r="D281" s="8" t="s">
        <v>1474</v>
      </c>
      <c r="E281" s="224"/>
      <c r="F281" s="822">
        <v>0</v>
      </c>
      <c r="G281" s="14">
        <v>0</v>
      </c>
      <c r="H281" s="14">
        <v>0</v>
      </c>
      <c r="I281" s="14">
        <v>0</v>
      </c>
      <c r="J281" s="14">
        <v>0</v>
      </c>
      <c r="K281" s="14">
        <v>0</v>
      </c>
      <c r="L281" s="14">
        <v>0</v>
      </c>
      <c r="M281" s="14">
        <v>0</v>
      </c>
      <c r="N281" s="14">
        <v>0</v>
      </c>
      <c r="O281" s="14">
        <v>0</v>
      </c>
      <c r="P281" s="14">
        <v>0</v>
      </c>
      <c r="Q281" s="14">
        <v>0</v>
      </c>
      <c r="R281" s="14">
        <v>0</v>
      </c>
      <c r="S281" s="14">
        <v>0</v>
      </c>
      <c r="T281" s="14">
        <v>0</v>
      </c>
      <c r="U281" s="14">
        <v>0</v>
      </c>
      <c r="V281" s="14">
        <v>0</v>
      </c>
      <c r="W281" s="14">
        <v>0</v>
      </c>
      <c r="X281" s="14">
        <v>0</v>
      </c>
      <c r="Y281" s="14">
        <v>0</v>
      </c>
      <c r="Z281" s="14">
        <v>0</v>
      </c>
      <c r="AA281" s="14">
        <v>0</v>
      </c>
      <c r="AB281" s="14">
        <v>0</v>
      </c>
      <c r="AC281" s="14">
        <v>0</v>
      </c>
      <c r="AD281" s="14">
        <v>0</v>
      </c>
      <c r="AE281" s="14">
        <v>0</v>
      </c>
      <c r="AF281" s="14">
        <v>0</v>
      </c>
      <c r="AG281" s="14">
        <v>0</v>
      </c>
      <c r="AH281" s="14">
        <v>0</v>
      </c>
      <c r="AI281" s="14">
        <v>0</v>
      </c>
      <c r="AJ281" s="14">
        <v>0</v>
      </c>
      <c r="AK281" s="14">
        <v>0</v>
      </c>
      <c r="AL281" s="14">
        <v>0</v>
      </c>
      <c r="AM281" s="14">
        <v>0</v>
      </c>
      <c r="AN281" s="14">
        <v>0</v>
      </c>
      <c r="AO281" s="14">
        <v>0</v>
      </c>
      <c r="AP281" s="14">
        <v>0</v>
      </c>
      <c r="AQ281" s="14">
        <v>0</v>
      </c>
      <c r="AR281" s="14">
        <v>0</v>
      </c>
      <c r="AS281" s="14">
        <v>0</v>
      </c>
      <c r="AT281" s="14"/>
    </row>
    <row r="282" spans="2:46">
      <c r="C282" s="8"/>
      <c r="D282" s="8" t="s">
        <v>1475</v>
      </c>
      <c r="E282" s="224"/>
      <c r="F282" s="731">
        <f>+State2_Br_Amt1</f>
        <v>25000</v>
      </c>
      <c r="G282" s="29">
        <f>ROUND(+F282*(1+'Tax Tables'!$C$10)/IF(Round_To&gt;Tax_Rounding,Tax_Rounding,Round_To),0)*IF(Round_To&gt;Tax_Rounding,Tax_Rounding,Round_To)</f>
        <v>25600</v>
      </c>
      <c r="H282" s="29">
        <f>ROUND(+G282*(1+'Tax Tables'!$C$10)/IF(Round_To&gt;Tax_Rounding,Tax_Rounding,Round_To),0)*IF(Round_To&gt;Tax_Rounding,Tax_Rounding,Round_To)</f>
        <v>26200</v>
      </c>
      <c r="I282" s="29">
        <f>ROUND(+H282*(1+'Tax Tables'!$C$10)/IF(Round_To&gt;Tax_Rounding,Tax_Rounding,Round_To),0)*IF(Round_To&gt;Tax_Rounding,Tax_Rounding,Round_To)</f>
        <v>26800</v>
      </c>
      <c r="J282" s="29">
        <f>ROUND(+I282*(1+'Tax Tables'!$C$10)/IF(Round_To&gt;Tax_Rounding,Tax_Rounding,Round_To),0)*IF(Round_To&gt;Tax_Rounding,Tax_Rounding,Round_To)</f>
        <v>27400</v>
      </c>
      <c r="K282" s="29">
        <f>ROUND(+J282*(1+'Tax Tables'!$C$10)/IF(Round_To&gt;Tax_Rounding,Tax_Rounding,Round_To),0)*IF(Round_To&gt;Tax_Rounding,Tax_Rounding,Round_To)</f>
        <v>28000</v>
      </c>
      <c r="L282" s="29">
        <f>ROUND(+K282*(1+'Tax Tables'!$C$10)/IF(Round_To&gt;Tax_Rounding,Tax_Rounding,Round_To),0)*IF(Round_To&gt;Tax_Rounding,Tax_Rounding,Round_To)</f>
        <v>28600</v>
      </c>
      <c r="M282" s="29">
        <f>ROUND(+L282*(1+'Tax Tables'!$C$10)/IF(Round_To&gt;Tax_Rounding,Tax_Rounding,Round_To),0)*IF(Round_To&gt;Tax_Rounding,Tax_Rounding,Round_To)</f>
        <v>29200</v>
      </c>
      <c r="N282" s="29">
        <f>ROUND(+M282*(1+'Tax Tables'!$C$10)/IF(Round_To&gt;Tax_Rounding,Tax_Rounding,Round_To),0)*IF(Round_To&gt;Tax_Rounding,Tax_Rounding,Round_To)</f>
        <v>29800</v>
      </c>
      <c r="O282" s="29">
        <f>ROUND(+N282*(1+'Tax Tables'!$C$10)/IF(Round_To&gt;Tax_Rounding,Tax_Rounding,Round_To),0)*IF(Round_To&gt;Tax_Rounding,Tax_Rounding,Round_To)</f>
        <v>30500</v>
      </c>
      <c r="P282" s="29">
        <f>ROUND(+O282*(1+'Tax Tables'!$C$10)/IF(Round_To&gt;Tax_Rounding,Tax_Rounding,Round_To),0)*IF(Round_To&gt;Tax_Rounding,Tax_Rounding,Round_To)</f>
        <v>31200</v>
      </c>
      <c r="Q282" s="29">
        <f>ROUND(+P282*(1+'Tax Tables'!$C$10)/IF(Round_To&gt;Tax_Rounding,Tax_Rounding,Round_To),0)*IF(Round_To&gt;Tax_Rounding,Tax_Rounding,Round_To)</f>
        <v>31900</v>
      </c>
      <c r="R282" s="29">
        <f>ROUND(+Q282*(1+'Tax Tables'!$C$10)/IF(Round_To&gt;Tax_Rounding,Tax_Rounding,Round_To),0)*IF(Round_To&gt;Tax_Rounding,Tax_Rounding,Round_To)</f>
        <v>32600</v>
      </c>
      <c r="S282" s="29">
        <f>ROUND(+R282*(1+'Tax Tables'!$C$10)/IF(Round_To&gt;Tax_Rounding,Tax_Rounding,Round_To),0)*IF(Round_To&gt;Tax_Rounding,Tax_Rounding,Round_To)</f>
        <v>33300</v>
      </c>
      <c r="T282" s="29">
        <f>ROUND(+S282*(1+'Tax Tables'!$C$10)/IF(Round_To&gt;Tax_Rounding,Tax_Rounding,Round_To),0)*IF(Round_To&gt;Tax_Rounding,Tax_Rounding,Round_To)</f>
        <v>34000</v>
      </c>
      <c r="U282" s="29">
        <f>ROUND(+T282*(1+'Tax Tables'!$C$10)/IF(Round_To&gt;Tax_Rounding,Tax_Rounding,Round_To),0)*IF(Round_To&gt;Tax_Rounding,Tax_Rounding,Round_To)</f>
        <v>34700</v>
      </c>
      <c r="V282" s="29">
        <f>ROUND(+U282*(1+'Tax Tables'!$C$10)/IF(Round_To&gt;Tax_Rounding,Tax_Rounding,Round_To),0)*IF(Round_To&gt;Tax_Rounding,Tax_Rounding,Round_To)</f>
        <v>35500</v>
      </c>
      <c r="W282" s="29">
        <f>ROUND(+V282*(1+'Tax Tables'!$C$10)/IF(Round_To&gt;Tax_Rounding,Tax_Rounding,Round_To),0)*IF(Round_To&gt;Tax_Rounding,Tax_Rounding,Round_To)</f>
        <v>36300</v>
      </c>
      <c r="X282" s="29">
        <f>ROUND(+W282*(1+'Tax Tables'!$C$10)/IF(Round_To&gt;Tax_Rounding,Tax_Rounding,Round_To),0)*IF(Round_To&gt;Tax_Rounding,Tax_Rounding,Round_To)</f>
        <v>37100</v>
      </c>
      <c r="Y282" s="29">
        <f>ROUND(+X282*(1+'Tax Tables'!$C$10)/IF(Round_To&gt;Tax_Rounding,Tax_Rounding,Round_To),0)*IF(Round_To&gt;Tax_Rounding,Tax_Rounding,Round_To)</f>
        <v>37900</v>
      </c>
      <c r="Z282" s="29">
        <f>ROUND(+Y282*(1+'Tax Tables'!$C$10)/IF(Round_To&gt;Tax_Rounding,Tax_Rounding,Round_To),0)*IF(Round_To&gt;Tax_Rounding,Tax_Rounding,Round_To)</f>
        <v>38700</v>
      </c>
      <c r="AA282" s="29">
        <f>ROUND(+Z282*(1+'Tax Tables'!$C$10)/IF(Round_To&gt;Tax_Rounding,Tax_Rounding,Round_To),0)*IF(Round_To&gt;Tax_Rounding,Tax_Rounding,Round_To)</f>
        <v>39600</v>
      </c>
      <c r="AB282" s="29">
        <f>ROUND(+AA282*(1+'Tax Tables'!$C$10)/IF(Round_To&gt;Tax_Rounding,Tax_Rounding,Round_To),0)*IF(Round_To&gt;Tax_Rounding,Tax_Rounding,Round_To)</f>
        <v>40500</v>
      </c>
      <c r="AC282" s="29">
        <f>ROUND(+AB282*(1+'Tax Tables'!$C$10)/IF(Round_To&gt;Tax_Rounding,Tax_Rounding,Round_To),0)*IF(Round_To&gt;Tax_Rounding,Tax_Rounding,Round_To)</f>
        <v>41400</v>
      </c>
      <c r="AD282" s="29">
        <f>ROUND(+AC282*(1+'Tax Tables'!$C$10)/IF(Round_To&gt;Tax_Rounding,Tax_Rounding,Round_To),0)*IF(Round_To&gt;Tax_Rounding,Tax_Rounding,Round_To)</f>
        <v>42300</v>
      </c>
      <c r="AE282" s="29">
        <f>ROUND(+AD282*(1+'Tax Tables'!$C$10)/IF(Round_To&gt;Tax_Rounding,Tax_Rounding,Round_To),0)*IF(Round_To&gt;Tax_Rounding,Tax_Rounding,Round_To)</f>
        <v>43200</v>
      </c>
      <c r="AF282" s="29">
        <f>ROUND(+AE282*(1+'Tax Tables'!$C$10)/IF(Round_To&gt;Tax_Rounding,Tax_Rounding,Round_To),0)*IF(Round_To&gt;Tax_Rounding,Tax_Rounding,Round_To)</f>
        <v>44200</v>
      </c>
      <c r="AG282" s="29">
        <f>ROUND(+AF282*(1+'Tax Tables'!$C$10)/IF(Round_To&gt;Tax_Rounding,Tax_Rounding,Round_To),0)*IF(Round_To&gt;Tax_Rounding,Tax_Rounding,Round_To)</f>
        <v>45200</v>
      </c>
      <c r="AH282" s="29">
        <f>ROUND(+AG282*(1+'Tax Tables'!$C$10)/IF(Round_To&gt;Tax_Rounding,Tax_Rounding,Round_To),0)*IF(Round_To&gt;Tax_Rounding,Tax_Rounding,Round_To)</f>
        <v>46200</v>
      </c>
      <c r="AI282" s="29">
        <f>ROUND(+AH282*(1+'Tax Tables'!$C$10)/IF(Round_To&gt;Tax_Rounding,Tax_Rounding,Round_To),0)*IF(Round_To&gt;Tax_Rounding,Tax_Rounding,Round_To)</f>
        <v>47200</v>
      </c>
      <c r="AJ282" s="29">
        <f>ROUND(+AI282*(1+'Tax Tables'!$C$10)/IF(Round_To&gt;Tax_Rounding,Tax_Rounding,Round_To),0)*IF(Round_To&gt;Tax_Rounding,Tax_Rounding,Round_To)</f>
        <v>48200</v>
      </c>
      <c r="AK282" s="29">
        <f>ROUND(+AJ282*(1+'Tax Tables'!$C$10)/IF(Round_To&gt;Tax_Rounding,Tax_Rounding,Round_To),0)*IF(Round_To&gt;Tax_Rounding,Tax_Rounding,Round_To)</f>
        <v>49300</v>
      </c>
      <c r="AL282" s="29">
        <f>ROUND(+AK282*(1+'Tax Tables'!$C$10)/IF(Round_To&gt;Tax_Rounding,Tax_Rounding,Round_To),0)*IF(Round_To&gt;Tax_Rounding,Tax_Rounding,Round_To)</f>
        <v>50400</v>
      </c>
      <c r="AM282" s="29">
        <f>ROUND(+AL282*(1+'Tax Tables'!$C$10)/IF(Round_To&gt;Tax_Rounding,Tax_Rounding,Round_To),0)*IF(Round_To&gt;Tax_Rounding,Tax_Rounding,Round_To)</f>
        <v>51500</v>
      </c>
      <c r="AN282" s="29">
        <f>ROUND(+AM282*(1+'Tax Tables'!$C$10)/IF(Round_To&gt;Tax_Rounding,Tax_Rounding,Round_To),0)*IF(Round_To&gt;Tax_Rounding,Tax_Rounding,Round_To)</f>
        <v>52600</v>
      </c>
      <c r="AO282" s="29">
        <f>ROUND(+AN282*(1+'Tax Tables'!$C$10)/IF(Round_To&gt;Tax_Rounding,Tax_Rounding,Round_To),0)*IF(Round_To&gt;Tax_Rounding,Tax_Rounding,Round_To)</f>
        <v>53800</v>
      </c>
      <c r="AP282" s="29">
        <f>ROUND(+AO282*(1+'Tax Tables'!$C$10)/IF(Round_To&gt;Tax_Rounding,Tax_Rounding,Round_To),0)*IF(Round_To&gt;Tax_Rounding,Tax_Rounding,Round_To)</f>
        <v>55000</v>
      </c>
      <c r="AQ282" s="29">
        <f>ROUND(+AP282*(1+'Tax Tables'!$C$10)/IF(Round_To&gt;Tax_Rounding,Tax_Rounding,Round_To),0)*IF(Round_To&gt;Tax_Rounding,Tax_Rounding,Round_To)</f>
        <v>56200</v>
      </c>
      <c r="AR282" s="29">
        <f>ROUND(+AQ282*(1+'Tax Tables'!$C$10)/IF(Round_To&gt;Tax_Rounding,Tax_Rounding,Round_To),0)*IF(Round_To&gt;Tax_Rounding,Tax_Rounding,Round_To)</f>
        <v>57400</v>
      </c>
      <c r="AS282" s="29">
        <f>ROUND(+AR282*(1+'Tax Tables'!$C$10)/IF(Round_To&gt;Tax_Rounding,Tax_Rounding,Round_To),0)*IF(Round_To&gt;Tax_Rounding,Tax_Rounding,Round_To)</f>
        <v>58700</v>
      </c>
      <c r="AT282" s="29"/>
    </row>
    <row r="283" spans="2:46">
      <c r="C283" s="8"/>
      <c r="D283" s="8" t="s">
        <v>1476</v>
      </c>
      <c r="E283" s="818"/>
      <c r="F283" s="823">
        <f>+State2_Br_Per1</f>
        <v>0.05</v>
      </c>
      <c r="G283" s="61">
        <f>+F283</f>
        <v>0.05</v>
      </c>
      <c r="H283" s="61">
        <f t="shared" ref="H283:AS283" si="155">+G283</f>
        <v>0.05</v>
      </c>
      <c r="I283" s="61">
        <f t="shared" si="155"/>
        <v>0.05</v>
      </c>
      <c r="J283" s="61">
        <f t="shared" si="155"/>
        <v>0.05</v>
      </c>
      <c r="K283" s="61">
        <f t="shared" si="155"/>
        <v>0.05</v>
      </c>
      <c r="L283" s="61">
        <f t="shared" si="155"/>
        <v>0.05</v>
      </c>
      <c r="M283" s="61">
        <f t="shared" si="155"/>
        <v>0.05</v>
      </c>
      <c r="N283" s="61">
        <f t="shared" si="155"/>
        <v>0.05</v>
      </c>
      <c r="O283" s="61">
        <f t="shared" si="155"/>
        <v>0.05</v>
      </c>
      <c r="P283" s="61">
        <f t="shared" si="155"/>
        <v>0.05</v>
      </c>
      <c r="Q283" s="61">
        <f t="shared" si="155"/>
        <v>0.05</v>
      </c>
      <c r="R283" s="61">
        <f t="shared" si="155"/>
        <v>0.05</v>
      </c>
      <c r="S283" s="61">
        <f t="shared" si="155"/>
        <v>0.05</v>
      </c>
      <c r="T283" s="61">
        <f t="shared" si="155"/>
        <v>0.05</v>
      </c>
      <c r="U283" s="61">
        <f t="shared" si="155"/>
        <v>0.05</v>
      </c>
      <c r="V283" s="61">
        <f t="shared" si="155"/>
        <v>0.05</v>
      </c>
      <c r="W283" s="61">
        <f t="shared" si="155"/>
        <v>0.05</v>
      </c>
      <c r="X283" s="61">
        <f t="shared" si="155"/>
        <v>0.05</v>
      </c>
      <c r="Y283" s="61">
        <f t="shared" si="155"/>
        <v>0.05</v>
      </c>
      <c r="Z283" s="61">
        <f t="shared" si="155"/>
        <v>0.05</v>
      </c>
      <c r="AA283" s="61">
        <f t="shared" si="155"/>
        <v>0.05</v>
      </c>
      <c r="AB283" s="61">
        <f t="shared" si="155"/>
        <v>0.05</v>
      </c>
      <c r="AC283" s="61">
        <f t="shared" si="155"/>
        <v>0.05</v>
      </c>
      <c r="AD283" s="61">
        <f t="shared" si="155"/>
        <v>0.05</v>
      </c>
      <c r="AE283" s="61">
        <f t="shared" si="155"/>
        <v>0.05</v>
      </c>
      <c r="AF283" s="61">
        <f t="shared" si="155"/>
        <v>0.05</v>
      </c>
      <c r="AG283" s="61">
        <f t="shared" si="155"/>
        <v>0.05</v>
      </c>
      <c r="AH283" s="61">
        <f t="shared" si="155"/>
        <v>0.05</v>
      </c>
      <c r="AI283" s="61">
        <f t="shared" si="155"/>
        <v>0.05</v>
      </c>
      <c r="AJ283" s="61">
        <f t="shared" si="155"/>
        <v>0.05</v>
      </c>
      <c r="AK283" s="61">
        <f t="shared" si="155"/>
        <v>0.05</v>
      </c>
      <c r="AL283" s="61">
        <f t="shared" si="155"/>
        <v>0.05</v>
      </c>
      <c r="AM283" s="61">
        <f t="shared" si="155"/>
        <v>0.05</v>
      </c>
      <c r="AN283" s="61">
        <f t="shared" si="155"/>
        <v>0.05</v>
      </c>
      <c r="AO283" s="61">
        <f t="shared" si="155"/>
        <v>0.05</v>
      </c>
      <c r="AP283" s="61">
        <f t="shared" si="155"/>
        <v>0.05</v>
      </c>
      <c r="AQ283" s="61">
        <f t="shared" si="155"/>
        <v>0.05</v>
      </c>
      <c r="AR283" s="61">
        <f t="shared" si="155"/>
        <v>0.05</v>
      </c>
      <c r="AS283" s="61">
        <f t="shared" si="155"/>
        <v>0.05</v>
      </c>
      <c r="AT283" s="61"/>
    </row>
    <row r="284" spans="2:46">
      <c r="C284" s="8"/>
      <c r="D284" s="8" t="s">
        <v>1414</v>
      </c>
      <c r="E284" s="29"/>
      <c r="F284" s="102">
        <f t="shared" ref="F284:AS284" si="156">ROUND((+F282-F281)*F283/IF(Round_To&gt;Tax_Rounding,Tax_Rounding,Round_To),0)*IF(Round_To&gt;Tax_Rounding,Tax_Rounding,Round_To)</f>
        <v>1300</v>
      </c>
      <c r="G284" s="29">
        <f t="shared" si="156"/>
        <v>1300</v>
      </c>
      <c r="H284" s="29">
        <f t="shared" si="156"/>
        <v>1300</v>
      </c>
      <c r="I284" s="29">
        <f t="shared" si="156"/>
        <v>1300</v>
      </c>
      <c r="J284" s="29">
        <f t="shared" si="156"/>
        <v>1400</v>
      </c>
      <c r="K284" s="29">
        <f t="shared" si="156"/>
        <v>1400</v>
      </c>
      <c r="L284" s="29">
        <f t="shared" si="156"/>
        <v>1400</v>
      </c>
      <c r="M284" s="29">
        <f t="shared" si="156"/>
        <v>1500</v>
      </c>
      <c r="N284" s="29">
        <f t="shared" si="156"/>
        <v>1500</v>
      </c>
      <c r="O284" s="29">
        <f t="shared" si="156"/>
        <v>1500</v>
      </c>
      <c r="P284" s="29">
        <f t="shared" si="156"/>
        <v>1600</v>
      </c>
      <c r="Q284" s="29">
        <f t="shared" si="156"/>
        <v>1600</v>
      </c>
      <c r="R284" s="29">
        <f t="shared" si="156"/>
        <v>1600</v>
      </c>
      <c r="S284" s="29">
        <f t="shared" si="156"/>
        <v>1700</v>
      </c>
      <c r="T284" s="29">
        <f t="shared" si="156"/>
        <v>1700</v>
      </c>
      <c r="U284" s="29">
        <f t="shared" si="156"/>
        <v>1700</v>
      </c>
      <c r="V284" s="29">
        <f t="shared" si="156"/>
        <v>1800</v>
      </c>
      <c r="W284" s="29">
        <f t="shared" si="156"/>
        <v>1800</v>
      </c>
      <c r="X284" s="29">
        <f t="shared" si="156"/>
        <v>1900</v>
      </c>
      <c r="Y284" s="29">
        <f t="shared" si="156"/>
        <v>1900</v>
      </c>
      <c r="Z284" s="29">
        <f t="shared" si="156"/>
        <v>1900</v>
      </c>
      <c r="AA284" s="29">
        <f t="shared" si="156"/>
        <v>2000</v>
      </c>
      <c r="AB284" s="29">
        <f t="shared" si="156"/>
        <v>2000</v>
      </c>
      <c r="AC284" s="29">
        <f t="shared" si="156"/>
        <v>2100</v>
      </c>
      <c r="AD284" s="29">
        <f t="shared" si="156"/>
        <v>2100</v>
      </c>
      <c r="AE284" s="29">
        <f t="shared" si="156"/>
        <v>2200</v>
      </c>
      <c r="AF284" s="29">
        <f t="shared" si="156"/>
        <v>2200</v>
      </c>
      <c r="AG284" s="29">
        <f t="shared" si="156"/>
        <v>2300</v>
      </c>
      <c r="AH284" s="29">
        <f t="shared" si="156"/>
        <v>2300</v>
      </c>
      <c r="AI284" s="29">
        <f t="shared" si="156"/>
        <v>2400</v>
      </c>
      <c r="AJ284" s="29">
        <f t="shared" si="156"/>
        <v>2400</v>
      </c>
      <c r="AK284" s="29">
        <f t="shared" si="156"/>
        <v>2500</v>
      </c>
      <c r="AL284" s="29">
        <f t="shared" si="156"/>
        <v>2500</v>
      </c>
      <c r="AM284" s="29">
        <f t="shared" si="156"/>
        <v>2600</v>
      </c>
      <c r="AN284" s="29">
        <f t="shared" si="156"/>
        <v>2600</v>
      </c>
      <c r="AO284" s="29">
        <f t="shared" si="156"/>
        <v>2700</v>
      </c>
      <c r="AP284" s="29">
        <f t="shared" si="156"/>
        <v>2800</v>
      </c>
      <c r="AQ284" s="29">
        <f t="shared" si="156"/>
        <v>2800</v>
      </c>
      <c r="AR284" s="29">
        <f t="shared" si="156"/>
        <v>2900</v>
      </c>
      <c r="AS284" s="29">
        <f t="shared" si="156"/>
        <v>2900</v>
      </c>
      <c r="AT284" s="29"/>
    </row>
    <row r="285" spans="2:46">
      <c r="C285" s="8"/>
      <c r="D285" s="8"/>
      <c r="E285" s="29"/>
      <c r="F285" s="102"/>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row>
    <row r="286" spans="2:46">
      <c r="C286" s="8"/>
      <c r="D286" s="8" t="s">
        <v>1474</v>
      </c>
      <c r="E286" s="29"/>
      <c r="F286" s="110">
        <f>+F282</f>
        <v>25000</v>
      </c>
      <c r="G286" s="29">
        <f>ROUND(+F286*(1+'Tax Tables'!$C$10)/IF(Round_To&gt;Tax_Rounding,Tax_Rounding,Round_To),0)*IF(Round_To&gt;Tax_Rounding,Tax_Rounding,Round_To)</f>
        <v>25600</v>
      </c>
      <c r="H286" s="29">
        <f>ROUND(+G286*(1+'Tax Tables'!$C$10)/IF(Round_To&gt;Tax_Rounding,Tax_Rounding,Round_To),0)*IF(Round_To&gt;Tax_Rounding,Tax_Rounding,Round_To)</f>
        <v>26200</v>
      </c>
      <c r="I286" s="29">
        <f>ROUND(+H286*(1+'Tax Tables'!$C$10)/IF(Round_To&gt;Tax_Rounding,Tax_Rounding,Round_To),0)*IF(Round_To&gt;Tax_Rounding,Tax_Rounding,Round_To)</f>
        <v>26800</v>
      </c>
      <c r="J286" s="29">
        <f>ROUND(+I286*(1+'Tax Tables'!$C$10)/IF(Round_To&gt;Tax_Rounding,Tax_Rounding,Round_To),0)*IF(Round_To&gt;Tax_Rounding,Tax_Rounding,Round_To)</f>
        <v>27400</v>
      </c>
      <c r="K286" s="29">
        <f>ROUND(+J286*(1+'Tax Tables'!$C$10)/IF(Round_To&gt;Tax_Rounding,Tax_Rounding,Round_To),0)*IF(Round_To&gt;Tax_Rounding,Tax_Rounding,Round_To)</f>
        <v>28000</v>
      </c>
      <c r="L286" s="29">
        <f>ROUND(+K286*(1+'Tax Tables'!$C$10)/IF(Round_To&gt;Tax_Rounding,Tax_Rounding,Round_To),0)*IF(Round_To&gt;Tax_Rounding,Tax_Rounding,Round_To)</f>
        <v>28600</v>
      </c>
      <c r="M286" s="29">
        <f>ROUND(+L286*(1+'Tax Tables'!$C$10)/IF(Round_To&gt;Tax_Rounding,Tax_Rounding,Round_To),0)*IF(Round_To&gt;Tax_Rounding,Tax_Rounding,Round_To)</f>
        <v>29200</v>
      </c>
      <c r="N286" s="29">
        <f>ROUND(+M286*(1+'Tax Tables'!$C$10)/IF(Round_To&gt;Tax_Rounding,Tax_Rounding,Round_To),0)*IF(Round_To&gt;Tax_Rounding,Tax_Rounding,Round_To)</f>
        <v>29800</v>
      </c>
      <c r="O286" s="29">
        <f>ROUND(+N286*(1+'Tax Tables'!$C$10)/IF(Round_To&gt;Tax_Rounding,Tax_Rounding,Round_To),0)*IF(Round_To&gt;Tax_Rounding,Tax_Rounding,Round_To)</f>
        <v>30500</v>
      </c>
      <c r="P286" s="29">
        <f>ROUND(+O286*(1+'Tax Tables'!$C$10)/IF(Round_To&gt;Tax_Rounding,Tax_Rounding,Round_To),0)*IF(Round_To&gt;Tax_Rounding,Tax_Rounding,Round_To)</f>
        <v>31200</v>
      </c>
      <c r="Q286" s="29">
        <f>ROUND(+P286*(1+'Tax Tables'!$C$10)/IF(Round_To&gt;Tax_Rounding,Tax_Rounding,Round_To),0)*IF(Round_To&gt;Tax_Rounding,Tax_Rounding,Round_To)</f>
        <v>31900</v>
      </c>
      <c r="R286" s="29">
        <f>ROUND(+Q286*(1+'Tax Tables'!$C$10)/IF(Round_To&gt;Tax_Rounding,Tax_Rounding,Round_To),0)*IF(Round_To&gt;Tax_Rounding,Tax_Rounding,Round_To)</f>
        <v>32600</v>
      </c>
      <c r="S286" s="29">
        <f>ROUND(+R286*(1+'Tax Tables'!$C$10)/IF(Round_To&gt;Tax_Rounding,Tax_Rounding,Round_To),0)*IF(Round_To&gt;Tax_Rounding,Tax_Rounding,Round_To)</f>
        <v>33300</v>
      </c>
      <c r="T286" s="29">
        <f>ROUND(+S286*(1+'Tax Tables'!$C$10)/IF(Round_To&gt;Tax_Rounding,Tax_Rounding,Round_To),0)*IF(Round_To&gt;Tax_Rounding,Tax_Rounding,Round_To)</f>
        <v>34000</v>
      </c>
      <c r="U286" s="29">
        <f>ROUND(+T286*(1+'Tax Tables'!$C$10)/IF(Round_To&gt;Tax_Rounding,Tax_Rounding,Round_To),0)*IF(Round_To&gt;Tax_Rounding,Tax_Rounding,Round_To)</f>
        <v>34700</v>
      </c>
      <c r="V286" s="29">
        <f>ROUND(+U286*(1+'Tax Tables'!$C$10)/IF(Round_To&gt;Tax_Rounding,Tax_Rounding,Round_To),0)*IF(Round_To&gt;Tax_Rounding,Tax_Rounding,Round_To)</f>
        <v>35500</v>
      </c>
      <c r="W286" s="29">
        <f>ROUND(+V286*(1+'Tax Tables'!$C$10)/IF(Round_To&gt;Tax_Rounding,Tax_Rounding,Round_To),0)*IF(Round_To&gt;Tax_Rounding,Tax_Rounding,Round_To)</f>
        <v>36300</v>
      </c>
      <c r="X286" s="29">
        <f>ROUND(+W286*(1+'Tax Tables'!$C$10)/IF(Round_To&gt;Tax_Rounding,Tax_Rounding,Round_To),0)*IF(Round_To&gt;Tax_Rounding,Tax_Rounding,Round_To)</f>
        <v>37100</v>
      </c>
      <c r="Y286" s="29">
        <f>ROUND(+X286*(1+'Tax Tables'!$C$10)/IF(Round_To&gt;Tax_Rounding,Tax_Rounding,Round_To),0)*IF(Round_To&gt;Tax_Rounding,Tax_Rounding,Round_To)</f>
        <v>37900</v>
      </c>
      <c r="Z286" s="29">
        <f>ROUND(+Y286*(1+'Tax Tables'!$C$10)/IF(Round_To&gt;Tax_Rounding,Tax_Rounding,Round_To),0)*IF(Round_To&gt;Tax_Rounding,Tax_Rounding,Round_To)</f>
        <v>38700</v>
      </c>
      <c r="AA286" s="29">
        <f>ROUND(+Z286*(1+'Tax Tables'!$C$10)/IF(Round_To&gt;Tax_Rounding,Tax_Rounding,Round_To),0)*IF(Round_To&gt;Tax_Rounding,Tax_Rounding,Round_To)</f>
        <v>39600</v>
      </c>
      <c r="AB286" s="29">
        <f>ROUND(+AA286*(1+'Tax Tables'!$C$10)/IF(Round_To&gt;Tax_Rounding,Tax_Rounding,Round_To),0)*IF(Round_To&gt;Tax_Rounding,Tax_Rounding,Round_To)</f>
        <v>40500</v>
      </c>
      <c r="AC286" s="29">
        <f>ROUND(+AB286*(1+'Tax Tables'!$C$10)/IF(Round_To&gt;Tax_Rounding,Tax_Rounding,Round_To),0)*IF(Round_To&gt;Tax_Rounding,Tax_Rounding,Round_To)</f>
        <v>41400</v>
      </c>
      <c r="AD286" s="29">
        <f>ROUND(+AC286*(1+'Tax Tables'!$C$10)/IF(Round_To&gt;Tax_Rounding,Tax_Rounding,Round_To),0)*IF(Round_To&gt;Tax_Rounding,Tax_Rounding,Round_To)</f>
        <v>42300</v>
      </c>
      <c r="AE286" s="29">
        <f>ROUND(+AD286*(1+'Tax Tables'!$C$10)/IF(Round_To&gt;Tax_Rounding,Tax_Rounding,Round_To),0)*IF(Round_To&gt;Tax_Rounding,Tax_Rounding,Round_To)</f>
        <v>43200</v>
      </c>
      <c r="AF286" s="29">
        <f>ROUND(+AE286*(1+'Tax Tables'!$C$10)/IF(Round_To&gt;Tax_Rounding,Tax_Rounding,Round_To),0)*IF(Round_To&gt;Tax_Rounding,Tax_Rounding,Round_To)</f>
        <v>44200</v>
      </c>
      <c r="AG286" s="29">
        <f>ROUND(+AF286*(1+'Tax Tables'!$C$10)/IF(Round_To&gt;Tax_Rounding,Tax_Rounding,Round_To),0)*IF(Round_To&gt;Tax_Rounding,Tax_Rounding,Round_To)</f>
        <v>45200</v>
      </c>
      <c r="AH286" s="29">
        <f>ROUND(+AG286*(1+'Tax Tables'!$C$10)/IF(Round_To&gt;Tax_Rounding,Tax_Rounding,Round_To),0)*IF(Round_To&gt;Tax_Rounding,Tax_Rounding,Round_To)</f>
        <v>46200</v>
      </c>
      <c r="AI286" s="29">
        <f>ROUND(+AH286*(1+'Tax Tables'!$C$10)/IF(Round_To&gt;Tax_Rounding,Tax_Rounding,Round_To),0)*IF(Round_To&gt;Tax_Rounding,Tax_Rounding,Round_To)</f>
        <v>47200</v>
      </c>
      <c r="AJ286" s="29">
        <f>ROUND(+AI286*(1+'Tax Tables'!$C$10)/IF(Round_To&gt;Tax_Rounding,Tax_Rounding,Round_To),0)*IF(Round_To&gt;Tax_Rounding,Tax_Rounding,Round_To)</f>
        <v>48200</v>
      </c>
      <c r="AK286" s="29">
        <f>ROUND(+AJ286*(1+'Tax Tables'!$C$10)/IF(Round_To&gt;Tax_Rounding,Tax_Rounding,Round_To),0)*IF(Round_To&gt;Tax_Rounding,Tax_Rounding,Round_To)</f>
        <v>49300</v>
      </c>
      <c r="AL286" s="29">
        <f>ROUND(+AK286*(1+'Tax Tables'!$C$10)/IF(Round_To&gt;Tax_Rounding,Tax_Rounding,Round_To),0)*IF(Round_To&gt;Tax_Rounding,Tax_Rounding,Round_To)</f>
        <v>50400</v>
      </c>
      <c r="AM286" s="29">
        <f>ROUND(+AL286*(1+'Tax Tables'!$C$10)/IF(Round_To&gt;Tax_Rounding,Tax_Rounding,Round_To),0)*IF(Round_To&gt;Tax_Rounding,Tax_Rounding,Round_To)</f>
        <v>51500</v>
      </c>
      <c r="AN286" s="29">
        <f>ROUND(+AM286*(1+'Tax Tables'!$C$10)/IF(Round_To&gt;Tax_Rounding,Tax_Rounding,Round_To),0)*IF(Round_To&gt;Tax_Rounding,Tax_Rounding,Round_To)</f>
        <v>52600</v>
      </c>
      <c r="AO286" s="29">
        <f>ROUND(+AN286*(1+'Tax Tables'!$C$10)/IF(Round_To&gt;Tax_Rounding,Tax_Rounding,Round_To),0)*IF(Round_To&gt;Tax_Rounding,Tax_Rounding,Round_To)</f>
        <v>53800</v>
      </c>
      <c r="AP286" s="29">
        <f>ROUND(+AO286*(1+'Tax Tables'!$C$10)/IF(Round_To&gt;Tax_Rounding,Tax_Rounding,Round_To),0)*IF(Round_To&gt;Tax_Rounding,Tax_Rounding,Round_To)</f>
        <v>55000</v>
      </c>
      <c r="AQ286" s="29">
        <f>ROUND(+AP286*(1+'Tax Tables'!$C$10)/IF(Round_To&gt;Tax_Rounding,Tax_Rounding,Round_To),0)*IF(Round_To&gt;Tax_Rounding,Tax_Rounding,Round_To)</f>
        <v>56200</v>
      </c>
      <c r="AR286" s="29">
        <f>ROUND(+AQ286*(1+'Tax Tables'!$C$10)/IF(Round_To&gt;Tax_Rounding,Tax_Rounding,Round_To),0)*IF(Round_To&gt;Tax_Rounding,Tax_Rounding,Round_To)</f>
        <v>57400</v>
      </c>
      <c r="AS286" s="29">
        <f>ROUND(+AR286*(1+'Tax Tables'!$C$10)/IF(Round_To&gt;Tax_Rounding,Tax_Rounding,Round_To),0)*IF(Round_To&gt;Tax_Rounding,Tax_Rounding,Round_To)</f>
        <v>58700</v>
      </c>
      <c r="AT286" s="29"/>
    </row>
    <row r="287" spans="2:46">
      <c r="C287" s="8"/>
      <c r="D287" s="8" t="s">
        <v>1475</v>
      </c>
      <c r="E287" s="224"/>
      <c r="F287" s="731">
        <f>+State2_Br_Amt2</f>
        <v>80000</v>
      </c>
      <c r="G287" s="29">
        <f>ROUND(+F287*(1+'Tax Tables'!$C$10)/IF(Round_To&gt;Tax_Rounding,Tax_Rounding,Round_To),0)*IF(Round_To&gt;Tax_Rounding,Tax_Rounding,Round_To)</f>
        <v>81800</v>
      </c>
      <c r="H287" s="29">
        <f>ROUND(+G287*(1+'Tax Tables'!$C$10)/IF(Round_To&gt;Tax_Rounding,Tax_Rounding,Round_To),0)*IF(Round_To&gt;Tax_Rounding,Tax_Rounding,Round_To)</f>
        <v>83600</v>
      </c>
      <c r="I287" s="29">
        <f>ROUND(+H287*(1+'Tax Tables'!$C$10)/IF(Round_To&gt;Tax_Rounding,Tax_Rounding,Round_To),0)*IF(Round_To&gt;Tax_Rounding,Tax_Rounding,Round_To)</f>
        <v>85400</v>
      </c>
      <c r="J287" s="29">
        <f>ROUND(+I287*(1+'Tax Tables'!$C$10)/IF(Round_To&gt;Tax_Rounding,Tax_Rounding,Round_To),0)*IF(Round_To&gt;Tax_Rounding,Tax_Rounding,Round_To)</f>
        <v>87300</v>
      </c>
      <c r="K287" s="29">
        <f>ROUND(+J287*(1+'Tax Tables'!$C$10)/IF(Round_To&gt;Tax_Rounding,Tax_Rounding,Round_To),0)*IF(Round_To&gt;Tax_Rounding,Tax_Rounding,Round_To)</f>
        <v>89200</v>
      </c>
      <c r="L287" s="29">
        <f>ROUND(+K287*(1+'Tax Tables'!$C$10)/IF(Round_To&gt;Tax_Rounding,Tax_Rounding,Round_To),0)*IF(Round_To&gt;Tax_Rounding,Tax_Rounding,Round_To)</f>
        <v>91200</v>
      </c>
      <c r="M287" s="29">
        <f>ROUND(+L287*(1+'Tax Tables'!$C$10)/IF(Round_To&gt;Tax_Rounding,Tax_Rounding,Round_To),0)*IF(Round_To&gt;Tax_Rounding,Tax_Rounding,Round_To)</f>
        <v>93200</v>
      </c>
      <c r="N287" s="29">
        <f>ROUND(+M287*(1+'Tax Tables'!$C$10)/IF(Round_To&gt;Tax_Rounding,Tax_Rounding,Round_To),0)*IF(Round_To&gt;Tax_Rounding,Tax_Rounding,Round_To)</f>
        <v>95300</v>
      </c>
      <c r="O287" s="29">
        <f>ROUND(+N287*(1+'Tax Tables'!$C$10)/IF(Round_To&gt;Tax_Rounding,Tax_Rounding,Round_To),0)*IF(Round_To&gt;Tax_Rounding,Tax_Rounding,Round_To)</f>
        <v>97400</v>
      </c>
      <c r="P287" s="29">
        <f>ROUND(+O287*(1+'Tax Tables'!$C$10)/IF(Round_To&gt;Tax_Rounding,Tax_Rounding,Round_To),0)*IF(Round_To&gt;Tax_Rounding,Tax_Rounding,Round_To)</f>
        <v>99500</v>
      </c>
      <c r="Q287" s="29">
        <f>ROUND(+P287*(1+'Tax Tables'!$C$10)/IF(Round_To&gt;Tax_Rounding,Tax_Rounding,Round_To),0)*IF(Round_To&gt;Tax_Rounding,Tax_Rounding,Round_To)</f>
        <v>101700</v>
      </c>
      <c r="R287" s="29">
        <f>ROUND(+Q287*(1+'Tax Tables'!$C$10)/IF(Round_To&gt;Tax_Rounding,Tax_Rounding,Round_To),0)*IF(Round_To&gt;Tax_Rounding,Tax_Rounding,Round_To)</f>
        <v>103900</v>
      </c>
      <c r="S287" s="29">
        <f>ROUND(+R287*(1+'Tax Tables'!$C$10)/IF(Round_To&gt;Tax_Rounding,Tax_Rounding,Round_To),0)*IF(Round_To&gt;Tax_Rounding,Tax_Rounding,Round_To)</f>
        <v>106200</v>
      </c>
      <c r="T287" s="29">
        <f>ROUND(+S287*(1+'Tax Tables'!$C$10)/IF(Round_To&gt;Tax_Rounding,Tax_Rounding,Round_To),0)*IF(Round_To&gt;Tax_Rounding,Tax_Rounding,Round_To)</f>
        <v>108500</v>
      </c>
      <c r="U287" s="29">
        <f>ROUND(+T287*(1+'Tax Tables'!$C$10)/IF(Round_To&gt;Tax_Rounding,Tax_Rounding,Round_To),0)*IF(Round_To&gt;Tax_Rounding,Tax_Rounding,Round_To)</f>
        <v>110900</v>
      </c>
      <c r="V287" s="29">
        <f>ROUND(+U287*(1+'Tax Tables'!$C$10)/IF(Round_To&gt;Tax_Rounding,Tax_Rounding,Round_To),0)*IF(Round_To&gt;Tax_Rounding,Tax_Rounding,Round_To)</f>
        <v>113300</v>
      </c>
      <c r="W287" s="29">
        <f>ROUND(+V287*(1+'Tax Tables'!$C$10)/IF(Round_To&gt;Tax_Rounding,Tax_Rounding,Round_To),0)*IF(Round_To&gt;Tax_Rounding,Tax_Rounding,Round_To)</f>
        <v>115800</v>
      </c>
      <c r="X287" s="29">
        <f>ROUND(+W287*(1+'Tax Tables'!$C$10)/IF(Round_To&gt;Tax_Rounding,Tax_Rounding,Round_To),0)*IF(Round_To&gt;Tax_Rounding,Tax_Rounding,Round_To)</f>
        <v>118300</v>
      </c>
      <c r="Y287" s="29">
        <f>ROUND(+X287*(1+'Tax Tables'!$C$10)/IF(Round_To&gt;Tax_Rounding,Tax_Rounding,Round_To),0)*IF(Round_To&gt;Tax_Rounding,Tax_Rounding,Round_To)</f>
        <v>120900</v>
      </c>
      <c r="Z287" s="29">
        <f>ROUND(+Y287*(1+'Tax Tables'!$C$10)/IF(Round_To&gt;Tax_Rounding,Tax_Rounding,Round_To),0)*IF(Round_To&gt;Tax_Rounding,Tax_Rounding,Round_To)</f>
        <v>123600</v>
      </c>
      <c r="AA287" s="29">
        <f>ROUND(+Z287*(1+'Tax Tables'!$C$10)/IF(Round_To&gt;Tax_Rounding,Tax_Rounding,Round_To),0)*IF(Round_To&gt;Tax_Rounding,Tax_Rounding,Round_To)</f>
        <v>126300</v>
      </c>
      <c r="AB287" s="29">
        <f>ROUND(+AA287*(1+'Tax Tables'!$C$10)/IF(Round_To&gt;Tax_Rounding,Tax_Rounding,Round_To),0)*IF(Round_To&gt;Tax_Rounding,Tax_Rounding,Round_To)</f>
        <v>129100</v>
      </c>
      <c r="AC287" s="29">
        <f>ROUND(+AB287*(1+'Tax Tables'!$C$10)/IF(Round_To&gt;Tax_Rounding,Tax_Rounding,Round_To),0)*IF(Round_To&gt;Tax_Rounding,Tax_Rounding,Round_To)</f>
        <v>131900</v>
      </c>
      <c r="AD287" s="29">
        <f>ROUND(+AC287*(1+'Tax Tables'!$C$10)/IF(Round_To&gt;Tax_Rounding,Tax_Rounding,Round_To),0)*IF(Round_To&gt;Tax_Rounding,Tax_Rounding,Round_To)</f>
        <v>134800</v>
      </c>
      <c r="AE287" s="29">
        <f>ROUND(+AD287*(1+'Tax Tables'!$C$10)/IF(Round_To&gt;Tax_Rounding,Tax_Rounding,Round_To),0)*IF(Round_To&gt;Tax_Rounding,Tax_Rounding,Round_To)</f>
        <v>137800</v>
      </c>
      <c r="AF287" s="29">
        <f>ROUND(+AE287*(1+'Tax Tables'!$C$10)/IF(Round_To&gt;Tax_Rounding,Tax_Rounding,Round_To),0)*IF(Round_To&gt;Tax_Rounding,Tax_Rounding,Round_To)</f>
        <v>140800</v>
      </c>
      <c r="AG287" s="29">
        <f>ROUND(+AF287*(1+'Tax Tables'!$C$10)/IF(Round_To&gt;Tax_Rounding,Tax_Rounding,Round_To),0)*IF(Round_To&gt;Tax_Rounding,Tax_Rounding,Round_To)</f>
        <v>143900</v>
      </c>
      <c r="AH287" s="29">
        <f>ROUND(+AG287*(1+'Tax Tables'!$C$10)/IF(Round_To&gt;Tax_Rounding,Tax_Rounding,Round_To),0)*IF(Round_To&gt;Tax_Rounding,Tax_Rounding,Round_To)</f>
        <v>147100</v>
      </c>
      <c r="AI287" s="29">
        <f>ROUND(+AH287*(1+'Tax Tables'!$C$10)/IF(Round_To&gt;Tax_Rounding,Tax_Rounding,Round_To),0)*IF(Round_To&gt;Tax_Rounding,Tax_Rounding,Round_To)</f>
        <v>150300</v>
      </c>
      <c r="AJ287" s="29">
        <f>ROUND(+AI287*(1+'Tax Tables'!$C$10)/IF(Round_To&gt;Tax_Rounding,Tax_Rounding,Round_To),0)*IF(Round_To&gt;Tax_Rounding,Tax_Rounding,Round_To)</f>
        <v>153600</v>
      </c>
      <c r="AK287" s="29">
        <f>ROUND(+AJ287*(1+'Tax Tables'!$C$10)/IF(Round_To&gt;Tax_Rounding,Tax_Rounding,Round_To),0)*IF(Round_To&gt;Tax_Rounding,Tax_Rounding,Round_To)</f>
        <v>157000</v>
      </c>
      <c r="AL287" s="29">
        <f>ROUND(+AK287*(1+'Tax Tables'!$C$10)/IF(Round_To&gt;Tax_Rounding,Tax_Rounding,Round_To),0)*IF(Round_To&gt;Tax_Rounding,Tax_Rounding,Round_To)</f>
        <v>160500</v>
      </c>
      <c r="AM287" s="29">
        <f>ROUND(+AL287*(1+'Tax Tables'!$C$10)/IF(Round_To&gt;Tax_Rounding,Tax_Rounding,Round_To),0)*IF(Round_To&gt;Tax_Rounding,Tax_Rounding,Round_To)</f>
        <v>164000</v>
      </c>
      <c r="AN287" s="29">
        <f>ROUND(+AM287*(1+'Tax Tables'!$C$10)/IF(Round_To&gt;Tax_Rounding,Tax_Rounding,Round_To),0)*IF(Round_To&gt;Tax_Rounding,Tax_Rounding,Round_To)</f>
        <v>167600</v>
      </c>
      <c r="AO287" s="29">
        <f>ROUND(+AN287*(1+'Tax Tables'!$C$10)/IF(Round_To&gt;Tax_Rounding,Tax_Rounding,Round_To),0)*IF(Round_To&gt;Tax_Rounding,Tax_Rounding,Round_To)</f>
        <v>171300</v>
      </c>
      <c r="AP287" s="29">
        <f>ROUND(+AO287*(1+'Tax Tables'!$C$10)/IF(Round_To&gt;Tax_Rounding,Tax_Rounding,Round_To),0)*IF(Round_To&gt;Tax_Rounding,Tax_Rounding,Round_To)</f>
        <v>175100</v>
      </c>
      <c r="AQ287" s="29">
        <f>ROUND(+AP287*(1+'Tax Tables'!$C$10)/IF(Round_To&gt;Tax_Rounding,Tax_Rounding,Round_To),0)*IF(Round_To&gt;Tax_Rounding,Tax_Rounding,Round_To)</f>
        <v>179000</v>
      </c>
      <c r="AR287" s="29">
        <f>ROUND(+AQ287*(1+'Tax Tables'!$C$10)/IF(Round_To&gt;Tax_Rounding,Tax_Rounding,Round_To),0)*IF(Round_To&gt;Tax_Rounding,Tax_Rounding,Round_To)</f>
        <v>182900</v>
      </c>
      <c r="AS287" s="29">
        <f>ROUND(+AR287*(1+'Tax Tables'!$C$10)/IF(Round_To&gt;Tax_Rounding,Tax_Rounding,Round_To),0)*IF(Round_To&gt;Tax_Rounding,Tax_Rounding,Round_To)</f>
        <v>186900</v>
      </c>
      <c r="AT287" s="29"/>
    </row>
    <row r="288" spans="2:46">
      <c r="C288" s="8"/>
      <c r="D288" s="8" t="s">
        <v>1476</v>
      </c>
      <c r="E288" s="226"/>
      <c r="F288" s="823">
        <f>+State2_Br_Per2</f>
        <v>7.0000000000000007E-2</v>
      </c>
      <c r="G288" s="61">
        <f>+F288</f>
        <v>7.0000000000000007E-2</v>
      </c>
      <c r="H288" s="61">
        <f t="shared" ref="H288:AS288" si="157">+G288</f>
        <v>7.0000000000000007E-2</v>
      </c>
      <c r="I288" s="61">
        <f t="shared" si="157"/>
        <v>7.0000000000000007E-2</v>
      </c>
      <c r="J288" s="61">
        <f t="shared" si="157"/>
        <v>7.0000000000000007E-2</v>
      </c>
      <c r="K288" s="61">
        <f t="shared" si="157"/>
        <v>7.0000000000000007E-2</v>
      </c>
      <c r="L288" s="61">
        <f t="shared" si="157"/>
        <v>7.0000000000000007E-2</v>
      </c>
      <c r="M288" s="61">
        <f t="shared" si="157"/>
        <v>7.0000000000000007E-2</v>
      </c>
      <c r="N288" s="61">
        <f t="shared" si="157"/>
        <v>7.0000000000000007E-2</v>
      </c>
      <c r="O288" s="61">
        <f t="shared" si="157"/>
        <v>7.0000000000000007E-2</v>
      </c>
      <c r="P288" s="61">
        <f t="shared" si="157"/>
        <v>7.0000000000000007E-2</v>
      </c>
      <c r="Q288" s="61">
        <f t="shared" si="157"/>
        <v>7.0000000000000007E-2</v>
      </c>
      <c r="R288" s="61">
        <f t="shared" si="157"/>
        <v>7.0000000000000007E-2</v>
      </c>
      <c r="S288" s="61">
        <f t="shared" si="157"/>
        <v>7.0000000000000007E-2</v>
      </c>
      <c r="T288" s="61">
        <f t="shared" si="157"/>
        <v>7.0000000000000007E-2</v>
      </c>
      <c r="U288" s="61">
        <f t="shared" si="157"/>
        <v>7.0000000000000007E-2</v>
      </c>
      <c r="V288" s="61">
        <f t="shared" si="157"/>
        <v>7.0000000000000007E-2</v>
      </c>
      <c r="W288" s="61">
        <f t="shared" si="157"/>
        <v>7.0000000000000007E-2</v>
      </c>
      <c r="X288" s="61">
        <f t="shared" si="157"/>
        <v>7.0000000000000007E-2</v>
      </c>
      <c r="Y288" s="61">
        <f t="shared" si="157"/>
        <v>7.0000000000000007E-2</v>
      </c>
      <c r="Z288" s="61">
        <f t="shared" si="157"/>
        <v>7.0000000000000007E-2</v>
      </c>
      <c r="AA288" s="61">
        <f t="shared" si="157"/>
        <v>7.0000000000000007E-2</v>
      </c>
      <c r="AB288" s="61">
        <f t="shared" si="157"/>
        <v>7.0000000000000007E-2</v>
      </c>
      <c r="AC288" s="61">
        <f t="shared" si="157"/>
        <v>7.0000000000000007E-2</v>
      </c>
      <c r="AD288" s="61">
        <f t="shared" si="157"/>
        <v>7.0000000000000007E-2</v>
      </c>
      <c r="AE288" s="61">
        <f t="shared" si="157"/>
        <v>7.0000000000000007E-2</v>
      </c>
      <c r="AF288" s="61">
        <f t="shared" si="157"/>
        <v>7.0000000000000007E-2</v>
      </c>
      <c r="AG288" s="61">
        <f t="shared" si="157"/>
        <v>7.0000000000000007E-2</v>
      </c>
      <c r="AH288" s="61">
        <f t="shared" si="157"/>
        <v>7.0000000000000007E-2</v>
      </c>
      <c r="AI288" s="61">
        <f t="shared" si="157"/>
        <v>7.0000000000000007E-2</v>
      </c>
      <c r="AJ288" s="61">
        <f t="shared" si="157"/>
        <v>7.0000000000000007E-2</v>
      </c>
      <c r="AK288" s="61">
        <f t="shared" si="157"/>
        <v>7.0000000000000007E-2</v>
      </c>
      <c r="AL288" s="61">
        <f t="shared" si="157"/>
        <v>7.0000000000000007E-2</v>
      </c>
      <c r="AM288" s="61">
        <f t="shared" si="157"/>
        <v>7.0000000000000007E-2</v>
      </c>
      <c r="AN288" s="61">
        <f t="shared" si="157"/>
        <v>7.0000000000000007E-2</v>
      </c>
      <c r="AO288" s="61">
        <f t="shared" si="157"/>
        <v>7.0000000000000007E-2</v>
      </c>
      <c r="AP288" s="61">
        <f t="shared" si="157"/>
        <v>7.0000000000000007E-2</v>
      </c>
      <c r="AQ288" s="61">
        <f t="shared" si="157"/>
        <v>7.0000000000000007E-2</v>
      </c>
      <c r="AR288" s="61">
        <f t="shared" si="157"/>
        <v>7.0000000000000007E-2</v>
      </c>
      <c r="AS288" s="61">
        <f t="shared" si="157"/>
        <v>7.0000000000000007E-2</v>
      </c>
      <c r="AT288" s="61"/>
    </row>
    <row r="289" spans="1:46">
      <c r="C289" s="8"/>
      <c r="D289" s="8" t="s">
        <v>1414</v>
      </c>
      <c r="E289" s="29"/>
      <c r="F289" s="102">
        <f t="shared" ref="F289:AS289" si="158">ROUND((+F287-F286)*F288/IF(Round_To&gt;Tax_Rounding,Tax_Rounding,Round_To),0)*IF(Round_To&gt;Tax_Rounding,Tax_Rounding,Round_To)</f>
        <v>3900</v>
      </c>
      <c r="G289" s="29">
        <f t="shared" si="158"/>
        <v>3900</v>
      </c>
      <c r="H289" s="29">
        <f t="shared" si="158"/>
        <v>4000</v>
      </c>
      <c r="I289" s="29">
        <f t="shared" si="158"/>
        <v>4100</v>
      </c>
      <c r="J289" s="29">
        <f t="shared" si="158"/>
        <v>4200</v>
      </c>
      <c r="K289" s="29">
        <f t="shared" si="158"/>
        <v>4300</v>
      </c>
      <c r="L289" s="29">
        <f t="shared" si="158"/>
        <v>4400</v>
      </c>
      <c r="M289" s="29">
        <f t="shared" si="158"/>
        <v>4500</v>
      </c>
      <c r="N289" s="29">
        <f t="shared" si="158"/>
        <v>4600</v>
      </c>
      <c r="O289" s="29">
        <f t="shared" si="158"/>
        <v>4700</v>
      </c>
      <c r="P289" s="29">
        <f t="shared" si="158"/>
        <v>4800</v>
      </c>
      <c r="Q289" s="29">
        <f t="shared" si="158"/>
        <v>4900</v>
      </c>
      <c r="R289" s="29">
        <f t="shared" si="158"/>
        <v>5000</v>
      </c>
      <c r="S289" s="29">
        <f t="shared" si="158"/>
        <v>5100</v>
      </c>
      <c r="T289" s="29">
        <f t="shared" si="158"/>
        <v>5200</v>
      </c>
      <c r="U289" s="29">
        <f t="shared" si="158"/>
        <v>5300</v>
      </c>
      <c r="V289" s="29">
        <f t="shared" si="158"/>
        <v>5400</v>
      </c>
      <c r="W289" s="29">
        <f t="shared" si="158"/>
        <v>5600</v>
      </c>
      <c r="X289" s="29">
        <f t="shared" si="158"/>
        <v>5700</v>
      </c>
      <c r="Y289" s="29">
        <f t="shared" si="158"/>
        <v>5800</v>
      </c>
      <c r="Z289" s="29">
        <f t="shared" si="158"/>
        <v>5900</v>
      </c>
      <c r="AA289" s="29">
        <f t="shared" si="158"/>
        <v>6100</v>
      </c>
      <c r="AB289" s="29">
        <f t="shared" si="158"/>
        <v>6200</v>
      </c>
      <c r="AC289" s="29">
        <f t="shared" si="158"/>
        <v>6300</v>
      </c>
      <c r="AD289" s="29">
        <f t="shared" si="158"/>
        <v>6500</v>
      </c>
      <c r="AE289" s="29">
        <f t="shared" si="158"/>
        <v>6600</v>
      </c>
      <c r="AF289" s="29">
        <f t="shared" si="158"/>
        <v>6800</v>
      </c>
      <c r="AG289" s="29">
        <f t="shared" si="158"/>
        <v>6900</v>
      </c>
      <c r="AH289" s="29">
        <f t="shared" si="158"/>
        <v>7100</v>
      </c>
      <c r="AI289" s="29">
        <f t="shared" si="158"/>
        <v>7200</v>
      </c>
      <c r="AJ289" s="29">
        <f t="shared" si="158"/>
        <v>7400</v>
      </c>
      <c r="AK289" s="29">
        <f t="shared" si="158"/>
        <v>7500</v>
      </c>
      <c r="AL289" s="29">
        <f t="shared" si="158"/>
        <v>7700</v>
      </c>
      <c r="AM289" s="29">
        <f t="shared" si="158"/>
        <v>7900</v>
      </c>
      <c r="AN289" s="29">
        <f t="shared" si="158"/>
        <v>8100</v>
      </c>
      <c r="AO289" s="29">
        <f t="shared" si="158"/>
        <v>8200</v>
      </c>
      <c r="AP289" s="29">
        <f t="shared" si="158"/>
        <v>8400</v>
      </c>
      <c r="AQ289" s="29">
        <f t="shared" si="158"/>
        <v>8600</v>
      </c>
      <c r="AR289" s="29">
        <f t="shared" si="158"/>
        <v>8800</v>
      </c>
      <c r="AS289" s="29">
        <f t="shared" si="158"/>
        <v>9000</v>
      </c>
      <c r="AT289" s="29"/>
    </row>
    <row r="290" spans="1:46">
      <c r="C290" s="8"/>
      <c r="D290" s="8"/>
      <c r="E290" s="29"/>
      <c r="F290" s="102"/>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row>
    <row r="291" spans="1:46">
      <c r="C291" s="8"/>
      <c r="D291" s="8" t="s">
        <v>1474</v>
      </c>
      <c r="E291" s="29"/>
      <c r="F291" s="110">
        <f>+F287</f>
        <v>80000</v>
      </c>
      <c r="G291" s="29">
        <f>ROUND(+F291*(1+'Tax Tables'!$C$10)/IF(Round_To&gt;Tax_Rounding,Tax_Rounding,Round_To),0)*IF(Round_To&gt;Tax_Rounding,Tax_Rounding,Round_To)</f>
        <v>81800</v>
      </c>
      <c r="H291" s="29">
        <f>ROUND(+G291*(1+'Tax Tables'!$C$10)/IF(Round_To&gt;Tax_Rounding,Tax_Rounding,Round_To),0)*IF(Round_To&gt;Tax_Rounding,Tax_Rounding,Round_To)</f>
        <v>83600</v>
      </c>
      <c r="I291" s="29">
        <f>ROUND(+H291*(1+'Tax Tables'!$C$10)/IF(Round_To&gt;Tax_Rounding,Tax_Rounding,Round_To),0)*IF(Round_To&gt;Tax_Rounding,Tax_Rounding,Round_To)</f>
        <v>85400</v>
      </c>
      <c r="J291" s="29">
        <f>ROUND(+I291*(1+'Tax Tables'!$C$10)/IF(Round_To&gt;Tax_Rounding,Tax_Rounding,Round_To),0)*IF(Round_To&gt;Tax_Rounding,Tax_Rounding,Round_To)</f>
        <v>87300</v>
      </c>
      <c r="K291" s="29">
        <f>ROUND(+J291*(1+'Tax Tables'!$C$10)/IF(Round_To&gt;Tax_Rounding,Tax_Rounding,Round_To),0)*IF(Round_To&gt;Tax_Rounding,Tax_Rounding,Round_To)</f>
        <v>89200</v>
      </c>
      <c r="L291" s="29">
        <f>ROUND(+K291*(1+'Tax Tables'!$C$10)/IF(Round_To&gt;Tax_Rounding,Tax_Rounding,Round_To),0)*IF(Round_To&gt;Tax_Rounding,Tax_Rounding,Round_To)</f>
        <v>91200</v>
      </c>
      <c r="M291" s="29">
        <f>ROUND(+L291*(1+'Tax Tables'!$C$10)/IF(Round_To&gt;Tax_Rounding,Tax_Rounding,Round_To),0)*IF(Round_To&gt;Tax_Rounding,Tax_Rounding,Round_To)</f>
        <v>93200</v>
      </c>
      <c r="N291" s="29">
        <f>ROUND(+M291*(1+'Tax Tables'!$C$10)/IF(Round_To&gt;Tax_Rounding,Tax_Rounding,Round_To),0)*IF(Round_To&gt;Tax_Rounding,Tax_Rounding,Round_To)</f>
        <v>95300</v>
      </c>
      <c r="O291" s="29">
        <f>ROUND(+N291*(1+'Tax Tables'!$C$10)/IF(Round_To&gt;Tax_Rounding,Tax_Rounding,Round_To),0)*IF(Round_To&gt;Tax_Rounding,Tax_Rounding,Round_To)</f>
        <v>97400</v>
      </c>
      <c r="P291" s="29">
        <f>ROUND(+O291*(1+'Tax Tables'!$C$10)/IF(Round_To&gt;Tax_Rounding,Tax_Rounding,Round_To),0)*IF(Round_To&gt;Tax_Rounding,Tax_Rounding,Round_To)</f>
        <v>99500</v>
      </c>
      <c r="Q291" s="29">
        <f>ROUND(+P291*(1+'Tax Tables'!$C$10)/IF(Round_To&gt;Tax_Rounding,Tax_Rounding,Round_To),0)*IF(Round_To&gt;Tax_Rounding,Tax_Rounding,Round_To)</f>
        <v>101700</v>
      </c>
      <c r="R291" s="29">
        <f>ROUND(+Q291*(1+'Tax Tables'!$C$10)/IF(Round_To&gt;Tax_Rounding,Tax_Rounding,Round_To),0)*IF(Round_To&gt;Tax_Rounding,Tax_Rounding,Round_To)</f>
        <v>103900</v>
      </c>
      <c r="S291" s="29">
        <f>ROUND(+R291*(1+'Tax Tables'!$C$10)/IF(Round_To&gt;Tax_Rounding,Tax_Rounding,Round_To),0)*IF(Round_To&gt;Tax_Rounding,Tax_Rounding,Round_To)</f>
        <v>106200</v>
      </c>
      <c r="T291" s="29">
        <f>ROUND(+S291*(1+'Tax Tables'!$C$10)/IF(Round_To&gt;Tax_Rounding,Tax_Rounding,Round_To),0)*IF(Round_To&gt;Tax_Rounding,Tax_Rounding,Round_To)</f>
        <v>108500</v>
      </c>
      <c r="U291" s="29">
        <f>ROUND(+T291*(1+'Tax Tables'!$C$10)/IF(Round_To&gt;Tax_Rounding,Tax_Rounding,Round_To),0)*IF(Round_To&gt;Tax_Rounding,Tax_Rounding,Round_To)</f>
        <v>110900</v>
      </c>
      <c r="V291" s="29">
        <f>ROUND(+U291*(1+'Tax Tables'!$C$10)/IF(Round_To&gt;Tax_Rounding,Tax_Rounding,Round_To),0)*IF(Round_To&gt;Tax_Rounding,Tax_Rounding,Round_To)</f>
        <v>113300</v>
      </c>
      <c r="W291" s="29">
        <f>ROUND(+V291*(1+'Tax Tables'!$C$10)/IF(Round_To&gt;Tax_Rounding,Tax_Rounding,Round_To),0)*IF(Round_To&gt;Tax_Rounding,Tax_Rounding,Round_To)</f>
        <v>115800</v>
      </c>
      <c r="X291" s="29">
        <f>ROUND(+W291*(1+'Tax Tables'!$C$10)/IF(Round_To&gt;Tax_Rounding,Tax_Rounding,Round_To),0)*IF(Round_To&gt;Tax_Rounding,Tax_Rounding,Round_To)</f>
        <v>118300</v>
      </c>
      <c r="Y291" s="29">
        <f>ROUND(+X291*(1+'Tax Tables'!$C$10)/IF(Round_To&gt;Tax_Rounding,Tax_Rounding,Round_To),0)*IF(Round_To&gt;Tax_Rounding,Tax_Rounding,Round_To)</f>
        <v>120900</v>
      </c>
      <c r="Z291" s="29">
        <f>ROUND(+Y291*(1+'Tax Tables'!$C$10)/IF(Round_To&gt;Tax_Rounding,Tax_Rounding,Round_To),0)*IF(Round_To&gt;Tax_Rounding,Tax_Rounding,Round_To)</f>
        <v>123600</v>
      </c>
      <c r="AA291" s="29">
        <f>ROUND(+Z291*(1+'Tax Tables'!$C$10)/IF(Round_To&gt;Tax_Rounding,Tax_Rounding,Round_To),0)*IF(Round_To&gt;Tax_Rounding,Tax_Rounding,Round_To)</f>
        <v>126300</v>
      </c>
      <c r="AB291" s="29">
        <f>ROUND(+AA291*(1+'Tax Tables'!$C$10)/IF(Round_To&gt;Tax_Rounding,Tax_Rounding,Round_To),0)*IF(Round_To&gt;Tax_Rounding,Tax_Rounding,Round_To)</f>
        <v>129100</v>
      </c>
      <c r="AC291" s="29">
        <f>ROUND(+AB291*(1+'Tax Tables'!$C$10)/IF(Round_To&gt;Tax_Rounding,Tax_Rounding,Round_To),0)*IF(Round_To&gt;Tax_Rounding,Tax_Rounding,Round_To)</f>
        <v>131900</v>
      </c>
      <c r="AD291" s="29">
        <f>ROUND(+AC291*(1+'Tax Tables'!$C$10)/IF(Round_To&gt;Tax_Rounding,Tax_Rounding,Round_To),0)*IF(Round_To&gt;Tax_Rounding,Tax_Rounding,Round_To)</f>
        <v>134800</v>
      </c>
      <c r="AE291" s="29">
        <f>ROUND(+AD291*(1+'Tax Tables'!$C$10)/IF(Round_To&gt;Tax_Rounding,Tax_Rounding,Round_To),0)*IF(Round_To&gt;Tax_Rounding,Tax_Rounding,Round_To)</f>
        <v>137800</v>
      </c>
      <c r="AF291" s="29">
        <f>ROUND(+AE291*(1+'Tax Tables'!$C$10)/IF(Round_To&gt;Tax_Rounding,Tax_Rounding,Round_To),0)*IF(Round_To&gt;Tax_Rounding,Tax_Rounding,Round_To)</f>
        <v>140800</v>
      </c>
      <c r="AG291" s="29">
        <f>ROUND(+AF291*(1+'Tax Tables'!$C$10)/IF(Round_To&gt;Tax_Rounding,Tax_Rounding,Round_To),0)*IF(Round_To&gt;Tax_Rounding,Tax_Rounding,Round_To)</f>
        <v>143900</v>
      </c>
      <c r="AH291" s="29">
        <f>ROUND(+AG291*(1+'Tax Tables'!$C$10)/IF(Round_To&gt;Tax_Rounding,Tax_Rounding,Round_To),0)*IF(Round_To&gt;Tax_Rounding,Tax_Rounding,Round_To)</f>
        <v>147100</v>
      </c>
      <c r="AI291" s="29">
        <f>ROUND(+AH291*(1+'Tax Tables'!$C$10)/IF(Round_To&gt;Tax_Rounding,Tax_Rounding,Round_To),0)*IF(Round_To&gt;Tax_Rounding,Tax_Rounding,Round_To)</f>
        <v>150300</v>
      </c>
      <c r="AJ291" s="29">
        <f>ROUND(+AI291*(1+'Tax Tables'!$C$10)/IF(Round_To&gt;Tax_Rounding,Tax_Rounding,Round_To),0)*IF(Round_To&gt;Tax_Rounding,Tax_Rounding,Round_To)</f>
        <v>153600</v>
      </c>
      <c r="AK291" s="29">
        <f>ROUND(+AJ291*(1+'Tax Tables'!$C$10)/IF(Round_To&gt;Tax_Rounding,Tax_Rounding,Round_To),0)*IF(Round_To&gt;Tax_Rounding,Tax_Rounding,Round_To)</f>
        <v>157000</v>
      </c>
      <c r="AL291" s="29">
        <f>ROUND(+AK291*(1+'Tax Tables'!$C$10)/IF(Round_To&gt;Tax_Rounding,Tax_Rounding,Round_To),0)*IF(Round_To&gt;Tax_Rounding,Tax_Rounding,Round_To)</f>
        <v>160500</v>
      </c>
      <c r="AM291" s="29">
        <f>ROUND(+AL291*(1+'Tax Tables'!$C$10)/IF(Round_To&gt;Tax_Rounding,Tax_Rounding,Round_To),0)*IF(Round_To&gt;Tax_Rounding,Tax_Rounding,Round_To)</f>
        <v>164000</v>
      </c>
      <c r="AN291" s="29">
        <f>ROUND(+AM291*(1+'Tax Tables'!$C$10)/IF(Round_To&gt;Tax_Rounding,Tax_Rounding,Round_To),0)*IF(Round_To&gt;Tax_Rounding,Tax_Rounding,Round_To)</f>
        <v>167600</v>
      </c>
      <c r="AO291" s="29">
        <f>ROUND(+AN291*(1+'Tax Tables'!$C$10)/IF(Round_To&gt;Tax_Rounding,Tax_Rounding,Round_To),0)*IF(Round_To&gt;Tax_Rounding,Tax_Rounding,Round_To)</f>
        <v>171300</v>
      </c>
      <c r="AP291" s="29">
        <f>ROUND(+AO291*(1+'Tax Tables'!$C$10)/IF(Round_To&gt;Tax_Rounding,Tax_Rounding,Round_To),0)*IF(Round_To&gt;Tax_Rounding,Tax_Rounding,Round_To)</f>
        <v>175100</v>
      </c>
      <c r="AQ291" s="29">
        <f>ROUND(+AP291*(1+'Tax Tables'!$C$10)/IF(Round_To&gt;Tax_Rounding,Tax_Rounding,Round_To),0)*IF(Round_To&gt;Tax_Rounding,Tax_Rounding,Round_To)</f>
        <v>179000</v>
      </c>
      <c r="AR291" s="29">
        <f>ROUND(+AQ291*(1+'Tax Tables'!$C$10)/IF(Round_To&gt;Tax_Rounding,Tax_Rounding,Round_To),0)*IF(Round_To&gt;Tax_Rounding,Tax_Rounding,Round_To)</f>
        <v>182900</v>
      </c>
      <c r="AS291" s="29">
        <f>ROUND(+AR291*(1+'Tax Tables'!$C$10)/IF(Round_To&gt;Tax_Rounding,Tax_Rounding,Round_To),0)*IF(Round_To&gt;Tax_Rounding,Tax_Rounding,Round_To)</f>
        <v>186900</v>
      </c>
      <c r="AT291" s="29"/>
    </row>
    <row r="292" spans="1:46">
      <c r="C292" s="8"/>
      <c r="D292" s="8" t="s">
        <v>1476</v>
      </c>
      <c r="E292" s="226"/>
      <c r="F292" s="823">
        <f>+State2_Br_Per3</f>
        <v>0.08</v>
      </c>
      <c r="G292" s="61">
        <f>+F292</f>
        <v>0.08</v>
      </c>
      <c r="H292" s="61">
        <f t="shared" ref="H292:AS292" si="159">+G292</f>
        <v>0.08</v>
      </c>
      <c r="I292" s="61">
        <f t="shared" si="159"/>
        <v>0.08</v>
      </c>
      <c r="J292" s="61">
        <f t="shared" si="159"/>
        <v>0.08</v>
      </c>
      <c r="K292" s="61">
        <f t="shared" si="159"/>
        <v>0.08</v>
      </c>
      <c r="L292" s="61">
        <f t="shared" si="159"/>
        <v>0.08</v>
      </c>
      <c r="M292" s="61">
        <f t="shared" si="159"/>
        <v>0.08</v>
      </c>
      <c r="N292" s="61">
        <f t="shared" si="159"/>
        <v>0.08</v>
      </c>
      <c r="O292" s="61">
        <f t="shared" si="159"/>
        <v>0.08</v>
      </c>
      <c r="P292" s="61">
        <f t="shared" si="159"/>
        <v>0.08</v>
      </c>
      <c r="Q292" s="61">
        <f t="shared" si="159"/>
        <v>0.08</v>
      </c>
      <c r="R292" s="61">
        <f t="shared" si="159"/>
        <v>0.08</v>
      </c>
      <c r="S292" s="61">
        <f t="shared" si="159"/>
        <v>0.08</v>
      </c>
      <c r="T292" s="61">
        <f t="shared" si="159"/>
        <v>0.08</v>
      </c>
      <c r="U292" s="61">
        <f t="shared" si="159"/>
        <v>0.08</v>
      </c>
      <c r="V292" s="61">
        <f t="shared" si="159"/>
        <v>0.08</v>
      </c>
      <c r="W292" s="61">
        <f t="shared" si="159"/>
        <v>0.08</v>
      </c>
      <c r="X292" s="61">
        <f t="shared" si="159"/>
        <v>0.08</v>
      </c>
      <c r="Y292" s="61">
        <f t="shared" si="159"/>
        <v>0.08</v>
      </c>
      <c r="Z292" s="61">
        <f t="shared" si="159"/>
        <v>0.08</v>
      </c>
      <c r="AA292" s="61">
        <f t="shared" si="159"/>
        <v>0.08</v>
      </c>
      <c r="AB292" s="61">
        <f t="shared" si="159"/>
        <v>0.08</v>
      </c>
      <c r="AC292" s="61">
        <f t="shared" si="159"/>
        <v>0.08</v>
      </c>
      <c r="AD292" s="61">
        <f t="shared" si="159"/>
        <v>0.08</v>
      </c>
      <c r="AE292" s="61">
        <f t="shared" si="159"/>
        <v>0.08</v>
      </c>
      <c r="AF292" s="61">
        <f t="shared" si="159"/>
        <v>0.08</v>
      </c>
      <c r="AG292" s="61">
        <f t="shared" si="159"/>
        <v>0.08</v>
      </c>
      <c r="AH292" s="61">
        <f t="shared" si="159"/>
        <v>0.08</v>
      </c>
      <c r="AI292" s="61">
        <f t="shared" si="159"/>
        <v>0.08</v>
      </c>
      <c r="AJ292" s="61">
        <f t="shared" si="159"/>
        <v>0.08</v>
      </c>
      <c r="AK292" s="61">
        <f t="shared" si="159"/>
        <v>0.08</v>
      </c>
      <c r="AL292" s="61">
        <f t="shared" si="159"/>
        <v>0.08</v>
      </c>
      <c r="AM292" s="61">
        <f t="shared" si="159"/>
        <v>0.08</v>
      </c>
      <c r="AN292" s="61">
        <f t="shared" si="159"/>
        <v>0.08</v>
      </c>
      <c r="AO292" s="61">
        <f t="shared" si="159"/>
        <v>0.08</v>
      </c>
      <c r="AP292" s="61">
        <f t="shared" si="159"/>
        <v>0.08</v>
      </c>
      <c r="AQ292" s="61">
        <f t="shared" si="159"/>
        <v>0.08</v>
      </c>
      <c r="AR292" s="61">
        <f t="shared" si="159"/>
        <v>0.08</v>
      </c>
      <c r="AS292" s="61">
        <f t="shared" si="159"/>
        <v>0.08</v>
      </c>
      <c r="AT292" s="61"/>
    </row>
    <row r="293" spans="1:46">
      <c r="C293" s="8"/>
      <c r="D293" s="8"/>
      <c r="E293" s="60"/>
      <c r="F293" s="60"/>
      <c r="G293" s="61"/>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c r="AE293" s="61"/>
      <c r="AF293" s="61"/>
      <c r="AG293" s="61"/>
      <c r="AH293" s="61"/>
      <c r="AI293" s="61"/>
      <c r="AJ293" s="61"/>
      <c r="AK293" s="61"/>
      <c r="AL293" s="61"/>
      <c r="AM293" s="61"/>
      <c r="AN293" s="61"/>
      <c r="AO293" s="61"/>
      <c r="AP293" s="61"/>
      <c r="AQ293" s="61"/>
      <c r="AR293" s="61"/>
      <c r="AS293" s="61"/>
      <c r="AT293" s="61"/>
    </row>
    <row r="294" spans="1:46" ht="15.6">
      <c r="C294" s="8"/>
      <c r="D294" s="589" t="str">
        <f>IF(Tax_Rates_Alt="y","ALERT: Alternative tax rates activated ","")</f>
        <v/>
      </c>
      <c r="E294" s="60"/>
      <c r="F294" s="60"/>
      <c r="G294" s="61"/>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c r="AE294" s="61"/>
      <c r="AF294" s="61"/>
      <c r="AG294" s="61"/>
      <c r="AH294" s="61"/>
      <c r="AI294" s="61"/>
      <c r="AJ294" s="61"/>
      <c r="AK294" s="61"/>
      <c r="AL294" s="61"/>
      <c r="AM294" s="61"/>
      <c r="AN294" s="61"/>
      <c r="AO294" s="61"/>
      <c r="AP294" s="61"/>
      <c r="AQ294" s="61"/>
      <c r="AR294" s="61"/>
      <c r="AS294" s="61"/>
      <c r="AT294" s="61"/>
    </row>
    <row r="295" spans="1:46" ht="19.95" customHeight="1">
      <c r="A295" s="1826" t="s">
        <v>513</v>
      </c>
      <c r="B295" s="1826"/>
      <c r="C295" s="1826"/>
      <c r="D295" s="247"/>
      <c r="E295" s="51" t="s">
        <v>1060</v>
      </c>
      <c r="F295" s="27">
        <f t="shared" ref="F295:AS295" si="160">+F93</f>
        <v>2019</v>
      </c>
      <c r="G295" s="27">
        <f t="shared" si="160"/>
        <v>2020</v>
      </c>
      <c r="H295" s="27">
        <f t="shared" si="160"/>
        <v>2021</v>
      </c>
      <c r="I295" s="27">
        <f t="shared" si="160"/>
        <v>2022</v>
      </c>
      <c r="J295" s="27">
        <f t="shared" si="160"/>
        <v>2023</v>
      </c>
      <c r="K295" s="27">
        <f t="shared" si="160"/>
        <v>2024</v>
      </c>
      <c r="L295" s="27">
        <f t="shared" si="160"/>
        <v>2025</v>
      </c>
      <c r="M295" s="27">
        <f t="shared" si="160"/>
        <v>2026</v>
      </c>
      <c r="N295" s="27">
        <f t="shared" si="160"/>
        <v>2027</v>
      </c>
      <c r="O295" s="27">
        <f t="shared" si="160"/>
        <v>2028</v>
      </c>
      <c r="P295" s="27">
        <f t="shared" si="160"/>
        <v>2029</v>
      </c>
      <c r="Q295" s="27">
        <f t="shared" si="160"/>
        <v>2030</v>
      </c>
      <c r="R295" s="27">
        <f t="shared" si="160"/>
        <v>2031</v>
      </c>
      <c r="S295" s="27">
        <f t="shared" si="160"/>
        <v>2032</v>
      </c>
      <c r="T295" s="27">
        <f t="shared" si="160"/>
        <v>2033</v>
      </c>
      <c r="U295" s="27">
        <f t="shared" si="160"/>
        <v>2034</v>
      </c>
      <c r="V295" s="27">
        <f t="shared" si="160"/>
        <v>2035</v>
      </c>
      <c r="W295" s="27">
        <f t="shared" si="160"/>
        <v>2036</v>
      </c>
      <c r="X295" s="27">
        <f t="shared" si="160"/>
        <v>2037</v>
      </c>
      <c r="Y295" s="27">
        <f t="shared" si="160"/>
        <v>2038</v>
      </c>
      <c r="Z295" s="27">
        <f t="shared" si="160"/>
        <v>2039</v>
      </c>
      <c r="AA295" s="27">
        <f t="shared" si="160"/>
        <v>2040</v>
      </c>
      <c r="AB295" s="27">
        <f t="shared" si="160"/>
        <v>2041</v>
      </c>
      <c r="AC295" s="27">
        <f t="shared" si="160"/>
        <v>2042</v>
      </c>
      <c r="AD295" s="27">
        <f t="shared" si="160"/>
        <v>2043</v>
      </c>
      <c r="AE295" s="27">
        <f t="shared" si="160"/>
        <v>2044</v>
      </c>
      <c r="AF295" s="27">
        <f t="shared" si="160"/>
        <v>2045</v>
      </c>
      <c r="AG295" s="27">
        <f t="shared" si="160"/>
        <v>2046</v>
      </c>
      <c r="AH295" s="27">
        <f t="shared" si="160"/>
        <v>2047</v>
      </c>
      <c r="AI295" s="27">
        <f t="shared" si="160"/>
        <v>2048</v>
      </c>
      <c r="AJ295" s="27">
        <f t="shared" si="160"/>
        <v>2049</v>
      </c>
      <c r="AK295" s="27">
        <f t="shared" si="160"/>
        <v>2050</v>
      </c>
      <c r="AL295" s="27">
        <f t="shared" si="160"/>
        <v>2051</v>
      </c>
      <c r="AM295" s="27">
        <f t="shared" si="160"/>
        <v>2052</v>
      </c>
      <c r="AN295" s="27">
        <f t="shared" si="160"/>
        <v>2053</v>
      </c>
      <c r="AO295" s="27">
        <f t="shared" si="160"/>
        <v>2054</v>
      </c>
      <c r="AP295" s="27">
        <f t="shared" si="160"/>
        <v>2055</v>
      </c>
      <c r="AQ295" s="27">
        <f t="shared" si="160"/>
        <v>2056</v>
      </c>
      <c r="AR295" s="27">
        <f t="shared" si="160"/>
        <v>2057</v>
      </c>
      <c r="AS295" s="27">
        <f t="shared" si="160"/>
        <v>2058</v>
      </c>
      <c r="AT295" s="74"/>
    </row>
    <row r="296" spans="1:46" ht="15.6">
      <c r="E296" s="13"/>
      <c r="F296" s="13">
        <v>1</v>
      </c>
      <c r="G296" s="13">
        <f>+F296+1</f>
        <v>2</v>
      </c>
      <c r="H296" s="13">
        <f t="shared" ref="H296:AS296" si="161">+G296+1</f>
        <v>3</v>
      </c>
      <c r="I296" s="13">
        <f t="shared" si="161"/>
        <v>4</v>
      </c>
      <c r="J296" s="13">
        <f t="shared" si="161"/>
        <v>5</v>
      </c>
      <c r="K296" s="13">
        <f t="shared" si="161"/>
        <v>6</v>
      </c>
      <c r="L296" s="13">
        <f t="shared" si="161"/>
        <v>7</v>
      </c>
      <c r="M296" s="13">
        <f t="shared" si="161"/>
        <v>8</v>
      </c>
      <c r="N296" s="13">
        <f t="shared" si="161"/>
        <v>9</v>
      </c>
      <c r="O296" s="13">
        <f t="shared" si="161"/>
        <v>10</v>
      </c>
      <c r="P296" s="13">
        <f t="shared" si="161"/>
        <v>11</v>
      </c>
      <c r="Q296" s="13">
        <f t="shared" si="161"/>
        <v>12</v>
      </c>
      <c r="R296" s="13">
        <f t="shared" si="161"/>
        <v>13</v>
      </c>
      <c r="S296" s="13">
        <f t="shared" si="161"/>
        <v>14</v>
      </c>
      <c r="T296" s="13">
        <f t="shared" si="161"/>
        <v>15</v>
      </c>
      <c r="U296" s="13">
        <f t="shared" si="161"/>
        <v>16</v>
      </c>
      <c r="V296" s="13">
        <f t="shared" si="161"/>
        <v>17</v>
      </c>
      <c r="W296" s="13">
        <f t="shared" si="161"/>
        <v>18</v>
      </c>
      <c r="X296" s="13">
        <f t="shared" si="161"/>
        <v>19</v>
      </c>
      <c r="Y296" s="13">
        <f t="shared" si="161"/>
        <v>20</v>
      </c>
      <c r="Z296" s="13">
        <f t="shared" si="161"/>
        <v>21</v>
      </c>
      <c r="AA296" s="13">
        <f t="shared" si="161"/>
        <v>22</v>
      </c>
      <c r="AB296" s="13">
        <f t="shared" si="161"/>
        <v>23</v>
      </c>
      <c r="AC296" s="13">
        <f t="shared" si="161"/>
        <v>24</v>
      </c>
      <c r="AD296" s="13">
        <f t="shared" si="161"/>
        <v>25</v>
      </c>
      <c r="AE296" s="13">
        <f t="shared" si="161"/>
        <v>26</v>
      </c>
      <c r="AF296" s="13">
        <f t="shared" si="161"/>
        <v>27</v>
      </c>
      <c r="AG296" s="13">
        <f t="shared" si="161"/>
        <v>28</v>
      </c>
      <c r="AH296" s="13">
        <f t="shared" si="161"/>
        <v>29</v>
      </c>
      <c r="AI296" s="13">
        <f t="shared" si="161"/>
        <v>30</v>
      </c>
      <c r="AJ296" s="13">
        <f t="shared" si="161"/>
        <v>31</v>
      </c>
      <c r="AK296" s="13">
        <f t="shared" si="161"/>
        <v>32</v>
      </c>
      <c r="AL296" s="13">
        <f t="shared" si="161"/>
        <v>33</v>
      </c>
      <c r="AM296" s="13">
        <f t="shared" si="161"/>
        <v>34</v>
      </c>
      <c r="AN296" s="13">
        <f t="shared" si="161"/>
        <v>35</v>
      </c>
      <c r="AO296" s="13">
        <f t="shared" si="161"/>
        <v>36</v>
      </c>
      <c r="AP296" s="13">
        <f t="shared" si="161"/>
        <v>37</v>
      </c>
      <c r="AQ296" s="13">
        <f t="shared" si="161"/>
        <v>38</v>
      </c>
      <c r="AR296" s="13">
        <f t="shared" si="161"/>
        <v>39</v>
      </c>
      <c r="AS296" s="13">
        <f t="shared" si="161"/>
        <v>40</v>
      </c>
      <c r="AT296" s="13"/>
    </row>
    <row r="297" spans="1:46" ht="15.6" hidden="1">
      <c r="B297" s="169" t="s">
        <v>1587</v>
      </c>
      <c r="C297" s="313"/>
      <c r="D297" s="313"/>
      <c r="E297" s="13"/>
      <c r="F297" s="181">
        <f t="shared" ref="F297:AS297" si="162">IF(Filing_Status = "m",IF(OR(F$1&lt;Single_Rate_Start,Single_Rate_Start=""),+F110,+F188),+F188)</f>
        <v>0.1</v>
      </c>
      <c r="G297" s="181">
        <f t="shared" si="162"/>
        <v>0.1</v>
      </c>
      <c r="H297" s="181">
        <f t="shared" si="162"/>
        <v>0.1</v>
      </c>
      <c r="I297" s="181">
        <f t="shared" si="162"/>
        <v>0.1</v>
      </c>
      <c r="J297" s="181">
        <f t="shared" si="162"/>
        <v>0.1</v>
      </c>
      <c r="K297" s="181">
        <f t="shared" si="162"/>
        <v>0.1</v>
      </c>
      <c r="L297" s="181">
        <f t="shared" si="162"/>
        <v>0.1</v>
      </c>
      <c r="M297" s="181">
        <f t="shared" si="162"/>
        <v>0.1</v>
      </c>
      <c r="N297" s="181">
        <f t="shared" si="162"/>
        <v>0.1</v>
      </c>
      <c r="O297" s="181">
        <f t="shared" si="162"/>
        <v>0.1</v>
      </c>
      <c r="P297" s="181">
        <f t="shared" si="162"/>
        <v>0.1</v>
      </c>
      <c r="Q297" s="181">
        <f t="shared" si="162"/>
        <v>0.1</v>
      </c>
      <c r="R297" s="181">
        <f t="shared" si="162"/>
        <v>0.1</v>
      </c>
      <c r="S297" s="181">
        <f t="shared" si="162"/>
        <v>0.1</v>
      </c>
      <c r="T297" s="181">
        <f t="shared" si="162"/>
        <v>0.1</v>
      </c>
      <c r="U297" s="181">
        <f t="shared" si="162"/>
        <v>0.1</v>
      </c>
      <c r="V297" s="181">
        <f t="shared" si="162"/>
        <v>0.1</v>
      </c>
      <c r="W297" s="181">
        <f t="shared" si="162"/>
        <v>0.1</v>
      </c>
      <c r="X297" s="181">
        <f t="shared" si="162"/>
        <v>0.1</v>
      </c>
      <c r="Y297" s="181">
        <f t="shared" si="162"/>
        <v>0.1</v>
      </c>
      <c r="Z297" s="181">
        <f t="shared" si="162"/>
        <v>0.1</v>
      </c>
      <c r="AA297" s="181">
        <f t="shared" si="162"/>
        <v>0.1</v>
      </c>
      <c r="AB297" s="181">
        <f t="shared" si="162"/>
        <v>0.1</v>
      </c>
      <c r="AC297" s="181">
        <f t="shared" si="162"/>
        <v>0.1</v>
      </c>
      <c r="AD297" s="181">
        <f t="shared" si="162"/>
        <v>0.1</v>
      </c>
      <c r="AE297" s="181">
        <f t="shared" si="162"/>
        <v>0.1</v>
      </c>
      <c r="AF297" s="181">
        <f t="shared" si="162"/>
        <v>0.1</v>
      </c>
      <c r="AG297" s="181">
        <f t="shared" si="162"/>
        <v>0.1</v>
      </c>
      <c r="AH297" s="181">
        <f t="shared" si="162"/>
        <v>0.1</v>
      </c>
      <c r="AI297" s="181">
        <f t="shared" si="162"/>
        <v>0.1</v>
      </c>
      <c r="AJ297" s="181">
        <f t="shared" si="162"/>
        <v>0.1</v>
      </c>
      <c r="AK297" s="181">
        <f t="shared" si="162"/>
        <v>0.1</v>
      </c>
      <c r="AL297" s="181">
        <f t="shared" si="162"/>
        <v>0.1</v>
      </c>
      <c r="AM297" s="181">
        <f t="shared" si="162"/>
        <v>0.1</v>
      </c>
      <c r="AN297" s="181">
        <f t="shared" si="162"/>
        <v>0.1</v>
      </c>
      <c r="AO297" s="181">
        <f t="shared" si="162"/>
        <v>0.1</v>
      </c>
      <c r="AP297" s="181">
        <f t="shared" si="162"/>
        <v>0.1</v>
      </c>
      <c r="AQ297" s="181">
        <f t="shared" si="162"/>
        <v>0.1</v>
      </c>
      <c r="AR297" s="181">
        <f t="shared" si="162"/>
        <v>0.1</v>
      </c>
      <c r="AS297" s="181">
        <f t="shared" si="162"/>
        <v>0.1</v>
      </c>
      <c r="AT297" s="181"/>
    </row>
    <row r="298" spans="1:46" ht="15.6" hidden="1">
      <c r="B298" s="312" t="str">
        <f>IF(Filing_Status="S","Single",IF(Single_Rate_Start&lt;&gt;"","Joint then Single in " &amp; Single_Rate_Start," Married Filing Jointly"))</f>
        <v>Joint then Single in 2043</v>
      </c>
      <c r="C298" s="312"/>
      <c r="D298" s="147"/>
      <c r="E298" s="13"/>
      <c r="F298" s="181">
        <f t="shared" ref="F298:AS298" si="163">IF(Filing_Status = "m",IF(OR(F$1&lt;Single_Rate_Start,Single_Rate_Start=""),+F115,+F193),+F193)</f>
        <v>0.12</v>
      </c>
      <c r="G298" s="181">
        <f t="shared" si="163"/>
        <v>0.12</v>
      </c>
      <c r="H298" s="181">
        <f t="shared" si="163"/>
        <v>0.12</v>
      </c>
      <c r="I298" s="181">
        <f t="shared" si="163"/>
        <v>0.12</v>
      </c>
      <c r="J298" s="181">
        <f t="shared" si="163"/>
        <v>0.12</v>
      </c>
      <c r="K298" s="181">
        <f t="shared" si="163"/>
        <v>0.12</v>
      </c>
      <c r="L298" s="181">
        <f t="shared" si="163"/>
        <v>0.12</v>
      </c>
      <c r="M298" s="181">
        <f t="shared" si="163"/>
        <v>0.12</v>
      </c>
      <c r="N298" s="181">
        <f t="shared" si="163"/>
        <v>0.12</v>
      </c>
      <c r="O298" s="181">
        <f t="shared" si="163"/>
        <v>0.12</v>
      </c>
      <c r="P298" s="181">
        <f t="shared" si="163"/>
        <v>0.12</v>
      </c>
      <c r="Q298" s="181">
        <f t="shared" si="163"/>
        <v>0.12</v>
      </c>
      <c r="R298" s="181">
        <f t="shared" si="163"/>
        <v>0.12</v>
      </c>
      <c r="S298" s="181">
        <f t="shared" si="163"/>
        <v>0.12</v>
      </c>
      <c r="T298" s="181">
        <f t="shared" si="163"/>
        <v>0.12</v>
      </c>
      <c r="U298" s="181">
        <f t="shared" si="163"/>
        <v>0.12</v>
      </c>
      <c r="V298" s="181">
        <f t="shared" si="163"/>
        <v>0.12</v>
      </c>
      <c r="W298" s="181">
        <f t="shared" si="163"/>
        <v>0.12</v>
      </c>
      <c r="X298" s="181">
        <f t="shared" si="163"/>
        <v>0.12</v>
      </c>
      <c r="Y298" s="181">
        <f t="shared" si="163"/>
        <v>0.12</v>
      </c>
      <c r="Z298" s="181">
        <f t="shared" si="163"/>
        <v>0.12</v>
      </c>
      <c r="AA298" s="181">
        <f t="shared" si="163"/>
        <v>0.12</v>
      </c>
      <c r="AB298" s="181">
        <f t="shared" si="163"/>
        <v>0.12</v>
      </c>
      <c r="AC298" s="181">
        <f t="shared" si="163"/>
        <v>0.12</v>
      </c>
      <c r="AD298" s="181">
        <f t="shared" si="163"/>
        <v>0.12</v>
      </c>
      <c r="AE298" s="181">
        <f t="shared" si="163"/>
        <v>0.12</v>
      </c>
      <c r="AF298" s="181">
        <f t="shared" si="163"/>
        <v>0.12</v>
      </c>
      <c r="AG298" s="181">
        <f t="shared" si="163"/>
        <v>0.12</v>
      </c>
      <c r="AH298" s="181">
        <f t="shared" si="163"/>
        <v>0.12</v>
      </c>
      <c r="AI298" s="181">
        <f t="shared" si="163"/>
        <v>0.12</v>
      </c>
      <c r="AJ298" s="181">
        <f t="shared" si="163"/>
        <v>0.12</v>
      </c>
      <c r="AK298" s="181">
        <f t="shared" si="163"/>
        <v>0.12</v>
      </c>
      <c r="AL298" s="181">
        <f t="shared" si="163"/>
        <v>0.12</v>
      </c>
      <c r="AM298" s="181">
        <f t="shared" si="163"/>
        <v>0.12</v>
      </c>
      <c r="AN298" s="181">
        <f t="shared" si="163"/>
        <v>0.12</v>
      </c>
      <c r="AO298" s="181">
        <f t="shared" si="163"/>
        <v>0.12</v>
      </c>
      <c r="AP298" s="181">
        <f t="shared" si="163"/>
        <v>0.12</v>
      </c>
      <c r="AQ298" s="181">
        <f t="shared" si="163"/>
        <v>0.12</v>
      </c>
      <c r="AR298" s="181">
        <f t="shared" si="163"/>
        <v>0.12</v>
      </c>
      <c r="AS298" s="181">
        <f t="shared" si="163"/>
        <v>0.12</v>
      </c>
      <c r="AT298" s="181"/>
    </row>
    <row r="299" spans="1:46" ht="15.6" hidden="1">
      <c r="B299" s="147"/>
      <c r="C299" s="147"/>
      <c r="D299" s="147"/>
      <c r="E299" s="13"/>
      <c r="F299" s="181">
        <f t="shared" ref="F299:AS299" si="164">IF(Filing_Status = "m",IF(OR(F$1&lt;Single_Rate_Start,Single_Rate_Start=""),+F120,+F198),+F198)</f>
        <v>0.22</v>
      </c>
      <c r="G299" s="181">
        <f t="shared" si="164"/>
        <v>0.22</v>
      </c>
      <c r="H299" s="181">
        <f t="shared" si="164"/>
        <v>0.22</v>
      </c>
      <c r="I299" s="181">
        <f t="shared" si="164"/>
        <v>0.22</v>
      </c>
      <c r="J299" s="181">
        <f t="shared" si="164"/>
        <v>0.22</v>
      </c>
      <c r="K299" s="181">
        <f t="shared" si="164"/>
        <v>0.22</v>
      </c>
      <c r="L299" s="181">
        <f t="shared" si="164"/>
        <v>0.22</v>
      </c>
      <c r="M299" s="181">
        <f t="shared" si="164"/>
        <v>0.22</v>
      </c>
      <c r="N299" s="181">
        <f t="shared" si="164"/>
        <v>0.22</v>
      </c>
      <c r="O299" s="181">
        <f t="shared" si="164"/>
        <v>0.22</v>
      </c>
      <c r="P299" s="181">
        <f t="shared" si="164"/>
        <v>0.22</v>
      </c>
      <c r="Q299" s="181">
        <f t="shared" si="164"/>
        <v>0.22</v>
      </c>
      <c r="R299" s="181">
        <f t="shared" si="164"/>
        <v>0.22</v>
      </c>
      <c r="S299" s="181">
        <f t="shared" si="164"/>
        <v>0.22</v>
      </c>
      <c r="T299" s="181">
        <f t="shared" si="164"/>
        <v>0.22</v>
      </c>
      <c r="U299" s="181">
        <f t="shared" si="164"/>
        <v>0.22</v>
      </c>
      <c r="V299" s="181">
        <f t="shared" si="164"/>
        <v>0.22</v>
      </c>
      <c r="W299" s="181">
        <f t="shared" si="164"/>
        <v>0.22</v>
      </c>
      <c r="X299" s="181">
        <f t="shared" si="164"/>
        <v>0.22</v>
      </c>
      <c r="Y299" s="181">
        <f t="shared" si="164"/>
        <v>0.22</v>
      </c>
      <c r="Z299" s="181">
        <f t="shared" si="164"/>
        <v>0.22</v>
      </c>
      <c r="AA299" s="181">
        <f t="shared" si="164"/>
        <v>0.22</v>
      </c>
      <c r="AB299" s="181">
        <f t="shared" si="164"/>
        <v>0.22</v>
      </c>
      <c r="AC299" s="181">
        <f t="shared" si="164"/>
        <v>0.22</v>
      </c>
      <c r="AD299" s="181">
        <f t="shared" si="164"/>
        <v>0.22</v>
      </c>
      <c r="AE299" s="181">
        <f t="shared" si="164"/>
        <v>0.22</v>
      </c>
      <c r="AF299" s="181">
        <f t="shared" si="164"/>
        <v>0.22</v>
      </c>
      <c r="AG299" s="181">
        <f t="shared" si="164"/>
        <v>0.22</v>
      </c>
      <c r="AH299" s="181">
        <f t="shared" si="164"/>
        <v>0.22</v>
      </c>
      <c r="AI299" s="181">
        <f t="shared" si="164"/>
        <v>0.22</v>
      </c>
      <c r="AJ299" s="181">
        <f t="shared" si="164"/>
        <v>0.22</v>
      </c>
      <c r="AK299" s="181">
        <f t="shared" si="164"/>
        <v>0.22</v>
      </c>
      <c r="AL299" s="181">
        <f t="shared" si="164"/>
        <v>0.22</v>
      </c>
      <c r="AM299" s="181">
        <f t="shared" si="164"/>
        <v>0.22</v>
      </c>
      <c r="AN299" s="181">
        <f t="shared" si="164"/>
        <v>0.22</v>
      </c>
      <c r="AO299" s="181">
        <f t="shared" si="164"/>
        <v>0.22</v>
      </c>
      <c r="AP299" s="181">
        <f t="shared" si="164"/>
        <v>0.22</v>
      </c>
      <c r="AQ299" s="181">
        <f t="shared" si="164"/>
        <v>0.22</v>
      </c>
      <c r="AR299" s="181">
        <f t="shared" si="164"/>
        <v>0.22</v>
      </c>
      <c r="AS299" s="181">
        <f t="shared" si="164"/>
        <v>0.22</v>
      </c>
      <c r="AT299" s="181"/>
    </row>
    <row r="300" spans="1:46" ht="15.6" hidden="1">
      <c r="B300" s="147"/>
      <c r="C300" s="147"/>
      <c r="D300" s="147"/>
      <c r="E300" s="13"/>
      <c r="F300" s="181">
        <f t="shared" ref="F300:AS300" si="165">IF(Filing_Status = "m",IF(OR(F$1&lt;Single_Rate_Start,Single_Rate_Start=""),+F125,+F203),+F203)</f>
        <v>0.24</v>
      </c>
      <c r="G300" s="181">
        <f t="shared" si="165"/>
        <v>0.24</v>
      </c>
      <c r="H300" s="181">
        <f t="shared" si="165"/>
        <v>0.24</v>
      </c>
      <c r="I300" s="181">
        <f t="shared" si="165"/>
        <v>0.24</v>
      </c>
      <c r="J300" s="181">
        <f t="shared" si="165"/>
        <v>0.24</v>
      </c>
      <c r="K300" s="181">
        <f t="shared" si="165"/>
        <v>0.24</v>
      </c>
      <c r="L300" s="181">
        <f t="shared" si="165"/>
        <v>0.24</v>
      </c>
      <c r="M300" s="181">
        <f t="shared" si="165"/>
        <v>0.24</v>
      </c>
      <c r="N300" s="181">
        <f t="shared" si="165"/>
        <v>0.24</v>
      </c>
      <c r="O300" s="181">
        <f t="shared" si="165"/>
        <v>0.24</v>
      </c>
      <c r="P300" s="181">
        <f t="shared" si="165"/>
        <v>0.24</v>
      </c>
      <c r="Q300" s="181">
        <f t="shared" si="165"/>
        <v>0.24</v>
      </c>
      <c r="R300" s="181">
        <f t="shared" si="165"/>
        <v>0.24</v>
      </c>
      <c r="S300" s="181">
        <f t="shared" si="165"/>
        <v>0.24</v>
      </c>
      <c r="T300" s="181">
        <f t="shared" si="165"/>
        <v>0.24</v>
      </c>
      <c r="U300" s="181">
        <f t="shared" si="165"/>
        <v>0.24</v>
      </c>
      <c r="V300" s="181">
        <f t="shared" si="165"/>
        <v>0.24</v>
      </c>
      <c r="W300" s="181">
        <f t="shared" si="165"/>
        <v>0.24</v>
      </c>
      <c r="X300" s="181">
        <f t="shared" si="165"/>
        <v>0.24</v>
      </c>
      <c r="Y300" s="181">
        <f t="shared" si="165"/>
        <v>0.24</v>
      </c>
      <c r="Z300" s="181">
        <f t="shared" si="165"/>
        <v>0.24</v>
      </c>
      <c r="AA300" s="181">
        <f t="shared" si="165"/>
        <v>0.24</v>
      </c>
      <c r="AB300" s="181">
        <f t="shared" si="165"/>
        <v>0.24</v>
      </c>
      <c r="AC300" s="181">
        <f t="shared" si="165"/>
        <v>0.24</v>
      </c>
      <c r="AD300" s="181">
        <f t="shared" si="165"/>
        <v>0.24</v>
      </c>
      <c r="AE300" s="181">
        <f t="shared" si="165"/>
        <v>0.24</v>
      </c>
      <c r="AF300" s="181">
        <f t="shared" si="165"/>
        <v>0.24</v>
      </c>
      <c r="AG300" s="181">
        <f t="shared" si="165"/>
        <v>0.24</v>
      </c>
      <c r="AH300" s="181">
        <f t="shared" si="165"/>
        <v>0.24</v>
      </c>
      <c r="AI300" s="181">
        <f t="shared" si="165"/>
        <v>0.24</v>
      </c>
      <c r="AJ300" s="181">
        <f t="shared" si="165"/>
        <v>0.24</v>
      </c>
      <c r="AK300" s="181">
        <f t="shared" si="165"/>
        <v>0.24</v>
      </c>
      <c r="AL300" s="181">
        <f t="shared" si="165"/>
        <v>0.24</v>
      </c>
      <c r="AM300" s="181">
        <f t="shared" si="165"/>
        <v>0.24</v>
      </c>
      <c r="AN300" s="181">
        <f t="shared" si="165"/>
        <v>0.24</v>
      </c>
      <c r="AO300" s="181">
        <f t="shared" si="165"/>
        <v>0.24</v>
      </c>
      <c r="AP300" s="181">
        <f t="shared" si="165"/>
        <v>0.24</v>
      </c>
      <c r="AQ300" s="181">
        <f t="shared" si="165"/>
        <v>0.24</v>
      </c>
      <c r="AR300" s="181">
        <f t="shared" si="165"/>
        <v>0.24</v>
      </c>
      <c r="AS300" s="181">
        <f t="shared" si="165"/>
        <v>0.24</v>
      </c>
      <c r="AT300" s="181"/>
    </row>
    <row r="301" spans="1:46" ht="15.6" hidden="1">
      <c r="B301" s="147"/>
      <c r="C301" s="147"/>
      <c r="D301" s="147"/>
      <c r="E301" s="13"/>
      <c r="F301" s="181">
        <f t="shared" ref="F301:AS301" si="166">IF(Filing_Status = "m",IF(OR(F$1&lt;Single_Rate_Start,Single_Rate_Start=""),+F130,+F208),+F208)</f>
        <v>0.32</v>
      </c>
      <c r="G301" s="181">
        <f t="shared" si="166"/>
        <v>0.32</v>
      </c>
      <c r="H301" s="181">
        <f t="shared" si="166"/>
        <v>0.32</v>
      </c>
      <c r="I301" s="181">
        <f t="shared" si="166"/>
        <v>0.32</v>
      </c>
      <c r="J301" s="181">
        <f t="shared" si="166"/>
        <v>0.32</v>
      </c>
      <c r="K301" s="181">
        <f t="shared" si="166"/>
        <v>0.32</v>
      </c>
      <c r="L301" s="181">
        <f t="shared" si="166"/>
        <v>0.32</v>
      </c>
      <c r="M301" s="181">
        <f t="shared" si="166"/>
        <v>0.32</v>
      </c>
      <c r="N301" s="181">
        <f t="shared" si="166"/>
        <v>0.32</v>
      </c>
      <c r="O301" s="181">
        <f t="shared" si="166"/>
        <v>0.32</v>
      </c>
      <c r="P301" s="181">
        <f t="shared" si="166"/>
        <v>0.32</v>
      </c>
      <c r="Q301" s="181">
        <f t="shared" si="166"/>
        <v>0.32</v>
      </c>
      <c r="R301" s="181">
        <f t="shared" si="166"/>
        <v>0.32</v>
      </c>
      <c r="S301" s="181">
        <f t="shared" si="166"/>
        <v>0.32</v>
      </c>
      <c r="T301" s="181">
        <f t="shared" si="166"/>
        <v>0.32</v>
      </c>
      <c r="U301" s="181">
        <f t="shared" si="166"/>
        <v>0.32</v>
      </c>
      <c r="V301" s="181">
        <f t="shared" si="166"/>
        <v>0.32</v>
      </c>
      <c r="W301" s="181">
        <f t="shared" si="166"/>
        <v>0.32</v>
      </c>
      <c r="X301" s="181">
        <f t="shared" si="166"/>
        <v>0.32</v>
      </c>
      <c r="Y301" s="181">
        <f t="shared" si="166"/>
        <v>0.32</v>
      </c>
      <c r="Z301" s="181">
        <f t="shared" si="166"/>
        <v>0.32</v>
      </c>
      <c r="AA301" s="181">
        <f t="shared" si="166"/>
        <v>0.32</v>
      </c>
      <c r="AB301" s="181">
        <f t="shared" si="166"/>
        <v>0.32</v>
      </c>
      <c r="AC301" s="181">
        <f t="shared" si="166"/>
        <v>0.32</v>
      </c>
      <c r="AD301" s="181">
        <f t="shared" si="166"/>
        <v>0.32</v>
      </c>
      <c r="AE301" s="181">
        <f t="shared" si="166"/>
        <v>0.32</v>
      </c>
      <c r="AF301" s="181">
        <f t="shared" si="166"/>
        <v>0.32</v>
      </c>
      <c r="AG301" s="181">
        <f t="shared" si="166"/>
        <v>0.32</v>
      </c>
      <c r="AH301" s="181">
        <f t="shared" si="166"/>
        <v>0.32</v>
      </c>
      <c r="AI301" s="181">
        <f t="shared" si="166"/>
        <v>0.32</v>
      </c>
      <c r="AJ301" s="181">
        <f t="shared" si="166"/>
        <v>0.32</v>
      </c>
      <c r="AK301" s="181">
        <f t="shared" si="166"/>
        <v>0.32</v>
      </c>
      <c r="AL301" s="181">
        <f t="shared" si="166"/>
        <v>0.32</v>
      </c>
      <c r="AM301" s="181">
        <f t="shared" si="166"/>
        <v>0.32</v>
      </c>
      <c r="AN301" s="181">
        <f t="shared" si="166"/>
        <v>0.32</v>
      </c>
      <c r="AO301" s="181">
        <f t="shared" si="166"/>
        <v>0.32</v>
      </c>
      <c r="AP301" s="181">
        <f t="shared" si="166"/>
        <v>0.32</v>
      </c>
      <c r="AQ301" s="181">
        <f t="shared" si="166"/>
        <v>0.32</v>
      </c>
      <c r="AR301" s="181">
        <f t="shared" si="166"/>
        <v>0.32</v>
      </c>
      <c r="AS301" s="181">
        <f t="shared" si="166"/>
        <v>0.32</v>
      </c>
      <c r="AT301" s="181"/>
    </row>
    <row r="302" spans="1:46" ht="15.6" hidden="1">
      <c r="B302" s="147"/>
      <c r="C302" s="147"/>
      <c r="D302" s="147"/>
      <c r="E302" s="13"/>
      <c r="F302" s="181">
        <f t="shared" ref="F302:AS302" si="167">IF(Filing_Status = "m",IF(OR(F$1&lt;Single_Rate_Start,Single_Rate_Start=""),+F134,+F212),+F212)</f>
        <v>0.35</v>
      </c>
      <c r="G302" s="181">
        <f t="shared" si="167"/>
        <v>0.35</v>
      </c>
      <c r="H302" s="181">
        <f t="shared" si="167"/>
        <v>0.35</v>
      </c>
      <c r="I302" s="181">
        <f t="shared" si="167"/>
        <v>0.35</v>
      </c>
      <c r="J302" s="181">
        <f t="shared" si="167"/>
        <v>0.35</v>
      </c>
      <c r="K302" s="181">
        <f t="shared" si="167"/>
        <v>0.35</v>
      </c>
      <c r="L302" s="181">
        <f t="shared" si="167"/>
        <v>0.35</v>
      </c>
      <c r="M302" s="181">
        <f t="shared" si="167"/>
        <v>0.35</v>
      </c>
      <c r="N302" s="181">
        <f t="shared" si="167"/>
        <v>0.35</v>
      </c>
      <c r="O302" s="181">
        <f t="shared" si="167"/>
        <v>0.35</v>
      </c>
      <c r="P302" s="181">
        <f t="shared" si="167"/>
        <v>0.35</v>
      </c>
      <c r="Q302" s="181">
        <f t="shared" si="167"/>
        <v>0.35</v>
      </c>
      <c r="R302" s="181">
        <f t="shared" si="167"/>
        <v>0.35</v>
      </c>
      <c r="S302" s="181">
        <f t="shared" si="167"/>
        <v>0.35</v>
      </c>
      <c r="T302" s="181">
        <f t="shared" si="167"/>
        <v>0.35</v>
      </c>
      <c r="U302" s="181">
        <f t="shared" si="167"/>
        <v>0.35</v>
      </c>
      <c r="V302" s="181">
        <f t="shared" si="167"/>
        <v>0.35</v>
      </c>
      <c r="W302" s="181">
        <f t="shared" si="167"/>
        <v>0.35</v>
      </c>
      <c r="X302" s="181">
        <f t="shared" si="167"/>
        <v>0.35</v>
      </c>
      <c r="Y302" s="181">
        <f t="shared" si="167"/>
        <v>0.35</v>
      </c>
      <c r="Z302" s="181">
        <f t="shared" si="167"/>
        <v>0.35</v>
      </c>
      <c r="AA302" s="181">
        <f t="shared" si="167"/>
        <v>0.35</v>
      </c>
      <c r="AB302" s="181">
        <f t="shared" si="167"/>
        <v>0.35</v>
      </c>
      <c r="AC302" s="181">
        <f t="shared" si="167"/>
        <v>0.35</v>
      </c>
      <c r="AD302" s="181">
        <f t="shared" si="167"/>
        <v>0.35</v>
      </c>
      <c r="AE302" s="181">
        <f t="shared" si="167"/>
        <v>0.35</v>
      </c>
      <c r="AF302" s="181">
        <f t="shared" si="167"/>
        <v>0.35</v>
      </c>
      <c r="AG302" s="181">
        <f t="shared" si="167"/>
        <v>0.35</v>
      </c>
      <c r="AH302" s="181">
        <f t="shared" si="167"/>
        <v>0.35</v>
      </c>
      <c r="AI302" s="181">
        <f t="shared" si="167"/>
        <v>0.35</v>
      </c>
      <c r="AJ302" s="181">
        <f t="shared" si="167"/>
        <v>0.35</v>
      </c>
      <c r="AK302" s="181">
        <f t="shared" si="167"/>
        <v>0.35</v>
      </c>
      <c r="AL302" s="181">
        <f t="shared" si="167"/>
        <v>0.35</v>
      </c>
      <c r="AM302" s="181">
        <f t="shared" si="167"/>
        <v>0.35</v>
      </c>
      <c r="AN302" s="181">
        <f t="shared" si="167"/>
        <v>0.35</v>
      </c>
      <c r="AO302" s="181">
        <f t="shared" si="167"/>
        <v>0.35</v>
      </c>
      <c r="AP302" s="181">
        <f t="shared" si="167"/>
        <v>0.35</v>
      </c>
      <c r="AQ302" s="181">
        <f t="shared" si="167"/>
        <v>0.35</v>
      </c>
      <c r="AR302" s="181">
        <f t="shared" si="167"/>
        <v>0.35</v>
      </c>
      <c r="AS302" s="181">
        <f t="shared" si="167"/>
        <v>0.35</v>
      </c>
      <c r="AT302" s="181"/>
    </row>
    <row r="303" spans="1:46" ht="15.6" hidden="1">
      <c r="B303" s="147"/>
      <c r="C303" s="147"/>
      <c r="D303" s="147"/>
      <c r="E303" s="13"/>
      <c r="F303" s="185"/>
      <c r="G303" s="185"/>
      <c r="H303" s="185"/>
      <c r="I303" s="185"/>
      <c r="J303" s="185"/>
      <c r="K303" s="185"/>
      <c r="L303" s="185"/>
      <c r="M303" s="185"/>
      <c r="N303" s="185"/>
      <c r="O303" s="185"/>
      <c r="P303" s="185"/>
      <c r="Q303" s="185"/>
      <c r="R303" s="185"/>
      <c r="S303" s="185"/>
      <c r="T303" s="185"/>
      <c r="U303" s="185"/>
      <c r="V303" s="185"/>
      <c r="W303" s="185"/>
      <c r="X303" s="185"/>
      <c r="Y303" s="185"/>
      <c r="Z303" s="185"/>
      <c r="AA303" s="185"/>
      <c r="AB303" s="185"/>
      <c r="AC303" s="185"/>
      <c r="AD303" s="185"/>
      <c r="AE303" s="185"/>
      <c r="AF303" s="185"/>
      <c r="AG303" s="185"/>
      <c r="AH303" s="185"/>
      <c r="AI303" s="185"/>
      <c r="AJ303" s="185"/>
      <c r="AK303" s="185"/>
      <c r="AL303" s="185"/>
      <c r="AM303" s="185"/>
      <c r="AN303" s="185"/>
      <c r="AO303" s="185"/>
      <c r="AP303" s="185"/>
      <c r="AQ303" s="185"/>
      <c r="AR303" s="185"/>
      <c r="AS303" s="185"/>
      <c r="AT303" s="185"/>
    </row>
    <row r="304" spans="1:46" ht="15.6">
      <c r="B304" s="319" t="s">
        <v>1261</v>
      </c>
      <c r="C304" s="147"/>
      <c r="D304" s="147"/>
      <c r="E304" s="13"/>
      <c r="F304" s="13"/>
      <c r="G304" s="13"/>
      <c r="H304" s="13"/>
      <c r="I304" s="13"/>
      <c r="J304" s="13"/>
      <c r="K304" s="13"/>
      <c r="L304" s="13"/>
      <c r="M304" s="13"/>
      <c r="N304" s="13"/>
      <c r="O304" s="13"/>
      <c r="P304" s="13"/>
      <c r="Q304" s="13"/>
      <c r="R304" s="13"/>
      <c r="S304" s="13"/>
      <c r="T304" s="13"/>
      <c r="U304" s="13"/>
      <c r="V304" s="13"/>
      <c r="W304" s="13"/>
      <c r="X304" s="13"/>
      <c r="Y304" s="13"/>
      <c r="Z304" s="13"/>
      <c r="AA304" s="13"/>
      <c r="AB304" s="13"/>
      <c r="AC304" s="13"/>
      <c r="AD304" s="13"/>
      <c r="AE304" s="13"/>
      <c r="AF304" s="13"/>
      <c r="AG304" s="13"/>
      <c r="AH304" s="13"/>
      <c r="AI304" s="13"/>
      <c r="AJ304" s="13"/>
      <c r="AK304" s="13"/>
      <c r="AL304" s="13"/>
      <c r="AM304" s="13"/>
      <c r="AN304" s="13"/>
      <c r="AO304" s="13"/>
      <c r="AP304" s="13"/>
      <c r="AQ304" s="13"/>
      <c r="AR304" s="13"/>
      <c r="AS304" s="13"/>
      <c r="AT304" s="13"/>
    </row>
    <row r="305" spans="2:46" ht="15.6">
      <c r="B305" s="169" t="s">
        <v>977</v>
      </c>
      <c r="C305" s="313"/>
      <c r="D305" s="313"/>
      <c r="E305" s="13"/>
      <c r="F305" s="181">
        <f t="shared" ref="F305:AS305" si="168">IF(Filing_Status = "m",IF(OR(F$1&lt;Single_Rate_Start,Single_Rate_Start=""),+F140,+F219),+F219)</f>
        <v>0.1</v>
      </c>
      <c r="G305" s="181">
        <f t="shared" si="168"/>
        <v>0.1</v>
      </c>
      <c r="H305" s="181">
        <f t="shared" si="168"/>
        <v>0.1</v>
      </c>
      <c r="I305" s="181">
        <f t="shared" si="168"/>
        <v>0.1</v>
      </c>
      <c r="J305" s="181">
        <f t="shared" si="168"/>
        <v>0.1</v>
      </c>
      <c r="K305" s="181">
        <f t="shared" si="168"/>
        <v>0.1</v>
      </c>
      <c r="L305" s="181">
        <f t="shared" si="168"/>
        <v>0.1</v>
      </c>
      <c r="M305" s="181">
        <f t="shared" si="168"/>
        <v>0.1</v>
      </c>
      <c r="N305" s="181">
        <f t="shared" si="168"/>
        <v>0.1</v>
      </c>
      <c r="O305" s="181">
        <f t="shared" si="168"/>
        <v>0.1</v>
      </c>
      <c r="P305" s="181">
        <f t="shared" si="168"/>
        <v>0.1</v>
      </c>
      <c r="Q305" s="181">
        <f t="shared" si="168"/>
        <v>0.1</v>
      </c>
      <c r="R305" s="181">
        <f t="shared" si="168"/>
        <v>0.1</v>
      </c>
      <c r="S305" s="181">
        <f t="shared" si="168"/>
        <v>0.1</v>
      </c>
      <c r="T305" s="181">
        <f t="shared" si="168"/>
        <v>0.1</v>
      </c>
      <c r="U305" s="181">
        <f t="shared" si="168"/>
        <v>0.1</v>
      </c>
      <c r="V305" s="181">
        <f t="shared" si="168"/>
        <v>0.1</v>
      </c>
      <c r="W305" s="181">
        <f t="shared" si="168"/>
        <v>0.1</v>
      </c>
      <c r="X305" s="181">
        <f t="shared" si="168"/>
        <v>0.1</v>
      </c>
      <c r="Y305" s="181">
        <f t="shared" si="168"/>
        <v>0.1</v>
      </c>
      <c r="Z305" s="181">
        <f t="shared" si="168"/>
        <v>0.1</v>
      </c>
      <c r="AA305" s="181">
        <f t="shared" si="168"/>
        <v>0.1</v>
      </c>
      <c r="AB305" s="181">
        <f t="shared" si="168"/>
        <v>0.1</v>
      </c>
      <c r="AC305" s="181">
        <f t="shared" si="168"/>
        <v>0.1</v>
      </c>
      <c r="AD305" s="181">
        <f t="shared" si="168"/>
        <v>0.1</v>
      </c>
      <c r="AE305" s="181">
        <f t="shared" si="168"/>
        <v>0.1</v>
      </c>
      <c r="AF305" s="181">
        <f t="shared" si="168"/>
        <v>0.1</v>
      </c>
      <c r="AG305" s="181">
        <f t="shared" si="168"/>
        <v>0.1</v>
      </c>
      <c r="AH305" s="181">
        <f t="shared" si="168"/>
        <v>0.1</v>
      </c>
      <c r="AI305" s="181">
        <f t="shared" si="168"/>
        <v>0.1</v>
      </c>
      <c r="AJ305" s="181">
        <f t="shared" si="168"/>
        <v>0.1</v>
      </c>
      <c r="AK305" s="181">
        <f t="shared" si="168"/>
        <v>0.1</v>
      </c>
      <c r="AL305" s="181">
        <f t="shared" si="168"/>
        <v>0.1</v>
      </c>
      <c r="AM305" s="181">
        <f t="shared" si="168"/>
        <v>0.1</v>
      </c>
      <c r="AN305" s="181">
        <f t="shared" si="168"/>
        <v>0.1</v>
      </c>
      <c r="AO305" s="181">
        <f t="shared" si="168"/>
        <v>0.1</v>
      </c>
      <c r="AP305" s="181">
        <f t="shared" si="168"/>
        <v>0.1</v>
      </c>
      <c r="AQ305" s="181">
        <f t="shared" si="168"/>
        <v>0.1</v>
      </c>
      <c r="AR305" s="181">
        <f t="shared" si="168"/>
        <v>0.1</v>
      </c>
      <c r="AS305" s="181">
        <f t="shared" si="168"/>
        <v>0.1</v>
      </c>
      <c r="AT305" s="181"/>
    </row>
    <row r="306" spans="2:46" ht="15.6">
      <c r="B306" s="314" t="str">
        <f>IF(Filing_Status="S","Single",IF(Single_Rate_Start&lt;&gt;"","Joint then Single in " &amp; Single_Rate_Start," Married Filing Jointly"))</f>
        <v>Joint then Single in 2043</v>
      </c>
      <c r="C306" s="162"/>
      <c r="E306" s="13"/>
      <c r="F306" s="181">
        <f t="shared" ref="F306:AS306" si="169">IF(Filing_Status = "m",IF(OR(F$1&lt;Single_Rate_Start,Single_Rate_Start=""),+F145,+F224),+F224)</f>
        <v>0.12</v>
      </c>
      <c r="G306" s="181">
        <f t="shared" si="169"/>
        <v>0.12</v>
      </c>
      <c r="H306" s="181">
        <f t="shared" si="169"/>
        <v>0.12</v>
      </c>
      <c r="I306" s="181">
        <f t="shared" si="169"/>
        <v>0.12</v>
      </c>
      <c r="J306" s="181">
        <f t="shared" si="169"/>
        <v>0.12</v>
      </c>
      <c r="K306" s="181">
        <f t="shared" si="169"/>
        <v>0.12</v>
      </c>
      <c r="L306" s="181">
        <f t="shared" si="169"/>
        <v>0.12</v>
      </c>
      <c r="M306" s="181">
        <f t="shared" si="169"/>
        <v>0.12</v>
      </c>
      <c r="N306" s="181">
        <f t="shared" si="169"/>
        <v>0.12</v>
      </c>
      <c r="O306" s="181">
        <f t="shared" si="169"/>
        <v>0.12</v>
      </c>
      <c r="P306" s="181">
        <f t="shared" si="169"/>
        <v>0.12</v>
      </c>
      <c r="Q306" s="181">
        <f t="shared" si="169"/>
        <v>0.12</v>
      </c>
      <c r="R306" s="181">
        <f t="shared" si="169"/>
        <v>0.12</v>
      </c>
      <c r="S306" s="181">
        <f t="shared" si="169"/>
        <v>0.12</v>
      </c>
      <c r="T306" s="181">
        <f t="shared" si="169"/>
        <v>0.12</v>
      </c>
      <c r="U306" s="181">
        <f t="shared" si="169"/>
        <v>0.12</v>
      </c>
      <c r="V306" s="181">
        <f t="shared" si="169"/>
        <v>0.12</v>
      </c>
      <c r="W306" s="181">
        <f t="shared" si="169"/>
        <v>0.12</v>
      </c>
      <c r="X306" s="181">
        <f t="shared" si="169"/>
        <v>0.12</v>
      </c>
      <c r="Y306" s="181">
        <f t="shared" si="169"/>
        <v>0.12</v>
      </c>
      <c r="Z306" s="181">
        <f t="shared" si="169"/>
        <v>0.12</v>
      </c>
      <c r="AA306" s="181">
        <f t="shared" si="169"/>
        <v>0.12</v>
      </c>
      <c r="AB306" s="181">
        <f t="shared" si="169"/>
        <v>0.12</v>
      </c>
      <c r="AC306" s="181">
        <f t="shared" si="169"/>
        <v>0.12</v>
      </c>
      <c r="AD306" s="181">
        <f t="shared" si="169"/>
        <v>0.12</v>
      </c>
      <c r="AE306" s="181">
        <f t="shared" si="169"/>
        <v>0.12</v>
      </c>
      <c r="AF306" s="181">
        <f t="shared" si="169"/>
        <v>0.12</v>
      </c>
      <c r="AG306" s="181">
        <f t="shared" si="169"/>
        <v>0.12</v>
      </c>
      <c r="AH306" s="181">
        <f t="shared" si="169"/>
        <v>0.12</v>
      </c>
      <c r="AI306" s="181">
        <f t="shared" si="169"/>
        <v>0.12</v>
      </c>
      <c r="AJ306" s="181">
        <f t="shared" si="169"/>
        <v>0.12</v>
      </c>
      <c r="AK306" s="181">
        <f t="shared" si="169"/>
        <v>0.12</v>
      </c>
      <c r="AL306" s="181">
        <f t="shared" si="169"/>
        <v>0.12</v>
      </c>
      <c r="AM306" s="181">
        <f t="shared" si="169"/>
        <v>0.12</v>
      </c>
      <c r="AN306" s="181">
        <f t="shared" si="169"/>
        <v>0.12</v>
      </c>
      <c r="AO306" s="181">
        <f t="shared" si="169"/>
        <v>0.12</v>
      </c>
      <c r="AP306" s="181">
        <f t="shared" si="169"/>
        <v>0.12</v>
      </c>
      <c r="AQ306" s="181">
        <f t="shared" si="169"/>
        <v>0.12</v>
      </c>
      <c r="AR306" s="181">
        <f t="shared" si="169"/>
        <v>0.12</v>
      </c>
      <c r="AS306" s="181">
        <f t="shared" si="169"/>
        <v>0.12</v>
      </c>
      <c r="AT306" s="181"/>
    </row>
    <row r="307" spans="2:46" ht="15.6">
      <c r="B307" s="170" t="str">
        <f>IF(Tax_Rates_Alt="y","Alternative tax rates in use","Current year rates being used")</f>
        <v>Current year rates being used</v>
      </c>
      <c r="C307" s="170"/>
      <c r="D307" s="170"/>
      <c r="E307" s="13"/>
      <c r="F307" s="181">
        <f t="shared" ref="F307:AS307" si="170">IF(Filing_Status = "m",IF(OR(F$1&lt;Single_Rate_Start,Single_Rate_Start=""),+F150,+F229),+F229)</f>
        <v>0.22</v>
      </c>
      <c r="G307" s="181">
        <f t="shared" si="170"/>
        <v>0.22</v>
      </c>
      <c r="H307" s="181">
        <f t="shared" si="170"/>
        <v>0.22</v>
      </c>
      <c r="I307" s="181">
        <f t="shared" si="170"/>
        <v>0.22</v>
      </c>
      <c r="J307" s="181">
        <f t="shared" si="170"/>
        <v>0.22</v>
      </c>
      <c r="K307" s="181">
        <f t="shared" si="170"/>
        <v>0.22</v>
      </c>
      <c r="L307" s="181">
        <f t="shared" si="170"/>
        <v>0.22</v>
      </c>
      <c r="M307" s="181">
        <f t="shared" si="170"/>
        <v>0.22</v>
      </c>
      <c r="N307" s="181">
        <f t="shared" si="170"/>
        <v>0.22</v>
      </c>
      <c r="O307" s="181">
        <f t="shared" si="170"/>
        <v>0.22</v>
      </c>
      <c r="P307" s="181">
        <f t="shared" si="170"/>
        <v>0.22</v>
      </c>
      <c r="Q307" s="181">
        <f t="shared" si="170"/>
        <v>0.22</v>
      </c>
      <c r="R307" s="181">
        <f t="shared" si="170"/>
        <v>0.22</v>
      </c>
      <c r="S307" s="181">
        <f t="shared" si="170"/>
        <v>0.22</v>
      </c>
      <c r="T307" s="181">
        <f t="shared" si="170"/>
        <v>0.22</v>
      </c>
      <c r="U307" s="181">
        <f t="shared" si="170"/>
        <v>0.22</v>
      </c>
      <c r="V307" s="181">
        <f t="shared" si="170"/>
        <v>0.22</v>
      </c>
      <c r="W307" s="181">
        <f t="shared" si="170"/>
        <v>0.22</v>
      </c>
      <c r="X307" s="181">
        <f t="shared" si="170"/>
        <v>0.22</v>
      </c>
      <c r="Y307" s="181">
        <f t="shared" si="170"/>
        <v>0.22</v>
      </c>
      <c r="Z307" s="181">
        <f t="shared" si="170"/>
        <v>0.22</v>
      </c>
      <c r="AA307" s="181">
        <f t="shared" si="170"/>
        <v>0.22</v>
      </c>
      <c r="AB307" s="181">
        <f t="shared" si="170"/>
        <v>0.22</v>
      </c>
      <c r="AC307" s="181">
        <f t="shared" si="170"/>
        <v>0.22</v>
      </c>
      <c r="AD307" s="181">
        <f t="shared" si="170"/>
        <v>0.22</v>
      </c>
      <c r="AE307" s="181">
        <f t="shared" si="170"/>
        <v>0.22</v>
      </c>
      <c r="AF307" s="181">
        <f t="shared" si="170"/>
        <v>0.22</v>
      </c>
      <c r="AG307" s="181">
        <f t="shared" si="170"/>
        <v>0.22</v>
      </c>
      <c r="AH307" s="181">
        <f t="shared" si="170"/>
        <v>0.22</v>
      </c>
      <c r="AI307" s="181">
        <f t="shared" si="170"/>
        <v>0.22</v>
      </c>
      <c r="AJ307" s="181">
        <f t="shared" si="170"/>
        <v>0.22</v>
      </c>
      <c r="AK307" s="181">
        <f t="shared" si="170"/>
        <v>0.22</v>
      </c>
      <c r="AL307" s="181">
        <f t="shared" si="170"/>
        <v>0.22</v>
      </c>
      <c r="AM307" s="181">
        <f t="shared" si="170"/>
        <v>0.22</v>
      </c>
      <c r="AN307" s="181">
        <f t="shared" si="170"/>
        <v>0.22</v>
      </c>
      <c r="AO307" s="181">
        <f t="shared" si="170"/>
        <v>0.22</v>
      </c>
      <c r="AP307" s="181">
        <f t="shared" si="170"/>
        <v>0.22</v>
      </c>
      <c r="AQ307" s="181">
        <f t="shared" si="170"/>
        <v>0.22</v>
      </c>
      <c r="AR307" s="181">
        <f t="shared" si="170"/>
        <v>0.22</v>
      </c>
      <c r="AS307" s="181">
        <f t="shared" si="170"/>
        <v>0.22</v>
      </c>
      <c r="AT307" s="181"/>
    </row>
    <row r="308" spans="2:46" ht="15.6">
      <c r="B308" s="147"/>
      <c r="C308" s="147"/>
      <c r="D308" s="147"/>
      <c r="E308" s="13"/>
      <c r="F308" s="181">
        <f t="shared" ref="F308:AS308" si="171">IF(Filing_Status = "m",IF(OR(F$1&lt;Single_Rate_Start,Single_Rate_Start=""),+F155,+F234),+F234)</f>
        <v>0.24</v>
      </c>
      <c r="G308" s="181">
        <f t="shared" si="171"/>
        <v>0.24</v>
      </c>
      <c r="H308" s="181">
        <f t="shared" si="171"/>
        <v>0.24</v>
      </c>
      <c r="I308" s="181">
        <f t="shared" si="171"/>
        <v>0.24</v>
      </c>
      <c r="J308" s="181">
        <f t="shared" si="171"/>
        <v>0.24</v>
      </c>
      <c r="K308" s="181">
        <f t="shared" si="171"/>
        <v>0.24</v>
      </c>
      <c r="L308" s="181">
        <f t="shared" si="171"/>
        <v>0.24</v>
      </c>
      <c r="M308" s="181">
        <f t="shared" si="171"/>
        <v>0.24</v>
      </c>
      <c r="N308" s="181">
        <f t="shared" si="171"/>
        <v>0.24</v>
      </c>
      <c r="O308" s="181">
        <f t="shared" si="171"/>
        <v>0.24</v>
      </c>
      <c r="P308" s="181">
        <f t="shared" si="171"/>
        <v>0.24</v>
      </c>
      <c r="Q308" s="181">
        <f t="shared" si="171"/>
        <v>0.24</v>
      </c>
      <c r="R308" s="181">
        <f t="shared" si="171"/>
        <v>0.24</v>
      </c>
      <c r="S308" s="181">
        <f t="shared" si="171"/>
        <v>0.24</v>
      </c>
      <c r="T308" s="181">
        <f t="shared" si="171"/>
        <v>0.24</v>
      </c>
      <c r="U308" s="181">
        <f t="shared" si="171"/>
        <v>0.24</v>
      </c>
      <c r="V308" s="181">
        <f t="shared" si="171"/>
        <v>0.24</v>
      </c>
      <c r="W308" s="181">
        <f t="shared" si="171"/>
        <v>0.24</v>
      </c>
      <c r="X308" s="181">
        <f t="shared" si="171"/>
        <v>0.24</v>
      </c>
      <c r="Y308" s="181">
        <f t="shared" si="171"/>
        <v>0.24</v>
      </c>
      <c r="Z308" s="181">
        <f t="shared" si="171"/>
        <v>0.24</v>
      </c>
      <c r="AA308" s="181">
        <f t="shared" si="171"/>
        <v>0.24</v>
      </c>
      <c r="AB308" s="181">
        <f t="shared" si="171"/>
        <v>0.24</v>
      </c>
      <c r="AC308" s="181">
        <f t="shared" si="171"/>
        <v>0.24</v>
      </c>
      <c r="AD308" s="181">
        <f t="shared" si="171"/>
        <v>0.24</v>
      </c>
      <c r="AE308" s="181">
        <f t="shared" si="171"/>
        <v>0.24</v>
      </c>
      <c r="AF308" s="181">
        <f t="shared" si="171"/>
        <v>0.24</v>
      </c>
      <c r="AG308" s="181">
        <f t="shared" si="171"/>
        <v>0.24</v>
      </c>
      <c r="AH308" s="181">
        <f t="shared" si="171"/>
        <v>0.24</v>
      </c>
      <c r="AI308" s="181">
        <f t="shared" si="171"/>
        <v>0.24</v>
      </c>
      <c r="AJ308" s="181">
        <f t="shared" si="171"/>
        <v>0.24</v>
      </c>
      <c r="AK308" s="181">
        <f t="shared" si="171"/>
        <v>0.24</v>
      </c>
      <c r="AL308" s="181">
        <f t="shared" si="171"/>
        <v>0.24</v>
      </c>
      <c r="AM308" s="181">
        <f t="shared" si="171"/>
        <v>0.24</v>
      </c>
      <c r="AN308" s="181">
        <f t="shared" si="171"/>
        <v>0.24</v>
      </c>
      <c r="AO308" s="181">
        <f t="shared" si="171"/>
        <v>0.24</v>
      </c>
      <c r="AP308" s="181">
        <f t="shared" si="171"/>
        <v>0.24</v>
      </c>
      <c r="AQ308" s="181">
        <f t="shared" si="171"/>
        <v>0.24</v>
      </c>
      <c r="AR308" s="181">
        <f t="shared" si="171"/>
        <v>0.24</v>
      </c>
      <c r="AS308" s="181">
        <f t="shared" si="171"/>
        <v>0.24</v>
      </c>
      <c r="AT308" s="181"/>
    </row>
    <row r="309" spans="2:46" ht="15.6">
      <c r="B309" s="147"/>
      <c r="C309" s="147"/>
      <c r="D309" s="147"/>
      <c r="E309" s="13"/>
      <c r="F309" s="181">
        <f t="shared" ref="F309:AS309" si="172">IF(Filing_Status = "m",IF(OR(F$1&lt;Single_Rate_Start,Single_Rate_Start=""),+F160,+F239),+F239)</f>
        <v>0.32</v>
      </c>
      <c r="G309" s="181">
        <f t="shared" si="172"/>
        <v>0.32</v>
      </c>
      <c r="H309" s="181">
        <f t="shared" si="172"/>
        <v>0.32</v>
      </c>
      <c r="I309" s="181">
        <f t="shared" si="172"/>
        <v>0.32</v>
      </c>
      <c r="J309" s="181">
        <f t="shared" si="172"/>
        <v>0.32</v>
      </c>
      <c r="K309" s="181">
        <f t="shared" si="172"/>
        <v>0.32</v>
      </c>
      <c r="L309" s="181">
        <f t="shared" si="172"/>
        <v>0.32</v>
      </c>
      <c r="M309" s="181">
        <f t="shared" si="172"/>
        <v>0.32</v>
      </c>
      <c r="N309" s="181">
        <f t="shared" si="172"/>
        <v>0.32</v>
      </c>
      <c r="O309" s="181">
        <f t="shared" si="172"/>
        <v>0.32</v>
      </c>
      <c r="P309" s="181">
        <f t="shared" si="172"/>
        <v>0.32</v>
      </c>
      <c r="Q309" s="181">
        <f t="shared" si="172"/>
        <v>0.32</v>
      </c>
      <c r="R309" s="181">
        <f t="shared" si="172"/>
        <v>0.32</v>
      </c>
      <c r="S309" s="181">
        <f t="shared" si="172"/>
        <v>0.32</v>
      </c>
      <c r="T309" s="181">
        <f t="shared" si="172"/>
        <v>0.32</v>
      </c>
      <c r="U309" s="181">
        <f t="shared" si="172"/>
        <v>0.32</v>
      </c>
      <c r="V309" s="181">
        <f t="shared" si="172"/>
        <v>0.32</v>
      </c>
      <c r="W309" s="181">
        <f t="shared" si="172"/>
        <v>0.32</v>
      </c>
      <c r="X309" s="181">
        <f t="shared" si="172"/>
        <v>0.32</v>
      </c>
      <c r="Y309" s="181">
        <f t="shared" si="172"/>
        <v>0.32</v>
      </c>
      <c r="Z309" s="181">
        <f t="shared" si="172"/>
        <v>0.32</v>
      </c>
      <c r="AA309" s="181">
        <f t="shared" si="172"/>
        <v>0.32</v>
      </c>
      <c r="AB309" s="181">
        <f t="shared" si="172"/>
        <v>0.32</v>
      </c>
      <c r="AC309" s="181">
        <f t="shared" si="172"/>
        <v>0.32</v>
      </c>
      <c r="AD309" s="181">
        <f t="shared" si="172"/>
        <v>0.32</v>
      </c>
      <c r="AE309" s="181">
        <f t="shared" si="172"/>
        <v>0.32</v>
      </c>
      <c r="AF309" s="181">
        <f t="shared" si="172"/>
        <v>0.32</v>
      </c>
      <c r="AG309" s="181">
        <f t="shared" si="172"/>
        <v>0.32</v>
      </c>
      <c r="AH309" s="181">
        <f t="shared" si="172"/>
        <v>0.32</v>
      </c>
      <c r="AI309" s="181">
        <f t="shared" si="172"/>
        <v>0.32</v>
      </c>
      <c r="AJ309" s="181">
        <f t="shared" si="172"/>
        <v>0.32</v>
      </c>
      <c r="AK309" s="181">
        <f t="shared" si="172"/>
        <v>0.32</v>
      </c>
      <c r="AL309" s="181">
        <f t="shared" si="172"/>
        <v>0.32</v>
      </c>
      <c r="AM309" s="181">
        <f t="shared" si="172"/>
        <v>0.32</v>
      </c>
      <c r="AN309" s="181">
        <f t="shared" si="172"/>
        <v>0.32</v>
      </c>
      <c r="AO309" s="181">
        <f t="shared" si="172"/>
        <v>0.32</v>
      </c>
      <c r="AP309" s="181">
        <f t="shared" si="172"/>
        <v>0.32</v>
      </c>
      <c r="AQ309" s="181">
        <f t="shared" si="172"/>
        <v>0.32</v>
      </c>
      <c r="AR309" s="181">
        <f t="shared" si="172"/>
        <v>0.32</v>
      </c>
      <c r="AS309" s="181">
        <f t="shared" si="172"/>
        <v>0.32</v>
      </c>
      <c r="AT309" s="181"/>
    </row>
    <row r="310" spans="2:46" ht="15.6">
      <c r="B310" s="147"/>
      <c r="C310" s="147"/>
      <c r="D310" s="147"/>
      <c r="E310" s="13"/>
      <c r="F310" s="181">
        <f t="shared" ref="F310:AS310" si="173">IF(Filing_Status = "m",IF(OR(F$1&lt;Single_Rate_Start,Single_Rate_Start=""),+F165,+F244),+F244)</f>
        <v>0.35</v>
      </c>
      <c r="G310" s="181">
        <f t="shared" si="173"/>
        <v>0.35</v>
      </c>
      <c r="H310" s="181">
        <f t="shared" si="173"/>
        <v>0.35</v>
      </c>
      <c r="I310" s="181">
        <f t="shared" si="173"/>
        <v>0.35</v>
      </c>
      <c r="J310" s="181">
        <f t="shared" si="173"/>
        <v>0.35</v>
      </c>
      <c r="K310" s="181">
        <f t="shared" si="173"/>
        <v>0.35</v>
      </c>
      <c r="L310" s="181">
        <f t="shared" si="173"/>
        <v>0.35</v>
      </c>
      <c r="M310" s="181">
        <f t="shared" si="173"/>
        <v>0.35</v>
      </c>
      <c r="N310" s="181">
        <f t="shared" si="173"/>
        <v>0.35</v>
      </c>
      <c r="O310" s="181">
        <f t="shared" si="173"/>
        <v>0.35</v>
      </c>
      <c r="P310" s="181">
        <f t="shared" si="173"/>
        <v>0.35</v>
      </c>
      <c r="Q310" s="181">
        <f t="shared" si="173"/>
        <v>0.35</v>
      </c>
      <c r="R310" s="181">
        <f t="shared" si="173"/>
        <v>0.35</v>
      </c>
      <c r="S310" s="181">
        <f t="shared" si="173"/>
        <v>0.35</v>
      </c>
      <c r="T310" s="181">
        <f t="shared" si="173"/>
        <v>0.35</v>
      </c>
      <c r="U310" s="181">
        <f t="shared" si="173"/>
        <v>0.35</v>
      </c>
      <c r="V310" s="181">
        <f t="shared" si="173"/>
        <v>0.35</v>
      </c>
      <c r="W310" s="181">
        <f t="shared" si="173"/>
        <v>0.35</v>
      </c>
      <c r="X310" s="181">
        <f t="shared" si="173"/>
        <v>0.35</v>
      </c>
      <c r="Y310" s="181">
        <f t="shared" si="173"/>
        <v>0.35</v>
      </c>
      <c r="Z310" s="181">
        <f t="shared" si="173"/>
        <v>0.35</v>
      </c>
      <c r="AA310" s="181">
        <f t="shared" si="173"/>
        <v>0.35</v>
      </c>
      <c r="AB310" s="181">
        <f t="shared" si="173"/>
        <v>0.35</v>
      </c>
      <c r="AC310" s="181">
        <f t="shared" si="173"/>
        <v>0.35</v>
      </c>
      <c r="AD310" s="181">
        <f t="shared" si="173"/>
        <v>0.35</v>
      </c>
      <c r="AE310" s="181">
        <f t="shared" si="173"/>
        <v>0.35</v>
      </c>
      <c r="AF310" s="181">
        <f t="shared" si="173"/>
        <v>0.35</v>
      </c>
      <c r="AG310" s="181">
        <f t="shared" si="173"/>
        <v>0.35</v>
      </c>
      <c r="AH310" s="181">
        <f t="shared" si="173"/>
        <v>0.35</v>
      </c>
      <c r="AI310" s="181">
        <f t="shared" si="173"/>
        <v>0.35</v>
      </c>
      <c r="AJ310" s="181">
        <f t="shared" si="173"/>
        <v>0.35</v>
      </c>
      <c r="AK310" s="181">
        <f t="shared" si="173"/>
        <v>0.35</v>
      </c>
      <c r="AL310" s="181">
        <f t="shared" si="173"/>
        <v>0.35</v>
      </c>
      <c r="AM310" s="181">
        <f t="shared" si="173"/>
        <v>0.35</v>
      </c>
      <c r="AN310" s="181">
        <f t="shared" si="173"/>
        <v>0.35</v>
      </c>
      <c r="AO310" s="181">
        <f t="shared" si="173"/>
        <v>0.35</v>
      </c>
      <c r="AP310" s="181">
        <f t="shared" si="173"/>
        <v>0.35</v>
      </c>
      <c r="AQ310" s="181">
        <f t="shared" si="173"/>
        <v>0.35</v>
      </c>
      <c r="AR310" s="181">
        <f t="shared" si="173"/>
        <v>0.35</v>
      </c>
      <c r="AS310" s="181">
        <f t="shared" si="173"/>
        <v>0.35</v>
      </c>
      <c r="AT310" s="181"/>
    </row>
    <row r="311" spans="2:46" ht="15.6">
      <c r="B311" s="147"/>
      <c r="C311" s="147"/>
      <c r="D311" s="147"/>
      <c r="E311" s="13"/>
      <c r="F311" s="181">
        <f t="shared" ref="F311:AS311" si="174">IF(Filing_Status = "m",IF(OR(F$1&lt;Single_Rate_Start,Single_Rate_Start=""),+F169,+F248),+F248)</f>
        <v>0.37</v>
      </c>
      <c r="G311" s="181">
        <f t="shared" si="174"/>
        <v>0.37</v>
      </c>
      <c r="H311" s="181">
        <f t="shared" si="174"/>
        <v>0.37</v>
      </c>
      <c r="I311" s="181">
        <f t="shared" si="174"/>
        <v>0.37</v>
      </c>
      <c r="J311" s="181">
        <f t="shared" si="174"/>
        <v>0.37</v>
      </c>
      <c r="K311" s="181">
        <f t="shared" si="174"/>
        <v>0.37</v>
      </c>
      <c r="L311" s="181">
        <f t="shared" si="174"/>
        <v>0.37</v>
      </c>
      <c r="M311" s="181">
        <f t="shared" si="174"/>
        <v>0.37</v>
      </c>
      <c r="N311" s="181">
        <f t="shared" si="174"/>
        <v>0.37</v>
      </c>
      <c r="O311" s="181">
        <f t="shared" si="174"/>
        <v>0.37</v>
      </c>
      <c r="P311" s="181">
        <f t="shared" si="174"/>
        <v>0.37</v>
      </c>
      <c r="Q311" s="181">
        <f t="shared" si="174"/>
        <v>0.37</v>
      </c>
      <c r="R311" s="181">
        <f t="shared" si="174"/>
        <v>0.37</v>
      </c>
      <c r="S311" s="181">
        <f t="shared" si="174"/>
        <v>0.37</v>
      </c>
      <c r="T311" s="181">
        <f t="shared" si="174"/>
        <v>0.37</v>
      </c>
      <c r="U311" s="181">
        <f t="shared" si="174"/>
        <v>0.37</v>
      </c>
      <c r="V311" s="181">
        <f t="shared" si="174"/>
        <v>0.37</v>
      </c>
      <c r="W311" s="181">
        <f t="shared" si="174"/>
        <v>0.37</v>
      </c>
      <c r="X311" s="181">
        <f t="shared" si="174"/>
        <v>0.37</v>
      </c>
      <c r="Y311" s="181">
        <f t="shared" si="174"/>
        <v>0.37</v>
      </c>
      <c r="Z311" s="181">
        <f t="shared" si="174"/>
        <v>0.37</v>
      </c>
      <c r="AA311" s="181">
        <f t="shared" si="174"/>
        <v>0.37</v>
      </c>
      <c r="AB311" s="181">
        <f t="shared" si="174"/>
        <v>0.37</v>
      </c>
      <c r="AC311" s="181">
        <f t="shared" si="174"/>
        <v>0.37</v>
      </c>
      <c r="AD311" s="181">
        <f t="shared" si="174"/>
        <v>0.37</v>
      </c>
      <c r="AE311" s="181">
        <f t="shared" si="174"/>
        <v>0.37</v>
      </c>
      <c r="AF311" s="181">
        <f t="shared" si="174"/>
        <v>0.37</v>
      </c>
      <c r="AG311" s="181">
        <f t="shared" si="174"/>
        <v>0.37</v>
      </c>
      <c r="AH311" s="181">
        <f t="shared" si="174"/>
        <v>0.37</v>
      </c>
      <c r="AI311" s="181">
        <f t="shared" si="174"/>
        <v>0.37</v>
      </c>
      <c r="AJ311" s="181">
        <f t="shared" si="174"/>
        <v>0.37</v>
      </c>
      <c r="AK311" s="181">
        <f t="shared" si="174"/>
        <v>0.37</v>
      </c>
      <c r="AL311" s="181">
        <f t="shared" si="174"/>
        <v>0.37</v>
      </c>
      <c r="AM311" s="181">
        <f t="shared" si="174"/>
        <v>0.37</v>
      </c>
      <c r="AN311" s="181">
        <f t="shared" si="174"/>
        <v>0.37</v>
      </c>
      <c r="AO311" s="181">
        <f t="shared" si="174"/>
        <v>0.37</v>
      </c>
      <c r="AP311" s="181">
        <f t="shared" si="174"/>
        <v>0.37</v>
      </c>
      <c r="AQ311" s="181">
        <f t="shared" si="174"/>
        <v>0.37</v>
      </c>
      <c r="AR311" s="181">
        <f t="shared" si="174"/>
        <v>0.37</v>
      </c>
      <c r="AS311" s="181">
        <f t="shared" si="174"/>
        <v>0.37</v>
      </c>
      <c r="AT311" s="185"/>
    </row>
    <row r="312" spans="2:46" ht="15.6">
      <c r="B312" s="147"/>
      <c r="C312" s="147"/>
      <c r="D312" s="147"/>
      <c r="E312" s="13"/>
      <c r="F312" s="185"/>
      <c r="G312" s="185"/>
      <c r="H312" s="185"/>
      <c r="I312" s="185"/>
      <c r="J312" s="185"/>
      <c r="K312" s="185"/>
      <c r="L312" s="185"/>
      <c r="M312" s="185"/>
      <c r="N312" s="185"/>
      <c r="O312" s="185"/>
      <c r="P312" s="185"/>
      <c r="Q312" s="185"/>
      <c r="R312" s="185"/>
      <c r="S312" s="185"/>
      <c r="T312" s="185"/>
      <c r="U312" s="185"/>
      <c r="V312" s="185"/>
      <c r="W312" s="185"/>
      <c r="X312" s="185"/>
      <c r="Y312" s="185"/>
      <c r="Z312" s="185"/>
      <c r="AA312" s="185"/>
      <c r="AB312" s="185"/>
      <c r="AC312" s="185"/>
      <c r="AD312" s="185"/>
      <c r="AE312" s="185"/>
      <c r="AF312" s="185"/>
      <c r="AG312" s="185"/>
      <c r="AH312" s="185"/>
      <c r="AI312" s="185"/>
      <c r="AJ312" s="185"/>
      <c r="AK312" s="185"/>
      <c r="AL312" s="185"/>
      <c r="AM312" s="185"/>
      <c r="AN312" s="185"/>
      <c r="AO312" s="185"/>
      <c r="AP312" s="185"/>
      <c r="AQ312" s="185"/>
      <c r="AR312" s="185"/>
      <c r="AS312" s="185"/>
      <c r="AT312" s="185"/>
    </row>
    <row r="313" spans="2:46" ht="15.6">
      <c r="B313" s="313" t="s">
        <v>1777</v>
      </c>
      <c r="C313" s="313"/>
      <c r="D313" s="313"/>
      <c r="E313" s="67">
        <f>IF(Filing_Status="m",+F140,+F219)</f>
        <v>0.1</v>
      </c>
      <c r="F313" s="113">
        <f>IF(Filing_Status="m",IF(OR(F$1&lt;Single_Rate_Start,Single_Rate_Start=""),+Details!F$195/F$141,+Details!F$195/F$220),+Details!F$195/F$220)</f>
        <v>1</v>
      </c>
      <c r="G313" s="113">
        <f>IF(Filing_Status="m",IF(OR(G$1&lt;Single_Rate_Start,Single_Rate_Start=""),+Details!G$195/G$141,+Details!G$195/G$220),+Details!G$195/G$220)</f>
        <v>1</v>
      </c>
      <c r="H313" s="113">
        <f>IF(Filing_Status="m",IF(OR(H$1&lt;Single_Rate_Start,Single_Rate_Start=""),+Details!H$195/H$141,+Details!H$195/H$220),+Details!H$195/H$220)</f>
        <v>1</v>
      </c>
      <c r="I313" s="113">
        <f>IF(Filing_Status="m",IF(OR(I$1&lt;Single_Rate_Start,Single_Rate_Start=""),+Details!I$195/I$141,+Details!I$195/I$220),+Details!I$195/I$220)</f>
        <v>1</v>
      </c>
      <c r="J313" s="113">
        <f>IF(Filing_Status="m",IF(OR(J$1&lt;Single_Rate_Start,Single_Rate_Start=""),+Details!J$195/J$141,+Details!J$195/J$220),+Details!J$195/J$220)</f>
        <v>1</v>
      </c>
      <c r="K313" s="113">
        <f>IF(Filing_Status="m",IF(OR(K$1&lt;Single_Rate_Start,Single_Rate_Start=""),+Details!K$195/K$141,+Details!K$195/K$220),+Details!K$195/K$220)</f>
        <v>1</v>
      </c>
      <c r="L313" s="113">
        <f>IF(Filing_Status="m",IF(OR(L$1&lt;Single_Rate_Start,Single_Rate_Start=""),+Details!L$195/L$141,+Details!L$195/L$220),+Details!L$195/L$220)</f>
        <v>1</v>
      </c>
      <c r="M313" s="113">
        <f>IF(Filing_Status="m",IF(OR(M$1&lt;Single_Rate_Start,Single_Rate_Start=""),+Details!M$195/M$141,+Details!M$195/M$220),+Details!M$195/M$220)</f>
        <v>1</v>
      </c>
      <c r="N313" s="113">
        <f>IF(Filing_Status="m",IF(OR(N$1&lt;Single_Rate_Start,Single_Rate_Start=""),+Details!N$195/N$141,+Details!N$195/N$220),+Details!N$195/N$220)</f>
        <v>1</v>
      </c>
      <c r="O313" s="113">
        <f>IF(Filing_Status="m",IF(OR(O$1&lt;Single_Rate_Start,Single_Rate_Start=""),+Details!O$195/O$141,+Details!O$195/O$220),+Details!O$195/O$220)</f>
        <v>1</v>
      </c>
      <c r="P313" s="113">
        <f>IF(Filing_Status="m",IF(OR(P$1&lt;Single_Rate_Start,Single_Rate_Start=""),+Details!P$195/P$141,+Details!P$195/P$220),+Details!P$195/P$220)</f>
        <v>1</v>
      </c>
      <c r="Q313" s="113">
        <f>IF(Filing_Status="m",IF(OR(Q$1&lt;Single_Rate_Start,Single_Rate_Start=""),+Details!Q$195/Q$141,+Details!Q$195/Q$220),+Details!Q$195/Q$220)</f>
        <v>1</v>
      </c>
      <c r="R313" s="113">
        <f>IF(Filing_Status="m",IF(OR(R$1&lt;Single_Rate_Start,Single_Rate_Start=""),+Details!R$195/R$141,+Details!R$195/R$220),+Details!R$195/R$220)</f>
        <v>1</v>
      </c>
      <c r="S313" s="113">
        <f>IF(Filing_Status="m",IF(OR(S$1&lt;Single_Rate_Start,Single_Rate_Start=""),+Details!S$195/S$141,+Details!S$195/S$220),+Details!S$195/S$220)</f>
        <v>1</v>
      </c>
      <c r="T313" s="113">
        <f>IF(Filing_Status="m",IF(OR(T$1&lt;Single_Rate_Start,Single_Rate_Start=""),+Details!T$195/T$141,+Details!T$195/T$220),+Details!T$195/T$220)</f>
        <v>1</v>
      </c>
      <c r="U313" s="113">
        <f>IF(Filing_Status="m",IF(OR(U$1&lt;Single_Rate_Start,Single_Rate_Start=""),+Details!U$195/U$141,+Details!U$195/U$220),+Details!U$195/U$220)</f>
        <v>1</v>
      </c>
      <c r="V313" s="113">
        <f>IF(Filing_Status="m",IF(OR(V$1&lt;Single_Rate_Start,Single_Rate_Start=""),+Details!V$195/V$141,+Details!V$195/V$220),+Details!V$195/V$220)</f>
        <v>1</v>
      </c>
      <c r="W313" s="113">
        <f>IF(Filing_Status="m",IF(OR(W$1&lt;Single_Rate_Start,Single_Rate_Start=""),+Details!W$195/W$141,+Details!W$195/W$220),+Details!W$195/W$220)</f>
        <v>1</v>
      </c>
      <c r="X313" s="113">
        <f>IF(Filing_Status="m",IF(OR(X$1&lt;Single_Rate_Start,Single_Rate_Start=""),+Details!X$195/X$141,+Details!X$195/X$220),+Details!X$195/X$220)</f>
        <v>1</v>
      </c>
      <c r="Y313" s="113">
        <f>IF(Filing_Status="m",IF(OR(Y$1&lt;Single_Rate_Start,Single_Rate_Start=""),+Details!Y$195/Y$141,+Details!Y$195/Y$220),+Details!Y$195/Y$220)</f>
        <v>1</v>
      </c>
      <c r="Z313" s="113">
        <f>IF(Filing_Status="m",IF(OR(Z$1&lt;Single_Rate_Start,Single_Rate_Start=""),+Details!Z$195/Z$141,+Details!Z$195/Z$220),+Details!Z$195/Z$220)</f>
        <v>1</v>
      </c>
      <c r="AA313" s="113">
        <f>IF(Filing_Status="m",IF(OR(AA$1&lt;Single_Rate_Start,Single_Rate_Start=""),+Details!AA$195/AA$141,+Details!AA$195/AA$220),+Details!AA$195/AA$220)</f>
        <v>1</v>
      </c>
      <c r="AB313" s="113">
        <f>IF(Filing_Status="m",IF(OR(AB$1&lt;Single_Rate_Start,Single_Rate_Start=""),+Details!AB$195/AB$141,+Details!AB$195/AB$220),+Details!AB$195/AB$220)</f>
        <v>1</v>
      </c>
      <c r="AC313" s="113">
        <f>IF(Filing_Status="m",IF(OR(AC$1&lt;Single_Rate_Start,Single_Rate_Start=""),+Details!AC$195/AC$141,+Details!AC$195/AC$220),+Details!AC$195/AC$220)</f>
        <v>1</v>
      </c>
      <c r="AD313" s="113">
        <f>IF(Filing_Status="m",IF(OR(AD$1&lt;Single_Rate_Start,Single_Rate_Start=""),+Details!AD$195/AD$141,+Details!AD$195/AD$220),+Details!AD$195/AD$220)</f>
        <v>1</v>
      </c>
      <c r="AE313" s="113">
        <f>IF(Filing_Status="m",IF(OR(AE$1&lt;Single_Rate_Start,Single_Rate_Start=""),+Details!AE$195/AE$141,+Details!AE$195/AE$220),+Details!AE$195/AE$220)</f>
        <v>1</v>
      </c>
      <c r="AF313" s="113">
        <f>IF(Filing_Status="m",IF(OR(AF$1&lt;Single_Rate_Start,Single_Rate_Start=""),+Details!AF$195/AF$141,+Details!AF$195/AF$220),+Details!AF$195/AF$220)</f>
        <v>1</v>
      </c>
      <c r="AG313" s="113">
        <f>IF(Filing_Status="m",IF(OR(AG$1&lt;Single_Rate_Start,Single_Rate_Start=""),+Details!AG$195/AG$141,+Details!AG$195/AG$220),+Details!AG$195/AG$220)</f>
        <v>1</v>
      </c>
      <c r="AH313" s="113">
        <f>IF(Filing_Status="m",IF(OR(AH$1&lt;Single_Rate_Start,Single_Rate_Start=""),+Details!AH$195/AH$141,+Details!AH$195/AH$220),+Details!AH$195/AH$220)</f>
        <v>1</v>
      </c>
      <c r="AI313" s="113">
        <f>IF(Filing_Status="m",IF(OR(AI$1&lt;Single_Rate_Start,Single_Rate_Start=""),+Details!AI$195/AI$141,+Details!AI$195/AI$220),+Details!AI$195/AI$220)</f>
        <v>1</v>
      </c>
      <c r="AJ313" s="113">
        <f>IF(Filing_Status="m",IF(OR(AJ$1&lt;Single_Rate_Start,Single_Rate_Start=""),+Details!AJ$195/AJ$141,+Details!AJ$195/AJ$220),+Details!AJ$195/AJ$220)</f>
        <v>0</v>
      </c>
      <c r="AK313" s="113">
        <f>IF(Filing_Status="m",IF(OR(AK$1&lt;Single_Rate_Start,Single_Rate_Start=""),+Details!AK$195/AK$141,+Details!AK$195/AK$220),+Details!AK$195/AK$220)</f>
        <v>0</v>
      </c>
      <c r="AL313" s="113">
        <f>IF(Filing_Status="m",IF(OR(AL$1&lt;Single_Rate_Start,Single_Rate_Start=""),+Details!AL$195/AL$141,+Details!AL$195/AL$220),+Details!AL$195/AL$220)</f>
        <v>0</v>
      </c>
      <c r="AM313" s="113">
        <f>IF(Filing_Status="m",IF(OR(AM$1&lt;Single_Rate_Start,Single_Rate_Start=""),+Details!AM$195/AM$141,+Details!AM$195/AM$220),+Details!AM$195/AM$220)</f>
        <v>0</v>
      </c>
      <c r="AN313" s="113">
        <f>IF(Filing_Status="m",IF(OR(AN$1&lt;Single_Rate_Start,Single_Rate_Start=""),+Details!AN$195/AN$141,+Details!AN$195/AN$220),+Details!AN$195/AN$220)</f>
        <v>0</v>
      </c>
      <c r="AO313" s="113">
        <f>IF(Filing_Status="m",IF(OR(AO$1&lt;Single_Rate_Start,Single_Rate_Start=""),+Details!AO$195/AO$141,+Details!AO$195/AO$220),+Details!AO$195/AO$220)</f>
        <v>0</v>
      </c>
      <c r="AP313" s="113">
        <f>IF(Filing_Status="m",IF(OR(AP$1&lt;Single_Rate_Start,Single_Rate_Start=""),+Details!AP$195/AP$141,+Details!AP$195/AP$220),+Details!AP$195/AP$220)</f>
        <v>0</v>
      </c>
      <c r="AQ313" s="113">
        <f>IF(Filing_Status="m",IF(OR(AQ$1&lt;Single_Rate_Start,Single_Rate_Start=""),+Details!AQ$195/AQ$141,+Details!AQ$195/AQ$220),+Details!AQ$195/AQ$220)</f>
        <v>0</v>
      </c>
      <c r="AR313" s="113">
        <f>IF(Filing_Status="m",IF(OR(AR$1&lt;Single_Rate_Start,Single_Rate_Start=""),+Details!AR$195/AR$141,+Details!AR$195/AR$220),+Details!AR$195/AR$220)</f>
        <v>0</v>
      </c>
      <c r="AS313" s="113">
        <f>IF(Filing_Status="m",IF(OR(AS$1&lt;Single_Rate_Start,Single_Rate_Start=""),+Details!AS$195/AS$141,+Details!AS$195/AS$220),+Details!AS$195/AS$220)</f>
        <v>0</v>
      </c>
      <c r="AT313" s="113"/>
    </row>
    <row r="314" spans="2:46">
      <c r="E314" s="67">
        <f>IF(Filing_Status="m",+F145,+F224)</f>
        <v>0.12</v>
      </c>
      <c r="F314" s="113">
        <f>IF(Filing_Status="m",IF(OR(F$1&lt;Single_Rate_Start,Single_Rate_Start=""),+Details!F$196/F$146,+Details!F$196/F$225),+Details!F$196/F$225)</f>
        <v>0.28169014084507044</v>
      </c>
      <c r="G314" s="113">
        <f>IF(Filing_Status="m",IF(OR(G$1&lt;Single_Rate_Start,Single_Rate_Start=""),+Details!G$196/G$146,+Details!G$196/G$225),+Details!G$196/G$225)</f>
        <v>0.52054794520547942</v>
      </c>
      <c r="H314" s="113">
        <f>IF(Filing_Status="m",IF(OR(H$1&lt;Single_Rate_Start,Single_Rate_Start=""),+Details!H$196/H$146,+Details!H$196/H$225),+Details!H$196/H$225)</f>
        <v>0.26666666666666666</v>
      </c>
      <c r="I314" s="113">
        <f>IF(Filing_Status="m",IF(OR(I$1&lt;Single_Rate_Start,Single_Rate_Start=""),+Details!I$196/I$146,+Details!I$196/I$225),+Details!I$196/I$225)</f>
        <v>0.26315789473684209</v>
      </c>
      <c r="J314" s="113">
        <f>IF(Filing_Status="m",IF(OR(J$1&lt;Single_Rate_Start,Single_Rate_Start=""),+Details!J$196/J$146,+Details!J$196/J$225),+Details!J$196/J$225)</f>
        <v>0.25641025641025639</v>
      </c>
      <c r="K314" s="113">
        <f>IF(Filing_Status="m",IF(OR(K$1&lt;Single_Rate_Start,Single_Rate_Start=""),+Details!K$196/K$146,+Details!K$196/K$225),+Details!K$196/K$225)</f>
        <v>0.53749999999999998</v>
      </c>
      <c r="L314" s="113">
        <f>IF(Filing_Status="m",IF(OR(L$1&lt;Single_Rate_Start,Single_Rate_Start=""),+Details!L$196/L$146,+Details!L$196/L$225),+Details!L$196/L$225)</f>
        <v>0.53086419753086422</v>
      </c>
      <c r="M314" s="113">
        <f>IF(Filing_Status="m",IF(OR(M$1&lt;Single_Rate_Start,Single_Rate_Start=""),+Details!M$196/M$146,+Details!M$196/M$225),+Details!M$196/M$225)</f>
        <v>0.57831325301204817</v>
      </c>
      <c r="N314" s="113">
        <f>IF(Filing_Status="m",IF(OR(N$1&lt;Single_Rate_Start,Single_Rate_Start=""),+Details!N$196/N$146,+Details!N$196/N$225),+Details!N$196/N$225)</f>
        <v>0.21176470588235294</v>
      </c>
      <c r="O314" s="113">
        <f>IF(Filing_Status="m",IF(OR(O$1&lt;Single_Rate_Start,Single_Rate_Start=""),+Details!O$196/O$146,+Details!O$196/O$225),+Details!O$196/O$225)</f>
        <v>0.20689655172413793</v>
      </c>
      <c r="P314" s="113">
        <f>IF(Filing_Status="m",IF(OR(P$1&lt;Single_Rate_Start,Single_Rate_Start=""),+Details!P$196/P$146,+Details!P$196/P$225),+Details!P$196/P$225)</f>
        <v>0.21348314606741572</v>
      </c>
      <c r="Q314" s="113">
        <f>IF(Filing_Status="m",IF(OR(Q$1&lt;Single_Rate_Start,Single_Rate_Start=""),+Details!Q$196/Q$146,+Details!Q$196/Q$225),+Details!Q$196/Q$225)</f>
        <v>0.23076923076923078</v>
      </c>
      <c r="R314" s="113">
        <f>IF(Filing_Status="m",IF(OR(R$1&lt;Single_Rate_Start,Single_Rate_Start=""),+Details!R$196/R$146,+Details!R$196/R$225),+Details!R$196/R$225)</f>
        <v>0.36559139784946237</v>
      </c>
      <c r="S314" s="113">
        <f>IF(Filing_Status="m",IF(OR(S$1&lt;Single_Rate_Start,Single_Rate_Start=""),+Details!S$196/S$146,+Details!S$196/S$225),+Details!S$196/S$225)</f>
        <v>0.38947368421052631</v>
      </c>
      <c r="T314" s="113">
        <f>IF(Filing_Status="m",IF(OR(T$1&lt;Single_Rate_Start,Single_Rate_Start=""),+Details!T$196/T$146,+Details!T$196/T$225),+Details!T$196/T$225)</f>
        <v>0.69072164948453607</v>
      </c>
      <c r="U314" s="113">
        <f>IF(Filing_Status="m",IF(OR(U$1&lt;Single_Rate_Start,Single_Rate_Start=""),+Details!U$196/U$146,+Details!U$196/U$225),+Details!U$196/U$225)</f>
        <v>0.82828282828282829</v>
      </c>
      <c r="V314" s="113">
        <f>IF(Filing_Status="m",IF(OR(V$1&lt;Single_Rate_Start,Single_Rate_Start=""),+Details!V$196/V$146,+Details!V$196/V$225),+Details!V$196/V$225)</f>
        <v>0.73267326732673266</v>
      </c>
      <c r="W314" s="113">
        <f>IF(Filing_Status="m",IF(OR(W$1&lt;Single_Rate_Start,Single_Rate_Start=""),+Details!W$196/W$146,+Details!W$196/W$225),+Details!W$196/W$225)</f>
        <v>0.74038461538461542</v>
      </c>
      <c r="X314" s="113">
        <f>IF(Filing_Status="m",IF(OR(X$1&lt;Single_Rate_Start,Single_Rate_Start=""),+Details!X$196/X$146,+Details!X$196/X$225),+Details!X$196/X$225)</f>
        <v>0.64150943396226412</v>
      </c>
      <c r="Y314" s="113">
        <f>IF(Filing_Status="m",IF(OR(Y$1&lt;Single_Rate_Start,Single_Rate_Start=""),+Details!Y$196/Y$146,+Details!Y$196/Y$225),+Details!Y$196/Y$225)</f>
        <v>0.64814814814814814</v>
      </c>
      <c r="Z314" s="113">
        <f>IF(Filing_Status="m",IF(OR(Z$1&lt;Single_Rate_Start,Single_Rate_Start=""),+Details!Z$196/Z$146,+Details!Z$196/Z$225),+Details!Z$196/Z$225)</f>
        <v>0.65765765765765771</v>
      </c>
      <c r="AA314" s="113">
        <f>IF(Filing_Status="m",IF(OR(AA$1&lt;Single_Rate_Start,Single_Rate_Start=""),+Details!AA$196/AA$146,+Details!AA$196/AA$225),+Details!AA$196/AA$225)</f>
        <v>0.68141592920353977</v>
      </c>
      <c r="AB314" s="113">
        <f>IF(Filing_Status="m",IF(OR(AB$1&lt;Single_Rate_Start,Single_Rate_Start=""),+Details!AB$196/AB$146,+Details!AB$196/AB$225),+Details!AB$196/AB$225)</f>
        <v>0.69827586206896552</v>
      </c>
      <c r="AC314" s="113">
        <f>IF(Filing_Status="m",IF(OR(AC$1&lt;Single_Rate_Start,Single_Rate_Start=""),+Details!AC$196/AC$146,+Details!AC$196/AC$225),+Details!AC$196/AC$225)</f>
        <v>0.76271186440677963</v>
      </c>
      <c r="AD314" s="113">
        <f>IF(Filing_Status="m",IF(OR(AD$1&lt;Single_Rate_Start,Single_Rate_Start=""),+Details!AD$196/AD$146,+Details!AD$196/AD$225),+Details!AD$196/AD$225)</f>
        <v>1</v>
      </c>
      <c r="AE314" s="113">
        <f>IF(Filing_Status="m",IF(OR(AE$1&lt;Single_Rate_Start,Single_Rate_Start=""),+Details!AE$196/AE$146,+Details!AE$196/AE$225),+Details!AE$196/AE$225)</f>
        <v>1</v>
      </c>
      <c r="AF314" s="113">
        <f>IF(Filing_Status="m",IF(OR(AF$1&lt;Single_Rate_Start,Single_Rate_Start=""),+Details!AF$196/AF$146,+Details!AF$196/AF$225),+Details!AF$196/AF$225)</f>
        <v>1</v>
      </c>
      <c r="AG314" s="113">
        <f>IF(Filing_Status="m",IF(OR(AG$1&lt;Single_Rate_Start,Single_Rate_Start=""),+Details!AG$196/AG$146,+Details!AG$196/AG$225),+Details!AG$196/AG$225)</f>
        <v>1</v>
      </c>
      <c r="AH314" s="113">
        <f>IF(Filing_Status="m",IF(OR(AH$1&lt;Single_Rate_Start,Single_Rate_Start=""),+Details!AH$196/AH$146,+Details!AH$196/AH$225),+Details!AH$196/AH$225)</f>
        <v>1</v>
      </c>
      <c r="AI314" s="113">
        <f>IF(Filing_Status="m",IF(OR(AI$1&lt;Single_Rate_Start,Single_Rate_Start=""),+Details!AI$196/AI$146,+Details!AI$196/AI$225),+Details!AI$196/AI$225)</f>
        <v>1</v>
      </c>
      <c r="AJ314" s="113">
        <f>IF(Filing_Status="m",IF(OR(AJ$1&lt;Single_Rate_Start,Single_Rate_Start=""),+Details!AJ$196/AJ$146,+Details!AJ$196/AJ$225),+Details!AJ$196/AJ$225)</f>
        <v>0</v>
      </c>
      <c r="AK314" s="113">
        <f>IF(Filing_Status="m",IF(OR(AK$1&lt;Single_Rate_Start,Single_Rate_Start=""),+Details!AK$196/AK$146,+Details!AK$196/AK$225),+Details!AK$196/AK$225)</f>
        <v>0</v>
      </c>
      <c r="AL314" s="113">
        <f>IF(Filing_Status="m",IF(OR(AL$1&lt;Single_Rate_Start,Single_Rate_Start=""),+Details!AL$196/AL$146,+Details!AL$196/AL$225),+Details!AL$196/AL$225)</f>
        <v>0</v>
      </c>
      <c r="AM314" s="113">
        <f>IF(Filing_Status="m",IF(OR(AM$1&lt;Single_Rate_Start,Single_Rate_Start=""),+Details!AM$196/AM$146,+Details!AM$196/AM$225),+Details!AM$196/AM$225)</f>
        <v>0</v>
      </c>
      <c r="AN314" s="113">
        <f>IF(Filing_Status="m",IF(OR(AN$1&lt;Single_Rate_Start,Single_Rate_Start=""),+Details!AN$196/AN$146,+Details!AN$196/AN$225),+Details!AN$196/AN$225)</f>
        <v>0</v>
      </c>
      <c r="AO314" s="113">
        <f>IF(Filing_Status="m",IF(OR(AO$1&lt;Single_Rate_Start,Single_Rate_Start=""),+Details!AO$196/AO$146,+Details!AO$196/AO$225),+Details!AO$196/AO$225)</f>
        <v>0</v>
      </c>
      <c r="AP314" s="113">
        <f>IF(Filing_Status="m",IF(OR(AP$1&lt;Single_Rate_Start,Single_Rate_Start=""),+Details!AP$196/AP$146,+Details!AP$196/AP$225),+Details!AP$196/AP$225)</f>
        <v>0</v>
      </c>
      <c r="AQ314" s="113">
        <f>IF(Filing_Status="m",IF(OR(AQ$1&lt;Single_Rate_Start,Single_Rate_Start=""),+Details!AQ$196/AQ$146,+Details!AQ$196/AQ$225),+Details!AQ$196/AQ$225)</f>
        <v>0</v>
      </c>
      <c r="AR314" s="113">
        <f>IF(Filing_Status="m",IF(OR(AR$1&lt;Single_Rate_Start,Single_Rate_Start=""),+Details!AR$196/AR$146,+Details!AR$196/AR$225),+Details!AR$196/AR$225)</f>
        <v>0</v>
      </c>
      <c r="AS314" s="113">
        <f>IF(Filing_Status="m",IF(OR(AS$1&lt;Single_Rate_Start,Single_Rate_Start=""),+Details!AS$196/AS$146,+Details!AS$196/AS$225),+Details!AS$196/AS$225)</f>
        <v>0</v>
      </c>
      <c r="AT314" s="113"/>
    </row>
    <row r="315" spans="2:46">
      <c r="C315" s="63"/>
      <c r="E315" s="67">
        <f>IF(Filing_Status="m",+F150,+F229)</f>
        <v>0.22</v>
      </c>
      <c r="F315" s="113">
        <f>IF(Filing_Status="m",IF(OR(F$1&lt;Single_Rate_Start,Single_Rate_Start=""),+Details!F$197/F$151,+Details!F$197/F$230),+Details!F$197/F$230)</f>
        <v>0</v>
      </c>
      <c r="G315" s="113">
        <f>IF(Filing_Status="m",IF(OR(G$1&lt;Single_Rate_Start,Single_Rate_Start=""),+Details!G$197/G$151,+Details!G$197/G$230),+Details!G$197/G$230)</f>
        <v>0</v>
      </c>
      <c r="H315" s="113">
        <f>IF(Filing_Status="m",IF(OR(H$1&lt;Single_Rate_Start,Single_Rate_Start=""),+Details!H$197/H$151,+Details!H$197/H$230),+Details!H$197/H$230)</f>
        <v>0</v>
      </c>
      <c r="I315" s="113">
        <f>IF(Filing_Status="m",IF(OR(I$1&lt;Single_Rate_Start,Single_Rate_Start=""),+Details!I$197/I$151,+Details!I$197/I$230),+Details!I$197/I$230)</f>
        <v>0</v>
      </c>
      <c r="J315" s="113">
        <f>IF(Filing_Status="m",IF(OR(J$1&lt;Single_Rate_Start,Single_Rate_Start=""),+Details!J$197/J$151,+Details!J$197/J$230),+Details!J$197/J$230)</f>
        <v>0</v>
      </c>
      <c r="K315" s="113">
        <f>IF(Filing_Status="m",IF(OR(K$1&lt;Single_Rate_Start,Single_Rate_Start=""),+Details!K$197/K$151,+Details!K$197/K$230),+Details!K$197/K$230)</f>
        <v>0</v>
      </c>
      <c r="L315" s="113">
        <f>IF(Filing_Status="m",IF(OR(L$1&lt;Single_Rate_Start,Single_Rate_Start=""),+Details!L$197/L$151,+Details!L$197/L$230),+Details!L$197/L$230)</f>
        <v>0</v>
      </c>
      <c r="M315" s="113">
        <f>IF(Filing_Status="m",IF(OR(M$1&lt;Single_Rate_Start,Single_Rate_Start=""),+Details!M$197/M$151,+Details!M$197/M$230),+Details!M$197/M$230)</f>
        <v>0</v>
      </c>
      <c r="N315" s="113">
        <f>IF(Filing_Status="m",IF(OR(N$1&lt;Single_Rate_Start,Single_Rate_Start=""),+Details!N$197/N$151,+Details!N$197/N$230),+Details!N$197/N$230)</f>
        <v>0</v>
      </c>
      <c r="O315" s="113">
        <f>IF(Filing_Status="m",IF(OR(O$1&lt;Single_Rate_Start,Single_Rate_Start=""),+Details!O$197/O$151,+Details!O$197/O$230),+Details!O$197/O$230)</f>
        <v>0</v>
      </c>
      <c r="P315" s="113">
        <f>IF(Filing_Status="m",IF(OR(P$1&lt;Single_Rate_Start,Single_Rate_Start=""),+Details!P$197/P$151,+Details!P$197/P$230),+Details!P$197/P$230)</f>
        <v>0</v>
      </c>
      <c r="Q315" s="113">
        <f>IF(Filing_Status="m",IF(OR(Q$1&lt;Single_Rate_Start,Single_Rate_Start=""),+Details!Q$197/Q$151,+Details!Q$197/Q$230),+Details!Q$197/Q$230)</f>
        <v>0</v>
      </c>
      <c r="R315" s="113">
        <f>IF(Filing_Status="m",IF(OR(R$1&lt;Single_Rate_Start,Single_Rate_Start=""),+Details!R$197/R$151,+Details!R$197/R$230),+Details!R$197/R$230)</f>
        <v>0</v>
      </c>
      <c r="S315" s="113">
        <f>IF(Filing_Status="m",IF(OR(S$1&lt;Single_Rate_Start,Single_Rate_Start=""),+Details!S$197/S$151,+Details!S$197/S$230),+Details!S$197/S$230)</f>
        <v>0</v>
      </c>
      <c r="T315" s="113">
        <f>IF(Filing_Status="m",IF(OR(T$1&lt;Single_Rate_Start,Single_Rate_Start=""),+Details!T$197/T$151,+Details!T$197/T$230),+Details!T$197/T$230)</f>
        <v>0</v>
      </c>
      <c r="U315" s="113">
        <f>IF(Filing_Status="m",IF(OR(U$1&lt;Single_Rate_Start,Single_Rate_Start=""),+Details!U$197/U$151,+Details!U$197/U$230),+Details!U$197/U$230)</f>
        <v>0</v>
      </c>
      <c r="V315" s="113">
        <f>IF(Filing_Status="m",IF(OR(V$1&lt;Single_Rate_Start,Single_Rate_Start=""),+Details!V$197/V$151,+Details!V$197/V$230),+Details!V$197/V$230)</f>
        <v>0</v>
      </c>
      <c r="W315" s="113">
        <f>IF(Filing_Status="m",IF(OR(W$1&lt;Single_Rate_Start,Single_Rate_Start=""),+Details!W$197/W$151,+Details!W$197/W$230),+Details!W$197/W$230)</f>
        <v>0</v>
      </c>
      <c r="X315" s="113">
        <f>IF(Filing_Status="m",IF(OR(X$1&lt;Single_Rate_Start,Single_Rate_Start=""),+Details!X$197/X$151,+Details!X$197/X$230),+Details!X$197/X$230)</f>
        <v>0</v>
      </c>
      <c r="Y315" s="113">
        <f>IF(Filing_Status="m",IF(OR(Y$1&lt;Single_Rate_Start,Single_Rate_Start=""),+Details!Y$197/Y$151,+Details!Y$197/Y$230),+Details!Y$197/Y$230)</f>
        <v>0</v>
      </c>
      <c r="Z315" s="113">
        <f>IF(Filing_Status="m",IF(OR(Z$1&lt;Single_Rate_Start,Single_Rate_Start=""),+Details!Z$197/Z$151,+Details!Z$197/Z$230),+Details!Z$197/Z$230)</f>
        <v>0</v>
      </c>
      <c r="AA315" s="113">
        <f>IF(Filing_Status="m",IF(OR(AA$1&lt;Single_Rate_Start,Single_Rate_Start=""),+Details!AA$197/AA$151,+Details!AA$197/AA$230),+Details!AA$197/AA$230)</f>
        <v>0</v>
      </c>
      <c r="AB315" s="113">
        <f>IF(Filing_Status="m",IF(OR(AB$1&lt;Single_Rate_Start,Single_Rate_Start=""),+Details!AB$197/AB$151,+Details!AB$197/AB$230),+Details!AB$197/AB$230)</f>
        <v>0</v>
      </c>
      <c r="AC315" s="113">
        <f>IF(Filing_Status="m",IF(OR(AC$1&lt;Single_Rate_Start,Single_Rate_Start=""),+Details!AC$197/AC$151,+Details!AC$197/AC$230),+Details!AC$197/AC$230)</f>
        <v>0</v>
      </c>
      <c r="AD315" s="113">
        <f>IF(Filing_Status="m",IF(OR(AD$1&lt;Single_Rate_Start,Single_Rate_Start=""),+Details!AD$197/AD$151,+Details!AD$197/AD$230),+Details!AD$197/AD$230)</f>
        <v>0.56886227544910184</v>
      </c>
      <c r="AE315" s="113">
        <f>IF(Filing_Status="m",IF(OR(AE$1&lt;Single_Rate_Start,Single_Rate_Start=""),+Details!AE$197/AE$151,+Details!AE$197/AE$230),+Details!AE$197/AE$230)</f>
        <v>0.59411764705882353</v>
      </c>
      <c r="AF315" s="113">
        <f>IF(Filing_Status="m",IF(OR(AF$1&lt;Single_Rate_Start,Single_Rate_Start=""),+Details!AF$197/AF$151,+Details!AF$197/AF$230),+Details!AF$197/AF$230)</f>
        <v>0.58620689655172409</v>
      </c>
      <c r="AG315" s="113">
        <f>IF(Filing_Status="m",IF(OR(AG$1&lt;Single_Rate_Start,Single_Rate_Start=""),+Details!AG$197/AG$151,+Details!AG$197/AG$230),+Details!AG$197/AG$230)</f>
        <v>0.47191011235955055</v>
      </c>
      <c r="AH315" s="113">
        <f>IF(Filing_Status="m",IF(OR(AH$1&lt;Single_Rate_Start,Single_Rate_Start=""),+Details!AH$197/AH$151,+Details!AH$197/AH$230),+Details!AH$197/AH$230)</f>
        <v>0.44505494505494503</v>
      </c>
      <c r="AI315" s="113">
        <f>IF(Filing_Status="m",IF(OR(AI$1&lt;Single_Rate_Start,Single_Rate_Start=""),+Details!AI$197/AI$151,+Details!AI$197/AI$230),+Details!AI$197/AI$230)</f>
        <v>0.44864864864864867</v>
      </c>
      <c r="AJ315" s="113">
        <f>IF(Filing_Status="m",IF(OR(AJ$1&lt;Single_Rate_Start,Single_Rate_Start=""),+Details!AJ$197/AJ$151,+Details!AJ$197/AJ$230),+Details!AJ$197/AJ$230)</f>
        <v>0</v>
      </c>
      <c r="AK315" s="113">
        <f>IF(Filing_Status="m",IF(OR(AK$1&lt;Single_Rate_Start,Single_Rate_Start=""),+Details!AK$197/AK$151,+Details!AK$197/AK$230),+Details!AK$197/AK$230)</f>
        <v>0</v>
      </c>
      <c r="AL315" s="113">
        <f>IF(Filing_Status="m",IF(OR(AL$1&lt;Single_Rate_Start,Single_Rate_Start=""),+Details!AL$197/AL$151,+Details!AL$197/AL$230),+Details!AL$197/AL$230)</f>
        <v>0</v>
      </c>
      <c r="AM315" s="113">
        <f>IF(Filing_Status="m",IF(OR(AM$1&lt;Single_Rate_Start,Single_Rate_Start=""),+Details!AM$197/AM$151,+Details!AM$197/AM$230),+Details!AM$197/AM$230)</f>
        <v>0</v>
      </c>
      <c r="AN315" s="113">
        <f>IF(Filing_Status="m",IF(OR(AN$1&lt;Single_Rate_Start,Single_Rate_Start=""),+Details!AN$197/AN$151,+Details!AN$197/AN$230),+Details!AN$197/AN$230)</f>
        <v>0</v>
      </c>
      <c r="AO315" s="113">
        <f>IF(Filing_Status="m",IF(OR(AO$1&lt;Single_Rate_Start,Single_Rate_Start=""),+Details!AO$197/AO$151,+Details!AO$197/AO$230),+Details!AO$197/AO$230)</f>
        <v>0</v>
      </c>
      <c r="AP315" s="113">
        <f>IF(Filing_Status="m",IF(OR(AP$1&lt;Single_Rate_Start,Single_Rate_Start=""),+Details!AP$197/AP$151,+Details!AP$197/AP$230),+Details!AP$197/AP$230)</f>
        <v>0</v>
      </c>
      <c r="AQ315" s="113">
        <f>IF(Filing_Status="m",IF(OR(AQ$1&lt;Single_Rate_Start,Single_Rate_Start=""),+Details!AQ$197/AQ$151,+Details!AQ$197/AQ$230),+Details!AQ$197/AQ$230)</f>
        <v>0</v>
      </c>
      <c r="AR315" s="113">
        <f>IF(Filing_Status="m",IF(OR(AR$1&lt;Single_Rate_Start,Single_Rate_Start=""),+Details!AR$197/AR$151,+Details!AR$197/AR$230),+Details!AR$197/AR$230)</f>
        <v>0</v>
      </c>
      <c r="AS315" s="113">
        <f>IF(Filing_Status="m",IF(OR(AS$1&lt;Single_Rate_Start,Single_Rate_Start=""),+Details!AS$197/AS$151,+Details!AS$197/AS$230),+Details!AS$197/AS$230)</f>
        <v>0</v>
      </c>
      <c r="AT315" s="113"/>
    </row>
    <row r="316" spans="2:46">
      <c r="C316" s="63"/>
      <c r="E316" s="67">
        <f>IF(Filing_Status="m",+F155,+F234)</f>
        <v>0.24</v>
      </c>
      <c r="F316" s="113">
        <f>IF(Filing_Status="m",IF(OR(F$1&lt;Single_Rate_Start,Single_Rate_Start=""),+Details!F$198/F$156,+Details!F$198/F$235),+Details!F$198/F$235)</f>
        <v>0</v>
      </c>
      <c r="G316" s="113">
        <f>IF(Filing_Status="m",IF(OR(G$1&lt;Single_Rate_Start,Single_Rate_Start=""),+Details!G$198/G$156,+Details!G$198/G$235),+Details!G$198/G$235)</f>
        <v>0</v>
      </c>
      <c r="H316" s="113">
        <f>IF(Filing_Status="m",IF(OR(H$1&lt;Single_Rate_Start,Single_Rate_Start=""),+Details!H$198/H$156,+Details!H$198/H$235),+Details!H$198/H$235)</f>
        <v>0</v>
      </c>
      <c r="I316" s="113">
        <f>IF(Filing_Status="m",IF(OR(I$1&lt;Single_Rate_Start,Single_Rate_Start=""),+Details!I$198/I$156,+Details!I$198/I$235),+Details!I$198/I$235)</f>
        <v>0</v>
      </c>
      <c r="J316" s="113">
        <f>IF(Filing_Status="m",IF(OR(J$1&lt;Single_Rate_Start,Single_Rate_Start=""),+Details!J$198/J$156,+Details!J$198/J$235),+Details!J$198/J$235)</f>
        <v>0</v>
      </c>
      <c r="K316" s="113">
        <f>IF(Filing_Status="m",IF(OR(K$1&lt;Single_Rate_Start,Single_Rate_Start=""),+Details!K$198/K$156,+Details!K$198/K$235),+Details!K$198/K$235)</f>
        <v>0</v>
      </c>
      <c r="L316" s="113">
        <f>IF(Filing_Status="m",IF(OR(L$1&lt;Single_Rate_Start,Single_Rate_Start=""),+Details!L$198/L$156,+Details!L$198/L$235),+Details!L$198/L$235)</f>
        <v>0</v>
      </c>
      <c r="M316" s="113">
        <f>IF(Filing_Status="m",IF(OR(M$1&lt;Single_Rate_Start,Single_Rate_Start=""),+Details!M$198/M$156,+Details!M$198/M$235),+Details!M$198/M$235)</f>
        <v>0</v>
      </c>
      <c r="N316" s="113">
        <f>IF(Filing_Status="m",IF(OR(N$1&lt;Single_Rate_Start,Single_Rate_Start=""),+Details!N$198/N$156,+Details!N$198/N$235),+Details!N$198/N$235)</f>
        <v>0</v>
      </c>
      <c r="O316" s="113">
        <f>IF(Filing_Status="m",IF(OR(O$1&lt;Single_Rate_Start,Single_Rate_Start=""),+Details!O$198/O$156,+Details!O$198/O$235),+Details!O$198/O$235)</f>
        <v>0</v>
      </c>
      <c r="P316" s="113">
        <f>IF(Filing_Status="m",IF(OR(P$1&lt;Single_Rate_Start,Single_Rate_Start=""),+Details!P$198/P$156,+Details!P$198/P$235),+Details!P$198/P$235)</f>
        <v>0</v>
      </c>
      <c r="Q316" s="113">
        <f>IF(Filing_Status="m",IF(OR(Q$1&lt;Single_Rate_Start,Single_Rate_Start=""),+Details!Q$198/Q$156,+Details!Q$198/Q$235),+Details!Q$198/Q$235)</f>
        <v>0</v>
      </c>
      <c r="R316" s="113">
        <f>IF(Filing_Status="m",IF(OR(R$1&lt;Single_Rate_Start,Single_Rate_Start=""),+Details!R$198/R$156,+Details!R$198/R$235),+Details!R$198/R$235)</f>
        <v>0</v>
      </c>
      <c r="S316" s="113">
        <f>IF(Filing_Status="m",IF(OR(S$1&lt;Single_Rate_Start,Single_Rate_Start=""),+Details!S$198/S$156,+Details!S$198/S$235),+Details!S$198/S$235)</f>
        <v>0</v>
      </c>
      <c r="T316" s="113">
        <f>IF(Filing_Status="m",IF(OR(T$1&lt;Single_Rate_Start,Single_Rate_Start=""),+Details!T$198/T$156,+Details!T$198/T$235),+Details!T$198/T$235)</f>
        <v>0</v>
      </c>
      <c r="U316" s="113">
        <f>IF(Filing_Status="m",IF(OR(U$1&lt;Single_Rate_Start,Single_Rate_Start=""),+Details!U$198/U$156,+Details!U$198/U$235),+Details!U$198/U$235)</f>
        <v>0</v>
      </c>
      <c r="V316" s="113">
        <f>IF(Filing_Status="m",IF(OR(V$1&lt;Single_Rate_Start,Single_Rate_Start=""),+Details!V$198/V$156,+Details!V$198/V$235),+Details!V$198/V$235)</f>
        <v>0</v>
      </c>
      <c r="W316" s="113">
        <f>IF(Filing_Status="m",IF(OR(W$1&lt;Single_Rate_Start,Single_Rate_Start=""),+Details!W$198/W$156,+Details!W$198/W$235),+Details!W$198/W$235)</f>
        <v>0</v>
      </c>
      <c r="X316" s="113">
        <f>IF(Filing_Status="m",IF(OR(X$1&lt;Single_Rate_Start,Single_Rate_Start=""),+Details!X$198/X$156,+Details!X$198/X$235),+Details!X$198/X$235)</f>
        <v>0</v>
      </c>
      <c r="Y316" s="113">
        <f>IF(Filing_Status="m",IF(OR(Y$1&lt;Single_Rate_Start,Single_Rate_Start=""),+Details!Y$198/Y$156,+Details!Y$198/Y$235),+Details!Y$198/Y$235)</f>
        <v>0</v>
      </c>
      <c r="Z316" s="113">
        <f>IF(Filing_Status="m",IF(OR(Z$1&lt;Single_Rate_Start,Single_Rate_Start=""),+Details!Z$198/Z$156,+Details!Z$198/Z$235),+Details!Z$198/Z$235)</f>
        <v>0</v>
      </c>
      <c r="AA316" s="113">
        <f>IF(Filing_Status="m",IF(OR(AA$1&lt;Single_Rate_Start,Single_Rate_Start=""),+Details!AA$198/AA$156,+Details!AA$198/AA$235),+Details!AA$198/AA$235)</f>
        <v>0</v>
      </c>
      <c r="AB316" s="113">
        <f>IF(Filing_Status="m",IF(OR(AB$1&lt;Single_Rate_Start,Single_Rate_Start=""),+Details!AB$198/AB$156,+Details!AB$198/AB$235),+Details!AB$198/AB$235)</f>
        <v>0</v>
      </c>
      <c r="AC316" s="113">
        <f>IF(Filing_Status="m",IF(OR(AC$1&lt;Single_Rate_Start,Single_Rate_Start=""),+Details!AC$198/AC$156,+Details!AC$198/AC$235),+Details!AC$198/AC$235)</f>
        <v>0</v>
      </c>
      <c r="AD316" s="113">
        <f>IF(Filing_Status="m",IF(OR(AD$1&lt;Single_Rate_Start,Single_Rate_Start=""),+Details!AD$198/AD$156,+Details!AD$198/AD$235),+Details!AD$198/AD$235)</f>
        <v>0</v>
      </c>
      <c r="AE316" s="113">
        <f>IF(Filing_Status="m",IF(OR(AE$1&lt;Single_Rate_Start,Single_Rate_Start=""),+Details!AE$198/AE$156,+Details!AE$198/AE$235),+Details!AE$198/AE$235)</f>
        <v>0</v>
      </c>
      <c r="AF316" s="113">
        <f>IF(Filing_Status="m",IF(OR(AF$1&lt;Single_Rate_Start,Single_Rate_Start=""),+Details!AF$198/AF$156,+Details!AF$198/AF$235),+Details!AF$198/AF$235)</f>
        <v>0</v>
      </c>
      <c r="AG316" s="113">
        <f>IF(Filing_Status="m",IF(OR(AG$1&lt;Single_Rate_Start,Single_Rate_Start=""),+Details!AG$198/AG$156,+Details!AG$198/AG$235),+Details!AG$198/AG$235)</f>
        <v>0</v>
      </c>
      <c r="AH316" s="113">
        <f>IF(Filing_Status="m",IF(OR(AH$1&lt;Single_Rate_Start,Single_Rate_Start=""),+Details!AH$198/AH$156,+Details!AH$198/AH$235),+Details!AH$198/AH$235)</f>
        <v>0</v>
      </c>
      <c r="AI316" s="113">
        <f>IF(Filing_Status="m",IF(OR(AI$1&lt;Single_Rate_Start,Single_Rate_Start=""),+Details!AI$198/AI$156,+Details!AI$198/AI$235),+Details!AI$198/AI$235)</f>
        <v>0</v>
      </c>
      <c r="AJ316" s="113">
        <f>IF(Filing_Status="m",IF(OR(AJ$1&lt;Single_Rate_Start,Single_Rate_Start=""),+Details!AJ$198/AJ$156,+Details!AJ$198/AJ$235),+Details!AJ$198/AJ$235)</f>
        <v>0</v>
      </c>
      <c r="AK316" s="113">
        <f>IF(Filing_Status="m",IF(OR(AK$1&lt;Single_Rate_Start,Single_Rate_Start=""),+Details!AK$198/AK$156,+Details!AK$198/AK$235),+Details!AK$198/AK$235)</f>
        <v>0</v>
      </c>
      <c r="AL316" s="113">
        <f>IF(Filing_Status="m",IF(OR(AL$1&lt;Single_Rate_Start,Single_Rate_Start=""),+Details!AL$198/AL$156,+Details!AL$198/AL$235),+Details!AL$198/AL$235)</f>
        <v>0</v>
      </c>
      <c r="AM316" s="113">
        <f>IF(Filing_Status="m",IF(OR(AM$1&lt;Single_Rate_Start,Single_Rate_Start=""),+Details!AM$198/AM$156,+Details!AM$198/AM$235),+Details!AM$198/AM$235)</f>
        <v>0</v>
      </c>
      <c r="AN316" s="113">
        <f>IF(Filing_Status="m",IF(OR(AN$1&lt;Single_Rate_Start,Single_Rate_Start=""),+Details!AN$198/AN$156,+Details!AN$198/AN$235),+Details!AN$198/AN$235)</f>
        <v>0</v>
      </c>
      <c r="AO316" s="113">
        <f>IF(Filing_Status="m",IF(OR(AO$1&lt;Single_Rate_Start,Single_Rate_Start=""),+Details!AO$198/AO$156,+Details!AO$198/AO$235),+Details!AO$198/AO$235)</f>
        <v>0</v>
      </c>
      <c r="AP316" s="113">
        <f>IF(Filing_Status="m",IF(OR(AP$1&lt;Single_Rate_Start,Single_Rate_Start=""),+Details!AP$198/AP$156,+Details!AP$198/AP$235),+Details!AP$198/AP$235)</f>
        <v>0</v>
      </c>
      <c r="AQ316" s="113">
        <f>IF(Filing_Status="m",IF(OR(AQ$1&lt;Single_Rate_Start,Single_Rate_Start=""),+Details!AQ$198/AQ$156,+Details!AQ$198/AQ$235),+Details!AQ$198/AQ$235)</f>
        <v>0</v>
      </c>
      <c r="AR316" s="113">
        <f>IF(Filing_Status="m",IF(OR(AR$1&lt;Single_Rate_Start,Single_Rate_Start=""),+Details!AR$198/AR$156,+Details!AR$198/AR$235),+Details!AR$198/AR$235)</f>
        <v>0</v>
      </c>
      <c r="AS316" s="113">
        <f>IF(Filing_Status="m",IF(OR(AS$1&lt;Single_Rate_Start,Single_Rate_Start=""),+Details!AS$198/AS$156,+Details!AS$198/AS$235),+Details!AS$198/AS$235)</f>
        <v>0</v>
      </c>
      <c r="AT316" s="113"/>
    </row>
    <row r="317" spans="2:46">
      <c r="C317" s="63"/>
      <c r="E317" s="67">
        <f>IF(Filing_Status="m",+F160,+F239)</f>
        <v>0.32</v>
      </c>
      <c r="F317" s="113">
        <f>IF(Filing_Status="m",IF(OR(F$1&lt;Single_Rate_Start,Single_Rate_Start=""),+Details!F$199/F$161,+Details!F$199/F$240),+Details!F$199/F$240)</f>
        <v>0</v>
      </c>
      <c r="G317" s="113">
        <f>IF(Filing_Status="m",IF(OR(G$1&lt;Single_Rate_Start,Single_Rate_Start=""),+Details!G$199/G$161,+Details!G$199/G$240),+Details!G$199/G$240)</f>
        <v>0</v>
      </c>
      <c r="H317" s="113">
        <f>IF(Filing_Status="m",IF(OR(H$1&lt;Single_Rate_Start,Single_Rate_Start=""),+Details!H$199/H$161,+Details!H$199/H$240),+Details!H$199/H$240)</f>
        <v>0</v>
      </c>
      <c r="I317" s="113">
        <f>IF(Filing_Status="m",IF(OR(I$1&lt;Single_Rate_Start,Single_Rate_Start=""),+Details!I$199/I$161,+Details!I$199/I$240),+Details!I$199/I$240)</f>
        <v>0</v>
      </c>
      <c r="J317" s="113">
        <f>IF(Filing_Status="m",IF(OR(J$1&lt;Single_Rate_Start,Single_Rate_Start=""),+Details!J$199/J$161,+Details!J$199/J$240),+Details!J$199/J$240)</f>
        <v>0</v>
      </c>
      <c r="K317" s="113">
        <f>IF(Filing_Status="m",IF(OR(K$1&lt;Single_Rate_Start,Single_Rate_Start=""),+Details!K$199/K$161,+Details!K$199/K$240),+Details!K$199/K$240)</f>
        <v>0</v>
      </c>
      <c r="L317" s="113">
        <f>IF(Filing_Status="m",IF(OR(L$1&lt;Single_Rate_Start,Single_Rate_Start=""),+Details!L$199/L$161,+Details!L$199/L$240),+Details!L$199/L$240)</f>
        <v>0</v>
      </c>
      <c r="M317" s="113">
        <f>IF(Filing_Status="m",IF(OR(M$1&lt;Single_Rate_Start,Single_Rate_Start=""),+Details!M$199/M$161,+Details!M$199/M$240),+Details!M$199/M$240)</f>
        <v>0</v>
      </c>
      <c r="N317" s="113">
        <f>IF(Filing_Status="m",IF(OR(N$1&lt;Single_Rate_Start,Single_Rate_Start=""),+Details!N$199/N$161,+Details!N$199/N$240),+Details!N$199/N$240)</f>
        <v>0</v>
      </c>
      <c r="O317" s="113">
        <f>IF(Filing_Status="m",IF(OR(O$1&lt;Single_Rate_Start,Single_Rate_Start=""),+Details!O$199/O$161,+Details!O$199/O$240),+Details!O$199/O$240)</f>
        <v>0</v>
      </c>
      <c r="P317" s="113">
        <f>IF(Filing_Status="m",IF(OR(P$1&lt;Single_Rate_Start,Single_Rate_Start=""),+Details!P$199/P$161,+Details!P$199/P$240),+Details!P$199/P$240)</f>
        <v>0</v>
      </c>
      <c r="Q317" s="113">
        <f>IF(Filing_Status="m",IF(OR(Q$1&lt;Single_Rate_Start,Single_Rate_Start=""),+Details!Q$199/Q$161,+Details!Q$199/Q$240),+Details!Q$199/Q$240)</f>
        <v>0</v>
      </c>
      <c r="R317" s="113">
        <f>IF(Filing_Status="m",IF(OR(R$1&lt;Single_Rate_Start,Single_Rate_Start=""),+Details!R$199/R$161,+Details!R$199/R$240),+Details!R$199/R$240)</f>
        <v>0</v>
      </c>
      <c r="S317" s="113">
        <f>IF(Filing_Status="m",IF(OR(S$1&lt;Single_Rate_Start,Single_Rate_Start=""),+Details!S$199/S$161,+Details!S$199/S$240),+Details!S$199/S$240)</f>
        <v>0</v>
      </c>
      <c r="T317" s="113">
        <f>IF(Filing_Status="m",IF(OR(T$1&lt;Single_Rate_Start,Single_Rate_Start=""),+Details!T$199/T$161,+Details!T$199/T$240),+Details!T$199/T$240)</f>
        <v>0</v>
      </c>
      <c r="U317" s="113">
        <f>IF(Filing_Status="m",IF(OR(U$1&lt;Single_Rate_Start,Single_Rate_Start=""),+Details!U$199/U$161,+Details!U$199/U$240),+Details!U$199/U$240)</f>
        <v>0</v>
      </c>
      <c r="V317" s="113">
        <f>IF(Filing_Status="m",IF(OR(V$1&lt;Single_Rate_Start,Single_Rate_Start=""),+Details!V$199/V$161,+Details!V$199/V$240),+Details!V$199/V$240)</f>
        <v>0</v>
      </c>
      <c r="W317" s="113">
        <f>IF(Filing_Status="m",IF(OR(W$1&lt;Single_Rate_Start,Single_Rate_Start=""),+Details!W$199/W$161,+Details!W$199/W$240),+Details!W$199/W$240)</f>
        <v>0</v>
      </c>
      <c r="X317" s="113">
        <f>IF(Filing_Status="m",IF(OR(X$1&lt;Single_Rate_Start,Single_Rate_Start=""),+Details!X$199/X$161,+Details!X$199/X$240),+Details!X$199/X$240)</f>
        <v>0</v>
      </c>
      <c r="Y317" s="113">
        <f>IF(Filing_Status="m",IF(OR(Y$1&lt;Single_Rate_Start,Single_Rate_Start=""),+Details!Y$199/Y$161,+Details!Y$199/Y$240),+Details!Y$199/Y$240)</f>
        <v>0</v>
      </c>
      <c r="Z317" s="113">
        <f>IF(Filing_Status="m",IF(OR(Z$1&lt;Single_Rate_Start,Single_Rate_Start=""),+Details!Z$199/Z$161,+Details!Z$199/Z$240),+Details!Z$199/Z$240)</f>
        <v>0</v>
      </c>
      <c r="AA317" s="113">
        <f>IF(Filing_Status="m",IF(OR(AA$1&lt;Single_Rate_Start,Single_Rate_Start=""),+Details!AA$199/AA$161,+Details!AA$199/AA$240),+Details!AA$199/AA$240)</f>
        <v>0</v>
      </c>
      <c r="AB317" s="113">
        <f>IF(Filing_Status="m",IF(OR(AB$1&lt;Single_Rate_Start,Single_Rate_Start=""),+Details!AB$199/AB$161,+Details!AB$199/AB$240),+Details!AB$199/AB$240)</f>
        <v>0</v>
      </c>
      <c r="AC317" s="113">
        <f>IF(Filing_Status="m",IF(OR(AC$1&lt;Single_Rate_Start,Single_Rate_Start=""),+Details!AC$199/AC$161,+Details!AC$199/AC$240),+Details!AC$199/AC$240)</f>
        <v>0</v>
      </c>
      <c r="AD317" s="113">
        <f>IF(Filing_Status="m",IF(OR(AD$1&lt;Single_Rate_Start,Single_Rate_Start=""),+Details!AD$199/AD$161,+Details!AD$199/AD$240),+Details!AD$199/AD$240)</f>
        <v>0</v>
      </c>
      <c r="AE317" s="113">
        <f>IF(Filing_Status="m",IF(OR(AE$1&lt;Single_Rate_Start,Single_Rate_Start=""),+Details!AE$199/AE$161,+Details!AE$199/AE$240),+Details!AE$199/AE$240)</f>
        <v>0</v>
      </c>
      <c r="AF317" s="113">
        <f>IF(Filing_Status="m",IF(OR(AF$1&lt;Single_Rate_Start,Single_Rate_Start=""),+Details!AF$199/AF$161,+Details!AF$199/AF$240),+Details!AF$199/AF$240)</f>
        <v>0</v>
      </c>
      <c r="AG317" s="113">
        <f>IF(Filing_Status="m",IF(OR(AG$1&lt;Single_Rate_Start,Single_Rate_Start=""),+Details!AG$199/AG$161,+Details!AG$199/AG$240),+Details!AG$199/AG$240)</f>
        <v>0</v>
      </c>
      <c r="AH317" s="113">
        <f>IF(Filing_Status="m",IF(OR(AH$1&lt;Single_Rate_Start,Single_Rate_Start=""),+Details!AH$199/AH$161,+Details!AH$199/AH$240),+Details!AH$199/AH$240)</f>
        <v>0</v>
      </c>
      <c r="AI317" s="113">
        <f>IF(Filing_Status="m",IF(OR(AI$1&lt;Single_Rate_Start,Single_Rate_Start=""),+Details!AI$199/AI$161,+Details!AI$199/AI$240),+Details!AI$199/AI$240)</f>
        <v>0</v>
      </c>
      <c r="AJ317" s="113">
        <f>IF(Filing_Status="m",IF(OR(AJ$1&lt;Single_Rate_Start,Single_Rate_Start=""),+Details!AJ$199/AJ$161,+Details!AJ$199/AJ$240),+Details!AJ$199/AJ$240)</f>
        <v>0</v>
      </c>
      <c r="AK317" s="113">
        <f>IF(Filing_Status="m",IF(OR(AK$1&lt;Single_Rate_Start,Single_Rate_Start=""),+Details!AK$199/AK$161,+Details!AK$199/AK$240),+Details!AK$199/AK$240)</f>
        <v>0</v>
      </c>
      <c r="AL317" s="113">
        <f>IF(Filing_Status="m",IF(OR(AL$1&lt;Single_Rate_Start,Single_Rate_Start=""),+Details!AL$199/AL$161,+Details!AL$199/AL$240),+Details!AL$199/AL$240)</f>
        <v>0</v>
      </c>
      <c r="AM317" s="113">
        <f>IF(Filing_Status="m",IF(OR(AM$1&lt;Single_Rate_Start,Single_Rate_Start=""),+Details!AM$199/AM$161,+Details!AM$199/AM$240),+Details!AM$199/AM$240)</f>
        <v>0</v>
      </c>
      <c r="AN317" s="113">
        <f>IF(Filing_Status="m",IF(OR(AN$1&lt;Single_Rate_Start,Single_Rate_Start=""),+Details!AN$199/AN$161,+Details!AN$199/AN$240),+Details!AN$199/AN$240)</f>
        <v>0</v>
      </c>
      <c r="AO317" s="113">
        <f>IF(Filing_Status="m",IF(OR(AO$1&lt;Single_Rate_Start,Single_Rate_Start=""),+Details!AO$199/AO$161,+Details!AO$199/AO$240),+Details!AO$199/AO$240)</f>
        <v>0</v>
      </c>
      <c r="AP317" s="113">
        <f>IF(Filing_Status="m",IF(OR(AP$1&lt;Single_Rate_Start,Single_Rate_Start=""),+Details!AP$199/AP$161,+Details!AP$199/AP$240),+Details!AP$199/AP$240)</f>
        <v>0</v>
      </c>
      <c r="AQ317" s="113">
        <f>IF(Filing_Status="m",IF(OR(AQ$1&lt;Single_Rate_Start,Single_Rate_Start=""),+Details!AQ$199/AQ$161,+Details!AQ$199/AQ$240),+Details!AQ$199/AQ$240)</f>
        <v>0</v>
      </c>
      <c r="AR317" s="113">
        <f>IF(Filing_Status="m",IF(OR(AR$1&lt;Single_Rate_Start,Single_Rate_Start=""),+Details!AR$199/AR$161,+Details!AR$199/AR$240),+Details!AR$199/AR$240)</f>
        <v>0</v>
      </c>
      <c r="AS317" s="113">
        <f>IF(Filing_Status="m",IF(OR(AS$1&lt;Single_Rate_Start,Single_Rate_Start=""),+Details!AS$199/AS$161,+Details!AS$199/AS$240),+Details!AS$199/AS$240)</f>
        <v>0</v>
      </c>
      <c r="AT317" s="113"/>
    </row>
    <row r="318" spans="2:46">
      <c r="C318" s="63"/>
      <c r="E318" s="67">
        <f>IF(Filing_Status="m",+F165,+F244)</f>
        <v>0.35</v>
      </c>
      <c r="F318" s="113">
        <f>IF(Filing_Status="m",IF(OR(F$1&lt;Single_Rate_Start,Single_Rate_Start=""),+Details!F$200/F$166,+Details!F$200/F$245),+Details!F$200/F$245)</f>
        <v>0</v>
      </c>
      <c r="G318" s="113">
        <f>IF(Filing_Status="m",IF(OR(G$1&lt;Single_Rate_Start,Single_Rate_Start=""),+Details!G$200/G$166,+Details!G$200/G$245),+Details!G$200/G$245)</f>
        <v>0</v>
      </c>
      <c r="H318" s="113">
        <f>IF(Filing_Status="m",IF(OR(H$1&lt;Single_Rate_Start,Single_Rate_Start=""),+Details!H$200/H$166,+Details!H$200/H$245),+Details!H$200/H$245)</f>
        <v>0</v>
      </c>
      <c r="I318" s="113">
        <f>IF(Filing_Status="m",IF(OR(I$1&lt;Single_Rate_Start,Single_Rate_Start=""),+Details!I$200/I$166,+Details!I$200/I$245),+Details!I$200/I$245)</f>
        <v>0</v>
      </c>
      <c r="J318" s="113">
        <f>IF(Filing_Status="m",IF(OR(J$1&lt;Single_Rate_Start,Single_Rate_Start=""),+Details!J$200/J$166,+Details!J$200/J$245),+Details!J$200/J$245)</f>
        <v>0</v>
      </c>
      <c r="K318" s="113">
        <f>IF(Filing_Status="m",IF(OR(K$1&lt;Single_Rate_Start,Single_Rate_Start=""),+Details!K$200/K$166,+Details!K$200/K$245),+Details!K$200/K$245)</f>
        <v>0</v>
      </c>
      <c r="L318" s="113">
        <f>IF(Filing_Status="m",IF(OR(L$1&lt;Single_Rate_Start,Single_Rate_Start=""),+Details!L$200/L$166,+Details!L$200/L$245),+Details!L$200/L$245)</f>
        <v>0</v>
      </c>
      <c r="M318" s="113">
        <f>IF(Filing_Status="m",IF(OR(M$1&lt;Single_Rate_Start,Single_Rate_Start=""),+Details!M$200/M$166,+Details!M$200/M$245),+Details!M$200/M$245)</f>
        <v>0</v>
      </c>
      <c r="N318" s="113">
        <f>IF(Filing_Status="m",IF(OR(N$1&lt;Single_Rate_Start,Single_Rate_Start=""),+Details!N$200/N$166,+Details!N$200/N$245),+Details!N$200/N$245)</f>
        <v>0</v>
      </c>
      <c r="O318" s="113">
        <f>IF(Filing_Status="m",IF(OR(O$1&lt;Single_Rate_Start,Single_Rate_Start=""),+Details!O$200/O$166,+Details!O$200/O$245),+Details!O$200/O$245)</f>
        <v>0</v>
      </c>
      <c r="P318" s="113">
        <f>IF(Filing_Status="m",IF(OR(P$1&lt;Single_Rate_Start,Single_Rate_Start=""),+Details!P$200/P$166,+Details!P$200/P$245),+Details!P$200/P$245)</f>
        <v>0</v>
      </c>
      <c r="Q318" s="113">
        <f>IF(Filing_Status="m",IF(OR(Q$1&lt;Single_Rate_Start,Single_Rate_Start=""),+Details!Q$200/Q$166,+Details!Q$200/Q$245),+Details!Q$200/Q$245)</f>
        <v>0</v>
      </c>
      <c r="R318" s="113">
        <f>IF(Filing_Status="m",IF(OR(R$1&lt;Single_Rate_Start,Single_Rate_Start=""),+Details!R$200/R$166,+Details!R$200/R$245),+Details!R$200/R$245)</f>
        <v>0</v>
      </c>
      <c r="S318" s="113">
        <f>IF(Filing_Status="m",IF(OR(S$1&lt;Single_Rate_Start,Single_Rate_Start=""),+Details!S$200/S$166,+Details!S$200/S$245),+Details!S$200/S$245)</f>
        <v>0</v>
      </c>
      <c r="T318" s="113">
        <f>IF(Filing_Status="m",IF(OR(T$1&lt;Single_Rate_Start,Single_Rate_Start=""),+Details!T$200/T$166,+Details!T$200/T$245),+Details!T$200/T$245)</f>
        <v>0</v>
      </c>
      <c r="U318" s="113">
        <f>IF(Filing_Status="m",IF(OR(U$1&lt;Single_Rate_Start,Single_Rate_Start=""),+Details!U$200/U$166,+Details!U$200/U$245),+Details!U$200/U$245)</f>
        <v>0</v>
      </c>
      <c r="V318" s="113">
        <f>IF(Filing_Status="m",IF(OR(V$1&lt;Single_Rate_Start,Single_Rate_Start=""),+Details!V$200/V$166,+Details!V$200/V$245),+Details!V$200/V$245)</f>
        <v>0</v>
      </c>
      <c r="W318" s="113">
        <f>IF(Filing_Status="m",IF(OR(W$1&lt;Single_Rate_Start,Single_Rate_Start=""),+Details!W$200/W$166,+Details!W$200/W$245),+Details!W$200/W$245)</f>
        <v>0</v>
      </c>
      <c r="X318" s="113">
        <f>IF(Filing_Status="m",IF(OR(X$1&lt;Single_Rate_Start,Single_Rate_Start=""),+Details!X$200/X$166,+Details!X$200/X$245),+Details!X$200/X$245)</f>
        <v>0</v>
      </c>
      <c r="Y318" s="113">
        <f>IF(Filing_Status="m",IF(OR(Y$1&lt;Single_Rate_Start,Single_Rate_Start=""),+Details!Y$200/Y$166,+Details!Y$200/Y$245),+Details!Y$200/Y$245)</f>
        <v>0</v>
      </c>
      <c r="Z318" s="113">
        <f>IF(Filing_Status="m",IF(OR(Z$1&lt;Single_Rate_Start,Single_Rate_Start=""),+Details!Z$200/Z$166,+Details!Z$200/Z$245),+Details!Z$200/Z$245)</f>
        <v>0</v>
      </c>
      <c r="AA318" s="113">
        <f>IF(Filing_Status="m",IF(OR(AA$1&lt;Single_Rate_Start,Single_Rate_Start=""),+Details!AA$200/AA$166,+Details!AA$200/AA$245),+Details!AA$200/AA$245)</f>
        <v>0</v>
      </c>
      <c r="AB318" s="113">
        <f>IF(Filing_Status="m",IF(OR(AB$1&lt;Single_Rate_Start,Single_Rate_Start=""),+Details!AB$200/AB$166,+Details!AB$200/AB$245),+Details!AB$200/AB$245)</f>
        <v>0</v>
      </c>
      <c r="AC318" s="113">
        <f>IF(Filing_Status="m",IF(OR(AC$1&lt;Single_Rate_Start,Single_Rate_Start=""),+Details!AC$200/AC$166,+Details!AC$200/AC$245),+Details!AC$200/AC$245)</f>
        <v>0</v>
      </c>
      <c r="AD318" s="113">
        <f>IF(Filing_Status="m",IF(OR(AD$1&lt;Single_Rate_Start,Single_Rate_Start=""),+Details!AD$200/AD$166,+Details!AD$200/AD$245),+Details!AD$200/AD$245)</f>
        <v>0</v>
      </c>
      <c r="AE318" s="113">
        <f>IF(Filing_Status="m",IF(OR(AE$1&lt;Single_Rate_Start,Single_Rate_Start=""),+Details!AE$200/AE$166,+Details!AE$200/AE$245),+Details!AE$200/AE$245)</f>
        <v>0</v>
      </c>
      <c r="AF318" s="113">
        <f>IF(Filing_Status="m",IF(OR(AF$1&lt;Single_Rate_Start,Single_Rate_Start=""),+Details!AF$200/AF$166,+Details!AF$200/AF$245),+Details!AF$200/AF$245)</f>
        <v>0</v>
      </c>
      <c r="AG318" s="113">
        <f>IF(Filing_Status="m",IF(OR(AG$1&lt;Single_Rate_Start,Single_Rate_Start=""),+Details!AG$200/AG$166,+Details!AG$200/AG$245),+Details!AG$200/AG$245)</f>
        <v>0</v>
      </c>
      <c r="AH318" s="113">
        <f>IF(Filing_Status="m",IF(OR(AH$1&lt;Single_Rate_Start,Single_Rate_Start=""),+Details!AH$200/AH$166,+Details!AH$200/AH$245),+Details!AH$200/AH$245)</f>
        <v>0</v>
      </c>
      <c r="AI318" s="113">
        <f>IF(Filing_Status="m",IF(OR(AI$1&lt;Single_Rate_Start,Single_Rate_Start=""),+Details!AI$200/AI$166,+Details!AI$200/AI$245),+Details!AI$200/AI$245)</f>
        <v>0</v>
      </c>
      <c r="AJ318" s="113">
        <f>IF(Filing_Status="m",IF(OR(AJ$1&lt;Single_Rate_Start,Single_Rate_Start=""),+Details!AJ$200/AJ$166,+Details!AJ$200/AJ$245),+Details!AJ$200/AJ$245)</f>
        <v>0</v>
      </c>
      <c r="AK318" s="113">
        <f>IF(Filing_Status="m",IF(OR(AK$1&lt;Single_Rate_Start,Single_Rate_Start=""),+Details!AK$200/AK$166,+Details!AK$200/AK$245),+Details!AK$200/AK$245)</f>
        <v>0</v>
      </c>
      <c r="AL318" s="113">
        <f>IF(Filing_Status="m",IF(OR(AL$1&lt;Single_Rate_Start,Single_Rate_Start=""),+Details!AL$200/AL$166,+Details!AL$200/AL$245),+Details!AL$200/AL$245)</f>
        <v>0</v>
      </c>
      <c r="AM318" s="113">
        <f>IF(Filing_Status="m",IF(OR(AM$1&lt;Single_Rate_Start,Single_Rate_Start=""),+Details!AM$200/AM$166,+Details!AM$200/AM$245),+Details!AM$200/AM$245)</f>
        <v>0</v>
      </c>
      <c r="AN318" s="113">
        <f>IF(Filing_Status="m",IF(OR(AN$1&lt;Single_Rate_Start,Single_Rate_Start=""),+Details!AN$200/AN$166,+Details!AN$200/AN$245),+Details!AN$200/AN$245)</f>
        <v>0</v>
      </c>
      <c r="AO318" s="113">
        <f>IF(Filing_Status="m",IF(OR(AO$1&lt;Single_Rate_Start,Single_Rate_Start=""),+Details!AO$200/AO$166,+Details!AO$200/AO$245),+Details!AO$200/AO$245)</f>
        <v>0</v>
      </c>
      <c r="AP318" s="113">
        <f>IF(Filing_Status="m",IF(OR(AP$1&lt;Single_Rate_Start,Single_Rate_Start=""),+Details!AP$200/AP$166,+Details!AP$200/AP$245),+Details!AP$200/AP$245)</f>
        <v>0</v>
      </c>
      <c r="AQ318" s="113">
        <f>IF(Filing_Status="m",IF(OR(AQ$1&lt;Single_Rate_Start,Single_Rate_Start=""),+Details!AQ$200/AQ$166,+Details!AQ$200/AQ$245),+Details!AQ$200/AQ$245)</f>
        <v>0</v>
      </c>
      <c r="AR318" s="113">
        <f>IF(Filing_Status="m",IF(OR(AR$1&lt;Single_Rate_Start,Single_Rate_Start=""),+Details!AR$200/AR$166,+Details!AR$200/AR$245),+Details!AR$200/AR$245)</f>
        <v>0</v>
      </c>
      <c r="AS318" s="113">
        <f>IF(Filing_Status="m",IF(OR(AS$1&lt;Single_Rate_Start,Single_Rate_Start=""),+Details!AS$200/AS$166,+Details!AS$200/AS$245),+Details!AS$200/AS$245)</f>
        <v>0</v>
      </c>
      <c r="AT318" s="113"/>
    </row>
    <row r="319" spans="2:46">
      <c r="C319" s="63"/>
      <c r="E319" s="1435">
        <f>IF(Filing_Status="m",+F169,+F248)</f>
        <v>0.37</v>
      </c>
      <c r="F319" s="113">
        <f>IF(Filing_Status="m",IF(OR(F$1&lt;Single_Rate_Start,Single_Rate_Start=""),+Details!F$201/F$166,+Details!F$201/F$245),+Details!F$201/F$245)</f>
        <v>0</v>
      </c>
      <c r="G319" s="128" t="s">
        <v>27</v>
      </c>
      <c r="H319" s="128" t="s">
        <v>27</v>
      </c>
      <c r="I319" s="128" t="s">
        <v>27</v>
      </c>
      <c r="J319" s="128" t="s">
        <v>27</v>
      </c>
      <c r="K319" s="128" t="s">
        <v>27</v>
      </c>
      <c r="L319" s="128" t="s">
        <v>27</v>
      </c>
      <c r="M319" s="128" t="s">
        <v>27</v>
      </c>
      <c r="N319" s="128" t="s">
        <v>27</v>
      </c>
      <c r="O319" s="128" t="s">
        <v>27</v>
      </c>
      <c r="P319" s="128" t="s">
        <v>27</v>
      </c>
      <c r="Q319" s="128" t="s">
        <v>27</v>
      </c>
      <c r="R319" s="128" t="s">
        <v>27</v>
      </c>
      <c r="S319" s="128" t="s">
        <v>27</v>
      </c>
      <c r="T319" s="128" t="s">
        <v>27</v>
      </c>
      <c r="U319" s="128" t="s">
        <v>27</v>
      </c>
      <c r="V319" s="128" t="s">
        <v>27</v>
      </c>
      <c r="W319" s="128" t="s">
        <v>27</v>
      </c>
      <c r="X319" s="128" t="s">
        <v>27</v>
      </c>
      <c r="Y319" s="128" t="s">
        <v>27</v>
      </c>
      <c r="Z319" s="128" t="s">
        <v>27</v>
      </c>
      <c r="AA319" s="128" t="s">
        <v>27</v>
      </c>
      <c r="AB319" s="128" t="s">
        <v>27</v>
      </c>
      <c r="AC319" s="128" t="s">
        <v>27</v>
      </c>
      <c r="AD319" s="128" t="s">
        <v>27</v>
      </c>
      <c r="AE319" s="128" t="s">
        <v>27</v>
      </c>
      <c r="AF319" s="128" t="s">
        <v>27</v>
      </c>
      <c r="AG319" s="128" t="s">
        <v>27</v>
      </c>
      <c r="AH319" s="128" t="s">
        <v>27</v>
      </c>
      <c r="AI319" s="128" t="s">
        <v>27</v>
      </c>
      <c r="AJ319" s="128" t="s">
        <v>27</v>
      </c>
      <c r="AK319" s="128" t="s">
        <v>27</v>
      </c>
      <c r="AL319" s="128" t="s">
        <v>27</v>
      </c>
      <c r="AM319" s="128" t="s">
        <v>27</v>
      </c>
      <c r="AN319" s="128" t="s">
        <v>27</v>
      </c>
      <c r="AO319" s="128" t="s">
        <v>27</v>
      </c>
      <c r="AP319" s="128" t="s">
        <v>27</v>
      </c>
      <c r="AQ319" s="128" t="s">
        <v>27</v>
      </c>
      <c r="AR319" s="128" t="s">
        <v>27</v>
      </c>
      <c r="AS319" s="128" t="s">
        <v>27</v>
      </c>
      <c r="AT319" s="128"/>
    </row>
    <row r="320" spans="2:46">
      <c r="C320" s="63"/>
      <c r="E320" s="37"/>
      <c r="F320" s="128"/>
      <c r="G320" s="128"/>
      <c r="H320" s="128"/>
      <c r="I320" s="128"/>
      <c r="J320" s="128"/>
      <c r="K320" s="128"/>
      <c r="L320" s="128"/>
      <c r="M320" s="128"/>
      <c r="N320" s="128"/>
      <c r="O320" s="128"/>
      <c r="P320" s="128"/>
      <c r="Q320" s="128"/>
      <c r="R320" s="128"/>
      <c r="S320" s="128"/>
      <c r="T320" s="128"/>
      <c r="U320" s="128"/>
      <c r="V320" s="128"/>
      <c r="W320" s="128"/>
      <c r="X320" s="128"/>
      <c r="Y320" s="128"/>
      <c r="Z320" s="128"/>
      <c r="AA320" s="128"/>
      <c r="AB320" s="128"/>
      <c r="AC320" s="128"/>
      <c r="AD320" s="128"/>
      <c r="AE320" s="128"/>
      <c r="AF320" s="128"/>
      <c r="AG320" s="128"/>
      <c r="AH320" s="128"/>
      <c r="AI320" s="128"/>
      <c r="AJ320" s="128"/>
      <c r="AK320" s="128"/>
      <c r="AL320" s="128"/>
      <c r="AM320" s="128"/>
      <c r="AN320" s="128"/>
      <c r="AO320" s="128"/>
      <c r="AP320" s="128"/>
      <c r="AQ320" s="128"/>
      <c r="AR320" s="128"/>
      <c r="AS320" s="128"/>
      <c r="AT320" s="128"/>
    </row>
    <row r="321" spans="1:49" ht="15.6">
      <c r="B321" s="313" t="s">
        <v>1850</v>
      </c>
      <c r="C321" s="313"/>
      <c r="D321" s="313"/>
      <c r="E321" s="67">
        <f t="shared" ref="E321:E327" si="175">+E313</f>
        <v>0.1</v>
      </c>
      <c r="F321" s="113">
        <f>IF(Filing_Status="m",IF(OR(F$1&lt;Single_Rate_Start,Single_Rate_Start=""),+Base!F$195/F$141,+Base!F$195/F$220),+Base!F$195/F$220)</f>
        <v>1</v>
      </c>
      <c r="G321" s="113">
        <f>IF(Filing_Status="m",IF(OR(G$1&lt;Single_Rate_Start,Single_Rate_Start=""),+Base!G$195/G$141,+Base!G$195/G$220),+Base!G$195/G$220)</f>
        <v>1</v>
      </c>
      <c r="H321" s="113">
        <f>IF(Filing_Status="m",IF(OR(H$1&lt;Single_Rate_Start,Single_Rate_Start=""),+Base!H$195/H$141,+Base!H$195/H$220),+Base!H$195/H$220)</f>
        <v>1</v>
      </c>
      <c r="I321" s="113">
        <f>IF(Filing_Status="m",IF(OR(I$1&lt;Single_Rate_Start,Single_Rate_Start=""),+Base!I$195/I$141,+Base!I$195/I$220),+Base!I$195/I$220)</f>
        <v>1</v>
      </c>
      <c r="J321" s="113">
        <f>IF(Filing_Status="m",IF(OR(J$1&lt;Single_Rate_Start,Single_Rate_Start=""),+Base!J$195/J$141,+Base!J$195/J$220),+Base!J$195/J$220)</f>
        <v>1</v>
      </c>
      <c r="K321" s="113">
        <f>IF(Filing_Status="m",IF(OR(K$1&lt;Single_Rate_Start,Single_Rate_Start=""),+Base!K$195/K$141,+Base!K$195/K$220),+Base!K$195/K$220)</f>
        <v>1</v>
      </c>
      <c r="L321" s="113">
        <f>IF(Filing_Status="m",IF(OR(L$1&lt;Single_Rate_Start,Single_Rate_Start=""),+Base!L$195/L$141,+Base!L$195/L$220),+Base!L$195/L$220)</f>
        <v>1</v>
      </c>
      <c r="M321" s="113">
        <f>IF(Filing_Status="m",IF(OR(M$1&lt;Single_Rate_Start,Single_Rate_Start=""),+Base!M$195/M$141,+Base!M$195/M$220),+Base!M$195/M$220)</f>
        <v>1</v>
      </c>
      <c r="N321" s="113">
        <f>IF(Filing_Status="m",IF(OR(N$1&lt;Single_Rate_Start,Single_Rate_Start=""),+Base!N$195/N$141,+Base!N$195/N$220),+Base!N$195/N$220)</f>
        <v>1</v>
      </c>
      <c r="O321" s="113">
        <f>IF(Filing_Status="m",IF(OR(O$1&lt;Single_Rate_Start,Single_Rate_Start=""),+Base!O$195/O$141,+Base!O$195/O$220),+Base!O$195/O$220)</f>
        <v>1</v>
      </c>
      <c r="P321" s="113">
        <f>IF(Filing_Status="m",IF(OR(P$1&lt;Single_Rate_Start,Single_Rate_Start=""),+Base!P$195/P$141,+Base!P$195/P$220),+Base!P$195/P$220)</f>
        <v>1</v>
      </c>
      <c r="Q321" s="113">
        <f>IF(Filing_Status="m",IF(OR(Q$1&lt;Single_Rate_Start,Single_Rate_Start=""),+Base!Q$195/Q$141,+Base!Q$195/Q$220),+Base!Q$195/Q$220)</f>
        <v>1</v>
      </c>
      <c r="R321" s="113">
        <f>IF(Filing_Status="m",IF(OR(R$1&lt;Single_Rate_Start,Single_Rate_Start=""),+Base!R$195/R$141,+Base!R$195/R$220),+Base!R$195/R$220)</f>
        <v>1</v>
      </c>
      <c r="S321" s="113">
        <f>IF(Filing_Status="m",IF(OR(S$1&lt;Single_Rate_Start,Single_Rate_Start=""),+Base!S$195/S$141,+Base!S$195/S$220),+Base!S$195/S$220)</f>
        <v>1</v>
      </c>
      <c r="T321" s="113">
        <f>IF(Filing_Status="m",IF(OR(T$1&lt;Single_Rate_Start,Single_Rate_Start=""),+Base!T$195/T$141,+Base!T$195/T$220),+Base!T$195/T$220)</f>
        <v>1</v>
      </c>
      <c r="U321" s="113">
        <f>IF(Filing_Status="m",IF(OR(U$1&lt;Single_Rate_Start,Single_Rate_Start=""),+Base!U$195/U$141,+Base!U$195/U$220),+Base!U$195/U$220)</f>
        <v>1</v>
      </c>
      <c r="V321" s="113">
        <f>IF(Filing_Status="m",IF(OR(V$1&lt;Single_Rate_Start,Single_Rate_Start=""),+Base!V$195/V$141,+Base!V$195/V$220),+Base!V$195/V$220)</f>
        <v>1</v>
      </c>
      <c r="W321" s="113">
        <f>IF(Filing_Status="m",IF(OR(W$1&lt;Single_Rate_Start,Single_Rate_Start=""),+Base!W$195/W$141,+Base!W$195/W$220),+Base!W$195/W$220)</f>
        <v>1</v>
      </c>
      <c r="X321" s="113">
        <f>IF(Filing_Status="m",IF(OR(X$1&lt;Single_Rate_Start,Single_Rate_Start=""),+Base!X$195/X$141,+Base!X$195/X$220),+Base!X$195/X$220)</f>
        <v>1</v>
      </c>
      <c r="Y321" s="113">
        <f>IF(Filing_Status="m",IF(OR(Y$1&lt;Single_Rate_Start,Single_Rate_Start=""),+Base!Y$195/Y$141,+Base!Y$195/Y$220),+Base!Y$195/Y$220)</f>
        <v>1</v>
      </c>
      <c r="Z321" s="113">
        <f>IF(Filing_Status="m",IF(OR(Z$1&lt;Single_Rate_Start,Single_Rate_Start=""),+Base!Z$195/Z$141,+Base!Z$195/Z$220),+Base!Z$195/Z$220)</f>
        <v>1</v>
      </c>
      <c r="AA321" s="113">
        <f>IF(Filing_Status="m",IF(OR(AA$1&lt;Single_Rate_Start,Single_Rate_Start=""),+Base!AA$195/AA$141,+Base!AA$195/AA$220),+Base!AA$195/AA$220)</f>
        <v>1</v>
      </c>
      <c r="AB321" s="113">
        <f>IF(Filing_Status="m",IF(OR(AB$1&lt;Single_Rate_Start,Single_Rate_Start=""),+Base!AB$195/AB$141,+Base!AB$195/AB$220),+Base!AB$195/AB$220)</f>
        <v>1</v>
      </c>
      <c r="AC321" s="113">
        <f>IF(Filing_Status="m",IF(OR(AC$1&lt;Single_Rate_Start,Single_Rate_Start=""),+Base!AC$195/AC$141,+Base!AC$195/AC$220),+Base!AC$195/AC$220)</f>
        <v>1</v>
      </c>
      <c r="AD321" s="113">
        <f>IF(Filing_Status="m",IF(OR(AD$1&lt;Single_Rate_Start,Single_Rate_Start=""),+Base!AD$195/AD$141,+Base!AD$195/AD$220),+Base!AD$195/AD$220)</f>
        <v>1</v>
      </c>
      <c r="AE321" s="113">
        <f>IF(Filing_Status="m",IF(OR(AE$1&lt;Single_Rate_Start,Single_Rate_Start=""),+Base!AE$195/AE$141,+Base!AE$195/AE$220),+Base!AE$195/AE$220)</f>
        <v>1</v>
      </c>
      <c r="AF321" s="113">
        <f>IF(Filing_Status="m",IF(OR(AF$1&lt;Single_Rate_Start,Single_Rate_Start=""),+Base!AF$195/AF$141,+Base!AF$195/AF$220),+Base!AF$195/AF$220)</f>
        <v>1</v>
      </c>
      <c r="AG321" s="113">
        <f>IF(Filing_Status="m",IF(OR(AG$1&lt;Single_Rate_Start,Single_Rate_Start=""),+Base!AG$195/AG$141,+Base!AG$195/AG$220),+Base!AG$195/AG$220)</f>
        <v>1</v>
      </c>
      <c r="AH321" s="113">
        <f>IF(Filing_Status="m",IF(OR(AH$1&lt;Single_Rate_Start,Single_Rate_Start=""),+Base!AH$195/AH$141,+Base!AH$195/AH$220),+Base!AH$195/AH$220)</f>
        <v>1</v>
      </c>
      <c r="AI321" s="113">
        <f>IF(Filing_Status="m",IF(OR(AI$1&lt;Single_Rate_Start,Single_Rate_Start=""),+Base!AI$195/AI$141,+Base!AI$195/AI$220),+Base!AI$195/AI$220)</f>
        <v>1</v>
      </c>
      <c r="AJ321" s="113">
        <f>IF(Filing_Status="m",IF(OR(AJ$1&lt;Single_Rate_Start,Single_Rate_Start=""),+Base!AJ$195/AJ$141,+Base!AJ$195/AJ$220),+Base!AJ$195/AJ$220)</f>
        <v>0</v>
      </c>
      <c r="AK321" s="113">
        <f>IF(Filing_Status="m",IF(OR(AK$1&lt;Single_Rate_Start,Single_Rate_Start=""),+Base!AK$195/AK$141,+Base!AK$195/AK$220),+Base!AK$195/AK$220)</f>
        <v>0</v>
      </c>
      <c r="AL321" s="113">
        <f>IF(Filing_Status="m",IF(OR(AL$1&lt;Single_Rate_Start,Single_Rate_Start=""),+Base!AL$195/AL$141,+Base!AL$195/AL$220),+Base!AL$195/AL$220)</f>
        <v>0</v>
      </c>
      <c r="AM321" s="113">
        <f>IF(Filing_Status="m",IF(OR(AM$1&lt;Single_Rate_Start,Single_Rate_Start=""),+Base!AM$195/AM$141,+Base!AM$195/AM$220),+Base!AM$195/AM$220)</f>
        <v>0</v>
      </c>
      <c r="AN321" s="113">
        <f>IF(Filing_Status="m",IF(OR(AN$1&lt;Single_Rate_Start,Single_Rate_Start=""),+Base!AN$195/AN$141,+Base!AN$195/AN$220),+Base!AN$195/AN$220)</f>
        <v>0</v>
      </c>
      <c r="AO321" s="113">
        <f>IF(Filing_Status="m",IF(OR(AO$1&lt;Single_Rate_Start,Single_Rate_Start=""),+Base!AO$195/AO$141,+Base!AO$195/AO$220),+Base!AO$195/AO$220)</f>
        <v>0</v>
      </c>
      <c r="AP321" s="113">
        <f>IF(Filing_Status="m",IF(OR(AP$1&lt;Single_Rate_Start,Single_Rate_Start=""),+Base!AP$195/AP$141,+Base!AP$195/AP$220),+Base!AP$195/AP$220)</f>
        <v>0</v>
      </c>
      <c r="AQ321" s="113">
        <f>IF(Filing_Status="m",IF(OR(AQ$1&lt;Single_Rate_Start,Single_Rate_Start=""),+Base!AQ$195/AQ$141,+Base!AQ$195/AQ$220),+Base!AQ$195/AQ$220)</f>
        <v>0</v>
      </c>
      <c r="AR321" s="113">
        <f>IF(Filing_Status="m",IF(OR(AR$1&lt;Single_Rate_Start,Single_Rate_Start=""),+Base!AR$195/AR$141,+Base!AR$195/AR$220),+Base!AR$195/AR$220)</f>
        <v>0</v>
      </c>
      <c r="AS321" s="113">
        <f>IF(Filing_Status="m",IF(OR(AS$1&lt;Single_Rate_Start,Single_Rate_Start=""),+Base!AS$195/AS$141,+Base!AS$195/AS$220),+Base!AS$195/AS$220)</f>
        <v>0</v>
      </c>
      <c r="AT321" s="113"/>
    </row>
    <row r="322" spans="1:49">
      <c r="C322" s="63"/>
      <c r="E322" s="67">
        <f t="shared" si="175"/>
        <v>0.12</v>
      </c>
      <c r="F322" s="113">
        <f>IF(Filing_Status="m",IF(OR(F$1&lt;Single_Rate_Start,Single_Rate_Start=""),+Base!F$196/F$146,+Base!F$196/F$225),+Base!F$196/F$225)</f>
        <v>0.28169014084507044</v>
      </c>
      <c r="G322" s="113">
        <f>IF(Filing_Status="m",IF(OR(G$1&lt;Single_Rate_Start,Single_Rate_Start=""),+Base!G$196/G$146,+Base!G$196/G$225),+Base!G$196/G$225)</f>
        <v>0.52054794520547942</v>
      </c>
      <c r="H322" s="113">
        <f>IF(Filing_Status="m",IF(OR(H$1&lt;Single_Rate_Start,Single_Rate_Start=""),+Base!H$196/H$146,+Base!H$196/H$225),+Base!H$196/H$225)</f>
        <v>0.26666666666666666</v>
      </c>
      <c r="I322" s="113">
        <f>IF(Filing_Status="m",IF(OR(I$1&lt;Single_Rate_Start,Single_Rate_Start=""),+Base!I$196/I$146,+Base!I$196/I$225),+Base!I$196/I$225)</f>
        <v>0.26315789473684209</v>
      </c>
      <c r="J322" s="113">
        <f>IF(Filing_Status="m",IF(OR(J$1&lt;Single_Rate_Start,Single_Rate_Start=""),+Base!J$196/J$146,+Base!J$196/J$225),+Base!J$196/J$225)</f>
        <v>0.25641025641025639</v>
      </c>
      <c r="K322" s="113">
        <f>IF(Filing_Status="m",IF(OR(K$1&lt;Single_Rate_Start,Single_Rate_Start=""),+Base!K$196/K$146,+Base!K$196/K$225),+Base!K$196/K$225)</f>
        <v>0.53749999999999998</v>
      </c>
      <c r="L322" s="113">
        <f>IF(Filing_Status="m",IF(OR(L$1&lt;Single_Rate_Start,Single_Rate_Start=""),+Base!L$196/L$146,+Base!L$196/L$225),+Base!L$196/L$225)</f>
        <v>0.53086419753086422</v>
      </c>
      <c r="M322" s="113">
        <f>IF(Filing_Status="m",IF(OR(M$1&lt;Single_Rate_Start,Single_Rate_Start=""),+Base!M$196/M$146,+Base!M$196/M$225),+Base!M$196/M$225)</f>
        <v>0.57831325301204817</v>
      </c>
      <c r="N322" s="113">
        <f>IF(Filing_Status="m",IF(OR(N$1&lt;Single_Rate_Start,Single_Rate_Start=""),+Base!N$196/N$146,+Base!N$196/N$225),+Base!N$196/N$225)</f>
        <v>0.21176470588235294</v>
      </c>
      <c r="O322" s="113">
        <f>IF(Filing_Status="m",IF(OR(O$1&lt;Single_Rate_Start,Single_Rate_Start=""),+Base!O$196/O$146,+Base!O$196/O$225),+Base!O$196/O$225)</f>
        <v>0.20689655172413793</v>
      </c>
      <c r="P322" s="113">
        <f>IF(Filing_Status="m",IF(OR(P$1&lt;Single_Rate_Start,Single_Rate_Start=""),+Base!P$196/P$146,+Base!P$196/P$225),+Base!P$196/P$225)</f>
        <v>0.21348314606741572</v>
      </c>
      <c r="Q322" s="113">
        <f>IF(Filing_Status="m",IF(OR(Q$1&lt;Single_Rate_Start,Single_Rate_Start=""),+Base!Q$196/Q$146,+Base!Q$196/Q$225),+Base!Q$196/Q$225)</f>
        <v>0.23076923076923078</v>
      </c>
      <c r="R322" s="113">
        <f>IF(Filing_Status="m",IF(OR(R$1&lt;Single_Rate_Start,Single_Rate_Start=""),+Base!R$196/R$146,+Base!R$196/R$225),+Base!R$196/R$225)</f>
        <v>0.36559139784946237</v>
      </c>
      <c r="S322" s="113">
        <f>IF(Filing_Status="m",IF(OR(S$1&lt;Single_Rate_Start,Single_Rate_Start=""),+Base!S$196/S$146,+Base!S$196/S$225),+Base!S$196/S$225)</f>
        <v>0.38947368421052631</v>
      </c>
      <c r="T322" s="113">
        <f>IF(Filing_Status="m",IF(OR(T$1&lt;Single_Rate_Start,Single_Rate_Start=""),+Base!T$196/T$146,+Base!T$196/T$225),+Base!T$196/T$225)</f>
        <v>0.69072164948453607</v>
      </c>
      <c r="U322" s="113">
        <f>IF(Filing_Status="m",IF(OR(U$1&lt;Single_Rate_Start,Single_Rate_Start=""),+Base!U$196/U$146,+Base!U$196/U$225),+Base!U$196/U$225)</f>
        <v>0.82828282828282829</v>
      </c>
      <c r="V322" s="113">
        <f>IF(Filing_Status="m",IF(OR(V$1&lt;Single_Rate_Start,Single_Rate_Start=""),+Base!V$196/V$146,+Base!V$196/V$225),+Base!V$196/V$225)</f>
        <v>0.73267326732673266</v>
      </c>
      <c r="W322" s="113">
        <f>IF(Filing_Status="m",IF(OR(W$1&lt;Single_Rate_Start,Single_Rate_Start=""),+Base!W$196/W$146,+Base!W$196/W$225),+Base!W$196/W$225)</f>
        <v>0.74038461538461542</v>
      </c>
      <c r="X322" s="113">
        <f>IF(Filing_Status="m",IF(OR(X$1&lt;Single_Rate_Start,Single_Rate_Start=""),+Base!X$196/X$146,+Base!X$196/X$225),+Base!X$196/X$225)</f>
        <v>0.64150943396226412</v>
      </c>
      <c r="Y322" s="113">
        <f>IF(Filing_Status="m",IF(OR(Y$1&lt;Single_Rate_Start,Single_Rate_Start=""),+Base!Y$196/Y$146,+Base!Y$196/Y$225),+Base!Y$196/Y$225)</f>
        <v>0.64814814814814814</v>
      </c>
      <c r="Z322" s="113">
        <f>IF(Filing_Status="m",IF(OR(Z$1&lt;Single_Rate_Start,Single_Rate_Start=""),+Base!Z$196/Z$146,+Base!Z$196/Z$225),+Base!Z$196/Z$225)</f>
        <v>0.65765765765765771</v>
      </c>
      <c r="AA322" s="113">
        <f>IF(Filing_Status="m",IF(OR(AA$1&lt;Single_Rate_Start,Single_Rate_Start=""),+Base!AA$196/AA$146,+Base!AA$196/AA$225),+Base!AA$196/AA$225)</f>
        <v>0.68141592920353977</v>
      </c>
      <c r="AB322" s="113">
        <f>IF(Filing_Status="m",IF(OR(AB$1&lt;Single_Rate_Start,Single_Rate_Start=""),+Base!AB$196/AB$146,+Base!AB$196/AB$225),+Base!AB$196/AB$225)</f>
        <v>0.69827586206896552</v>
      </c>
      <c r="AC322" s="113">
        <f>IF(Filing_Status="m",IF(OR(AC$1&lt;Single_Rate_Start,Single_Rate_Start=""),+Base!AC$196/AC$146,+Base!AC$196/AC$225),+Base!AC$196/AC$225)</f>
        <v>0.76271186440677963</v>
      </c>
      <c r="AD322" s="113">
        <f>IF(Filing_Status="m",IF(OR(AD$1&lt;Single_Rate_Start,Single_Rate_Start=""),+Base!AD$196/AD$146,+Base!AD$196/AD$225),+Base!AD$196/AD$225)</f>
        <v>1</v>
      </c>
      <c r="AE322" s="113">
        <f>IF(Filing_Status="m",IF(OR(AE$1&lt;Single_Rate_Start,Single_Rate_Start=""),+Base!AE$196/AE$146,+Base!AE$196/AE$225),+Base!AE$196/AE$225)</f>
        <v>1</v>
      </c>
      <c r="AF322" s="113">
        <f>IF(Filing_Status="m",IF(OR(AF$1&lt;Single_Rate_Start,Single_Rate_Start=""),+Base!AF$196/AF$146,+Base!AF$196/AF$225),+Base!AF$196/AF$225)</f>
        <v>1</v>
      </c>
      <c r="AG322" s="113">
        <f>IF(Filing_Status="m",IF(OR(AG$1&lt;Single_Rate_Start,Single_Rate_Start=""),+Base!AG$196/AG$146,+Base!AG$196/AG$225),+Base!AG$196/AG$225)</f>
        <v>1</v>
      </c>
      <c r="AH322" s="113">
        <f>IF(Filing_Status="m",IF(OR(AH$1&lt;Single_Rate_Start,Single_Rate_Start=""),+Base!AH$196/AH$146,+Base!AH$196/AH$225),+Base!AH$196/AH$225)</f>
        <v>1</v>
      </c>
      <c r="AI322" s="113">
        <f>IF(Filing_Status="m",IF(OR(AI$1&lt;Single_Rate_Start,Single_Rate_Start=""),+Base!AI$196/AI$146,+Base!AI$196/AI$225),+Base!AI$196/AI$225)</f>
        <v>1</v>
      </c>
      <c r="AJ322" s="113">
        <f>IF(Filing_Status="m",IF(OR(AJ$1&lt;Single_Rate_Start,Single_Rate_Start=""),+Base!AJ$196/AJ$146,+Base!AJ$196/AJ$225),+Base!AJ$196/AJ$225)</f>
        <v>0</v>
      </c>
      <c r="AK322" s="113">
        <f>IF(Filing_Status="m",IF(OR(AK$1&lt;Single_Rate_Start,Single_Rate_Start=""),+Base!AK$196/AK$146,+Base!AK$196/AK$225),+Base!AK$196/AK$225)</f>
        <v>0</v>
      </c>
      <c r="AL322" s="113">
        <f>IF(Filing_Status="m",IF(OR(AL$1&lt;Single_Rate_Start,Single_Rate_Start=""),+Base!AL$196/AL$146,+Base!AL$196/AL$225),+Base!AL$196/AL$225)</f>
        <v>0</v>
      </c>
      <c r="AM322" s="113">
        <f>IF(Filing_Status="m",IF(OR(AM$1&lt;Single_Rate_Start,Single_Rate_Start=""),+Base!AM$196/AM$146,+Base!AM$196/AM$225),+Base!AM$196/AM$225)</f>
        <v>0</v>
      </c>
      <c r="AN322" s="113">
        <f>IF(Filing_Status="m",IF(OR(AN$1&lt;Single_Rate_Start,Single_Rate_Start=""),+Base!AN$196/AN$146,+Base!AN$196/AN$225),+Base!AN$196/AN$225)</f>
        <v>0</v>
      </c>
      <c r="AO322" s="113">
        <f>IF(Filing_Status="m",IF(OR(AO$1&lt;Single_Rate_Start,Single_Rate_Start=""),+Base!AO$196/AO$146,+Base!AO$196/AO$225),+Base!AO$196/AO$225)</f>
        <v>0</v>
      </c>
      <c r="AP322" s="113">
        <f>IF(Filing_Status="m",IF(OR(AP$1&lt;Single_Rate_Start,Single_Rate_Start=""),+Base!AP$196/AP$146,+Base!AP$196/AP$225),+Base!AP$196/AP$225)</f>
        <v>0</v>
      </c>
      <c r="AQ322" s="113">
        <f>IF(Filing_Status="m",IF(OR(AQ$1&lt;Single_Rate_Start,Single_Rate_Start=""),+Base!AQ$196/AQ$146,+Base!AQ$196/AQ$225),+Base!AQ$196/AQ$225)</f>
        <v>0</v>
      </c>
      <c r="AR322" s="113">
        <f>IF(Filing_Status="m",IF(OR(AR$1&lt;Single_Rate_Start,Single_Rate_Start=""),+Base!AR$196/AR$146,+Base!AR$196/AR$225),+Base!AR$196/AR$225)</f>
        <v>0</v>
      </c>
      <c r="AS322" s="113">
        <f>IF(Filing_Status="m",IF(OR(AS$1&lt;Single_Rate_Start,Single_Rate_Start=""),+Base!AS$196/AS$146,+Base!AS$196/AS$225),+Base!AS$196/AS$225)</f>
        <v>0</v>
      </c>
      <c r="AT322" s="113"/>
    </row>
    <row r="323" spans="1:49">
      <c r="C323" s="63"/>
      <c r="E323" s="67">
        <f t="shared" si="175"/>
        <v>0.22</v>
      </c>
      <c r="F323" s="113">
        <f>IF(Filing_Status="m",IF(OR(F$1&lt;Single_Rate_Start,Single_Rate_Start=""),+Base!F$197/F$151,+Base!F$197/F$230),+Base!F$197/F$230)</f>
        <v>0</v>
      </c>
      <c r="G323" s="113">
        <f>IF(Filing_Status="m",IF(OR(G$1&lt;Single_Rate_Start,Single_Rate_Start=""),+Base!G$197/G$151,+Base!G$197/G$230),+Base!G$197/G$230)</f>
        <v>0</v>
      </c>
      <c r="H323" s="113">
        <f>IF(Filing_Status="m",IF(OR(H$1&lt;Single_Rate_Start,Single_Rate_Start=""),+Base!H$197/H$151,+Base!H$197/H$230),+Base!H$197/H$230)</f>
        <v>0</v>
      </c>
      <c r="I323" s="113">
        <f>IF(Filing_Status="m",IF(OR(I$1&lt;Single_Rate_Start,Single_Rate_Start=""),+Base!I$197/I$151,+Base!I$197/I$230),+Base!I$197/I$230)</f>
        <v>0</v>
      </c>
      <c r="J323" s="113">
        <f>IF(Filing_Status="m",IF(OR(J$1&lt;Single_Rate_Start,Single_Rate_Start=""),+Base!J$197/J$151,+Base!J$197/J$230),+Base!J$197/J$230)</f>
        <v>0</v>
      </c>
      <c r="K323" s="113">
        <f>IF(Filing_Status="m",IF(OR(K$1&lt;Single_Rate_Start,Single_Rate_Start=""),+Base!K$197/K$151,+Base!K$197/K$230),+Base!K$197/K$230)</f>
        <v>0</v>
      </c>
      <c r="L323" s="113">
        <f>IF(Filing_Status="m",IF(OR(L$1&lt;Single_Rate_Start,Single_Rate_Start=""),+Base!L$197/L$151,+Base!L$197/L$230),+Base!L$197/L$230)</f>
        <v>0</v>
      </c>
      <c r="M323" s="113">
        <f>IF(Filing_Status="m",IF(OR(M$1&lt;Single_Rate_Start,Single_Rate_Start=""),+Base!M$197/M$151,+Base!M$197/M$230),+Base!M$197/M$230)</f>
        <v>0</v>
      </c>
      <c r="N323" s="113">
        <f>IF(Filing_Status="m",IF(OR(N$1&lt;Single_Rate_Start,Single_Rate_Start=""),+Base!N$197/N$151,+Base!N$197/N$230),+Base!N$197/N$230)</f>
        <v>0</v>
      </c>
      <c r="O323" s="113">
        <f>IF(Filing_Status="m",IF(OR(O$1&lt;Single_Rate_Start,Single_Rate_Start=""),+Base!O$197/O$151,+Base!O$197/O$230),+Base!O$197/O$230)</f>
        <v>0</v>
      </c>
      <c r="P323" s="113">
        <f>IF(Filing_Status="m",IF(OR(P$1&lt;Single_Rate_Start,Single_Rate_Start=""),+Base!P$197/P$151,+Base!P$197/P$230),+Base!P$197/P$230)</f>
        <v>0</v>
      </c>
      <c r="Q323" s="113">
        <f>IF(Filing_Status="m",IF(OR(Q$1&lt;Single_Rate_Start,Single_Rate_Start=""),+Base!Q$197/Q$151,+Base!Q$197/Q$230),+Base!Q$197/Q$230)</f>
        <v>0</v>
      </c>
      <c r="R323" s="113">
        <f>IF(Filing_Status="m",IF(OR(R$1&lt;Single_Rate_Start,Single_Rate_Start=""),+Base!R$197/R$151,+Base!R$197/R$230),+Base!R$197/R$230)</f>
        <v>0</v>
      </c>
      <c r="S323" s="113">
        <f>IF(Filing_Status="m",IF(OR(S$1&lt;Single_Rate_Start,Single_Rate_Start=""),+Base!S$197/S$151,+Base!S$197/S$230),+Base!S$197/S$230)</f>
        <v>0</v>
      </c>
      <c r="T323" s="113">
        <f>IF(Filing_Status="m",IF(OR(T$1&lt;Single_Rate_Start,Single_Rate_Start=""),+Base!T$197/T$151,+Base!T$197/T$230),+Base!T$197/T$230)</f>
        <v>0</v>
      </c>
      <c r="U323" s="113">
        <f>IF(Filing_Status="m",IF(OR(U$1&lt;Single_Rate_Start,Single_Rate_Start=""),+Base!U$197/U$151,+Base!U$197/U$230),+Base!U$197/U$230)</f>
        <v>0</v>
      </c>
      <c r="V323" s="113">
        <f>IF(Filing_Status="m",IF(OR(V$1&lt;Single_Rate_Start,Single_Rate_Start=""),+Base!V$197/V$151,+Base!V$197/V$230),+Base!V$197/V$230)</f>
        <v>0</v>
      </c>
      <c r="W323" s="113">
        <f>IF(Filing_Status="m",IF(OR(W$1&lt;Single_Rate_Start,Single_Rate_Start=""),+Base!W$197/W$151,+Base!W$197/W$230),+Base!W$197/W$230)</f>
        <v>0</v>
      </c>
      <c r="X323" s="113">
        <f>IF(Filing_Status="m",IF(OR(X$1&lt;Single_Rate_Start,Single_Rate_Start=""),+Base!X$197/X$151,+Base!X$197/X$230),+Base!X$197/X$230)</f>
        <v>0</v>
      </c>
      <c r="Y323" s="113">
        <f>IF(Filing_Status="m",IF(OR(Y$1&lt;Single_Rate_Start,Single_Rate_Start=""),+Base!Y$197/Y$151,+Base!Y$197/Y$230),+Base!Y$197/Y$230)</f>
        <v>0</v>
      </c>
      <c r="Z323" s="113">
        <f>IF(Filing_Status="m",IF(OR(Z$1&lt;Single_Rate_Start,Single_Rate_Start=""),+Base!Z$197/Z$151,+Base!Z$197/Z$230),+Base!Z$197/Z$230)</f>
        <v>0</v>
      </c>
      <c r="AA323" s="113">
        <f>IF(Filing_Status="m",IF(OR(AA$1&lt;Single_Rate_Start,Single_Rate_Start=""),+Base!AA$197/AA$151,+Base!AA$197/AA$230),+Base!AA$197/AA$230)</f>
        <v>0</v>
      </c>
      <c r="AB323" s="113">
        <f>IF(Filing_Status="m",IF(OR(AB$1&lt;Single_Rate_Start,Single_Rate_Start=""),+Base!AB$197/AB$151,+Base!AB$197/AB$230),+Base!AB$197/AB$230)</f>
        <v>0</v>
      </c>
      <c r="AC323" s="113">
        <f>IF(Filing_Status="m",IF(OR(AC$1&lt;Single_Rate_Start,Single_Rate_Start=""),+Base!AC$197/AC$151,+Base!AC$197/AC$230),+Base!AC$197/AC$230)</f>
        <v>0</v>
      </c>
      <c r="AD323" s="113">
        <f>IF(Filing_Status="m",IF(OR(AD$1&lt;Single_Rate_Start,Single_Rate_Start=""),+Base!AD$197/AD$151,+Base!AD$197/AD$230),+Base!AD$197/AD$230)</f>
        <v>0.56886227544910184</v>
      </c>
      <c r="AE323" s="113">
        <f>IF(Filing_Status="m",IF(OR(AE$1&lt;Single_Rate_Start,Single_Rate_Start=""),+Base!AE$197/AE$151,+Base!AE$197/AE$230),+Base!AE$197/AE$230)</f>
        <v>0.59411764705882353</v>
      </c>
      <c r="AF323" s="113">
        <f>IF(Filing_Status="m",IF(OR(AF$1&lt;Single_Rate_Start,Single_Rate_Start=""),+Base!AF$197/AF$151,+Base!AF$197/AF$230),+Base!AF$197/AF$230)</f>
        <v>0.58620689655172409</v>
      </c>
      <c r="AG323" s="113">
        <f>IF(Filing_Status="m",IF(OR(AG$1&lt;Single_Rate_Start,Single_Rate_Start=""),+Base!AG$197/AG$151,+Base!AG$197/AG$230),+Base!AG$197/AG$230)</f>
        <v>0.47191011235955055</v>
      </c>
      <c r="AH323" s="113">
        <f>IF(Filing_Status="m",IF(OR(AH$1&lt;Single_Rate_Start,Single_Rate_Start=""),+Base!AH$197/AH$151,+Base!AH$197/AH$230),+Base!AH$197/AH$230)</f>
        <v>0.44505494505494503</v>
      </c>
      <c r="AI323" s="113">
        <f>IF(Filing_Status="m",IF(OR(AI$1&lt;Single_Rate_Start,Single_Rate_Start=""),+Base!AI$197/AI$151,+Base!AI$197/AI$230),+Base!AI$197/AI$230)</f>
        <v>0.44864864864864867</v>
      </c>
      <c r="AJ323" s="113">
        <f>IF(Filing_Status="m",IF(OR(AJ$1&lt;Single_Rate_Start,Single_Rate_Start=""),+Base!AJ$197/AJ$151,+Base!AJ$197/AJ$230),+Base!AJ$197/AJ$230)</f>
        <v>0</v>
      </c>
      <c r="AK323" s="113">
        <f>IF(Filing_Status="m",IF(OR(AK$1&lt;Single_Rate_Start,Single_Rate_Start=""),+Base!AK$197/AK$151,+Base!AK$197/AK$230),+Base!AK$197/AK$230)</f>
        <v>0</v>
      </c>
      <c r="AL323" s="113">
        <f>IF(Filing_Status="m",IF(OR(AL$1&lt;Single_Rate_Start,Single_Rate_Start=""),+Base!AL$197/AL$151,+Base!AL$197/AL$230),+Base!AL$197/AL$230)</f>
        <v>0</v>
      </c>
      <c r="AM323" s="113">
        <f>IF(Filing_Status="m",IF(OR(AM$1&lt;Single_Rate_Start,Single_Rate_Start=""),+Base!AM$197/AM$151,+Base!AM$197/AM$230),+Base!AM$197/AM$230)</f>
        <v>0</v>
      </c>
      <c r="AN323" s="113">
        <f>IF(Filing_Status="m",IF(OR(AN$1&lt;Single_Rate_Start,Single_Rate_Start=""),+Base!AN$197/AN$151,+Base!AN$197/AN$230),+Base!AN$197/AN$230)</f>
        <v>0</v>
      </c>
      <c r="AO323" s="113">
        <f>IF(Filing_Status="m",IF(OR(AO$1&lt;Single_Rate_Start,Single_Rate_Start=""),+Base!AO$197/AO$151,+Base!AO$197/AO$230),+Base!AO$197/AO$230)</f>
        <v>0</v>
      </c>
      <c r="AP323" s="113">
        <f>IF(Filing_Status="m",IF(OR(AP$1&lt;Single_Rate_Start,Single_Rate_Start=""),+Base!AP$197/AP$151,+Base!AP$197/AP$230),+Base!AP$197/AP$230)</f>
        <v>0</v>
      </c>
      <c r="AQ323" s="113">
        <f>IF(Filing_Status="m",IF(OR(AQ$1&lt;Single_Rate_Start,Single_Rate_Start=""),+Base!AQ$197/AQ$151,+Base!AQ$197/AQ$230),+Base!AQ$197/AQ$230)</f>
        <v>0</v>
      </c>
      <c r="AR323" s="113">
        <f>IF(Filing_Status="m",IF(OR(AR$1&lt;Single_Rate_Start,Single_Rate_Start=""),+Base!AR$197/AR$151,+Base!AR$197/AR$230),+Base!AR$197/AR$230)</f>
        <v>0</v>
      </c>
      <c r="AS323" s="113">
        <f>IF(Filing_Status="m",IF(OR(AS$1&lt;Single_Rate_Start,Single_Rate_Start=""),+Base!AS$197/AS$151,+Base!AS$197/AS$230),+Base!AS$197/AS$230)</f>
        <v>0</v>
      </c>
      <c r="AT323" s="113"/>
    </row>
    <row r="324" spans="1:49">
      <c r="C324" s="63"/>
      <c r="E324" s="67">
        <f t="shared" si="175"/>
        <v>0.24</v>
      </c>
      <c r="F324" s="113">
        <f>IF(Filing_Status="m",IF(OR(F$1&lt;Single_Rate_Start,Single_Rate_Start=""),+Base!F$198/F$156,+Base!F$198/F$235),+Base!F$198/F$235)</f>
        <v>0</v>
      </c>
      <c r="G324" s="113">
        <f>IF(Filing_Status="m",IF(OR(G$1&lt;Single_Rate_Start,Single_Rate_Start=""),+Base!G$198/G$156,+Base!G$198/G$235),+Base!G$198/G$235)</f>
        <v>0</v>
      </c>
      <c r="H324" s="113">
        <f>IF(Filing_Status="m",IF(OR(H$1&lt;Single_Rate_Start,Single_Rate_Start=""),+Base!H$198/H$156,+Base!H$198/H$235),+Base!H$198/H$235)</f>
        <v>0</v>
      </c>
      <c r="I324" s="113">
        <f>IF(Filing_Status="m",IF(OR(I$1&lt;Single_Rate_Start,Single_Rate_Start=""),+Base!I$198/I$156,+Base!I$198/I$235),+Base!I$198/I$235)</f>
        <v>0</v>
      </c>
      <c r="J324" s="113">
        <f>IF(Filing_Status="m",IF(OR(J$1&lt;Single_Rate_Start,Single_Rate_Start=""),+Base!J$198/J$156,+Base!J$198/J$235),+Base!J$198/J$235)</f>
        <v>0</v>
      </c>
      <c r="K324" s="113">
        <f>IF(Filing_Status="m",IF(OR(K$1&lt;Single_Rate_Start,Single_Rate_Start=""),+Base!K$198/K$156,+Base!K$198/K$235),+Base!K$198/K$235)</f>
        <v>0</v>
      </c>
      <c r="L324" s="113">
        <f>IF(Filing_Status="m",IF(OR(L$1&lt;Single_Rate_Start,Single_Rate_Start=""),+Base!L$198/L$156,+Base!L$198/L$235),+Base!L$198/L$235)</f>
        <v>0</v>
      </c>
      <c r="M324" s="113">
        <f>IF(Filing_Status="m",IF(OR(M$1&lt;Single_Rate_Start,Single_Rate_Start=""),+Base!M$198/M$156,+Base!M$198/M$235),+Base!M$198/M$235)</f>
        <v>0</v>
      </c>
      <c r="N324" s="113">
        <f>IF(Filing_Status="m",IF(OR(N$1&lt;Single_Rate_Start,Single_Rate_Start=""),+Base!N$198/N$156,+Base!N$198/N$235),+Base!N$198/N$235)</f>
        <v>0</v>
      </c>
      <c r="O324" s="113">
        <f>IF(Filing_Status="m",IF(OR(O$1&lt;Single_Rate_Start,Single_Rate_Start=""),+Base!O$198/O$156,+Base!O$198/O$235),+Base!O$198/O$235)</f>
        <v>0</v>
      </c>
      <c r="P324" s="113">
        <f>IF(Filing_Status="m",IF(OR(P$1&lt;Single_Rate_Start,Single_Rate_Start=""),+Base!P$198/P$156,+Base!P$198/P$235),+Base!P$198/P$235)</f>
        <v>0</v>
      </c>
      <c r="Q324" s="113">
        <f>IF(Filing_Status="m",IF(OR(Q$1&lt;Single_Rate_Start,Single_Rate_Start=""),+Base!Q$198/Q$156,+Base!Q$198/Q$235),+Base!Q$198/Q$235)</f>
        <v>0</v>
      </c>
      <c r="R324" s="113">
        <f>IF(Filing_Status="m",IF(OR(R$1&lt;Single_Rate_Start,Single_Rate_Start=""),+Base!R$198/R$156,+Base!R$198/R$235),+Base!R$198/R$235)</f>
        <v>0</v>
      </c>
      <c r="S324" s="113">
        <f>IF(Filing_Status="m",IF(OR(S$1&lt;Single_Rate_Start,Single_Rate_Start=""),+Base!S$198/S$156,+Base!S$198/S$235),+Base!S$198/S$235)</f>
        <v>0</v>
      </c>
      <c r="T324" s="113">
        <f>IF(Filing_Status="m",IF(OR(T$1&lt;Single_Rate_Start,Single_Rate_Start=""),+Base!T$198/T$156,+Base!T$198/T$235),+Base!T$198/T$235)</f>
        <v>0</v>
      </c>
      <c r="U324" s="113">
        <f>IF(Filing_Status="m",IF(OR(U$1&lt;Single_Rate_Start,Single_Rate_Start=""),+Base!U$198/U$156,+Base!U$198/U$235),+Base!U$198/U$235)</f>
        <v>0</v>
      </c>
      <c r="V324" s="113">
        <f>IF(Filing_Status="m",IF(OR(V$1&lt;Single_Rate_Start,Single_Rate_Start=""),+Base!V$198/V$156,+Base!V$198/V$235),+Base!V$198/V$235)</f>
        <v>0</v>
      </c>
      <c r="W324" s="113">
        <f>IF(Filing_Status="m",IF(OR(W$1&lt;Single_Rate_Start,Single_Rate_Start=""),+Base!W$198/W$156,+Base!W$198/W$235),+Base!W$198/W$235)</f>
        <v>0</v>
      </c>
      <c r="X324" s="113">
        <f>IF(Filing_Status="m",IF(OR(X$1&lt;Single_Rate_Start,Single_Rate_Start=""),+Base!X$198/X$156,+Base!X$198/X$235),+Base!X$198/X$235)</f>
        <v>0</v>
      </c>
      <c r="Y324" s="113">
        <f>IF(Filing_Status="m",IF(OR(Y$1&lt;Single_Rate_Start,Single_Rate_Start=""),+Base!Y$198/Y$156,+Base!Y$198/Y$235),+Base!Y$198/Y$235)</f>
        <v>0</v>
      </c>
      <c r="Z324" s="113">
        <f>IF(Filing_Status="m",IF(OR(Z$1&lt;Single_Rate_Start,Single_Rate_Start=""),+Base!Z$198/Z$156,+Base!Z$198/Z$235),+Base!Z$198/Z$235)</f>
        <v>0</v>
      </c>
      <c r="AA324" s="113">
        <f>IF(Filing_Status="m",IF(OR(AA$1&lt;Single_Rate_Start,Single_Rate_Start=""),+Base!AA$198/AA$156,+Base!AA$198/AA$235),+Base!AA$198/AA$235)</f>
        <v>0</v>
      </c>
      <c r="AB324" s="113">
        <f>IF(Filing_Status="m",IF(OR(AB$1&lt;Single_Rate_Start,Single_Rate_Start=""),+Base!AB$198/AB$156,+Base!AB$198/AB$235),+Base!AB$198/AB$235)</f>
        <v>0</v>
      </c>
      <c r="AC324" s="113">
        <f>IF(Filing_Status="m",IF(OR(AC$1&lt;Single_Rate_Start,Single_Rate_Start=""),+Base!AC$198/AC$156,+Base!AC$198/AC$235),+Base!AC$198/AC$235)</f>
        <v>0</v>
      </c>
      <c r="AD324" s="113">
        <f>IF(Filing_Status="m",IF(OR(AD$1&lt;Single_Rate_Start,Single_Rate_Start=""),+Base!AD$198/AD$156,+Base!AD$198/AD$235),+Base!AD$198/AD$235)</f>
        <v>0</v>
      </c>
      <c r="AE324" s="113">
        <f>IF(Filing_Status="m",IF(OR(AE$1&lt;Single_Rate_Start,Single_Rate_Start=""),+Base!AE$198/AE$156,+Base!AE$198/AE$235),+Base!AE$198/AE$235)</f>
        <v>0</v>
      </c>
      <c r="AF324" s="113">
        <f>IF(Filing_Status="m",IF(OR(AF$1&lt;Single_Rate_Start,Single_Rate_Start=""),+Base!AF$198/AF$156,+Base!AF$198/AF$235),+Base!AF$198/AF$235)</f>
        <v>0</v>
      </c>
      <c r="AG324" s="113">
        <f>IF(Filing_Status="m",IF(OR(AG$1&lt;Single_Rate_Start,Single_Rate_Start=""),+Base!AG$198/AG$156,+Base!AG$198/AG$235),+Base!AG$198/AG$235)</f>
        <v>0</v>
      </c>
      <c r="AH324" s="113">
        <f>IF(Filing_Status="m",IF(OR(AH$1&lt;Single_Rate_Start,Single_Rate_Start=""),+Base!AH$198/AH$156,+Base!AH$198/AH$235),+Base!AH$198/AH$235)</f>
        <v>0</v>
      </c>
      <c r="AI324" s="113">
        <f>IF(Filing_Status="m",IF(OR(AI$1&lt;Single_Rate_Start,Single_Rate_Start=""),+Base!AI$198/AI$156,+Base!AI$198/AI$235),+Base!AI$198/AI$235)</f>
        <v>0</v>
      </c>
      <c r="AJ324" s="113">
        <f>IF(Filing_Status="m",IF(OR(AJ$1&lt;Single_Rate_Start,Single_Rate_Start=""),+Base!AJ$198/AJ$156,+Base!AJ$198/AJ$235),+Base!AJ$198/AJ$235)</f>
        <v>0</v>
      </c>
      <c r="AK324" s="113">
        <f>IF(Filing_Status="m",IF(OR(AK$1&lt;Single_Rate_Start,Single_Rate_Start=""),+Base!AK$198/AK$156,+Base!AK$198/AK$235),+Base!AK$198/AK$235)</f>
        <v>0</v>
      </c>
      <c r="AL324" s="113">
        <f>IF(Filing_Status="m",IF(OR(AL$1&lt;Single_Rate_Start,Single_Rate_Start=""),+Base!AL$198/AL$156,+Base!AL$198/AL$235),+Base!AL$198/AL$235)</f>
        <v>0</v>
      </c>
      <c r="AM324" s="113">
        <f>IF(Filing_Status="m",IF(OR(AM$1&lt;Single_Rate_Start,Single_Rate_Start=""),+Base!AM$198/AM$156,+Base!AM$198/AM$235),+Base!AM$198/AM$235)</f>
        <v>0</v>
      </c>
      <c r="AN324" s="113">
        <f>IF(Filing_Status="m",IF(OR(AN$1&lt;Single_Rate_Start,Single_Rate_Start=""),+Base!AN$198/AN$156,+Base!AN$198/AN$235),+Base!AN$198/AN$235)</f>
        <v>0</v>
      </c>
      <c r="AO324" s="113">
        <f>IF(Filing_Status="m",IF(OR(AO$1&lt;Single_Rate_Start,Single_Rate_Start=""),+Base!AO$198/AO$156,+Base!AO$198/AO$235),+Base!AO$198/AO$235)</f>
        <v>0</v>
      </c>
      <c r="AP324" s="113">
        <f>IF(Filing_Status="m",IF(OR(AP$1&lt;Single_Rate_Start,Single_Rate_Start=""),+Base!AP$198/AP$156,+Base!AP$198/AP$235),+Base!AP$198/AP$235)</f>
        <v>0</v>
      </c>
      <c r="AQ324" s="113">
        <f>IF(Filing_Status="m",IF(OR(AQ$1&lt;Single_Rate_Start,Single_Rate_Start=""),+Base!AQ$198/AQ$156,+Base!AQ$198/AQ$235),+Base!AQ$198/AQ$235)</f>
        <v>0</v>
      </c>
      <c r="AR324" s="113">
        <f>IF(Filing_Status="m",IF(OR(AR$1&lt;Single_Rate_Start,Single_Rate_Start=""),+Base!AR$198/AR$156,+Base!AR$198/AR$235),+Base!AR$198/AR$235)</f>
        <v>0</v>
      </c>
      <c r="AS324" s="113">
        <f>IF(Filing_Status="m",IF(OR(AS$1&lt;Single_Rate_Start,Single_Rate_Start=""),+Base!AS$198/AS$156,+Base!AS$198/AS$235),+Base!AS$198/AS$235)</f>
        <v>0</v>
      </c>
      <c r="AT324" s="113"/>
    </row>
    <row r="325" spans="1:49">
      <c r="C325" s="63"/>
      <c r="E325" s="67">
        <f t="shared" si="175"/>
        <v>0.32</v>
      </c>
      <c r="F325" s="113">
        <f>IF(Filing_Status="m",IF(OR(F$1&lt;Single_Rate_Start,Single_Rate_Start=""),+Base!F$199/F$161,+Base!F$199/F$240),+Base!F$199/F$240)</f>
        <v>0</v>
      </c>
      <c r="G325" s="113">
        <f>IF(Filing_Status="m",IF(OR(G$1&lt;Single_Rate_Start,Single_Rate_Start=""),+Base!G$199/G$161,+Base!G$199/G$240),+Base!G$199/G$240)</f>
        <v>0</v>
      </c>
      <c r="H325" s="113">
        <f>IF(Filing_Status="m",IF(OR(H$1&lt;Single_Rate_Start,Single_Rate_Start=""),+Base!H$199/H$161,+Base!H$199/H$240),+Base!H$199/H$240)</f>
        <v>0</v>
      </c>
      <c r="I325" s="113">
        <f>IF(Filing_Status="m",IF(OR(I$1&lt;Single_Rate_Start,Single_Rate_Start=""),+Base!I$199/I$161,+Base!I$199/I$240),+Base!I$199/I$240)</f>
        <v>0</v>
      </c>
      <c r="J325" s="113">
        <f>IF(Filing_Status="m",IF(OR(J$1&lt;Single_Rate_Start,Single_Rate_Start=""),+Base!J$199/J$161,+Base!J$199/J$240),+Base!J$199/J$240)</f>
        <v>0</v>
      </c>
      <c r="K325" s="113">
        <f>IF(Filing_Status="m",IF(OR(K$1&lt;Single_Rate_Start,Single_Rate_Start=""),+Base!K$199/K$161,+Base!K$199/K$240),+Base!K$199/K$240)</f>
        <v>0</v>
      </c>
      <c r="L325" s="113">
        <f>IF(Filing_Status="m",IF(OR(L$1&lt;Single_Rate_Start,Single_Rate_Start=""),+Base!L$199/L$161,+Base!L$199/L$240),+Base!L$199/L$240)</f>
        <v>0</v>
      </c>
      <c r="M325" s="113">
        <f>IF(Filing_Status="m",IF(OR(M$1&lt;Single_Rate_Start,Single_Rate_Start=""),+Base!M$199/M$161,+Base!M$199/M$240),+Base!M$199/M$240)</f>
        <v>0</v>
      </c>
      <c r="N325" s="113">
        <f>IF(Filing_Status="m",IF(OR(N$1&lt;Single_Rate_Start,Single_Rate_Start=""),+Base!N$199/N$161,+Base!N$199/N$240),+Base!N$199/N$240)</f>
        <v>0</v>
      </c>
      <c r="O325" s="113">
        <f>IF(Filing_Status="m",IF(OR(O$1&lt;Single_Rate_Start,Single_Rate_Start=""),+Base!O$199/O$161,+Base!O$199/O$240),+Base!O$199/O$240)</f>
        <v>0</v>
      </c>
      <c r="P325" s="113">
        <f>IF(Filing_Status="m",IF(OR(P$1&lt;Single_Rate_Start,Single_Rate_Start=""),+Base!P$199/P$161,+Base!P$199/P$240),+Base!P$199/P$240)</f>
        <v>0</v>
      </c>
      <c r="Q325" s="113">
        <f>IF(Filing_Status="m",IF(OR(Q$1&lt;Single_Rate_Start,Single_Rate_Start=""),+Base!Q$199/Q$161,+Base!Q$199/Q$240),+Base!Q$199/Q$240)</f>
        <v>0</v>
      </c>
      <c r="R325" s="113">
        <f>IF(Filing_Status="m",IF(OR(R$1&lt;Single_Rate_Start,Single_Rate_Start=""),+Base!R$199/R$161,+Base!R$199/R$240),+Base!R$199/R$240)</f>
        <v>0</v>
      </c>
      <c r="S325" s="113">
        <f>IF(Filing_Status="m",IF(OR(S$1&lt;Single_Rate_Start,Single_Rate_Start=""),+Base!S$199/S$161,+Base!S$199/S$240),+Base!S$199/S$240)</f>
        <v>0</v>
      </c>
      <c r="T325" s="113">
        <f>IF(Filing_Status="m",IF(OR(T$1&lt;Single_Rate_Start,Single_Rate_Start=""),+Base!T$199/T$161,+Base!T$199/T$240),+Base!T$199/T$240)</f>
        <v>0</v>
      </c>
      <c r="U325" s="113">
        <f>IF(Filing_Status="m",IF(OR(U$1&lt;Single_Rate_Start,Single_Rate_Start=""),+Base!U$199/U$161,+Base!U$199/U$240),+Base!U$199/U$240)</f>
        <v>0</v>
      </c>
      <c r="V325" s="113">
        <f>IF(Filing_Status="m",IF(OR(V$1&lt;Single_Rate_Start,Single_Rate_Start=""),+Base!V$199/V$161,+Base!V$199/V$240),+Base!V$199/V$240)</f>
        <v>0</v>
      </c>
      <c r="W325" s="113">
        <f>IF(Filing_Status="m",IF(OR(W$1&lt;Single_Rate_Start,Single_Rate_Start=""),+Base!W$199/W$161,+Base!W$199/W$240),+Base!W$199/W$240)</f>
        <v>0</v>
      </c>
      <c r="X325" s="113">
        <f>IF(Filing_Status="m",IF(OR(X$1&lt;Single_Rate_Start,Single_Rate_Start=""),+Base!X$199/X$161,+Base!X$199/X$240),+Base!X$199/X$240)</f>
        <v>0</v>
      </c>
      <c r="Y325" s="113">
        <f>IF(Filing_Status="m",IF(OR(Y$1&lt;Single_Rate_Start,Single_Rate_Start=""),+Base!Y$199/Y$161,+Base!Y$199/Y$240),+Base!Y$199/Y$240)</f>
        <v>0</v>
      </c>
      <c r="Z325" s="113">
        <f>IF(Filing_Status="m",IF(OR(Z$1&lt;Single_Rate_Start,Single_Rate_Start=""),+Base!Z$199/Z$161,+Base!Z$199/Z$240),+Base!Z$199/Z$240)</f>
        <v>0</v>
      </c>
      <c r="AA325" s="113">
        <f>IF(Filing_Status="m",IF(OR(AA$1&lt;Single_Rate_Start,Single_Rate_Start=""),+Base!AA$199/AA$161,+Base!AA$199/AA$240),+Base!AA$199/AA$240)</f>
        <v>0</v>
      </c>
      <c r="AB325" s="113">
        <f>IF(Filing_Status="m",IF(OR(AB$1&lt;Single_Rate_Start,Single_Rate_Start=""),+Base!AB$199/AB$161,+Base!AB$199/AB$240),+Base!AB$199/AB$240)</f>
        <v>0</v>
      </c>
      <c r="AC325" s="113">
        <f>IF(Filing_Status="m",IF(OR(AC$1&lt;Single_Rate_Start,Single_Rate_Start=""),+Base!AC$199/AC$161,+Base!AC$199/AC$240),+Base!AC$199/AC$240)</f>
        <v>0</v>
      </c>
      <c r="AD325" s="113">
        <f>IF(Filing_Status="m",IF(OR(AD$1&lt;Single_Rate_Start,Single_Rate_Start=""),+Base!AD$199/AD$161,+Base!AD$199/AD$240),+Base!AD$199/AD$240)</f>
        <v>0</v>
      </c>
      <c r="AE325" s="113">
        <f>IF(Filing_Status="m",IF(OR(AE$1&lt;Single_Rate_Start,Single_Rate_Start=""),+Base!AE$199/AE$161,+Base!AE$199/AE$240),+Base!AE$199/AE$240)</f>
        <v>0</v>
      </c>
      <c r="AF325" s="113">
        <f>IF(Filing_Status="m",IF(OR(AF$1&lt;Single_Rate_Start,Single_Rate_Start=""),+Base!AF$199/AF$161,+Base!AF$199/AF$240),+Base!AF$199/AF$240)</f>
        <v>0</v>
      </c>
      <c r="AG325" s="113">
        <f>IF(Filing_Status="m",IF(OR(AG$1&lt;Single_Rate_Start,Single_Rate_Start=""),+Base!AG$199/AG$161,+Base!AG$199/AG$240),+Base!AG$199/AG$240)</f>
        <v>0</v>
      </c>
      <c r="AH325" s="113">
        <f>IF(Filing_Status="m",IF(OR(AH$1&lt;Single_Rate_Start,Single_Rate_Start=""),+Base!AH$199/AH$161,+Base!AH$199/AH$240),+Base!AH$199/AH$240)</f>
        <v>0</v>
      </c>
      <c r="AI325" s="113">
        <f>IF(Filing_Status="m",IF(OR(AI$1&lt;Single_Rate_Start,Single_Rate_Start=""),+Base!AI$199/AI$161,+Base!AI$199/AI$240),+Base!AI$199/AI$240)</f>
        <v>0</v>
      </c>
      <c r="AJ325" s="113">
        <f>IF(Filing_Status="m",IF(OR(AJ$1&lt;Single_Rate_Start,Single_Rate_Start=""),+Base!AJ$199/AJ$161,+Base!AJ$199/AJ$240),+Base!AJ$199/AJ$240)</f>
        <v>0</v>
      </c>
      <c r="AK325" s="113">
        <f>IF(Filing_Status="m",IF(OR(AK$1&lt;Single_Rate_Start,Single_Rate_Start=""),+Base!AK$199/AK$161,+Base!AK$199/AK$240),+Base!AK$199/AK$240)</f>
        <v>0</v>
      </c>
      <c r="AL325" s="113">
        <f>IF(Filing_Status="m",IF(OR(AL$1&lt;Single_Rate_Start,Single_Rate_Start=""),+Base!AL$199/AL$161,+Base!AL$199/AL$240),+Base!AL$199/AL$240)</f>
        <v>0</v>
      </c>
      <c r="AM325" s="113">
        <f>IF(Filing_Status="m",IF(OR(AM$1&lt;Single_Rate_Start,Single_Rate_Start=""),+Base!AM$199/AM$161,+Base!AM$199/AM$240),+Base!AM$199/AM$240)</f>
        <v>0</v>
      </c>
      <c r="AN325" s="113">
        <f>IF(Filing_Status="m",IF(OR(AN$1&lt;Single_Rate_Start,Single_Rate_Start=""),+Base!AN$199/AN$161,+Base!AN$199/AN$240),+Base!AN$199/AN$240)</f>
        <v>0</v>
      </c>
      <c r="AO325" s="113">
        <f>IF(Filing_Status="m",IF(OR(AO$1&lt;Single_Rate_Start,Single_Rate_Start=""),+Base!AO$199/AO$161,+Base!AO$199/AO$240),+Base!AO$199/AO$240)</f>
        <v>0</v>
      </c>
      <c r="AP325" s="113">
        <f>IF(Filing_Status="m",IF(OR(AP$1&lt;Single_Rate_Start,Single_Rate_Start=""),+Base!AP$199/AP$161,+Base!AP$199/AP$240),+Base!AP$199/AP$240)</f>
        <v>0</v>
      </c>
      <c r="AQ325" s="113">
        <f>IF(Filing_Status="m",IF(OR(AQ$1&lt;Single_Rate_Start,Single_Rate_Start=""),+Base!AQ$199/AQ$161,+Base!AQ$199/AQ$240),+Base!AQ$199/AQ$240)</f>
        <v>0</v>
      </c>
      <c r="AR325" s="113">
        <f>IF(Filing_Status="m",IF(OR(AR$1&lt;Single_Rate_Start,Single_Rate_Start=""),+Base!AR$199/AR$161,+Base!AR$199/AR$240),+Base!AR$199/AR$240)</f>
        <v>0</v>
      </c>
      <c r="AS325" s="113">
        <f>IF(Filing_Status="m",IF(OR(AS$1&lt;Single_Rate_Start,Single_Rate_Start=""),+Base!AS$199/AS$161,+Base!AS$199/AS$240),+Base!AS$199/AS$240)</f>
        <v>0</v>
      </c>
      <c r="AT325" s="113"/>
    </row>
    <row r="326" spans="1:49">
      <c r="C326" s="63"/>
      <c r="E326" s="67">
        <f t="shared" si="175"/>
        <v>0.35</v>
      </c>
      <c r="F326" s="113">
        <f>IF(Filing_Status="m",IF(OR(F$1&lt;Single_Rate_Start,Single_Rate_Start=""),+Base!F$200/F$166,+Base!F$200/F$245),+Base!F$200/F$245)</f>
        <v>0</v>
      </c>
      <c r="G326" s="113">
        <f>IF(Filing_Status="m",IF(OR(G$1&lt;Single_Rate_Start,Single_Rate_Start=""),+Base!G$200/G$166,+Base!G$200/G$245),+Base!G$200/G$245)</f>
        <v>0</v>
      </c>
      <c r="H326" s="113">
        <f>IF(Filing_Status="m",IF(OR(H$1&lt;Single_Rate_Start,Single_Rate_Start=""),+Base!H$200/H$166,+Base!H$200/H$245),+Base!H$200/H$245)</f>
        <v>0</v>
      </c>
      <c r="I326" s="113">
        <f>IF(Filing_Status="m",IF(OR(I$1&lt;Single_Rate_Start,Single_Rate_Start=""),+Base!I$200/I$166,+Base!I$200/I$245),+Base!I$200/I$245)</f>
        <v>0</v>
      </c>
      <c r="J326" s="113">
        <f>IF(Filing_Status="m",IF(OR(J$1&lt;Single_Rate_Start,Single_Rate_Start=""),+Base!J$200/J$166,+Base!J$200/J$245),+Base!J$200/J$245)</f>
        <v>0</v>
      </c>
      <c r="K326" s="113">
        <f>IF(Filing_Status="m",IF(OR(K$1&lt;Single_Rate_Start,Single_Rate_Start=""),+Base!K$200/K$166,+Base!K$200/K$245),+Base!K$200/K$245)</f>
        <v>0</v>
      </c>
      <c r="L326" s="113">
        <f>IF(Filing_Status="m",IF(OR(L$1&lt;Single_Rate_Start,Single_Rate_Start=""),+Base!L$200/L$166,+Base!L$200/L$245),+Base!L$200/L$245)</f>
        <v>0</v>
      </c>
      <c r="M326" s="113">
        <f>IF(Filing_Status="m",IF(OR(M$1&lt;Single_Rate_Start,Single_Rate_Start=""),+Base!M$200/M$166,+Base!M$200/M$245),+Base!M$200/M$245)</f>
        <v>0</v>
      </c>
      <c r="N326" s="113">
        <f>IF(Filing_Status="m",IF(OR(N$1&lt;Single_Rate_Start,Single_Rate_Start=""),+Base!N$200/N$166,+Base!N$200/N$245),+Base!N$200/N$245)</f>
        <v>0</v>
      </c>
      <c r="O326" s="113">
        <f>IF(Filing_Status="m",IF(OR(O$1&lt;Single_Rate_Start,Single_Rate_Start=""),+Base!O$200/O$166,+Base!O$200/O$245),+Base!O$200/O$245)</f>
        <v>0</v>
      </c>
      <c r="P326" s="113">
        <f>IF(Filing_Status="m",IF(OR(P$1&lt;Single_Rate_Start,Single_Rate_Start=""),+Base!P$200/P$166,+Base!P$200/P$245),+Base!P$200/P$245)</f>
        <v>0</v>
      </c>
      <c r="Q326" s="113">
        <f>IF(Filing_Status="m",IF(OR(Q$1&lt;Single_Rate_Start,Single_Rate_Start=""),+Base!Q$200/Q$166,+Base!Q$200/Q$245),+Base!Q$200/Q$245)</f>
        <v>0</v>
      </c>
      <c r="R326" s="113">
        <f>IF(Filing_Status="m",IF(OR(R$1&lt;Single_Rate_Start,Single_Rate_Start=""),+Base!R$200/R$166,+Base!R$200/R$245),+Base!R$200/R$245)</f>
        <v>0</v>
      </c>
      <c r="S326" s="113">
        <f>IF(Filing_Status="m",IF(OR(S$1&lt;Single_Rate_Start,Single_Rate_Start=""),+Base!S$200/S$166,+Base!S$200/S$245),+Base!S$200/S$245)</f>
        <v>0</v>
      </c>
      <c r="T326" s="113">
        <f>IF(Filing_Status="m",IF(OR(T$1&lt;Single_Rate_Start,Single_Rate_Start=""),+Base!T$200/T$166,+Base!T$200/T$245),+Base!T$200/T$245)</f>
        <v>0</v>
      </c>
      <c r="U326" s="113">
        <f>IF(Filing_Status="m",IF(OR(U$1&lt;Single_Rate_Start,Single_Rate_Start=""),+Base!U$200/U$166,+Base!U$200/U$245),+Base!U$200/U$245)</f>
        <v>0</v>
      </c>
      <c r="V326" s="113">
        <f>IF(Filing_Status="m",IF(OR(V$1&lt;Single_Rate_Start,Single_Rate_Start=""),+Base!V$200/V$166,+Base!V$200/V$245),+Base!V$200/V$245)</f>
        <v>0</v>
      </c>
      <c r="W326" s="113">
        <f>IF(Filing_Status="m",IF(OR(W$1&lt;Single_Rate_Start,Single_Rate_Start=""),+Base!W$200/W$166,+Base!W$200/W$245),+Base!W$200/W$245)</f>
        <v>0</v>
      </c>
      <c r="X326" s="113">
        <f>IF(Filing_Status="m",IF(OR(X$1&lt;Single_Rate_Start,Single_Rate_Start=""),+Base!X$200/X$166,+Base!X$200/X$245),+Base!X$200/X$245)</f>
        <v>0</v>
      </c>
      <c r="Y326" s="113">
        <f>IF(Filing_Status="m",IF(OR(Y$1&lt;Single_Rate_Start,Single_Rate_Start=""),+Base!Y$200/Y$166,+Base!Y$200/Y$245),+Base!Y$200/Y$245)</f>
        <v>0</v>
      </c>
      <c r="Z326" s="113">
        <f>IF(Filing_Status="m",IF(OR(Z$1&lt;Single_Rate_Start,Single_Rate_Start=""),+Base!Z$200/Z$166,+Base!Z$200/Z$245),+Base!Z$200/Z$245)</f>
        <v>0</v>
      </c>
      <c r="AA326" s="113">
        <f>IF(Filing_Status="m",IF(OR(AA$1&lt;Single_Rate_Start,Single_Rate_Start=""),+Base!AA$200/AA$166,+Base!AA$200/AA$245),+Base!AA$200/AA$245)</f>
        <v>0</v>
      </c>
      <c r="AB326" s="113">
        <f>IF(Filing_Status="m",IF(OR(AB$1&lt;Single_Rate_Start,Single_Rate_Start=""),+Base!AB$200/AB$166,+Base!AB$200/AB$245),+Base!AB$200/AB$245)</f>
        <v>0</v>
      </c>
      <c r="AC326" s="113">
        <f>IF(Filing_Status="m",IF(OR(AC$1&lt;Single_Rate_Start,Single_Rate_Start=""),+Base!AC$200/AC$166,+Base!AC$200/AC$245),+Base!AC$200/AC$245)</f>
        <v>0</v>
      </c>
      <c r="AD326" s="113">
        <f>IF(Filing_Status="m",IF(OR(AD$1&lt;Single_Rate_Start,Single_Rate_Start=""),+Base!AD$200/AD$166,+Base!AD$200/AD$245),+Base!AD$200/AD$245)</f>
        <v>0</v>
      </c>
      <c r="AE326" s="113">
        <f>IF(Filing_Status="m",IF(OR(AE$1&lt;Single_Rate_Start,Single_Rate_Start=""),+Base!AE$200/AE$166,+Base!AE$200/AE$245),+Base!AE$200/AE$245)</f>
        <v>0</v>
      </c>
      <c r="AF326" s="113">
        <f>IF(Filing_Status="m",IF(OR(AF$1&lt;Single_Rate_Start,Single_Rate_Start=""),+Base!AF$200/AF$166,+Base!AF$200/AF$245),+Base!AF$200/AF$245)</f>
        <v>0</v>
      </c>
      <c r="AG326" s="113">
        <f>IF(Filing_Status="m",IF(OR(AG$1&lt;Single_Rate_Start,Single_Rate_Start=""),+Base!AG$200/AG$166,+Base!AG$200/AG$245),+Base!AG$200/AG$245)</f>
        <v>0</v>
      </c>
      <c r="AH326" s="113">
        <f>IF(Filing_Status="m",IF(OR(AH$1&lt;Single_Rate_Start,Single_Rate_Start=""),+Base!AH$200/AH$166,+Base!AH$200/AH$245),+Base!AH$200/AH$245)</f>
        <v>0</v>
      </c>
      <c r="AI326" s="113">
        <f>IF(Filing_Status="m",IF(OR(AI$1&lt;Single_Rate_Start,Single_Rate_Start=""),+Base!AI$200/AI$166,+Base!AI$200/AI$245),+Base!AI$200/AI$245)</f>
        <v>0</v>
      </c>
      <c r="AJ326" s="113">
        <f>IF(Filing_Status="m",IF(OR(AJ$1&lt;Single_Rate_Start,Single_Rate_Start=""),+Base!AJ$200/AJ$166,+Base!AJ$200/AJ$245),+Base!AJ$200/AJ$245)</f>
        <v>0</v>
      </c>
      <c r="AK326" s="113">
        <f>IF(Filing_Status="m",IF(OR(AK$1&lt;Single_Rate_Start,Single_Rate_Start=""),+Base!AK$200/AK$166,+Base!AK$200/AK$245),+Base!AK$200/AK$245)</f>
        <v>0</v>
      </c>
      <c r="AL326" s="113">
        <f>IF(Filing_Status="m",IF(OR(AL$1&lt;Single_Rate_Start,Single_Rate_Start=""),+Base!AL$200/AL$166,+Base!AL$200/AL$245),+Base!AL$200/AL$245)</f>
        <v>0</v>
      </c>
      <c r="AM326" s="113">
        <f>IF(Filing_Status="m",IF(OR(AM$1&lt;Single_Rate_Start,Single_Rate_Start=""),+Base!AM$200/AM$166,+Base!AM$200/AM$245),+Base!AM$200/AM$245)</f>
        <v>0</v>
      </c>
      <c r="AN326" s="113">
        <f>IF(Filing_Status="m",IF(OR(AN$1&lt;Single_Rate_Start,Single_Rate_Start=""),+Base!AN$200/AN$166,+Base!AN$200/AN$245),+Base!AN$200/AN$245)</f>
        <v>0</v>
      </c>
      <c r="AO326" s="113">
        <f>IF(Filing_Status="m",IF(OR(AO$1&lt;Single_Rate_Start,Single_Rate_Start=""),+Base!AO$200/AO$166,+Base!AO$200/AO$245),+Base!AO$200/AO$245)</f>
        <v>0</v>
      </c>
      <c r="AP326" s="113">
        <f>IF(Filing_Status="m",IF(OR(AP$1&lt;Single_Rate_Start,Single_Rate_Start=""),+Base!AP$200/AP$166,+Base!AP$200/AP$245),+Base!AP$200/AP$245)</f>
        <v>0</v>
      </c>
      <c r="AQ326" s="113">
        <f>IF(Filing_Status="m",IF(OR(AQ$1&lt;Single_Rate_Start,Single_Rate_Start=""),+Base!AQ$200/AQ$166,+Base!AQ$200/AQ$245),+Base!AQ$200/AQ$245)</f>
        <v>0</v>
      </c>
      <c r="AR326" s="113">
        <f>IF(Filing_Status="m",IF(OR(AR$1&lt;Single_Rate_Start,Single_Rate_Start=""),+Base!AR$200/AR$166,+Base!AR$200/AR$245),+Base!AR$200/AR$245)</f>
        <v>0</v>
      </c>
      <c r="AS326" s="113">
        <f>IF(Filing_Status="m",IF(OR(AS$1&lt;Single_Rate_Start,Single_Rate_Start=""),+Base!AS$200/AS$166,+Base!AS$200/AS$245),+Base!AS$200/AS$245)</f>
        <v>0</v>
      </c>
      <c r="AT326" s="113"/>
    </row>
    <row r="327" spans="1:49">
      <c r="C327" s="63"/>
      <c r="E327" s="1435">
        <f t="shared" si="175"/>
        <v>0.37</v>
      </c>
      <c r="F327" s="128" t="s">
        <v>27</v>
      </c>
      <c r="G327" s="128" t="s">
        <v>27</v>
      </c>
      <c r="H327" s="128" t="s">
        <v>27</v>
      </c>
      <c r="I327" s="128" t="s">
        <v>27</v>
      </c>
      <c r="J327" s="128" t="s">
        <v>27</v>
      </c>
      <c r="K327" s="128" t="s">
        <v>27</v>
      </c>
      <c r="L327" s="128" t="s">
        <v>27</v>
      </c>
      <c r="M327" s="128" t="s">
        <v>27</v>
      </c>
      <c r="N327" s="128" t="s">
        <v>27</v>
      </c>
      <c r="O327" s="128" t="s">
        <v>27</v>
      </c>
      <c r="P327" s="128" t="s">
        <v>27</v>
      </c>
      <c r="Q327" s="128" t="s">
        <v>27</v>
      </c>
      <c r="R327" s="128" t="s">
        <v>27</v>
      </c>
      <c r="S327" s="128" t="s">
        <v>27</v>
      </c>
      <c r="T327" s="128" t="s">
        <v>27</v>
      </c>
      <c r="U327" s="128" t="s">
        <v>27</v>
      </c>
      <c r="V327" s="128" t="s">
        <v>27</v>
      </c>
      <c r="W327" s="128" t="s">
        <v>27</v>
      </c>
      <c r="X327" s="128" t="s">
        <v>27</v>
      </c>
      <c r="Y327" s="128" t="s">
        <v>27</v>
      </c>
      <c r="Z327" s="128" t="s">
        <v>27</v>
      </c>
      <c r="AA327" s="128" t="s">
        <v>27</v>
      </c>
      <c r="AB327" s="128" t="s">
        <v>27</v>
      </c>
      <c r="AC327" s="128" t="s">
        <v>27</v>
      </c>
      <c r="AD327" s="128" t="s">
        <v>27</v>
      </c>
      <c r="AE327" s="128" t="s">
        <v>27</v>
      </c>
      <c r="AF327" s="128" t="s">
        <v>27</v>
      </c>
      <c r="AG327" s="128" t="s">
        <v>27</v>
      </c>
      <c r="AH327" s="128" t="s">
        <v>27</v>
      </c>
      <c r="AI327" s="128" t="s">
        <v>27</v>
      </c>
      <c r="AJ327" s="128" t="s">
        <v>27</v>
      </c>
      <c r="AK327" s="128" t="s">
        <v>27</v>
      </c>
      <c r="AL327" s="128" t="s">
        <v>27</v>
      </c>
      <c r="AM327" s="128" t="s">
        <v>27</v>
      </c>
      <c r="AN327" s="128" t="s">
        <v>27</v>
      </c>
      <c r="AO327" s="128" t="s">
        <v>27</v>
      </c>
      <c r="AP327" s="128" t="s">
        <v>27</v>
      </c>
      <c r="AQ327" s="128" t="s">
        <v>27</v>
      </c>
      <c r="AR327" s="128" t="s">
        <v>27</v>
      </c>
      <c r="AS327" s="128" t="s">
        <v>27</v>
      </c>
      <c r="AT327" s="128"/>
    </row>
    <row r="328" spans="1:49">
      <c r="C328" s="63"/>
      <c r="E328" s="40"/>
      <c r="F328" s="128"/>
      <c r="G328" s="128"/>
      <c r="H328" s="128"/>
      <c r="I328" s="128"/>
      <c r="J328" s="128"/>
      <c r="K328" s="128"/>
      <c r="L328" s="128"/>
      <c r="M328" s="128"/>
      <c r="N328" s="128"/>
      <c r="O328" s="128"/>
      <c r="P328" s="128"/>
      <c r="Q328" s="128"/>
      <c r="R328" s="128"/>
      <c r="S328" s="128"/>
      <c r="T328" s="128"/>
      <c r="U328" s="128"/>
      <c r="V328" s="128"/>
      <c r="W328" s="128"/>
      <c r="X328" s="128"/>
      <c r="Y328" s="128"/>
      <c r="Z328" s="128"/>
      <c r="AA328" s="128"/>
      <c r="AB328" s="128"/>
      <c r="AC328" s="128"/>
      <c r="AD328" s="128"/>
      <c r="AE328" s="128"/>
      <c r="AF328" s="128"/>
      <c r="AG328" s="128"/>
      <c r="AH328" s="128"/>
      <c r="AI328" s="128"/>
      <c r="AJ328" s="128"/>
      <c r="AK328" s="128"/>
      <c r="AL328" s="128"/>
      <c r="AM328" s="128"/>
      <c r="AN328" s="128"/>
      <c r="AO328" s="128"/>
      <c r="AP328" s="128"/>
      <c r="AQ328" s="128"/>
      <c r="AR328" s="128"/>
      <c r="AS328" s="128"/>
      <c r="AT328" s="128"/>
    </row>
    <row r="329" spans="1:49">
      <c r="C329" s="63"/>
      <c r="E329" s="15"/>
      <c r="F329" s="63"/>
      <c r="G329" s="61"/>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c r="AE329" s="61"/>
      <c r="AF329" s="61"/>
      <c r="AG329" s="61"/>
      <c r="AH329" s="61"/>
      <c r="AI329" s="61"/>
      <c r="AJ329" s="61"/>
      <c r="AK329" s="61"/>
      <c r="AL329" s="3"/>
    </row>
    <row r="330" spans="1:49" ht="19.95" customHeight="1">
      <c r="A330" s="1826" t="s">
        <v>1473</v>
      </c>
      <c r="B330" s="1826"/>
      <c r="C330" s="1"/>
      <c r="D330" s="1"/>
      <c r="E330" s="14"/>
      <c r="F330" s="988"/>
      <c r="G330" s="89"/>
      <c r="H330" s="260"/>
      <c r="I330" s="158"/>
      <c r="J330" s="988"/>
      <c r="K330" s="1"/>
      <c r="L330" s="1"/>
      <c r="AL330" s="3"/>
    </row>
    <row r="331" spans="1:49">
      <c r="B331" s="158" t="s">
        <v>1149</v>
      </c>
      <c r="C331" s="158"/>
      <c r="D331" s="158"/>
      <c r="E331" s="158"/>
      <c r="G331" s="359"/>
      <c r="H331" s="359"/>
      <c r="I331" s="359"/>
      <c r="J331" s="987"/>
      <c r="K331" s="359"/>
      <c r="L331" s="1"/>
      <c r="AL331" s="3"/>
    </row>
    <row r="332" spans="1:49">
      <c r="B332" s="158" t="s">
        <v>486</v>
      </c>
      <c r="C332" s="158"/>
      <c r="D332" s="158"/>
      <c r="J332" s="987"/>
      <c r="K332" s="260"/>
      <c r="L332" s="1"/>
      <c r="AL332" s="3"/>
    </row>
    <row r="333" spans="1:49" ht="17.399999999999999" customHeight="1">
      <c r="B333" s="158"/>
      <c r="C333" s="158"/>
      <c r="D333" s="158"/>
      <c r="E333" s="985" t="s">
        <v>1662</v>
      </c>
      <c r="G333" s="158"/>
      <c r="H333" s="158"/>
      <c r="I333" s="158"/>
      <c r="J333" s="158"/>
      <c r="K333" s="900"/>
      <c r="AL333" s="3"/>
    </row>
    <row r="334" spans="1:49" ht="17.399999999999999" customHeight="1">
      <c r="B334" s="158"/>
      <c r="C334" s="158"/>
      <c r="D334" s="158"/>
      <c r="E334" s="158"/>
      <c r="F334" s="284"/>
      <c r="G334" s="359"/>
      <c r="H334" s="359"/>
      <c r="I334" s="359"/>
      <c r="J334" s="359"/>
      <c r="K334" s="359"/>
      <c r="AD334" s="359"/>
      <c r="AL334" s="3"/>
    </row>
    <row r="335" spans="1:49" ht="17.399999999999999">
      <c r="B335" s="659" t="s">
        <v>84</v>
      </c>
      <c r="C335" s="951" t="s">
        <v>639</v>
      </c>
      <c r="D335" s="1781" t="str">
        <f>IF(RMD_Table="d"," Table III in use"," Table II in use - READ INSTRUCTIONS as example data must be changed")</f>
        <v xml:space="preserve"> Table III in use</v>
      </c>
      <c r="E335" s="158"/>
      <c r="F335" s="1791" t="str">
        <f>C338-E338&amp;" years younger"</f>
        <v>12 years younger</v>
      </c>
      <c r="G335" s="8"/>
      <c r="H335" s="1443" t="str">
        <f>IF(C335="o","ALERT: Table II in use",".")</f>
        <v>.</v>
      </c>
      <c r="I335" s="13"/>
      <c r="J335" s="13"/>
      <c r="K335" s="987"/>
      <c r="Z335" s="1044" t="s">
        <v>1331</v>
      </c>
      <c r="AD335" s="987" t="s">
        <v>2136</v>
      </c>
      <c r="AS335" s="3"/>
    </row>
    <row r="336" spans="1:49" ht="15.6">
      <c r="C336" s="1828" t="s">
        <v>85</v>
      </c>
      <c r="D336" s="1828"/>
      <c r="E336" s="1827" t="s">
        <v>86</v>
      </c>
      <c r="F336" s="1827"/>
      <c r="G336" s="967" t="s">
        <v>696</v>
      </c>
      <c r="H336" s="1824" t="s">
        <v>984</v>
      </c>
      <c r="I336" s="1824"/>
      <c r="J336" s="313"/>
      <c r="K336" s="987"/>
      <c r="M336" s="169" t="s">
        <v>1054</v>
      </c>
      <c r="N336" s="169"/>
      <c r="O336" s="169"/>
      <c r="P336" s="169"/>
      <c r="Q336" s="169"/>
      <c r="R336" s="169"/>
      <c r="S336" s="169"/>
      <c r="U336" s="13" t="s">
        <v>533</v>
      </c>
      <c r="Z336" s="13" t="s">
        <v>1763</v>
      </c>
      <c r="AA336" s="13" t="s">
        <v>1329</v>
      </c>
      <c r="AD336" s="1820" t="s">
        <v>502</v>
      </c>
      <c r="AE336" s="1820"/>
      <c r="AW336" s="3"/>
    </row>
    <row r="337" spans="2:49" ht="18" thickBot="1">
      <c r="B337" s="961" t="s">
        <v>1821</v>
      </c>
      <c r="C337" s="6" t="s">
        <v>697</v>
      </c>
      <c r="D337" s="6" t="s">
        <v>87</v>
      </c>
      <c r="E337" s="6" t="s">
        <v>1797</v>
      </c>
      <c r="F337" s="6" t="s">
        <v>2244</v>
      </c>
      <c r="G337" s="6" t="s">
        <v>1704</v>
      </c>
      <c r="H337" s="6" t="str">
        <f>IF(C335="d","Table III","#Table II#")</f>
        <v>Table III</v>
      </c>
      <c r="I337" s="6" t="s">
        <v>485</v>
      </c>
      <c r="J337" s="6"/>
      <c r="K337" s="6"/>
      <c r="L337" s="6"/>
      <c r="M337" s="6" t="s">
        <v>204</v>
      </c>
      <c r="N337" s="167" t="s">
        <v>736</v>
      </c>
      <c r="O337" s="168"/>
      <c r="P337" s="167" t="s">
        <v>1477</v>
      </c>
      <c r="Q337" s="167"/>
      <c r="R337" s="167" t="s">
        <v>2141</v>
      </c>
      <c r="S337" s="167"/>
      <c r="T337" s="169" t="s">
        <v>147</v>
      </c>
      <c r="U337" s="169"/>
      <c r="V337" s="169"/>
      <c r="X337" s="5"/>
      <c r="Y337" s="607" t="s">
        <v>1330</v>
      </c>
      <c r="Z337" s="607" t="s">
        <v>1328</v>
      </c>
      <c r="AA337" s="607" t="s">
        <v>1330</v>
      </c>
      <c r="AD337" s="1627" t="s">
        <v>503</v>
      </c>
      <c r="AE337" s="1627" t="s">
        <v>504</v>
      </c>
      <c r="AW337" s="3"/>
    </row>
    <row r="338" spans="2:49" ht="15.6">
      <c r="B338" s="1443" t="s">
        <v>1822</v>
      </c>
      <c r="C338" s="62">
        <f t="shared" ref="C338:C348" si="176">+C339-1</f>
        <v>50</v>
      </c>
      <c r="D338" s="1774" t="s">
        <v>978</v>
      </c>
      <c r="E338" s="958">
        <v>38</v>
      </c>
      <c r="F338" s="959"/>
      <c r="G338" s="62">
        <f t="shared" ref="G338:G398" si="177">IF(RMD_Table="d",C338,E338)</f>
        <v>50</v>
      </c>
      <c r="H338" s="46" t="str">
        <f t="shared" ref="H338:H398" si="178">IF(RMD_Table="d",D338,F338)</f>
        <v>-</v>
      </c>
      <c r="I338" s="228">
        <v>34.200000000000003</v>
      </c>
      <c r="J338" s="228"/>
      <c r="K338" s="23"/>
      <c r="L338" s="23"/>
      <c r="M338" s="855">
        <v>1974</v>
      </c>
      <c r="N338" s="229">
        <v>750</v>
      </c>
      <c r="T338" s="855">
        <v>1974</v>
      </c>
      <c r="U338" s="1346"/>
      <c r="V338" s="898">
        <v>10000</v>
      </c>
      <c r="X338">
        <f>+T338</f>
        <v>1974</v>
      </c>
      <c r="Y338" s="1470">
        <v>49.3</v>
      </c>
      <c r="Z338" s="1042">
        <v>0.1103</v>
      </c>
      <c r="AA338" s="44"/>
      <c r="AB338" s="44"/>
      <c r="AC338">
        <v>0</v>
      </c>
      <c r="AD338" s="556">
        <v>76.150000000000006</v>
      </c>
      <c r="AE338" s="556">
        <v>80.97</v>
      </c>
      <c r="AW338" s="3"/>
    </row>
    <row r="339" spans="2:49" ht="15.6">
      <c r="B339" s="1443" t="s">
        <v>1823</v>
      </c>
      <c r="C339" s="62">
        <f t="shared" si="176"/>
        <v>51</v>
      </c>
      <c r="D339" s="1774" t="s">
        <v>978</v>
      </c>
      <c r="E339" s="62">
        <f>+E338+1</f>
        <v>39</v>
      </c>
      <c r="F339" s="956"/>
      <c r="G339" s="62">
        <f t="shared" si="177"/>
        <v>51</v>
      </c>
      <c r="H339" s="46" t="str">
        <f t="shared" si="178"/>
        <v>-</v>
      </c>
      <c r="I339" s="228">
        <v>33.299999999999997</v>
      </c>
      <c r="J339" s="228"/>
      <c r="K339" s="23"/>
      <c r="L339" s="23"/>
      <c r="M339" s="855">
        <v>1975</v>
      </c>
      <c r="N339" s="229">
        <v>750</v>
      </c>
      <c r="T339" s="855">
        <v>1975</v>
      </c>
      <c r="U339" s="1346">
        <v>8</v>
      </c>
      <c r="V339" s="92">
        <f>+V338*(1+U339/100)</f>
        <v>10800</v>
      </c>
      <c r="X339">
        <f t="shared" ref="X339:X381" si="179">+T339</f>
        <v>1975</v>
      </c>
      <c r="Y339" s="1471">
        <v>53.8</v>
      </c>
      <c r="Z339" s="1042">
        <v>9.1999999999999998E-2</v>
      </c>
      <c r="AA339" s="44">
        <f>(Y339-Y338)/Y338</f>
        <v>9.1277890466531439E-2</v>
      </c>
      <c r="AB339" s="1041"/>
      <c r="AC339">
        <f>+AC338+1</f>
        <v>1</v>
      </c>
      <c r="AD339" s="556">
        <v>75.63</v>
      </c>
      <c r="AE339" s="556">
        <v>80.41</v>
      </c>
      <c r="AW339" s="3"/>
    </row>
    <row r="340" spans="2:49" ht="15.6">
      <c r="B340" s="1443" t="s">
        <v>1824</v>
      </c>
      <c r="C340" s="62">
        <f t="shared" si="176"/>
        <v>52</v>
      </c>
      <c r="D340" s="1774" t="s">
        <v>978</v>
      </c>
      <c r="E340" s="62">
        <f t="shared" ref="E340:E398" si="180">+E339+1</f>
        <v>40</v>
      </c>
      <c r="F340" s="956"/>
      <c r="G340" s="62">
        <f t="shared" si="177"/>
        <v>52</v>
      </c>
      <c r="H340" s="46" t="str">
        <f t="shared" si="178"/>
        <v>-</v>
      </c>
      <c r="I340" s="228">
        <v>32.299999999999997</v>
      </c>
      <c r="J340" s="228"/>
      <c r="K340" s="23"/>
      <c r="L340" s="23"/>
      <c r="M340" s="855">
        <v>1976</v>
      </c>
      <c r="N340" s="229">
        <v>750</v>
      </c>
      <c r="T340" s="855">
        <v>1976</v>
      </c>
      <c r="U340" s="1346">
        <v>6.4</v>
      </c>
      <c r="V340" s="92">
        <f t="shared" ref="V340:V382" si="181">+V339*(1+U340/100)</f>
        <v>11491.2</v>
      </c>
      <c r="X340">
        <f t="shared" si="179"/>
        <v>1976</v>
      </c>
      <c r="Y340" s="1471">
        <v>56.9</v>
      </c>
      <c r="Z340" s="1042">
        <v>5.7500000000000002E-2</v>
      </c>
      <c r="AA340" s="44">
        <f t="shared" ref="AA340:AA379" si="182">(Y340-Y339)/Y339</f>
        <v>5.7620817843866204E-2</v>
      </c>
      <c r="AB340" s="1041"/>
      <c r="AC340">
        <f t="shared" ref="AC340:AC413" si="183">+AC339+1</f>
        <v>2</v>
      </c>
      <c r="AD340" s="556">
        <v>74.67</v>
      </c>
      <c r="AE340" s="556">
        <v>79.44</v>
      </c>
      <c r="AW340" s="3"/>
    </row>
    <row r="341" spans="2:49" ht="15.6">
      <c r="B341" s="1443" t="s">
        <v>2246</v>
      </c>
      <c r="C341" s="62">
        <f t="shared" si="176"/>
        <v>53</v>
      </c>
      <c r="D341" s="1774" t="s">
        <v>978</v>
      </c>
      <c r="E341" s="62">
        <f t="shared" si="180"/>
        <v>41</v>
      </c>
      <c r="F341" s="956"/>
      <c r="G341" s="62">
        <f t="shared" si="177"/>
        <v>53</v>
      </c>
      <c r="H341" s="46" t="str">
        <f t="shared" si="178"/>
        <v>-</v>
      </c>
      <c r="I341" s="228">
        <v>31.4</v>
      </c>
      <c r="J341" s="228"/>
      <c r="K341" s="23"/>
      <c r="L341" s="23"/>
      <c r="M341" s="855">
        <v>1977</v>
      </c>
      <c r="N341" s="229">
        <v>750</v>
      </c>
      <c r="T341" s="855">
        <v>1977</v>
      </c>
      <c r="U341" s="1346">
        <v>5.9</v>
      </c>
      <c r="V341" s="92">
        <f t="shared" si="181"/>
        <v>12169.1808</v>
      </c>
      <c r="X341">
        <f t="shared" si="179"/>
        <v>1977</v>
      </c>
      <c r="Y341" s="1471">
        <v>60.6</v>
      </c>
      <c r="Z341" s="1042">
        <v>6.5000000000000002E-2</v>
      </c>
      <c r="AA341" s="44">
        <f t="shared" si="182"/>
        <v>6.5026362038664381E-2</v>
      </c>
      <c r="AB341" s="1041"/>
      <c r="AC341">
        <f t="shared" si="183"/>
        <v>3</v>
      </c>
      <c r="AD341" s="556">
        <v>73.69</v>
      </c>
      <c r="AE341" s="556">
        <v>78.45</v>
      </c>
      <c r="AW341" s="3"/>
    </row>
    <row r="342" spans="2:49" ht="15.6">
      <c r="B342" s="1443" t="s">
        <v>2245</v>
      </c>
      <c r="C342" s="62">
        <f t="shared" si="176"/>
        <v>54</v>
      </c>
      <c r="D342" s="1774" t="s">
        <v>978</v>
      </c>
      <c r="E342" s="62">
        <f t="shared" si="180"/>
        <v>42</v>
      </c>
      <c r="F342" s="956"/>
      <c r="G342" s="62">
        <f t="shared" si="177"/>
        <v>54</v>
      </c>
      <c r="H342" s="46" t="str">
        <f t="shared" si="178"/>
        <v>-</v>
      </c>
      <c r="I342" s="228">
        <v>30.5</v>
      </c>
      <c r="J342" s="228"/>
      <c r="K342" s="23"/>
      <c r="L342" s="23"/>
      <c r="M342" s="855">
        <v>1978</v>
      </c>
      <c r="N342" s="229">
        <v>750</v>
      </c>
      <c r="T342" s="855">
        <v>1978</v>
      </c>
      <c r="U342" s="1346">
        <v>6.5</v>
      </c>
      <c r="V342" s="92">
        <f t="shared" si="181"/>
        <v>12960.177551999999</v>
      </c>
      <c r="X342">
        <f t="shared" si="179"/>
        <v>1978</v>
      </c>
      <c r="Y342" s="1471">
        <v>65.2</v>
      </c>
      <c r="Z342" s="1042">
        <v>7.6200000000000004E-2</v>
      </c>
      <c r="AA342" s="44">
        <f t="shared" si="182"/>
        <v>7.5907590759075924E-2</v>
      </c>
      <c r="AB342" s="1041"/>
      <c r="AC342">
        <f t="shared" si="183"/>
        <v>4</v>
      </c>
      <c r="AD342" s="556">
        <v>72.709999999999994</v>
      </c>
      <c r="AE342" s="556">
        <v>77.47</v>
      </c>
      <c r="AW342" s="3"/>
    </row>
    <row r="343" spans="2:49" ht="15.6">
      <c r="C343" s="62">
        <f t="shared" si="176"/>
        <v>55</v>
      </c>
      <c r="D343" s="1774" t="s">
        <v>978</v>
      </c>
      <c r="E343" s="62">
        <f t="shared" si="180"/>
        <v>43</v>
      </c>
      <c r="F343" s="956"/>
      <c r="G343" s="62">
        <f t="shared" si="177"/>
        <v>55</v>
      </c>
      <c r="H343" s="46" t="str">
        <f t="shared" si="178"/>
        <v>-</v>
      </c>
      <c r="I343" s="228">
        <v>29.6</v>
      </c>
      <c r="J343" s="228"/>
      <c r="K343" s="23"/>
      <c r="L343" s="23"/>
      <c r="M343" s="855">
        <v>1979</v>
      </c>
      <c r="N343" s="229">
        <v>1000</v>
      </c>
      <c r="T343" s="855">
        <v>1979</v>
      </c>
      <c r="U343" s="1346">
        <v>9.9</v>
      </c>
      <c r="V343" s="92">
        <f t="shared" si="181"/>
        <v>14243.235129647999</v>
      </c>
      <c r="X343">
        <f t="shared" si="179"/>
        <v>1979</v>
      </c>
      <c r="Y343" s="1471">
        <v>72.599999999999994</v>
      </c>
      <c r="Z343" s="1042">
        <v>0.11220000000000001</v>
      </c>
      <c r="AA343" s="44">
        <f t="shared" si="182"/>
        <v>0.11349693251533728</v>
      </c>
      <c r="AB343" s="1041"/>
      <c r="AC343">
        <f t="shared" si="183"/>
        <v>5</v>
      </c>
      <c r="AD343" s="556">
        <v>71.72</v>
      </c>
      <c r="AE343" s="556">
        <v>76.48</v>
      </c>
      <c r="AW343" s="3"/>
    </row>
    <row r="344" spans="2:49" ht="15.6">
      <c r="C344" s="62">
        <f t="shared" si="176"/>
        <v>56</v>
      </c>
      <c r="D344" s="1774" t="s">
        <v>978</v>
      </c>
      <c r="E344" s="62">
        <f t="shared" si="180"/>
        <v>44</v>
      </c>
      <c r="F344" s="956"/>
      <c r="G344" s="62">
        <f t="shared" si="177"/>
        <v>56</v>
      </c>
      <c r="H344" s="46" t="str">
        <f t="shared" si="178"/>
        <v>-</v>
      </c>
      <c r="I344" s="228">
        <v>28.7</v>
      </c>
      <c r="J344" s="228"/>
      <c r="K344" s="23"/>
      <c r="L344" s="23"/>
      <c r="M344" s="855">
        <v>1980</v>
      </c>
      <c r="N344" s="230">
        <v>1000</v>
      </c>
      <c r="T344" s="855">
        <v>1980</v>
      </c>
      <c r="U344" s="1346">
        <v>14.3</v>
      </c>
      <c r="V344" s="92">
        <f t="shared" si="181"/>
        <v>16280.017753187663</v>
      </c>
      <c r="X344">
        <f t="shared" si="179"/>
        <v>1980</v>
      </c>
      <c r="Y344" s="1471">
        <v>82.4</v>
      </c>
      <c r="Z344" s="1042">
        <v>0.1358</v>
      </c>
      <c r="AA344" s="44">
        <f t="shared" si="182"/>
        <v>0.13498622589531697</v>
      </c>
      <c r="AB344" s="1041"/>
      <c r="AC344">
        <f t="shared" si="183"/>
        <v>6</v>
      </c>
      <c r="AD344" s="556">
        <v>70.73</v>
      </c>
      <c r="AE344" s="556">
        <v>75.48</v>
      </c>
      <c r="AW344" s="3"/>
    </row>
    <row r="345" spans="2:49" ht="15.6">
      <c r="C345" s="62">
        <f t="shared" si="176"/>
        <v>57</v>
      </c>
      <c r="D345" s="1774" t="s">
        <v>978</v>
      </c>
      <c r="E345" s="62">
        <f t="shared" si="180"/>
        <v>45</v>
      </c>
      <c r="F345" s="956"/>
      <c r="G345" s="62">
        <f t="shared" si="177"/>
        <v>57</v>
      </c>
      <c r="H345" s="46" t="str">
        <f t="shared" si="178"/>
        <v>-</v>
      </c>
      <c r="I345" s="228">
        <v>27.9</v>
      </c>
      <c r="J345" s="228"/>
      <c r="K345" s="23"/>
      <c r="L345" s="23"/>
      <c r="M345" s="855">
        <v>1981</v>
      </c>
      <c r="N345" s="230">
        <v>1000</v>
      </c>
      <c r="T345" s="855">
        <v>1981</v>
      </c>
      <c r="U345" s="1346">
        <v>11.2</v>
      </c>
      <c r="V345" s="92">
        <f t="shared" si="181"/>
        <v>18103.379741544682</v>
      </c>
      <c r="X345">
        <f t="shared" si="179"/>
        <v>1981</v>
      </c>
      <c r="Y345" s="1471">
        <v>90.9</v>
      </c>
      <c r="Z345" s="1042">
        <v>0.10349999999999999</v>
      </c>
      <c r="AA345" s="44">
        <f t="shared" si="182"/>
        <v>0.10315533980582524</v>
      </c>
      <c r="AB345" s="1041"/>
      <c r="AC345">
        <f t="shared" si="183"/>
        <v>7</v>
      </c>
      <c r="AD345" s="556">
        <v>69.739999999999995</v>
      </c>
      <c r="AE345" s="556">
        <v>74.489999999999995</v>
      </c>
      <c r="AW345" s="3"/>
    </row>
    <row r="346" spans="2:49" ht="15.6">
      <c r="C346" s="62">
        <f t="shared" si="176"/>
        <v>58</v>
      </c>
      <c r="D346" s="1774" t="s">
        <v>978</v>
      </c>
      <c r="E346" s="62">
        <f t="shared" si="180"/>
        <v>46</v>
      </c>
      <c r="F346" s="956"/>
      <c r="G346" s="62">
        <f t="shared" si="177"/>
        <v>58</v>
      </c>
      <c r="H346" s="46" t="str">
        <f t="shared" si="178"/>
        <v>-</v>
      </c>
      <c r="I346" s="228">
        <v>27</v>
      </c>
      <c r="J346" s="228"/>
      <c r="K346" s="23"/>
      <c r="L346" s="23"/>
      <c r="M346" s="855">
        <v>1982</v>
      </c>
      <c r="N346" s="230">
        <v>1000</v>
      </c>
      <c r="T346" s="855">
        <v>1982</v>
      </c>
      <c r="U346" s="1346">
        <v>7.4</v>
      </c>
      <c r="V346" s="92">
        <f t="shared" si="181"/>
        <v>19443.02984241899</v>
      </c>
      <c r="X346">
        <f t="shared" si="179"/>
        <v>1982</v>
      </c>
      <c r="Y346" s="1471">
        <v>96.5</v>
      </c>
      <c r="Z346" s="1042">
        <v>6.1600000000000002E-2</v>
      </c>
      <c r="AA346" s="44">
        <f t="shared" si="182"/>
        <v>6.1606160616061542E-2</v>
      </c>
      <c r="AB346" s="1041"/>
      <c r="AC346">
        <f t="shared" si="183"/>
        <v>8</v>
      </c>
      <c r="AD346" s="556">
        <v>68.75</v>
      </c>
      <c r="AE346" s="556">
        <v>73.5</v>
      </c>
      <c r="AW346" s="3"/>
    </row>
    <row r="347" spans="2:49" ht="15.6">
      <c r="C347" s="62">
        <f t="shared" si="176"/>
        <v>59</v>
      </c>
      <c r="D347" s="1774" t="s">
        <v>978</v>
      </c>
      <c r="E347" s="62">
        <f t="shared" si="180"/>
        <v>47</v>
      </c>
      <c r="F347" s="956"/>
      <c r="G347" s="62">
        <f t="shared" si="177"/>
        <v>59</v>
      </c>
      <c r="H347" s="46" t="str">
        <f t="shared" si="178"/>
        <v>-</v>
      </c>
      <c r="I347" s="228">
        <v>26.1</v>
      </c>
      <c r="J347" s="228"/>
      <c r="K347" s="23"/>
      <c r="L347" s="23"/>
      <c r="M347" s="855">
        <v>1983</v>
      </c>
      <c r="N347" s="230">
        <v>1000</v>
      </c>
      <c r="T347" s="855">
        <v>1983</v>
      </c>
      <c r="U347" s="1346">
        <v>3.5</v>
      </c>
      <c r="V347" s="92">
        <f t="shared" si="181"/>
        <v>20123.535886903654</v>
      </c>
      <c r="X347">
        <f t="shared" si="179"/>
        <v>1983</v>
      </c>
      <c r="Y347" s="1471">
        <v>99.6</v>
      </c>
      <c r="Z347" s="1042">
        <v>3.2199999999999999E-2</v>
      </c>
      <c r="AA347" s="44">
        <f t="shared" si="182"/>
        <v>3.2124352331606161E-2</v>
      </c>
      <c r="AB347" s="1041"/>
      <c r="AC347">
        <f t="shared" si="183"/>
        <v>9</v>
      </c>
      <c r="AD347" s="556">
        <v>67.760000000000005</v>
      </c>
      <c r="AE347" s="556">
        <v>72.510000000000005</v>
      </c>
      <c r="AW347" s="3"/>
    </row>
    <row r="348" spans="2:49" ht="15.6">
      <c r="C348" s="62">
        <f t="shared" si="176"/>
        <v>60</v>
      </c>
      <c r="D348" s="1774" t="s">
        <v>978</v>
      </c>
      <c r="E348" s="62">
        <f t="shared" si="180"/>
        <v>48</v>
      </c>
      <c r="F348" s="956"/>
      <c r="G348" s="62">
        <f t="shared" si="177"/>
        <v>60</v>
      </c>
      <c r="H348" s="46" t="str">
        <f t="shared" si="178"/>
        <v>-</v>
      </c>
      <c r="I348" s="228">
        <v>25.2</v>
      </c>
      <c r="J348" s="228"/>
      <c r="K348" s="23"/>
      <c r="L348" s="23"/>
      <c r="M348" s="855">
        <v>1984</v>
      </c>
      <c r="N348" s="230">
        <v>1000</v>
      </c>
      <c r="T348" s="855">
        <v>1984</v>
      </c>
      <c r="U348" s="1346">
        <v>3.5</v>
      </c>
      <c r="V348" s="92">
        <f t="shared" si="181"/>
        <v>20827.859642945281</v>
      </c>
      <c r="X348">
        <f t="shared" si="179"/>
        <v>1984</v>
      </c>
      <c r="Y348" s="1471">
        <v>103.9</v>
      </c>
      <c r="Z348" s="1042">
        <v>4.2999999999999997E-2</v>
      </c>
      <c r="AA348" s="44">
        <f t="shared" si="182"/>
        <v>4.3172690763052322E-2</v>
      </c>
      <c r="AB348" s="1041"/>
      <c r="AC348">
        <f t="shared" si="183"/>
        <v>10</v>
      </c>
      <c r="AD348" s="556">
        <v>66.760000000000005</v>
      </c>
      <c r="AE348" s="556">
        <v>71.510000000000005</v>
      </c>
      <c r="AW348" s="3"/>
    </row>
    <row r="349" spans="2:49" ht="15.6">
      <c r="C349" s="62">
        <f t="shared" ref="C349:C357" si="184">+C350-1</f>
        <v>61</v>
      </c>
      <c r="D349" s="1774" t="s">
        <v>978</v>
      </c>
      <c r="E349" s="62">
        <f t="shared" si="180"/>
        <v>49</v>
      </c>
      <c r="F349" s="956"/>
      <c r="G349" s="62">
        <f t="shared" si="177"/>
        <v>61</v>
      </c>
      <c r="H349" s="46" t="str">
        <f t="shared" si="178"/>
        <v>-</v>
      </c>
      <c r="I349" s="228">
        <v>24.4</v>
      </c>
      <c r="J349" s="228"/>
      <c r="K349" s="23"/>
      <c r="L349" s="23"/>
      <c r="M349" s="855">
        <v>1985</v>
      </c>
      <c r="N349" s="230">
        <v>1040</v>
      </c>
      <c r="T349" s="855">
        <v>1985</v>
      </c>
      <c r="U349" s="1346">
        <v>3.1</v>
      </c>
      <c r="V349" s="92">
        <f t="shared" si="181"/>
        <v>21473.523291876583</v>
      </c>
      <c r="X349">
        <f t="shared" si="179"/>
        <v>1985</v>
      </c>
      <c r="Y349" s="1471">
        <v>107.6</v>
      </c>
      <c r="Z349" s="1042">
        <v>3.5499999999999997E-2</v>
      </c>
      <c r="AA349" s="44">
        <f t="shared" si="182"/>
        <v>3.5611164581328091E-2</v>
      </c>
      <c r="AB349" s="1041"/>
      <c r="AC349">
        <f t="shared" si="183"/>
        <v>11</v>
      </c>
      <c r="AD349" s="556">
        <v>65.77</v>
      </c>
      <c r="AE349" s="556">
        <v>70.52</v>
      </c>
      <c r="AW349" s="3"/>
    </row>
    <row r="350" spans="2:49" ht="15.6">
      <c r="C350" s="62">
        <f t="shared" si="184"/>
        <v>62</v>
      </c>
      <c r="D350" s="1774" t="s">
        <v>978</v>
      </c>
      <c r="E350" s="62">
        <f t="shared" si="180"/>
        <v>50</v>
      </c>
      <c r="F350" s="956">
        <v>36.299999999999997</v>
      </c>
      <c r="G350" s="62">
        <f t="shared" si="177"/>
        <v>62</v>
      </c>
      <c r="H350" s="46" t="str">
        <f t="shared" si="178"/>
        <v>-</v>
      </c>
      <c r="I350" s="228">
        <v>23.5</v>
      </c>
      <c r="J350" s="228"/>
      <c r="K350" s="23"/>
      <c r="L350" s="23"/>
      <c r="M350" s="855">
        <v>1986</v>
      </c>
      <c r="N350" s="230">
        <v>1080</v>
      </c>
      <c r="T350" s="855">
        <v>1986</v>
      </c>
      <c r="U350" s="1346">
        <v>1.3</v>
      </c>
      <c r="V350" s="92">
        <f t="shared" si="181"/>
        <v>21752.679094670977</v>
      </c>
      <c r="X350">
        <f t="shared" si="179"/>
        <v>1986</v>
      </c>
      <c r="Y350" s="1471">
        <v>109.6</v>
      </c>
      <c r="Z350" s="1042">
        <v>1.9099999999999999E-2</v>
      </c>
      <c r="AA350" s="44">
        <f t="shared" si="182"/>
        <v>1.858736059479554E-2</v>
      </c>
      <c r="AB350" s="1041"/>
      <c r="AC350">
        <f t="shared" si="183"/>
        <v>12</v>
      </c>
      <c r="AD350" s="556">
        <v>64.78</v>
      </c>
      <c r="AE350" s="556">
        <v>69.53</v>
      </c>
      <c r="AW350" s="3"/>
    </row>
    <row r="351" spans="2:49" ht="15.6">
      <c r="C351" s="62">
        <f t="shared" si="184"/>
        <v>63</v>
      </c>
      <c r="D351" s="1774" t="s">
        <v>978</v>
      </c>
      <c r="E351" s="62">
        <f t="shared" si="180"/>
        <v>51</v>
      </c>
      <c r="F351" s="956">
        <v>35.4</v>
      </c>
      <c r="G351" s="62">
        <f t="shared" si="177"/>
        <v>63</v>
      </c>
      <c r="H351" s="46" t="str">
        <f t="shared" si="178"/>
        <v>-</v>
      </c>
      <c r="I351" s="228">
        <v>22.7</v>
      </c>
      <c r="J351" s="228"/>
      <c r="K351" s="23"/>
      <c r="L351" s="23"/>
      <c r="M351" s="855">
        <v>1987</v>
      </c>
      <c r="N351" s="230">
        <v>1900</v>
      </c>
      <c r="T351" s="855">
        <v>1987</v>
      </c>
      <c r="U351" s="1346">
        <v>4.2</v>
      </c>
      <c r="V351" s="92">
        <f t="shared" si="181"/>
        <v>22666.291616647159</v>
      </c>
      <c r="X351">
        <f t="shared" si="179"/>
        <v>1987</v>
      </c>
      <c r="Y351" s="1471">
        <v>113.6</v>
      </c>
      <c r="Z351" s="1042">
        <v>3.6600000000000001E-2</v>
      </c>
      <c r="AA351" s="44">
        <f t="shared" si="182"/>
        <v>3.6496350364963508E-2</v>
      </c>
      <c r="AB351" s="1041"/>
      <c r="AC351">
        <f t="shared" si="183"/>
        <v>13</v>
      </c>
      <c r="AD351" s="556">
        <v>63.79</v>
      </c>
      <c r="AE351" s="556">
        <v>68.53</v>
      </c>
      <c r="AW351" s="3"/>
    </row>
    <row r="352" spans="2:49" ht="15.6">
      <c r="C352" s="62">
        <f t="shared" si="184"/>
        <v>64</v>
      </c>
      <c r="D352" s="1774" t="s">
        <v>978</v>
      </c>
      <c r="E352" s="62">
        <f t="shared" si="180"/>
        <v>52</v>
      </c>
      <c r="F352" s="956">
        <v>34.4</v>
      </c>
      <c r="G352" s="62">
        <f t="shared" si="177"/>
        <v>64</v>
      </c>
      <c r="H352" s="46" t="str">
        <f t="shared" si="178"/>
        <v>-</v>
      </c>
      <c r="I352" s="228">
        <v>21.8</v>
      </c>
      <c r="J352" s="228"/>
      <c r="K352" s="23"/>
      <c r="L352" s="23"/>
      <c r="M352" s="855">
        <v>1988</v>
      </c>
      <c r="N352" s="230">
        <v>1950</v>
      </c>
      <c r="O352" s="44">
        <f t="shared" ref="O352:O381" si="185">(+N352-N351)/N351</f>
        <v>2.6315789473684209E-2</v>
      </c>
      <c r="T352" s="855">
        <v>1988</v>
      </c>
      <c r="U352" s="1346">
        <v>4</v>
      </c>
      <c r="V352" s="92">
        <f t="shared" si="181"/>
        <v>23572.943281313044</v>
      </c>
      <c r="W352" s="130"/>
      <c r="X352">
        <f t="shared" si="179"/>
        <v>1988</v>
      </c>
      <c r="Y352" s="1471">
        <v>118.3</v>
      </c>
      <c r="Z352" s="1042">
        <v>4.0800000000000003E-2</v>
      </c>
      <c r="AA352" s="44">
        <f t="shared" si="182"/>
        <v>4.1373239436619746E-2</v>
      </c>
      <c r="AB352" s="1041"/>
      <c r="AC352">
        <f t="shared" si="183"/>
        <v>14</v>
      </c>
      <c r="AD352" s="556">
        <v>62.8</v>
      </c>
      <c r="AE352" s="556">
        <v>67.540000000000006</v>
      </c>
      <c r="AW352" s="3"/>
    </row>
    <row r="353" spans="3:49" ht="15.6">
      <c r="C353" s="62">
        <f t="shared" si="184"/>
        <v>65</v>
      </c>
      <c r="D353" s="1774" t="s">
        <v>978</v>
      </c>
      <c r="E353" s="62">
        <f t="shared" si="180"/>
        <v>53</v>
      </c>
      <c r="F353" s="956">
        <v>33.5</v>
      </c>
      <c r="G353" s="62">
        <f t="shared" si="177"/>
        <v>65</v>
      </c>
      <c r="H353" s="46" t="str">
        <f t="shared" si="178"/>
        <v>-</v>
      </c>
      <c r="I353" s="228">
        <v>21</v>
      </c>
      <c r="J353" s="228"/>
      <c r="K353" s="23"/>
      <c r="L353" s="23"/>
      <c r="M353" s="855">
        <v>1989</v>
      </c>
      <c r="N353" s="230">
        <v>2000</v>
      </c>
      <c r="O353" s="44">
        <f t="shared" si="185"/>
        <v>2.564102564102564E-2</v>
      </c>
      <c r="T353" s="855">
        <v>1989</v>
      </c>
      <c r="U353" s="1346">
        <v>4.7</v>
      </c>
      <c r="V353" s="92">
        <f t="shared" si="181"/>
        <v>24680.871615534757</v>
      </c>
      <c r="W353" s="130"/>
      <c r="X353">
        <f t="shared" si="179"/>
        <v>1989</v>
      </c>
      <c r="Y353" s="1472">
        <v>124</v>
      </c>
      <c r="Z353" s="1042">
        <v>4.8300000000000003E-2</v>
      </c>
      <c r="AA353" s="44">
        <f t="shared" si="182"/>
        <v>4.8182586644125128E-2</v>
      </c>
      <c r="AB353" s="1041"/>
      <c r="AC353">
        <f t="shared" si="183"/>
        <v>15</v>
      </c>
      <c r="AD353" s="556">
        <v>61.82</v>
      </c>
      <c r="AE353" s="556">
        <v>66.56</v>
      </c>
      <c r="AW353" s="3"/>
    </row>
    <row r="354" spans="3:49" ht="15.6">
      <c r="C354" s="62">
        <f t="shared" si="184"/>
        <v>66</v>
      </c>
      <c r="D354" s="1774" t="s">
        <v>978</v>
      </c>
      <c r="E354" s="62">
        <f t="shared" si="180"/>
        <v>54</v>
      </c>
      <c r="F354" s="956">
        <v>32.5</v>
      </c>
      <c r="G354" s="62">
        <f t="shared" si="177"/>
        <v>66</v>
      </c>
      <c r="H354" s="46" t="str">
        <f t="shared" si="178"/>
        <v>-</v>
      </c>
      <c r="I354" s="228">
        <v>20.2</v>
      </c>
      <c r="J354" s="228"/>
      <c r="K354" s="23"/>
      <c r="L354" s="23"/>
      <c r="M354" s="855">
        <v>1990</v>
      </c>
      <c r="N354" s="230">
        <v>2050</v>
      </c>
      <c r="O354" s="44">
        <f t="shared" si="185"/>
        <v>2.5000000000000001E-2</v>
      </c>
      <c r="T354" s="855">
        <v>1990</v>
      </c>
      <c r="U354" s="1347">
        <v>5.4</v>
      </c>
      <c r="V354" s="92">
        <f t="shared" si="181"/>
        <v>26013.638682773635</v>
      </c>
      <c r="W354" s="130"/>
      <c r="X354">
        <f t="shared" si="179"/>
        <v>1990</v>
      </c>
      <c r="Y354" s="1471">
        <v>130.69999999999999</v>
      </c>
      <c r="Z354" s="1042">
        <v>5.3899999999999997E-2</v>
      </c>
      <c r="AA354" s="44">
        <f t="shared" si="182"/>
        <v>5.4032258064516038E-2</v>
      </c>
      <c r="AB354" s="1041"/>
      <c r="AC354">
        <f t="shared" si="183"/>
        <v>16</v>
      </c>
      <c r="AD354" s="556">
        <v>60.84</v>
      </c>
      <c r="AE354" s="556">
        <v>65.569999999999993</v>
      </c>
      <c r="AW354" s="3"/>
    </row>
    <row r="355" spans="3:49" ht="15.6">
      <c r="C355" s="62">
        <f t="shared" si="184"/>
        <v>67</v>
      </c>
      <c r="D355" s="1774" t="s">
        <v>978</v>
      </c>
      <c r="E355" s="62">
        <f t="shared" si="180"/>
        <v>55</v>
      </c>
      <c r="F355" s="956">
        <v>31.6</v>
      </c>
      <c r="G355" s="62">
        <f t="shared" si="177"/>
        <v>67</v>
      </c>
      <c r="H355" s="46" t="str">
        <f t="shared" si="178"/>
        <v>-</v>
      </c>
      <c r="I355" s="228">
        <v>19.399999999999999</v>
      </c>
      <c r="J355" s="228"/>
      <c r="K355" s="23"/>
      <c r="L355" s="23"/>
      <c r="M355" s="855">
        <v>1991</v>
      </c>
      <c r="N355" s="230">
        <v>2150</v>
      </c>
      <c r="O355" s="44">
        <f t="shared" si="185"/>
        <v>4.878048780487805E-2</v>
      </c>
      <c r="T355" s="855">
        <v>1991</v>
      </c>
      <c r="U355" s="1347">
        <v>3.7</v>
      </c>
      <c r="V355" s="92">
        <f t="shared" si="181"/>
        <v>26976.143314036257</v>
      </c>
      <c r="W355" s="130"/>
      <c r="X355">
        <f t="shared" si="179"/>
        <v>1991</v>
      </c>
      <c r="Y355" s="1471">
        <v>136.19999999999999</v>
      </c>
      <c r="Z355" s="1042">
        <v>4.2500000000000003E-2</v>
      </c>
      <c r="AA355" s="44">
        <f t="shared" si="182"/>
        <v>4.2081101759755171E-2</v>
      </c>
      <c r="AB355" s="1041"/>
      <c r="AC355">
        <f t="shared" si="183"/>
        <v>17</v>
      </c>
      <c r="AD355" s="556">
        <v>59.88</v>
      </c>
      <c r="AE355" s="556">
        <v>64.59</v>
      </c>
      <c r="AW355" s="3"/>
    </row>
    <row r="356" spans="3:49" ht="15.6">
      <c r="C356" s="62">
        <f t="shared" si="184"/>
        <v>68</v>
      </c>
      <c r="D356" s="1774" t="s">
        <v>978</v>
      </c>
      <c r="E356" s="62">
        <f t="shared" si="180"/>
        <v>56</v>
      </c>
      <c r="F356" s="956">
        <v>30.7</v>
      </c>
      <c r="G356" s="62">
        <f t="shared" si="177"/>
        <v>68</v>
      </c>
      <c r="H356" s="46" t="str">
        <f t="shared" si="178"/>
        <v>-</v>
      </c>
      <c r="I356" s="228">
        <v>18.600000000000001</v>
      </c>
      <c r="J356" s="228"/>
      <c r="K356" s="23"/>
      <c r="L356" s="23"/>
      <c r="M356" s="855">
        <v>1992</v>
      </c>
      <c r="N356" s="230">
        <v>2300</v>
      </c>
      <c r="O356" s="44">
        <f t="shared" si="185"/>
        <v>6.9767441860465115E-2</v>
      </c>
      <c r="T356" s="855">
        <v>1992</v>
      </c>
      <c r="U356" s="1347">
        <v>3</v>
      </c>
      <c r="V356" s="92">
        <f t="shared" si="181"/>
        <v>27785.427613457345</v>
      </c>
      <c r="W356" s="130"/>
      <c r="X356">
        <f t="shared" si="179"/>
        <v>1992</v>
      </c>
      <c r="Y356" s="1471">
        <v>140.30000000000001</v>
      </c>
      <c r="Z356" s="1042">
        <v>3.0299999999999997E-2</v>
      </c>
      <c r="AA356" s="44">
        <f t="shared" si="182"/>
        <v>3.0102790014684456E-2</v>
      </c>
      <c r="AB356" s="1041"/>
      <c r="AC356">
        <f t="shared" si="183"/>
        <v>18</v>
      </c>
      <c r="AD356" s="556">
        <v>58.91</v>
      </c>
      <c r="AE356" s="556">
        <v>63.61</v>
      </c>
      <c r="AW356" s="3"/>
    </row>
    <row r="357" spans="3:49" ht="15.6">
      <c r="C357" s="62">
        <f t="shared" si="184"/>
        <v>69</v>
      </c>
      <c r="D357" s="1774" t="s">
        <v>978</v>
      </c>
      <c r="E357" s="62">
        <f t="shared" si="180"/>
        <v>57</v>
      </c>
      <c r="F357" s="956">
        <v>29.7</v>
      </c>
      <c r="G357" s="62">
        <f t="shared" si="177"/>
        <v>69</v>
      </c>
      <c r="H357" s="46" t="str">
        <f t="shared" si="178"/>
        <v>-</v>
      </c>
      <c r="I357" s="228">
        <v>17.8</v>
      </c>
      <c r="J357" s="228"/>
      <c r="K357" s="23"/>
      <c r="L357" s="23"/>
      <c r="M357" s="855">
        <v>1993</v>
      </c>
      <c r="N357" s="230">
        <v>2350</v>
      </c>
      <c r="O357" s="44">
        <f t="shared" si="185"/>
        <v>2.1739130434782608E-2</v>
      </c>
      <c r="T357" s="855">
        <v>1993</v>
      </c>
      <c r="U357" s="1347">
        <v>2.6</v>
      </c>
      <c r="V357" s="92">
        <f t="shared" si="181"/>
        <v>28507.848731407237</v>
      </c>
      <c r="W357" s="130"/>
      <c r="X357">
        <f t="shared" si="179"/>
        <v>1993</v>
      </c>
      <c r="Y357" s="1471">
        <v>144.5</v>
      </c>
      <c r="Z357" s="1042">
        <v>2.9600000000000001E-2</v>
      </c>
      <c r="AA357" s="44">
        <f t="shared" si="182"/>
        <v>2.9935851746257933E-2</v>
      </c>
      <c r="AB357" s="1041"/>
      <c r="AC357">
        <f t="shared" si="183"/>
        <v>19</v>
      </c>
      <c r="AD357" s="556">
        <v>57.96</v>
      </c>
      <c r="AE357" s="556">
        <v>62.63</v>
      </c>
      <c r="AW357" s="3"/>
    </row>
    <row r="358" spans="3:49" ht="15.6">
      <c r="C358" s="957">
        <v>70</v>
      </c>
      <c r="D358" s="952">
        <v>27.4</v>
      </c>
      <c r="E358" s="62">
        <f t="shared" si="180"/>
        <v>58</v>
      </c>
      <c r="F358" s="956">
        <v>28.8</v>
      </c>
      <c r="G358" s="62">
        <f t="shared" si="177"/>
        <v>70</v>
      </c>
      <c r="H358" s="46">
        <f t="shared" si="178"/>
        <v>27.4</v>
      </c>
      <c r="I358" s="228">
        <v>17</v>
      </c>
      <c r="J358" s="228"/>
      <c r="K358" s="23"/>
      <c r="L358" s="23"/>
      <c r="M358" s="855">
        <v>1994</v>
      </c>
      <c r="N358" s="230">
        <v>2450</v>
      </c>
      <c r="O358" s="44">
        <f t="shared" si="185"/>
        <v>4.2553191489361701E-2</v>
      </c>
      <c r="T358" s="855">
        <v>1994</v>
      </c>
      <c r="U358" s="1347">
        <v>2.8</v>
      </c>
      <c r="V358" s="92">
        <f t="shared" si="181"/>
        <v>29306.06849588664</v>
      </c>
      <c r="W358" s="130"/>
      <c r="X358">
        <f t="shared" si="179"/>
        <v>1994</v>
      </c>
      <c r="Y358" s="1471">
        <v>148.19999999999999</v>
      </c>
      <c r="Z358" s="1042">
        <v>2.6099999999999998E-2</v>
      </c>
      <c r="AA358" s="44">
        <f t="shared" si="182"/>
        <v>2.5605536332179851E-2</v>
      </c>
      <c r="AB358" s="1041"/>
      <c r="AC358">
        <f t="shared" si="183"/>
        <v>20</v>
      </c>
      <c r="AD358" s="556">
        <v>57.01</v>
      </c>
      <c r="AE358" s="556">
        <v>61.65</v>
      </c>
      <c r="AW358" s="3"/>
    </row>
    <row r="359" spans="3:49" ht="15.6">
      <c r="C359" s="62">
        <f t="shared" ref="C359:C398" si="186">+C358+1</f>
        <v>71</v>
      </c>
      <c r="D359" s="952">
        <v>26.5</v>
      </c>
      <c r="E359" s="62">
        <f t="shared" si="180"/>
        <v>59</v>
      </c>
      <c r="F359" s="956">
        <v>27.9</v>
      </c>
      <c r="G359" s="62">
        <f t="shared" si="177"/>
        <v>71</v>
      </c>
      <c r="H359" s="46">
        <f t="shared" si="178"/>
        <v>26.5</v>
      </c>
      <c r="I359" s="228">
        <v>16.3</v>
      </c>
      <c r="J359" s="228"/>
      <c r="K359" s="23"/>
      <c r="L359" s="23"/>
      <c r="M359" s="855">
        <v>1995</v>
      </c>
      <c r="N359" s="230">
        <v>2500</v>
      </c>
      <c r="O359" s="44">
        <f t="shared" si="185"/>
        <v>2.0408163265306121E-2</v>
      </c>
      <c r="T359" s="855">
        <v>1995</v>
      </c>
      <c r="U359" s="1347">
        <v>2.6</v>
      </c>
      <c r="V359" s="92">
        <f t="shared" si="181"/>
        <v>30068.026276779692</v>
      </c>
      <c r="W359" s="130"/>
      <c r="X359">
        <f t="shared" si="179"/>
        <v>1995</v>
      </c>
      <c r="Y359" s="1471">
        <v>152.4</v>
      </c>
      <c r="Z359" s="1042">
        <v>2.81E-2</v>
      </c>
      <c r="AA359" s="44">
        <f t="shared" si="182"/>
        <v>2.8340080971660037E-2</v>
      </c>
      <c r="AB359" s="1041"/>
      <c r="AC359">
        <f t="shared" si="183"/>
        <v>21</v>
      </c>
      <c r="AD359" s="556">
        <v>56.08</v>
      </c>
      <c r="AE359" s="556">
        <v>60.67</v>
      </c>
      <c r="AW359" s="3"/>
    </row>
    <row r="360" spans="3:49" ht="15.6">
      <c r="C360" s="62">
        <f t="shared" si="186"/>
        <v>72</v>
      </c>
      <c r="D360" s="952">
        <v>25.6</v>
      </c>
      <c r="E360" s="62">
        <f t="shared" si="180"/>
        <v>60</v>
      </c>
      <c r="F360" s="956">
        <v>27</v>
      </c>
      <c r="G360" s="62">
        <f t="shared" si="177"/>
        <v>72</v>
      </c>
      <c r="H360" s="46">
        <f t="shared" si="178"/>
        <v>25.6</v>
      </c>
      <c r="I360" s="228">
        <v>15.5</v>
      </c>
      <c r="J360" s="228"/>
      <c r="K360" s="23"/>
      <c r="L360" s="23"/>
      <c r="M360" s="855">
        <v>1996</v>
      </c>
      <c r="N360" s="230">
        <v>2550</v>
      </c>
      <c r="O360" s="44">
        <f t="shared" si="185"/>
        <v>0.02</v>
      </c>
      <c r="T360" s="855">
        <v>1996</v>
      </c>
      <c r="U360" s="1347">
        <v>2.9</v>
      </c>
      <c r="V360" s="92">
        <f t="shared" si="181"/>
        <v>30939.999038806302</v>
      </c>
      <c r="W360" s="130"/>
      <c r="X360">
        <f t="shared" si="179"/>
        <v>1996</v>
      </c>
      <c r="Y360" s="1471">
        <v>156.9</v>
      </c>
      <c r="Z360" s="1042">
        <v>2.9300000000000003E-2</v>
      </c>
      <c r="AA360" s="44">
        <f t="shared" si="182"/>
        <v>2.952755905511811E-2</v>
      </c>
      <c r="AB360" s="1041"/>
      <c r="AC360">
        <f t="shared" si="183"/>
        <v>22</v>
      </c>
      <c r="AD360" s="556">
        <v>55.14</v>
      </c>
      <c r="AE360" s="556">
        <v>59.7</v>
      </c>
      <c r="AW360" s="3"/>
    </row>
    <row r="361" spans="3:49" ht="15.6">
      <c r="C361" s="62">
        <f t="shared" si="186"/>
        <v>73</v>
      </c>
      <c r="D361" s="952">
        <v>24.7</v>
      </c>
      <c r="E361" s="62">
        <f t="shared" si="180"/>
        <v>61</v>
      </c>
      <c r="F361" s="956">
        <v>26.1</v>
      </c>
      <c r="G361" s="62">
        <f t="shared" si="177"/>
        <v>73</v>
      </c>
      <c r="H361" s="46">
        <f t="shared" si="178"/>
        <v>24.7</v>
      </c>
      <c r="I361" s="228">
        <v>14.8</v>
      </c>
      <c r="J361" s="228"/>
      <c r="K361" s="23"/>
      <c r="L361" s="23"/>
      <c r="M361" s="855">
        <v>1997</v>
      </c>
      <c r="N361" s="230">
        <v>2650</v>
      </c>
      <c r="O361" s="44">
        <f t="shared" si="185"/>
        <v>3.9215686274509803E-2</v>
      </c>
      <c r="T361" s="855">
        <v>1997</v>
      </c>
      <c r="U361" s="1347">
        <v>2.1</v>
      </c>
      <c r="V361" s="92">
        <f t="shared" si="181"/>
        <v>31589.739018621232</v>
      </c>
      <c r="W361" s="130"/>
      <c r="X361">
        <f t="shared" si="179"/>
        <v>1997</v>
      </c>
      <c r="Y361" s="1471">
        <v>160.5</v>
      </c>
      <c r="Z361" s="1042">
        <v>2.3399999999999997E-2</v>
      </c>
      <c r="AA361" s="44">
        <f t="shared" si="182"/>
        <v>2.2944550669216024E-2</v>
      </c>
      <c r="AB361" s="1041"/>
      <c r="AC361">
        <f t="shared" si="183"/>
        <v>23</v>
      </c>
      <c r="AD361" s="556">
        <v>54.22</v>
      </c>
      <c r="AE361" s="556">
        <v>58.73</v>
      </c>
      <c r="AW361" s="3"/>
    </row>
    <row r="362" spans="3:49" ht="15.6">
      <c r="C362" s="62">
        <f t="shared" si="186"/>
        <v>74</v>
      </c>
      <c r="D362" s="952">
        <v>23.8</v>
      </c>
      <c r="E362" s="62">
        <f t="shared" si="180"/>
        <v>62</v>
      </c>
      <c r="F362" s="956">
        <v>25.2</v>
      </c>
      <c r="G362" s="62">
        <f t="shared" si="177"/>
        <v>74</v>
      </c>
      <c r="H362" s="46">
        <f t="shared" si="178"/>
        <v>23.8</v>
      </c>
      <c r="I362" s="228">
        <v>14.1</v>
      </c>
      <c r="J362" s="228"/>
      <c r="K362" s="23"/>
      <c r="L362" s="23"/>
      <c r="M362" s="855">
        <v>1998</v>
      </c>
      <c r="N362" s="230">
        <v>2700</v>
      </c>
      <c r="O362" s="44">
        <f t="shared" si="185"/>
        <v>1.8867924528301886E-2</v>
      </c>
      <c r="T362" s="855">
        <v>1998</v>
      </c>
      <c r="U362" s="1347">
        <v>1.3</v>
      </c>
      <c r="V362" s="92">
        <f t="shared" si="181"/>
        <v>32000.405625863306</v>
      </c>
      <c r="W362" s="130"/>
      <c r="X362">
        <f t="shared" si="179"/>
        <v>1998</v>
      </c>
      <c r="Y362" s="1472">
        <v>163</v>
      </c>
      <c r="Z362" s="1042">
        <v>1.55E-2</v>
      </c>
      <c r="AA362" s="44">
        <f t="shared" si="182"/>
        <v>1.5576323987538941E-2</v>
      </c>
      <c r="AB362" s="1041"/>
      <c r="AC362">
        <f t="shared" si="183"/>
        <v>24</v>
      </c>
      <c r="AD362" s="556">
        <v>53.29</v>
      </c>
      <c r="AE362" s="556">
        <v>57.76</v>
      </c>
      <c r="AW362" s="3"/>
    </row>
    <row r="363" spans="3:49" ht="15.6">
      <c r="C363" s="62">
        <f t="shared" si="186"/>
        <v>75</v>
      </c>
      <c r="D363" s="952">
        <v>22.9</v>
      </c>
      <c r="E363" s="62">
        <f t="shared" si="180"/>
        <v>63</v>
      </c>
      <c r="F363" s="956">
        <v>24.3</v>
      </c>
      <c r="G363" s="62">
        <f t="shared" si="177"/>
        <v>75</v>
      </c>
      <c r="H363" s="46">
        <f t="shared" si="178"/>
        <v>22.9</v>
      </c>
      <c r="I363" s="228">
        <v>13.4</v>
      </c>
      <c r="J363" s="228"/>
      <c r="K363" s="23"/>
      <c r="L363" s="23"/>
      <c r="M363" s="855">
        <v>1999</v>
      </c>
      <c r="N363" s="230">
        <v>2750</v>
      </c>
      <c r="O363" s="44">
        <f t="shared" si="185"/>
        <v>1.8518518518518517E-2</v>
      </c>
      <c r="T363" s="855">
        <v>1999</v>
      </c>
      <c r="U363" s="1347">
        <v>2.5</v>
      </c>
      <c r="V363" s="92">
        <f t="shared" si="181"/>
        <v>32800.415766509883</v>
      </c>
      <c r="W363" s="130"/>
      <c r="X363">
        <f t="shared" si="179"/>
        <v>1999</v>
      </c>
      <c r="Y363" s="1471">
        <v>166.6</v>
      </c>
      <c r="Z363" s="1042">
        <v>2.1899999999999999E-2</v>
      </c>
      <c r="AA363" s="44">
        <f t="shared" si="182"/>
        <v>2.2085889570552113E-2</v>
      </c>
      <c r="AB363" s="1041"/>
      <c r="AC363">
        <f t="shared" si="183"/>
        <v>25</v>
      </c>
      <c r="AD363" s="556">
        <v>52.37</v>
      </c>
      <c r="AE363" s="556">
        <v>56.79</v>
      </c>
      <c r="AW363" s="3"/>
    </row>
    <row r="364" spans="3:49" ht="15.6">
      <c r="C364" s="62">
        <f t="shared" si="186"/>
        <v>76</v>
      </c>
      <c r="D364" s="952">
        <v>22</v>
      </c>
      <c r="E364" s="62">
        <f t="shared" si="180"/>
        <v>64</v>
      </c>
      <c r="F364" s="956">
        <v>23.4</v>
      </c>
      <c r="G364" s="62">
        <f t="shared" si="177"/>
        <v>76</v>
      </c>
      <c r="H364" s="46">
        <f t="shared" si="178"/>
        <v>22</v>
      </c>
      <c r="I364" s="228">
        <v>12.7</v>
      </c>
      <c r="J364" s="228"/>
      <c r="K364" s="23"/>
      <c r="L364" s="23"/>
      <c r="M364" s="855">
        <v>2000</v>
      </c>
      <c r="N364" s="230">
        <v>2800</v>
      </c>
      <c r="O364" s="44">
        <f t="shared" si="185"/>
        <v>1.8181818181818181E-2</v>
      </c>
      <c r="T364" s="855">
        <v>2000</v>
      </c>
      <c r="U364" s="1347">
        <v>3.5</v>
      </c>
      <c r="V364" s="92">
        <f t="shared" si="181"/>
        <v>33948.430318337727</v>
      </c>
      <c r="W364" s="130"/>
      <c r="X364">
        <f t="shared" si="179"/>
        <v>2000</v>
      </c>
      <c r="Y364" s="1471">
        <v>172.2</v>
      </c>
      <c r="Z364" s="1042">
        <v>3.3799999999999997E-2</v>
      </c>
      <c r="AA364" s="44">
        <f t="shared" si="182"/>
        <v>3.3613445378151224E-2</v>
      </c>
      <c r="AB364" s="1041"/>
      <c r="AC364">
        <f t="shared" si="183"/>
        <v>26</v>
      </c>
      <c r="AD364" s="556">
        <v>51.44</v>
      </c>
      <c r="AE364" s="556">
        <v>55.82</v>
      </c>
      <c r="AW364" s="3"/>
    </row>
    <row r="365" spans="3:49" ht="15.6">
      <c r="C365" s="62">
        <f t="shared" si="186"/>
        <v>77</v>
      </c>
      <c r="D365" s="952">
        <v>21.2</v>
      </c>
      <c r="E365" s="62">
        <f t="shared" si="180"/>
        <v>65</v>
      </c>
      <c r="F365" s="956">
        <v>22.5</v>
      </c>
      <c r="G365" s="62">
        <f t="shared" si="177"/>
        <v>77</v>
      </c>
      <c r="H365" s="46">
        <f t="shared" si="178"/>
        <v>21.2</v>
      </c>
      <c r="I365" s="228">
        <v>12.1</v>
      </c>
      <c r="J365" s="228"/>
      <c r="K365" s="23"/>
      <c r="L365" s="23"/>
      <c r="M365" s="855">
        <v>2001</v>
      </c>
      <c r="N365" s="230">
        <v>2900</v>
      </c>
      <c r="O365" s="44">
        <f t="shared" si="185"/>
        <v>3.5714285714285712E-2</v>
      </c>
      <c r="T365" s="855">
        <v>2001</v>
      </c>
      <c r="U365" s="1347">
        <v>2.6</v>
      </c>
      <c r="V365" s="92">
        <f t="shared" si="181"/>
        <v>34831.089506614509</v>
      </c>
      <c r="W365" s="130"/>
      <c r="X365">
        <f t="shared" si="179"/>
        <v>2001</v>
      </c>
      <c r="Y365" s="1471">
        <v>177.1</v>
      </c>
      <c r="Z365" s="1042">
        <v>2.8300000000000002E-2</v>
      </c>
      <c r="AA365" s="44">
        <f t="shared" si="182"/>
        <v>2.8455284552845562E-2</v>
      </c>
      <c r="AB365" s="1041"/>
      <c r="AC365">
        <f t="shared" si="183"/>
        <v>27</v>
      </c>
      <c r="AD365" s="556">
        <v>50.52</v>
      </c>
      <c r="AE365" s="556">
        <v>54.85</v>
      </c>
      <c r="AW365" s="3"/>
    </row>
    <row r="366" spans="3:49" ht="15.6">
      <c r="C366" s="62">
        <f t="shared" si="186"/>
        <v>78</v>
      </c>
      <c r="D366" s="952">
        <v>20.3</v>
      </c>
      <c r="E366" s="62">
        <f t="shared" si="180"/>
        <v>66</v>
      </c>
      <c r="F366" s="956">
        <v>21.7</v>
      </c>
      <c r="G366" s="62">
        <f t="shared" si="177"/>
        <v>78</v>
      </c>
      <c r="H366" s="46">
        <f t="shared" si="178"/>
        <v>20.3</v>
      </c>
      <c r="I366" s="228">
        <v>11.4</v>
      </c>
      <c r="J366" s="228"/>
      <c r="K366" s="23"/>
      <c r="L366" s="23"/>
      <c r="M366" s="855">
        <v>2002</v>
      </c>
      <c r="N366" s="230">
        <v>3000</v>
      </c>
      <c r="O366" s="44">
        <f t="shared" si="185"/>
        <v>3.4482758620689655E-2</v>
      </c>
      <c r="P366" s="22" t="s">
        <v>1010</v>
      </c>
      <c r="Q366" s="22"/>
      <c r="T366" s="855">
        <v>2002</v>
      </c>
      <c r="U366" s="1347">
        <v>1.4</v>
      </c>
      <c r="V366" s="92">
        <f t="shared" si="181"/>
        <v>35318.724759707111</v>
      </c>
      <c r="W366" s="130"/>
      <c r="X366">
        <f t="shared" si="179"/>
        <v>2002</v>
      </c>
      <c r="Y366" s="1472">
        <v>179.88</v>
      </c>
      <c r="Z366" s="1042">
        <v>1.5900000000000001E-2</v>
      </c>
      <c r="AA366" s="44">
        <f t="shared" si="182"/>
        <v>1.5697346132128746E-2</v>
      </c>
      <c r="AB366" s="1041"/>
      <c r="AC366">
        <f t="shared" si="183"/>
        <v>28</v>
      </c>
      <c r="AD366" s="556">
        <v>49.59</v>
      </c>
      <c r="AE366" s="556">
        <v>53.88</v>
      </c>
      <c r="AW366" s="3"/>
    </row>
    <row r="367" spans="3:49" ht="15.6">
      <c r="C367" s="62">
        <f t="shared" si="186"/>
        <v>79</v>
      </c>
      <c r="D367" s="952">
        <v>19.5</v>
      </c>
      <c r="E367" s="62">
        <f t="shared" si="180"/>
        <v>67</v>
      </c>
      <c r="F367" s="956">
        <v>20.8</v>
      </c>
      <c r="G367" s="62">
        <f t="shared" si="177"/>
        <v>79</v>
      </c>
      <c r="H367" s="46">
        <f t="shared" si="178"/>
        <v>19.5</v>
      </c>
      <c r="I367" s="228">
        <v>10.8</v>
      </c>
      <c r="J367" s="228"/>
      <c r="K367" s="23"/>
      <c r="L367" s="23"/>
      <c r="M367" s="855">
        <v>2003</v>
      </c>
      <c r="N367" s="417">
        <v>3050</v>
      </c>
      <c r="O367" s="44">
        <f t="shared" si="185"/>
        <v>1.6666666666666666E-2</v>
      </c>
      <c r="R367" s="417">
        <v>14000</v>
      </c>
      <c r="S367" s="92"/>
      <c r="T367" s="855">
        <v>2003</v>
      </c>
      <c r="U367" s="1347">
        <v>2.1</v>
      </c>
      <c r="V367" s="92">
        <f t="shared" si="181"/>
        <v>36060.417979660961</v>
      </c>
      <c r="W367" s="130"/>
      <c r="X367">
        <f t="shared" si="179"/>
        <v>2003</v>
      </c>
      <c r="Y367" s="1472">
        <v>183.96</v>
      </c>
      <c r="Z367" s="1042">
        <v>2.2700000000000001E-2</v>
      </c>
      <c r="AA367" s="44">
        <f t="shared" si="182"/>
        <v>2.2681787858572451E-2</v>
      </c>
      <c r="AB367" s="1041"/>
      <c r="AC367">
        <f t="shared" si="183"/>
        <v>29</v>
      </c>
      <c r="AD367" s="556">
        <v>48.67</v>
      </c>
      <c r="AE367" s="556">
        <v>52.92</v>
      </c>
      <c r="AW367" s="3"/>
    </row>
    <row r="368" spans="3:49" ht="15.6">
      <c r="C368" s="62">
        <f t="shared" si="186"/>
        <v>80</v>
      </c>
      <c r="D368" s="952">
        <v>18.7</v>
      </c>
      <c r="E368" s="62">
        <f t="shared" si="180"/>
        <v>68</v>
      </c>
      <c r="F368" s="956">
        <v>20</v>
      </c>
      <c r="G368" s="62">
        <f t="shared" si="177"/>
        <v>80</v>
      </c>
      <c r="H368" s="46">
        <f t="shared" si="178"/>
        <v>18.7</v>
      </c>
      <c r="I368" s="228">
        <v>10.199999999999999</v>
      </c>
      <c r="J368" s="228"/>
      <c r="K368" s="23"/>
      <c r="L368" s="23"/>
      <c r="M368" s="855">
        <v>2004</v>
      </c>
      <c r="N368" s="417">
        <v>3100</v>
      </c>
      <c r="O368" s="44">
        <f t="shared" si="185"/>
        <v>1.6393442622950821E-2</v>
      </c>
      <c r="R368" s="417">
        <v>14300</v>
      </c>
      <c r="S368" s="44">
        <f t="shared" ref="S368:S381" si="187">(+R368-R367)/R367</f>
        <v>2.1428571428571429E-2</v>
      </c>
      <c r="T368" s="855">
        <v>2004</v>
      </c>
      <c r="U368" s="1347">
        <v>2.7</v>
      </c>
      <c r="V368" s="92">
        <f t="shared" si="181"/>
        <v>37034.049265111804</v>
      </c>
      <c r="W368" s="130"/>
      <c r="X368">
        <f t="shared" si="179"/>
        <v>2004</v>
      </c>
      <c r="Y368" s="1471">
        <v>188.9</v>
      </c>
      <c r="Z368" s="1042">
        <v>2.6800000000000001E-2</v>
      </c>
      <c r="AA368" s="44">
        <f t="shared" si="182"/>
        <v>2.6853663839965198E-2</v>
      </c>
      <c r="AB368" s="1041"/>
      <c r="AC368">
        <f t="shared" si="183"/>
        <v>30</v>
      </c>
      <c r="AD368" s="556">
        <v>47.75</v>
      </c>
      <c r="AE368" s="556">
        <v>51.95</v>
      </c>
      <c r="AW368" s="3"/>
    </row>
    <row r="369" spans="2:49" ht="15.6">
      <c r="C369" s="62">
        <f t="shared" si="186"/>
        <v>81</v>
      </c>
      <c r="D369" s="952">
        <v>17.899999999999999</v>
      </c>
      <c r="E369" s="62">
        <f t="shared" si="180"/>
        <v>69</v>
      </c>
      <c r="F369" s="956">
        <v>19.100000000000001</v>
      </c>
      <c r="G369" s="62">
        <f t="shared" si="177"/>
        <v>81</v>
      </c>
      <c r="H369" s="46">
        <f t="shared" si="178"/>
        <v>17.899999999999999</v>
      </c>
      <c r="I369" s="228">
        <v>9.6999999999999993</v>
      </c>
      <c r="J369" s="228"/>
      <c r="K369" s="23"/>
      <c r="L369" s="23"/>
      <c r="M369" s="855">
        <v>2005</v>
      </c>
      <c r="N369" s="417">
        <v>3200</v>
      </c>
      <c r="O369" s="44">
        <f t="shared" si="185"/>
        <v>3.2258064516129031E-2</v>
      </c>
      <c r="R369" s="417">
        <v>14600</v>
      </c>
      <c r="S369" s="44">
        <f t="shared" si="187"/>
        <v>2.097902097902098E-2</v>
      </c>
      <c r="T369" s="855">
        <v>2005</v>
      </c>
      <c r="U369" s="1347">
        <v>4.0999999999999996</v>
      </c>
      <c r="V369" s="92">
        <f t="shared" si="181"/>
        <v>38552.445284981382</v>
      </c>
      <c r="W369" s="130"/>
      <c r="X369">
        <f t="shared" si="179"/>
        <v>2005</v>
      </c>
      <c r="Y369" s="1471">
        <v>195.3</v>
      </c>
      <c r="Z369" s="1042">
        <v>3.39E-2</v>
      </c>
      <c r="AA369" s="44">
        <f t="shared" si="182"/>
        <v>3.3880359978824805E-2</v>
      </c>
      <c r="AB369" s="1041"/>
      <c r="AC369">
        <f t="shared" si="183"/>
        <v>31</v>
      </c>
      <c r="AD369" s="556">
        <v>46.82</v>
      </c>
      <c r="AE369" s="556">
        <v>50.99</v>
      </c>
      <c r="AW369" s="3"/>
    </row>
    <row r="370" spans="2:49" ht="15.6">
      <c r="C370" s="62">
        <f t="shared" si="186"/>
        <v>82</v>
      </c>
      <c r="D370" s="952">
        <v>17.100000000000001</v>
      </c>
      <c r="E370" s="62">
        <f t="shared" si="180"/>
        <v>70</v>
      </c>
      <c r="F370" s="956">
        <v>18.3</v>
      </c>
      <c r="G370" s="62">
        <f t="shared" si="177"/>
        <v>82</v>
      </c>
      <c r="H370" s="46">
        <f t="shared" si="178"/>
        <v>17.100000000000001</v>
      </c>
      <c r="I370" s="228">
        <v>9.1</v>
      </c>
      <c r="J370" s="228"/>
      <c r="K370" s="23"/>
      <c r="L370" s="23"/>
      <c r="M370" s="855">
        <v>2006</v>
      </c>
      <c r="N370" s="417">
        <v>3300</v>
      </c>
      <c r="O370" s="44">
        <f t="shared" si="185"/>
        <v>3.125E-2</v>
      </c>
      <c r="P370" s="417">
        <v>5150</v>
      </c>
      <c r="Q370" s="44"/>
      <c r="R370" s="417">
        <v>15100</v>
      </c>
      <c r="S370" s="44">
        <f t="shared" si="187"/>
        <v>3.4246575342465752E-2</v>
      </c>
      <c r="T370" s="855">
        <v>2006</v>
      </c>
      <c r="U370" s="1347">
        <v>3.3</v>
      </c>
      <c r="V370" s="92">
        <f t="shared" si="181"/>
        <v>39824.675979385764</v>
      </c>
      <c r="W370" s="130"/>
      <c r="X370">
        <f t="shared" si="179"/>
        <v>2006</v>
      </c>
      <c r="Y370" s="1471">
        <v>201.6</v>
      </c>
      <c r="Z370" s="1042">
        <v>3.2400000000000005E-2</v>
      </c>
      <c r="AA370" s="44">
        <f t="shared" si="182"/>
        <v>3.2258064516128941E-2</v>
      </c>
      <c r="AB370" s="1041"/>
      <c r="AC370">
        <f t="shared" si="183"/>
        <v>32</v>
      </c>
      <c r="AD370" s="556">
        <v>45.9</v>
      </c>
      <c r="AE370" s="556">
        <v>50.03</v>
      </c>
      <c r="AW370" s="3"/>
    </row>
    <row r="371" spans="2:49" ht="15.6">
      <c r="C371" s="62">
        <f t="shared" si="186"/>
        <v>83</v>
      </c>
      <c r="D371" s="952">
        <v>16.3</v>
      </c>
      <c r="E371" s="62">
        <f t="shared" si="180"/>
        <v>71</v>
      </c>
      <c r="F371" s="956">
        <v>17.5</v>
      </c>
      <c r="G371" s="62">
        <f t="shared" si="177"/>
        <v>83</v>
      </c>
      <c r="H371" s="46">
        <f t="shared" si="178"/>
        <v>16.3</v>
      </c>
      <c r="I371" s="228">
        <v>8.6</v>
      </c>
      <c r="J371" s="228"/>
      <c r="K371" s="23"/>
      <c r="L371" s="23"/>
      <c r="M371" s="855">
        <v>2007</v>
      </c>
      <c r="N371" s="417">
        <v>3400</v>
      </c>
      <c r="O371" s="44">
        <f t="shared" si="185"/>
        <v>3.0303030303030304E-2</v>
      </c>
      <c r="P371" s="417">
        <v>5350</v>
      </c>
      <c r="Q371" s="44">
        <f t="shared" ref="Q371:Q381" si="188">(+P371-P370)/P370</f>
        <v>3.8834951456310676E-2</v>
      </c>
      <c r="R371" s="417">
        <v>15650</v>
      </c>
      <c r="S371" s="44">
        <f t="shared" si="187"/>
        <v>3.6423841059602648E-2</v>
      </c>
      <c r="T371" s="855">
        <v>2007</v>
      </c>
      <c r="U371" s="1347">
        <v>2.2999999999999998</v>
      </c>
      <c r="V371" s="92">
        <f t="shared" si="181"/>
        <v>40740.643526911634</v>
      </c>
      <c r="W371" s="130"/>
      <c r="X371">
        <f t="shared" si="179"/>
        <v>2007</v>
      </c>
      <c r="Y371" s="1471">
        <v>207.34200000000001</v>
      </c>
      <c r="Z371" s="1042">
        <v>2.8500000000000001E-2</v>
      </c>
      <c r="AA371" s="44">
        <f t="shared" si="182"/>
        <v>2.8482142857142949E-2</v>
      </c>
      <c r="AB371" s="1041"/>
      <c r="AC371">
        <f t="shared" si="183"/>
        <v>33</v>
      </c>
      <c r="AD371" s="556">
        <v>44.98</v>
      </c>
      <c r="AE371" s="556">
        <v>49.07</v>
      </c>
      <c r="AW371" s="3"/>
    </row>
    <row r="372" spans="2:49" ht="15.6">
      <c r="C372" s="62">
        <f t="shared" si="186"/>
        <v>84</v>
      </c>
      <c r="D372" s="952">
        <v>15.5</v>
      </c>
      <c r="E372" s="62">
        <f t="shared" si="180"/>
        <v>72</v>
      </c>
      <c r="F372" s="956">
        <v>16.7</v>
      </c>
      <c r="G372" s="62">
        <f t="shared" si="177"/>
        <v>84</v>
      </c>
      <c r="H372" s="46">
        <f t="shared" si="178"/>
        <v>15.5</v>
      </c>
      <c r="I372" s="228">
        <v>8.1</v>
      </c>
      <c r="J372" s="228"/>
      <c r="K372" s="23"/>
      <c r="L372" s="23"/>
      <c r="M372" s="855">
        <v>2008</v>
      </c>
      <c r="N372" s="417">
        <v>3500</v>
      </c>
      <c r="O372" s="44">
        <f t="shared" si="185"/>
        <v>2.9411764705882353E-2</v>
      </c>
      <c r="P372" s="417">
        <v>5450</v>
      </c>
      <c r="Q372" s="44">
        <f t="shared" si="188"/>
        <v>1.8691588785046728E-2</v>
      </c>
      <c r="R372" s="417">
        <v>16050</v>
      </c>
      <c r="S372" s="44">
        <f t="shared" si="187"/>
        <v>2.5559105431309903E-2</v>
      </c>
      <c r="T372" s="855">
        <v>2008</v>
      </c>
      <c r="U372" s="1347">
        <v>5.8</v>
      </c>
      <c r="V372" s="92">
        <f t="shared" si="181"/>
        <v>43103.600851472511</v>
      </c>
      <c r="W372" s="130"/>
      <c r="X372">
        <f t="shared" si="179"/>
        <v>2008</v>
      </c>
      <c r="Y372" s="1471">
        <v>215.303</v>
      </c>
      <c r="Z372" s="1042">
        <v>3.85E-2</v>
      </c>
      <c r="AA372" s="44">
        <f t="shared" si="182"/>
        <v>3.8395501152684856E-2</v>
      </c>
      <c r="AB372" s="1041"/>
      <c r="AC372">
        <f t="shared" si="183"/>
        <v>34</v>
      </c>
      <c r="AD372" s="556">
        <v>44.06</v>
      </c>
      <c r="AE372" s="556">
        <v>48.11</v>
      </c>
      <c r="AW372" s="3"/>
    </row>
    <row r="373" spans="2:49" ht="15.6">
      <c r="C373" s="62">
        <f t="shared" si="186"/>
        <v>85</v>
      </c>
      <c r="D373" s="952">
        <v>14.8</v>
      </c>
      <c r="E373" s="62">
        <f t="shared" si="180"/>
        <v>73</v>
      </c>
      <c r="F373" s="956">
        <v>16</v>
      </c>
      <c r="G373" s="62">
        <f t="shared" si="177"/>
        <v>85</v>
      </c>
      <c r="H373" s="46">
        <f t="shared" si="178"/>
        <v>14.8</v>
      </c>
      <c r="I373" s="228">
        <v>7.6</v>
      </c>
      <c r="J373" s="228"/>
      <c r="K373" s="23"/>
      <c r="L373" s="23"/>
      <c r="M373" s="855">
        <v>2009</v>
      </c>
      <c r="N373" s="417">
        <v>3650</v>
      </c>
      <c r="O373" s="44">
        <f t="shared" si="185"/>
        <v>4.2857142857142858E-2</v>
      </c>
      <c r="P373" s="417">
        <v>5700</v>
      </c>
      <c r="Q373" s="44">
        <f t="shared" si="188"/>
        <v>4.5871559633027525E-2</v>
      </c>
      <c r="R373" s="417">
        <v>16700</v>
      </c>
      <c r="S373" s="44">
        <f t="shared" si="187"/>
        <v>4.0498442367601244E-2</v>
      </c>
      <c r="T373" s="855">
        <v>2009</v>
      </c>
      <c r="U373" s="1347">
        <v>0</v>
      </c>
      <c r="V373" s="92">
        <f t="shared" si="181"/>
        <v>43103.600851472511</v>
      </c>
      <c r="W373" s="130"/>
      <c r="X373">
        <f t="shared" si="179"/>
        <v>2009</v>
      </c>
      <c r="Y373" s="1471">
        <v>214.53700000000001</v>
      </c>
      <c r="Z373" s="1042">
        <v>-3.4000000000000002E-3</v>
      </c>
      <c r="AA373" s="44">
        <f t="shared" si="182"/>
        <v>-3.5577767146764846E-3</v>
      </c>
      <c r="AB373" s="1041"/>
      <c r="AC373">
        <f t="shared" si="183"/>
        <v>35</v>
      </c>
      <c r="AD373" s="556">
        <v>43.14</v>
      </c>
      <c r="AE373" s="556">
        <v>47.16</v>
      </c>
      <c r="AW373" s="3"/>
    </row>
    <row r="374" spans="2:49" ht="15.6">
      <c r="C374" s="62">
        <f t="shared" si="186"/>
        <v>86</v>
      </c>
      <c r="D374" s="952">
        <v>14.1</v>
      </c>
      <c r="E374" s="62">
        <f t="shared" si="180"/>
        <v>74</v>
      </c>
      <c r="F374" s="956">
        <v>15.2</v>
      </c>
      <c r="G374" s="62">
        <f t="shared" si="177"/>
        <v>86</v>
      </c>
      <c r="H374" s="46">
        <f t="shared" si="178"/>
        <v>14.1</v>
      </c>
      <c r="I374" s="228">
        <v>7.1</v>
      </c>
      <c r="J374" s="228"/>
      <c r="K374" s="23"/>
      <c r="L374" s="23"/>
      <c r="M374" s="855">
        <v>2010</v>
      </c>
      <c r="N374" s="417">
        <v>3650</v>
      </c>
      <c r="O374" s="44">
        <f t="shared" si="185"/>
        <v>0</v>
      </c>
      <c r="P374" s="417">
        <v>5700</v>
      </c>
      <c r="Q374" s="44">
        <f t="shared" si="188"/>
        <v>0</v>
      </c>
      <c r="R374" s="417">
        <v>16750</v>
      </c>
      <c r="S374" s="44">
        <f t="shared" si="187"/>
        <v>2.9940119760479044E-3</v>
      </c>
      <c r="T374" s="855">
        <v>2010</v>
      </c>
      <c r="U374" s="1347">
        <v>0</v>
      </c>
      <c r="V374" s="92">
        <f t="shared" si="181"/>
        <v>43103.600851472511</v>
      </c>
      <c r="W374" s="130"/>
      <c r="X374">
        <f t="shared" si="179"/>
        <v>2010</v>
      </c>
      <c r="Y374" s="1471">
        <v>218.05600000000001</v>
      </c>
      <c r="Z374" s="1042">
        <v>1.6399999999999998E-2</v>
      </c>
      <c r="AA374" s="44">
        <f t="shared" si="182"/>
        <v>1.6402765024214963E-2</v>
      </c>
      <c r="AB374" s="1041"/>
      <c r="AC374">
        <f t="shared" si="183"/>
        <v>36</v>
      </c>
      <c r="AD374" s="556">
        <v>42.22</v>
      </c>
      <c r="AE374" s="556">
        <v>46.2</v>
      </c>
      <c r="AW374" s="3"/>
    </row>
    <row r="375" spans="2:49" ht="15.6">
      <c r="C375" s="62">
        <f t="shared" si="186"/>
        <v>87</v>
      </c>
      <c r="D375" s="952">
        <v>13.4</v>
      </c>
      <c r="E375" s="62">
        <f t="shared" si="180"/>
        <v>75</v>
      </c>
      <c r="F375" s="956">
        <v>14.5</v>
      </c>
      <c r="G375" s="62">
        <f t="shared" si="177"/>
        <v>87</v>
      </c>
      <c r="H375" s="46">
        <f t="shared" si="178"/>
        <v>13.4</v>
      </c>
      <c r="I375" s="228">
        <v>6.7</v>
      </c>
      <c r="J375" s="228"/>
      <c r="K375" s="23"/>
      <c r="L375" s="23"/>
      <c r="M375" s="855">
        <v>2011</v>
      </c>
      <c r="N375" s="417">
        <v>3700</v>
      </c>
      <c r="O375" s="44">
        <f t="shared" si="185"/>
        <v>1.3698630136986301E-2</v>
      </c>
      <c r="P375" s="417">
        <v>5800</v>
      </c>
      <c r="Q375" s="44">
        <f t="shared" si="188"/>
        <v>1.7543859649122806E-2</v>
      </c>
      <c r="R375" s="417">
        <v>17000</v>
      </c>
      <c r="S375" s="44">
        <f t="shared" si="187"/>
        <v>1.4925373134328358E-2</v>
      </c>
      <c r="T375" s="855">
        <v>2011</v>
      </c>
      <c r="U375" s="1347">
        <v>3.6</v>
      </c>
      <c r="V375" s="92">
        <f t="shared" si="181"/>
        <v>44655.330482125522</v>
      </c>
      <c r="W375" s="130"/>
      <c r="X375">
        <f t="shared" si="179"/>
        <v>2011</v>
      </c>
      <c r="Y375" s="1471">
        <v>224.93899999999999</v>
      </c>
      <c r="Z375" s="1042">
        <v>3.1600000000000003E-2</v>
      </c>
      <c r="AA375" s="44">
        <f t="shared" si="182"/>
        <v>3.1565285981582626E-2</v>
      </c>
      <c r="AB375" s="1041"/>
      <c r="AC375">
        <f t="shared" si="183"/>
        <v>37</v>
      </c>
      <c r="AD375" s="556">
        <v>41.3</v>
      </c>
      <c r="AE375" s="556">
        <v>45.25</v>
      </c>
      <c r="AW375" s="3"/>
    </row>
    <row r="376" spans="2:49" ht="15.6">
      <c r="C376" s="62">
        <f t="shared" si="186"/>
        <v>88</v>
      </c>
      <c r="D376" s="952">
        <v>12.7</v>
      </c>
      <c r="E376" s="62">
        <f t="shared" si="180"/>
        <v>76</v>
      </c>
      <c r="F376" s="956">
        <v>13.8</v>
      </c>
      <c r="G376" s="62">
        <f t="shared" si="177"/>
        <v>88</v>
      </c>
      <c r="H376" s="46">
        <f t="shared" si="178"/>
        <v>12.7</v>
      </c>
      <c r="I376" s="228">
        <v>6.3</v>
      </c>
      <c r="J376" s="228"/>
      <c r="K376" s="23"/>
      <c r="L376" s="23"/>
      <c r="M376" s="855">
        <v>2012</v>
      </c>
      <c r="N376" s="417">
        <v>3800</v>
      </c>
      <c r="O376" s="44">
        <f t="shared" si="185"/>
        <v>2.7027027027027029E-2</v>
      </c>
      <c r="P376" s="417">
        <v>5950</v>
      </c>
      <c r="Q376" s="44">
        <f t="shared" si="188"/>
        <v>2.5862068965517241E-2</v>
      </c>
      <c r="R376" s="417">
        <v>17400</v>
      </c>
      <c r="S376" s="44">
        <f t="shared" si="187"/>
        <v>2.3529411764705882E-2</v>
      </c>
      <c r="T376" s="855">
        <v>2012</v>
      </c>
      <c r="U376" s="1347">
        <v>1.7</v>
      </c>
      <c r="V376" s="92">
        <f t="shared" si="181"/>
        <v>45414.471100321651</v>
      </c>
      <c r="X376">
        <f t="shared" si="179"/>
        <v>2012</v>
      </c>
      <c r="Y376" s="1471">
        <v>229.59399999999999</v>
      </c>
      <c r="Z376" s="1042">
        <v>2.07E-2</v>
      </c>
      <c r="AA376" s="44">
        <f t="shared" si="182"/>
        <v>2.0694499397614471E-2</v>
      </c>
      <c r="AB376" s="1041"/>
      <c r="AC376">
        <f t="shared" si="183"/>
        <v>38</v>
      </c>
      <c r="AD376" s="556">
        <v>40.380000000000003</v>
      </c>
      <c r="AE376" s="556">
        <v>44.3</v>
      </c>
      <c r="AW376" s="3"/>
    </row>
    <row r="377" spans="2:49" ht="15.6">
      <c r="C377" s="62">
        <f t="shared" si="186"/>
        <v>89</v>
      </c>
      <c r="D377" s="952">
        <v>12</v>
      </c>
      <c r="E377" s="62">
        <f t="shared" si="180"/>
        <v>77</v>
      </c>
      <c r="F377" s="956">
        <v>13.1</v>
      </c>
      <c r="G377" s="62">
        <f t="shared" si="177"/>
        <v>89</v>
      </c>
      <c r="H377" s="46">
        <f t="shared" si="178"/>
        <v>12</v>
      </c>
      <c r="I377" s="228">
        <v>5.9</v>
      </c>
      <c r="J377" s="228"/>
      <c r="K377" s="23"/>
      <c r="L377" s="23"/>
      <c r="M377" s="855">
        <v>2013</v>
      </c>
      <c r="N377" s="417">
        <v>3900</v>
      </c>
      <c r="O377" s="44">
        <f t="shared" si="185"/>
        <v>2.6315789473684209E-2</v>
      </c>
      <c r="P377" s="417">
        <v>6100</v>
      </c>
      <c r="Q377" s="44">
        <f t="shared" si="188"/>
        <v>2.5210084033613446E-2</v>
      </c>
      <c r="R377" s="417">
        <v>17850</v>
      </c>
      <c r="S377" s="44">
        <f t="shared" si="187"/>
        <v>2.5862068965517241E-2</v>
      </c>
      <c r="T377" s="855">
        <v>2013</v>
      </c>
      <c r="U377" s="1347">
        <v>1.7</v>
      </c>
      <c r="V377" s="92">
        <f t="shared" si="181"/>
        <v>46186.517109027118</v>
      </c>
      <c r="X377">
        <f t="shared" si="179"/>
        <v>2013</v>
      </c>
      <c r="Y377" s="1471">
        <v>232.95699999999999</v>
      </c>
      <c r="Z377" s="1042">
        <v>1.47E-2</v>
      </c>
      <c r="AA377" s="44">
        <f t="shared" si="182"/>
        <v>1.4647595320435202E-2</v>
      </c>
      <c r="AB377" s="1041"/>
      <c r="AC377">
        <f t="shared" si="183"/>
        <v>39</v>
      </c>
      <c r="AD377" s="556">
        <v>39.46</v>
      </c>
      <c r="AE377" s="556">
        <v>43.35</v>
      </c>
      <c r="AW377" s="3"/>
    </row>
    <row r="378" spans="2:49" ht="15.6">
      <c r="B378" s="3"/>
      <c r="C378" s="62">
        <f t="shared" si="186"/>
        <v>90</v>
      </c>
      <c r="D378" s="952">
        <v>11.4</v>
      </c>
      <c r="E378" s="62">
        <f t="shared" si="180"/>
        <v>78</v>
      </c>
      <c r="F378" s="956">
        <v>12.4</v>
      </c>
      <c r="G378" s="62">
        <f t="shared" si="177"/>
        <v>90</v>
      </c>
      <c r="H378" s="46">
        <f t="shared" si="178"/>
        <v>11.4</v>
      </c>
      <c r="I378" s="228">
        <v>5.5</v>
      </c>
      <c r="J378" s="228"/>
      <c r="K378" s="23"/>
      <c r="L378" s="23"/>
      <c r="M378" s="855">
        <v>2014</v>
      </c>
      <c r="N378" s="417">
        <v>3950</v>
      </c>
      <c r="O378" s="44">
        <f t="shared" si="185"/>
        <v>1.282051282051282E-2</v>
      </c>
      <c r="P378" s="417">
        <v>6200</v>
      </c>
      <c r="Q378" s="44">
        <f t="shared" si="188"/>
        <v>1.6393442622950821E-2</v>
      </c>
      <c r="R378" s="417">
        <v>18150</v>
      </c>
      <c r="S378" s="44">
        <f t="shared" si="187"/>
        <v>1.680672268907563E-2</v>
      </c>
      <c r="T378" s="855">
        <v>2014</v>
      </c>
      <c r="U378" s="1347">
        <v>1.5</v>
      </c>
      <c r="V378" s="92">
        <f t="shared" si="181"/>
        <v>46879.31486566252</v>
      </c>
      <c r="X378">
        <f t="shared" si="179"/>
        <v>2014</v>
      </c>
      <c r="Y378" s="1471">
        <v>236.73599999999999</v>
      </c>
      <c r="Z378" s="1042">
        <v>1.6200000000000003E-2</v>
      </c>
      <c r="AA378" s="44">
        <f t="shared" si="182"/>
        <v>1.6221877857286952E-2</v>
      </c>
      <c r="AB378" s="1041"/>
      <c r="AC378">
        <f t="shared" si="183"/>
        <v>40</v>
      </c>
      <c r="AD378" s="556">
        <v>38.54</v>
      </c>
      <c r="AE378" s="556">
        <v>42.41</v>
      </c>
      <c r="AL378" s="31"/>
      <c r="AW378" s="3"/>
    </row>
    <row r="379" spans="2:49" ht="15.6">
      <c r="B379" s="524"/>
      <c r="C379" s="62">
        <f t="shared" si="186"/>
        <v>91</v>
      </c>
      <c r="D379" s="952">
        <v>10.8</v>
      </c>
      <c r="E379" s="62">
        <f t="shared" si="180"/>
        <v>79</v>
      </c>
      <c r="F379" s="956">
        <v>11.8</v>
      </c>
      <c r="G379" s="62">
        <f t="shared" si="177"/>
        <v>91</v>
      </c>
      <c r="H379" s="46">
        <f t="shared" si="178"/>
        <v>10.8</v>
      </c>
      <c r="I379" s="228">
        <v>5.2</v>
      </c>
      <c r="J379" s="228"/>
      <c r="K379" s="23"/>
      <c r="L379" s="23"/>
      <c r="M379" s="855">
        <v>2015</v>
      </c>
      <c r="N379" s="417">
        <v>4000</v>
      </c>
      <c r="O379" s="44">
        <f t="shared" si="185"/>
        <v>1.2658227848101266E-2</v>
      </c>
      <c r="P379" s="417">
        <v>6300</v>
      </c>
      <c r="Q379" s="44">
        <f t="shared" si="188"/>
        <v>1.6129032258064516E-2</v>
      </c>
      <c r="R379" s="417">
        <v>18450</v>
      </c>
      <c r="S379" s="44">
        <f t="shared" si="187"/>
        <v>1.6528925619834711E-2</v>
      </c>
      <c r="T379" s="855">
        <v>2015</v>
      </c>
      <c r="U379" s="1347">
        <v>1.7</v>
      </c>
      <c r="V379" s="92">
        <f t="shared" si="181"/>
        <v>47676.263218378779</v>
      </c>
      <c r="X379">
        <f t="shared" si="179"/>
        <v>2015</v>
      </c>
      <c r="Y379" s="1471">
        <v>237.017</v>
      </c>
      <c r="Z379" s="1042">
        <v>1.1999999999999999E-3</v>
      </c>
      <c r="AA379" s="44">
        <f t="shared" si="182"/>
        <v>1.1869762097864538E-3</v>
      </c>
      <c r="AB379" s="1041"/>
      <c r="AC379">
        <f t="shared" si="183"/>
        <v>41</v>
      </c>
      <c r="AD379" s="556">
        <v>37.630000000000003</v>
      </c>
      <c r="AE379" s="556">
        <v>41.46</v>
      </c>
      <c r="AL379" s="31"/>
      <c r="AW379" s="3"/>
    </row>
    <row r="380" spans="2:49" ht="15.6">
      <c r="C380" s="62">
        <f t="shared" si="186"/>
        <v>92</v>
      </c>
      <c r="D380" s="952">
        <v>10.199999999999999</v>
      </c>
      <c r="E380" s="62">
        <f t="shared" si="180"/>
        <v>80</v>
      </c>
      <c r="F380" s="956">
        <v>11.2</v>
      </c>
      <c r="G380" s="62">
        <f t="shared" si="177"/>
        <v>92</v>
      </c>
      <c r="H380" s="46">
        <f t="shared" si="178"/>
        <v>10.199999999999999</v>
      </c>
      <c r="I380" s="228">
        <v>4.9000000000000004</v>
      </c>
      <c r="J380" s="228"/>
      <c r="K380" s="23"/>
      <c r="L380" s="23"/>
      <c r="M380" s="855">
        <v>2016</v>
      </c>
      <c r="N380" s="417">
        <v>4050</v>
      </c>
      <c r="O380" s="44">
        <f t="shared" si="185"/>
        <v>1.2500000000000001E-2</v>
      </c>
      <c r="P380" s="417">
        <v>6300</v>
      </c>
      <c r="Q380" s="44">
        <f t="shared" si="188"/>
        <v>0</v>
      </c>
      <c r="R380" s="417">
        <v>18550</v>
      </c>
      <c r="S380" s="44">
        <f t="shared" si="187"/>
        <v>5.4200542005420054E-3</v>
      </c>
      <c r="T380" s="855">
        <v>2016</v>
      </c>
      <c r="U380" s="1347">
        <v>0</v>
      </c>
      <c r="V380" s="92">
        <f t="shared" si="181"/>
        <v>47676.263218378779</v>
      </c>
      <c r="X380">
        <f t="shared" si="179"/>
        <v>2016</v>
      </c>
      <c r="Y380" s="1471">
        <v>240.00800000000001</v>
      </c>
      <c r="Z380" s="1042">
        <v>1.26E-2</v>
      </c>
      <c r="AA380" s="44">
        <f>(Y380-Y379)/Y379</f>
        <v>1.261934797925893E-2</v>
      </c>
      <c r="AC380">
        <f t="shared" si="183"/>
        <v>42</v>
      </c>
      <c r="AD380" s="556">
        <v>36.72</v>
      </c>
      <c r="AE380" s="556">
        <v>40.520000000000003</v>
      </c>
      <c r="AL380" s="31"/>
      <c r="AW380" s="3"/>
    </row>
    <row r="381" spans="2:49" ht="15.6">
      <c r="C381" s="62">
        <f t="shared" si="186"/>
        <v>93</v>
      </c>
      <c r="D381" s="952">
        <v>9.6</v>
      </c>
      <c r="E381" s="62">
        <f t="shared" si="180"/>
        <v>81</v>
      </c>
      <c r="F381" s="956">
        <v>10.6</v>
      </c>
      <c r="G381" s="62">
        <f t="shared" si="177"/>
        <v>93</v>
      </c>
      <c r="H381" s="46">
        <f t="shared" si="178"/>
        <v>9.6</v>
      </c>
      <c r="I381" s="228">
        <v>4.5999999999999996</v>
      </c>
      <c r="J381" s="228"/>
      <c r="K381" s="23"/>
      <c r="L381" s="23"/>
      <c r="M381" s="855">
        <v>2017</v>
      </c>
      <c r="N381" s="417">
        <v>4050</v>
      </c>
      <c r="O381" s="44">
        <f t="shared" si="185"/>
        <v>0</v>
      </c>
      <c r="P381" s="417">
        <v>6350</v>
      </c>
      <c r="Q381" s="44">
        <f t="shared" si="188"/>
        <v>7.9365079365079361E-3</v>
      </c>
      <c r="R381" s="417">
        <v>18650</v>
      </c>
      <c r="S381" s="44">
        <f t="shared" si="187"/>
        <v>5.3908355795148251E-3</v>
      </c>
      <c r="T381" s="855">
        <v>2017</v>
      </c>
      <c r="U381" s="1347">
        <v>0.3</v>
      </c>
      <c r="V381" s="92">
        <f t="shared" si="181"/>
        <v>47819.29200803391</v>
      </c>
      <c r="X381">
        <f t="shared" si="179"/>
        <v>2017</v>
      </c>
      <c r="Y381" s="1473">
        <v>245.12</v>
      </c>
      <c r="Z381" s="1385">
        <v>2.1299999999999999E-2</v>
      </c>
      <c r="AA381" s="44">
        <f>(Y381-Y380)/Y380</f>
        <v>2.1299290023665856E-2</v>
      </c>
      <c r="AC381">
        <f t="shared" si="183"/>
        <v>43</v>
      </c>
      <c r="AD381" s="556">
        <v>35.81</v>
      </c>
      <c r="AE381" s="556">
        <v>39.590000000000003</v>
      </c>
      <c r="AL381" s="31"/>
      <c r="AW381" s="3"/>
    </row>
    <row r="382" spans="2:49" ht="15.6">
      <c r="C382" s="62">
        <f t="shared" si="186"/>
        <v>94</v>
      </c>
      <c r="D382" s="952">
        <v>9.1</v>
      </c>
      <c r="E382" s="62">
        <f t="shared" si="180"/>
        <v>82</v>
      </c>
      <c r="F382" s="956">
        <v>10</v>
      </c>
      <c r="G382" s="62">
        <f t="shared" si="177"/>
        <v>94</v>
      </c>
      <c r="H382" s="46">
        <f t="shared" si="178"/>
        <v>9.1</v>
      </c>
      <c r="I382" s="228">
        <v>4.3</v>
      </c>
      <c r="J382" s="228"/>
      <c r="K382" s="23"/>
      <c r="L382" s="23"/>
      <c r="M382" s="855">
        <v>2018</v>
      </c>
      <c r="N382" s="417">
        <v>0</v>
      </c>
      <c r="O382" s="44"/>
      <c r="P382" s="417">
        <v>12000</v>
      </c>
      <c r="Q382" s="44"/>
      <c r="R382" s="417">
        <v>19050</v>
      </c>
      <c r="S382" s="44"/>
      <c r="T382" s="855">
        <v>2018</v>
      </c>
      <c r="U382" s="1347">
        <v>2</v>
      </c>
      <c r="V382" s="92">
        <f t="shared" si="181"/>
        <v>48775.677848194588</v>
      </c>
      <c r="X382">
        <f>+T382</f>
        <v>2018</v>
      </c>
      <c r="Y382" s="1473">
        <v>251.107</v>
      </c>
      <c r="Z382" s="1385">
        <v>2.4400000000000002E-2</v>
      </c>
      <c r="AA382" s="44">
        <f>(Y382-Y381)/Y381</f>
        <v>2.4424771540469951E-2</v>
      </c>
      <c r="AC382">
        <f t="shared" si="183"/>
        <v>44</v>
      </c>
      <c r="AD382" s="556">
        <v>34.9</v>
      </c>
      <c r="AE382" s="556">
        <v>38.65</v>
      </c>
      <c r="AL382" s="31"/>
      <c r="AW382" s="3"/>
    </row>
    <row r="383" spans="2:49" ht="15.6">
      <c r="C383" s="62">
        <f t="shared" si="186"/>
        <v>95</v>
      </c>
      <c r="D383" s="952">
        <v>8.6</v>
      </c>
      <c r="E383" s="62">
        <f t="shared" si="180"/>
        <v>83</v>
      </c>
      <c r="F383" s="956">
        <v>9.4</v>
      </c>
      <c r="G383" s="62">
        <f t="shared" si="177"/>
        <v>95</v>
      </c>
      <c r="H383" s="46">
        <f t="shared" si="178"/>
        <v>8.6</v>
      </c>
      <c r="I383" s="228">
        <v>4.0999999999999996</v>
      </c>
      <c r="J383" s="23"/>
      <c r="K383" s="23"/>
      <c r="L383" s="23"/>
      <c r="M383" s="855">
        <v>2019</v>
      </c>
      <c r="N383" s="417">
        <v>0</v>
      </c>
      <c r="O383" s="44"/>
      <c r="P383" s="417">
        <v>12200</v>
      </c>
      <c r="Q383" s="44"/>
      <c r="R383" s="417">
        <v>16400</v>
      </c>
      <c r="S383" s="44"/>
      <c r="T383" s="855">
        <v>2019</v>
      </c>
      <c r="U383" s="1347">
        <v>2.8</v>
      </c>
      <c r="V383" s="92">
        <f>+V382*(1+U383/100)</f>
        <v>50141.396827944038</v>
      </c>
      <c r="AC383">
        <f t="shared" si="183"/>
        <v>45</v>
      </c>
      <c r="AD383" s="556">
        <v>34</v>
      </c>
      <c r="AE383" s="556">
        <v>37.72</v>
      </c>
      <c r="AL383" s="31"/>
      <c r="AW383" s="3"/>
    </row>
    <row r="384" spans="2:49" ht="15.6">
      <c r="C384" s="62">
        <f t="shared" si="186"/>
        <v>96</v>
      </c>
      <c r="D384" s="952">
        <v>8.1</v>
      </c>
      <c r="E384" s="62">
        <f t="shared" si="180"/>
        <v>84</v>
      </c>
      <c r="F384" s="956">
        <v>8.9</v>
      </c>
      <c r="G384" s="62">
        <f t="shared" si="177"/>
        <v>96</v>
      </c>
      <c r="H384" s="46">
        <f t="shared" si="178"/>
        <v>8.1</v>
      </c>
      <c r="I384" s="228">
        <v>3.8</v>
      </c>
      <c r="J384" s="23"/>
      <c r="K384" s="23"/>
      <c r="L384" s="23"/>
      <c r="M384" s="683" t="s">
        <v>346</v>
      </c>
      <c r="N384">
        <f>COUNT(N$367:N381)</f>
        <v>15</v>
      </c>
      <c r="P384" s="732">
        <f>COUNT(P$370:P381)</f>
        <v>12</v>
      </c>
      <c r="Q384" s="460"/>
      <c r="R384">
        <f>COUNT(R$367:R381)</f>
        <v>15</v>
      </c>
      <c r="T384" s="732">
        <f>COUNT(U$354:U383)</f>
        <v>30</v>
      </c>
      <c r="U384" s="165">
        <f>SUM(U$354:U383)</f>
        <v>72.000000000000014</v>
      </c>
      <c r="V384" s="1023">
        <f>+U384/T384/100</f>
        <v>2.4000000000000004E-2</v>
      </c>
      <c r="X384" t="s">
        <v>1325</v>
      </c>
      <c r="Y384">
        <f>COUNT(Z$353:Z382)</f>
        <v>30</v>
      </c>
      <c r="Z384" s="1043">
        <f>SUM(Z$353:Z382)</f>
        <v>0.76539999999999997</v>
      </c>
      <c r="AA384" s="1023">
        <f>+Z384/Y384</f>
        <v>2.5513333333333332E-2</v>
      </c>
      <c r="AC384">
        <f t="shared" si="183"/>
        <v>46</v>
      </c>
      <c r="AD384" s="556">
        <v>33.11</v>
      </c>
      <c r="AE384" s="556">
        <v>36.799999999999997</v>
      </c>
      <c r="AL384" s="31"/>
      <c r="AW384" s="3"/>
    </row>
    <row r="385" spans="3:38" ht="15.6">
      <c r="C385" s="62">
        <f t="shared" si="186"/>
        <v>97</v>
      </c>
      <c r="D385" s="952">
        <v>7.6</v>
      </c>
      <c r="E385" s="62">
        <f t="shared" si="180"/>
        <v>85</v>
      </c>
      <c r="F385" s="956">
        <v>8.4</v>
      </c>
      <c r="G385" s="62">
        <f t="shared" si="177"/>
        <v>97</v>
      </c>
      <c r="H385" s="46">
        <f t="shared" si="178"/>
        <v>7.6</v>
      </c>
      <c r="I385" s="228">
        <v>3.6</v>
      </c>
      <c r="J385" s="146"/>
      <c r="M385" s="683" t="s">
        <v>456</v>
      </c>
      <c r="N385" s="1"/>
      <c r="O385" s="1112">
        <f>(N381-N$367)/N$367/N384</f>
        <v>2.185792349726776E-2</v>
      </c>
      <c r="P385" s="732"/>
      <c r="Q385" s="1112">
        <f>(P381-P$370)/P$370/P384</f>
        <v>1.9417475728155342E-2</v>
      </c>
      <c r="R385" s="732"/>
      <c r="S385" s="1345">
        <f>(R381-R$367)/R$367/R384</f>
        <v>2.2142857142857141E-2</v>
      </c>
      <c r="T385" s="732">
        <f>COUNT(U$364:U383)</f>
        <v>20</v>
      </c>
      <c r="U385" s="165">
        <f>SUM(U$364:U383)</f>
        <v>43.1</v>
      </c>
      <c r="V385" s="1023">
        <f>+U385/T385/100</f>
        <v>2.1550000000000003E-2</v>
      </c>
      <c r="X385" t="s">
        <v>1326</v>
      </c>
      <c r="Y385">
        <f>COUNT(Z$363:Z382)</f>
        <v>20</v>
      </c>
      <c r="Z385" s="1043">
        <f>SUM(Z$363:Z382)</f>
        <v>0.4383999999999999</v>
      </c>
      <c r="AA385" s="1023">
        <f>+Z385/Y385</f>
        <v>2.1919999999999995E-2</v>
      </c>
      <c r="AC385">
        <f t="shared" si="183"/>
        <v>47</v>
      </c>
      <c r="AD385" s="556">
        <v>32.22</v>
      </c>
      <c r="AE385" s="556">
        <v>35.880000000000003</v>
      </c>
    </row>
    <row r="386" spans="3:38" s="3" customFormat="1" ht="15.6">
      <c r="C386" s="62">
        <f t="shared" si="186"/>
        <v>98</v>
      </c>
      <c r="D386" s="952">
        <v>7.1</v>
      </c>
      <c r="E386" s="62">
        <f t="shared" si="180"/>
        <v>86</v>
      </c>
      <c r="F386" s="956">
        <v>7.9</v>
      </c>
      <c r="G386" s="62">
        <f t="shared" si="177"/>
        <v>98</v>
      </c>
      <c r="H386" s="46">
        <f t="shared" si="178"/>
        <v>7.1</v>
      </c>
      <c r="I386" s="228">
        <v>3.4</v>
      </c>
      <c r="M386"/>
      <c r="N386" s="139"/>
      <c r="O386" s="139"/>
      <c r="P386" s="1113"/>
      <c r="Q386" s="139"/>
      <c r="R386" s="1113"/>
      <c r="S386" s="1114"/>
      <c r="T386">
        <f>COUNT(U$374:U383)</f>
        <v>10</v>
      </c>
      <c r="U386" s="165">
        <f>SUM(U$374:U383)</f>
        <v>15.3</v>
      </c>
      <c r="V386" s="1023">
        <f>+U386/T386/100</f>
        <v>1.5300000000000001E-2</v>
      </c>
      <c r="W386"/>
      <c r="X386" t="s">
        <v>1327</v>
      </c>
      <c r="Y386">
        <f>COUNT(Z$373:Z382)</f>
        <v>10</v>
      </c>
      <c r="Z386" s="1043">
        <f>SUM(Z$373:Z382)</f>
        <v>0.15570000000000003</v>
      </c>
      <c r="AA386" s="1023">
        <f>+Z386/Y386</f>
        <v>1.5570000000000004E-2</v>
      </c>
      <c r="AC386">
        <f t="shared" si="183"/>
        <v>48</v>
      </c>
      <c r="AD386" s="556">
        <v>31.34</v>
      </c>
      <c r="AE386" s="556">
        <v>34.96</v>
      </c>
      <c r="AL386" s="190"/>
    </row>
    <row r="387" spans="3:38" ht="15.6">
      <c r="C387" s="62">
        <f t="shared" si="186"/>
        <v>99</v>
      </c>
      <c r="D387" s="952">
        <v>6.7</v>
      </c>
      <c r="E387" s="62">
        <f t="shared" si="180"/>
        <v>87</v>
      </c>
      <c r="F387" s="956">
        <v>7.4</v>
      </c>
      <c r="G387" s="62">
        <f t="shared" si="177"/>
        <v>99</v>
      </c>
      <c r="H387" s="46">
        <f t="shared" si="178"/>
        <v>6.7</v>
      </c>
      <c r="I387" s="228">
        <v>3.1</v>
      </c>
      <c r="M387" s="3"/>
      <c r="N387" s="148" t="s">
        <v>736</v>
      </c>
      <c r="O387" s="109"/>
      <c r="P387" s="198" t="s">
        <v>897</v>
      </c>
      <c r="Q387" s="198"/>
      <c r="R387" s="198" t="s">
        <v>2141</v>
      </c>
      <c r="S387" s="198"/>
      <c r="T387" s="1022" t="s">
        <v>146</v>
      </c>
      <c r="U387" s="1022"/>
      <c r="V387" s="1022"/>
      <c r="W387" s="3"/>
      <c r="X387" s="3"/>
      <c r="Y387" s="1022" t="s">
        <v>2142</v>
      </c>
      <c r="Z387" s="1022"/>
      <c r="AA387" s="1022"/>
      <c r="AC387">
        <f t="shared" si="183"/>
        <v>49</v>
      </c>
      <c r="AD387" s="556">
        <v>30.46</v>
      </c>
      <c r="AE387" s="556">
        <v>34.06</v>
      </c>
      <c r="AL387" s="31"/>
    </row>
    <row r="388" spans="3:38" ht="15.6">
      <c r="C388" s="62">
        <f t="shared" si="186"/>
        <v>100</v>
      </c>
      <c r="D388" s="952">
        <v>6.3</v>
      </c>
      <c r="E388" s="62">
        <f t="shared" si="180"/>
        <v>88</v>
      </c>
      <c r="F388" s="956">
        <v>6.3</v>
      </c>
      <c r="G388" s="62">
        <f t="shared" si="177"/>
        <v>100</v>
      </c>
      <c r="H388" s="46">
        <f t="shared" si="178"/>
        <v>6.3</v>
      </c>
      <c r="I388" s="228">
        <v>2.9</v>
      </c>
      <c r="Z388" s="1635" t="s">
        <v>1763</v>
      </c>
      <c r="AA388" s="1635" t="s">
        <v>1329</v>
      </c>
      <c r="AC388">
        <f t="shared" si="183"/>
        <v>50</v>
      </c>
      <c r="AD388" s="556">
        <v>29.6</v>
      </c>
      <c r="AE388" s="556">
        <v>33.15</v>
      </c>
    </row>
    <row r="389" spans="3:38" ht="15.6">
      <c r="C389" s="62">
        <f t="shared" si="186"/>
        <v>101</v>
      </c>
      <c r="D389" s="952">
        <v>5.9</v>
      </c>
      <c r="E389" s="62">
        <f t="shared" si="180"/>
        <v>89</v>
      </c>
      <c r="F389" s="956">
        <v>5.9</v>
      </c>
      <c r="G389" s="62">
        <f t="shared" si="177"/>
        <v>101</v>
      </c>
      <c r="H389" s="46">
        <f t="shared" si="178"/>
        <v>5.9</v>
      </c>
      <c r="I389" s="228">
        <v>2.7</v>
      </c>
      <c r="Y389" s="1634" t="s">
        <v>1330</v>
      </c>
      <c r="Z389" s="1634" t="s">
        <v>1328</v>
      </c>
      <c r="AA389" s="1634" t="s">
        <v>1330</v>
      </c>
      <c r="AC389">
        <f t="shared" si="183"/>
        <v>51</v>
      </c>
      <c r="AD389" s="556">
        <v>28.75</v>
      </c>
      <c r="AE389" s="556">
        <v>32.26</v>
      </c>
    </row>
    <row r="390" spans="3:38" ht="15.6">
      <c r="C390" s="62">
        <f t="shared" si="186"/>
        <v>102</v>
      </c>
      <c r="D390" s="952">
        <v>5.5</v>
      </c>
      <c r="E390" s="62">
        <f t="shared" si="180"/>
        <v>90</v>
      </c>
      <c r="F390" s="956">
        <v>5.5</v>
      </c>
      <c r="G390" s="62">
        <f t="shared" si="177"/>
        <v>102</v>
      </c>
      <c r="H390" s="46">
        <f t="shared" si="178"/>
        <v>5.5</v>
      </c>
      <c r="I390" s="228">
        <v>2.5</v>
      </c>
      <c r="Y390" s="1634"/>
      <c r="Z390" s="1634"/>
      <c r="AA390" s="1634"/>
      <c r="AD390" s="556"/>
      <c r="AE390" s="556"/>
    </row>
    <row r="391" spans="3:38" ht="15.6">
      <c r="C391" s="62">
        <f t="shared" si="186"/>
        <v>103</v>
      </c>
      <c r="D391" s="952">
        <v>5.2</v>
      </c>
      <c r="E391" s="62">
        <f t="shared" si="180"/>
        <v>91</v>
      </c>
      <c r="F391" s="956"/>
      <c r="G391" s="62">
        <f t="shared" si="177"/>
        <v>103</v>
      </c>
      <c r="H391" s="46">
        <f t="shared" si="178"/>
        <v>5.2</v>
      </c>
      <c r="I391" s="228">
        <v>2.2999999999999998</v>
      </c>
      <c r="Y391" s="1634"/>
      <c r="Z391" s="1634"/>
      <c r="AA391" s="1634"/>
      <c r="AD391" s="556"/>
      <c r="AE391" s="556"/>
    </row>
    <row r="392" spans="3:38" ht="15.6">
      <c r="C392" s="62">
        <f t="shared" si="186"/>
        <v>104</v>
      </c>
      <c r="D392" s="952">
        <v>4.9000000000000004</v>
      </c>
      <c r="E392" s="62">
        <f t="shared" si="180"/>
        <v>92</v>
      </c>
      <c r="F392" s="956"/>
      <c r="G392" s="62">
        <f t="shared" si="177"/>
        <v>104</v>
      </c>
      <c r="H392" s="46">
        <f t="shared" si="178"/>
        <v>4.9000000000000004</v>
      </c>
      <c r="I392" s="228">
        <v>2.1</v>
      </c>
      <c r="Y392" s="1634"/>
      <c r="Z392" s="1634"/>
      <c r="AA392" s="1634"/>
      <c r="AD392" s="556"/>
      <c r="AE392" s="556"/>
    </row>
    <row r="393" spans="3:38" ht="15.6">
      <c r="C393" s="62">
        <f t="shared" si="186"/>
        <v>105</v>
      </c>
      <c r="D393" s="952">
        <v>4.5</v>
      </c>
      <c r="E393" s="62">
        <f t="shared" si="180"/>
        <v>93</v>
      </c>
      <c r="F393" s="956"/>
      <c r="G393" s="62">
        <f t="shared" si="177"/>
        <v>105</v>
      </c>
      <c r="H393" s="46">
        <f t="shared" si="178"/>
        <v>4.5</v>
      </c>
      <c r="I393" s="23">
        <v>1.9</v>
      </c>
      <c r="Y393" s="1634"/>
      <c r="Z393" s="1634"/>
      <c r="AA393" s="1634"/>
      <c r="AD393" s="556"/>
      <c r="AE393" s="556"/>
    </row>
    <row r="394" spans="3:38" ht="15.6">
      <c r="C394" s="62">
        <f t="shared" si="186"/>
        <v>106</v>
      </c>
      <c r="D394" s="952">
        <v>4.2</v>
      </c>
      <c r="E394" s="62">
        <f t="shared" si="180"/>
        <v>94</v>
      </c>
      <c r="F394" s="956"/>
      <c r="G394" s="62">
        <f t="shared" si="177"/>
        <v>106</v>
      </c>
      <c r="H394" s="46">
        <f t="shared" si="178"/>
        <v>4.2</v>
      </c>
      <c r="I394" s="23">
        <v>1.7</v>
      </c>
      <c r="Y394" s="1634"/>
      <c r="Z394" s="1634"/>
      <c r="AA394" s="1634"/>
      <c r="AD394" s="556"/>
      <c r="AE394" s="556"/>
    </row>
    <row r="395" spans="3:38" ht="15.6">
      <c r="C395" s="62">
        <f t="shared" si="186"/>
        <v>107</v>
      </c>
      <c r="D395" s="952">
        <v>3.9</v>
      </c>
      <c r="E395" s="62">
        <f t="shared" si="180"/>
        <v>95</v>
      </c>
      <c r="F395" s="956"/>
      <c r="G395" s="62">
        <f t="shared" si="177"/>
        <v>107</v>
      </c>
      <c r="H395" s="46">
        <f t="shared" si="178"/>
        <v>3.9</v>
      </c>
      <c r="I395" s="23">
        <v>1.5</v>
      </c>
      <c r="Y395" s="1634"/>
      <c r="Z395" s="1634"/>
      <c r="AA395" s="1634"/>
      <c r="AD395" s="556"/>
      <c r="AE395" s="556"/>
    </row>
    <row r="396" spans="3:38" ht="15.6">
      <c r="C396" s="62">
        <f t="shared" si="186"/>
        <v>108</v>
      </c>
      <c r="D396" s="952">
        <v>3.7</v>
      </c>
      <c r="E396" s="62">
        <f t="shared" si="180"/>
        <v>96</v>
      </c>
      <c r="F396" s="956"/>
      <c r="G396" s="62">
        <f t="shared" si="177"/>
        <v>108</v>
      </c>
      <c r="H396" s="46">
        <f t="shared" si="178"/>
        <v>3.7</v>
      </c>
      <c r="I396" s="23">
        <v>1.4</v>
      </c>
      <c r="Y396" s="1634"/>
      <c r="Z396" s="1634"/>
      <c r="AA396" s="1634"/>
      <c r="AD396" s="556"/>
      <c r="AE396" s="556"/>
    </row>
    <row r="397" spans="3:38" ht="15.6">
      <c r="C397" s="62">
        <f t="shared" si="186"/>
        <v>109</v>
      </c>
      <c r="D397" s="952">
        <v>3.4</v>
      </c>
      <c r="E397" s="62">
        <f t="shared" si="180"/>
        <v>97</v>
      </c>
      <c r="F397" s="956"/>
      <c r="G397" s="62">
        <f t="shared" si="177"/>
        <v>109</v>
      </c>
      <c r="H397" s="46">
        <f t="shared" si="178"/>
        <v>3.4</v>
      </c>
      <c r="I397" s="23">
        <v>1.2</v>
      </c>
      <c r="Y397" s="1634"/>
      <c r="Z397" s="1634"/>
      <c r="AA397" s="1634"/>
      <c r="AD397" s="556"/>
      <c r="AE397" s="556"/>
    </row>
    <row r="398" spans="3:38" ht="15.6">
      <c r="C398" s="62">
        <f t="shared" si="186"/>
        <v>110</v>
      </c>
      <c r="D398" s="952">
        <v>3.1</v>
      </c>
      <c r="E398" s="62">
        <f t="shared" si="180"/>
        <v>98</v>
      </c>
      <c r="F398" s="956"/>
      <c r="G398" s="62">
        <f t="shared" si="177"/>
        <v>110</v>
      </c>
      <c r="H398" s="46">
        <f t="shared" si="178"/>
        <v>3.1</v>
      </c>
      <c r="I398" s="23">
        <v>1.1000000000000001</v>
      </c>
      <c r="Y398" s="1634"/>
      <c r="Z398" s="1634"/>
      <c r="AA398" s="1634"/>
      <c r="AD398" s="556"/>
      <c r="AE398" s="556"/>
    </row>
    <row r="399" spans="3:38" ht="15.6">
      <c r="C399" s="231"/>
      <c r="Y399" s="1634"/>
      <c r="Z399" s="1634"/>
      <c r="AA399" s="1634"/>
      <c r="AD399" s="556"/>
      <c r="AE399" s="556"/>
    </row>
    <row r="400" spans="3:38" ht="15.6">
      <c r="C400" s="231"/>
      <c r="AC400">
        <f>+AC389+1</f>
        <v>52</v>
      </c>
      <c r="AD400" s="556">
        <v>27.9</v>
      </c>
      <c r="AE400" s="556">
        <v>31.37</v>
      </c>
    </row>
    <row r="401" spans="3:31" ht="15.6">
      <c r="C401" s="231"/>
      <c r="T401" s="1513" t="s">
        <v>1972</v>
      </c>
      <c r="AC401">
        <f t="shared" si="183"/>
        <v>53</v>
      </c>
      <c r="AD401" s="556">
        <v>27.07</v>
      </c>
      <c r="AE401" s="556">
        <v>30.49</v>
      </c>
    </row>
    <row r="402" spans="3:31" ht="18" thickBot="1">
      <c r="C402" s="1027" t="s">
        <v>405</v>
      </c>
      <c r="D402" s="426"/>
      <c r="E402" s="426"/>
      <c r="J402" s="22" t="s">
        <v>1890</v>
      </c>
      <c r="P402" s="22" t="s">
        <v>1920</v>
      </c>
      <c r="T402" s="1642" t="s">
        <v>1973</v>
      </c>
      <c r="V402" s="25" t="s">
        <v>526</v>
      </c>
      <c r="W402" s="32"/>
      <c r="X402" s="32"/>
      <c r="AA402" s="414" t="s">
        <v>33</v>
      </c>
      <c r="AC402">
        <f t="shared" si="183"/>
        <v>54</v>
      </c>
      <c r="AD402" s="556">
        <v>26.25</v>
      </c>
      <c r="AE402" s="556">
        <v>29.61</v>
      </c>
    </row>
    <row r="403" spans="3:31" ht="15.6">
      <c r="E403" s="52"/>
      <c r="F403" s="205" t="s">
        <v>2140</v>
      </c>
      <c r="G403" s="1514">
        <f>+Tax_Calc_Year</f>
        <v>2018</v>
      </c>
      <c r="J403" s="292" t="s">
        <v>1000</v>
      </c>
      <c r="N403" s="31">
        <f>+H426</f>
        <v>120750</v>
      </c>
      <c r="P403" s="1499" t="s">
        <v>1922</v>
      </c>
      <c r="S403" s="31">
        <f>+Setup!U199</f>
        <v>1000</v>
      </c>
      <c r="T403" s="1664">
        <f>+T404-1</f>
        <v>2018</v>
      </c>
      <c r="V403" s="418" t="s">
        <v>596</v>
      </c>
      <c r="W403" s="420"/>
      <c r="X403" s="420"/>
      <c r="Z403" s="8"/>
      <c r="AA403" s="31">
        <f>+Setup!$T$203</f>
        <v>35000</v>
      </c>
      <c r="AC403">
        <f t="shared" si="183"/>
        <v>55</v>
      </c>
      <c r="AD403" s="556">
        <v>25.43</v>
      </c>
      <c r="AE403" s="556">
        <v>28.74</v>
      </c>
    </row>
    <row r="404" spans="3:31" ht="15.6">
      <c r="C404" s="28" t="s">
        <v>71</v>
      </c>
      <c r="F404" s="205" t="s">
        <v>1917</v>
      </c>
      <c r="G404" s="24" t="str">
        <f>+TaxCalc_Status</f>
        <v>m</v>
      </c>
      <c r="H404" s="24" t="s">
        <v>302</v>
      </c>
      <c r="J404" s="539" t="s">
        <v>1919</v>
      </c>
      <c r="M404" s="31">
        <f>+G409</f>
        <v>5000</v>
      </c>
      <c r="N404" s="31"/>
      <c r="P404" s="1499" t="s">
        <v>1921</v>
      </c>
      <c r="S404" s="38">
        <f>+Setup!$U$200</f>
        <v>4000</v>
      </c>
      <c r="T404" s="1664">
        <f>Tax_Rates_Year</f>
        <v>2019</v>
      </c>
      <c r="V404" s="419" t="s">
        <v>599</v>
      </c>
      <c r="W404" s="420"/>
      <c r="X404" s="3"/>
      <c r="AA404" s="31">
        <f>+AA403*0.5</f>
        <v>17500</v>
      </c>
      <c r="AC404">
        <f t="shared" si="183"/>
        <v>56</v>
      </c>
      <c r="AD404" s="556">
        <v>24.63</v>
      </c>
      <c r="AE404" s="556">
        <v>27.88</v>
      </c>
    </row>
    <row r="405" spans="3:31">
      <c r="C405" s="415" t="s">
        <v>892</v>
      </c>
      <c r="D405" s="32"/>
      <c r="E405" s="32"/>
      <c r="F405">
        <v>7</v>
      </c>
      <c r="H405" s="31">
        <f>+Setup!U193</f>
        <v>50000</v>
      </c>
      <c r="J405" t="s">
        <v>1731</v>
      </c>
      <c r="P405" s="1499" t="s">
        <v>1923</v>
      </c>
      <c r="S405" s="31">
        <f>+S403+S404</f>
        <v>5000</v>
      </c>
      <c r="V405" s="419" t="s">
        <v>597</v>
      </c>
      <c r="W405" s="420"/>
      <c r="X405" s="420"/>
      <c r="Z405" s="935" t="s">
        <v>406</v>
      </c>
      <c r="AA405" s="31">
        <f>+Setup!U193+Setup!U194+Setup!T195+Setup!U196+Setup!U200+Setup!U199+Setup!U201+Setup!U202+Setup!U205</f>
        <v>135000</v>
      </c>
      <c r="AC405">
        <f t="shared" si="183"/>
        <v>57</v>
      </c>
      <c r="AD405" s="556">
        <v>23.83</v>
      </c>
      <c r="AE405" s="556">
        <v>27.02</v>
      </c>
    </row>
    <row r="406" spans="3:31">
      <c r="C406" s="415" t="s">
        <v>282</v>
      </c>
      <c r="D406" s="32"/>
      <c r="F406" s="8" t="s">
        <v>887</v>
      </c>
      <c r="G406" s="37"/>
      <c r="H406" s="31">
        <f>+Setup!U194</f>
        <v>3000</v>
      </c>
      <c r="J406" s="539" t="s">
        <v>1924</v>
      </c>
      <c r="M406" s="31">
        <f>IF(AND($S$404&lt;=$S$405,$S$404&gt;0),$S$404,$S$405)</f>
        <v>4000</v>
      </c>
      <c r="V406" s="419" t="s">
        <v>407</v>
      </c>
      <c r="W406" s="421"/>
      <c r="X406" s="421"/>
      <c r="Z406" t="s">
        <v>408</v>
      </c>
      <c r="AA406" s="31">
        <f>+AA404+AA405</f>
        <v>152500</v>
      </c>
      <c r="AC406">
        <f t="shared" si="183"/>
        <v>58</v>
      </c>
      <c r="AD406" s="556">
        <v>23.05</v>
      </c>
      <c r="AE406" s="556">
        <v>26.17</v>
      </c>
    </row>
    <row r="407" spans="3:31" ht="15.6">
      <c r="C407" s="415" t="s">
        <v>20</v>
      </c>
      <c r="F407" s="8" t="s">
        <v>890</v>
      </c>
      <c r="G407" s="31">
        <f>+Setup!T195</f>
        <v>20000</v>
      </c>
      <c r="J407" s="292" t="s">
        <v>98</v>
      </c>
      <c r="M407" s="31">
        <f>+M404+M406</f>
        <v>9000</v>
      </c>
      <c r="P407" s="22" t="s">
        <v>1983</v>
      </c>
      <c r="R407" s="22" t="s">
        <v>1984</v>
      </c>
      <c r="V407" s="419" t="s">
        <v>717</v>
      </c>
      <c r="W407" s="421"/>
      <c r="X407" s="421"/>
      <c r="Z407" t="s">
        <v>527</v>
      </c>
      <c r="AA407" s="31">
        <f>IF(AND(Setup!$E$192="m",OR(Setup!$E$193&gt;Details!AW$7,Setup!$E$193=0)),'Tax Tables'!$C$20,IF(Details!AW$7&gt;=Setup!$E$193,'Tax Tables'!$D$20,'Tax Tables'!$D$20))</f>
        <v>32000</v>
      </c>
      <c r="AC407">
        <f t="shared" si="183"/>
        <v>59</v>
      </c>
      <c r="AD407" s="556">
        <v>22.27</v>
      </c>
      <c r="AE407" s="556">
        <v>25.32</v>
      </c>
    </row>
    <row r="408" spans="3:31" ht="15.6">
      <c r="C408" s="415" t="s">
        <v>810</v>
      </c>
      <c r="F408" s="8" t="s">
        <v>891</v>
      </c>
      <c r="H408" s="31">
        <f>+Setup!U196</f>
        <v>15000</v>
      </c>
      <c r="J408" t="s">
        <v>1138</v>
      </c>
      <c r="M408" s="31">
        <v>0</v>
      </c>
      <c r="Q408" s="17" t="s">
        <v>1985</v>
      </c>
      <c r="S408" s="17" t="s">
        <v>1985</v>
      </c>
      <c r="V408" s="234" t="s">
        <v>1709</v>
      </c>
      <c r="W408" s="421"/>
      <c r="X408" s="421"/>
      <c r="AA408" s="31">
        <f>IF(+AA406-AA407&lt;0,0,AA406-AA407)</f>
        <v>120500</v>
      </c>
      <c r="AC408">
        <f t="shared" si="183"/>
        <v>60</v>
      </c>
      <c r="AD408" s="556">
        <v>21.51</v>
      </c>
      <c r="AE408" s="556">
        <v>24.48</v>
      </c>
    </row>
    <row r="409" spans="3:31">
      <c r="C409" s="234" t="s">
        <v>1157</v>
      </c>
      <c r="D409" s="32"/>
      <c r="E409" s="32"/>
      <c r="F409" s="8" t="s">
        <v>63</v>
      </c>
      <c r="G409" s="31">
        <f>+Setup!T197</f>
        <v>5000</v>
      </c>
      <c r="J409" s="539" t="s">
        <v>1891</v>
      </c>
      <c r="N409" s="31">
        <f>+M407-M408</f>
        <v>9000</v>
      </c>
      <c r="Q409" s="31">
        <f>+H426</f>
        <v>120750</v>
      </c>
      <c r="S409" s="88">
        <f>+N410</f>
        <v>111750</v>
      </c>
      <c r="T409" s="1"/>
      <c r="V409" s="419" t="s">
        <v>718</v>
      </c>
      <c r="W409" s="421"/>
      <c r="X409" s="421"/>
      <c r="Z409" t="s">
        <v>527</v>
      </c>
      <c r="AA409" s="31">
        <f>IF(AND(Setup!$E$192="m",Setup!$E$193&gt;Details!AW$7),'Tax Tables'!$C$21,IF(Details!AW$7&gt;=Setup!$E$193,'Tax Tables'!$D$21,'Tax Tables'!$D$21))</f>
        <v>12000</v>
      </c>
      <c r="AC409">
        <f t="shared" si="183"/>
        <v>61</v>
      </c>
      <c r="AD409" s="556">
        <v>20.75</v>
      </c>
      <c r="AE409" s="556">
        <v>23.64</v>
      </c>
    </row>
    <row r="410" spans="3:31">
      <c r="C410" s="539" t="s">
        <v>1953</v>
      </c>
      <c r="F410" s="1520" t="s">
        <v>1928</v>
      </c>
      <c r="H410" s="31">
        <f>+Setup!U198</f>
        <v>0</v>
      </c>
      <c r="J410" s="539" t="s">
        <v>1892</v>
      </c>
      <c r="N410" s="31">
        <f>+N403-N409</f>
        <v>111750</v>
      </c>
      <c r="V410" s="419" t="s">
        <v>719</v>
      </c>
      <c r="W410" s="421"/>
      <c r="X410" s="421"/>
      <c r="AA410" s="31">
        <f>IF(AA$408-AA$409&lt;0,0,AA$408-AA$409)</f>
        <v>108500</v>
      </c>
      <c r="AC410">
        <f t="shared" si="183"/>
        <v>62</v>
      </c>
      <c r="AD410" s="556">
        <v>20</v>
      </c>
      <c r="AE410" s="556">
        <v>22.81</v>
      </c>
    </row>
    <row r="411" spans="3:31" ht="15.6">
      <c r="C411" s="234" t="s">
        <v>1516</v>
      </c>
      <c r="D411" s="32"/>
      <c r="E411" s="32"/>
      <c r="F411" s="8">
        <v>13</v>
      </c>
      <c r="H411" s="31">
        <f>+S404</f>
        <v>4000</v>
      </c>
      <c r="J411" s="539" t="s">
        <v>1940</v>
      </c>
      <c r="N411" s="31">
        <f>IF(Tax_Rates_Year=Tax_Calc_Year,IF(TaxCalc_Status="m",MCapGain_B1,SCapGain_B1),IF(TaxCalc_Status="m",MCapGain_B1_P,SCapGain_B1_P))</f>
        <v>77200</v>
      </c>
      <c r="P411" s="1512">
        <f>Tax_Yr_P</f>
        <v>2018</v>
      </c>
      <c r="Q411" s="1512" t="s">
        <v>801</v>
      </c>
      <c r="R411" s="1512" t="s">
        <v>1707</v>
      </c>
      <c r="S411" s="1512" t="s">
        <v>801</v>
      </c>
      <c r="T411" s="1512" t="s">
        <v>1707</v>
      </c>
      <c r="V411" s="234" t="s">
        <v>1097</v>
      </c>
      <c r="W411" s="3"/>
      <c r="X411" s="3"/>
      <c r="AA411" s="31">
        <f>IF(AA$408&lt;AA$409,AA$408,AA$409)</f>
        <v>12000</v>
      </c>
      <c r="AC411">
        <f t="shared" si="183"/>
        <v>63</v>
      </c>
      <c r="AD411" s="556">
        <v>19.27</v>
      </c>
      <c r="AE411" s="556">
        <v>21.99</v>
      </c>
    </row>
    <row r="412" spans="3:31">
      <c r="C412" s="415" t="s">
        <v>1016</v>
      </c>
      <c r="F412" s="8">
        <v>13</v>
      </c>
      <c r="H412" s="31">
        <f>+Setup!U199</f>
        <v>1000</v>
      </c>
      <c r="J412" t="s">
        <v>1453</v>
      </c>
      <c r="N412" s="31">
        <f>IF(N403&lt;N411,N403,N411)</f>
        <v>77200</v>
      </c>
      <c r="P412" s="539" t="s">
        <v>1908</v>
      </c>
      <c r="Q412" s="31">
        <f>IF(AND(Q$409&gt;TaxP_M_1S,Q$409&lt;=TaxP_M_1E),(Q$409-TaxP_M_1S)*TaxP_M_1R,IF(Q$409&gt;TaxP_M_1E,TaxP_M_1A,0))</f>
        <v>1900</v>
      </c>
      <c r="R412" s="31">
        <f>IF(AND(Q$409&gt;TaxP_S_1S,Q$409&lt;=TaxP_S_1E),(Q$409-TaxP_S_1S)*TaxP_S_1R,IF(Q$409&gt;TaxP_S_1E,TaxP_S_1A,0))</f>
        <v>1000</v>
      </c>
      <c r="S412" s="31">
        <f>IF(AND(S$409&gt;TaxP_M_1S,S$409&lt;=TaxP_M_1E),(S$409-TaxP_M_1S)*TaxP_M_1R,IF(S$409&gt;TaxP_M_1E,TaxP_M_1A,0))</f>
        <v>1900</v>
      </c>
      <c r="T412" s="31">
        <f>IF(AND(S$409&gt;TaxP_S_1S,S$409&lt;=TaxP_S_1E),(S$409-TaxP_S_1S)*TaxP_S_1R,IF(S$409&gt;TaxP_S_1E,TaxP_S_1A,0))</f>
        <v>1000</v>
      </c>
      <c r="V412" s="234" t="s">
        <v>720</v>
      </c>
      <c r="W412" s="3"/>
      <c r="X412" s="422"/>
      <c r="AA412" s="31">
        <f>+AA$411*0.5</f>
        <v>6000</v>
      </c>
      <c r="AC412">
        <f t="shared" si="183"/>
        <v>64</v>
      </c>
      <c r="AD412" s="556">
        <v>18.53</v>
      </c>
      <c r="AE412" s="556">
        <v>21.17</v>
      </c>
    </row>
    <row r="413" spans="3:31">
      <c r="C413" s="634" t="s">
        <v>1926</v>
      </c>
      <c r="D413" s="32"/>
      <c r="E413" s="32"/>
      <c r="F413" s="8" t="s">
        <v>64</v>
      </c>
      <c r="H413" s="31">
        <f>+Setup!U201</f>
        <v>30000</v>
      </c>
      <c r="J413" t="s">
        <v>1139</v>
      </c>
      <c r="N413" s="31">
        <f>IF(N410&lt;N412,N410,N412)</f>
        <v>77200</v>
      </c>
      <c r="P413" s="539" t="s">
        <v>1914</v>
      </c>
      <c r="Q413" s="31">
        <f>IF(AND(Q$409&gt;TaxP_M_2S,Q$409&lt;=TaxP_M_2E),(Q$409-TaxP_M_2S)*TaxP_M_2R,IF(Q$409&gt;TaxP_M_2E,TaxP_M_2A,0))</f>
        <v>7000</v>
      </c>
      <c r="R413" s="31">
        <f>IF(AND(Q$409&gt;TaxP_S_2S,Q$409&lt;=TaxP_S_2E),(Q$409-TaxP_S_2S)*TaxP_S_2R,IF(Q$409&gt;TaxP_S_2E,TaxP_S_2A,0))</f>
        <v>3500</v>
      </c>
      <c r="S413" s="31">
        <f>IF(AND(S$409&gt;TaxP_M_2S,S$409&lt;=TaxP_M_2E),(S$409-TaxP_M_2S)*TaxP_M_2R,IF(S$409&gt;TaxP_M_2E,TaxP_M_2A,0))</f>
        <v>7000</v>
      </c>
      <c r="T413" s="31">
        <f>IF(AND(S$409&gt;TaxP_S_2S,S$409&lt;=TaxP_S_2E),(S$409-TaxP_S_2S)*TaxP_S_2R,IF(S$409&gt;TaxP_S_2E,TaxP_S_2A,0))</f>
        <v>3500</v>
      </c>
      <c r="V413" s="234" t="s">
        <v>598</v>
      </c>
      <c r="W413" s="3"/>
      <c r="X413" s="422"/>
      <c r="AA413" s="31">
        <f>IF(AA$412&lt;AA$404,AA$412,AA$404)</f>
        <v>6000</v>
      </c>
      <c r="AC413">
        <f t="shared" si="183"/>
        <v>65</v>
      </c>
      <c r="AD413" s="556">
        <v>17.809999999999999</v>
      </c>
      <c r="AE413" s="556">
        <v>20.36</v>
      </c>
    </row>
    <row r="414" spans="3:31" ht="15.6">
      <c r="C414" s="634" t="s">
        <v>1936</v>
      </c>
      <c r="D414" s="32"/>
      <c r="E414" s="32"/>
      <c r="F414" s="8" t="s">
        <v>65</v>
      </c>
      <c r="H414" s="31">
        <f>+Setup!U202</f>
        <v>12000</v>
      </c>
      <c r="J414" s="22" t="s">
        <v>1893</v>
      </c>
      <c r="N414" s="31">
        <f>+N412-N413</f>
        <v>0</v>
      </c>
      <c r="P414" s="539" t="s">
        <v>1909</v>
      </c>
      <c r="Q414" s="31">
        <f>IF(AND(Q$409&gt;TaxP_M_3S,Q$409&lt;=TaxP_M_3E),(Q$409-TaxP_M_3S)*TaxP_M_3R,IF(Q$409&gt;TaxP_M_3E,TaxP_M_3A,0))</f>
        <v>9537</v>
      </c>
      <c r="R414" s="31">
        <f>IF(AND(Q$409&gt;TaxP_S_3S,Q$409&lt;=TaxP_S_3E),(Q$409-TaxP_S_3S)*TaxP_S_3R,IF(Q$409&gt;TaxP_S_3E,TaxP_S_3A,0))</f>
        <v>9600</v>
      </c>
      <c r="S414" s="31">
        <f>IF(AND(S$409&gt;TaxP_M_3S,S$409&lt;=TaxP_M_3E),(S$409-TaxP_M_3S)*TaxP_M_3R,IF(S$409&gt;TaxP_M_3E,TaxP_M_3A,0))</f>
        <v>7557</v>
      </c>
      <c r="T414" s="31">
        <f>IF(AND(S$409&gt;TaxP_S_3S,S$409&lt;=TaxP_S_3E),(S$409-TaxP_S_3S)*TaxP_S_3R,IF(S$409&gt;TaxP_S_3E,TaxP_S_3A,0))</f>
        <v>9600</v>
      </c>
      <c r="V414" s="234" t="s">
        <v>1095</v>
      </c>
      <c r="W414" s="3"/>
      <c r="X414" s="422"/>
      <c r="AA414" s="31">
        <f>IF(+AA$410*0.85&lt;0,0,+AA$410*0.85)</f>
        <v>92225</v>
      </c>
      <c r="AC414">
        <f t="shared" ref="AC414:AC458" si="189">+AC413+1</f>
        <v>66</v>
      </c>
      <c r="AD414" s="556">
        <v>17.09</v>
      </c>
      <c r="AE414" s="556">
        <v>19.55</v>
      </c>
    </row>
    <row r="415" spans="3:31">
      <c r="C415" s="634" t="s">
        <v>1306</v>
      </c>
      <c r="F415" s="1505" t="s">
        <v>66</v>
      </c>
      <c r="G415" s="31">
        <f>+Setup!T203</f>
        <v>35000</v>
      </c>
      <c r="J415" t="s">
        <v>1611</v>
      </c>
      <c r="N415" s="31">
        <f>IF(N403&lt;N409,N403,N409)</f>
        <v>9000</v>
      </c>
      <c r="P415" s="539" t="s">
        <v>1910</v>
      </c>
      <c r="Q415" s="31">
        <f>IF(AND(Q$409&gt;TaxP_M_4S,Q$409&lt;=TaxP_M_4E),(Q$409-TaxP_M_4S)*TaxP_M_4R,IF(Q$409&gt;TaxP_M_4E,TaxP_M_4A,0))</f>
        <v>0</v>
      </c>
      <c r="R415" s="31">
        <f>IF(AND(Q$409&gt;TaxP_S_4S,Q$409&lt;=TaxP_S_4E),(Q$409-TaxP_S_4S)*TaxP_S_4R,IF(Q$409&gt;TaxP_S_4E,TaxP_S_4A,0))</f>
        <v>9180</v>
      </c>
      <c r="S415" s="31">
        <f>IF(AND(S$409&gt;TaxP_M_4S,S$409&lt;=TaxP_M_4E),(S$409-TaxP_M_4S)*TaxP_M_4R,IF(S$409&gt;TaxP_M_4E,TaxP_M_4A,0))</f>
        <v>0</v>
      </c>
      <c r="T415" s="31">
        <f>IF(AND(S$409&gt;TaxP_S_4S,S$409&lt;=TaxP_S_4E),(S$409-TaxP_S_4S)*TaxP_S_4R,IF(S$409&gt;TaxP_S_4E,TaxP_S_4A,0))</f>
        <v>7020</v>
      </c>
      <c r="V415" s="234" t="s">
        <v>1094</v>
      </c>
      <c r="W415" s="422"/>
      <c r="X415" s="422"/>
      <c r="AA415" s="31">
        <f>+AA413+AA414</f>
        <v>98225</v>
      </c>
      <c r="AC415">
        <f t="shared" si="189"/>
        <v>67</v>
      </c>
      <c r="AD415" s="556">
        <v>16.38</v>
      </c>
      <c r="AE415" s="556">
        <v>18.760000000000002</v>
      </c>
    </row>
    <row r="416" spans="3:31">
      <c r="C416" s="634" t="s">
        <v>1937</v>
      </c>
      <c r="D416" s="32"/>
      <c r="E416" s="32"/>
      <c r="F416" s="8" t="s">
        <v>67</v>
      </c>
      <c r="H416" s="31">
        <f>+AA417</f>
        <v>29750</v>
      </c>
      <c r="J416" t="s">
        <v>1612</v>
      </c>
      <c r="N416" s="31">
        <f>+N414</f>
        <v>0</v>
      </c>
      <c r="P416" s="539" t="s">
        <v>1911</v>
      </c>
      <c r="Q416" s="31">
        <f>IF(AND(Q$409&gt;TaxP_M_5S,Q$409&lt;=TaxP_M_5E),(Q$409-TaxP_M_5S)*TaxP_M_5R,IF(Q$409&gt;TaxP_M_5E,TaxP_M_5A,0))</f>
        <v>0</v>
      </c>
      <c r="R416" s="31">
        <f>IF(AND(Q$409&gt;TaxP_S_5S,Q$409&lt;=TaxP_S_5E),(Q$409-TaxP_S_5S)*TaxP_S_5R,IF(Q$409&gt;TaxP_S_5E,TaxP_S_5A,0))</f>
        <v>0</v>
      </c>
      <c r="S416" s="31">
        <f>IF(AND(S$409&gt;TaxP_M_5S,S$409&lt;=TaxP_M_5E),(S$409-TaxP_M_5S)*TaxP_M_5R,IF(S$409&gt;TaxP_M_5E,TaxP_M_5A,0))</f>
        <v>0</v>
      </c>
      <c r="T416" s="31">
        <f>IF(AND(S$409&gt;TaxP_S_5S,S$409&lt;=TaxP_S_5E),(S$409-TaxP_S_5S)*TaxP_S_5R,IF(S$409&gt;TaxP_S_5E,TaxP_S_5A,0))</f>
        <v>0</v>
      </c>
      <c r="V416" s="423" t="s">
        <v>632</v>
      </c>
      <c r="W416" s="423"/>
      <c r="X416" s="423"/>
      <c r="AA416" s="31">
        <f>+Setup!$T$203*0.85</f>
        <v>29750</v>
      </c>
      <c r="AC416">
        <f t="shared" si="189"/>
        <v>68</v>
      </c>
      <c r="AD416" s="556">
        <v>15.68</v>
      </c>
      <c r="AE416" s="556">
        <v>17.98</v>
      </c>
    </row>
    <row r="417" spans="3:31">
      <c r="C417" s="234" t="s">
        <v>1728</v>
      </c>
      <c r="D417" s="32"/>
      <c r="E417" s="32"/>
      <c r="F417" s="8">
        <v>21</v>
      </c>
      <c r="H417" s="38">
        <f>+Setup!U205</f>
        <v>0</v>
      </c>
      <c r="J417" s="539" t="s">
        <v>1894</v>
      </c>
      <c r="N417" s="31">
        <f>+N415-N416</f>
        <v>9000</v>
      </c>
      <c r="P417" s="539" t="s">
        <v>1912</v>
      </c>
      <c r="Q417" s="31">
        <f>IF(AND(Q$409&gt;TaxP_M_6S,Q$409&lt;=TaxP_M_6E),(Q$409-TaxP_M_6S)*TaxP_M_6R,IF(Q$409&gt;TaxP_M_6E,TaxP_M_6A,0))</f>
        <v>0</v>
      </c>
      <c r="R417" s="31">
        <f>IF(AND(Q$409&gt;TaxP_S_6S,Q$409&lt;=TaxP_S_6E),(Q$409-TaxP_S_6S)*TaxP_S_6R,IF(Q$409&gt;TaxP_S_6E,TaxP_S_6A,0))</f>
        <v>0</v>
      </c>
      <c r="S417" s="31">
        <f>IF(AND(S$409&gt;TaxP_M_6S,S$409&lt;=TaxP_M_6E),(S$409-TaxP_M_6S)*TaxP_M_6R,IF(S$409&gt;TaxP_M_6E,TaxP_M_6A,0))</f>
        <v>0</v>
      </c>
      <c r="T417" s="31">
        <f>IF(AND(S$409&gt;TaxP_S_6S,S$409&lt;=TaxP_S_6E),(S$409-TaxP_S_6S)*TaxP_S_6R,IF(S$409&gt;TaxP_S_6E,TaxP_S_6A,0))</f>
        <v>0</v>
      </c>
      <c r="V417" s="175" t="s">
        <v>1183</v>
      </c>
      <c r="W417" s="175"/>
      <c r="X417" s="32"/>
      <c r="AA417" s="31">
        <f>IF(AA$415&lt;0,0,IF(AA$415&lt;AA$416,AA$415,AA$416))</f>
        <v>29750</v>
      </c>
      <c r="AC417">
        <f t="shared" si="189"/>
        <v>69</v>
      </c>
      <c r="AD417" s="556">
        <v>14.98</v>
      </c>
      <c r="AE417" s="556">
        <v>17.2</v>
      </c>
    </row>
    <row r="418" spans="3:31">
      <c r="C418" s="234" t="s">
        <v>1729</v>
      </c>
      <c r="F418">
        <v>22</v>
      </c>
      <c r="H418" s="31">
        <f>+H405+H406+H408+H410+H411+H412+H413+H414+H416+H417</f>
        <v>144750</v>
      </c>
      <c r="J418" s="539" t="s">
        <v>1941</v>
      </c>
      <c r="N418" s="31">
        <f>IF(Tax_Rates_Year=Tax_Calc_Year,IF(TaxCalc_Status="m",MCapGain_B2,SCapGain_B2),IF(TaxCalc_Status="m",MCapGain_B2_P,SCapGain_B2_P))</f>
        <v>479000</v>
      </c>
      <c r="P418" s="539" t="s">
        <v>1913</v>
      </c>
      <c r="Q418" s="38">
        <f>IF(Q$409&gt;TaxP_M_7S,(Q$409-TaxP_M_7S)*TaxP_M_7R,0)</f>
        <v>0</v>
      </c>
      <c r="R418" s="38">
        <f>IF(Q$409&gt;TaxP_S_7S,(Q$409-TaxP_S_7S)*TaxP_S_7R,0)</f>
        <v>0</v>
      </c>
      <c r="S418" s="38">
        <f>IF(S$409&gt;TaxP_M_7S,(S$409-TaxP_M_7S)*TaxP_M_7R,0)</f>
        <v>0</v>
      </c>
      <c r="T418" s="38">
        <f>IF(S$409&gt;TaxP_S_7S,(S$409-TaxP_S_7S)*TaxP_S_7R,0)</f>
        <v>0</v>
      </c>
      <c r="V418" s="72" t="s">
        <v>1696</v>
      </c>
      <c r="W418" s="32"/>
      <c r="X418" s="32"/>
      <c r="AA418" s="43">
        <f>+AA417/AA403</f>
        <v>0.85</v>
      </c>
      <c r="AC418">
        <f t="shared" si="189"/>
        <v>70</v>
      </c>
      <c r="AD418" s="556">
        <v>14.3</v>
      </c>
      <c r="AE418" s="556">
        <v>16.440000000000001</v>
      </c>
    </row>
    <row r="419" spans="3:31">
      <c r="C419" s="634" t="s">
        <v>1938</v>
      </c>
      <c r="F419" s="454" t="s">
        <v>1034</v>
      </c>
      <c r="H419" s="38">
        <f>+Setup!U207</f>
        <v>0</v>
      </c>
      <c r="J419" t="s">
        <v>1126</v>
      </c>
      <c r="N419" s="31">
        <f>IF(N403&lt;N418,N403,N418)</f>
        <v>120750</v>
      </c>
      <c r="Q419" s="31">
        <f>SUM(Q412:Q417)</f>
        <v>18437</v>
      </c>
      <c r="R419" s="31">
        <f>SUM(R412:R417)</f>
        <v>23280</v>
      </c>
      <c r="S419" s="31">
        <f>SUM(S412:S417)</f>
        <v>16457</v>
      </c>
      <c r="T419" s="31">
        <f>SUM(T412:T417)</f>
        <v>21120</v>
      </c>
      <c r="AC419">
        <f t="shared" si="189"/>
        <v>71</v>
      </c>
      <c r="AD419" s="556">
        <v>13.63</v>
      </c>
      <c r="AE419" s="556">
        <v>15.69</v>
      </c>
    </row>
    <row r="420" spans="3:31" ht="15.6">
      <c r="C420" s="426" t="s">
        <v>1541</v>
      </c>
      <c r="D420" s="426"/>
      <c r="E420" s="378"/>
      <c r="F420" s="8" t="s">
        <v>72</v>
      </c>
      <c r="H420" s="31">
        <f>+H418-H419</f>
        <v>144750</v>
      </c>
      <c r="J420" t="s">
        <v>874</v>
      </c>
      <c r="N420" s="31">
        <f>+N410+N414</f>
        <v>111750</v>
      </c>
      <c r="V420" s="539" t="s">
        <v>1915</v>
      </c>
      <c r="W420" s="31">
        <f>+H426</f>
        <v>120750</v>
      </c>
      <c r="AC420">
        <f t="shared" si="189"/>
        <v>72</v>
      </c>
      <c r="AD420" s="556">
        <v>12.97</v>
      </c>
      <c r="AE420" s="556">
        <v>14.96</v>
      </c>
    </row>
    <row r="421" spans="3:31" ht="15.6">
      <c r="J421" s="539" t="s">
        <v>1895</v>
      </c>
      <c r="N421" s="31">
        <f>+N419-N420</f>
        <v>9000</v>
      </c>
      <c r="P421" s="1512">
        <f>Tax_Yr_C</f>
        <v>2019</v>
      </c>
      <c r="Q421" s="1512" t="s">
        <v>801</v>
      </c>
      <c r="R421" s="1512" t="s">
        <v>1707</v>
      </c>
      <c r="S421" s="1512" t="s">
        <v>801</v>
      </c>
      <c r="T421" s="1512" t="s">
        <v>1707</v>
      </c>
      <c r="V421" s="1502" t="s">
        <v>801</v>
      </c>
      <c r="W421" s="1502" t="s">
        <v>1707</v>
      </c>
      <c r="AC421">
        <f t="shared" si="189"/>
        <v>73</v>
      </c>
      <c r="AD421" s="556">
        <v>12.33</v>
      </c>
      <c r="AE421" s="556">
        <v>14.24</v>
      </c>
    </row>
    <row r="422" spans="3:31">
      <c r="C422" s="1475" t="s">
        <v>1939</v>
      </c>
      <c r="D422" s="235"/>
      <c r="E422" s="199"/>
      <c r="F422">
        <v>40</v>
      </c>
      <c r="H422" s="585">
        <f>-Setup!U210</f>
        <v>-24000</v>
      </c>
      <c r="J422" t="s">
        <v>875</v>
      </c>
      <c r="N422" s="31">
        <f>IF(N417&lt;N421,N417,N421)</f>
        <v>9000</v>
      </c>
      <c r="P422" s="539" t="s">
        <v>1908</v>
      </c>
      <c r="Q422" s="31">
        <f>IF(AND(Q$409&gt;TaxC_M_1S,Q$409&lt;=TaxC_M_1E),(Q$409-TaxC_M_1S)*TaxC_M_1R,IF(Q$409&gt;TaxC_M_1E,TaxC_M_1A,0))</f>
        <v>1900</v>
      </c>
      <c r="R422" s="31">
        <f>IF(AND(Q$409&gt;TaxC_S_1S,Q$409&lt;=TaxC_S_1E),(Q$409-TaxC_S_1S)*TaxC_S_1R,IF(Q$409&gt;TaxC_S_1E,TaxC_S_1A,0))</f>
        <v>1000</v>
      </c>
      <c r="S422" s="31">
        <f>IF(AND(S$409&gt;TaxC_M_1S,S$409&lt;=TaxC_M_1E),(S$409-TaxC_M_1S)*TaxC_M_1R,IF(S$409&gt;TaxC_M_1E,TaxC_M_1A,0))</f>
        <v>1900</v>
      </c>
      <c r="T422" s="31">
        <f>IF(AND(S$409&gt;TaxC_S_1S,S$409&lt;=TaxC_S_1E),(S$409-TaxC_S_1S)*TaxC_S_1R,IF(S$409&gt;TaxC_S_1E,TaxC_S_1A,0))</f>
        <v>1000</v>
      </c>
      <c r="V422" s="31">
        <f>IF(AND(W$420&gt;TaxP_M_1S,W$420&lt;=TaxP_M_1E),(W$420-TaxP_M_1S)*TaxP_M_1R,IF(W$420&gt;TaxP_M_1E,TaxP_M_1A,0))</f>
        <v>1900</v>
      </c>
      <c r="W422" s="31">
        <f>IF(AND(W$420&gt;TaxP_S_1S,W$420&lt;=TaxP_S_1E),(W$420-TaxP_S_1S)*TaxP_S_1R,IF(W$420&gt;TaxP_S_1E,TaxP_S_1A,0))</f>
        <v>1000</v>
      </c>
      <c r="AC422">
        <f t="shared" si="189"/>
        <v>74</v>
      </c>
      <c r="AD422" s="556">
        <v>11.7</v>
      </c>
      <c r="AE422" s="556">
        <v>13.54</v>
      </c>
    </row>
    <row r="423" spans="3:31" ht="15.6">
      <c r="C423" s="235" t="s">
        <v>1246</v>
      </c>
      <c r="D423" s="235"/>
      <c r="E423" s="929"/>
      <c r="F423">
        <v>42</v>
      </c>
      <c r="H423" s="578">
        <f>-Setup!U211</f>
        <v>0</v>
      </c>
      <c r="J423" s="22" t="s">
        <v>92</v>
      </c>
      <c r="N423" s="31">
        <f>+N422*0.15</f>
        <v>1350</v>
      </c>
      <c r="P423" s="539" t="s">
        <v>1914</v>
      </c>
      <c r="Q423" s="31">
        <f>IF(AND(Q$409&gt;TaxC_M_2S,Q$409&lt;=TaxC_M_2E),(Q$409-TaxC_M_2S)*TaxC_M_2R,IF(Q$409&gt;TaxC_M_2E,TaxC_M_2A,0))</f>
        <v>7100</v>
      </c>
      <c r="R423" s="31">
        <f>IF(AND(Q$409&gt;TaxC_S_2S,Q$409&lt;=TaxC_S_2E),(Q$409-TaxC_S_2S)*TaxC_S_2R,IF(Q$409&gt;TaxC_S_2E,TaxC_S_2A,0))</f>
        <v>3600</v>
      </c>
      <c r="S423" s="31">
        <f>IF(AND(S$409&gt;TaxC_M_2S,S$409&lt;=TaxC_M_2E),(S$409-TaxC_M_2S)*TaxC_M_2R,IF(S$409&gt;TaxC_M_2E,TaxC_M_2A,0))</f>
        <v>7100</v>
      </c>
      <c r="T423" s="31">
        <f>IF(AND(S$409&gt;TaxC_S_2S,S$409&lt;=TaxC_S_2E),(S$409-TaxC_S_2S)*TaxC_S_2R,IF(S$409&gt;TaxC_S_2E,TaxC_S_2A,0))</f>
        <v>3600</v>
      </c>
      <c r="V423" s="31">
        <f>IF(AND(W$420&gt;TaxP_M_2S,W$420&lt;=TaxP_M_2E),(W$420-TaxP_M_2S)*TaxP_M_2R,IF(W$420&gt;TaxP_M_2E,TaxP_M_2A,0))</f>
        <v>7000</v>
      </c>
      <c r="W423" s="31">
        <f>IF(AND(W$420&gt;TaxP_S_2S,W$420&lt;=TaxP_S_2E),(W$420-TaxP_S_2S)*TaxP_S_2R,IF(W$420&gt;TaxP_S_2E,TaxP_S_2A,0))</f>
        <v>3500</v>
      </c>
      <c r="AC423">
        <f t="shared" si="189"/>
        <v>75</v>
      </c>
      <c r="AD423" s="556">
        <v>11.08</v>
      </c>
      <c r="AE423" s="556">
        <v>12.85</v>
      </c>
    </row>
    <row r="424" spans="3:31" ht="15.6">
      <c r="C424" s="240" t="s">
        <v>1360</v>
      </c>
      <c r="D424" s="235"/>
      <c r="E424" s="32"/>
      <c r="H424" s="88">
        <f>+H423+H422</f>
        <v>-24000</v>
      </c>
      <c r="J424" t="s">
        <v>93</v>
      </c>
      <c r="N424" s="31">
        <f>+N414+N422</f>
        <v>9000</v>
      </c>
      <c r="P424" s="539" t="s">
        <v>1909</v>
      </c>
      <c r="Q424" s="31">
        <f>IF(AND(Q$409&gt;TaxC_M_3S,Q$409&lt;=TaxC_M_3E),(Q$409-TaxC_M_3S)*TaxC_M_3R,IF(Q$409&gt;TaxC_M_3E,TaxC_M_3A,0))</f>
        <v>9196</v>
      </c>
      <c r="R424" s="31">
        <f>IF(AND(Q$409&gt;TaxC_S_3S,Q$409&lt;=TaxC_S_3E),(Q$409-TaxC_S_3S)*TaxC_S_3R,IF(Q$409&gt;TaxC_S_3E,TaxC_S_3A,0))</f>
        <v>9800</v>
      </c>
      <c r="S424" s="31">
        <f>IF(AND(S$409&gt;TaxC_M_3S,S$409&lt;=TaxC_M_3E),(S$409-TaxC_M_3S)*TaxC_M_3R,IF(S$409&gt;TaxC_M_3E,TaxC_M_3A,0))</f>
        <v>7216</v>
      </c>
      <c r="T424" s="31">
        <f>IF(AND(S$409&gt;TaxC_S_3S,S$409&lt;=TaxC_S_3E),(S$409-TaxC_S_3S)*TaxC_S_3R,IF(S$409&gt;TaxC_S_3E,TaxC_S_3A,0))</f>
        <v>9800</v>
      </c>
      <c r="V424" s="31">
        <f>IF(AND(W$420&gt;TaxP_M_3S,W$420&lt;=TaxP_M_3E),(W$420-TaxP_M_3S)*TaxP_M_3R,IF(W$420&gt;TaxP_M_3E,TaxP_M_3A,0))</f>
        <v>9537</v>
      </c>
      <c r="W424" s="31">
        <f>IF(AND(W$420&gt;TaxP_S_3S,W$420&lt;=TaxP_S_3E),(W$420-TaxP_S_3S)*TaxP_S_3R,IF(W$420&gt;TaxP_S_3E,TaxP_S_3A,0))</f>
        <v>9600</v>
      </c>
      <c r="AC424">
        <f t="shared" si="189"/>
        <v>76</v>
      </c>
      <c r="AD424" s="556">
        <v>10.48</v>
      </c>
      <c r="AE424" s="556">
        <v>12.17</v>
      </c>
    </row>
    <row r="425" spans="3:31">
      <c r="J425" s="539" t="s">
        <v>1896</v>
      </c>
      <c r="N425" s="31">
        <f>+N415-N424</f>
        <v>0</v>
      </c>
      <c r="P425" s="539" t="s">
        <v>1910</v>
      </c>
      <c r="Q425" s="31">
        <f>IF(AND(Q$409&gt;TaxC_M_4S,Q$409&lt;=TaxC_M_4E),(Q$409-TaxC_M_4S)*TaxC_M_4R,IF(Q$409&gt;TaxC_M_4E,TaxC_M_4A,0))</f>
        <v>0</v>
      </c>
      <c r="R425" s="31">
        <f>IF(AND(Q$409&gt;TaxC_S_4S,Q$409&lt;=TaxC_S_4E),(Q$409-TaxC_S_4S)*TaxC_S_4R,IF(Q$409&gt;TaxC_S_4E,TaxC_S_4A,0))</f>
        <v>8772</v>
      </c>
      <c r="S425" s="31">
        <f>IF(AND(S$409&gt;TaxC_M_4S,S$409&lt;=TaxC_M_4E),(S$409-TaxC_M_4S)*TaxC_M_4R,IF(S$409&gt;TaxC_M_4E,TaxC_M_4A,0))</f>
        <v>0</v>
      </c>
      <c r="T425" s="31">
        <f>IF(AND(S$409&gt;TaxC_S_4S,S$409&lt;=TaxC_S_4E),(S$409-TaxC_S_4S)*TaxC_S_4R,IF(S$409&gt;TaxC_S_4E,TaxC_S_4A,0))</f>
        <v>6612</v>
      </c>
      <c r="V425" s="31">
        <f>IF(AND(W$420&gt;TaxP_M_4S,W$420&lt;=TaxP_M_4E),(W$420-TaxP_M_4S)*TaxP_M_4R,IF(W$420&gt;TaxP_M_4E,TaxP_M_4A,0))</f>
        <v>0</v>
      </c>
      <c r="W425" s="31">
        <f>IF(AND(W$420&gt;TaxP_S_4S,W$420&lt;=TaxP_S_4E),(W$420-TaxP_S_4S)*TaxP_S_4R,IF(W$420&gt;TaxP_S_4E,TaxP_S_4A,0))</f>
        <v>9180</v>
      </c>
      <c r="AC425">
        <f t="shared" si="189"/>
        <v>77</v>
      </c>
      <c r="AD425" s="556">
        <v>9.89</v>
      </c>
      <c r="AE425" s="556">
        <v>11.51</v>
      </c>
    </row>
    <row r="426" spans="3:31" ht="15.6">
      <c r="C426" s="28" t="s">
        <v>751</v>
      </c>
      <c r="F426">
        <v>43</v>
      </c>
      <c r="H426" s="31">
        <f>IF(+H420+H424&lt;0,0,+H420+H424)</f>
        <v>120750</v>
      </c>
      <c r="J426" s="22" t="s">
        <v>94</v>
      </c>
      <c r="N426" s="31">
        <f>+N425*0.2</f>
        <v>0</v>
      </c>
      <c r="P426" s="539" t="s">
        <v>1911</v>
      </c>
      <c r="Q426" s="31">
        <f>IF(AND(Q$409&gt;TaxC_M_5S,Q$409&lt;=TaxC_M_5E),(Q$409-TaxC_M_5S)*TaxC_M_5R,IF(Q$409&gt;TaxC_M_5E,TaxC_M_5A,0))</f>
        <v>0</v>
      </c>
      <c r="R426" s="31">
        <f>IF(AND(Q$409&gt;TaxC_S_5S,Q$409&lt;=TaxC_S_5E),(Q$409-TaxC_S_5S)*TaxC_S_5R,IF(Q$409&gt;TaxC_S_5E,TaxC_S_5A,0))</f>
        <v>0</v>
      </c>
      <c r="S426" s="31">
        <f>IF(AND(S$409&gt;TaxC_M_5S,S$409&lt;=TaxC_M_5E),(S$409-TaxC_M_5S)*TaxC_M_5R,IF(S$409&gt;TaxC_M_5E,TaxC_M_5A,0))</f>
        <v>0</v>
      </c>
      <c r="T426" s="31">
        <f>IF(AND(S$409&gt;TaxC_S_5S,S$409&lt;=TaxC_S_5E),(S$409-TaxC_S_5S)*TaxC_S_5R,IF(S$409&gt;TaxC_S_5E,TaxC_S_5A,0))</f>
        <v>0</v>
      </c>
      <c r="V426" s="31">
        <f>IF(AND(W$420&gt;TaxP_M_5S,W$420&lt;=TaxP_M_5E),(W$420-TaxP_M_5S)*TaxP_M_5R,IF(W$420&gt;TaxP_M_5E,TaxP_M_5A,0))</f>
        <v>0</v>
      </c>
      <c r="W426" s="31">
        <f>IF(AND(W$420&gt;TaxP_S_5S,W$420&lt;=TaxP_S_5E),(W$420-TaxP_S_5S)*TaxP_S_5R,IF(W$420&gt;TaxP_S_5E,TaxP_S_5A,0))</f>
        <v>0</v>
      </c>
      <c r="AC426">
        <f t="shared" si="189"/>
        <v>78</v>
      </c>
      <c r="AD426" s="556">
        <v>9.33</v>
      </c>
      <c r="AE426" s="556">
        <v>10.86</v>
      </c>
    </row>
    <row r="427" spans="3:31" ht="15.6">
      <c r="C427" s="28"/>
      <c r="D427" s="32"/>
      <c r="E427" s="32"/>
      <c r="H427" s="31"/>
      <c r="J427" t="s">
        <v>95</v>
      </c>
      <c r="M427" s="1523">
        <f>IF(Tax_Rates_Year=Tax_Calc_Year,Tax_Rates_Year,Tax_Calc_Year)</f>
        <v>2018</v>
      </c>
      <c r="N427" s="31">
        <f>IF(Tax_Rates_Year=Tax_Calc_Year,IF(TaxCalc_Status="m",$S$429,$T$429),IF(TaxCalc_Status="m",$S$419,$T$419))</f>
        <v>16457</v>
      </c>
      <c r="P427" s="539" t="s">
        <v>1912</v>
      </c>
      <c r="Q427" s="31">
        <f>IF(AND(Q$409&gt;TaxC_M_6S,Q$409&lt;=TaxC_M_6E),(Q$409-TaxC_M_6S)*TaxC_M_6R,IF(Q$409&gt;TaxC_M_6E,TaxC_M_6A,0))</f>
        <v>0</v>
      </c>
      <c r="R427" s="31">
        <f>IF(AND(Q$409&gt;TaxC_S_6S,Q$409&lt;=TaxC_S_6E),(Q$409-TaxC_S_6S)*TaxC_S_6R,IF(Q$409&gt;TaxC_S_6E,TaxC_S_6A,0))</f>
        <v>0</v>
      </c>
      <c r="S427" s="31">
        <f>IF(AND(S$409&gt;TaxC_M_6S,S$409&lt;=TaxC_M_6E),(S$409-TaxC_M_6S)*TaxC_M_6R,IF(S$409&gt;TaxC_M_6E,TaxC_M_6A,0))</f>
        <v>0</v>
      </c>
      <c r="T427" s="31">
        <f>IF(AND(S$409&gt;TaxC_S_6S,S$409&lt;=TaxC_S_6E),(S$409-TaxC_S_6S)*TaxC_S_6R,IF(S$409&gt;TaxC_S_6E,TaxC_S_6A,0))</f>
        <v>0</v>
      </c>
      <c r="V427" s="31">
        <f>IF(AND(W$420&gt;TaxP_M_6S,W$420&lt;=TaxP_M_6E),(W$420-TaxP_M_6S)*TaxP_M_6R,IF(W$420&gt;TaxP_M_6E,TaxP_M_6A,0))</f>
        <v>0</v>
      </c>
      <c r="W427" s="31">
        <f>IF(AND(W$420&gt;TaxP_S_6S,W$420&lt;=TaxP_S_6E),(W$420-TaxP_S_6S)*TaxP_S_6R,IF(W$420&gt;TaxP_S_6E,TaxP_S_6A,0))</f>
        <v>0</v>
      </c>
      <c r="AC427">
        <f t="shared" si="189"/>
        <v>79</v>
      </c>
      <c r="AD427" s="556">
        <v>8.77</v>
      </c>
      <c r="AE427" s="556">
        <v>10.24</v>
      </c>
    </row>
    <row r="428" spans="3:31" ht="15.6">
      <c r="C428" s="424" t="s">
        <v>1505</v>
      </c>
      <c r="E428" s="1523">
        <f>IF(Tax_Rates_Year=Tax_Calc_Year,Tax_Rates_Year,Tax_Calc_Year)</f>
        <v>2018</v>
      </c>
      <c r="F428" s="93">
        <f>IF(Tax_Rates_Year=Tax_Calc_Year,IF(TaxCalc_Status="m",F$139,F$218),IF(TaxCalc_Status="m",E$139,E$218))</f>
        <v>19050</v>
      </c>
      <c r="G428" s="67">
        <f>IF(Tax_Rates_Year=Tax_Calc_Year,IF(TaxCalc_Status="m",F$140,F$219),IF(TaxCalc_Status="m",E$140,E$219))</f>
        <v>0.1</v>
      </c>
      <c r="H428" s="31">
        <f t="shared" ref="H428:H434" si="190">IF(Tax_Rates_Year=Tax_Calc_Year,IF(TaxCalc_Status="m",Q422,R422),IF(TaxCalc_Status="m",Q412,R412))</f>
        <v>1900</v>
      </c>
      <c r="J428" t="s">
        <v>96</v>
      </c>
      <c r="N428" s="31">
        <f>+N423+N426+N427</f>
        <v>17807</v>
      </c>
      <c r="P428" s="539" t="s">
        <v>1913</v>
      </c>
      <c r="Q428" s="38">
        <f>IF(Q$409&gt;TaxC_M_7S,(Q$409-TaxC_M_7S)*TaxC_M_7R,0)</f>
        <v>0</v>
      </c>
      <c r="R428" s="38">
        <f>IF(Q$409&gt;TaxC_S_7S,(Q$409-TaxC_S_7S)*TaxC_S_7R,0)</f>
        <v>0</v>
      </c>
      <c r="S428" s="38">
        <f>IF(S$409&gt;TaxC_M_7S,(S$409-TaxC_M_7S)*TaxC_M_7R,0)</f>
        <v>0</v>
      </c>
      <c r="T428" s="38">
        <f>IF(S$409&gt;TaxC_S_7S,(S$409-TaxC_S_7S)*TaxC_S_7R,0)</f>
        <v>0</v>
      </c>
      <c r="V428" s="31">
        <f>IF(W$420&gt;TaxP_M_7S,(W$420-TaxP_M_7S)*TaxP_M_7R,0)</f>
        <v>0</v>
      </c>
      <c r="W428" s="31">
        <f>IF(W$420&gt;TaxP_S_7S,(W$420-TaxP_S_7S)*TaxP_S_7R,0)</f>
        <v>0</v>
      </c>
      <c r="AC428">
        <f t="shared" si="189"/>
        <v>80</v>
      </c>
      <c r="AD428" s="556">
        <v>8.24</v>
      </c>
      <c r="AE428" s="556">
        <v>9.6300000000000008</v>
      </c>
    </row>
    <row r="429" spans="3:31">
      <c r="C429" s="1525" t="s">
        <v>1988</v>
      </c>
      <c r="D429" s="184"/>
      <c r="F429" s="93">
        <f>IF(Tax_Rates_Year=Tax_Calc_Year,IF(TaxCalc_Status="m",F$144,F$223),IF(TaxCalc_Status="m",E$144,E$223))</f>
        <v>77400</v>
      </c>
      <c r="G429" s="67">
        <f>IF(Tax_Rates_Year=Tax_Calc_Year,IF(TaxCalc_Status="m",F$145,F$224),IF(TaxCalc_Status="m",E$145,E$224))</f>
        <v>0.12</v>
      </c>
      <c r="H429" s="31">
        <f t="shared" si="190"/>
        <v>7000</v>
      </c>
      <c r="J429" t="s">
        <v>97</v>
      </c>
      <c r="N429" s="31">
        <f>+H435</f>
        <v>18437</v>
      </c>
      <c r="Q429" s="31">
        <f>SUM(Q422:Q427)</f>
        <v>18196</v>
      </c>
      <c r="R429" s="31">
        <f>SUM(R422:R427)</f>
        <v>23172</v>
      </c>
      <c r="S429" s="31">
        <f>SUM(S422:S427)</f>
        <v>16216</v>
      </c>
      <c r="T429" s="31">
        <f>SUM(T422:T427)</f>
        <v>21012</v>
      </c>
      <c r="V429" s="31">
        <f>SUM(V422:V427)</f>
        <v>18437</v>
      </c>
      <c r="W429" s="31">
        <f>SUM(W422:W427)</f>
        <v>23280</v>
      </c>
      <c r="AC429">
        <f t="shared" si="189"/>
        <v>81</v>
      </c>
      <c r="AD429" s="556">
        <v>7.72</v>
      </c>
      <c r="AE429" s="556">
        <v>9.0399999999999991</v>
      </c>
    </row>
    <row r="430" spans="3:31">
      <c r="F430" s="93">
        <f>IF(Tax_Rates_Year=Tax_Calc_Year,IF(TaxCalc_Status="m",F$149,F$228),IF(TaxCalc_Status="m",E$149,E$228))</f>
        <v>165000</v>
      </c>
      <c r="G430" s="67">
        <f>IF(Tax_Rates_Year=Tax_Calc_Year,IF(TaxCalc_Status="m",F$150,F$229),IF(TaxCalc_Status="m",E$150,E$229))</f>
        <v>0.22</v>
      </c>
      <c r="H430" s="31">
        <f t="shared" si="190"/>
        <v>9537</v>
      </c>
      <c r="J430" t="s">
        <v>1965</v>
      </c>
      <c r="N430" s="31">
        <f>IF(N429&lt;N429,N429,N428)</f>
        <v>17807</v>
      </c>
      <c r="AC430">
        <f t="shared" si="189"/>
        <v>82</v>
      </c>
      <c r="AD430" s="556">
        <v>7.23</v>
      </c>
      <c r="AE430" s="556">
        <v>8.48</v>
      </c>
    </row>
    <row r="431" spans="3:31">
      <c r="F431" s="93">
        <f>IF(Tax_Rates_Year=Tax_Calc_Year,IF(TaxCalc_Status="m",F$154,F$233),IF(TaxCalc_Status="m",E$154,E$233))</f>
        <v>315000</v>
      </c>
      <c r="G431" s="67">
        <f>IF(Tax_Rates_Year=Tax_Calc_Year,IF(TaxCalc_Status="m",F$155,F$234),IF(TaxCalc_Status="m",E$155,E$234))</f>
        <v>0.24</v>
      </c>
      <c r="H431" s="31">
        <f t="shared" si="190"/>
        <v>0</v>
      </c>
      <c r="AC431">
        <f t="shared" si="189"/>
        <v>83</v>
      </c>
      <c r="AD431" s="556">
        <v>6.75</v>
      </c>
      <c r="AE431" s="556">
        <v>7.93</v>
      </c>
    </row>
    <row r="432" spans="3:31">
      <c r="C432" s="425"/>
      <c r="D432" s="184"/>
      <c r="F432" s="93">
        <f>IF(Tax_Rates_Year=Tax_Calc_Year,IF(TaxCalc_Status="m",F$159,F$238),IF(TaxCalc_Status="m",E$159,E$238))</f>
        <v>400000</v>
      </c>
      <c r="G432" s="67">
        <f>IF(Tax_Rates_Year=Tax_Calc_Year,IF(TaxCalc_Status="m",F$160,F$239),IF(TaxCalc_Status="m",E$160,E$239))</f>
        <v>0.32</v>
      </c>
      <c r="H432" s="31">
        <f t="shared" si="190"/>
        <v>0</v>
      </c>
      <c r="AC432">
        <f t="shared" si="189"/>
        <v>84</v>
      </c>
      <c r="AD432" s="556">
        <v>6.3</v>
      </c>
      <c r="AE432" s="556">
        <v>7.41</v>
      </c>
    </row>
    <row r="433" spans="3:31" ht="15.6">
      <c r="C433" s="425"/>
      <c r="D433" s="184"/>
      <c r="F433" s="93">
        <f>IF(Tax_Rates_Year=Tax_Calc_Year,IF(TaxCalc_Status="m",F$164,F$243),IF(TaxCalc_Status="m",E$164,E$243))</f>
        <v>600000</v>
      </c>
      <c r="G433" s="67">
        <f>IF(Tax_Rates_Year=Tax_Calc_Year,IF(TaxCalc_Status="m",F$165,F$244),IF(TaxCalc_Status="m",E$165,E$244))</f>
        <v>0.35</v>
      </c>
      <c r="H433" s="31">
        <f t="shared" si="190"/>
        <v>0</v>
      </c>
      <c r="J433" s="22"/>
      <c r="AC433">
        <f t="shared" si="189"/>
        <v>85</v>
      </c>
      <c r="AD433" s="556">
        <v>5.87</v>
      </c>
      <c r="AE433" s="556">
        <v>6.91</v>
      </c>
    </row>
    <row r="434" spans="3:31">
      <c r="C434" s="425"/>
      <c r="D434" s="184"/>
      <c r="F434" s="93"/>
      <c r="G434" s="67">
        <f>IF(Tax_Rates_Year=Tax_Calc_Year,IF(TaxCalc_Status="m",F$169,F$248),IF(TaxCalc_Status="m",E$169,E$248))</f>
        <v>0.37</v>
      </c>
      <c r="H434" s="38">
        <f t="shared" si="190"/>
        <v>0</v>
      </c>
      <c r="AC434">
        <f t="shared" si="189"/>
        <v>86</v>
      </c>
      <c r="AD434" s="556">
        <v>5.45</v>
      </c>
      <c r="AE434" s="556">
        <v>6.43</v>
      </c>
    </row>
    <row r="435" spans="3:31" ht="15.6">
      <c r="C435" s="22" t="s">
        <v>1987</v>
      </c>
      <c r="H435" s="31">
        <f>SUM(H428:H434)</f>
        <v>18437</v>
      </c>
      <c r="AC435">
        <f t="shared" si="189"/>
        <v>87</v>
      </c>
      <c r="AD435" s="556">
        <v>5.0599999999999996</v>
      </c>
      <c r="AE435" s="556">
        <v>5.98</v>
      </c>
    </row>
    <row r="436" spans="3:31" ht="15.6">
      <c r="C436" s="28" t="s">
        <v>1982</v>
      </c>
      <c r="D436" s="28"/>
      <c r="E436" s="29"/>
      <c r="F436">
        <v>44</v>
      </c>
      <c r="H436" s="31">
        <f>IF(OR(G409&gt;0,S404&gt;0),N430,H435)</f>
        <v>17807</v>
      </c>
      <c r="J436" t="s">
        <v>1249</v>
      </c>
      <c r="K436" s="292" t="s">
        <v>1248</v>
      </c>
      <c r="AC436">
        <f t="shared" si="189"/>
        <v>88</v>
      </c>
      <c r="AD436" s="556">
        <v>4.6900000000000004</v>
      </c>
      <c r="AE436" s="556">
        <v>5.54</v>
      </c>
    </row>
    <row r="437" spans="3:31" ht="15.6">
      <c r="C437" s="633" t="s">
        <v>1942</v>
      </c>
      <c r="D437" s="28"/>
      <c r="E437" s="29"/>
      <c r="F437" s="454" t="s">
        <v>1943</v>
      </c>
      <c r="H437" s="38">
        <f>+Setup!U214-Setup!U215</f>
        <v>0</v>
      </c>
      <c r="AC437">
        <f t="shared" si="189"/>
        <v>89</v>
      </c>
      <c r="AD437" s="556">
        <v>4.3499999999999996</v>
      </c>
      <c r="AE437" s="556">
        <v>5.14</v>
      </c>
    </row>
    <row r="438" spans="3:31" ht="15.6">
      <c r="C438" s="28" t="s">
        <v>1017</v>
      </c>
      <c r="H438" s="31">
        <f>+H436+H444</f>
        <v>17807</v>
      </c>
      <c r="J438" s="22" t="s">
        <v>1957</v>
      </c>
      <c r="AC438">
        <f t="shared" si="189"/>
        <v>90</v>
      </c>
      <c r="AD438" s="556">
        <v>4.03</v>
      </c>
      <c r="AE438" s="556">
        <v>4.76</v>
      </c>
    </row>
    <row r="439" spans="3:31">
      <c r="J439" s="1521" t="s">
        <v>1954</v>
      </c>
      <c r="N439" s="31"/>
      <c r="AC439">
        <f t="shared" si="189"/>
        <v>91</v>
      </c>
      <c r="AD439" s="556">
        <v>3.73</v>
      </c>
      <c r="AE439" s="556">
        <v>4.41</v>
      </c>
    </row>
    <row r="440" spans="3:31">
      <c r="C440" s="72" t="s">
        <v>1666</v>
      </c>
      <c r="D440" s="184"/>
      <c r="H440" s="44">
        <f>IF(H426=0,0,+H438/H426)</f>
        <v>0.14746997929606626</v>
      </c>
      <c r="J440" s="1521" t="s">
        <v>1955</v>
      </c>
      <c r="M440" s="31"/>
      <c r="AC440">
        <f t="shared" si="189"/>
        <v>92</v>
      </c>
      <c r="AD440" s="556">
        <v>3.46</v>
      </c>
      <c r="AE440" s="556">
        <v>4.09</v>
      </c>
    </row>
    <row r="441" spans="3:31">
      <c r="C441" s="72" t="s">
        <v>1667</v>
      </c>
      <c r="D441" s="184"/>
      <c r="H441" s="44">
        <f>IF(H434&gt;0,G434,IF(H433&gt;0,G433,IF(H432&gt;0,G432,IF(H431&gt;0,G431,IF(H430&gt;0,G430,IF(H429&gt;0,G429,IF(H428&gt;0,G428,0)))))))</f>
        <v>0.22</v>
      </c>
      <c r="J441" s="1521" t="s">
        <v>1956</v>
      </c>
      <c r="M441" s="31"/>
      <c r="AC441">
        <f t="shared" si="189"/>
        <v>93</v>
      </c>
      <c r="AD441" s="556">
        <v>3.21</v>
      </c>
      <c r="AE441" s="556">
        <v>3.8</v>
      </c>
    </row>
    <row r="442" spans="3:31">
      <c r="C442" s="633" t="s">
        <v>1998</v>
      </c>
      <c r="F442" s="271"/>
      <c r="G442" s="271"/>
      <c r="H442" s="44">
        <f>IF(N426&gt;0,0.2,IF(N423&gt;0,0.15,0))</f>
        <v>0.15</v>
      </c>
      <c r="AC442">
        <f t="shared" si="189"/>
        <v>94</v>
      </c>
      <c r="AD442" s="556">
        <v>2.99</v>
      </c>
      <c r="AE442" s="556">
        <v>3.54</v>
      </c>
    </row>
    <row r="443" spans="3:31">
      <c r="C443" s="539"/>
      <c r="E443" s="43"/>
      <c r="F443" s="31"/>
      <c r="G443" s="31"/>
      <c r="H443" s="88"/>
      <c r="AC443">
        <f t="shared" si="189"/>
        <v>95</v>
      </c>
      <c r="AD443" s="556">
        <v>2.8</v>
      </c>
      <c r="AE443" s="556">
        <v>3.3</v>
      </c>
    </row>
    <row r="444" spans="3:31" ht="15.6">
      <c r="C444" s="424"/>
      <c r="H444" s="31"/>
      <c r="AC444">
        <f t="shared" si="189"/>
        <v>96</v>
      </c>
      <c r="AD444" s="556">
        <v>2.63</v>
      </c>
      <c r="AE444" s="556">
        <v>3.09</v>
      </c>
    </row>
    <row r="445" spans="3:31">
      <c r="AC445">
        <f t="shared" si="189"/>
        <v>97</v>
      </c>
      <c r="AD445" s="556">
        <v>2.48</v>
      </c>
      <c r="AE445" s="556">
        <v>2.9</v>
      </c>
    </row>
    <row r="446" spans="3:31">
      <c r="AC446">
        <f t="shared" si="189"/>
        <v>98</v>
      </c>
      <c r="AD446" s="556">
        <v>2.34</v>
      </c>
      <c r="AE446" s="556">
        <v>2.73</v>
      </c>
    </row>
    <row r="447" spans="3:31">
      <c r="AC447">
        <f t="shared" si="189"/>
        <v>99</v>
      </c>
      <c r="AD447" s="556">
        <v>2.2200000000000002</v>
      </c>
      <c r="AE447" s="556">
        <v>2.57</v>
      </c>
    </row>
    <row r="448" spans="3:31">
      <c r="AC448">
        <f t="shared" si="189"/>
        <v>100</v>
      </c>
      <c r="AD448" s="556">
        <v>2.11</v>
      </c>
      <c r="AE448" s="556">
        <v>2.42</v>
      </c>
    </row>
    <row r="449" spans="2:47">
      <c r="AC449">
        <f t="shared" si="189"/>
        <v>101</v>
      </c>
      <c r="AD449" s="556">
        <v>2</v>
      </c>
      <c r="AE449" s="556">
        <v>2.27</v>
      </c>
    </row>
    <row r="450" spans="2:47">
      <c r="AC450">
        <f t="shared" si="189"/>
        <v>102</v>
      </c>
      <c r="AD450" s="556">
        <v>1.89</v>
      </c>
      <c r="AE450" s="556">
        <v>2.14</v>
      </c>
    </row>
    <row r="451" spans="2:47">
      <c r="AC451">
        <f t="shared" si="189"/>
        <v>103</v>
      </c>
      <c r="AD451" s="556">
        <v>1.79</v>
      </c>
      <c r="AE451" s="556">
        <v>2</v>
      </c>
    </row>
    <row r="452" spans="2:47">
      <c r="AC452">
        <f t="shared" si="189"/>
        <v>104</v>
      </c>
      <c r="AD452" s="556">
        <v>1.69</v>
      </c>
      <c r="AE452" s="556">
        <v>1.88</v>
      </c>
    </row>
    <row r="453" spans="2:47">
      <c r="AC453">
        <f t="shared" si="189"/>
        <v>105</v>
      </c>
      <c r="AD453" s="556">
        <v>1.59</v>
      </c>
      <c r="AE453" s="556">
        <v>1.76</v>
      </c>
    </row>
    <row r="454" spans="2:47">
      <c r="AC454">
        <f t="shared" si="189"/>
        <v>106</v>
      </c>
      <c r="AD454" s="556">
        <v>1.5</v>
      </c>
      <c r="AE454" s="556">
        <v>1.64</v>
      </c>
    </row>
    <row r="455" spans="2:47">
      <c r="AC455">
        <f t="shared" si="189"/>
        <v>107</v>
      </c>
      <c r="AD455" s="556">
        <v>1.41</v>
      </c>
      <c r="AE455" s="556">
        <v>1.53</v>
      </c>
    </row>
    <row r="456" spans="2:47">
      <c r="AC456">
        <f t="shared" si="189"/>
        <v>108</v>
      </c>
      <c r="AD456" s="556">
        <v>1.33</v>
      </c>
      <c r="AE456" s="556">
        <v>1.43</v>
      </c>
    </row>
    <row r="457" spans="2:47">
      <c r="AC457">
        <f t="shared" si="189"/>
        <v>109</v>
      </c>
      <c r="AD457" s="556">
        <v>1.25</v>
      </c>
      <c r="AE457" s="556">
        <v>1.33</v>
      </c>
    </row>
    <row r="458" spans="2:47">
      <c r="AC458">
        <f t="shared" si="189"/>
        <v>110</v>
      </c>
      <c r="AD458" s="556">
        <v>1.17</v>
      </c>
      <c r="AE458" s="556">
        <v>1.24</v>
      </c>
    </row>
    <row r="459" spans="2:47">
      <c r="AD459" s="1640"/>
      <c r="AE459" s="1640"/>
    </row>
    <row r="460" spans="2:47">
      <c r="AD460" s="1640"/>
      <c r="AE460" s="1640"/>
    </row>
    <row r="461" spans="2:47">
      <c r="AD461" s="1640"/>
      <c r="AE461" s="1640"/>
    </row>
    <row r="462" spans="2:47">
      <c r="AD462" s="1640"/>
      <c r="AE462" s="1640"/>
    </row>
    <row r="463" spans="2:47">
      <c r="B463" s="69" t="s">
        <v>435</v>
      </c>
      <c r="J463" s="69"/>
      <c r="K463" s="69"/>
      <c r="L463" s="69"/>
      <c r="M463" s="69"/>
      <c r="N463" s="69"/>
      <c r="O463" s="69"/>
      <c r="P463" s="69"/>
      <c r="Q463" s="69"/>
      <c r="R463" s="69"/>
      <c r="S463" s="69"/>
      <c r="T463" s="69"/>
      <c r="U463" s="69"/>
      <c r="V463" s="69"/>
      <c r="W463" s="69"/>
      <c r="X463" s="69"/>
      <c r="Y463" s="69"/>
      <c r="Z463" s="69"/>
      <c r="AA463" s="69"/>
      <c r="AB463" s="69"/>
      <c r="AC463" s="69"/>
      <c r="AD463" s="69"/>
      <c r="AE463" s="69"/>
      <c r="AF463" s="69"/>
      <c r="AG463" s="69"/>
      <c r="AH463" s="69"/>
      <c r="AI463" s="69"/>
      <c r="AJ463" s="69"/>
      <c r="AK463" s="69"/>
      <c r="AL463" s="69"/>
      <c r="AM463" s="69"/>
      <c r="AN463" s="69"/>
      <c r="AO463" s="69"/>
      <c r="AP463" s="69"/>
      <c r="AQ463" s="69"/>
      <c r="AR463" s="69"/>
      <c r="AS463" s="69"/>
      <c r="AT463" s="69"/>
      <c r="AU463" s="69"/>
    </row>
    <row r="464" spans="2:47">
      <c r="AD464" s="1641"/>
      <c r="AE464" s="1641"/>
    </row>
    <row r="465" spans="3:31">
      <c r="C465" s="69"/>
      <c r="D465" s="69"/>
      <c r="E465" s="69"/>
      <c r="F465" s="69"/>
      <c r="G465" s="69"/>
      <c r="H465" s="69"/>
      <c r="I465" s="69"/>
      <c r="AD465" s="1641"/>
      <c r="AE465" s="1641"/>
    </row>
    <row r="466" spans="3:31">
      <c r="AD466" s="1641"/>
      <c r="AE466" s="1641"/>
    </row>
    <row r="467" spans="3:31">
      <c r="AD467" s="1641"/>
      <c r="AE467" s="1641"/>
    </row>
    <row r="468" spans="3:31">
      <c r="AD468" s="586"/>
      <c r="AE468" s="586"/>
    </row>
    <row r="469" spans="3:31">
      <c r="AD469" s="586"/>
      <c r="AE469" s="586"/>
    </row>
    <row r="470" spans="3:31"/>
    <row r="471" spans="3:31"/>
    <row r="472" spans="3:31"/>
    <row r="473" spans="3:31"/>
    <row r="474" spans="3:31"/>
    <row r="475" spans="3:31"/>
    <row r="476" spans="3:31"/>
    <row r="477" spans="3:31"/>
    <row r="478" spans="3:31"/>
    <row r="479" spans="3:31"/>
    <row r="480" spans="3:31"/>
    <row r="481"/>
    <row r="482"/>
    <row r="483"/>
    <row r="484"/>
    <row r="485"/>
    <row r="486"/>
    <row r="487"/>
    <row r="488"/>
    <row r="489"/>
    <row r="490"/>
    <row r="491"/>
    <row r="492"/>
    <row r="493"/>
    <row r="494"/>
    <row r="495"/>
    <row r="496"/>
    <row r="497"/>
    <row r="498"/>
    <row r="499"/>
    <row r="500"/>
    <row r="501"/>
    <row r="502"/>
    <row r="503"/>
    <row r="504" hidden="1"/>
    <row r="505" hidden="1"/>
    <row r="506" hidden="1"/>
    <row r="507" hidden="1"/>
    <row r="508" hidden="1"/>
    <row r="509" hidden="1"/>
    <row r="510" hidden="1"/>
    <row r="511" hidden="1"/>
    <row r="512" hidden="1"/>
    <row r="513" hidden="1"/>
  </sheetData>
  <sheetProtection sheet="1" objects="1" scenarios="1" formatCells="0" formatColumns="0" formatRows="0"/>
  <mergeCells count="7">
    <mergeCell ref="H336:I336"/>
    <mergeCell ref="AD336:AE336"/>
    <mergeCell ref="A6:B6"/>
    <mergeCell ref="A295:C295"/>
    <mergeCell ref="A330:B330"/>
    <mergeCell ref="E336:F336"/>
    <mergeCell ref="C336:D336"/>
  </mergeCells>
  <phoneticPr fontId="13" type="noConversion"/>
  <dataValidations disablePrompts="1" count="1">
    <dataValidation type="list" allowBlank="1" showInputMessage="1" showErrorMessage="1" errorTitle="Input Error" error="Enter d (Default) or o (Override)" sqref="C335">
      <formula1>"d, o"</formula1>
    </dataValidation>
  </dataValidations>
  <hyperlinks>
    <hyperlink ref="Z335" r:id="rId1"/>
    <hyperlink ref="E333" r:id="rId2"/>
    <hyperlink ref="AD335" r:id="rId3" display="SS Life Expectancy Table"/>
    <hyperlink ref="B29" r:id="rId4"/>
    <hyperlink ref="C29" r:id="rId5" display="Medicare Part d"/>
  </hyperlinks>
  <pageMargins left="0.75" right="0.75" top="1" bottom="1" header="0.5" footer="0.5"/>
  <pageSetup orientation="portrait" r:id="rId6"/>
  <headerFooter alignWithMargins="0"/>
  <ignoredErrors>
    <ignoredError sqref="E40 AT40:AU40 E42 E46 D52 E428 T403:T404 D51 D49 D53 D50 E50:E53" unlockedFormula="1"/>
    <ignoredError sqref="G38:AS38 F41:AU41 G46 F43:AU43 G42 F45:AU45 G44 AT46:AU46 AT42:AU42 AT44:AU44 G40" formula="1"/>
    <ignoredError sqref="F40 E44 H40:AS40 F46 H44:AS44 H42:AS42 H46:AS46 F44 F42" formula="1" unlockedFormula="1"/>
    <ignoredError sqref="N384 P384 R384" formulaRange="1"/>
  </ignoredErrors>
  <drawing r:id="rId7"/>
  <legacyDrawing r:id="rId8"/>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22"/>
  </sheetPr>
  <dimension ref="B2:CT179"/>
  <sheetViews>
    <sheetView zoomScale="75" zoomScaleNormal="75" workbookViewId="0">
      <selection activeCell="B2" sqref="B2"/>
    </sheetView>
  </sheetViews>
  <sheetFormatPr defaultRowHeight="15"/>
  <cols>
    <col min="1" max="1" width="8.36328125" customWidth="1"/>
    <col min="4" max="6" width="10.6328125" customWidth="1"/>
    <col min="7" max="7" width="10" customWidth="1"/>
    <col min="33" max="79" width="6.6328125" customWidth="1"/>
    <col min="80" max="97" width="5.6328125" customWidth="1"/>
  </cols>
  <sheetData>
    <row r="2" spans="2:81" ht="21">
      <c r="B2" s="839" t="s">
        <v>216</v>
      </c>
      <c r="I2" s="189" t="s">
        <v>1351</v>
      </c>
      <c r="M2" s="1537" t="s">
        <v>2174</v>
      </c>
    </row>
    <row r="3" spans="2:81" ht="18" customHeight="1">
      <c r="B3" t="s">
        <v>1211</v>
      </c>
    </row>
    <row r="4" spans="2:81" ht="18" customHeight="1">
      <c r="B4" t="s">
        <v>686</v>
      </c>
      <c r="AE4" s="1038" t="s">
        <v>1677</v>
      </c>
      <c r="AF4" s="6" t="s">
        <v>1215</v>
      </c>
      <c r="AG4" s="6" t="s">
        <v>932</v>
      </c>
      <c r="AH4" s="6" t="s">
        <v>1673</v>
      </c>
      <c r="AK4" s="148" t="s">
        <v>1680</v>
      </c>
    </row>
    <row r="5" spans="2:81" ht="18" customHeight="1">
      <c r="B5" t="s">
        <v>1646</v>
      </c>
      <c r="AE5" s="17" t="s">
        <v>1674</v>
      </c>
      <c r="AF5" s="31">
        <f>+AH62</f>
        <v>1000</v>
      </c>
      <c r="AG5" s="31">
        <f>+AF5</f>
        <v>1000</v>
      </c>
      <c r="AH5" s="31">
        <f t="shared" ref="AH5:AH10" si="0">+AF5-AG5</f>
        <v>0</v>
      </c>
      <c r="AK5" t="s">
        <v>1681</v>
      </c>
    </row>
    <row r="6" spans="2:81" ht="18" customHeight="1">
      <c r="B6" s="22" t="s">
        <v>5</v>
      </c>
      <c r="AE6" s="17" t="s">
        <v>1702</v>
      </c>
      <c r="AF6" s="31">
        <f>+BI58+BM58+BQ58</f>
        <v>2941</v>
      </c>
      <c r="AG6" s="31">
        <f>+BJ58+BN58+BR58</f>
        <v>3247</v>
      </c>
      <c r="AH6" s="31">
        <f t="shared" si="0"/>
        <v>-306</v>
      </c>
      <c r="AK6" t="s">
        <v>1152</v>
      </c>
    </row>
    <row r="7" spans="2:81" ht="18" customHeight="1">
      <c r="B7" t="s">
        <v>232</v>
      </c>
      <c r="AE7" s="17" t="s">
        <v>1675</v>
      </c>
      <c r="AF7" s="31">
        <f>-BY58</f>
        <v>-4267</v>
      </c>
      <c r="AG7" s="31">
        <f>-BZ58</f>
        <v>-4242</v>
      </c>
      <c r="AH7" s="31">
        <f t="shared" si="0"/>
        <v>-25</v>
      </c>
      <c r="AK7" t="s">
        <v>1153</v>
      </c>
    </row>
    <row r="8" spans="2:81" ht="18" customHeight="1">
      <c r="B8" t="s">
        <v>333</v>
      </c>
      <c r="AE8" s="17" t="s">
        <v>1505</v>
      </c>
      <c r="AF8" s="1256">
        <f>-BU58</f>
        <v>-295</v>
      </c>
      <c r="AG8" s="1256">
        <f>-BV58</f>
        <v>-371</v>
      </c>
      <c r="AH8" s="1256">
        <f t="shared" si="0"/>
        <v>76</v>
      </c>
      <c r="AK8" t="s">
        <v>1682</v>
      </c>
    </row>
    <row r="9" spans="2:81" ht="18" customHeight="1">
      <c r="B9" t="s">
        <v>28</v>
      </c>
      <c r="AC9" s="953" t="s">
        <v>753</v>
      </c>
      <c r="AE9" s="17" t="s">
        <v>1083</v>
      </c>
      <c r="AF9" s="31">
        <f>+AF5+AF6+AF7+AF8</f>
        <v>-621</v>
      </c>
      <c r="AG9" s="31">
        <f>+AG5+AG6+AG7+AG8</f>
        <v>-366</v>
      </c>
      <c r="AH9" s="31">
        <f t="shared" si="0"/>
        <v>-255</v>
      </c>
      <c r="AK9" t="s">
        <v>1154</v>
      </c>
    </row>
    <row r="10" spans="2:81" ht="18" customHeight="1">
      <c r="B10" t="s">
        <v>1685</v>
      </c>
      <c r="O10" s="837" t="s">
        <v>753</v>
      </c>
      <c r="AE10" s="17" t="s">
        <v>1679</v>
      </c>
      <c r="AF10" s="31">
        <f>+E15/1000</f>
        <v>639.20000000000005</v>
      </c>
      <c r="AG10">
        <v>0</v>
      </c>
      <c r="AH10" s="31">
        <f t="shared" si="0"/>
        <v>639.20000000000005</v>
      </c>
      <c r="AK10" t="s">
        <v>1155</v>
      </c>
    </row>
    <row r="11" spans="2:81" ht="18" customHeight="1">
      <c r="C11" s="231" t="s">
        <v>2216</v>
      </c>
      <c r="AK11" t="s">
        <v>1683</v>
      </c>
    </row>
    <row r="12" spans="2:81">
      <c r="E12" s="55"/>
      <c r="G12" s="57"/>
      <c r="H12" s="53"/>
      <c r="I12" s="58"/>
      <c r="J12" s="56"/>
      <c r="O12" s="569"/>
    </row>
    <row r="13" spans="2:81" ht="20.399999999999999">
      <c r="D13" s="1824" t="s">
        <v>2175</v>
      </c>
      <c r="E13" s="1824"/>
      <c r="F13" s="836" t="s">
        <v>1523</v>
      </c>
      <c r="G13" s="57"/>
      <c r="H13" s="53"/>
      <c r="I13" s="58"/>
      <c r="J13" s="579"/>
      <c r="M13" s="1254" t="s">
        <v>1028</v>
      </c>
      <c r="AA13" s="17" t="s">
        <v>2192</v>
      </c>
      <c r="AB13" s="1697">
        <v>4.8000000000000001E-2</v>
      </c>
    </row>
    <row r="14" spans="2:81" ht="20.399999999999999">
      <c r="D14" s="6" t="s">
        <v>1426</v>
      </c>
      <c r="E14" s="932" t="s">
        <v>799</v>
      </c>
      <c r="F14" s="6" t="s">
        <v>233</v>
      </c>
      <c r="G14" s="390" t="s">
        <v>1698</v>
      </c>
      <c r="I14" s="58"/>
      <c r="J14" s="56"/>
      <c r="M14" s="1254" t="s">
        <v>1670</v>
      </c>
      <c r="N14" s="840"/>
      <c r="O14" s="840"/>
      <c r="P14" s="840"/>
      <c r="Q14" s="840"/>
      <c r="R14" s="840"/>
      <c r="S14" s="840"/>
      <c r="T14" s="840"/>
      <c r="U14" s="840"/>
      <c r="V14" s="840"/>
      <c r="W14" s="840"/>
      <c r="X14" s="840"/>
      <c r="Y14" s="840"/>
      <c r="AA14" s="840"/>
      <c r="AE14" s="837" t="s">
        <v>46</v>
      </c>
    </row>
    <row r="15" spans="2:81" ht="15.6">
      <c r="C15" s="8" t="s">
        <v>752</v>
      </c>
      <c r="D15" s="31">
        <f ca="1">+Details!E19</f>
        <v>2702400</v>
      </c>
      <c r="E15" s="1460">
        <v>639200</v>
      </c>
      <c r="F15" s="653">
        <v>601000</v>
      </c>
      <c r="G15" s="31">
        <f>+E15-F15</f>
        <v>38200</v>
      </c>
      <c r="H15" s="933">
        <f>+G15/E15</f>
        <v>5.9762202753441802E-2</v>
      </c>
      <c r="I15" s="58"/>
      <c r="J15" s="56"/>
      <c r="M15" s="231" t="s">
        <v>2091</v>
      </c>
    </row>
    <row r="16" spans="2:81" ht="15.6">
      <c r="D16" s="29"/>
      <c r="E16" s="1460"/>
      <c r="G16" s="57"/>
      <c r="I16" s="58"/>
      <c r="J16" s="56"/>
      <c r="M16" s="840"/>
      <c r="N16" s="840"/>
      <c r="O16" s="840"/>
      <c r="P16" s="840"/>
      <c r="Q16" s="840"/>
      <c r="R16" s="840"/>
      <c r="S16" s="840"/>
      <c r="T16" s="954" t="s">
        <v>990</v>
      </c>
      <c r="U16" s="840"/>
      <c r="V16" s="954" t="s">
        <v>990</v>
      </c>
      <c r="W16" s="840"/>
      <c r="X16" s="231" t="s">
        <v>6</v>
      </c>
      <c r="Y16" s="840"/>
      <c r="Z16" s="840"/>
      <c r="AA16" s="840"/>
      <c r="AB16" s="840"/>
      <c r="AE16" s="266" t="s">
        <v>204</v>
      </c>
      <c r="AF16" s="109" t="s">
        <v>722</v>
      </c>
      <c r="AG16" s="1831" t="s">
        <v>1214</v>
      </c>
      <c r="AH16" s="1831"/>
      <c r="AI16" s="1831"/>
      <c r="AK16" s="1831" t="s">
        <v>1217</v>
      </c>
      <c r="AL16" s="1831"/>
      <c r="AM16" s="1831"/>
      <c r="AO16" s="1824" t="s">
        <v>1346</v>
      </c>
      <c r="AP16" s="1824"/>
      <c r="AQ16" s="1824"/>
      <c r="AS16" s="1824" t="s">
        <v>1347</v>
      </c>
      <c r="AT16" s="1824"/>
      <c r="AU16" s="1824"/>
      <c r="AW16" s="1824" t="s">
        <v>1626</v>
      </c>
      <c r="AX16" s="1824"/>
      <c r="AY16" s="1824"/>
      <c r="AZ16" s="22"/>
      <c r="BA16" s="1824" t="s">
        <v>520</v>
      </c>
      <c r="BB16" s="1824"/>
      <c r="BC16" s="1824"/>
      <c r="BD16" s="22"/>
      <c r="BE16" s="1824" t="s">
        <v>519</v>
      </c>
      <c r="BF16" s="1824"/>
      <c r="BG16" s="1824"/>
      <c r="BH16" s="22"/>
      <c r="BI16" s="1824" t="s">
        <v>1349</v>
      </c>
      <c r="BJ16" s="1824"/>
      <c r="BK16" s="1824"/>
      <c r="BL16" s="22"/>
      <c r="BM16" s="1824" t="s">
        <v>1348</v>
      </c>
      <c r="BN16" s="1824"/>
      <c r="BO16" s="1824"/>
      <c r="BP16" s="22"/>
      <c r="BQ16" s="1824" t="s">
        <v>1464</v>
      </c>
      <c r="BR16" s="1824"/>
      <c r="BS16" s="1824"/>
      <c r="BT16" s="22"/>
      <c r="BU16" s="1824" t="s">
        <v>1589</v>
      </c>
      <c r="BV16" s="1824"/>
      <c r="BW16" s="1824"/>
      <c r="BX16" s="22"/>
      <c r="BY16" s="1824" t="s">
        <v>332</v>
      </c>
      <c r="BZ16" s="1824"/>
      <c r="CA16" s="1824"/>
      <c r="CC16" s="109" t="s">
        <v>722</v>
      </c>
    </row>
    <row r="17" spans="3:82" ht="21" thickBot="1">
      <c r="D17" s="735"/>
      <c r="E17" s="931"/>
      <c r="F17" s="1253" t="s">
        <v>556</v>
      </c>
      <c r="G17" s="831"/>
      <c r="H17" s="268"/>
      <c r="I17" s="832"/>
      <c r="J17" s="833"/>
      <c r="K17" s="268"/>
      <c r="L17" s="589" t="s">
        <v>691</v>
      </c>
      <c r="M17" s="509" t="s">
        <v>1704</v>
      </c>
      <c r="N17" s="509" t="s">
        <v>1622</v>
      </c>
      <c r="O17" s="509" t="s">
        <v>1623</v>
      </c>
      <c r="P17" s="509" t="s">
        <v>1624</v>
      </c>
      <c r="Q17" s="509" t="s">
        <v>1625</v>
      </c>
      <c r="R17" s="509" t="s">
        <v>1626</v>
      </c>
      <c r="S17" s="509" t="s">
        <v>1627</v>
      </c>
      <c r="T17" s="955" t="s">
        <v>991</v>
      </c>
      <c r="U17" s="509" t="s">
        <v>1628</v>
      </c>
      <c r="V17" s="955" t="s">
        <v>1629</v>
      </c>
      <c r="W17" s="509" t="s">
        <v>1630</v>
      </c>
      <c r="X17" s="509" t="s">
        <v>1631</v>
      </c>
      <c r="Y17" s="1258" t="s">
        <v>1732</v>
      </c>
      <c r="Z17" s="509" t="s">
        <v>1588</v>
      </c>
      <c r="AA17" s="509" t="s">
        <v>1589</v>
      </c>
      <c r="AB17" s="509" t="s">
        <v>1590</v>
      </c>
      <c r="AC17" s="509" t="s">
        <v>1591</v>
      </c>
      <c r="AD17" s="1258" t="s">
        <v>1708</v>
      </c>
      <c r="AE17">
        <f>+Total_Years</f>
        <v>30</v>
      </c>
      <c r="AF17" s="607" t="s">
        <v>1704</v>
      </c>
      <c r="AG17" s="607" t="s">
        <v>1215</v>
      </c>
      <c r="AH17" s="607" t="s">
        <v>932</v>
      </c>
      <c r="AI17" s="607" t="s">
        <v>1216</v>
      </c>
      <c r="AK17" s="607" t="s">
        <v>1215</v>
      </c>
      <c r="AL17" s="607" t="s">
        <v>932</v>
      </c>
      <c r="AM17" s="607" t="s">
        <v>1216</v>
      </c>
      <c r="AO17" s="607" t="s">
        <v>1215</v>
      </c>
      <c r="AP17" s="607" t="s">
        <v>932</v>
      </c>
      <c r="AQ17" s="607" t="s">
        <v>1216</v>
      </c>
      <c r="AS17" s="607" t="s">
        <v>1215</v>
      </c>
      <c r="AT17" s="607" t="s">
        <v>932</v>
      </c>
      <c r="AU17" s="607" t="s">
        <v>1216</v>
      </c>
      <c r="AW17" s="607" t="s">
        <v>1215</v>
      </c>
      <c r="AX17" s="607" t="s">
        <v>932</v>
      </c>
      <c r="AY17" s="607" t="s">
        <v>1216</v>
      </c>
      <c r="BA17" s="607" t="s">
        <v>1215</v>
      </c>
      <c r="BB17" s="607" t="s">
        <v>932</v>
      </c>
      <c r="BC17" s="607" t="s">
        <v>1216</v>
      </c>
      <c r="BE17" s="607" t="s">
        <v>1215</v>
      </c>
      <c r="BF17" s="607" t="s">
        <v>932</v>
      </c>
      <c r="BG17" s="607" t="s">
        <v>1216</v>
      </c>
      <c r="BI17" s="607" t="s">
        <v>1215</v>
      </c>
      <c r="BJ17" s="607" t="s">
        <v>932</v>
      </c>
      <c r="BK17" s="607" t="s">
        <v>1216</v>
      </c>
      <c r="BM17" s="607" t="s">
        <v>1215</v>
      </c>
      <c r="BN17" s="607" t="s">
        <v>932</v>
      </c>
      <c r="BO17" s="607" t="s">
        <v>1216</v>
      </c>
      <c r="BQ17" s="607" t="s">
        <v>1215</v>
      </c>
      <c r="BR17" s="607" t="s">
        <v>932</v>
      </c>
      <c r="BS17" s="607" t="s">
        <v>1216</v>
      </c>
      <c r="BU17" s="607" t="s">
        <v>1215</v>
      </c>
      <c r="BV17" s="607" t="s">
        <v>932</v>
      </c>
      <c r="BW17" s="607" t="s">
        <v>1216</v>
      </c>
      <c r="BY17" s="607" t="s">
        <v>1215</v>
      </c>
      <c r="BZ17" s="607" t="s">
        <v>932</v>
      </c>
      <c r="CA17" s="607" t="s">
        <v>1216</v>
      </c>
      <c r="CC17" s="607" t="s">
        <v>1704</v>
      </c>
    </row>
    <row r="18" spans="3:82" ht="16.8">
      <c r="C18" s="8" t="s">
        <v>1507</v>
      </c>
      <c r="D18" s="354">
        <f>+Your_Age</f>
        <v>62</v>
      </c>
      <c r="E18" s="1460">
        <v>62</v>
      </c>
      <c r="F18" s="1684" t="s">
        <v>2053</v>
      </c>
      <c r="G18" s="1685"/>
      <c r="H18" s="1686"/>
      <c r="I18" s="1687"/>
      <c r="J18" s="1688"/>
      <c r="L18" s="245" t="s">
        <v>2211</v>
      </c>
      <c r="M18" s="1693" t="s">
        <v>2087</v>
      </c>
      <c r="N18" s="1693"/>
      <c r="O18" s="1693"/>
      <c r="P18" s="1693"/>
      <c r="Q18" s="1693"/>
      <c r="R18" s="1693"/>
      <c r="S18" s="1693"/>
      <c r="T18" s="1693"/>
      <c r="U18" s="1693"/>
      <c r="V18" s="1693"/>
      <c r="W18" s="1693"/>
      <c r="X18" s="1693"/>
      <c r="Y18" s="1693"/>
      <c r="Z18" s="1693"/>
      <c r="AA18" s="1693"/>
      <c r="AB18" s="1694"/>
      <c r="AC18" s="1694"/>
      <c r="AE18">
        <f>+Summary!B8</f>
        <v>1</v>
      </c>
      <c r="AF18" s="834">
        <f>+ORP!AF65</f>
        <v>62</v>
      </c>
      <c r="AG18" s="31">
        <f>AJ65+AK65</f>
        <v>700</v>
      </c>
      <c r="AH18">
        <f t="shared" ref="AH18:AH57" si="1">ROUND(IF($AE18&gt;$AE$17,0,+N22),0)</f>
        <v>691</v>
      </c>
      <c r="AI18" s="31">
        <f>+AG18-AH18</f>
        <v>9</v>
      </c>
      <c r="AK18" s="31">
        <f>AL65+AM65</f>
        <v>100</v>
      </c>
      <c r="AL18">
        <f t="shared" ref="AL18:AL57" si="2">ROUND(IF($AE18&gt;$AE$17,0,+O22),0)</f>
        <v>100</v>
      </c>
      <c r="AM18" s="31">
        <f>+AK18-AL18</f>
        <v>0</v>
      </c>
      <c r="AO18" s="31">
        <f>AI65</f>
        <v>200</v>
      </c>
      <c r="AP18">
        <f t="shared" ref="AP18:AP57" si="3">ROUND(IF($AE18&gt;$AE$17,0,+P22),0)</f>
        <v>148</v>
      </c>
      <c r="AQ18" s="31">
        <f>+AO18-AP18</f>
        <v>52</v>
      </c>
      <c r="AS18" s="31">
        <f>BK65</f>
        <v>0</v>
      </c>
      <c r="AT18">
        <f t="shared" ref="AT18:AT57" si="4">ROUND(IF($AE18&gt;$AE$17,0,+Q22),0)</f>
        <v>400</v>
      </c>
      <c r="AU18" s="31">
        <f>+AS18-AT18</f>
        <v>-400</v>
      </c>
      <c r="AW18" s="31">
        <f t="shared" ref="AW18:AW57" si="5">+BQ65+BX65+CC65+CG65</f>
        <v>0</v>
      </c>
      <c r="AX18">
        <f t="shared" ref="AX18:AX57" si="6">ROUND(IF($AE18&gt;$AE$17,0,+R22),0)</f>
        <v>0</v>
      </c>
      <c r="AY18" s="31">
        <f>+AW18-AX18</f>
        <v>0</v>
      </c>
      <c r="BA18" s="31">
        <f t="shared" ref="BA18:BA57" si="7">+BW65+CB65+CF65+CJ65</f>
        <v>50</v>
      </c>
      <c r="BB18">
        <f t="shared" ref="BB18:BB57" si="8">ROUND(IF($AE18&gt;$AE$17,0,+S22),0)</f>
        <v>9</v>
      </c>
      <c r="BC18" s="31">
        <f>+BA18-BB18</f>
        <v>41</v>
      </c>
      <c r="BE18" s="31">
        <f>CN65+CO65+CR65</f>
        <v>0</v>
      </c>
      <c r="BF18">
        <f>ROUND(IF($AE18&gt;$AE$17,0,+U22),0)</f>
        <v>0</v>
      </c>
      <c r="BG18" s="31">
        <f t="shared" ref="BG18:BG57" si="9">+BE18-BF18</f>
        <v>0</v>
      </c>
      <c r="BI18" s="31">
        <f>AU65+AV65</f>
        <v>0</v>
      </c>
      <c r="BJ18">
        <f>ROUND(IF($AE18&gt;$AE$17,0,W22),0)</f>
        <v>0</v>
      </c>
      <c r="BK18" s="31">
        <f>+BI18-BJ18</f>
        <v>0</v>
      </c>
      <c r="BM18" s="31">
        <f>AX65</f>
        <v>10</v>
      </c>
      <c r="BN18">
        <f>ROUND(IF($AE18&gt;$AE$17,0,X22),0)</f>
        <v>10</v>
      </c>
      <c r="BO18" s="31">
        <f>+BM18-BN18</f>
        <v>0</v>
      </c>
      <c r="BQ18" s="31">
        <f>+AW65+AY65+BL65+SUM(AP65:AT65)</f>
        <v>52</v>
      </c>
      <c r="BR18">
        <f>ROUND(IF($AE18&gt;$AE$17,0,+AD22),0)</f>
        <v>45</v>
      </c>
      <c r="BS18" s="31">
        <f>+BQ18-BR18</f>
        <v>7</v>
      </c>
      <c r="BU18" s="31">
        <f t="shared" ref="BU18:BU57" si="10">+BC65</f>
        <v>7</v>
      </c>
      <c r="BV18">
        <f t="shared" ref="BV18:BV56" si="11">ROUND(IF($AE18&gt;$AE$17,0,+AA22+AB22),0)</f>
        <v>0</v>
      </c>
      <c r="BW18" s="31">
        <f t="shared" ref="BW18:BW57" si="12">+BU18-BV18</f>
        <v>7</v>
      </c>
      <c r="BY18" s="31">
        <f t="shared" ref="BY18:BY57" si="13">+BB65</f>
        <v>76</v>
      </c>
      <c r="BZ18">
        <f t="shared" ref="BZ18:BZ23" si="14">ROUND(IF($AE18&gt;$AE$17,0,AC22),0)</f>
        <v>76</v>
      </c>
      <c r="CA18" s="31">
        <f>+BY18-BZ18</f>
        <v>0</v>
      </c>
      <c r="CC18" s="834">
        <f>+AF18</f>
        <v>62</v>
      </c>
      <c r="CD18">
        <v>1</v>
      </c>
    </row>
    <row r="19" spans="3:82" ht="16.8">
      <c r="C19" s="8" t="s">
        <v>1508</v>
      </c>
      <c r="D19" s="354">
        <f>+Spouse_Age</f>
        <v>61</v>
      </c>
      <c r="E19" s="1460">
        <v>61</v>
      </c>
      <c r="F19" s="1684" t="s">
        <v>1455</v>
      </c>
      <c r="G19" s="1685"/>
      <c r="H19" s="1686"/>
      <c r="I19" s="1687"/>
      <c r="J19" s="1688"/>
      <c r="L19" s="245" t="s">
        <v>1671</v>
      </c>
      <c r="M19" s="1693" t="s">
        <v>1618</v>
      </c>
      <c r="N19" s="1693"/>
      <c r="O19" s="1693"/>
      <c r="P19" s="1693"/>
      <c r="Q19" s="1693"/>
      <c r="R19" s="1693"/>
      <c r="S19" s="1693"/>
      <c r="T19" s="1693"/>
      <c r="U19" s="1693"/>
      <c r="V19" s="1693"/>
      <c r="W19" s="1693"/>
      <c r="X19" s="1693"/>
      <c r="Y19" s="1693"/>
      <c r="Z19" s="1693"/>
      <c r="AA19" s="1693"/>
      <c r="AB19" s="1694"/>
      <c r="AC19" s="1694"/>
      <c r="AE19">
        <f>+Summary!B9</f>
        <v>2</v>
      </c>
      <c r="AF19" s="834">
        <f>+ORP!AF66</f>
        <v>63</v>
      </c>
      <c r="AG19" s="31">
        <f t="shared" ref="AG19:AG57" si="15">AJ66+AK66</f>
        <v>687</v>
      </c>
      <c r="AH19">
        <f t="shared" si="1"/>
        <v>709</v>
      </c>
      <c r="AI19" s="31">
        <f t="shared" ref="AI19:AI57" si="16">+AG19-AH19</f>
        <v>-22</v>
      </c>
      <c r="AK19" s="31">
        <f t="shared" ref="AK19:AK57" si="17">AL66+AM66</f>
        <v>105</v>
      </c>
      <c r="AL19">
        <f t="shared" si="2"/>
        <v>107</v>
      </c>
      <c r="AM19" s="31">
        <f t="shared" ref="AM19:AM57" si="18">+AK19-AL19</f>
        <v>-2</v>
      </c>
      <c r="AO19" s="31">
        <f t="shared" ref="AO19:AO57" si="19">AI66</f>
        <v>188</v>
      </c>
      <c r="AP19">
        <f t="shared" si="3"/>
        <v>117</v>
      </c>
      <c r="AQ19" s="31">
        <f t="shared" ref="AQ19:AQ57" si="20">+AO19-AP19</f>
        <v>71</v>
      </c>
      <c r="AS19" s="31">
        <f t="shared" ref="AS19:AS57" si="21">BK66</f>
        <v>0</v>
      </c>
      <c r="AT19">
        <f t="shared" si="4"/>
        <v>408</v>
      </c>
      <c r="AU19" s="31">
        <f t="shared" ref="AU19:AU57" si="22">+AS19-AT19</f>
        <v>-408</v>
      </c>
      <c r="AW19" s="31">
        <f t="shared" si="5"/>
        <v>0</v>
      </c>
      <c r="AX19">
        <f t="shared" si="6"/>
        <v>0</v>
      </c>
      <c r="AY19" s="31">
        <f t="shared" ref="AY19:AY57" si="23">+AW19-AX19</f>
        <v>0</v>
      </c>
      <c r="BA19" s="31">
        <f t="shared" si="7"/>
        <v>52</v>
      </c>
      <c r="BB19">
        <f t="shared" si="8"/>
        <v>30</v>
      </c>
      <c r="BC19" s="31">
        <f t="shared" ref="BC19:BC57" si="24">+BA19-BB19</f>
        <v>22</v>
      </c>
      <c r="BE19" s="31">
        <f t="shared" ref="BE19:BE57" si="25">CN66+CO66+CR66</f>
        <v>0</v>
      </c>
      <c r="BF19">
        <f t="shared" ref="BF19:BF57" si="26">ROUND(IF($AE19&gt;$AE$17,0,+U23),0)</f>
        <v>0</v>
      </c>
      <c r="BG19" s="31">
        <f t="shared" si="9"/>
        <v>0</v>
      </c>
      <c r="BI19" s="31">
        <f t="shared" ref="BI19:BI57" si="27">AU66+AV66</f>
        <v>0</v>
      </c>
      <c r="BJ19">
        <f t="shared" ref="BJ19:BJ57" si="28">ROUND(IF($AE19&gt;$AE$17,0,W23),0)</f>
        <v>0</v>
      </c>
      <c r="BK19" s="31">
        <f t="shared" ref="BK19:BK57" si="29">+BI19-BJ19</f>
        <v>0</v>
      </c>
      <c r="BM19" s="31">
        <f t="shared" ref="BM19:BM57" si="30">AX66</f>
        <v>10</v>
      </c>
      <c r="BN19">
        <f t="shared" ref="BN19:BN57" si="31">ROUND(IF($AE19&gt;$AE$17,0,X23),0)</f>
        <v>10</v>
      </c>
      <c r="BO19" s="31">
        <f t="shared" ref="BO19:BO57" si="32">+BM19-BN19</f>
        <v>0</v>
      </c>
      <c r="BQ19" s="31">
        <f t="shared" ref="BQ19:BQ57" si="33">+AW66+AY66+BL66+SUM(AP66:AT66)</f>
        <v>52</v>
      </c>
      <c r="BR19">
        <f t="shared" ref="BR19:BR57" si="34">ROUND(IF($AE19&gt;$AE$17,0,+AD23),0)</f>
        <v>45</v>
      </c>
      <c r="BS19" s="31">
        <f t="shared" ref="BS19:BS57" si="35">+BQ19-BR19</f>
        <v>7</v>
      </c>
      <c r="BU19" s="31">
        <f t="shared" si="10"/>
        <v>7</v>
      </c>
      <c r="BV19">
        <f t="shared" si="11"/>
        <v>2</v>
      </c>
      <c r="BW19" s="31">
        <f t="shared" si="12"/>
        <v>5</v>
      </c>
      <c r="BY19" s="31">
        <f t="shared" si="13"/>
        <v>79</v>
      </c>
      <c r="BZ19">
        <f t="shared" si="14"/>
        <v>79</v>
      </c>
      <c r="CA19" s="31">
        <f>+BY19-BZ19</f>
        <v>0</v>
      </c>
      <c r="CC19" s="834">
        <f t="shared" ref="CC19:CC57" si="36">+AF19</f>
        <v>63</v>
      </c>
      <c r="CD19">
        <f>+CD18+1</f>
        <v>2</v>
      </c>
    </row>
    <row r="20" spans="3:82" ht="16.8">
      <c r="C20" s="454" t="s">
        <v>1535</v>
      </c>
      <c r="D20" s="354">
        <f>+tIRA_Begin</f>
        <v>500000</v>
      </c>
      <c r="E20" s="1460">
        <v>700000</v>
      </c>
      <c r="F20" s="1684" t="s">
        <v>1408</v>
      </c>
      <c r="G20" s="1685"/>
      <c r="H20" s="1686"/>
      <c r="I20" s="1687"/>
      <c r="J20" s="1688"/>
      <c r="L20" s="245" t="s">
        <v>2209</v>
      </c>
      <c r="M20" s="1693" t="s">
        <v>1619</v>
      </c>
      <c r="N20" s="1693" t="s">
        <v>1620</v>
      </c>
      <c r="O20" s="1693">
        <v>1</v>
      </c>
      <c r="P20" s="1693" t="s">
        <v>1621</v>
      </c>
      <c r="Q20" s="1693"/>
      <c r="R20" s="1693"/>
      <c r="S20" s="1693"/>
      <c r="T20" s="1693"/>
      <c r="U20" s="1693"/>
      <c r="V20" s="1693"/>
      <c r="W20" s="1693"/>
      <c r="X20" s="1693"/>
      <c r="Y20" s="1693"/>
      <c r="Z20" s="1693"/>
      <c r="AA20" s="1693"/>
      <c r="AB20" s="1687"/>
      <c r="AC20" s="1687"/>
      <c r="AE20">
        <f>+Summary!B10</f>
        <v>3</v>
      </c>
      <c r="AF20" s="834">
        <f>+ORP!AF67</f>
        <v>64</v>
      </c>
      <c r="AG20" s="31">
        <f t="shared" si="15"/>
        <v>670</v>
      </c>
      <c r="AH20">
        <f t="shared" si="1"/>
        <v>727</v>
      </c>
      <c r="AI20" s="31">
        <f t="shared" si="16"/>
        <v>-57</v>
      </c>
      <c r="AK20" s="31">
        <f t="shared" si="17"/>
        <v>111</v>
      </c>
      <c r="AL20">
        <f t="shared" si="2"/>
        <v>114</v>
      </c>
      <c r="AM20" s="31">
        <f t="shared" si="18"/>
        <v>-3</v>
      </c>
      <c r="AO20" s="31">
        <f t="shared" si="19"/>
        <v>174</v>
      </c>
      <c r="AP20">
        <f t="shared" si="3"/>
        <v>82</v>
      </c>
      <c r="AQ20" s="31">
        <f t="shared" si="20"/>
        <v>92</v>
      </c>
      <c r="AS20" s="31">
        <f t="shared" si="21"/>
        <v>0</v>
      </c>
      <c r="AT20">
        <f t="shared" si="4"/>
        <v>416</v>
      </c>
      <c r="AU20" s="31">
        <f t="shared" si="22"/>
        <v>-416</v>
      </c>
      <c r="AW20" s="31">
        <f t="shared" si="5"/>
        <v>0</v>
      </c>
      <c r="AX20">
        <f t="shared" si="6"/>
        <v>0</v>
      </c>
      <c r="AY20" s="31">
        <f t="shared" si="23"/>
        <v>0</v>
      </c>
      <c r="BA20" s="31">
        <f t="shared" si="7"/>
        <v>54</v>
      </c>
      <c r="BB20">
        <f t="shared" si="8"/>
        <v>32</v>
      </c>
      <c r="BC20" s="31">
        <f t="shared" si="24"/>
        <v>22</v>
      </c>
      <c r="BE20" s="31">
        <f t="shared" si="25"/>
        <v>0</v>
      </c>
      <c r="BF20">
        <f t="shared" si="26"/>
        <v>0</v>
      </c>
      <c r="BG20" s="31">
        <f t="shared" si="9"/>
        <v>0</v>
      </c>
      <c r="BI20" s="31">
        <f t="shared" si="27"/>
        <v>0</v>
      </c>
      <c r="BJ20">
        <f t="shared" si="28"/>
        <v>0</v>
      </c>
      <c r="BK20" s="31">
        <f t="shared" si="29"/>
        <v>0</v>
      </c>
      <c r="BM20" s="31">
        <f t="shared" si="30"/>
        <v>10</v>
      </c>
      <c r="BN20">
        <f t="shared" si="31"/>
        <v>10</v>
      </c>
      <c r="BO20" s="31">
        <f t="shared" si="32"/>
        <v>0</v>
      </c>
      <c r="BQ20" s="31">
        <f t="shared" si="33"/>
        <v>50</v>
      </c>
      <c r="BR20">
        <f t="shared" si="34"/>
        <v>44</v>
      </c>
      <c r="BS20" s="31">
        <f t="shared" si="35"/>
        <v>6</v>
      </c>
      <c r="BU20" s="31">
        <f t="shared" si="10"/>
        <v>7</v>
      </c>
      <c r="BV20">
        <f t="shared" si="11"/>
        <v>3</v>
      </c>
      <c r="BW20" s="31">
        <f t="shared" si="12"/>
        <v>4</v>
      </c>
      <c r="BY20" s="31">
        <f t="shared" si="13"/>
        <v>82</v>
      </c>
      <c r="BZ20">
        <f t="shared" si="14"/>
        <v>82</v>
      </c>
      <c r="CA20" s="31">
        <f t="shared" ref="CA20:CA57" si="37">+BY20-BZ20</f>
        <v>0</v>
      </c>
      <c r="CC20" s="834">
        <f t="shared" si="36"/>
        <v>64</v>
      </c>
      <c r="CD20">
        <f t="shared" ref="CD20:CD57" si="38">+CD19+1</f>
        <v>3</v>
      </c>
    </row>
    <row r="21" spans="3:82" ht="16.8">
      <c r="C21" s="454" t="s">
        <v>1536</v>
      </c>
      <c r="D21" s="354">
        <f>tIRA_Begin2</f>
        <v>200000</v>
      </c>
      <c r="E21" s="1460">
        <v>0</v>
      </c>
      <c r="F21" s="1684" t="s">
        <v>723</v>
      </c>
      <c r="G21" s="1685"/>
      <c r="H21" s="1686"/>
      <c r="I21" s="1687"/>
      <c r="J21" s="1688"/>
      <c r="L21" s="1090" t="s">
        <v>2210</v>
      </c>
      <c r="M21" s="1693" t="s">
        <v>1704</v>
      </c>
      <c r="N21" s="1693" t="s">
        <v>1622</v>
      </c>
      <c r="O21" s="1693" t="s">
        <v>1623</v>
      </c>
      <c r="P21" s="1693" t="s">
        <v>1624</v>
      </c>
      <c r="Q21" s="1693" t="s">
        <v>1625</v>
      </c>
      <c r="R21" s="1693" t="s">
        <v>1626</v>
      </c>
      <c r="S21" s="1693" t="s">
        <v>1627</v>
      </c>
      <c r="T21" s="1693" t="s">
        <v>991</v>
      </c>
      <c r="U21" s="1693" t="s">
        <v>1628</v>
      </c>
      <c r="V21" s="1687"/>
      <c r="W21" s="1693" t="s">
        <v>1630</v>
      </c>
      <c r="X21" s="1693" t="s">
        <v>1631</v>
      </c>
      <c r="Y21" s="1687"/>
      <c r="Z21" s="1693" t="s">
        <v>1588</v>
      </c>
      <c r="AA21" s="1693" t="s">
        <v>1589</v>
      </c>
      <c r="AB21" s="1693" t="s">
        <v>1590</v>
      </c>
      <c r="AC21" s="1693" t="s">
        <v>1591</v>
      </c>
      <c r="AE21">
        <f>+Summary!B11</f>
        <v>4</v>
      </c>
      <c r="AF21" s="834">
        <f>+ORP!AF68</f>
        <v>65</v>
      </c>
      <c r="AG21" s="31">
        <f t="shared" si="15"/>
        <v>651</v>
      </c>
      <c r="AH21">
        <f t="shared" si="1"/>
        <v>738</v>
      </c>
      <c r="AI21" s="31">
        <f t="shared" si="16"/>
        <v>-87</v>
      </c>
      <c r="AK21" s="31">
        <f t="shared" si="17"/>
        <v>117</v>
      </c>
      <c r="AL21">
        <f t="shared" si="2"/>
        <v>123</v>
      </c>
      <c r="AM21" s="31">
        <f t="shared" si="18"/>
        <v>-6</v>
      </c>
      <c r="AO21" s="31">
        <f t="shared" si="19"/>
        <v>158</v>
      </c>
      <c r="AP21">
        <f t="shared" si="3"/>
        <v>48</v>
      </c>
      <c r="AQ21" s="31">
        <f t="shared" si="20"/>
        <v>110</v>
      </c>
      <c r="AS21" s="31">
        <f t="shared" si="21"/>
        <v>0</v>
      </c>
      <c r="AT21">
        <f t="shared" si="4"/>
        <v>424</v>
      </c>
      <c r="AU21" s="31">
        <f t="shared" si="22"/>
        <v>-424</v>
      </c>
      <c r="AW21" s="31">
        <f t="shared" si="5"/>
        <v>0</v>
      </c>
      <c r="AX21">
        <f t="shared" si="6"/>
        <v>0</v>
      </c>
      <c r="AY21" s="31">
        <f t="shared" si="23"/>
        <v>0</v>
      </c>
      <c r="BA21" s="31">
        <f t="shared" si="7"/>
        <v>56</v>
      </c>
      <c r="BB21">
        <f t="shared" si="8"/>
        <v>40</v>
      </c>
      <c r="BC21" s="31">
        <f t="shared" si="24"/>
        <v>16</v>
      </c>
      <c r="BE21" s="31">
        <f t="shared" si="25"/>
        <v>0</v>
      </c>
      <c r="BF21">
        <f t="shared" si="26"/>
        <v>0</v>
      </c>
      <c r="BG21" s="31">
        <f t="shared" si="9"/>
        <v>0</v>
      </c>
      <c r="BI21" s="31">
        <f t="shared" si="27"/>
        <v>0</v>
      </c>
      <c r="BJ21">
        <f t="shared" si="28"/>
        <v>0</v>
      </c>
      <c r="BK21" s="31">
        <f t="shared" si="29"/>
        <v>0</v>
      </c>
      <c r="BM21" s="31">
        <f t="shared" si="30"/>
        <v>11</v>
      </c>
      <c r="BN21">
        <f t="shared" si="31"/>
        <v>11</v>
      </c>
      <c r="BO21" s="31">
        <f t="shared" si="32"/>
        <v>0</v>
      </c>
      <c r="BQ21" s="31">
        <f t="shared" si="33"/>
        <v>48</v>
      </c>
      <c r="BR21">
        <f t="shared" si="34"/>
        <v>44</v>
      </c>
      <c r="BS21" s="31">
        <f t="shared" si="35"/>
        <v>4</v>
      </c>
      <c r="BU21" s="31">
        <f t="shared" si="10"/>
        <v>7</v>
      </c>
      <c r="BV21">
        <f t="shared" si="11"/>
        <v>4</v>
      </c>
      <c r="BW21" s="31">
        <f t="shared" si="12"/>
        <v>3</v>
      </c>
      <c r="BY21" s="31">
        <f t="shared" si="13"/>
        <v>86</v>
      </c>
      <c r="BZ21">
        <f t="shared" si="14"/>
        <v>85</v>
      </c>
      <c r="CA21" s="31">
        <f t="shared" si="37"/>
        <v>1</v>
      </c>
      <c r="CC21" s="834">
        <f t="shared" si="36"/>
        <v>65</v>
      </c>
      <c r="CD21">
        <f t="shared" si="38"/>
        <v>4</v>
      </c>
    </row>
    <row r="22" spans="3:82" ht="16.8">
      <c r="C22" s="8" t="s">
        <v>27</v>
      </c>
      <c r="D22" s="354"/>
      <c r="E22" s="1460"/>
      <c r="F22" s="1684" t="s">
        <v>906</v>
      </c>
      <c r="G22" s="1685"/>
      <c r="H22" s="1686"/>
      <c r="I22" s="1687"/>
      <c r="J22" s="1688"/>
      <c r="L22" s="1696" t="s">
        <v>1671</v>
      </c>
      <c r="M22" s="1693">
        <v>62</v>
      </c>
      <c r="N22" s="1693">
        <v>690.83699999999999</v>
      </c>
      <c r="O22" s="1693">
        <v>100</v>
      </c>
      <c r="P22" s="1693">
        <v>148.38200000000001</v>
      </c>
      <c r="Q22" s="1693">
        <v>400</v>
      </c>
      <c r="R22" s="1693">
        <v>0</v>
      </c>
      <c r="S22" s="1693">
        <v>9.1627399999999994</v>
      </c>
      <c r="T22" s="1693">
        <v>51.617699999999999</v>
      </c>
      <c r="U22" s="1693"/>
      <c r="V22" s="1687"/>
      <c r="W22" s="1693"/>
      <c r="X22" s="1693">
        <v>10</v>
      </c>
      <c r="Y22" s="1695"/>
      <c r="Z22" s="1693">
        <v>4.8372599999999997</v>
      </c>
      <c r="AA22" s="1693">
        <v>0</v>
      </c>
      <c r="AB22" s="1693">
        <v>0</v>
      </c>
      <c r="AC22" s="1693">
        <v>75.617699999999999</v>
      </c>
      <c r="AD22" s="1698">
        <f>(N22+O22+P22)*$AB$13</f>
        <v>45.082512000000001</v>
      </c>
      <c r="AE22">
        <f>+Summary!B12</f>
        <v>5</v>
      </c>
      <c r="AF22" s="834">
        <f>+ORP!AF69</f>
        <v>66</v>
      </c>
      <c r="AG22" s="31">
        <f t="shared" si="15"/>
        <v>628</v>
      </c>
      <c r="AH22">
        <f t="shared" si="1"/>
        <v>705</v>
      </c>
      <c r="AI22" s="31">
        <f t="shared" si="16"/>
        <v>-77</v>
      </c>
      <c r="AK22" s="31">
        <f t="shared" si="17"/>
        <v>123</v>
      </c>
      <c r="AL22">
        <f t="shared" si="2"/>
        <v>131</v>
      </c>
      <c r="AM22" s="31">
        <f t="shared" si="18"/>
        <v>-8</v>
      </c>
      <c r="AO22" s="31">
        <f t="shared" si="19"/>
        <v>140</v>
      </c>
      <c r="AP22">
        <f t="shared" si="3"/>
        <v>50</v>
      </c>
      <c r="AQ22" s="31">
        <f t="shared" si="20"/>
        <v>90</v>
      </c>
      <c r="AS22" s="31">
        <f t="shared" si="21"/>
        <v>0</v>
      </c>
      <c r="AT22">
        <f t="shared" si="4"/>
        <v>433</v>
      </c>
      <c r="AU22" s="31">
        <f t="shared" si="22"/>
        <v>-433</v>
      </c>
      <c r="AW22" s="31">
        <f t="shared" si="5"/>
        <v>0</v>
      </c>
      <c r="AX22">
        <f t="shared" si="6"/>
        <v>0</v>
      </c>
      <c r="AY22" s="31">
        <f t="shared" si="23"/>
        <v>0</v>
      </c>
      <c r="BA22" s="31">
        <f t="shared" si="7"/>
        <v>59</v>
      </c>
      <c r="BB22">
        <f t="shared" si="8"/>
        <v>84</v>
      </c>
      <c r="BC22" s="31">
        <f t="shared" si="24"/>
        <v>-25</v>
      </c>
      <c r="BE22" s="31">
        <f t="shared" si="25"/>
        <v>0</v>
      </c>
      <c r="BF22">
        <f t="shared" si="26"/>
        <v>0</v>
      </c>
      <c r="BG22" s="31">
        <f t="shared" si="9"/>
        <v>0</v>
      </c>
      <c r="BI22" s="31">
        <f t="shared" si="27"/>
        <v>0</v>
      </c>
      <c r="BJ22">
        <f t="shared" si="28"/>
        <v>0</v>
      </c>
      <c r="BK22" s="31">
        <f t="shared" si="29"/>
        <v>0</v>
      </c>
      <c r="BM22" s="31">
        <f t="shared" si="30"/>
        <v>11</v>
      </c>
      <c r="BN22">
        <f t="shared" si="31"/>
        <v>11</v>
      </c>
      <c r="BO22" s="31">
        <f t="shared" si="32"/>
        <v>0</v>
      </c>
      <c r="BQ22" s="31">
        <f t="shared" si="33"/>
        <v>46</v>
      </c>
      <c r="BR22">
        <f t="shared" si="34"/>
        <v>43</v>
      </c>
      <c r="BS22" s="31">
        <f t="shared" si="35"/>
        <v>3</v>
      </c>
      <c r="BU22" s="31">
        <f t="shared" si="10"/>
        <v>8</v>
      </c>
      <c r="BV22">
        <f t="shared" si="11"/>
        <v>8</v>
      </c>
      <c r="BW22" s="31">
        <f t="shared" si="12"/>
        <v>0</v>
      </c>
      <c r="BY22" s="31">
        <f t="shared" si="13"/>
        <v>89</v>
      </c>
      <c r="BZ22">
        <f t="shared" si="14"/>
        <v>88</v>
      </c>
      <c r="CA22" s="31">
        <f t="shared" si="37"/>
        <v>1</v>
      </c>
      <c r="CC22" s="834">
        <f t="shared" si="36"/>
        <v>66</v>
      </c>
      <c r="CD22">
        <f t="shared" si="38"/>
        <v>5</v>
      </c>
    </row>
    <row r="23" spans="3:82" ht="16.8">
      <c r="C23" s="8" t="s">
        <v>27</v>
      </c>
      <c r="D23" s="354"/>
      <c r="E23" s="1460"/>
      <c r="F23" s="1684" t="s">
        <v>1370</v>
      </c>
      <c r="G23" s="1685"/>
      <c r="H23" s="1686"/>
      <c r="I23" s="1687"/>
      <c r="J23" s="1688"/>
      <c r="L23" s="1706" t="s">
        <v>2190</v>
      </c>
      <c r="M23" s="1693">
        <v>63</v>
      </c>
      <c r="N23" s="1693">
        <v>709.29600000000005</v>
      </c>
      <c r="O23" s="1693">
        <v>107</v>
      </c>
      <c r="P23" s="1693">
        <v>116.89400000000001</v>
      </c>
      <c r="Q23" s="1693">
        <v>408</v>
      </c>
      <c r="R23" s="1693">
        <v>0</v>
      </c>
      <c r="S23" s="1693">
        <v>29.900300000000001</v>
      </c>
      <c r="T23" s="1693">
        <v>37.037999999999997</v>
      </c>
      <c r="U23" s="1693"/>
      <c r="V23" s="1687"/>
      <c r="W23" s="1693"/>
      <c r="X23" s="1693">
        <v>10.199999999999999</v>
      </c>
      <c r="Y23" s="1695"/>
      <c r="Z23" s="1693">
        <v>3.81074</v>
      </c>
      <c r="AA23" s="1693">
        <v>1.9431</v>
      </c>
      <c r="AB23" s="1693">
        <v>0.36345</v>
      </c>
      <c r="AC23" s="1693">
        <v>78.642399999999995</v>
      </c>
      <c r="AD23" s="1698">
        <f t="shared" ref="AD23:AD52" si="39">(N23+O23+P23)*$AB$13</f>
        <v>44.793120000000002</v>
      </c>
      <c r="AE23">
        <f>+Summary!B13</f>
        <v>6</v>
      </c>
      <c r="AF23" s="834">
        <f>+ORP!AF70</f>
        <v>67</v>
      </c>
      <c r="AG23" s="31">
        <f t="shared" si="15"/>
        <v>602</v>
      </c>
      <c r="AH23">
        <f t="shared" si="1"/>
        <v>667</v>
      </c>
      <c r="AI23" s="31">
        <f t="shared" si="16"/>
        <v>-65</v>
      </c>
      <c r="AK23" s="31">
        <f t="shared" si="17"/>
        <v>130</v>
      </c>
      <c r="AL23">
        <f t="shared" si="2"/>
        <v>140</v>
      </c>
      <c r="AM23" s="31">
        <f t="shared" si="18"/>
        <v>-10</v>
      </c>
      <c r="AO23" s="31">
        <f t="shared" si="19"/>
        <v>120</v>
      </c>
      <c r="AP23">
        <f t="shared" si="3"/>
        <v>52</v>
      </c>
      <c r="AQ23" s="31">
        <f t="shared" si="20"/>
        <v>68</v>
      </c>
      <c r="AS23" s="31">
        <f t="shared" si="21"/>
        <v>0</v>
      </c>
      <c r="AT23">
        <f t="shared" si="4"/>
        <v>442</v>
      </c>
      <c r="AU23" s="31">
        <f t="shared" si="22"/>
        <v>-442</v>
      </c>
      <c r="AW23" s="31">
        <f t="shared" si="5"/>
        <v>0</v>
      </c>
      <c r="AX23">
        <f t="shared" si="6"/>
        <v>0</v>
      </c>
      <c r="AY23" s="31">
        <f t="shared" si="23"/>
        <v>0</v>
      </c>
      <c r="BA23" s="31">
        <f t="shared" si="7"/>
        <v>61</v>
      </c>
      <c r="BB23">
        <f t="shared" si="8"/>
        <v>88</v>
      </c>
      <c r="BC23" s="31">
        <f t="shared" si="24"/>
        <v>-27</v>
      </c>
      <c r="BE23" s="31">
        <f t="shared" si="25"/>
        <v>0</v>
      </c>
      <c r="BF23">
        <f t="shared" si="26"/>
        <v>0</v>
      </c>
      <c r="BG23" s="31">
        <f t="shared" si="9"/>
        <v>0</v>
      </c>
      <c r="BI23" s="31">
        <f t="shared" si="27"/>
        <v>0</v>
      </c>
      <c r="BJ23">
        <f t="shared" si="28"/>
        <v>0</v>
      </c>
      <c r="BK23" s="31">
        <f t="shared" si="29"/>
        <v>0</v>
      </c>
      <c r="BM23" s="31">
        <f t="shared" si="30"/>
        <v>11</v>
      </c>
      <c r="BN23">
        <f t="shared" si="31"/>
        <v>11</v>
      </c>
      <c r="BO23" s="31">
        <f t="shared" si="32"/>
        <v>0</v>
      </c>
      <c r="BQ23" s="31">
        <f t="shared" si="33"/>
        <v>44</v>
      </c>
      <c r="BR23">
        <f t="shared" si="34"/>
        <v>41</v>
      </c>
      <c r="BS23" s="31">
        <f t="shared" si="35"/>
        <v>3</v>
      </c>
      <c r="BU23" s="31">
        <f t="shared" si="10"/>
        <v>8</v>
      </c>
      <c r="BV23">
        <f t="shared" si="11"/>
        <v>8</v>
      </c>
      <c r="BW23" s="31">
        <f t="shared" si="12"/>
        <v>0</v>
      </c>
      <c r="BY23" s="31">
        <f t="shared" si="13"/>
        <v>93</v>
      </c>
      <c r="BZ23">
        <f t="shared" si="14"/>
        <v>92</v>
      </c>
      <c r="CA23" s="31">
        <f t="shared" si="37"/>
        <v>1</v>
      </c>
      <c r="CC23" s="834">
        <f t="shared" si="36"/>
        <v>67</v>
      </c>
      <c r="CD23">
        <f t="shared" si="38"/>
        <v>6</v>
      </c>
    </row>
    <row r="24" spans="3:82" ht="16.8">
      <c r="C24" s="8" t="s">
        <v>27</v>
      </c>
      <c r="E24" s="1460"/>
      <c r="F24" s="1684" t="s">
        <v>1409</v>
      </c>
      <c r="G24" s="1685"/>
      <c r="H24" s="1686"/>
      <c r="I24" s="1687"/>
      <c r="J24" s="1688"/>
      <c r="L24" s="1707" t="s">
        <v>2191</v>
      </c>
      <c r="M24" s="1693">
        <v>64</v>
      </c>
      <c r="N24" s="1693">
        <v>727.21900000000005</v>
      </c>
      <c r="O24" s="1693">
        <v>114.49</v>
      </c>
      <c r="P24" s="1693">
        <v>81.5304</v>
      </c>
      <c r="Q24" s="1693">
        <v>416.16</v>
      </c>
      <c r="R24" s="1693">
        <v>0</v>
      </c>
      <c r="S24" s="1693">
        <v>31.7273</v>
      </c>
      <c r="T24" s="1693">
        <v>39.735199999999999</v>
      </c>
      <c r="U24" s="1693"/>
      <c r="V24" s="1687"/>
      <c r="W24" s="1693"/>
      <c r="X24" s="1693">
        <v>10.404</v>
      </c>
      <c r="Y24" s="1695"/>
      <c r="Z24" s="1693">
        <v>2.6578900000000001</v>
      </c>
      <c r="AA24" s="1693">
        <v>1.9819599999999999</v>
      </c>
      <c r="AB24" s="1693">
        <v>0.75432999999999995</v>
      </c>
      <c r="AC24" s="1693">
        <v>81.7881</v>
      </c>
      <c r="AD24" s="1698">
        <f t="shared" si="39"/>
        <v>44.315491200000004</v>
      </c>
      <c r="AE24">
        <f>+Summary!B14</f>
        <v>7</v>
      </c>
      <c r="AF24" s="834">
        <f>+ORP!AF71</f>
        <v>68</v>
      </c>
      <c r="AG24" s="31">
        <f t="shared" si="15"/>
        <v>572</v>
      </c>
      <c r="AH24">
        <f t="shared" si="1"/>
        <v>622</v>
      </c>
      <c r="AI24" s="31">
        <f t="shared" si="16"/>
        <v>-50</v>
      </c>
      <c r="AK24" s="31">
        <f t="shared" si="17"/>
        <v>137</v>
      </c>
      <c r="AL24">
        <f t="shared" si="2"/>
        <v>150</v>
      </c>
      <c r="AM24" s="31">
        <f t="shared" si="18"/>
        <v>-13</v>
      </c>
      <c r="AO24" s="31">
        <f t="shared" si="19"/>
        <v>97</v>
      </c>
      <c r="AP24">
        <f t="shared" si="3"/>
        <v>54</v>
      </c>
      <c r="AQ24" s="31">
        <f t="shared" si="20"/>
        <v>43</v>
      </c>
      <c r="AS24" s="31">
        <f t="shared" si="21"/>
        <v>0</v>
      </c>
      <c r="AT24">
        <f t="shared" si="4"/>
        <v>450</v>
      </c>
      <c r="AU24" s="31">
        <f t="shared" si="22"/>
        <v>-450</v>
      </c>
      <c r="AW24" s="31">
        <f t="shared" si="5"/>
        <v>0</v>
      </c>
      <c r="AX24">
        <f t="shared" si="6"/>
        <v>0</v>
      </c>
      <c r="AY24" s="31">
        <f t="shared" si="23"/>
        <v>0</v>
      </c>
      <c r="BA24" s="31">
        <f t="shared" si="7"/>
        <v>63</v>
      </c>
      <c r="BB24">
        <f t="shared" si="8"/>
        <v>92</v>
      </c>
      <c r="BC24" s="31">
        <f t="shared" si="24"/>
        <v>-29</v>
      </c>
      <c r="BE24" s="31">
        <f t="shared" si="25"/>
        <v>0</v>
      </c>
      <c r="BF24">
        <f t="shared" si="26"/>
        <v>0</v>
      </c>
      <c r="BG24" s="31">
        <f t="shared" si="9"/>
        <v>0</v>
      </c>
      <c r="BI24" s="31">
        <f t="shared" si="27"/>
        <v>0</v>
      </c>
      <c r="BJ24">
        <f t="shared" si="28"/>
        <v>0</v>
      </c>
      <c r="BK24" s="31">
        <f t="shared" si="29"/>
        <v>0</v>
      </c>
      <c r="BM24" s="31">
        <f t="shared" si="30"/>
        <v>11</v>
      </c>
      <c r="BN24">
        <f t="shared" si="31"/>
        <v>11</v>
      </c>
      <c r="BO24" s="31">
        <f t="shared" si="32"/>
        <v>0</v>
      </c>
      <c r="BQ24" s="31">
        <f t="shared" si="33"/>
        <v>41</v>
      </c>
      <c r="BR24">
        <f t="shared" si="34"/>
        <v>40</v>
      </c>
      <c r="BS24" s="31">
        <f t="shared" si="35"/>
        <v>1</v>
      </c>
      <c r="BU24" s="31">
        <f t="shared" si="10"/>
        <v>8</v>
      </c>
      <c r="BV24">
        <f t="shared" si="11"/>
        <v>9</v>
      </c>
      <c r="BW24" s="31">
        <f t="shared" si="12"/>
        <v>-1</v>
      </c>
      <c r="BY24" s="31">
        <f t="shared" si="13"/>
        <v>96</v>
      </c>
      <c r="BZ24">
        <f t="shared" ref="BZ24:BZ56" si="40">ROUND(IF($AE24&gt;$AE$17,0,AC28),0)</f>
        <v>96</v>
      </c>
      <c r="CA24" s="31">
        <f t="shared" si="37"/>
        <v>0</v>
      </c>
      <c r="CC24" s="834">
        <f t="shared" si="36"/>
        <v>68</v>
      </c>
      <c r="CD24">
        <f t="shared" si="38"/>
        <v>7</v>
      </c>
    </row>
    <row r="25" spans="3:82" ht="16.8">
      <c r="C25" s="8" t="s">
        <v>27</v>
      </c>
      <c r="E25" s="1460"/>
      <c r="F25" s="1684" t="s">
        <v>1410</v>
      </c>
      <c r="G25" s="1685"/>
      <c r="H25" s="1686"/>
      <c r="I25" s="1687"/>
      <c r="J25" s="1688"/>
      <c r="L25" s="1707" t="s">
        <v>2212</v>
      </c>
      <c r="M25" s="1693">
        <v>65</v>
      </c>
      <c r="N25" s="1693">
        <v>737.85799999999995</v>
      </c>
      <c r="O25" s="1693">
        <v>122.504</v>
      </c>
      <c r="P25" s="1693">
        <v>48.1297</v>
      </c>
      <c r="Q25" s="1693">
        <v>424.483</v>
      </c>
      <c r="R25" s="1693">
        <v>0</v>
      </c>
      <c r="S25" s="1693">
        <v>40.265999999999998</v>
      </c>
      <c r="T25" s="1693">
        <v>36.4499</v>
      </c>
      <c r="U25" s="1693"/>
      <c r="V25" s="1687"/>
      <c r="W25" s="1693"/>
      <c r="X25" s="1693">
        <v>10.6121</v>
      </c>
      <c r="Y25" s="1695"/>
      <c r="Z25" s="1693">
        <v>1.5690299999999999</v>
      </c>
      <c r="AA25" s="1693">
        <v>2.8330600000000001</v>
      </c>
      <c r="AB25" s="1693">
        <v>1.0043800000000001</v>
      </c>
      <c r="AC25" s="1693">
        <v>85.059600000000003</v>
      </c>
      <c r="AD25" s="1698">
        <f t="shared" si="39"/>
        <v>43.607601599999995</v>
      </c>
      <c r="AE25">
        <f>+Summary!B15</f>
        <v>8</v>
      </c>
      <c r="AF25" s="834">
        <f>+ORP!AF72</f>
        <v>69</v>
      </c>
      <c r="AG25" s="31">
        <f t="shared" si="15"/>
        <v>538</v>
      </c>
      <c r="AH25">
        <f t="shared" si="1"/>
        <v>628</v>
      </c>
      <c r="AI25" s="31">
        <f t="shared" si="16"/>
        <v>-90</v>
      </c>
      <c r="AK25" s="31">
        <f t="shared" si="17"/>
        <v>145</v>
      </c>
      <c r="AL25">
        <f t="shared" si="2"/>
        <v>161</v>
      </c>
      <c r="AM25" s="31">
        <f t="shared" si="18"/>
        <v>-16</v>
      </c>
      <c r="AO25" s="31">
        <f t="shared" si="19"/>
        <v>72</v>
      </c>
      <c r="AP25">
        <f t="shared" si="3"/>
        <v>0</v>
      </c>
      <c r="AQ25" s="31">
        <f t="shared" si="20"/>
        <v>72</v>
      </c>
      <c r="AS25" s="31">
        <f t="shared" si="21"/>
        <v>0</v>
      </c>
      <c r="AT25">
        <f t="shared" si="4"/>
        <v>459</v>
      </c>
      <c r="AU25" s="31">
        <f t="shared" si="22"/>
        <v>-459</v>
      </c>
      <c r="AW25" s="31">
        <f t="shared" si="5"/>
        <v>0</v>
      </c>
      <c r="AX25">
        <f t="shared" si="6"/>
        <v>0</v>
      </c>
      <c r="AY25" s="31">
        <f t="shared" si="23"/>
        <v>0</v>
      </c>
      <c r="BA25" s="31">
        <f t="shared" si="7"/>
        <v>66</v>
      </c>
      <c r="BB25">
        <f t="shared" si="8"/>
        <v>38</v>
      </c>
      <c r="BC25" s="31">
        <f t="shared" si="24"/>
        <v>28</v>
      </c>
      <c r="BE25" s="31">
        <f t="shared" si="25"/>
        <v>0</v>
      </c>
      <c r="BF25">
        <f t="shared" si="26"/>
        <v>0</v>
      </c>
      <c r="BG25" s="31">
        <f t="shared" si="9"/>
        <v>0</v>
      </c>
      <c r="BI25" s="31">
        <f t="shared" si="27"/>
        <v>0</v>
      </c>
      <c r="BJ25">
        <f t="shared" si="28"/>
        <v>0</v>
      </c>
      <c r="BK25" s="31">
        <f t="shared" si="29"/>
        <v>0</v>
      </c>
      <c r="BM25" s="31">
        <f t="shared" si="30"/>
        <v>11</v>
      </c>
      <c r="BN25">
        <f t="shared" si="31"/>
        <v>11</v>
      </c>
      <c r="BO25" s="31">
        <f t="shared" si="32"/>
        <v>0</v>
      </c>
      <c r="BQ25" s="31">
        <f t="shared" si="33"/>
        <v>38</v>
      </c>
      <c r="BR25">
        <f t="shared" si="34"/>
        <v>38</v>
      </c>
      <c r="BS25" s="31">
        <f t="shared" si="35"/>
        <v>0</v>
      </c>
      <c r="BU25" s="31">
        <f t="shared" si="10"/>
        <v>9</v>
      </c>
      <c r="BV25">
        <f t="shared" si="11"/>
        <v>5</v>
      </c>
      <c r="BW25" s="31">
        <f t="shared" si="12"/>
        <v>4</v>
      </c>
      <c r="BY25" s="31">
        <f t="shared" si="13"/>
        <v>100</v>
      </c>
      <c r="BZ25">
        <f t="shared" si="40"/>
        <v>100</v>
      </c>
      <c r="CA25" s="31">
        <f t="shared" si="37"/>
        <v>0</v>
      </c>
      <c r="CC25" s="834">
        <f t="shared" si="36"/>
        <v>69</v>
      </c>
      <c r="CD25">
        <f t="shared" si="38"/>
        <v>8</v>
      </c>
    </row>
    <row r="26" spans="3:82" ht="16.8">
      <c r="C26" s="454" t="s">
        <v>922</v>
      </c>
      <c r="D26" s="354">
        <f>+Roth_Begin</f>
        <v>75000</v>
      </c>
      <c r="E26" s="1460">
        <v>100000</v>
      </c>
      <c r="F26" s="1684" t="s">
        <v>1411</v>
      </c>
      <c r="G26" s="1685"/>
      <c r="H26" s="1686"/>
      <c r="I26" s="1687"/>
      <c r="J26" s="1688"/>
      <c r="L26" s="1707" t="s">
        <v>2213</v>
      </c>
      <c r="M26" s="1693">
        <v>66</v>
      </c>
      <c r="N26" s="1693">
        <v>705.447</v>
      </c>
      <c r="O26" s="1693">
        <v>131.08000000000001</v>
      </c>
      <c r="P26" s="1693">
        <v>49.9298</v>
      </c>
      <c r="Q26" s="1693">
        <v>432.97300000000001</v>
      </c>
      <c r="R26" s="1693">
        <v>0</v>
      </c>
      <c r="S26" s="1693">
        <v>84.061899999999994</v>
      </c>
      <c r="T26" s="1693"/>
      <c r="U26" s="1693"/>
      <c r="V26" s="1687"/>
      <c r="W26" s="1693"/>
      <c r="X26" s="1693">
        <v>10.824299999999999</v>
      </c>
      <c r="Y26" s="1695"/>
      <c r="Z26" s="1693">
        <v>1.62771</v>
      </c>
      <c r="AA26" s="1693">
        <v>8.05185</v>
      </c>
      <c r="AB26" s="1693">
        <v>0</v>
      </c>
      <c r="AC26" s="1693">
        <v>88.462000000000003</v>
      </c>
      <c r="AD26" s="1698">
        <f t="shared" si="39"/>
        <v>42.549926400000004</v>
      </c>
      <c r="AE26">
        <f>+Summary!B16</f>
        <v>9</v>
      </c>
      <c r="AF26" s="834">
        <f>+ORP!AF73</f>
        <v>70</v>
      </c>
      <c r="AG26" s="31">
        <f t="shared" si="15"/>
        <v>499</v>
      </c>
      <c r="AH26">
        <f t="shared" si="1"/>
        <v>615</v>
      </c>
      <c r="AI26" s="31">
        <f t="shared" si="16"/>
        <v>-116</v>
      </c>
      <c r="AK26" s="31">
        <f t="shared" si="17"/>
        <v>152</v>
      </c>
      <c r="AL26">
        <f t="shared" si="2"/>
        <v>172</v>
      </c>
      <c r="AM26" s="31">
        <f t="shared" si="18"/>
        <v>-20</v>
      </c>
      <c r="AO26" s="31">
        <f t="shared" si="19"/>
        <v>44</v>
      </c>
      <c r="AP26">
        <f t="shared" si="3"/>
        <v>0</v>
      </c>
      <c r="AQ26" s="31">
        <f t="shared" si="20"/>
        <v>44</v>
      </c>
      <c r="AS26" s="31">
        <f t="shared" si="21"/>
        <v>0</v>
      </c>
      <c r="AT26">
        <f t="shared" si="4"/>
        <v>469</v>
      </c>
      <c r="AU26" s="31">
        <f t="shared" si="22"/>
        <v>-469</v>
      </c>
      <c r="AW26" s="31">
        <f t="shared" si="5"/>
        <v>18</v>
      </c>
      <c r="AX26">
        <f t="shared" si="6"/>
        <v>22</v>
      </c>
      <c r="AY26" s="31">
        <f t="shared" si="23"/>
        <v>-4</v>
      </c>
      <c r="BA26" s="31">
        <f t="shared" si="7"/>
        <v>68</v>
      </c>
      <c r="BB26">
        <f t="shared" si="8"/>
        <v>57</v>
      </c>
      <c r="BC26" s="31">
        <f t="shared" si="24"/>
        <v>11</v>
      </c>
      <c r="BE26" s="31">
        <f t="shared" si="25"/>
        <v>15</v>
      </c>
      <c r="BF26">
        <f t="shared" si="26"/>
        <v>0</v>
      </c>
      <c r="BG26" s="31">
        <f t="shared" si="9"/>
        <v>15</v>
      </c>
      <c r="BI26" s="31">
        <f t="shared" si="27"/>
        <v>46</v>
      </c>
      <c r="BJ26">
        <f t="shared" si="28"/>
        <v>45</v>
      </c>
      <c r="BK26" s="31">
        <f t="shared" si="29"/>
        <v>1</v>
      </c>
      <c r="BM26" s="31">
        <f t="shared" si="30"/>
        <v>12</v>
      </c>
      <c r="BN26">
        <f t="shared" si="31"/>
        <v>12</v>
      </c>
      <c r="BO26" s="31">
        <f t="shared" si="32"/>
        <v>0</v>
      </c>
      <c r="BQ26" s="31">
        <f t="shared" si="33"/>
        <v>37</v>
      </c>
      <c r="BR26">
        <f t="shared" si="34"/>
        <v>38</v>
      </c>
      <c r="BS26" s="31">
        <f t="shared" si="35"/>
        <v>-1</v>
      </c>
      <c r="BU26" s="31">
        <f t="shared" si="10"/>
        <v>22</v>
      </c>
      <c r="BV26">
        <f t="shared" si="11"/>
        <v>11</v>
      </c>
      <c r="BW26" s="31">
        <f t="shared" si="12"/>
        <v>11</v>
      </c>
      <c r="BY26" s="31">
        <f t="shared" si="13"/>
        <v>104</v>
      </c>
      <c r="BZ26">
        <f t="shared" si="40"/>
        <v>103</v>
      </c>
      <c r="CA26" s="31">
        <f t="shared" si="37"/>
        <v>1</v>
      </c>
      <c r="CC26" s="834">
        <f t="shared" si="36"/>
        <v>70</v>
      </c>
      <c r="CD26">
        <f t="shared" si="38"/>
        <v>9</v>
      </c>
    </row>
    <row r="27" spans="3:82" ht="16.8">
      <c r="C27" s="454" t="s">
        <v>894</v>
      </c>
      <c r="D27" s="354">
        <f>+Roth2_Begin</f>
        <v>25000</v>
      </c>
      <c r="E27" s="1460">
        <v>0</v>
      </c>
      <c r="F27" s="1684" t="s">
        <v>1412</v>
      </c>
      <c r="G27" s="1685"/>
      <c r="H27" s="1686"/>
      <c r="I27" s="1687"/>
      <c r="J27" s="1688"/>
      <c r="L27" s="1707" t="s">
        <v>2214</v>
      </c>
      <c r="M27" s="1693">
        <v>67</v>
      </c>
      <c r="N27" s="1693">
        <v>667.10299999999995</v>
      </c>
      <c r="O27" s="1693">
        <v>140.255</v>
      </c>
      <c r="P27" s="1693">
        <v>51.7971</v>
      </c>
      <c r="Q27" s="1693">
        <v>441.63200000000001</v>
      </c>
      <c r="R27" s="1693">
        <v>0</v>
      </c>
      <c r="S27" s="1693">
        <v>87.725300000000004</v>
      </c>
      <c r="T27" s="1693"/>
      <c r="U27" s="1693"/>
      <c r="V27" s="1687"/>
      <c r="W27" s="1693"/>
      <c r="X27" s="1693">
        <v>11.040800000000001</v>
      </c>
      <c r="Y27" s="1695"/>
      <c r="Z27" s="1693">
        <v>1.68859</v>
      </c>
      <c r="AA27" s="1693">
        <v>8.4541599999999999</v>
      </c>
      <c r="AB27" s="1693">
        <v>0</v>
      </c>
      <c r="AC27" s="1693">
        <v>92.000500000000002</v>
      </c>
      <c r="AD27" s="1698">
        <f t="shared" si="39"/>
        <v>41.239444800000001</v>
      </c>
      <c r="AE27">
        <f>+Summary!B17</f>
        <v>10</v>
      </c>
      <c r="AF27" s="834">
        <f>+ORP!AF74</f>
        <v>71</v>
      </c>
      <c r="AG27" s="31">
        <f t="shared" si="15"/>
        <v>437</v>
      </c>
      <c r="AH27">
        <f t="shared" si="1"/>
        <v>629</v>
      </c>
      <c r="AI27" s="31">
        <f t="shared" si="16"/>
        <v>-192</v>
      </c>
      <c r="AK27" s="31">
        <f t="shared" si="17"/>
        <v>145</v>
      </c>
      <c r="AL27">
        <f t="shared" si="2"/>
        <v>184</v>
      </c>
      <c r="AM27" s="31">
        <f t="shared" si="18"/>
        <v>-39</v>
      </c>
      <c r="AO27" s="31">
        <f t="shared" si="19"/>
        <v>81</v>
      </c>
      <c r="AP27">
        <f t="shared" si="3"/>
        <v>0</v>
      </c>
      <c r="AQ27" s="31">
        <f t="shared" si="20"/>
        <v>81</v>
      </c>
      <c r="AS27" s="31">
        <f t="shared" si="21"/>
        <v>0</v>
      </c>
      <c r="AT27">
        <f t="shared" si="4"/>
        <v>478</v>
      </c>
      <c r="AU27" s="31">
        <f t="shared" si="22"/>
        <v>-478</v>
      </c>
      <c r="AW27" s="31">
        <f t="shared" si="5"/>
        <v>17</v>
      </c>
      <c r="AX27">
        <f t="shared" si="6"/>
        <v>24</v>
      </c>
      <c r="AY27" s="31">
        <f t="shared" si="23"/>
        <v>-7</v>
      </c>
      <c r="BA27" s="31">
        <f t="shared" si="7"/>
        <v>71</v>
      </c>
      <c r="BB27">
        <f t="shared" si="8"/>
        <v>29</v>
      </c>
      <c r="BC27" s="31">
        <f t="shared" si="24"/>
        <v>42</v>
      </c>
      <c r="BE27" s="31">
        <f t="shared" si="25"/>
        <v>15</v>
      </c>
      <c r="BF27">
        <f t="shared" si="26"/>
        <v>0</v>
      </c>
      <c r="BG27" s="31">
        <f t="shared" si="9"/>
        <v>15</v>
      </c>
      <c r="BI27" s="31">
        <f t="shared" si="27"/>
        <v>79</v>
      </c>
      <c r="BJ27">
        <f t="shared" si="28"/>
        <v>77</v>
      </c>
      <c r="BK27" s="31">
        <f t="shared" si="29"/>
        <v>2</v>
      </c>
      <c r="BM27" s="31">
        <f t="shared" si="30"/>
        <v>12</v>
      </c>
      <c r="BN27">
        <f t="shared" si="31"/>
        <v>12</v>
      </c>
      <c r="BO27" s="31">
        <f t="shared" si="32"/>
        <v>0</v>
      </c>
      <c r="BQ27" s="31">
        <f t="shared" si="33"/>
        <v>35</v>
      </c>
      <c r="BR27">
        <f t="shared" si="34"/>
        <v>39</v>
      </c>
      <c r="BS27" s="31">
        <f t="shared" si="35"/>
        <v>-4</v>
      </c>
      <c r="BU27" s="31">
        <f t="shared" si="10"/>
        <v>29</v>
      </c>
      <c r="BV27">
        <f t="shared" si="11"/>
        <v>11</v>
      </c>
      <c r="BW27" s="31">
        <f t="shared" si="12"/>
        <v>18</v>
      </c>
      <c r="BY27" s="31">
        <f t="shared" si="13"/>
        <v>108</v>
      </c>
      <c r="BZ27">
        <f t="shared" si="40"/>
        <v>108</v>
      </c>
      <c r="CA27" s="31">
        <f t="shared" si="37"/>
        <v>0</v>
      </c>
      <c r="CC27" s="834">
        <f t="shared" si="36"/>
        <v>71</v>
      </c>
      <c r="CD27">
        <f t="shared" si="38"/>
        <v>10</v>
      </c>
    </row>
    <row r="28" spans="3:82" ht="16.8">
      <c r="C28" s="8" t="s">
        <v>27</v>
      </c>
      <c r="D28" s="354"/>
      <c r="E28" s="1460"/>
      <c r="F28" s="1684" t="s">
        <v>491</v>
      </c>
      <c r="G28" s="1685"/>
      <c r="H28" s="1686"/>
      <c r="I28" s="1687"/>
      <c r="J28" s="1688"/>
      <c r="L28" s="1707" t="s">
        <v>2215</v>
      </c>
      <c r="M28" s="1693">
        <v>68</v>
      </c>
      <c r="N28" s="1693">
        <v>622.25900000000001</v>
      </c>
      <c r="O28" s="1693">
        <v>150.07300000000001</v>
      </c>
      <c r="P28" s="1693">
        <v>53.734400000000001</v>
      </c>
      <c r="Q28" s="1693">
        <v>450.46499999999997</v>
      </c>
      <c r="R28" s="1693">
        <v>0</v>
      </c>
      <c r="S28" s="1693">
        <v>91.541300000000007</v>
      </c>
      <c r="T28" s="1693">
        <v>0</v>
      </c>
      <c r="U28" s="1693"/>
      <c r="V28" s="1687"/>
      <c r="W28" s="1693"/>
      <c r="X28" s="1693">
        <v>11.2616</v>
      </c>
      <c r="Y28" s="1695"/>
      <c r="Z28" s="1693">
        <v>1.7517400000000001</v>
      </c>
      <c r="AA28" s="1693">
        <v>8.8741400000000006</v>
      </c>
      <c r="AB28" s="1693"/>
      <c r="AC28" s="1693">
        <v>95.680499999999995</v>
      </c>
      <c r="AD28" s="1698">
        <f t="shared" si="39"/>
        <v>39.651187200000003</v>
      </c>
      <c r="AE28">
        <f>+Summary!B18</f>
        <v>11</v>
      </c>
      <c r="AF28" s="834">
        <f>+ORP!AF75</f>
        <v>72</v>
      </c>
      <c r="AG28" s="31">
        <f t="shared" si="15"/>
        <v>371</v>
      </c>
      <c r="AH28">
        <f t="shared" si="1"/>
        <v>640</v>
      </c>
      <c r="AI28" s="31">
        <f t="shared" si="16"/>
        <v>-269</v>
      </c>
      <c r="AK28" s="31">
        <f t="shared" si="17"/>
        <v>138</v>
      </c>
      <c r="AL28">
        <f t="shared" si="2"/>
        <v>197</v>
      </c>
      <c r="AM28" s="31">
        <f t="shared" si="18"/>
        <v>-59</v>
      </c>
      <c r="AO28" s="31">
        <f t="shared" si="19"/>
        <v>144</v>
      </c>
      <c r="AP28">
        <f t="shared" si="3"/>
        <v>0</v>
      </c>
      <c r="AQ28" s="31">
        <f t="shared" si="20"/>
        <v>144</v>
      </c>
      <c r="AS28" s="31">
        <f t="shared" si="21"/>
        <v>0</v>
      </c>
      <c r="AT28">
        <f t="shared" si="4"/>
        <v>488</v>
      </c>
      <c r="AU28" s="31">
        <f t="shared" si="22"/>
        <v>-488</v>
      </c>
      <c r="AW28" s="31">
        <f t="shared" si="5"/>
        <v>15</v>
      </c>
      <c r="AX28">
        <f t="shared" si="6"/>
        <v>25</v>
      </c>
      <c r="AY28" s="31">
        <f t="shared" si="23"/>
        <v>-10</v>
      </c>
      <c r="BA28" s="31">
        <f t="shared" si="7"/>
        <v>74</v>
      </c>
      <c r="BB28">
        <f t="shared" si="8"/>
        <v>32</v>
      </c>
      <c r="BC28" s="31">
        <f t="shared" si="24"/>
        <v>42</v>
      </c>
      <c r="BE28" s="31">
        <f t="shared" si="25"/>
        <v>15</v>
      </c>
      <c r="BF28">
        <f t="shared" si="26"/>
        <v>0</v>
      </c>
      <c r="BG28" s="31">
        <f t="shared" si="9"/>
        <v>15</v>
      </c>
      <c r="BI28" s="31">
        <f t="shared" si="27"/>
        <v>80</v>
      </c>
      <c r="BJ28">
        <f t="shared" si="28"/>
        <v>79</v>
      </c>
      <c r="BK28" s="31">
        <f t="shared" si="29"/>
        <v>1</v>
      </c>
      <c r="BM28" s="31">
        <f t="shared" si="30"/>
        <v>12</v>
      </c>
      <c r="BN28">
        <f t="shared" si="31"/>
        <v>12</v>
      </c>
      <c r="BO28" s="31">
        <f t="shared" si="32"/>
        <v>0</v>
      </c>
      <c r="BQ28" s="31">
        <f t="shared" si="33"/>
        <v>35</v>
      </c>
      <c r="BR28">
        <f t="shared" si="34"/>
        <v>40</v>
      </c>
      <c r="BS28" s="31">
        <f t="shared" si="35"/>
        <v>-5</v>
      </c>
      <c r="BU28" s="31">
        <f t="shared" si="10"/>
        <v>29</v>
      </c>
      <c r="BV28">
        <f t="shared" si="11"/>
        <v>11</v>
      </c>
      <c r="BW28" s="31">
        <f t="shared" si="12"/>
        <v>18</v>
      </c>
      <c r="BY28" s="31">
        <f t="shared" si="13"/>
        <v>113</v>
      </c>
      <c r="BZ28">
        <f t="shared" si="40"/>
        <v>112</v>
      </c>
      <c r="CA28" s="31">
        <f t="shared" si="37"/>
        <v>1</v>
      </c>
      <c r="CC28" s="834">
        <f t="shared" si="36"/>
        <v>72</v>
      </c>
      <c r="CD28">
        <f t="shared" si="38"/>
        <v>11</v>
      </c>
    </row>
    <row r="29" spans="3:82" ht="16.8">
      <c r="C29" s="8" t="s">
        <v>27</v>
      </c>
      <c r="D29" s="354"/>
      <c r="E29" s="1460"/>
      <c r="F29" s="1684" t="s">
        <v>492</v>
      </c>
      <c r="G29" s="1685"/>
      <c r="H29" s="1686"/>
      <c r="I29" s="1687"/>
      <c r="J29" s="1688"/>
      <c r="L29" s="1708"/>
      <c r="M29" s="1693">
        <v>69</v>
      </c>
      <c r="N29" s="1693">
        <v>628.197</v>
      </c>
      <c r="O29" s="1693">
        <v>160.578</v>
      </c>
      <c r="P29" s="1693"/>
      <c r="Q29" s="1693">
        <v>459.47399999999999</v>
      </c>
      <c r="R29" s="1693">
        <v>0</v>
      </c>
      <c r="S29" s="1693">
        <v>37.619500000000002</v>
      </c>
      <c r="T29" s="1693">
        <v>55.744</v>
      </c>
      <c r="U29" s="1693"/>
      <c r="V29" s="1687"/>
      <c r="W29" s="1693"/>
      <c r="X29" s="1693">
        <v>11.4869</v>
      </c>
      <c r="Y29" s="1695"/>
      <c r="Z29" s="1693">
        <v>0</v>
      </c>
      <c r="AA29" s="1693">
        <v>2.18825</v>
      </c>
      <c r="AB29" s="1693">
        <v>3.1543899999999998</v>
      </c>
      <c r="AC29" s="1693">
        <v>99.5077</v>
      </c>
      <c r="AD29" s="1698">
        <f t="shared" si="39"/>
        <v>37.861199999999997</v>
      </c>
      <c r="AE29">
        <f>+Summary!B19</f>
        <v>12</v>
      </c>
      <c r="AF29" s="834">
        <f>+ORP!AF76</f>
        <v>73</v>
      </c>
      <c r="AG29" s="31">
        <f t="shared" si="15"/>
        <v>300</v>
      </c>
      <c r="AH29">
        <f t="shared" si="1"/>
        <v>649</v>
      </c>
      <c r="AI29" s="31">
        <f t="shared" si="16"/>
        <v>-349</v>
      </c>
      <c r="AK29" s="31">
        <f t="shared" si="17"/>
        <v>130</v>
      </c>
      <c r="AL29">
        <f t="shared" si="2"/>
        <v>210</v>
      </c>
      <c r="AM29" s="31">
        <f t="shared" si="18"/>
        <v>-80</v>
      </c>
      <c r="AO29" s="31">
        <f t="shared" si="19"/>
        <v>208</v>
      </c>
      <c r="AP29">
        <f t="shared" si="3"/>
        <v>0</v>
      </c>
      <c r="AQ29" s="31">
        <f t="shared" si="20"/>
        <v>208</v>
      </c>
      <c r="AS29" s="31">
        <f t="shared" si="21"/>
        <v>0</v>
      </c>
      <c r="AT29">
        <f t="shared" si="4"/>
        <v>497</v>
      </c>
      <c r="AU29" s="31">
        <f t="shared" si="22"/>
        <v>-497</v>
      </c>
      <c r="AW29" s="31">
        <f t="shared" si="5"/>
        <v>12</v>
      </c>
      <c r="AX29">
        <f t="shared" si="6"/>
        <v>26</v>
      </c>
      <c r="AY29" s="31">
        <f t="shared" si="23"/>
        <v>-14</v>
      </c>
      <c r="BA29" s="31">
        <f t="shared" si="7"/>
        <v>77</v>
      </c>
      <c r="BB29">
        <f t="shared" si="8"/>
        <v>36</v>
      </c>
      <c r="BC29" s="31">
        <f t="shared" si="24"/>
        <v>41</v>
      </c>
      <c r="BE29" s="31">
        <f t="shared" si="25"/>
        <v>15</v>
      </c>
      <c r="BF29">
        <f t="shared" si="26"/>
        <v>0</v>
      </c>
      <c r="BG29" s="31">
        <f t="shared" si="9"/>
        <v>15</v>
      </c>
      <c r="BI29" s="31">
        <f t="shared" si="27"/>
        <v>82</v>
      </c>
      <c r="BJ29">
        <f t="shared" si="28"/>
        <v>80</v>
      </c>
      <c r="BK29" s="31">
        <f t="shared" si="29"/>
        <v>2</v>
      </c>
      <c r="BM29" s="31">
        <f t="shared" si="30"/>
        <v>12</v>
      </c>
      <c r="BN29">
        <f t="shared" si="31"/>
        <v>12</v>
      </c>
      <c r="BO29" s="31">
        <f t="shared" si="32"/>
        <v>0</v>
      </c>
      <c r="BQ29" s="31">
        <f t="shared" si="33"/>
        <v>34</v>
      </c>
      <c r="BR29">
        <f t="shared" si="34"/>
        <v>41</v>
      </c>
      <c r="BS29" s="31">
        <f t="shared" si="35"/>
        <v>-7</v>
      </c>
      <c r="BU29" s="31">
        <f t="shared" si="10"/>
        <v>30</v>
      </c>
      <c r="BV29">
        <f t="shared" si="11"/>
        <v>12</v>
      </c>
      <c r="BW29" s="31">
        <f t="shared" si="12"/>
        <v>18</v>
      </c>
      <c r="BY29" s="31">
        <f t="shared" si="13"/>
        <v>117</v>
      </c>
      <c r="BZ29">
        <f t="shared" si="40"/>
        <v>116</v>
      </c>
      <c r="CA29" s="31">
        <f t="shared" si="37"/>
        <v>1</v>
      </c>
      <c r="CC29" s="834">
        <f t="shared" si="36"/>
        <v>73</v>
      </c>
      <c r="CD29">
        <f t="shared" si="38"/>
        <v>12</v>
      </c>
    </row>
    <row r="30" spans="3:82" ht="16.8">
      <c r="C30" s="8" t="s">
        <v>27</v>
      </c>
      <c r="E30" s="1460"/>
      <c r="F30" s="1684" t="s">
        <v>1042</v>
      </c>
      <c r="G30" s="1685"/>
      <c r="H30" s="1686"/>
      <c r="I30" s="1687"/>
      <c r="J30" s="1688"/>
      <c r="L30" s="1708"/>
      <c r="M30" s="1693">
        <v>70</v>
      </c>
      <c r="N30" s="1693">
        <v>615.01300000000003</v>
      </c>
      <c r="O30" s="1693">
        <v>171.81899999999999</v>
      </c>
      <c r="P30" s="1693">
        <v>0</v>
      </c>
      <c r="Q30" s="1693">
        <v>468.66399999999999</v>
      </c>
      <c r="R30" s="1693">
        <v>22.445499999999999</v>
      </c>
      <c r="S30" s="1693">
        <v>57.158299999999997</v>
      </c>
      <c r="T30" s="1693">
        <v>0</v>
      </c>
      <c r="U30" s="1693"/>
      <c r="V30" s="1687"/>
      <c r="W30" s="1693">
        <v>45.459200000000003</v>
      </c>
      <c r="X30" s="1693">
        <v>11.7166</v>
      </c>
      <c r="Y30" s="1695"/>
      <c r="Z30" s="1693">
        <v>0</v>
      </c>
      <c r="AA30" s="1693">
        <v>10.846</v>
      </c>
      <c r="AB30" s="1693">
        <v>0</v>
      </c>
      <c r="AC30" s="1693">
        <v>103.488</v>
      </c>
      <c r="AD30" s="1698">
        <f t="shared" si="39"/>
        <v>37.767935999999999</v>
      </c>
      <c r="AE30">
        <f>+Summary!B20</f>
        <v>13</v>
      </c>
      <c r="AF30" s="834">
        <f>+ORP!AF77</f>
        <v>74</v>
      </c>
      <c r="AG30" s="31">
        <f t="shared" si="15"/>
        <v>225</v>
      </c>
      <c r="AH30">
        <f t="shared" si="1"/>
        <v>656</v>
      </c>
      <c r="AI30" s="31">
        <f t="shared" si="16"/>
        <v>-431</v>
      </c>
      <c r="AK30" s="31">
        <f t="shared" si="17"/>
        <v>121</v>
      </c>
      <c r="AL30">
        <f t="shared" si="2"/>
        <v>225</v>
      </c>
      <c r="AM30" s="31">
        <f t="shared" si="18"/>
        <v>-104</v>
      </c>
      <c r="AO30" s="31">
        <f t="shared" si="19"/>
        <v>273</v>
      </c>
      <c r="AP30">
        <f t="shared" si="3"/>
        <v>0</v>
      </c>
      <c r="AQ30" s="31">
        <f t="shared" si="20"/>
        <v>273</v>
      </c>
      <c r="AS30" s="31">
        <f t="shared" si="21"/>
        <v>0</v>
      </c>
      <c r="AT30">
        <f t="shared" si="4"/>
        <v>507</v>
      </c>
      <c r="AU30" s="31">
        <f t="shared" si="22"/>
        <v>-507</v>
      </c>
      <c r="AW30" s="31">
        <f t="shared" si="5"/>
        <v>9</v>
      </c>
      <c r="AX30">
        <f t="shared" si="6"/>
        <v>28</v>
      </c>
      <c r="AY30" s="31">
        <f t="shared" si="23"/>
        <v>-19</v>
      </c>
      <c r="BA30" s="31">
        <f t="shared" si="7"/>
        <v>80</v>
      </c>
      <c r="BB30">
        <f t="shared" si="8"/>
        <v>39</v>
      </c>
      <c r="BC30" s="31">
        <f t="shared" si="24"/>
        <v>41</v>
      </c>
      <c r="BE30" s="31">
        <f t="shared" si="25"/>
        <v>15</v>
      </c>
      <c r="BF30">
        <f t="shared" si="26"/>
        <v>0</v>
      </c>
      <c r="BG30" s="31">
        <f t="shared" si="9"/>
        <v>15</v>
      </c>
      <c r="BI30" s="31">
        <f t="shared" si="27"/>
        <v>84</v>
      </c>
      <c r="BJ30">
        <f t="shared" si="28"/>
        <v>82</v>
      </c>
      <c r="BK30" s="31">
        <f t="shared" si="29"/>
        <v>2</v>
      </c>
      <c r="BM30" s="31">
        <f t="shared" si="30"/>
        <v>12</v>
      </c>
      <c r="BN30">
        <f t="shared" si="31"/>
        <v>13</v>
      </c>
      <c r="BO30" s="31">
        <f t="shared" si="32"/>
        <v>-1</v>
      </c>
      <c r="BQ30" s="31">
        <f t="shared" si="33"/>
        <v>33</v>
      </c>
      <c r="BR30">
        <f t="shared" si="34"/>
        <v>42</v>
      </c>
      <c r="BS30" s="31">
        <f t="shared" si="35"/>
        <v>-9</v>
      </c>
      <c r="BU30" s="31">
        <f t="shared" si="10"/>
        <v>30</v>
      </c>
      <c r="BV30">
        <f t="shared" si="11"/>
        <v>12</v>
      </c>
      <c r="BW30" s="31">
        <f t="shared" si="12"/>
        <v>18</v>
      </c>
      <c r="BY30" s="31">
        <f t="shared" si="13"/>
        <v>122</v>
      </c>
      <c r="BZ30">
        <f t="shared" si="40"/>
        <v>121</v>
      </c>
      <c r="CA30" s="31">
        <f t="shared" si="37"/>
        <v>1</v>
      </c>
      <c r="CC30" s="834">
        <f t="shared" si="36"/>
        <v>74</v>
      </c>
      <c r="CD30">
        <f t="shared" si="38"/>
        <v>13</v>
      </c>
    </row>
    <row r="31" spans="3:82" ht="16.8">
      <c r="C31" s="8" t="s">
        <v>979</v>
      </c>
      <c r="D31" s="354">
        <f>+Taxable_Begin</f>
        <v>200000</v>
      </c>
      <c r="E31" s="1460">
        <v>200000</v>
      </c>
      <c r="F31" s="1684" t="s">
        <v>1678</v>
      </c>
      <c r="G31" s="1685"/>
      <c r="H31" s="1686"/>
      <c r="I31" s="1687"/>
      <c r="J31" s="1688"/>
      <c r="L31" s="460"/>
      <c r="M31" s="1693">
        <v>71</v>
      </c>
      <c r="N31" s="1693">
        <v>628.73199999999997</v>
      </c>
      <c r="O31" s="1693">
        <v>183.846</v>
      </c>
      <c r="P31" s="1693">
        <v>0</v>
      </c>
      <c r="Q31" s="1693">
        <v>478.03699999999998</v>
      </c>
      <c r="R31" s="1693">
        <v>23.725200000000001</v>
      </c>
      <c r="S31" s="1693">
        <v>29.3322</v>
      </c>
      <c r="T31" s="1693"/>
      <c r="U31" s="1693"/>
      <c r="V31" s="1687"/>
      <c r="W31" s="1693">
        <v>76.962800000000001</v>
      </c>
      <c r="X31" s="1693">
        <v>11.950900000000001</v>
      </c>
      <c r="Y31" s="1695"/>
      <c r="Z31" s="1693">
        <v>0</v>
      </c>
      <c r="AA31" s="1693">
        <v>10.6183</v>
      </c>
      <c r="AB31" s="1693">
        <v>0</v>
      </c>
      <c r="AC31" s="1693">
        <v>107.628</v>
      </c>
      <c r="AD31" s="1698">
        <f t="shared" si="39"/>
        <v>39.003743999999998</v>
      </c>
      <c r="AE31">
        <f>+Summary!B21</f>
        <v>14</v>
      </c>
      <c r="AF31" s="834">
        <f>+ORP!AF78</f>
        <v>75</v>
      </c>
      <c r="AG31" s="31">
        <f t="shared" si="15"/>
        <v>145</v>
      </c>
      <c r="AH31">
        <f t="shared" si="1"/>
        <v>659</v>
      </c>
      <c r="AI31" s="31">
        <f t="shared" si="16"/>
        <v>-514</v>
      </c>
      <c r="AK31" s="31">
        <f t="shared" si="17"/>
        <v>112</v>
      </c>
      <c r="AL31">
        <f t="shared" si="2"/>
        <v>241</v>
      </c>
      <c r="AM31" s="31">
        <f t="shared" si="18"/>
        <v>-129</v>
      </c>
      <c r="AO31" s="31">
        <f t="shared" si="19"/>
        <v>339</v>
      </c>
      <c r="AP31">
        <f t="shared" si="3"/>
        <v>0</v>
      </c>
      <c r="AQ31" s="31">
        <f t="shared" si="20"/>
        <v>339</v>
      </c>
      <c r="AS31" s="31">
        <f t="shared" si="21"/>
        <v>0</v>
      </c>
      <c r="AT31">
        <f t="shared" si="4"/>
        <v>517</v>
      </c>
      <c r="AU31" s="31">
        <f t="shared" si="22"/>
        <v>-517</v>
      </c>
      <c r="AW31" s="31">
        <f t="shared" si="5"/>
        <v>6</v>
      </c>
      <c r="AX31">
        <f t="shared" si="6"/>
        <v>29</v>
      </c>
      <c r="AY31" s="31">
        <f t="shared" si="23"/>
        <v>-23</v>
      </c>
      <c r="BA31" s="31">
        <f t="shared" si="7"/>
        <v>83</v>
      </c>
      <c r="BB31">
        <f t="shared" si="8"/>
        <v>43</v>
      </c>
      <c r="BC31" s="31">
        <f t="shared" si="24"/>
        <v>40</v>
      </c>
      <c r="BE31" s="31">
        <f t="shared" si="25"/>
        <v>15</v>
      </c>
      <c r="BF31">
        <f t="shared" si="26"/>
        <v>0</v>
      </c>
      <c r="BG31" s="31">
        <f t="shared" si="9"/>
        <v>15</v>
      </c>
      <c r="BI31" s="31">
        <f t="shared" si="27"/>
        <v>85</v>
      </c>
      <c r="BJ31">
        <f t="shared" si="28"/>
        <v>83</v>
      </c>
      <c r="BK31" s="31">
        <f t="shared" si="29"/>
        <v>2</v>
      </c>
      <c r="BM31" s="31">
        <f t="shared" si="30"/>
        <v>13</v>
      </c>
      <c r="BN31">
        <f t="shared" si="31"/>
        <v>13</v>
      </c>
      <c r="BO31" s="31">
        <f t="shared" si="32"/>
        <v>0</v>
      </c>
      <c r="BQ31" s="31">
        <f t="shared" si="33"/>
        <v>31</v>
      </c>
      <c r="BR31">
        <f t="shared" si="34"/>
        <v>43</v>
      </c>
      <c r="BS31" s="31">
        <f t="shared" si="35"/>
        <v>-12</v>
      </c>
      <c r="BU31" s="31">
        <f t="shared" si="10"/>
        <v>30</v>
      </c>
      <c r="BV31">
        <f t="shared" si="11"/>
        <v>13</v>
      </c>
      <c r="BW31" s="31">
        <f t="shared" si="12"/>
        <v>17</v>
      </c>
      <c r="BY31" s="31">
        <f t="shared" si="13"/>
        <v>127</v>
      </c>
      <c r="BZ31">
        <f t="shared" si="40"/>
        <v>126</v>
      </c>
      <c r="CA31" s="31">
        <f t="shared" si="37"/>
        <v>1</v>
      </c>
      <c r="CC31" s="834">
        <f t="shared" si="36"/>
        <v>75</v>
      </c>
      <c r="CD31">
        <f t="shared" si="38"/>
        <v>14</v>
      </c>
    </row>
    <row r="32" spans="3:82" ht="16.8">
      <c r="C32" s="8" t="s">
        <v>27</v>
      </c>
      <c r="D32" s="354"/>
      <c r="E32" s="1460"/>
      <c r="F32" s="1684" t="s">
        <v>2054</v>
      </c>
      <c r="G32" s="1685"/>
      <c r="H32" s="1686"/>
      <c r="I32" s="1687"/>
      <c r="J32" s="1688"/>
      <c r="L32" s="460"/>
      <c r="M32" s="1693">
        <v>72</v>
      </c>
      <c r="N32" s="1693">
        <v>640.29200000000003</v>
      </c>
      <c r="O32" s="1693">
        <v>196.715</v>
      </c>
      <c r="P32" s="1693">
        <v>0</v>
      </c>
      <c r="Q32" s="1693">
        <v>487.59800000000001</v>
      </c>
      <c r="R32" s="1693">
        <v>25.011099999999999</v>
      </c>
      <c r="S32" s="1693">
        <v>32.4512</v>
      </c>
      <c r="T32" s="1693"/>
      <c r="U32" s="1693"/>
      <c r="V32" s="1687"/>
      <c r="W32" s="1693">
        <v>78.502099999999999</v>
      </c>
      <c r="X32" s="1693">
        <v>12.1899</v>
      </c>
      <c r="Y32" s="1695"/>
      <c r="Z32" s="1693">
        <v>0</v>
      </c>
      <c r="AA32" s="1693">
        <v>11.210599999999999</v>
      </c>
      <c r="AB32" s="1693">
        <v>0</v>
      </c>
      <c r="AC32" s="1693">
        <v>111.93300000000001</v>
      </c>
      <c r="AD32" s="1698">
        <f t="shared" si="39"/>
        <v>40.176336000000006</v>
      </c>
      <c r="AE32">
        <f>+Summary!B22</f>
        <v>15</v>
      </c>
      <c r="AF32" s="834">
        <f>+ORP!AF79</f>
        <v>76</v>
      </c>
      <c r="AG32" s="31">
        <f t="shared" si="15"/>
        <v>61</v>
      </c>
      <c r="AH32">
        <f t="shared" si="1"/>
        <v>658</v>
      </c>
      <c r="AI32" s="31">
        <f t="shared" si="16"/>
        <v>-597</v>
      </c>
      <c r="AK32" s="31">
        <f t="shared" si="17"/>
        <v>103</v>
      </c>
      <c r="AL32">
        <f t="shared" si="2"/>
        <v>258</v>
      </c>
      <c r="AM32" s="31">
        <f t="shared" si="18"/>
        <v>-155</v>
      </c>
      <c r="AO32" s="31">
        <f t="shared" si="19"/>
        <v>405</v>
      </c>
      <c r="AP32">
        <f t="shared" si="3"/>
        <v>0</v>
      </c>
      <c r="AQ32" s="31">
        <f t="shared" si="20"/>
        <v>405</v>
      </c>
      <c r="AS32" s="31">
        <f t="shared" si="21"/>
        <v>0</v>
      </c>
      <c r="AT32">
        <f t="shared" si="4"/>
        <v>528</v>
      </c>
      <c r="AU32" s="31">
        <f t="shared" si="22"/>
        <v>-528</v>
      </c>
      <c r="AW32" s="31">
        <f t="shared" si="5"/>
        <v>3</v>
      </c>
      <c r="AX32">
        <f t="shared" si="6"/>
        <v>30</v>
      </c>
      <c r="AY32" s="31">
        <f t="shared" si="23"/>
        <v>-27</v>
      </c>
      <c r="BA32" s="31">
        <f t="shared" si="7"/>
        <v>58</v>
      </c>
      <c r="BB32">
        <f t="shared" si="8"/>
        <v>47</v>
      </c>
      <c r="BC32" s="31">
        <f t="shared" si="24"/>
        <v>11</v>
      </c>
      <c r="BE32" s="31">
        <f t="shared" si="25"/>
        <v>15</v>
      </c>
      <c r="BF32">
        <f t="shared" si="26"/>
        <v>0</v>
      </c>
      <c r="BG32" s="31">
        <f t="shared" si="9"/>
        <v>15</v>
      </c>
      <c r="BI32" s="31">
        <f t="shared" si="27"/>
        <v>87</v>
      </c>
      <c r="BJ32">
        <f t="shared" si="28"/>
        <v>85</v>
      </c>
      <c r="BK32" s="31">
        <f t="shared" si="29"/>
        <v>2</v>
      </c>
      <c r="BM32" s="31">
        <f t="shared" si="30"/>
        <v>13</v>
      </c>
      <c r="BN32">
        <f t="shared" si="31"/>
        <v>13</v>
      </c>
      <c r="BO32" s="31">
        <f t="shared" si="32"/>
        <v>0</v>
      </c>
      <c r="BQ32" s="31">
        <f t="shared" si="33"/>
        <v>28</v>
      </c>
      <c r="BR32">
        <f t="shared" si="34"/>
        <v>44</v>
      </c>
      <c r="BS32" s="31">
        <f t="shared" si="35"/>
        <v>-16</v>
      </c>
      <c r="BU32" s="31">
        <f t="shared" si="10"/>
        <v>23</v>
      </c>
      <c r="BV32">
        <f t="shared" si="11"/>
        <v>14</v>
      </c>
      <c r="BW32" s="31">
        <f t="shared" si="12"/>
        <v>9</v>
      </c>
      <c r="BY32" s="31">
        <f t="shared" si="13"/>
        <v>132</v>
      </c>
      <c r="BZ32">
        <f t="shared" si="40"/>
        <v>131</v>
      </c>
      <c r="CA32" s="31">
        <f t="shared" si="37"/>
        <v>1</v>
      </c>
      <c r="CC32" s="834">
        <f t="shared" si="36"/>
        <v>76</v>
      </c>
      <c r="CD32">
        <f t="shared" si="38"/>
        <v>15</v>
      </c>
    </row>
    <row r="33" spans="3:82" ht="16.8">
      <c r="C33" s="8" t="s">
        <v>27</v>
      </c>
      <c r="E33" s="1672"/>
      <c r="F33" s="1684" t="s">
        <v>529</v>
      </c>
      <c r="G33" s="1685"/>
      <c r="H33" s="1686"/>
      <c r="I33" s="1687"/>
      <c r="J33" s="1688"/>
      <c r="L33" s="460"/>
      <c r="M33" s="1693">
        <v>73</v>
      </c>
      <c r="N33" s="1693">
        <v>649.37800000000004</v>
      </c>
      <c r="O33" s="1693">
        <v>210.48500000000001</v>
      </c>
      <c r="P33" s="1693">
        <v>0</v>
      </c>
      <c r="Q33" s="1693">
        <v>497.35</v>
      </c>
      <c r="R33" s="1693">
        <v>26.290099999999999</v>
      </c>
      <c r="S33" s="1693">
        <v>35.734000000000002</v>
      </c>
      <c r="T33" s="1693"/>
      <c r="U33" s="1693"/>
      <c r="V33" s="1687"/>
      <c r="W33" s="1693">
        <v>80.072100000000006</v>
      </c>
      <c r="X33" s="1693">
        <v>12.4337</v>
      </c>
      <c r="Y33" s="1695"/>
      <c r="Z33" s="1693">
        <v>0</v>
      </c>
      <c r="AA33" s="1693">
        <v>11.829800000000001</v>
      </c>
      <c r="AB33" s="1693">
        <v>0</v>
      </c>
      <c r="AC33" s="1693">
        <v>116.41</v>
      </c>
      <c r="AD33" s="1698">
        <f t="shared" si="39"/>
        <v>41.273424000000006</v>
      </c>
      <c r="AE33">
        <f>+Summary!B23</f>
        <v>16</v>
      </c>
      <c r="AF33" s="834">
        <f>+ORP!AF80</f>
        <v>77</v>
      </c>
      <c r="AG33" s="31">
        <f t="shared" si="15"/>
        <v>0</v>
      </c>
      <c r="AH33">
        <f t="shared" si="1"/>
        <v>655</v>
      </c>
      <c r="AI33" s="31">
        <f t="shared" si="16"/>
        <v>-655</v>
      </c>
      <c r="AK33" s="31">
        <f t="shared" si="17"/>
        <v>93</v>
      </c>
      <c r="AL33">
        <f t="shared" si="2"/>
        <v>274</v>
      </c>
      <c r="AM33" s="31">
        <f t="shared" si="18"/>
        <v>-181</v>
      </c>
      <c r="AO33" s="31">
        <f t="shared" si="19"/>
        <v>449</v>
      </c>
      <c r="AP33">
        <f t="shared" si="3"/>
        <v>0</v>
      </c>
      <c r="AQ33" s="31">
        <f t="shared" si="20"/>
        <v>449</v>
      </c>
      <c r="AS33" s="31">
        <f t="shared" si="21"/>
        <v>0</v>
      </c>
      <c r="AT33">
        <f t="shared" si="4"/>
        <v>538</v>
      </c>
      <c r="AU33" s="31">
        <f t="shared" si="22"/>
        <v>-538</v>
      </c>
      <c r="AW33" s="31">
        <f t="shared" si="5"/>
        <v>0</v>
      </c>
      <c r="AX33">
        <f t="shared" si="6"/>
        <v>31</v>
      </c>
      <c r="AY33" s="31">
        <f t="shared" si="23"/>
        <v>-31</v>
      </c>
      <c r="BA33" s="31">
        <f t="shared" si="7"/>
        <v>0</v>
      </c>
      <c r="BB33">
        <f t="shared" si="8"/>
        <v>49</v>
      </c>
      <c r="BC33" s="31">
        <f t="shared" si="24"/>
        <v>-49</v>
      </c>
      <c r="BE33" s="31">
        <f t="shared" si="25"/>
        <v>15</v>
      </c>
      <c r="BF33">
        <f t="shared" si="26"/>
        <v>1</v>
      </c>
      <c r="BG33" s="31">
        <f t="shared" si="9"/>
        <v>14</v>
      </c>
      <c r="BI33" s="31">
        <f t="shared" si="27"/>
        <v>89</v>
      </c>
      <c r="BJ33">
        <f t="shared" si="28"/>
        <v>87</v>
      </c>
      <c r="BK33" s="31">
        <f t="shared" si="29"/>
        <v>2</v>
      </c>
      <c r="BM33" s="31">
        <f t="shared" si="30"/>
        <v>13</v>
      </c>
      <c r="BN33">
        <f t="shared" si="31"/>
        <v>13</v>
      </c>
      <c r="BO33" s="31">
        <f t="shared" si="32"/>
        <v>0</v>
      </c>
      <c r="BQ33" s="31">
        <f t="shared" si="33"/>
        <v>29</v>
      </c>
      <c r="BR33">
        <f t="shared" si="34"/>
        <v>45</v>
      </c>
      <c r="BS33" s="31">
        <f t="shared" si="35"/>
        <v>-16</v>
      </c>
      <c r="BU33" s="31">
        <f t="shared" si="10"/>
        <v>2</v>
      </c>
      <c r="BV33">
        <f t="shared" si="11"/>
        <v>14</v>
      </c>
      <c r="BW33" s="31">
        <f t="shared" si="12"/>
        <v>-12</v>
      </c>
      <c r="BY33" s="31">
        <f t="shared" si="13"/>
        <v>137</v>
      </c>
      <c r="BZ33">
        <f t="shared" si="40"/>
        <v>136</v>
      </c>
      <c r="CA33" s="31">
        <f t="shared" si="37"/>
        <v>1</v>
      </c>
      <c r="CC33" s="834">
        <f t="shared" si="36"/>
        <v>77</v>
      </c>
      <c r="CD33">
        <f t="shared" si="38"/>
        <v>16</v>
      </c>
    </row>
    <row r="34" spans="3:82" ht="16.8">
      <c r="C34" s="8" t="s">
        <v>27</v>
      </c>
      <c r="D34" s="354"/>
      <c r="E34" s="1460"/>
      <c r="F34" s="1684" t="s">
        <v>11</v>
      </c>
      <c r="G34" s="1685"/>
      <c r="H34" s="1686"/>
      <c r="I34" s="1687"/>
      <c r="J34" s="1688"/>
      <c r="L34" s="460"/>
      <c r="M34" s="1693">
        <v>74</v>
      </c>
      <c r="N34" s="1693">
        <v>655.64700000000005</v>
      </c>
      <c r="O34" s="1693">
        <v>225.21899999999999</v>
      </c>
      <c r="P34" s="1693">
        <v>0</v>
      </c>
      <c r="Q34" s="1693">
        <v>507.29700000000003</v>
      </c>
      <c r="R34" s="1693">
        <v>27.547699999999999</v>
      </c>
      <c r="S34" s="1693">
        <v>39.187800000000003</v>
      </c>
      <c r="T34" s="1693"/>
      <c r="U34" s="1693"/>
      <c r="V34" s="1687"/>
      <c r="W34" s="1693">
        <v>81.673500000000004</v>
      </c>
      <c r="X34" s="1693">
        <v>12.682399999999999</v>
      </c>
      <c r="Y34" s="1695"/>
      <c r="Z34" s="1693">
        <v>0</v>
      </c>
      <c r="AA34" s="1693">
        <v>12.4773</v>
      </c>
      <c r="AB34" s="1693">
        <v>0</v>
      </c>
      <c r="AC34" s="1693">
        <v>121.066</v>
      </c>
      <c r="AD34" s="1698">
        <f t="shared" si="39"/>
        <v>42.281568</v>
      </c>
      <c r="AE34">
        <f>+Summary!B24</f>
        <v>17</v>
      </c>
      <c r="AF34" s="834">
        <f>+ORP!AF81</f>
        <v>78</v>
      </c>
      <c r="AG34" s="31">
        <f t="shared" si="15"/>
        <v>0</v>
      </c>
      <c r="AH34">
        <f t="shared" si="1"/>
        <v>651</v>
      </c>
      <c r="AI34" s="31">
        <f t="shared" si="16"/>
        <v>-651</v>
      </c>
      <c r="AK34" s="31">
        <f t="shared" si="17"/>
        <v>83</v>
      </c>
      <c r="AL34">
        <f t="shared" si="2"/>
        <v>289</v>
      </c>
      <c r="AM34" s="31">
        <f t="shared" si="18"/>
        <v>-206</v>
      </c>
      <c r="AO34" s="31">
        <f t="shared" si="19"/>
        <v>451</v>
      </c>
      <c r="AP34">
        <f t="shared" si="3"/>
        <v>0</v>
      </c>
      <c r="AQ34" s="31">
        <f t="shared" si="20"/>
        <v>451</v>
      </c>
      <c r="AS34" s="31">
        <f t="shared" si="21"/>
        <v>0</v>
      </c>
      <c r="AT34">
        <f t="shared" si="4"/>
        <v>549</v>
      </c>
      <c r="AU34" s="31">
        <f t="shared" si="22"/>
        <v>-549</v>
      </c>
      <c r="AW34" s="31">
        <f t="shared" si="5"/>
        <v>0</v>
      </c>
      <c r="AX34">
        <f t="shared" si="6"/>
        <v>32</v>
      </c>
      <c r="AY34" s="31">
        <f t="shared" si="23"/>
        <v>-32</v>
      </c>
      <c r="BA34" s="31">
        <f t="shared" si="7"/>
        <v>0</v>
      </c>
      <c r="BB34">
        <f t="shared" si="8"/>
        <v>50</v>
      </c>
      <c r="BC34" s="31">
        <f t="shared" si="24"/>
        <v>-50</v>
      </c>
      <c r="BE34" s="31">
        <f t="shared" si="25"/>
        <v>15</v>
      </c>
      <c r="BF34">
        <f t="shared" si="26"/>
        <v>4</v>
      </c>
      <c r="BG34" s="31">
        <f t="shared" si="9"/>
        <v>11</v>
      </c>
      <c r="BI34" s="31">
        <f t="shared" si="27"/>
        <v>90</v>
      </c>
      <c r="BJ34">
        <f t="shared" si="28"/>
        <v>88</v>
      </c>
      <c r="BK34" s="31">
        <f t="shared" si="29"/>
        <v>2</v>
      </c>
      <c r="BM34" s="31">
        <f t="shared" si="30"/>
        <v>14</v>
      </c>
      <c r="BN34">
        <f t="shared" si="31"/>
        <v>14</v>
      </c>
      <c r="BO34" s="31">
        <f t="shared" si="32"/>
        <v>0</v>
      </c>
      <c r="BQ34" s="31">
        <f t="shared" si="33"/>
        <v>28</v>
      </c>
      <c r="BR34">
        <f t="shared" si="34"/>
        <v>45</v>
      </c>
      <c r="BS34" s="31">
        <f t="shared" si="35"/>
        <v>-17</v>
      </c>
      <c r="BU34" s="31">
        <f t="shared" si="10"/>
        <v>2</v>
      </c>
      <c r="BV34">
        <f t="shared" si="11"/>
        <v>15</v>
      </c>
      <c r="BW34" s="31">
        <f t="shared" si="12"/>
        <v>-13</v>
      </c>
      <c r="BY34" s="31">
        <f t="shared" si="13"/>
        <v>143</v>
      </c>
      <c r="BZ34">
        <f t="shared" si="40"/>
        <v>142</v>
      </c>
      <c r="CA34" s="31">
        <f t="shared" si="37"/>
        <v>1</v>
      </c>
      <c r="CC34" s="834">
        <f t="shared" si="36"/>
        <v>78</v>
      </c>
      <c r="CD34">
        <f t="shared" si="38"/>
        <v>17</v>
      </c>
    </row>
    <row r="35" spans="3:82" ht="16.8">
      <c r="C35" s="8" t="s">
        <v>27</v>
      </c>
      <c r="E35" s="1460"/>
      <c r="F35" s="1684" t="s">
        <v>1452</v>
      </c>
      <c r="G35" s="1685"/>
      <c r="H35" s="1686"/>
      <c r="I35" s="1687"/>
      <c r="J35" s="1688"/>
      <c r="L35" s="460"/>
      <c r="M35" s="1693">
        <v>75</v>
      </c>
      <c r="N35" s="1693">
        <v>658.72199999999998</v>
      </c>
      <c r="O35" s="1693">
        <v>240.98500000000001</v>
      </c>
      <c r="P35" s="1693">
        <v>0</v>
      </c>
      <c r="Q35" s="1693">
        <v>517.44299999999998</v>
      </c>
      <c r="R35" s="1693">
        <v>28.7651</v>
      </c>
      <c r="S35" s="1693">
        <v>42.820099999999996</v>
      </c>
      <c r="T35" s="1693"/>
      <c r="U35" s="1693"/>
      <c r="V35" s="1687"/>
      <c r="W35" s="1693">
        <v>83.306899999999999</v>
      </c>
      <c r="X35" s="1693">
        <v>12.9361</v>
      </c>
      <c r="Y35" s="1695"/>
      <c r="Z35" s="1693">
        <v>0</v>
      </c>
      <c r="AA35" s="1693">
        <v>13.1541</v>
      </c>
      <c r="AB35" s="1693">
        <v>0</v>
      </c>
      <c r="AC35" s="1693">
        <v>125.90900000000001</v>
      </c>
      <c r="AD35" s="1698">
        <f t="shared" si="39"/>
        <v>43.185935999999998</v>
      </c>
      <c r="AE35">
        <f>+Summary!B25</f>
        <v>18</v>
      </c>
      <c r="AF35" s="834">
        <f>+ORP!AF82</f>
        <v>79</v>
      </c>
      <c r="AG35" s="31">
        <f t="shared" si="15"/>
        <v>0</v>
      </c>
      <c r="AH35">
        <f t="shared" si="1"/>
        <v>628</v>
      </c>
      <c r="AI35" s="31">
        <f t="shared" si="16"/>
        <v>-628</v>
      </c>
      <c r="AK35" s="31">
        <f t="shared" si="17"/>
        <v>72</v>
      </c>
      <c r="AL35">
        <f t="shared" si="2"/>
        <v>299</v>
      </c>
      <c r="AM35" s="31">
        <f t="shared" si="18"/>
        <v>-227</v>
      </c>
      <c r="AO35" s="31">
        <f t="shared" si="19"/>
        <v>449</v>
      </c>
      <c r="AP35">
        <f t="shared" si="3"/>
        <v>0</v>
      </c>
      <c r="AQ35" s="31">
        <f t="shared" si="20"/>
        <v>449</v>
      </c>
      <c r="AS35" s="31">
        <f t="shared" si="21"/>
        <v>0</v>
      </c>
      <c r="AT35">
        <f t="shared" si="4"/>
        <v>560</v>
      </c>
      <c r="AU35" s="31">
        <f t="shared" si="22"/>
        <v>-560</v>
      </c>
      <c r="AW35" s="31">
        <f t="shared" si="5"/>
        <v>0</v>
      </c>
      <c r="AX35">
        <f t="shared" si="6"/>
        <v>32</v>
      </c>
      <c r="AY35" s="31">
        <f t="shared" si="23"/>
        <v>-32</v>
      </c>
      <c r="BA35" s="31">
        <f t="shared" si="7"/>
        <v>0</v>
      </c>
      <c r="BB35">
        <f t="shared" si="8"/>
        <v>69</v>
      </c>
      <c r="BC35" s="31">
        <f t="shared" si="24"/>
        <v>-69</v>
      </c>
      <c r="BE35" s="31">
        <f t="shared" si="25"/>
        <v>15</v>
      </c>
      <c r="BF35">
        <f t="shared" si="26"/>
        <v>10</v>
      </c>
      <c r="BG35" s="31">
        <f t="shared" si="9"/>
        <v>5</v>
      </c>
      <c r="BI35" s="31">
        <f t="shared" si="27"/>
        <v>92</v>
      </c>
      <c r="BJ35">
        <f t="shared" si="28"/>
        <v>69</v>
      </c>
      <c r="BK35" s="31">
        <f t="shared" si="29"/>
        <v>23</v>
      </c>
      <c r="BM35" s="31">
        <f t="shared" si="30"/>
        <v>14</v>
      </c>
      <c r="BN35">
        <f t="shared" si="31"/>
        <v>14</v>
      </c>
      <c r="BO35" s="31">
        <f t="shared" si="32"/>
        <v>0</v>
      </c>
      <c r="BQ35" s="31">
        <f t="shared" si="33"/>
        <v>28</v>
      </c>
      <c r="BR35">
        <f t="shared" si="34"/>
        <v>45</v>
      </c>
      <c r="BS35" s="31">
        <f t="shared" si="35"/>
        <v>-17</v>
      </c>
      <c r="BU35" s="31">
        <f t="shared" si="10"/>
        <v>2</v>
      </c>
      <c r="BV35">
        <f t="shared" si="11"/>
        <v>15</v>
      </c>
      <c r="BW35" s="31">
        <f t="shared" si="12"/>
        <v>-13</v>
      </c>
      <c r="BY35" s="31">
        <f t="shared" si="13"/>
        <v>148</v>
      </c>
      <c r="BZ35">
        <f t="shared" si="40"/>
        <v>147</v>
      </c>
      <c r="CA35" s="31">
        <f t="shared" si="37"/>
        <v>1</v>
      </c>
      <c r="CC35" s="834">
        <f t="shared" si="36"/>
        <v>79</v>
      </c>
      <c r="CD35">
        <f t="shared" si="38"/>
        <v>18</v>
      </c>
    </row>
    <row r="36" spans="3:82" ht="16.8">
      <c r="C36" s="736" t="s">
        <v>1147</v>
      </c>
      <c r="D36" s="354">
        <f>IF(Asset_Sale="y",+Asset_Sale_Amt,0)</f>
        <v>100000</v>
      </c>
      <c r="E36" s="1460">
        <v>0</v>
      </c>
      <c r="F36" s="1684" t="s">
        <v>992</v>
      </c>
      <c r="G36" s="1685"/>
      <c r="H36" s="1686"/>
      <c r="I36" s="1687"/>
      <c r="J36" s="1688"/>
      <c r="L36" s="460"/>
      <c r="M36" s="1693">
        <v>76</v>
      </c>
      <c r="N36" s="1693">
        <v>658.19399999999996</v>
      </c>
      <c r="O36" s="1693">
        <v>257.85399999999998</v>
      </c>
      <c r="P36" s="1693">
        <v>0</v>
      </c>
      <c r="Q36" s="1693">
        <v>527.79200000000003</v>
      </c>
      <c r="R36" s="1693">
        <v>29.9175</v>
      </c>
      <c r="S36" s="1693">
        <v>46.639000000000003</v>
      </c>
      <c r="T36" s="1693"/>
      <c r="U36" s="1693"/>
      <c r="V36" s="1687"/>
      <c r="W36" s="1693">
        <v>84.973200000000006</v>
      </c>
      <c r="X36" s="1693">
        <v>13.194800000000001</v>
      </c>
      <c r="Y36" s="1695"/>
      <c r="Z36" s="1693">
        <v>0</v>
      </c>
      <c r="AA36" s="1693">
        <v>13.861599999999999</v>
      </c>
      <c r="AB36" s="1693">
        <v>0</v>
      </c>
      <c r="AC36" s="1693">
        <v>130.94499999999999</v>
      </c>
      <c r="AD36" s="1698">
        <f t="shared" si="39"/>
        <v>43.970303999999999</v>
      </c>
      <c r="AE36">
        <f>+Summary!B26</f>
        <v>19</v>
      </c>
      <c r="AF36" s="834">
        <f>+ORP!AF83</f>
        <v>80</v>
      </c>
      <c r="AG36" s="31">
        <f t="shared" si="15"/>
        <v>0</v>
      </c>
      <c r="AH36">
        <f t="shared" si="1"/>
        <v>602</v>
      </c>
      <c r="AI36" s="31">
        <f t="shared" si="16"/>
        <v>-602</v>
      </c>
      <c r="AK36" s="31">
        <f t="shared" si="17"/>
        <v>60</v>
      </c>
      <c r="AL36">
        <f t="shared" si="2"/>
        <v>307</v>
      </c>
      <c r="AM36" s="31">
        <f t="shared" si="18"/>
        <v>-247</v>
      </c>
      <c r="AO36" s="31">
        <f t="shared" si="19"/>
        <v>443</v>
      </c>
      <c r="AP36">
        <f t="shared" si="3"/>
        <v>0</v>
      </c>
      <c r="AQ36" s="31">
        <f t="shared" si="20"/>
        <v>443</v>
      </c>
      <c r="AS36" s="31">
        <f t="shared" si="21"/>
        <v>0</v>
      </c>
      <c r="AT36">
        <f t="shared" si="4"/>
        <v>571</v>
      </c>
      <c r="AU36" s="31">
        <f t="shared" si="22"/>
        <v>-571</v>
      </c>
      <c r="AW36" s="31">
        <f t="shared" si="5"/>
        <v>0</v>
      </c>
      <c r="AX36">
        <f t="shared" si="6"/>
        <v>32</v>
      </c>
      <c r="AY36" s="31">
        <f t="shared" si="23"/>
        <v>-32</v>
      </c>
      <c r="BA36" s="31">
        <f t="shared" si="7"/>
        <v>0</v>
      </c>
      <c r="BB36">
        <f t="shared" si="8"/>
        <v>70</v>
      </c>
      <c r="BC36" s="31">
        <f t="shared" si="24"/>
        <v>-70</v>
      </c>
      <c r="BE36" s="31">
        <f t="shared" si="25"/>
        <v>15</v>
      </c>
      <c r="BF36">
        <f t="shared" si="26"/>
        <v>13</v>
      </c>
      <c r="BG36" s="31">
        <f t="shared" si="9"/>
        <v>2</v>
      </c>
      <c r="BI36" s="31">
        <f t="shared" si="27"/>
        <v>95</v>
      </c>
      <c r="BJ36">
        <f t="shared" si="28"/>
        <v>71</v>
      </c>
      <c r="BK36" s="31">
        <f t="shared" si="29"/>
        <v>24</v>
      </c>
      <c r="BM36" s="31">
        <f t="shared" si="30"/>
        <v>14</v>
      </c>
      <c r="BN36">
        <f t="shared" si="31"/>
        <v>14</v>
      </c>
      <c r="BO36" s="31">
        <f t="shared" si="32"/>
        <v>0</v>
      </c>
      <c r="BQ36" s="31">
        <f t="shared" si="33"/>
        <v>26</v>
      </c>
      <c r="BR36">
        <f t="shared" si="34"/>
        <v>44</v>
      </c>
      <c r="BS36" s="31">
        <f t="shared" si="35"/>
        <v>-18</v>
      </c>
      <c r="BU36" s="31">
        <f t="shared" si="10"/>
        <v>2</v>
      </c>
      <c r="BV36">
        <f t="shared" si="11"/>
        <v>15</v>
      </c>
      <c r="BW36" s="31">
        <f t="shared" si="12"/>
        <v>-13</v>
      </c>
      <c r="BY36" s="31">
        <f t="shared" si="13"/>
        <v>154</v>
      </c>
      <c r="BZ36">
        <f t="shared" si="40"/>
        <v>153</v>
      </c>
      <c r="CA36" s="31">
        <f t="shared" si="37"/>
        <v>1</v>
      </c>
      <c r="CC36" s="834">
        <f t="shared" si="36"/>
        <v>80</v>
      </c>
      <c r="CD36">
        <f t="shared" si="38"/>
        <v>19</v>
      </c>
    </row>
    <row r="37" spans="3:82" ht="16.8">
      <c r="C37" s="736" t="s">
        <v>912</v>
      </c>
      <c r="D37" s="354">
        <f>IF(Asset_Sale2="y",+Asset_Sale_Amt2,0)</f>
        <v>400000</v>
      </c>
      <c r="E37" s="1460">
        <v>631000</v>
      </c>
      <c r="F37" s="1684" t="s">
        <v>2055</v>
      </c>
      <c r="G37" s="1685"/>
      <c r="H37" s="1686"/>
      <c r="I37" s="1687"/>
      <c r="J37" s="1688"/>
      <c r="L37" s="460"/>
      <c r="M37" s="1693">
        <v>77</v>
      </c>
      <c r="N37" s="1693">
        <v>655.33000000000004</v>
      </c>
      <c r="O37" s="1693">
        <v>274.44499999999999</v>
      </c>
      <c r="P37" s="1693">
        <v>0</v>
      </c>
      <c r="Q37" s="1693">
        <v>538.34699999999998</v>
      </c>
      <c r="R37" s="1693">
        <v>30.911300000000001</v>
      </c>
      <c r="S37" s="1693">
        <v>48.936900000000001</v>
      </c>
      <c r="T37" s="1693"/>
      <c r="U37" s="1693">
        <v>1.45885</v>
      </c>
      <c r="V37" s="1687"/>
      <c r="W37" s="1693">
        <v>86.672499999999999</v>
      </c>
      <c r="X37" s="1693">
        <v>13.4587</v>
      </c>
      <c r="Y37" s="1695"/>
      <c r="Z37" s="1693">
        <v>0</v>
      </c>
      <c r="AA37" s="1693">
        <v>14.3436</v>
      </c>
      <c r="AB37" s="1693">
        <v>0</v>
      </c>
      <c r="AC37" s="1693">
        <v>136.18299999999999</v>
      </c>
      <c r="AD37" s="1698">
        <f t="shared" si="39"/>
        <v>44.629200000000004</v>
      </c>
      <c r="AE37">
        <f>+Summary!B27</f>
        <v>20</v>
      </c>
      <c r="AF37" s="834">
        <f>+ORP!AF84</f>
        <v>81</v>
      </c>
      <c r="AG37" s="31">
        <f t="shared" si="15"/>
        <v>0</v>
      </c>
      <c r="AH37">
        <f t="shared" si="1"/>
        <v>573</v>
      </c>
      <c r="AI37" s="31">
        <f t="shared" si="16"/>
        <v>-573</v>
      </c>
      <c r="AK37" s="31">
        <f t="shared" si="17"/>
        <v>48</v>
      </c>
      <c r="AL37">
        <f t="shared" si="2"/>
        <v>312</v>
      </c>
      <c r="AM37" s="31">
        <f t="shared" si="18"/>
        <v>-264</v>
      </c>
      <c r="AO37" s="31">
        <f t="shared" si="19"/>
        <v>433</v>
      </c>
      <c r="AP37">
        <f t="shared" si="3"/>
        <v>0</v>
      </c>
      <c r="AQ37" s="31">
        <f t="shared" si="20"/>
        <v>433</v>
      </c>
      <c r="AS37" s="31">
        <f t="shared" si="21"/>
        <v>0</v>
      </c>
      <c r="AT37">
        <f t="shared" si="4"/>
        <v>583</v>
      </c>
      <c r="AU37" s="31">
        <f t="shared" si="22"/>
        <v>-583</v>
      </c>
      <c r="AW37" s="31">
        <f t="shared" si="5"/>
        <v>0</v>
      </c>
      <c r="AX37">
        <f t="shared" si="6"/>
        <v>32</v>
      </c>
      <c r="AY37" s="31">
        <f t="shared" si="23"/>
        <v>-32</v>
      </c>
      <c r="BA37" s="31">
        <f t="shared" si="7"/>
        <v>0</v>
      </c>
      <c r="BB37">
        <f t="shared" si="8"/>
        <v>71</v>
      </c>
      <c r="BC37" s="31">
        <f t="shared" si="24"/>
        <v>-71</v>
      </c>
      <c r="BE37" s="31">
        <f t="shared" si="25"/>
        <v>15</v>
      </c>
      <c r="BF37">
        <f t="shared" si="26"/>
        <v>17</v>
      </c>
      <c r="BG37" s="31">
        <f t="shared" si="9"/>
        <v>-2</v>
      </c>
      <c r="BI37" s="31">
        <f t="shared" si="27"/>
        <v>97</v>
      </c>
      <c r="BJ37">
        <f t="shared" si="28"/>
        <v>72</v>
      </c>
      <c r="BK37" s="31">
        <f t="shared" si="29"/>
        <v>25</v>
      </c>
      <c r="BM37" s="31">
        <f t="shared" si="30"/>
        <v>14</v>
      </c>
      <c r="BN37">
        <f t="shared" si="31"/>
        <v>15</v>
      </c>
      <c r="BO37" s="31">
        <f t="shared" si="32"/>
        <v>-1</v>
      </c>
      <c r="BQ37" s="31">
        <f t="shared" si="33"/>
        <v>24</v>
      </c>
      <c r="BR37">
        <f t="shared" si="34"/>
        <v>42</v>
      </c>
      <c r="BS37" s="31">
        <f t="shared" si="35"/>
        <v>-18</v>
      </c>
      <c r="BU37" s="31">
        <f t="shared" si="10"/>
        <v>2</v>
      </c>
      <c r="BV37">
        <f t="shared" si="11"/>
        <v>16</v>
      </c>
      <c r="BW37" s="31">
        <f t="shared" si="12"/>
        <v>-14</v>
      </c>
      <c r="BY37" s="31">
        <f t="shared" si="13"/>
        <v>160</v>
      </c>
      <c r="BZ37">
        <f t="shared" si="40"/>
        <v>159</v>
      </c>
      <c r="CA37" s="31">
        <f t="shared" si="37"/>
        <v>1</v>
      </c>
      <c r="CC37" s="834">
        <f t="shared" si="36"/>
        <v>81</v>
      </c>
      <c r="CD37">
        <f t="shared" si="38"/>
        <v>20</v>
      </c>
    </row>
    <row r="38" spans="3:82" ht="16.8">
      <c r="C38" s="8" t="s">
        <v>27</v>
      </c>
      <c r="E38" s="1672"/>
      <c r="F38" s="1684" t="s">
        <v>724</v>
      </c>
      <c r="G38" s="1685"/>
      <c r="H38" s="1686"/>
      <c r="I38" s="1687"/>
      <c r="J38" s="1688"/>
      <c r="L38" s="460"/>
      <c r="M38" s="1693">
        <v>78</v>
      </c>
      <c r="N38" s="1693">
        <v>651.28800000000001</v>
      </c>
      <c r="O38" s="1693">
        <v>289.44400000000002</v>
      </c>
      <c r="P38" s="1693">
        <v>0</v>
      </c>
      <c r="Q38" s="1693">
        <v>549.11400000000003</v>
      </c>
      <c r="R38" s="1693">
        <v>32.083100000000002</v>
      </c>
      <c r="S38" s="1693">
        <v>49.915599999999998</v>
      </c>
      <c r="T38" s="1693"/>
      <c r="U38" s="1693">
        <v>4.2113399999999999</v>
      </c>
      <c r="V38" s="1687"/>
      <c r="W38" s="1693">
        <v>88.406000000000006</v>
      </c>
      <c r="X38" s="1693">
        <v>13.7279</v>
      </c>
      <c r="Y38" s="1695"/>
      <c r="Z38" s="1693">
        <v>0</v>
      </c>
      <c r="AA38" s="1693">
        <v>14.6305</v>
      </c>
      <c r="AB38" s="1693">
        <v>0</v>
      </c>
      <c r="AC38" s="1693">
        <v>141.63</v>
      </c>
      <c r="AD38" s="1698">
        <f t="shared" si="39"/>
        <v>45.155135999999999</v>
      </c>
      <c r="AE38">
        <f>+Summary!B28</f>
        <v>21</v>
      </c>
      <c r="AF38" s="834">
        <f>+ORP!AF85</f>
        <v>82</v>
      </c>
      <c r="AG38" s="31">
        <f t="shared" si="15"/>
        <v>0</v>
      </c>
      <c r="AH38">
        <f t="shared" si="1"/>
        <v>541</v>
      </c>
      <c r="AI38" s="31">
        <f t="shared" si="16"/>
        <v>-541</v>
      </c>
      <c r="AK38" s="31">
        <f t="shared" si="17"/>
        <v>35</v>
      </c>
      <c r="AL38">
        <f t="shared" si="2"/>
        <v>313</v>
      </c>
      <c r="AM38" s="31">
        <f t="shared" si="18"/>
        <v>-278</v>
      </c>
      <c r="AO38" s="31">
        <f t="shared" si="19"/>
        <v>418</v>
      </c>
      <c r="AP38">
        <f t="shared" si="3"/>
        <v>0</v>
      </c>
      <c r="AQ38" s="31">
        <f t="shared" si="20"/>
        <v>418</v>
      </c>
      <c r="AS38" s="31">
        <f t="shared" si="21"/>
        <v>0</v>
      </c>
      <c r="AT38">
        <f t="shared" si="4"/>
        <v>594</v>
      </c>
      <c r="AU38" s="31">
        <f t="shared" si="22"/>
        <v>-594</v>
      </c>
      <c r="AW38" s="31">
        <f t="shared" si="5"/>
        <v>0</v>
      </c>
      <c r="AX38">
        <f t="shared" si="6"/>
        <v>32</v>
      </c>
      <c r="AY38" s="31">
        <f t="shared" si="23"/>
        <v>-32</v>
      </c>
      <c r="BA38" s="31">
        <f t="shared" si="7"/>
        <v>0</v>
      </c>
      <c r="BB38">
        <f t="shared" si="8"/>
        <v>73</v>
      </c>
      <c r="BC38" s="31">
        <f t="shared" si="24"/>
        <v>-73</v>
      </c>
      <c r="BE38" s="31">
        <f t="shared" si="25"/>
        <v>15</v>
      </c>
      <c r="BF38">
        <f t="shared" si="26"/>
        <v>20</v>
      </c>
      <c r="BG38" s="31">
        <f t="shared" si="9"/>
        <v>-5</v>
      </c>
      <c r="BI38" s="31">
        <f t="shared" si="27"/>
        <v>98</v>
      </c>
      <c r="BJ38">
        <f t="shared" si="28"/>
        <v>74</v>
      </c>
      <c r="BK38" s="31">
        <f t="shared" si="29"/>
        <v>24</v>
      </c>
      <c r="BM38" s="31">
        <f t="shared" si="30"/>
        <v>15</v>
      </c>
      <c r="BN38">
        <f t="shared" si="31"/>
        <v>15</v>
      </c>
      <c r="BO38" s="31">
        <f t="shared" si="32"/>
        <v>0</v>
      </c>
      <c r="BQ38" s="31">
        <f t="shared" si="33"/>
        <v>24</v>
      </c>
      <c r="BR38">
        <f t="shared" si="34"/>
        <v>41</v>
      </c>
      <c r="BS38" s="31">
        <f t="shared" si="35"/>
        <v>-17</v>
      </c>
      <c r="BU38" s="31">
        <f t="shared" si="10"/>
        <v>3</v>
      </c>
      <c r="BV38">
        <f t="shared" si="11"/>
        <v>16</v>
      </c>
      <c r="BW38" s="31">
        <f t="shared" si="12"/>
        <v>-13</v>
      </c>
      <c r="BY38" s="31">
        <f t="shared" si="13"/>
        <v>167</v>
      </c>
      <c r="BZ38">
        <f t="shared" si="40"/>
        <v>166</v>
      </c>
      <c r="CA38" s="31">
        <f t="shared" si="37"/>
        <v>1</v>
      </c>
      <c r="CC38" s="834">
        <f t="shared" si="36"/>
        <v>82</v>
      </c>
      <c r="CD38">
        <f t="shared" si="38"/>
        <v>21</v>
      </c>
    </row>
    <row r="39" spans="3:82" ht="16.8">
      <c r="C39" s="8" t="s">
        <v>27</v>
      </c>
      <c r="E39" s="1672"/>
      <c r="F39" s="1684" t="s">
        <v>2056</v>
      </c>
      <c r="G39" s="1685"/>
      <c r="H39" s="1686"/>
      <c r="I39" s="1687"/>
      <c r="J39" s="1688"/>
      <c r="L39" s="460"/>
      <c r="M39" s="1693">
        <v>79</v>
      </c>
      <c r="N39" s="1693">
        <v>628.33500000000004</v>
      </c>
      <c r="O39" s="1693">
        <v>299.46600000000001</v>
      </c>
      <c r="P39" s="1693">
        <v>0</v>
      </c>
      <c r="Q39" s="1693">
        <v>560.09699999999998</v>
      </c>
      <c r="R39" s="1693">
        <v>32.222299999999997</v>
      </c>
      <c r="S39" s="1693">
        <v>68.543000000000006</v>
      </c>
      <c r="T39" s="1693">
        <v>0</v>
      </c>
      <c r="U39" s="1693">
        <v>10.2393</v>
      </c>
      <c r="V39" s="1687"/>
      <c r="W39" s="1693">
        <v>69.434100000000001</v>
      </c>
      <c r="X39" s="1693">
        <v>14.0024</v>
      </c>
      <c r="Y39" s="1695"/>
      <c r="Z39" s="1693">
        <v>0</v>
      </c>
      <c r="AA39" s="1693">
        <v>14.9231</v>
      </c>
      <c r="AB39" s="1693"/>
      <c r="AC39" s="1693">
        <v>147.29599999999999</v>
      </c>
      <c r="AD39" s="1698">
        <f t="shared" si="39"/>
        <v>44.534448000000005</v>
      </c>
      <c r="AE39">
        <f>+Summary!B29</f>
        <v>22</v>
      </c>
      <c r="AF39" s="834">
        <f>+ORP!AF86</f>
        <v>83</v>
      </c>
      <c r="AG39" s="31">
        <f t="shared" si="15"/>
        <v>0</v>
      </c>
      <c r="AH39">
        <f t="shared" si="1"/>
        <v>504</v>
      </c>
      <c r="AI39" s="31">
        <f t="shared" si="16"/>
        <v>-504</v>
      </c>
      <c r="AK39" s="31">
        <f t="shared" si="17"/>
        <v>22</v>
      </c>
      <c r="AL39">
        <f t="shared" si="2"/>
        <v>311</v>
      </c>
      <c r="AM39" s="31">
        <f t="shared" si="18"/>
        <v>-289</v>
      </c>
      <c r="AO39" s="31">
        <f t="shared" si="19"/>
        <v>398</v>
      </c>
      <c r="AP39">
        <f t="shared" si="3"/>
        <v>0</v>
      </c>
      <c r="AQ39" s="31">
        <f t="shared" si="20"/>
        <v>398</v>
      </c>
      <c r="AS39" s="31">
        <f t="shared" si="21"/>
        <v>0</v>
      </c>
      <c r="AT39">
        <f t="shared" si="4"/>
        <v>606</v>
      </c>
      <c r="AU39" s="31">
        <f t="shared" si="22"/>
        <v>-606</v>
      </c>
      <c r="AW39" s="31">
        <f t="shared" si="5"/>
        <v>0</v>
      </c>
      <c r="AX39">
        <f t="shared" si="6"/>
        <v>31</v>
      </c>
      <c r="AY39" s="31">
        <f t="shared" si="23"/>
        <v>-31</v>
      </c>
      <c r="BA39" s="31">
        <f t="shared" si="7"/>
        <v>0</v>
      </c>
      <c r="BB39">
        <f t="shared" si="8"/>
        <v>74</v>
      </c>
      <c r="BC39" s="31">
        <f t="shared" si="24"/>
        <v>-74</v>
      </c>
      <c r="BE39" s="31">
        <f t="shared" si="25"/>
        <v>15</v>
      </c>
      <c r="BF39">
        <f t="shared" si="26"/>
        <v>24</v>
      </c>
      <c r="BG39" s="31">
        <f t="shared" si="9"/>
        <v>-9</v>
      </c>
      <c r="BI39" s="31">
        <f t="shared" si="27"/>
        <v>100</v>
      </c>
      <c r="BJ39">
        <f t="shared" si="28"/>
        <v>75</v>
      </c>
      <c r="BK39" s="31">
        <f t="shared" si="29"/>
        <v>25</v>
      </c>
      <c r="BM39" s="31">
        <f t="shared" si="30"/>
        <v>15</v>
      </c>
      <c r="BN39">
        <f t="shared" si="31"/>
        <v>15</v>
      </c>
      <c r="BO39" s="31">
        <f t="shared" si="32"/>
        <v>0</v>
      </c>
      <c r="BQ39" s="31">
        <f t="shared" si="33"/>
        <v>21</v>
      </c>
      <c r="BR39">
        <f t="shared" si="34"/>
        <v>39</v>
      </c>
      <c r="BS39" s="31">
        <f t="shared" si="35"/>
        <v>-18</v>
      </c>
      <c r="BU39" s="31">
        <f t="shared" si="10"/>
        <v>3</v>
      </c>
      <c r="BV39">
        <f t="shared" si="11"/>
        <v>16</v>
      </c>
      <c r="BW39" s="31">
        <f t="shared" si="12"/>
        <v>-13</v>
      </c>
      <c r="BY39" s="31">
        <f t="shared" si="13"/>
        <v>173</v>
      </c>
      <c r="BZ39">
        <f t="shared" si="40"/>
        <v>172</v>
      </c>
      <c r="CA39" s="31">
        <f t="shared" si="37"/>
        <v>1</v>
      </c>
      <c r="CC39" s="834">
        <f t="shared" si="36"/>
        <v>83</v>
      </c>
      <c r="CD39">
        <f t="shared" si="38"/>
        <v>22</v>
      </c>
    </row>
    <row r="40" spans="3:82" ht="16.8">
      <c r="C40" s="8" t="s">
        <v>27</v>
      </c>
      <c r="E40" s="1672"/>
      <c r="F40" s="1684" t="s">
        <v>1367</v>
      </c>
      <c r="G40" s="1685"/>
      <c r="H40" s="1686"/>
      <c r="I40" s="1687"/>
      <c r="J40" s="1688"/>
      <c r="L40" s="460"/>
      <c r="M40" s="1693">
        <v>80</v>
      </c>
      <c r="N40" s="1693">
        <v>602.40499999999997</v>
      </c>
      <c r="O40" s="1693">
        <v>307.03899999999999</v>
      </c>
      <c r="P40" s="1693">
        <v>0</v>
      </c>
      <c r="Q40" s="1693">
        <v>571.298</v>
      </c>
      <c r="R40" s="1693">
        <v>32.2136</v>
      </c>
      <c r="S40" s="1693">
        <v>69.913899999999998</v>
      </c>
      <c r="T40" s="1693"/>
      <c r="U40" s="1693">
        <v>13.39</v>
      </c>
      <c r="V40" s="1687"/>
      <c r="W40" s="1693">
        <v>70.822800000000001</v>
      </c>
      <c r="X40" s="1693">
        <v>14.282500000000001</v>
      </c>
      <c r="Y40" s="1695"/>
      <c r="Z40" s="1693">
        <v>0</v>
      </c>
      <c r="AA40" s="1693">
        <v>15.221500000000001</v>
      </c>
      <c r="AB40" s="1693">
        <v>0</v>
      </c>
      <c r="AC40" s="1693">
        <v>153.18799999999999</v>
      </c>
      <c r="AD40" s="1698">
        <f t="shared" si="39"/>
        <v>43.653312</v>
      </c>
      <c r="AE40">
        <f>+Summary!B30</f>
        <v>23</v>
      </c>
      <c r="AF40" s="834">
        <f>+ORP!AF87</f>
        <v>84</v>
      </c>
      <c r="AG40" s="31">
        <f t="shared" si="15"/>
        <v>0</v>
      </c>
      <c r="AH40">
        <f t="shared" si="1"/>
        <v>464</v>
      </c>
      <c r="AI40" s="31">
        <f t="shared" si="16"/>
        <v>-464</v>
      </c>
      <c r="AK40" s="31">
        <f t="shared" si="17"/>
        <v>8</v>
      </c>
      <c r="AL40">
        <f t="shared" si="2"/>
        <v>305</v>
      </c>
      <c r="AM40" s="31">
        <f t="shared" si="18"/>
        <v>-297</v>
      </c>
      <c r="AO40" s="31">
        <f t="shared" si="19"/>
        <v>372</v>
      </c>
      <c r="AP40">
        <f t="shared" si="3"/>
        <v>0</v>
      </c>
      <c r="AQ40" s="31">
        <f t="shared" si="20"/>
        <v>372</v>
      </c>
      <c r="AS40" s="31">
        <f t="shared" si="21"/>
        <v>0</v>
      </c>
      <c r="AT40">
        <f t="shared" si="4"/>
        <v>618</v>
      </c>
      <c r="AU40" s="31">
        <f t="shared" si="22"/>
        <v>-618</v>
      </c>
      <c r="AW40" s="31">
        <f t="shared" si="5"/>
        <v>0</v>
      </c>
      <c r="AX40">
        <f t="shared" si="6"/>
        <v>30</v>
      </c>
      <c r="AY40" s="31">
        <f t="shared" si="23"/>
        <v>-30</v>
      </c>
      <c r="BA40" s="31">
        <f t="shared" si="7"/>
        <v>0</v>
      </c>
      <c r="BB40">
        <f t="shared" si="8"/>
        <v>76</v>
      </c>
      <c r="BC40" s="31">
        <f t="shared" si="24"/>
        <v>-76</v>
      </c>
      <c r="BE40" s="31">
        <f t="shared" si="25"/>
        <v>8</v>
      </c>
      <c r="BF40">
        <f t="shared" si="26"/>
        <v>28</v>
      </c>
      <c r="BG40" s="31">
        <f t="shared" si="9"/>
        <v>-20</v>
      </c>
      <c r="BI40" s="31">
        <f t="shared" si="27"/>
        <v>102</v>
      </c>
      <c r="BJ40">
        <f t="shared" si="28"/>
        <v>77</v>
      </c>
      <c r="BK40" s="31">
        <f t="shared" si="29"/>
        <v>25</v>
      </c>
      <c r="BM40" s="31">
        <f t="shared" si="30"/>
        <v>15</v>
      </c>
      <c r="BN40">
        <f t="shared" si="31"/>
        <v>15</v>
      </c>
      <c r="BO40" s="31">
        <f t="shared" si="32"/>
        <v>0</v>
      </c>
      <c r="BQ40" s="31">
        <f t="shared" si="33"/>
        <v>19</v>
      </c>
      <c r="BR40">
        <f t="shared" si="34"/>
        <v>37</v>
      </c>
      <c r="BS40" s="31">
        <f t="shared" si="35"/>
        <v>-18</v>
      </c>
      <c r="BU40" s="31">
        <f t="shared" si="10"/>
        <v>3</v>
      </c>
      <c r="BV40">
        <f t="shared" si="11"/>
        <v>16</v>
      </c>
      <c r="BW40" s="31">
        <f t="shared" si="12"/>
        <v>-13</v>
      </c>
      <c r="BY40" s="31">
        <f t="shared" si="13"/>
        <v>180</v>
      </c>
      <c r="BZ40">
        <f t="shared" si="40"/>
        <v>179</v>
      </c>
      <c r="CA40" s="31">
        <f t="shared" si="37"/>
        <v>1</v>
      </c>
      <c r="CC40" s="834">
        <f t="shared" si="36"/>
        <v>84</v>
      </c>
      <c r="CD40">
        <f t="shared" si="38"/>
        <v>23</v>
      </c>
    </row>
    <row r="41" spans="3:82" ht="16.8">
      <c r="C41" s="8" t="s">
        <v>27</v>
      </c>
      <c r="D41" s="354"/>
      <c r="E41" s="1672"/>
      <c r="F41" s="1684" t="s">
        <v>1368</v>
      </c>
      <c r="G41" s="1685"/>
      <c r="H41" s="1686"/>
      <c r="I41" s="1687"/>
      <c r="J41" s="1688"/>
      <c r="L41" s="460"/>
      <c r="M41" s="1693">
        <v>81</v>
      </c>
      <c r="N41" s="1693">
        <v>573.26099999999997</v>
      </c>
      <c r="O41" s="1693">
        <v>311.81</v>
      </c>
      <c r="P41" s="1693">
        <v>0</v>
      </c>
      <c r="Q41" s="1693">
        <v>582.72400000000005</v>
      </c>
      <c r="R41" s="1693">
        <v>32.025199999999998</v>
      </c>
      <c r="S41" s="1693">
        <v>71.312100000000001</v>
      </c>
      <c r="T41" s="1693"/>
      <c r="U41" s="1693">
        <v>16.721599999999999</v>
      </c>
      <c r="V41" s="1687"/>
      <c r="W41" s="1693">
        <v>72.2393</v>
      </c>
      <c r="X41" s="1693">
        <v>14.568099999999999</v>
      </c>
      <c r="Y41" s="1695"/>
      <c r="Z41" s="1693">
        <v>0</v>
      </c>
      <c r="AA41" s="1693">
        <v>15.526</v>
      </c>
      <c r="AB41" s="1693">
        <v>0</v>
      </c>
      <c r="AC41" s="1693">
        <v>159.315</v>
      </c>
      <c r="AD41" s="1698">
        <f t="shared" si="39"/>
        <v>42.483407999999997</v>
      </c>
      <c r="AE41">
        <f>+Summary!B31</f>
        <v>24</v>
      </c>
      <c r="AF41" s="834">
        <f>+ORP!AF88</f>
        <v>85</v>
      </c>
      <c r="AG41" s="31">
        <f t="shared" si="15"/>
        <v>0</v>
      </c>
      <c r="AH41">
        <f t="shared" si="1"/>
        <v>419</v>
      </c>
      <c r="AI41" s="31">
        <f t="shared" si="16"/>
        <v>-419</v>
      </c>
      <c r="AK41" s="31">
        <f t="shared" si="17"/>
        <v>0</v>
      </c>
      <c r="AL41">
        <f t="shared" si="2"/>
        <v>295</v>
      </c>
      <c r="AM41" s="31">
        <f t="shared" si="18"/>
        <v>-295</v>
      </c>
      <c r="AO41" s="31">
        <f t="shared" si="19"/>
        <v>333</v>
      </c>
      <c r="AP41">
        <f t="shared" si="3"/>
        <v>0</v>
      </c>
      <c r="AQ41" s="31">
        <f t="shared" si="20"/>
        <v>333</v>
      </c>
      <c r="AS41" s="31">
        <f t="shared" si="21"/>
        <v>0</v>
      </c>
      <c r="AT41">
        <f t="shared" si="4"/>
        <v>631</v>
      </c>
      <c r="AU41" s="31">
        <f t="shared" si="22"/>
        <v>-631</v>
      </c>
      <c r="AW41" s="31">
        <f t="shared" si="5"/>
        <v>0</v>
      </c>
      <c r="AX41">
        <f t="shared" si="6"/>
        <v>28</v>
      </c>
      <c r="AY41" s="31">
        <f t="shared" si="23"/>
        <v>-28</v>
      </c>
      <c r="BA41" s="31">
        <f t="shared" si="7"/>
        <v>0</v>
      </c>
      <c r="BB41">
        <f t="shared" si="8"/>
        <v>77</v>
      </c>
      <c r="BC41" s="31">
        <f t="shared" si="24"/>
        <v>-77</v>
      </c>
      <c r="BE41" s="31">
        <f t="shared" si="25"/>
        <v>0</v>
      </c>
      <c r="BF41">
        <f t="shared" si="26"/>
        <v>32</v>
      </c>
      <c r="BG41" s="31">
        <f t="shared" si="9"/>
        <v>-32</v>
      </c>
      <c r="BI41" s="31">
        <f t="shared" si="27"/>
        <v>104</v>
      </c>
      <c r="BJ41">
        <f t="shared" si="28"/>
        <v>78</v>
      </c>
      <c r="BK41" s="31">
        <f t="shared" si="29"/>
        <v>26</v>
      </c>
      <c r="BM41" s="31">
        <f t="shared" si="30"/>
        <v>16</v>
      </c>
      <c r="BN41">
        <f t="shared" si="31"/>
        <v>16</v>
      </c>
      <c r="BO41" s="31">
        <f t="shared" si="32"/>
        <v>0</v>
      </c>
      <c r="BQ41" s="31">
        <f t="shared" si="33"/>
        <v>-598</v>
      </c>
      <c r="BR41">
        <f t="shared" si="34"/>
        <v>34</v>
      </c>
      <c r="BS41" s="31">
        <f t="shared" si="35"/>
        <v>-632</v>
      </c>
      <c r="BU41" s="31">
        <f t="shared" si="10"/>
        <v>3</v>
      </c>
      <c r="BV41">
        <f t="shared" si="11"/>
        <v>17</v>
      </c>
      <c r="BW41" s="31">
        <f t="shared" si="12"/>
        <v>-14</v>
      </c>
      <c r="BY41" s="31">
        <f t="shared" si="13"/>
        <v>188</v>
      </c>
      <c r="BZ41">
        <f t="shared" si="40"/>
        <v>186</v>
      </c>
      <c r="CA41" s="31">
        <f t="shared" si="37"/>
        <v>2</v>
      </c>
      <c r="CC41" s="834">
        <f t="shared" si="36"/>
        <v>85</v>
      </c>
      <c r="CD41">
        <f t="shared" si="38"/>
        <v>24</v>
      </c>
    </row>
    <row r="42" spans="3:82" ht="16.8">
      <c r="C42" s="8" t="s">
        <v>910</v>
      </c>
      <c r="D42" s="354">
        <f>+Asset_Sale_Age</f>
        <v>86</v>
      </c>
      <c r="E42" s="1460">
        <v>0</v>
      </c>
      <c r="F42" s="1684" t="s">
        <v>2057</v>
      </c>
      <c r="G42" s="1685"/>
      <c r="H42" s="1686"/>
      <c r="I42" s="1687"/>
      <c r="J42" s="1688"/>
      <c r="L42" s="460"/>
      <c r="M42" s="1693">
        <v>82</v>
      </c>
      <c r="N42" s="1693">
        <v>540.65099999999995</v>
      </c>
      <c r="O42" s="1693">
        <v>313.39499999999998</v>
      </c>
      <c r="P42" s="1693">
        <v>0</v>
      </c>
      <c r="Q42" s="1693">
        <v>594.37900000000002</v>
      </c>
      <c r="R42" s="1693">
        <v>31.616700000000002</v>
      </c>
      <c r="S42" s="1693">
        <v>72.738399999999999</v>
      </c>
      <c r="T42" s="1693"/>
      <c r="U42" s="1693">
        <v>20.2422</v>
      </c>
      <c r="V42" s="1687"/>
      <c r="W42" s="1693">
        <v>73.683999999999997</v>
      </c>
      <c r="X42" s="1693">
        <v>14.859500000000001</v>
      </c>
      <c r="Y42" s="1695"/>
      <c r="Z42" s="1693">
        <v>0</v>
      </c>
      <c r="AA42" s="1693">
        <v>15.836499999999999</v>
      </c>
      <c r="AB42" s="1693">
        <v>0</v>
      </c>
      <c r="AC42" s="1693">
        <v>165.68799999999999</v>
      </c>
      <c r="AD42" s="1698">
        <f t="shared" si="39"/>
        <v>40.994208</v>
      </c>
      <c r="AE42">
        <f>+Summary!B32</f>
        <v>25</v>
      </c>
      <c r="AF42" s="834">
        <f>+ORP!AF89</f>
        <v>86</v>
      </c>
      <c r="AG42" s="31">
        <f t="shared" si="15"/>
        <v>0</v>
      </c>
      <c r="AH42">
        <f t="shared" si="1"/>
        <v>370</v>
      </c>
      <c r="AI42" s="31">
        <f t="shared" si="16"/>
        <v>-370</v>
      </c>
      <c r="AK42" s="31">
        <f t="shared" si="17"/>
        <v>0</v>
      </c>
      <c r="AL42">
        <f t="shared" si="2"/>
        <v>279</v>
      </c>
      <c r="AM42" s="31">
        <f t="shared" si="18"/>
        <v>-279</v>
      </c>
      <c r="AO42" s="31">
        <f t="shared" si="19"/>
        <v>927</v>
      </c>
      <c r="AP42">
        <f t="shared" si="3"/>
        <v>0</v>
      </c>
      <c r="AQ42" s="31">
        <f t="shared" si="20"/>
        <v>927</v>
      </c>
      <c r="AS42" s="31">
        <f t="shared" si="21"/>
        <v>0</v>
      </c>
      <c r="AT42">
        <f t="shared" si="4"/>
        <v>643</v>
      </c>
      <c r="AU42" s="31">
        <f t="shared" si="22"/>
        <v>-643</v>
      </c>
      <c r="AW42" s="31">
        <f t="shared" si="5"/>
        <v>0</v>
      </c>
      <c r="AX42">
        <f t="shared" si="6"/>
        <v>26</v>
      </c>
      <c r="AY42" s="31">
        <f t="shared" si="23"/>
        <v>-26</v>
      </c>
      <c r="BA42" s="31">
        <f t="shared" si="7"/>
        <v>0</v>
      </c>
      <c r="BB42">
        <f t="shared" si="8"/>
        <v>79</v>
      </c>
      <c r="BC42" s="31">
        <f t="shared" si="24"/>
        <v>-79</v>
      </c>
      <c r="BE42" s="31">
        <f t="shared" si="25"/>
        <v>0</v>
      </c>
      <c r="BF42">
        <f t="shared" si="26"/>
        <v>36</v>
      </c>
      <c r="BG42" s="31">
        <f t="shared" si="9"/>
        <v>-36</v>
      </c>
      <c r="BI42" s="31">
        <f t="shared" si="27"/>
        <v>107</v>
      </c>
      <c r="BJ42">
        <f t="shared" si="28"/>
        <v>80</v>
      </c>
      <c r="BK42" s="31">
        <f t="shared" si="29"/>
        <v>27</v>
      </c>
      <c r="BM42" s="31">
        <f t="shared" si="30"/>
        <v>16</v>
      </c>
      <c r="BN42">
        <f t="shared" si="31"/>
        <v>16</v>
      </c>
      <c r="BO42" s="31">
        <f t="shared" si="32"/>
        <v>0</v>
      </c>
      <c r="BQ42" s="31">
        <f t="shared" si="33"/>
        <v>48</v>
      </c>
      <c r="BR42">
        <f t="shared" si="34"/>
        <v>31</v>
      </c>
      <c r="BS42" s="31">
        <f t="shared" si="35"/>
        <v>17</v>
      </c>
      <c r="BU42" s="31">
        <f t="shared" si="10"/>
        <v>3</v>
      </c>
      <c r="BV42">
        <f t="shared" si="11"/>
        <v>17</v>
      </c>
      <c r="BW42" s="31">
        <f t="shared" si="12"/>
        <v>-14</v>
      </c>
      <c r="BY42" s="31">
        <f t="shared" si="13"/>
        <v>195</v>
      </c>
      <c r="BZ42">
        <f t="shared" si="40"/>
        <v>194</v>
      </c>
      <c r="CA42" s="31">
        <f t="shared" si="37"/>
        <v>1</v>
      </c>
      <c r="CC42" s="834">
        <f t="shared" si="36"/>
        <v>86</v>
      </c>
      <c r="CD42">
        <f t="shared" si="38"/>
        <v>25</v>
      </c>
    </row>
    <row r="43" spans="3:82" ht="16.8">
      <c r="C43" s="8" t="s">
        <v>911</v>
      </c>
      <c r="D43" s="354">
        <f>+Asset_Sale_Age2</f>
        <v>84</v>
      </c>
      <c r="E43" s="1460">
        <v>85</v>
      </c>
      <c r="F43" s="1684" t="s">
        <v>2058</v>
      </c>
      <c r="G43" s="1685"/>
      <c r="H43" s="1686"/>
      <c r="I43" s="1687"/>
      <c r="J43" s="1688"/>
      <c r="L43" s="460"/>
      <c r="M43" s="1693">
        <v>83</v>
      </c>
      <c r="N43" s="1693">
        <v>504.303</v>
      </c>
      <c r="O43" s="1693">
        <v>311.37099999999998</v>
      </c>
      <c r="P43" s="1693">
        <v>0</v>
      </c>
      <c r="Q43" s="1693">
        <v>606.26700000000005</v>
      </c>
      <c r="R43" s="1693">
        <v>30.938500000000001</v>
      </c>
      <c r="S43" s="1693">
        <v>74.193100000000001</v>
      </c>
      <c r="T43" s="1693"/>
      <c r="U43" s="1693">
        <v>23.960799999999999</v>
      </c>
      <c r="V43" s="1687"/>
      <c r="W43" s="1693">
        <v>75.157700000000006</v>
      </c>
      <c r="X43" s="1693">
        <v>15.156700000000001</v>
      </c>
      <c r="Y43" s="1695"/>
      <c r="Z43" s="1693">
        <v>0</v>
      </c>
      <c r="AA43" s="1693">
        <v>16.153199999999998</v>
      </c>
      <c r="AB43" s="1693">
        <v>0</v>
      </c>
      <c r="AC43" s="1693">
        <v>172.315</v>
      </c>
      <c r="AD43" s="1698">
        <f t="shared" si="39"/>
        <v>39.152352</v>
      </c>
      <c r="AE43">
        <f>+Summary!B33</f>
        <v>26</v>
      </c>
      <c r="AF43" s="834">
        <f>+ORP!AF90</f>
        <v>87</v>
      </c>
      <c r="AG43" s="31">
        <f t="shared" si="15"/>
        <v>0</v>
      </c>
      <c r="AH43">
        <f t="shared" si="1"/>
        <v>315</v>
      </c>
      <c r="AI43" s="31">
        <f t="shared" si="16"/>
        <v>-315</v>
      </c>
      <c r="AK43" s="31">
        <f t="shared" si="17"/>
        <v>0</v>
      </c>
      <c r="AL43">
        <f t="shared" si="2"/>
        <v>257</v>
      </c>
      <c r="AM43" s="31">
        <f t="shared" si="18"/>
        <v>-257</v>
      </c>
      <c r="AO43" s="31">
        <f t="shared" si="19"/>
        <v>899</v>
      </c>
      <c r="AP43">
        <f t="shared" si="3"/>
        <v>0</v>
      </c>
      <c r="AQ43" s="31">
        <f t="shared" si="20"/>
        <v>899</v>
      </c>
      <c r="AS43" s="31">
        <f t="shared" si="21"/>
        <v>0</v>
      </c>
      <c r="AT43">
        <f t="shared" si="4"/>
        <v>656</v>
      </c>
      <c r="AU43" s="31">
        <f t="shared" si="22"/>
        <v>-656</v>
      </c>
      <c r="AW43" s="31">
        <f t="shared" si="5"/>
        <v>0</v>
      </c>
      <c r="AX43">
        <f t="shared" si="6"/>
        <v>24</v>
      </c>
      <c r="AY43" s="31">
        <f t="shared" si="23"/>
        <v>-24</v>
      </c>
      <c r="BA43" s="31">
        <f t="shared" si="7"/>
        <v>0</v>
      </c>
      <c r="BB43">
        <f t="shared" si="8"/>
        <v>80</v>
      </c>
      <c r="BC43" s="31">
        <f t="shared" si="24"/>
        <v>-80</v>
      </c>
      <c r="BE43" s="31">
        <f t="shared" si="25"/>
        <v>0</v>
      </c>
      <c r="BF43">
        <f t="shared" si="26"/>
        <v>41</v>
      </c>
      <c r="BG43" s="31">
        <f t="shared" si="9"/>
        <v>-41</v>
      </c>
      <c r="BI43" s="31">
        <f t="shared" si="27"/>
        <v>108</v>
      </c>
      <c r="BJ43">
        <f t="shared" si="28"/>
        <v>81</v>
      </c>
      <c r="BK43" s="31">
        <f t="shared" si="29"/>
        <v>27</v>
      </c>
      <c r="BM43" s="31">
        <f t="shared" si="30"/>
        <v>16</v>
      </c>
      <c r="BN43">
        <f t="shared" si="31"/>
        <v>16</v>
      </c>
      <c r="BO43" s="31">
        <f t="shared" si="32"/>
        <v>0</v>
      </c>
      <c r="BQ43" s="31">
        <f t="shared" si="33"/>
        <v>46</v>
      </c>
      <c r="BR43">
        <f t="shared" si="34"/>
        <v>27</v>
      </c>
      <c r="BS43" s="31">
        <f t="shared" si="35"/>
        <v>19</v>
      </c>
      <c r="BU43" s="31">
        <f t="shared" si="10"/>
        <v>3</v>
      </c>
      <c r="BV43">
        <f t="shared" si="11"/>
        <v>17</v>
      </c>
      <c r="BW43" s="31">
        <f t="shared" si="12"/>
        <v>-14</v>
      </c>
      <c r="BY43" s="31">
        <f t="shared" si="13"/>
        <v>203</v>
      </c>
      <c r="BZ43">
        <f t="shared" si="40"/>
        <v>202</v>
      </c>
      <c r="CA43" s="31">
        <f t="shared" si="37"/>
        <v>1</v>
      </c>
      <c r="CC43" s="834">
        <f t="shared" si="36"/>
        <v>87</v>
      </c>
      <c r="CD43">
        <f t="shared" si="38"/>
        <v>26</v>
      </c>
    </row>
    <row r="44" spans="3:82" ht="16.8">
      <c r="C44" s="8" t="s">
        <v>27</v>
      </c>
      <c r="E44" s="1460"/>
      <c r="F44" s="1684" t="s">
        <v>1224</v>
      </c>
      <c r="G44" s="1685"/>
      <c r="H44" s="1686"/>
      <c r="I44" s="1687"/>
      <c r="J44" s="1688"/>
      <c r="L44" s="460"/>
      <c r="M44" s="1693">
        <v>84</v>
      </c>
      <c r="N44" s="1693">
        <v>463.92700000000002</v>
      </c>
      <c r="O44" s="1693">
        <v>305.28100000000001</v>
      </c>
      <c r="P44" s="1693"/>
      <c r="Q44" s="1693">
        <v>618.39200000000005</v>
      </c>
      <c r="R44" s="1693">
        <v>29.930700000000002</v>
      </c>
      <c r="S44" s="1693">
        <v>75.677000000000007</v>
      </c>
      <c r="T44" s="1693"/>
      <c r="U44" s="1693">
        <v>27.886399999999998</v>
      </c>
      <c r="V44" s="1687"/>
      <c r="W44" s="1693">
        <v>76.660899999999998</v>
      </c>
      <c r="X44" s="1693">
        <v>15.4598</v>
      </c>
      <c r="Y44" s="1695"/>
      <c r="Z44" s="1693">
        <v>0</v>
      </c>
      <c r="AA44" s="1693">
        <v>16.476299999999998</v>
      </c>
      <c r="AB44" s="1693">
        <v>0</v>
      </c>
      <c r="AC44" s="1693">
        <v>179.208</v>
      </c>
      <c r="AD44" s="1698">
        <f t="shared" si="39"/>
        <v>36.921984000000002</v>
      </c>
      <c r="AE44">
        <f>+Summary!B34</f>
        <v>27</v>
      </c>
      <c r="AF44" s="834">
        <f>+ORP!AF91</f>
        <v>88</v>
      </c>
      <c r="AG44" s="31">
        <f t="shared" si="15"/>
        <v>0</v>
      </c>
      <c r="AH44">
        <f t="shared" si="1"/>
        <v>256</v>
      </c>
      <c r="AI44" s="31">
        <f t="shared" si="16"/>
        <v>-256</v>
      </c>
      <c r="AK44" s="31">
        <f t="shared" si="17"/>
        <v>0</v>
      </c>
      <c r="AL44">
        <f t="shared" si="2"/>
        <v>230</v>
      </c>
      <c r="AM44" s="31">
        <f t="shared" si="18"/>
        <v>-230</v>
      </c>
      <c r="AO44" s="31">
        <f t="shared" si="19"/>
        <v>864</v>
      </c>
      <c r="AP44">
        <f t="shared" si="3"/>
        <v>0</v>
      </c>
      <c r="AQ44" s="31">
        <f t="shared" si="20"/>
        <v>864</v>
      </c>
      <c r="AS44" s="31">
        <f t="shared" si="21"/>
        <v>0</v>
      </c>
      <c r="AT44">
        <f t="shared" si="4"/>
        <v>669</v>
      </c>
      <c r="AU44" s="31">
        <f t="shared" si="22"/>
        <v>-669</v>
      </c>
      <c r="AW44" s="31">
        <f t="shared" si="5"/>
        <v>0</v>
      </c>
      <c r="AX44">
        <f t="shared" si="6"/>
        <v>20</v>
      </c>
      <c r="AY44" s="31">
        <f t="shared" si="23"/>
        <v>-20</v>
      </c>
      <c r="BA44" s="31">
        <f t="shared" si="7"/>
        <v>0</v>
      </c>
      <c r="BB44">
        <f t="shared" si="8"/>
        <v>82</v>
      </c>
      <c r="BC44" s="31">
        <f t="shared" si="24"/>
        <v>-82</v>
      </c>
      <c r="BE44" s="31">
        <f t="shared" si="25"/>
        <v>0</v>
      </c>
      <c r="BF44">
        <f t="shared" si="26"/>
        <v>46</v>
      </c>
      <c r="BG44" s="31">
        <f t="shared" si="9"/>
        <v>-46</v>
      </c>
      <c r="BI44" s="31">
        <f t="shared" si="27"/>
        <v>110</v>
      </c>
      <c r="BJ44">
        <f t="shared" si="28"/>
        <v>83</v>
      </c>
      <c r="BK44" s="31">
        <f t="shared" si="29"/>
        <v>27</v>
      </c>
      <c r="BM44" s="31">
        <f t="shared" si="30"/>
        <v>17</v>
      </c>
      <c r="BN44">
        <f t="shared" si="31"/>
        <v>17</v>
      </c>
      <c r="BO44" s="31">
        <f t="shared" si="32"/>
        <v>0</v>
      </c>
      <c r="BQ44" s="31">
        <f t="shared" si="33"/>
        <v>44</v>
      </c>
      <c r="BR44">
        <f t="shared" si="34"/>
        <v>23</v>
      </c>
      <c r="BS44" s="31">
        <f t="shared" si="35"/>
        <v>21</v>
      </c>
      <c r="BU44" s="31">
        <f t="shared" si="10"/>
        <v>3</v>
      </c>
      <c r="BV44">
        <f t="shared" si="11"/>
        <v>18</v>
      </c>
      <c r="BW44" s="31">
        <f t="shared" si="12"/>
        <v>-15</v>
      </c>
      <c r="BY44" s="31">
        <f t="shared" si="13"/>
        <v>211</v>
      </c>
      <c r="BZ44">
        <f t="shared" si="40"/>
        <v>210</v>
      </c>
      <c r="CA44" s="31">
        <f t="shared" si="37"/>
        <v>1</v>
      </c>
      <c r="CC44" s="834">
        <f t="shared" si="36"/>
        <v>88</v>
      </c>
      <c r="CD44">
        <f t="shared" si="38"/>
        <v>27</v>
      </c>
    </row>
    <row r="45" spans="3:82" ht="16.8">
      <c r="C45" s="8" t="s">
        <v>27</v>
      </c>
      <c r="E45" s="1672"/>
      <c r="F45" s="1684" t="s">
        <v>1369</v>
      </c>
      <c r="G45" s="1685"/>
      <c r="H45" s="1686"/>
      <c r="I45" s="1687"/>
      <c r="J45" s="1688"/>
      <c r="L45" s="460"/>
      <c r="M45" s="1693">
        <v>85</v>
      </c>
      <c r="N45" s="1693">
        <v>419.21199999999999</v>
      </c>
      <c r="O45" s="1693">
        <v>294.62299999999999</v>
      </c>
      <c r="P45" s="1693">
        <v>0</v>
      </c>
      <c r="Q45" s="1693">
        <v>630.76</v>
      </c>
      <c r="R45" s="1693">
        <v>28.3249</v>
      </c>
      <c r="S45" s="1693">
        <v>77.190600000000003</v>
      </c>
      <c r="T45" s="1693">
        <v>0</v>
      </c>
      <c r="U45" s="1693">
        <v>32.028100000000002</v>
      </c>
      <c r="V45" s="1687"/>
      <c r="W45" s="1693">
        <v>78.194000000000003</v>
      </c>
      <c r="X45" s="1693">
        <v>15.769</v>
      </c>
      <c r="Y45" s="1695"/>
      <c r="Z45" s="1693">
        <v>0</v>
      </c>
      <c r="AA45" s="1693">
        <v>16.805800000000001</v>
      </c>
      <c r="AB45" s="1693">
        <v>0</v>
      </c>
      <c r="AC45" s="1693">
        <v>186.376</v>
      </c>
      <c r="AD45" s="1698">
        <f t="shared" si="39"/>
        <v>34.26408</v>
      </c>
      <c r="AE45">
        <f>+Summary!B35</f>
        <v>28</v>
      </c>
      <c r="AF45" s="834">
        <f>+ORP!AF92</f>
        <v>89</v>
      </c>
      <c r="AG45" s="31">
        <f t="shared" si="15"/>
        <v>0</v>
      </c>
      <c r="AH45">
        <f t="shared" si="1"/>
        <v>190</v>
      </c>
      <c r="AI45" s="31">
        <f t="shared" si="16"/>
        <v>-190</v>
      </c>
      <c r="AK45" s="31">
        <f t="shared" si="17"/>
        <v>0</v>
      </c>
      <c r="AL45">
        <f t="shared" si="2"/>
        <v>195</v>
      </c>
      <c r="AM45" s="31">
        <f t="shared" si="18"/>
        <v>-195</v>
      </c>
      <c r="AO45" s="31">
        <f t="shared" si="19"/>
        <v>821</v>
      </c>
      <c r="AP45">
        <f t="shared" si="3"/>
        <v>0</v>
      </c>
      <c r="AQ45" s="31">
        <f t="shared" si="20"/>
        <v>821</v>
      </c>
      <c r="AS45" s="31">
        <f t="shared" si="21"/>
        <v>0</v>
      </c>
      <c r="AT45">
        <f t="shared" si="4"/>
        <v>683</v>
      </c>
      <c r="AU45" s="31">
        <f t="shared" si="22"/>
        <v>-683</v>
      </c>
      <c r="AW45" s="31">
        <f t="shared" si="5"/>
        <v>0</v>
      </c>
      <c r="AX45">
        <f t="shared" si="6"/>
        <v>16</v>
      </c>
      <c r="AY45" s="31">
        <f t="shared" si="23"/>
        <v>-16</v>
      </c>
      <c r="BA45" s="31">
        <f t="shared" si="7"/>
        <v>0</v>
      </c>
      <c r="BB45">
        <f t="shared" si="8"/>
        <v>84</v>
      </c>
      <c r="BC45" s="31">
        <f t="shared" si="24"/>
        <v>-84</v>
      </c>
      <c r="BE45" s="31">
        <f t="shared" si="25"/>
        <v>0</v>
      </c>
      <c r="BF45">
        <f t="shared" si="26"/>
        <v>51</v>
      </c>
      <c r="BG45" s="31">
        <f t="shared" si="9"/>
        <v>-51</v>
      </c>
      <c r="BI45" s="31">
        <f t="shared" si="27"/>
        <v>113</v>
      </c>
      <c r="BJ45">
        <f t="shared" si="28"/>
        <v>85</v>
      </c>
      <c r="BK45" s="31">
        <f t="shared" si="29"/>
        <v>28</v>
      </c>
      <c r="BM45" s="31">
        <f t="shared" si="30"/>
        <v>17</v>
      </c>
      <c r="BN45">
        <f t="shared" si="31"/>
        <v>17</v>
      </c>
      <c r="BO45" s="31">
        <f t="shared" si="32"/>
        <v>0</v>
      </c>
      <c r="BQ45" s="31">
        <f t="shared" si="33"/>
        <v>42</v>
      </c>
      <c r="BR45">
        <f t="shared" si="34"/>
        <v>18</v>
      </c>
      <c r="BS45" s="31">
        <f t="shared" si="35"/>
        <v>24</v>
      </c>
      <c r="BU45" s="31">
        <f t="shared" si="10"/>
        <v>3</v>
      </c>
      <c r="BV45">
        <f t="shared" si="11"/>
        <v>18</v>
      </c>
      <c r="BW45" s="31">
        <f t="shared" si="12"/>
        <v>-15</v>
      </c>
      <c r="BY45" s="31">
        <f t="shared" si="13"/>
        <v>219</v>
      </c>
      <c r="BZ45">
        <f t="shared" si="40"/>
        <v>218</v>
      </c>
      <c r="CA45" s="31">
        <f t="shared" si="37"/>
        <v>1</v>
      </c>
      <c r="CC45" s="834">
        <f t="shared" si="36"/>
        <v>89</v>
      </c>
      <c r="CD45">
        <f t="shared" si="38"/>
        <v>28</v>
      </c>
    </row>
    <row r="46" spans="3:82" ht="16.8">
      <c r="C46" s="8" t="s">
        <v>27</v>
      </c>
      <c r="E46" s="1672"/>
      <c r="F46" s="1684" t="s">
        <v>256</v>
      </c>
      <c r="G46" s="1685"/>
      <c r="H46" s="1686"/>
      <c r="I46" s="1687"/>
      <c r="J46" s="1688"/>
      <c r="L46" s="460"/>
      <c r="M46" s="1693">
        <v>86</v>
      </c>
      <c r="N46" s="1693">
        <v>369.822</v>
      </c>
      <c r="O46" s="1693">
        <v>278.85000000000002</v>
      </c>
      <c r="P46" s="1693">
        <v>0</v>
      </c>
      <c r="Q46" s="1693">
        <v>643.375</v>
      </c>
      <c r="R46" s="1693">
        <v>26.2285</v>
      </c>
      <c r="S46" s="1693">
        <v>78.734399999999994</v>
      </c>
      <c r="T46" s="1693"/>
      <c r="U46" s="1693">
        <v>36.396299999999997</v>
      </c>
      <c r="V46" s="1687"/>
      <c r="W46" s="1693">
        <v>79.757900000000006</v>
      </c>
      <c r="X46" s="1693">
        <v>16.084399999999999</v>
      </c>
      <c r="Y46" s="1695"/>
      <c r="Z46" s="1693">
        <v>0</v>
      </c>
      <c r="AA46" s="1693">
        <v>17.1419</v>
      </c>
      <c r="AB46" s="1693">
        <v>0</v>
      </c>
      <c r="AC46" s="1693">
        <v>193.83099999999999</v>
      </c>
      <c r="AD46" s="1698">
        <f t="shared" si="39"/>
        <v>31.136256000000003</v>
      </c>
      <c r="AE46">
        <f>+Summary!B36</f>
        <v>29</v>
      </c>
      <c r="AF46" s="834">
        <f>+ORP!AF93</f>
        <v>90</v>
      </c>
      <c r="AG46" s="31">
        <f t="shared" si="15"/>
        <v>0</v>
      </c>
      <c r="AH46">
        <f t="shared" si="1"/>
        <v>118</v>
      </c>
      <c r="AI46" s="31">
        <f t="shared" si="16"/>
        <v>-118</v>
      </c>
      <c r="AK46" s="31">
        <f t="shared" si="17"/>
        <v>0</v>
      </c>
      <c r="AL46">
        <f t="shared" si="2"/>
        <v>152</v>
      </c>
      <c r="AM46" s="31">
        <f t="shared" si="18"/>
        <v>-152</v>
      </c>
      <c r="AO46" s="31">
        <f t="shared" si="19"/>
        <v>770</v>
      </c>
      <c r="AP46">
        <f t="shared" si="3"/>
        <v>0</v>
      </c>
      <c r="AQ46" s="31">
        <f t="shared" si="20"/>
        <v>770</v>
      </c>
      <c r="AS46" s="31">
        <f t="shared" si="21"/>
        <v>0</v>
      </c>
      <c r="AT46">
        <f t="shared" si="4"/>
        <v>696</v>
      </c>
      <c r="AU46" s="31">
        <f t="shared" si="22"/>
        <v>-696</v>
      </c>
      <c r="AW46" s="31">
        <f t="shared" si="5"/>
        <v>0</v>
      </c>
      <c r="AX46">
        <f t="shared" si="6"/>
        <v>10</v>
      </c>
      <c r="AY46" s="31">
        <f t="shared" si="23"/>
        <v>-10</v>
      </c>
      <c r="BA46" s="31">
        <f t="shared" si="7"/>
        <v>0</v>
      </c>
      <c r="BB46">
        <f t="shared" si="8"/>
        <v>85</v>
      </c>
      <c r="BC46" s="31">
        <f t="shared" si="24"/>
        <v>-85</v>
      </c>
      <c r="BE46" s="31">
        <f t="shared" si="25"/>
        <v>0</v>
      </c>
      <c r="BF46">
        <f t="shared" si="26"/>
        <v>56</v>
      </c>
      <c r="BG46" s="31">
        <f t="shared" si="9"/>
        <v>-56</v>
      </c>
      <c r="BI46" s="31">
        <f t="shared" si="27"/>
        <v>115</v>
      </c>
      <c r="BJ46">
        <f t="shared" si="28"/>
        <v>86</v>
      </c>
      <c r="BK46" s="31">
        <f t="shared" si="29"/>
        <v>29</v>
      </c>
      <c r="BM46" s="31">
        <f t="shared" si="30"/>
        <v>17</v>
      </c>
      <c r="BN46">
        <f t="shared" si="31"/>
        <v>17</v>
      </c>
      <c r="BO46" s="31">
        <f t="shared" si="32"/>
        <v>0</v>
      </c>
      <c r="BQ46" s="31">
        <f t="shared" si="33"/>
        <v>39</v>
      </c>
      <c r="BR46">
        <f t="shared" si="34"/>
        <v>13</v>
      </c>
      <c r="BS46" s="31">
        <f t="shared" si="35"/>
        <v>26</v>
      </c>
      <c r="BU46" s="31">
        <f t="shared" si="10"/>
        <v>3</v>
      </c>
      <c r="BV46">
        <f t="shared" si="11"/>
        <v>19</v>
      </c>
      <c r="BW46" s="31">
        <f t="shared" si="12"/>
        <v>-16</v>
      </c>
      <c r="BY46" s="31">
        <f t="shared" si="13"/>
        <v>228</v>
      </c>
      <c r="BZ46">
        <f t="shared" si="40"/>
        <v>227</v>
      </c>
      <c r="CA46" s="31">
        <f t="shared" si="37"/>
        <v>1</v>
      </c>
      <c r="CC46" s="834">
        <f t="shared" si="36"/>
        <v>90</v>
      </c>
      <c r="CD46">
        <f t="shared" si="38"/>
        <v>29</v>
      </c>
    </row>
    <row r="47" spans="3:82" ht="16.8">
      <c r="C47" s="11" t="s">
        <v>866</v>
      </c>
      <c r="D47" s="354">
        <f>+Your_SS</f>
        <v>30000</v>
      </c>
      <c r="E47" s="1460">
        <v>30000</v>
      </c>
      <c r="F47" s="1684" t="s">
        <v>2059</v>
      </c>
      <c r="G47" s="1685"/>
      <c r="H47" s="1686"/>
      <c r="I47" s="1687"/>
      <c r="J47" s="1688"/>
      <c r="L47" s="460"/>
      <c r="M47" s="1693">
        <v>87</v>
      </c>
      <c r="N47" s="1693">
        <v>315.40100000000001</v>
      </c>
      <c r="O47" s="1693">
        <v>257.36900000000003</v>
      </c>
      <c r="P47" s="1693">
        <v>0</v>
      </c>
      <c r="Q47" s="1693">
        <v>656.24199999999996</v>
      </c>
      <c r="R47" s="1693">
        <v>23.537099999999999</v>
      </c>
      <c r="S47" s="1693">
        <v>80.309100000000001</v>
      </c>
      <c r="T47" s="1693"/>
      <c r="U47" s="1693">
        <v>41.000700000000002</v>
      </c>
      <c r="V47" s="1687"/>
      <c r="W47" s="1693">
        <v>81.353099999999998</v>
      </c>
      <c r="X47" s="1693">
        <v>16.406099999999999</v>
      </c>
      <c r="Y47" s="1695"/>
      <c r="Z47" s="1693">
        <v>0</v>
      </c>
      <c r="AA47" s="1693">
        <v>17.4848</v>
      </c>
      <c r="AB47" s="1693">
        <v>0</v>
      </c>
      <c r="AC47" s="1693">
        <v>201.584</v>
      </c>
      <c r="AD47" s="1698">
        <f t="shared" si="39"/>
        <v>27.49296</v>
      </c>
      <c r="AE47">
        <f>+Summary!B37</f>
        <v>30</v>
      </c>
      <c r="AF47" s="834">
        <f>+ORP!AF94</f>
        <v>91</v>
      </c>
      <c r="AG47" s="31">
        <f t="shared" si="15"/>
        <v>0</v>
      </c>
      <c r="AH47">
        <f t="shared" si="1"/>
        <v>39</v>
      </c>
      <c r="AI47" s="31">
        <f t="shared" si="16"/>
        <v>-39</v>
      </c>
      <c r="AK47" s="31">
        <f t="shared" si="17"/>
        <v>0</v>
      </c>
      <c r="AL47">
        <f t="shared" si="2"/>
        <v>101</v>
      </c>
      <c r="AM47" s="31">
        <f t="shared" si="18"/>
        <v>-101</v>
      </c>
      <c r="AO47" s="31">
        <f t="shared" si="19"/>
        <v>710</v>
      </c>
      <c r="AP47">
        <f t="shared" si="3"/>
        <v>0</v>
      </c>
      <c r="AQ47" s="31">
        <f t="shared" si="20"/>
        <v>710</v>
      </c>
      <c r="AS47" s="31">
        <f t="shared" si="21"/>
        <v>0</v>
      </c>
      <c r="AT47">
        <f t="shared" si="4"/>
        <v>710</v>
      </c>
      <c r="AU47" s="31">
        <f t="shared" si="22"/>
        <v>-710</v>
      </c>
      <c r="AW47" s="31">
        <f t="shared" si="5"/>
        <v>0</v>
      </c>
      <c r="AX47">
        <f t="shared" si="6"/>
        <v>4</v>
      </c>
      <c r="AY47" s="31">
        <f t="shared" si="23"/>
        <v>-4</v>
      </c>
      <c r="BA47" s="31">
        <f t="shared" si="7"/>
        <v>0</v>
      </c>
      <c r="BB47">
        <f t="shared" si="8"/>
        <v>87</v>
      </c>
      <c r="BC47" s="31">
        <f t="shared" si="24"/>
        <v>-87</v>
      </c>
      <c r="BE47" s="31">
        <f t="shared" si="25"/>
        <v>0</v>
      </c>
      <c r="BF47">
        <f t="shared" si="26"/>
        <v>62</v>
      </c>
      <c r="BG47" s="31">
        <f t="shared" si="9"/>
        <v>-62</v>
      </c>
      <c r="BI47" s="31">
        <f t="shared" si="27"/>
        <v>117</v>
      </c>
      <c r="BJ47">
        <f t="shared" si="28"/>
        <v>88</v>
      </c>
      <c r="BK47" s="31">
        <f t="shared" si="29"/>
        <v>29</v>
      </c>
      <c r="BM47" s="31">
        <f t="shared" si="30"/>
        <v>17</v>
      </c>
      <c r="BN47">
        <f t="shared" si="31"/>
        <v>18</v>
      </c>
      <c r="BO47" s="31">
        <f t="shared" si="32"/>
        <v>-1</v>
      </c>
      <c r="BQ47" s="31">
        <f t="shared" si="33"/>
        <v>36</v>
      </c>
      <c r="BR47">
        <f t="shared" si="34"/>
        <v>7</v>
      </c>
      <c r="BS47" s="31">
        <f t="shared" si="35"/>
        <v>29</v>
      </c>
      <c r="BU47" s="31">
        <f t="shared" si="10"/>
        <v>4</v>
      </c>
      <c r="BV47">
        <f t="shared" si="11"/>
        <v>19</v>
      </c>
      <c r="BW47" s="31">
        <f t="shared" si="12"/>
        <v>-15</v>
      </c>
      <c r="BY47" s="31">
        <f t="shared" si="13"/>
        <v>237</v>
      </c>
      <c r="BZ47">
        <f t="shared" si="40"/>
        <v>236</v>
      </c>
      <c r="CA47" s="31">
        <f t="shared" si="37"/>
        <v>1</v>
      </c>
      <c r="CC47" s="834">
        <f t="shared" si="36"/>
        <v>91</v>
      </c>
      <c r="CD47">
        <f t="shared" si="38"/>
        <v>30</v>
      </c>
    </row>
    <row r="48" spans="3:82" ht="16.8">
      <c r="C48" s="11" t="s">
        <v>1716</v>
      </c>
      <c r="D48" s="354">
        <f>+Spouse_SS</f>
        <v>20000</v>
      </c>
      <c r="E48" s="1460">
        <v>20000</v>
      </c>
      <c r="F48" s="1684" t="s">
        <v>2060</v>
      </c>
      <c r="G48" s="1685"/>
      <c r="H48" s="1686"/>
      <c r="I48" s="1687"/>
      <c r="J48" s="1688"/>
      <c r="L48" s="460"/>
      <c r="M48" s="1693">
        <v>88</v>
      </c>
      <c r="N48" s="1693">
        <v>255.56399999999999</v>
      </c>
      <c r="O48" s="1693">
        <v>229.53200000000001</v>
      </c>
      <c r="P48" s="1693">
        <v>0</v>
      </c>
      <c r="Q48" s="1693">
        <v>669.36699999999996</v>
      </c>
      <c r="R48" s="1693">
        <v>20.123100000000001</v>
      </c>
      <c r="S48" s="1693">
        <v>81.915199999999999</v>
      </c>
      <c r="T48" s="1693"/>
      <c r="U48" s="1693">
        <v>45.852499999999999</v>
      </c>
      <c r="V48" s="1687"/>
      <c r="W48" s="1693">
        <v>82.980199999999996</v>
      </c>
      <c r="X48" s="1693">
        <v>16.734200000000001</v>
      </c>
      <c r="Y48" s="1695"/>
      <c r="Z48" s="1693">
        <v>0</v>
      </c>
      <c r="AA48" s="1693">
        <v>17.834499999999998</v>
      </c>
      <c r="AB48" s="1693">
        <v>0</v>
      </c>
      <c r="AC48" s="1693">
        <v>209.648</v>
      </c>
      <c r="AD48" s="1698">
        <f t="shared" si="39"/>
        <v>23.284608000000002</v>
      </c>
      <c r="AE48">
        <f>+Summary!B38</f>
        <v>31</v>
      </c>
      <c r="AF48" s="834">
        <f>+ORP!AF95</f>
        <v>92</v>
      </c>
      <c r="AG48" s="31">
        <f t="shared" si="15"/>
        <v>0</v>
      </c>
      <c r="AH48">
        <f t="shared" si="1"/>
        <v>0</v>
      </c>
      <c r="AI48" s="31">
        <f t="shared" si="16"/>
        <v>0</v>
      </c>
      <c r="AK48" s="31">
        <f t="shared" si="17"/>
        <v>0</v>
      </c>
      <c r="AL48">
        <f t="shared" si="2"/>
        <v>0</v>
      </c>
      <c r="AM48" s="31">
        <f t="shared" si="18"/>
        <v>0</v>
      </c>
      <c r="AO48" s="31">
        <f t="shared" si="19"/>
        <v>0</v>
      </c>
      <c r="AP48">
        <f t="shared" si="3"/>
        <v>0</v>
      </c>
      <c r="AQ48" s="31">
        <f t="shared" si="20"/>
        <v>0</v>
      </c>
      <c r="AS48" s="31">
        <f t="shared" si="21"/>
        <v>0</v>
      </c>
      <c r="AT48">
        <f t="shared" si="4"/>
        <v>0</v>
      </c>
      <c r="AU48" s="31">
        <f t="shared" si="22"/>
        <v>0</v>
      </c>
      <c r="AW48" s="31">
        <f t="shared" si="5"/>
        <v>0</v>
      </c>
      <c r="AX48">
        <f t="shared" si="6"/>
        <v>0</v>
      </c>
      <c r="AY48" s="31">
        <f t="shared" si="23"/>
        <v>0</v>
      </c>
      <c r="BA48" s="31">
        <f t="shared" si="7"/>
        <v>0</v>
      </c>
      <c r="BB48">
        <f t="shared" si="8"/>
        <v>0</v>
      </c>
      <c r="BC48" s="31">
        <f t="shared" si="24"/>
        <v>0</v>
      </c>
      <c r="BE48" s="31">
        <f t="shared" si="25"/>
        <v>0</v>
      </c>
      <c r="BF48">
        <f t="shared" si="26"/>
        <v>0</v>
      </c>
      <c r="BG48" s="31">
        <f t="shared" si="9"/>
        <v>0</v>
      </c>
      <c r="BI48" s="31">
        <f t="shared" si="27"/>
        <v>0</v>
      </c>
      <c r="BJ48">
        <f t="shared" si="28"/>
        <v>0</v>
      </c>
      <c r="BK48" s="31">
        <f t="shared" si="29"/>
        <v>0</v>
      </c>
      <c r="BM48" s="31">
        <f t="shared" si="30"/>
        <v>0</v>
      </c>
      <c r="BN48">
        <f t="shared" si="31"/>
        <v>0</v>
      </c>
      <c r="BO48" s="31">
        <f t="shared" si="32"/>
        <v>0</v>
      </c>
      <c r="BQ48" s="31">
        <f t="shared" si="33"/>
        <v>0</v>
      </c>
      <c r="BR48">
        <f t="shared" si="34"/>
        <v>0</v>
      </c>
      <c r="BS48" s="31">
        <f t="shared" si="35"/>
        <v>0</v>
      </c>
      <c r="BU48" s="31">
        <f t="shared" si="10"/>
        <v>0</v>
      </c>
      <c r="BV48">
        <f t="shared" si="11"/>
        <v>0</v>
      </c>
      <c r="BW48" s="31">
        <f t="shared" si="12"/>
        <v>0</v>
      </c>
      <c r="BY48" s="31">
        <f t="shared" si="13"/>
        <v>0</v>
      </c>
      <c r="BZ48">
        <f t="shared" si="40"/>
        <v>0</v>
      </c>
      <c r="CA48" s="31">
        <f t="shared" si="37"/>
        <v>0</v>
      </c>
      <c r="CC48" s="834">
        <f t="shared" si="36"/>
        <v>92</v>
      </c>
      <c r="CD48">
        <f t="shared" si="38"/>
        <v>31</v>
      </c>
    </row>
    <row r="49" spans="3:98" ht="16.8">
      <c r="C49" s="11" t="s">
        <v>1717</v>
      </c>
      <c r="D49" s="354">
        <f>+Your_SS_Start</f>
        <v>70</v>
      </c>
      <c r="E49" s="1460">
        <v>70</v>
      </c>
      <c r="F49" s="1684" t="s">
        <v>1371</v>
      </c>
      <c r="G49" s="1685"/>
      <c r="H49" s="1686"/>
      <c r="I49" s="1687"/>
      <c r="J49" s="1688"/>
      <c r="L49" s="460"/>
      <c r="M49" s="1693">
        <v>89</v>
      </c>
      <c r="N49" s="1693">
        <v>189.899</v>
      </c>
      <c r="O49" s="1693">
        <v>194.637</v>
      </c>
      <c r="P49" s="1693">
        <v>0</v>
      </c>
      <c r="Q49" s="1693">
        <v>682.755</v>
      </c>
      <c r="R49" s="1693">
        <v>15.8249</v>
      </c>
      <c r="S49" s="1693">
        <v>83.5535</v>
      </c>
      <c r="T49" s="1693"/>
      <c r="U49" s="1693">
        <v>50.962200000000003</v>
      </c>
      <c r="V49" s="1687"/>
      <c r="W49" s="1693">
        <v>84.639700000000005</v>
      </c>
      <c r="X49" s="1693">
        <v>17.068899999999999</v>
      </c>
      <c r="Y49" s="1695"/>
      <c r="Z49" s="1693">
        <v>0</v>
      </c>
      <c r="AA49" s="1693">
        <v>18.191099999999999</v>
      </c>
      <c r="AB49" s="1693">
        <v>0</v>
      </c>
      <c r="AC49" s="1693">
        <v>218.03399999999999</v>
      </c>
      <c r="AD49" s="1698">
        <f t="shared" si="39"/>
        <v>18.457727999999999</v>
      </c>
      <c r="AE49">
        <f>+Summary!B39</f>
        <v>32</v>
      </c>
      <c r="AF49" s="834">
        <f>+ORP!AF96</f>
        <v>93</v>
      </c>
      <c r="AG49" s="31">
        <f t="shared" si="15"/>
        <v>0</v>
      </c>
      <c r="AH49">
        <f t="shared" si="1"/>
        <v>0</v>
      </c>
      <c r="AI49" s="31">
        <f t="shared" si="16"/>
        <v>0</v>
      </c>
      <c r="AK49" s="31">
        <f t="shared" si="17"/>
        <v>0</v>
      </c>
      <c r="AL49">
        <f t="shared" si="2"/>
        <v>0</v>
      </c>
      <c r="AM49" s="31">
        <f t="shared" si="18"/>
        <v>0</v>
      </c>
      <c r="AO49" s="31">
        <f t="shared" si="19"/>
        <v>0</v>
      </c>
      <c r="AP49">
        <f t="shared" si="3"/>
        <v>0</v>
      </c>
      <c r="AQ49" s="31">
        <f t="shared" si="20"/>
        <v>0</v>
      </c>
      <c r="AS49" s="31">
        <f t="shared" si="21"/>
        <v>0</v>
      </c>
      <c r="AT49">
        <f t="shared" si="4"/>
        <v>0</v>
      </c>
      <c r="AU49" s="31">
        <f t="shared" si="22"/>
        <v>0</v>
      </c>
      <c r="AW49" s="31">
        <f t="shared" si="5"/>
        <v>0</v>
      </c>
      <c r="AX49">
        <f t="shared" si="6"/>
        <v>0</v>
      </c>
      <c r="AY49" s="31">
        <f t="shared" si="23"/>
        <v>0</v>
      </c>
      <c r="BA49" s="31">
        <f t="shared" si="7"/>
        <v>0</v>
      </c>
      <c r="BB49">
        <f t="shared" si="8"/>
        <v>0</v>
      </c>
      <c r="BC49" s="31">
        <f t="shared" si="24"/>
        <v>0</v>
      </c>
      <c r="BE49" s="31">
        <f t="shared" si="25"/>
        <v>0</v>
      </c>
      <c r="BF49">
        <f t="shared" si="26"/>
        <v>0</v>
      </c>
      <c r="BG49" s="31">
        <f t="shared" si="9"/>
        <v>0</v>
      </c>
      <c r="BI49" s="31">
        <f t="shared" si="27"/>
        <v>0</v>
      </c>
      <c r="BJ49">
        <f t="shared" si="28"/>
        <v>0</v>
      </c>
      <c r="BK49" s="31">
        <f t="shared" si="29"/>
        <v>0</v>
      </c>
      <c r="BM49" s="31">
        <f t="shared" si="30"/>
        <v>0</v>
      </c>
      <c r="BN49">
        <f t="shared" si="31"/>
        <v>0</v>
      </c>
      <c r="BO49" s="31">
        <f t="shared" si="32"/>
        <v>0</v>
      </c>
      <c r="BQ49" s="31">
        <f t="shared" si="33"/>
        <v>0</v>
      </c>
      <c r="BR49">
        <f t="shared" si="34"/>
        <v>0</v>
      </c>
      <c r="BS49" s="31">
        <f t="shared" si="35"/>
        <v>0</v>
      </c>
      <c r="BU49" s="31">
        <f t="shared" si="10"/>
        <v>0</v>
      </c>
      <c r="BV49">
        <f t="shared" si="11"/>
        <v>0</v>
      </c>
      <c r="BW49" s="31">
        <f t="shared" si="12"/>
        <v>0</v>
      </c>
      <c r="BY49" s="31">
        <f t="shared" si="13"/>
        <v>0</v>
      </c>
      <c r="BZ49">
        <f t="shared" si="40"/>
        <v>0</v>
      </c>
      <c r="CA49" s="31">
        <f t="shared" si="37"/>
        <v>0</v>
      </c>
      <c r="CC49" s="834">
        <f t="shared" si="36"/>
        <v>93</v>
      </c>
      <c r="CD49">
        <f t="shared" si="38"/>
        <v>32</v>
      </c>
    </row>
    <row r="50" spans="3:98" ht="16.8">
      <c r="C50" s="11" t="s">
        <v>1718</v>
      </c>
      <c r="D50" s="354">
        <f>+Spouse_SS_Start</f>
        <v>66</v>
      </c>
      <c r="E50" s="1460">
        <v>70</v>
      </c>
      <c r="F50" s="1684" t="s">
        <v>1372</v>
      </c>
      <c r="G50" s="1685"/>
      <c r="H50" s="1686"/>
      <c r="I50" s="1687"/>
      <c r="J50" s="1688"/>
      <c r="L50" s="460"/>
      <c r="M50" s="1693">
        <v>90</v>
      </c>
      <c r="N50" s="1693">
        <v>117.968</v>
      </c>
      <c r="O50" s="1693">
        <v>151.91999999999999</v>
      </c>
      <c r="P50" s="1693">
        <v>0</v>
      </c>
      <c r="Q50" s="1693">
        <v>696.41</v>
      </c>
      <c r="R50" s="1693">
        <v>10.348000000000001</v>
      </c>
      <c r="S50" s="1693">
        <v>85.224900000000005</v>
      </c>
      <c r="T50" s="1693"/>
      <c r="U50" s="1693">
        <v>56.341999999999999</v>
      </c>
      <c r="V50" s="1687"/>
      <c r="W50" s="1693">
        <v>86.332599999999999</v>
      </c>
      <c r="X50" s="1693">
        <v>17.4102</v>
      </c>
      <c r="Y50" s="1695"/>
      <c r="Z50" s="1693">
        <v>0</v>
      </c>
      <c r="AA50" s="1693">
        <v>18.555</v>
      </c>
      <c r="AB50" s="1693">
        <v>0</v>
      </c>
      <c r="AC50" s="1693">
        <v>226.755</v>
      </c>
      <c r="AD50" s="1698">
        <f t="shared" si="39"/>
        <v>12.954623999999999</v>
      </c>
      <c r="AE50">
        <f>+Summary!B40</f>
        <v>33</v>
      </c>
      <c r="AF50" s="834">
        <f>+ORP!AF97</f>
        <v>94</v>
      </c>
      <c r="AG50" s="31">
        <f t="shared" si="15"/>
        <v>0</v>
      </c>
      <c r="AH50">
        <f t="shared" si="1"/>
        <v>0</v>
      </c>
      <c r="AI50" s="31">
        <f t="shared" si="16"/>
        <v>0</v>
      </c>
      <c r="AK50" s="31">
        <f t="shared" si="17"/>
        <v>0</v>
      </c>
      <c r="AL50">
        <f t="shared" si="2"/>
        <v>0</v>
      </c>
      <c r="AM50" s="31">
        <f t="shared" si="18"/>
        <v>0</v>
      </c>
      <c r="AO50" s="31">
        <f t="shared" si="19"/>
        <v>0</v>
      </c>
      <c r="AP50">
        <f t="shared" si="3"/>
        <v>0</v>
      </c>
      <c r="AQ50" s="31">
        <f t="shared" si="20"/>
        <v>0</v>
      </c>
      <c r="AS50" s="31">
        <f t="shared" si="21"/>
        <v>0</v>
      </c>
      <c r="AT50">
        <f t="shared" si="4"/>
        <v>0</v>
      </c>
      <c r="AU50" s="31">
        <f t="shared" si="22"/>
        <v>0</v>
      </c>
      <c r="AW50" s="31">
        <f t="shared" si="5"/>
        <v>0</v>
      </c>
      <c r="AX50">
        <f t="shared" si="6"/>
        <v>0</v>
      </c>
      <c r="AY50" s="31">
        <f t="shared" si="23"/>
        <v>0</v>
      </c>
      <c r="BA50" s="31">
        <f t="shared" si="7"/>
        <v>0</v>
      </c>
      <c r="BB50">
        <f t="shared" si="8"/>
        <v>0</v>
      </c>
      <c r="BC50" s="31">
        <f t="shared" si="24"/>
        <v>0</v>
      </c>
      <c r="BE50" s="31">
        <f t="shared" si="25"/>
        <v>0</v>
      </c>
      <c r="BF50">
        <f t="shared" si="26"/>
        <v>0</v>
      </c>
      <c r="BG50" s="31">
        <f t="shared" si="9"/>
        <v>0</v>
      </c>
      <c r="BI50" s="31">
        <f t="shared" si="27"/>
        <v>0</v>
      </c>
      <c r="BJ50">
        <f t="shared" si="28"/>
        <v>0</v>
      </c>
      <c r="BK50" s="31">
        <f t="shared" si="29"/>
        <v>0</v>
      </c>
      <c r="BM50" s="31">
        <f t="shared" si="30"/>
        <v>0</v>
      </c>
      <c r="BN50">
        <f t="shared" si="31"/>
        <v>0</v>
      </c>
      <c r="BO50" s="31">
        <f t="shared" si="32"/>
        <v>0</v>
      </c>
      <c r="BQ50" s="31">
        <f t="shared" si="33"/>
        <v>0</v>
      </c>
      <c r="BR50">
        <f t="shared" si="34"/>
        <v>0</v>
      </c>
      <c r="BS50" s="31">
        <f t="shared" si="35"/>
        <v>0</v>
      </c>
      <c r="BU50" s="31">
        <f t="shared" si="10"/>
        <v>0</v>
      </c>
      <c r="BV50">
        <f t="shared" si="11"/>
        <v>0</v>
      </c>
      <c r="BW50" s="31">
        <f t="shared" si="12"/>
        <v>0</v>
      </c>
      <c r="BY50" s="31">
        <f t="shared" si="13"/>
        <v>0</v>
      </c>
      <c r="BZ50">
        <f t="shared" si="40"/>
        <v>0</v>
      </c>
      <c r="CA50" s="31">
        <f t="shared" si="37"/>
        <v>0</v>
      </c>
      <c r="CC50" s="834">
        <f t="shared" si="36"/>
        <v>94</v>
      </c>
      <c r="CD50">
        <f t="shared" si="38"/>
        <v>33</v>
      </c>
    </row>
    <row r="51" spans="3:98" ht="16.8">
      <c r="C51" s="8" t="s">
        <v>27</v>
      </c>
      <c r="E51" s="1672"/>
      <c r="F51" s="1684" t="s">
        <v>1090</v>
      </c>
      <c r="G51" s="1685"/>
      <c r="H51" s="1686"/>
      <c r="I51" s="1687"/>
      <c r="J51" s="1688"/>
      <c r="L51" s="460"/>
      <c r="M51" s="1693">
        <v>91</v>
      </c>
      <c r="N51" s="1693">
        <v>39.2958</v>
      </c>
      <c r="O51" s="1693">
        <v>100.55</v>
      </c>
      <c r="P51" s="1693">
        <v>0</v>
      </c>
      <c r="Q51" s="1693">
        <v>710.33799999999997</v>
      </c>
      <c r="R51" s="1693">
        <v>3.6384799999999999</v>
      </c>
      <c r="S51" s="1693">
        <v>86.929500000000004</v>
      </c>
      <c r="T51" s="1693"/>
      <c r="U51" s="1693">
        <v>62.003700000000002</v>
      </c>
      <c r="V51" s="1687"/>
      <c r="W51" s="1693">
        <v>88.059299999999993</v>
      </c>
      <c r="X51" s="1693">
        <v>17.758400000000002</v>
      </c>
      <c r="Y51" s="1695"/>
      <c r="Z51" s="1693">
        <v>0</v>
      </c>
      <c r="AA51" s="1693">
        <v>18.926100000000002</v>
      </c>
      <c r="AB51" s="1693">
        <v>0</v>
      </c>
      <c r="AC51" s="1693">
        <v>235.82499999999999</v>
      </c>
      <c r="AD51" s="1698">
        <f t="shared" si="39"/>
        <v>6.7125984000000001</v>
      </c>
      <c r="AE51">
        <f>+Summary!B41</f>
        <v>34</v>
      </c>
      <c r="AF51" s="834">
        <f>+ORP!AF98</f>
        <v>95</v>
      </c>
      <c r="AG51" s="31">
        <f t="shared" si="15"/>
        <v>0</v>
      </c>
      <c r="AH51">
        <f t="shared" si="1"/>
        <v>0</v>
      </c>
      <c r="AI51" s="31">
        <f t="shared" si="16"/>
        <v>0</v>
      </c>
      <c r="AK51" s="31">
        <f t="shared" si="17"/>
        <v>0</v>
      </c>
      <c r="AL51">
        <f t="shared" si="2"/>
        <v>0</v>
      </c>
      <c r="AM51" s="31">
        <f t="shared" si="18"/>
        <v>0</v>
      </c>
      <c r="AO51" s="31">
        <f t="shared" si="19"/>
        <v>0</v>
      </c>
      <c r="AP51">
        <f t="shared" si="3"/>
        <v>0</v>
      </c>
      <c r="AQ51" s="31">
        <f t="shared" si="20"/>
        <v>0</v>
      </c>
      <c r="AS51" s="31">
        <f t="shared" si="21"/>
        <v>0</v>
      </c>
      <c r="AT51">
        <f t="shared" si="4"/>
        <v>0</v>
      </c>
      <c r="AU51" s="31">
        <f t="shared" si="22"/>
        <v>0</v>
      </c>
      <c r="AW51" s="31">
        <f t="shared" si="5"/>
        <v>0</v>
      </c>
      <c r="AX51">
        <f t="shared" si="6"/>
        <v>0</v>
      </c>
      <c r="AY51" s="31">
        <f t="shared" si="23"/>
        <v>0</v>
      </c>
      <c r="BA51" s="31">
        <f t="shared" si="7"/>
        <v>0</v>
      </c>
      <c r="BB51">
        <f t="shared" si="8"/>
        <v>0</v>
      </c>
      <c r="BC51" s="31">
        <f t="shared" si="24"/>
        <v>0</v>
      </c>
      <c r="BE51" s="31">
        <f t="shared" si="25"/>
        <v>0</v>
      </c>
      <c r="BF51">
        <f t="shared" si="26"/>
        <v>0</v>
      </c>
      <c r="BG51" s="31">
        <f t="shared" si="9"/>
        <v>0</v>
      </c>
      <c r="BI51" s="31">
        <f t="shared" si="27"/>
        <v>0</v>
      </c>
      <c r="BJ51">
        <f t="shared" si="28"/>
        <v>0</v>
      </c>
      <c r="BK51" s="31">
        <f t="shared" si="29"/>
        <v>0</v>
      </c>
      <c r="BM51" s="31">
        <f t="shared" si="30"/>
        <v>0</v>
      </c>
      <c r="BN51">
        <f t="shared" si="31"/>
        <v>0</v>
      </c>
      <c r="BO51" s="31">
        <f t="shared" si="32"/>
        <v>0</v>
      </c>
      <c r="BQ51" s="31">
        <f t="shared" si="33"/>
        <v>0</v>
      </c>
      <c r="BR51">
        <f t="shared" si="34"/>
        <v>0</v>
      </c>
      <c r="BS51" s="31">
        <f t="shared" si="35"/>
        <v>0</v>
      </c>
      <c r="BU51" s="31">
        <f t="shared" si="10"/>
        <v>0</v>
      </c>
      <c r="BV51">
        <f t="shared" si="11"/>
        <v>0</v>
      </c>
      <c r="BW51" s="31">
        <f t="shared" si="12"/>
        <v>0</v>
      </c>
      <c r="BY51" s="31">
        <f t="shared" si="13"/>
        <v>0</v>
      </c>
      <c r="BZ51">
        <f t="shared" si="40"/>
        <v>0</v>
      </c>
      <c r="CA51" s="31">
        <f t="shared" si="37"/>
        <v>0</v>
      </c>
      <c r="CC51" s="834">
        <f t="shared" si="36"/>
        <v>95</v>
      </c>
      <c r="CD51">
        <f t="shared" si="38"/>
        <v>34</v>
      </c>
    </row>
    <row r="52" spans="3:98" ht="16.8">
      <c r="C52" s="8" t="s">
        <v>27</v>
      </c>
      <c r="E52" s="1672"/>
      <c r="F52" s="1684" t="s">
        <v>1091</v>
      </c>
      <c r="G52" s="1685"/>
      <c r="H52" s="1686"/>
      <c r="I52" s="1687"/>
      <c r="J52" s="1688"/>
      <c r="L52" s="460"/>
      <c r="M52" s="1693">
        <v>92</v>
      </c>
      <c r="N52" s="1693"/>
      <c r="O52" s="1693">
        <v>0</v>
      </c>
      <c r="P52" s="1693"/>
      <c r="Q52" s="1693">
        <v>724.54499999999996</v>
      </c>
      <c r="R52" s="1693">
        <v>0</v>
      </c>
      <c r="S52" s="1693">
        <v>42.046500000000002</v>
      </c>
      <c r="T52" s="1693"/>
      <c r="U52" s="1693">
        <v>107.589</v>
      </c>
      <c r="V52" s="1687"/>
      <c r="W52" s="1693">
        <v>89.820400000000006</v>
      </c>
      <c r="X52" s="1693">
        <v>18.113600000000002</v>
      </c>
      <c r="Y52" s="1695"/>
      <c r="Z52" s="1693">
        <v>0</v>
      </c>
      <c r="AA52" s="1693">
        <v>12.311400000000001</v>
      </c>
      <c r="AB52" s="1693">
        <v>0</v>
      </c>
      <c r="AC52" s="1693">
        <v>245.25800000000001</v>
      </c>
      <c r="AD52" s="1698">
        <f t="shared" si="39"/>
        <v>0</v>
      </c>
      <c r="AE52">
        <f>+Summary!B42</f>
        <v>35</v>
      </c>
      <c r="AF52" s="834">
        <f>+ORP!AF99</f>
        <v>96</v>
      </c>
      <c r="AG52" s="31">
        <f t="shared" si="15"/>
        <v>0</v>
      </c>
      <c r="AH52">
        <f t="shared" si="1"/>
        <v>0</v>
      </c>
      <c r="AI52" s="31">
        <f t="shared" si="16"/>
        <v>0</v>
      </c>
      <c r="AK52" s="31">
        <f t="shared" si="17"/>
        <v>0</v>
      </c>
      <c r="AL52">
        <f t="shared" si="2"/>
        <v>0</v>
      </c>
      <c r="AM52" s="31">
        <f t="shared" si="18"/>
        <v>0</v>
      </c>
      <c r="AO52" s="31">
        <f t="shared" si="19"/>
        <v>0</v>
      </c>
      <c r="AP52">
        <f t="shared" si="3"/>
        <v>0</v>
      </c>
      <c r="AQ52" s="31">
        <f t="shared" si="20"/>
        <v>0</v>
      </c>
      <c r="AS52" s="31">
        <f t="shared" si="21"/>
        <v>0</v>
      </c>
      <c r="AT52">
        <f t="shared" si="4"/>
        <v>0</v>
      </c>
      <c r="AU52" s="31">
        <f t="shared" si="22"/>
        <v>0</v>
      </c>
      <c r="AW52" s="31">
        <f t="shared" si="5"/>
        <v>0</v>
      </c>
      <c r="AX52">
        <f t="shared" si="6"/>
        <v>0</v>
      </c>
      <c r="AY52" s="31">
        <f t="shared" si="23"/>
        <v>0</v>
      </c>
      <c r="BA52" s="31">
        <f t="shared" si="7"/>
        <v>0</v>
      </c>
      <c r="BB52">
        <f t="shared" si="8"/>
        <v>0</v>
      </c>
      <c r="BC52" s="31">
        <f t="shared" si="24"/>
        <v>0</v>
      </c>
      <c r="BE52" s="31">
        <f t="shared" si="25"/>
        <v>0</v>
      </c>
      <c r="BF52">
        <f t="shared" si="26"/>
        <v>0</v>
      </c>
      <c r="BG52" s="31">
        <f t="shared" si="9"/>
        <v>0</v>
      </c>
      <c r="BI52" s="31">
        <f t="shared" si="27"/>
        <v>0</v>
      </c>
      <c r="BJ52">
        <f t="shared" si="28"/>
        <v>0</v>
      </c>
      <c r="BK52" s="31">
        <f t="shared" si="29"/>
        <v>0</v>
      </c>
      <c r="BM52" s="31">
        <f t="shared" si="30"/>
        <v>0</v>
      </c>
      <c r="BN52">
        <f t="shared" si="31"/>
        <v>0</v>
      </c>
      <c r="BO52" s="31">
        <f t="shared" si="32"/>
        <v>0</v>
      </c>
      <c r="BQ52" s="31">
        <f t="shared" si="33"/>
        <v>0</v>
      </c>
      <c r="BR52">
        <f t="shared" si="34"/>
        <v>0</v>
      </c>
      <c r="BS52" s="31">
        <f t="shared" si="35"/>
        <v>0</v>
      </c>
      <c r="BU52" s="31">
        <f t="shared" si="10"/>
        <v>0</v>
      </c>
      <c r="BV52">
        <f t="shared" si="11"/>
        <v>0</v>
      </c>
      <c r="BW52" s="31">
        <f t="shared" si="12"/>
        <v>0</v>
      </c>
      <c r="BY52" s="31">
        <f t="shared" si="13"/>
        <v>0</v>
      </c>
      <c r="BZ52">
        <f t="shared" si="40"/>
        <v>0</v>
      </c>
      <c r="CA52" s="31">
        <f t="shared" si="37"/>
        <v>0</v>
      </c>
      <c r="CC52" s="834">
        <f t="shared" si="36"/>
        <v>96</v>
      </c>
      <c r="CD52">
        <f t="shared" si="38"/>
        <v>35</v>
      </c>
    </row>
    <row r="53" spans="3:98" ht="16.8">
      <c r="C53" s="8" t="s">
        <v>27</v>
      </c>
      <c r="E53" s="1672"/>
      <c r="F53" s="1684" t="s">
        <v>2061</v>
      </c>
      <c r="G53" s="1685"/>
      <c r="H53" s="1686"/>
      <c r="I53" s="1687"/>
      <c r="J53" s="1688"/>
      <c r="L53" s="460"/>
      <c r="M53" s="1693" t="s">
        <v>1733</v>
      </c>
      <c r="N53" s="1693">
        <v>0</v>
      </c>
      <c r="O53" s="1693"/>
      <c r="P53" s="1693">
        <v>600.67499999999995</v>
      </c>
      <c r="Q53" s="1693"/>
      <c r="R53" s="1693">
        <v>0</v>
      </c>
      <c r="S53" s="1693">
        <v>0</v>
      </c>
      <c r="T53" s="1693">
        <v>138.36099999999999</v>
      </c>
      <c r="U53" s="1693">
        <v>0</v>
      </c>
      <c r="V53" s="1687"/>
      <c r="W53" s="1693">
        <v>55.197099999999999</v>
      </c>
      <c r="X53" s="1693"/>
      <c r="Y53" s="1687"/>
      <c r="Z53" s="1693">
        <v>19.582000000000001</v>
      </c>
      <c r="AA53" s="1693">
        <v>3.6330800000000001</v>
      </c>
      <c r="AB53" s="1693">
        <v>18.206199999999999</v>
      </c>
      <c r="AC53" s="1693">
        <v>191.30099999999999</v>
      </c>
      <c r="AE53">
        <f>+Summary!B43</f>
        <v>36</v>
      </c>
      <c r="AF53" s="834">
        <f>+ORP!AF100</f>
        <v>97</v>
      </c>
      <c r="AG53" s="31">
        <f t="shared" si="15"/>
        <v>0</v>
      </c>
      <c r="AH53">
        <f t="shared" si="1"/>
        <v>0</v>
      </c>
      <c r="AI53" s="31">
        <f t="shared" si="16"/>
        <v>0</v>
      </c>
      <c r="AK53" s="31">
        <f t="shared" si="17"/>
        <v>0</v>
      </c>
      <c r="AL53">
        <f t="shared" si="2"/>
        <v>0</v>
      </c>
      <c r="AM53" s="31">
        <f t="shared" si="18"/>
        <v>0</v>
      </c>
      <c r="AO53" s="31">
        <f t="shared" si="19"/>
        <v>0</v>
      </c>
      <c r="AP53">
        <f t="shared" si="3"/>
        <v>0</v>
      </c>
      <c r="AQ53" s="31">
        <f t="shared" si="20"/>
        <v>0</v>
      </c>
      <c r="AS53" s="31">
        <f t="shared" si="21"/>
        <v>0</v>
      </c>
      <c r="AT53">
        <f t="shared" si="4"/>
        <v>0</v>
      </c>
      <c r="AU53" s="31">
        <f t="shared" si="22"/>
        <v>0</v>
      </c>
      <c r="AW53" s="31">
        <f t="shared" si="5"/>
        <v>0</v>
      </c>
      <c r="AX53">
        <f t="shared" si="6"/>
        <v>0</v>
      </c>
      <c r="AY53" s="31">
        <f t="shared" si="23"/>
        <v>0</v>
      </c>
      <c r="BA53" s="31">
        <f t="shared" si="7"/>
        <v>0</v>
      </c>
      <c r="BB53">
        <f t="shared" si="8"/>
        <v>0</v>
      </c>
      <c r="BC53" s="31">
        <f t="shared" si="24"/>
        <v>0</v>
      </c>
      <c r="BE53" s="31">
        <f t="shared" si="25"/>
        <v>0</v>
      </c>
      <c r="BF53">
        <f t="shared" si="26"/>
        <v>0</v>
      </c>
      <c r="BG53" s="31">
        <f t="shared" si="9"/>
        <v>0</v>
      </c>
      <c r="BI53" s="31">
        <f t="shared" si="27"/>
        <v>0</v>
      </c>
      <c r="BJ53">
        <f t="shared" si="28"/>
        <v>0</v>
      </c>
      <c r="BK53" s="31">
        <f t="shared" si="29"/>
        <v>0</v>
      </c>
      <c r="BM53" s="31">
        <f t="shared" si="30"/>
        <v>0</v>
      </c>
      <c r="BN53">
        <f t="shared" si="31"/>
        <v>0</v>
      </c>
      <c r="BO53" s="31">
        <f t="shared" si="32"/>
        <v>0</v>
      </c>
      <c r="BQ53" s="31">
        <f t="shared" si="33"/>
        <v>0</v>
      </c>
      <c r="BR53">
        <f t="shared" si="34"/>
        <v>0</v>
      </c>
      <c r="BS53" s="31">
        <f t="shared" si="35"/>
        <v>0</v>
      </c>
      <c r="BU53" s="31">
        <f t="shared" si="10"/>
        <v>0</v>
      </c>
      <c r="BV53">
        <f t="shared" si="11"/>
        <v>0</v>
      </c>
      <c r="BW53" s="31">
        <f t="shared" si="12"/>
        <v>0</v>
      </c>
      <c r="BY53" s="31">
        <f t="shared" si="13"/>
        <v>0</v>
      </c>
      <c r="BZ53">
        <f t="shared" si="40"/>
        <v>0</v>
      </c>
      <c r="CA53" s="31">
        <f t="shared" si="37"/>
        <v>0</v>
      </c>
      <c r="CC53" s="834">
        <f t="shared" si="36"/>
        <v>97</v>
      </c>
      <c r="CD53">
        <f t="shared" si="38"/>
        <v>36</v>
      </c>
    </row>
    <row r="54" spans="3:98" ht="16.8">
      <c r="C54" s="11" t="s">
        <v>1719</v>
      </c>
      <c r="D54" s="354">
        <f>+Income_OInc_Long</f>
        <v>8000</v>
      </c>
      <c r="E54" s="1460">
        <v>10000</v>
      </c>
      <c r="F54" s="1684" t="s">
        <v>2062</v>
      </c>
      <c r="G54" s="1685"/>
      <c r="H54" s="1686"/>
      <c r="I54" s="1687"/>
      <c r="J54" s="1688"/>
      <c r="L54" s="460"/>
      <c r="M54" s="1693" t="s">
        <v>2088</v>
      </c>
      <c r="N54" s="1693"/>
      <c r="O54" s="1693"/>
      <c r="P54" s="1693"/>
      <c r="Q54" s="1693"/>
      <c r="R54" s="1693"/>
      <c r="S54" s="1693"/>
      <c r="T54" s="1693"/>
      <c r="U54" s="1693"/>
      <c r="V54" s="1687"/>
      <c r="W54" s="1693"/>
      <c r="X54" s="1693"/>
      <c r="Y54" s="1687"/>
      <c r="Z54" s="1693"/>
      <c r="AA54" s="1693"/>
      <c r="AB54" s="1693"/>
      <c r="AC54" s="1693"/>
      <c r="AE54">
        <f>+Summary!B44</f>
        <v>37</v>
      </c>
      <c r="AF54" s="834">
        <f>+ORP!AF101</f>
        <v>98</v>
      </c>
      <c r="AG54" s="31">
        <f t="shared" si="15"/>
        <v>0</v>
      </c>
      <c r="AH54">
        <f t="shared" si="1"/>
        <v>0</v>
      </c>
      <c r="AI54" s="31">
        <f t="shared" si="16"/>
        <v>0</v>
      </c>
      <c r="AK54" s="31">
        <f t="shared" si="17"/>
        <v>0</v>
      </c>
      <c r="AL54">
        <f t="shared" si="2"/>
        <v>0</v>
      </c>
      <c r="AM54" s="31">
        <f t="shared" si="18"/>
        <v>0</v>
      </c>
      <c r="AO54" s="31">
        <f t="shared" si="19"/>
        <v>0</v>
      </c>
      <c r="AP54">
        <f t="shared" si="3"/>
        <v>0</v>
      </c>
      <c r="AQ54" s="31">
        <f t="shared" si="20"/>
        <v>0</v>
      </c>
      <c r="AS54" s="31">
        <f t="shared" si="21"/>
        <v>0</v>
      </c>
      <c r="AT54">
        <f t="shared" si="4"/>
        <v>0</v>
      </c>
      <c r="AU54" s="31">
        <f t="shared" si="22"/>
        <v>0</v>
      </c>
      <c r="AW54" s="31">
        <f t="shared" si="5"/>
        <v>0</v>
      </c>
      <c r="AX54">
        <f t="shared" si="6"/>
        <v>0</v>
      </c>
      <c r="AY54" s="31">
        <f t="shared" si="23"/>
        <v>0</v>
      </c>
      <c r="BA54" s="31">
        <f t="shared" si="7"/>
        <v>0</v>
      </c>
      <c r="BB54">
        <f t="shared" si="8"/>
        <v>0</v>
      </c>
      <c r="BC54" s="31">
        <f t="shared" si="24"/>
        <v>0</v>
      </c>
      <c r="BE54" s="31">
        <f t="shared" si="25"/>
        <v>0</v>
      </c>
      <c r="BF54">
        <f t="shared" si="26"/>
        <v>0</v>
      </c>
      <c r="BG54" s="31">
        <f t="shared" si="9"/>
        <v>0</v>
      </c>
      <c r="BI54" s="31">
        <f t="shared" si="27"/>
        <v>0</v>
      </c>
      <c r="BJ54">
        <f t="shared" si="28"/>
        <v>0</v>
      </c>
      <c r="BK54" s="31">
        <f t="shared" si="29"/>
        <v>0</v>
      </c>
      <c r="BM54" s="31">
        <f t="shared" si="30"/>
        <v>0</v>
      </c>
      <c r="BN54">
        <f t="shared" si="31"/>
        <v>0</v>
      </c>
      <c r="BO54" s="31">
        <f t="shared" si="32"/>
        <v>0</v>
      </c>
      <c r="BQ54" s="31">
        <f t="shared" si="33"/>
        <v>0</v>
      </c>
      <c r="BR54">
        <f t="shared" si="34"/>
        <v>0</v>
      </c>
      <c r="BS54" s="31">
        <f t="shared" si="35"/>
        <v>0</v>
      </c>
      <c r="BU54" s="31">
        <f t="shared" si="10"/>
        <v>0</v>
      </c>
      <c r="BV54">
        <f t="shared" si="11"/>
        <v>0</v>
      </c>
      <c r="BW54" s="31">
        <f t="shared" si="12"/>
        <v>0</v>
      </c>
      <c r="BY54" s="31">
        <f t="shared" si="13"/>
        <v>0</v>
      </c>
      <c r="BZ54">
        <f t="shared" si="40"/>
        <v>0</v>
      </c>
      <c r="CA54" s="31">
        <f t="shared" si="37"/>
        <v>0</v>
      </c>
      <c r="CC54" s="834">
        <f t="shared" si="36"/>
        <v>98</v>
      </c>
      <c r="CD54">
        <f t="shared" si="38"/>
        <v>37</v>
      </c>
    </row>
    <row r="55" spans="3:98" ht="16.8">
      <c r="C55" s="11" t="s">
        <v>1720</v>
      </c>
      <c r="D55" s="354">
        <f>+Income_OInc_Long2</f>
        <v>2000</v>
      </c>
      <c r="E55" s="1460">
        <v>0</v>
      </c>
      <c r="F55" s="1684" t="s">
        <v>625</v>
      </c>
      <c r="G55" s="1685"/>
      <c r="H55" s="1686"/>
      <c r="I55" s="1687"/>
      <c r="J55" s="1688"/>
      <c r="L55" s="460"/>
      <c r="M55" s="1693" t="s">
        <v>1618</v>
      </c>
      <c r="N55" s="1693"/>
      <c r="O55" s="1693"/>
      <c r="P55" s="1693"/>
      <c r="Q55" s="1693"/>
      <c r="R55" s="1693"/>
      <c r="S55" s="1693"/>
      <c r="T55" s="1693"/>
      <c r="U55" s="1693"/>
      <c r="V55" s="1687"/>
      <c r="W55" s="1693"/>
      <c r="X55" s="1693"/>
      <c r="Y55" s="1693"/>
      <c r="Z55" s="1693"/>
      <c r="AA55" s="1693"/>
      <c r="AB55" s="1693"/>
      <c r="AC55" s="1687"/>
      <c r="AE55">
        <f>+Summary!B45</f>
        <v>38</v>
      </c>
      <c r="AF55" s="834">
        <f>+ORP!AF102</f>
        <v>99</v>
      </c>
      <c r="AG55" s="31">
        <f t="shared" si="15"/>
        <v>0</v>
      </c>
      <c r="AH55">
        <f t="shared" si="1"/>
        <v>0</v>
      </c>
      <c r="AI55" s="31">
        <f t="shared" si="16"/>
        <v>0</v>
      </c>
      <c r="AK55" s="31">
        <f t="shared" si="17"/>
        <v>0</v>
      </c>
      <c r="AL55">
        <f t="shared" si="2"/>
        <v>0</v>
      </c>
      <c r="AM55" s="31">
        <f t="shared" si="18"/>
        <v>0</v>
      </c>
      <c r="AO55" s="31">
        <f t="shared" si="19"/>
        <v>0</v>
      </c>
      <c r="AP55">
        <f t="shared" si="3"/>
        <v>0</v>
      </c>
      <c r="AQ55" s="31">
        <f t="shared" si="20"/>
        <v>0</v>
      </c>
      <c r="AS55" s="31">
        <f t="shared" si="21"/>
        <v>0</v>
      </c>
      <c r="AT55">
        <f t="shared" si="4"/>
        <v>0</v>
      </c>
      <c r="AU55" s="31">
        <f t="shared" si="22"/>
        <v>0</v>
      </c>
      <c r="AW55" s="31">
        <f t="shared" si="5"/>
        <v>0</v>
      </c>
      <c r="AX55">
        <f t="shared" si="6"/>
        <v>0</v>
      </c>
      <c r="AY55" s="31">
        <f t="shared" si="23"/>
        <v>0</v>
      </c>
      <c r="BA55" s="31">
        <f t="shared" si="7"/>
        <v>0</v>
      </c>
      <c r="BB55">
        <f t="shared" si="8"/>
        <v>0</v>
      </c>
      <c r="BC55" s="31">
        <f t="shared" si="24"/>
        <v>0</v>
      </c>
      <c r="BE55" s="31">
        <f t="shared" si="25"/>
        <v>0</v>
      </c>
      <c r="BF55">
        <f t="shared" si="26"/>
        <v>0</v>
      </c>
      <c r="BG55" s="31">
        <f t="shared" si="9"/>
        <v>0</v>
      </c>
      <c r="BI55" s="31">
        <f t="shared" si="27"/>
        <v>0</v>
      </c>
      <c r="BJ55">
        <f t="shared" si="28"/>
        <v>0</v>
      </c>
      <c r="BK55" s="31">
        <f t="shared" si="29"/>
        <v>0</v>
      </c>
      <c r="BM55" s="31">
        <f t="shared" si="30"/>
        <v>0</v>
      </c>
      <c r="BN55">
        <f t="shared" si="31"/>
        <v>0</v>
      </c>
      <c r="BO55" s="31">
        <f t="shared" si="32"/>
        <v>0</v>
      </c>
      <c r="BQ55" s="31">
        <f t="shared" si="33"/>
        <v>0</v>
      </c>
      <c r="BR55">
        <f t="shared" si="34"/>
        <v>0</v>
      </c>
      <c r="BS55" s="31">
        <f t="shared" si="35"/>
        <v>0</v>
      </c>
      <c r="BU55" s="31">
        <f t="shared" si="10"/>
        <v>0</v>
      </c>
      <c r="BV55">
        <f t="shared" si="11"/>
        <v>0</v>
      </c>
      <c r="BW55" s="31">
        <f t="shared" si="12"/>
        <v>0</v>
      </c>
      <c r="BY55" s="31">
        <f t="shared" si="13"/>
        <v>0</v>
      </c>
      <c r="BZ55">
        <f t="shared" si="40"/>
        <v>0</v>
      </c>
      <c r="CA55" s="31">
        <f t="shared" si="37"/>
        <v>0</v>
      </c>
      <c r="CC55" s="834">
        <f t="shared" si="36"/>
        <v>99</v>
      </c>
      <c r="CD55">
        <f t="shared" si="38"/>
        <v>38</v>
      </c>
    </row>
    <row r="56" spans="3:98" ht="16.8">
      <c r="C56" s="8" t="s">
        <v>27</v>
      </c>
      <c r="E56" s="1672"/>
      <c r="F56" s="1684" t="s">
        <v>993</v>
      </c>
      <c r="G56" s="1685"/>
      <c r="H56" s="1686"/>
      <c r="I56" s="1687"/>
      <c r="J56" s="1688"/>
      <c r="L56" s="460"/>
      <c r="M56" s="1693" t="s">
        <v>1619</v>
      </c>
      <c r="N56" s="1693" t="s">
        <v>1620</v>
      </c>
      <c r="O56" s="1693">
        <v>1</v>
      </c>
      <c r="P56" s="1693" t="s">
        <v>1621</v>
      </c>
      <c r="Q56" s="1693" t="s">
        <v>2089</v>
      </c>
      <c r="R56" s="1693"/>
      <c r="S56" s="1693"/>
      <c r="T56" s="1693"/>
      <c r="U56" s="1693"/>
      <c r="V56" s="1687"/>
      <c r="W56" s="1693"/>
      <c r="X56" s="1693"/>
      <c r="Y56" s="1693"/>
      <c r="Z56" s="1693"/>
      <c r="AA56" s="1693"/>
      <c r="AB56" s="1693"/>
      <c r="AC56" s="1687"/>
      <c r="AE56">
        <f>+Summary!B46</f>
        <v>39</v>
      </c>
      <c r="AF56" s="834">
        <f>+ORP!AF103</f>
        <v>100</v>
      </c>
      <c r="AG56" s="31">
        <f t="shared" si="15"/>
        <v>0</v>
      </c>
      <c r="AH56">
        <f t="shared" si="1"/>
        <v>0</v>
      </c>
      <c r="AI56" s="31">
        <f t="shared" si="16"/>
        <v>0</v>
      </c>
      <c r="AK56" s="31">
        <f t="shared" si="17"/>
        <v>0</v>
      </c>
      <c r="AL56">
        <f t="shared" si="2"/>
        <v>0</v>
      </c>
      <c r="AM56" s="31">
        <f t="shared" si="18"/>
        <v>0</v>
      </c>
      <c r="AO56" s="31">
        <f t="shared" si="19"/>
        <v>0</v>
      </c>
      <c r="AP56">
        <f t="shared" si="3"/>
        <v>0</v>
      </c>
      <c r="AQ56" s="31">
        <f t="shared" si="20"/>
        <v>0</v>
      </c>
      <c r="AS56" s="31">
        <f t="shared" si="21"/>
        <v>0</v>
      </c>
      <c r="AT56">
        <f t="shared" si="4"/>
        <v>0</v>
      </c>
      <c r="AU56" s="31">
        <f t="shared" si="22"/>
        <v>0</v>
      </c>
      <c r="AW56" s="31">
        <f t="shared" si="5"/>
        <v>0</v>
      </c>
      <c r="AX56">
        <f t="shared" si="6"/>
        <v>0</v>
      </c>
      <c r="AY56" s="31">
        <f t="shared" si="23"/>
        <v>0</v>
      </c>
      <c r="BA56" s="31">
        <f t="shared" si="7"/>
        <v>0</v>
      </c>
      <c r="BB56">
        <f t="shared" si="8"/>
        <v>0</v>
      </c>
      <c r="BC56" s="31">
        <f t="shared" si="24"/>
        <v>0</v>
      </c>
      <c r="BE56" s="31">
        <f t="shared" si="25"/>
        <v>0</v>
      </c>
      <c r="BF56">
        <f t="shared" si="26"/>
        <v>0</v>
      </c>
      <c r="BG56" s="31">
        <f t="shared" si="9"/>
        <v>0</v>
      </c>
      <c r="BI56" s="31">
        <f t="shared" si="27"/>
        <v>0</v>
      </c>
      <c r="BJ56">
        <f t="shared" si="28"/>
        <v>0</v>
      </c>
      <c r="BK56" s="31">
        <f t="shared" si="29"/>
        <v>0</v>
      </c>
      <c r="BM56" s="31">
        <f t="shared" si="30"/>
        <v>0</v>
      </c>
      <c r="BN56">
        <f t="shared" si="31"/>
        <v>0</v>
      </c>
      <c r="BO56" s="31">
        <f t="shared" si="32"/>
        <v>0</v>
      </c>
      <c r="BQ56" s="31">
        <f t="shared" si="33"/>
        <v>0</v>
      </c>
      <c r="BR56">
        <f t="shared" si="34"/>
        <v>0</v>
      </c>
      <c r="BS56" s="31">
        <f t="shared" si="35"/>
        <v>0</v>
      </c>
      <c r="BU56" s="31">
        <f t="shared" si="10"/>
        <v>0</v>
      </c>
      <c r="BV56">
        <f t="shared" si="11"/>
        <v>0</v>
      </c>
      <c r="BW56" s="31">
        <f t="shared" si="12"/>
        <v>0</v>
      </c>
      <c r="BY56" s="31">
        <f t="shared" si="13"/>
        <v>0</v>
      </c>
      <c r="BZ56">
        <f t="shared" si="40"/>
        <v>0</v>
      </c>
      <c r="CA56" s="31">
        <f t="shared" si="37"/>
        <v>0</v>
      </c>
      <c r="CC56" s="834">
        <f t="shared" si="36"/>
        <v>100</v>
      </c>
      <c r="CD56">
        <f t="shared" si="38"/>
        <v>39</v>
      </c>
    </row>
    <row r="57" spans="3:98" ht="17.399999999999999" thickBot="1">
      <c r="C57" s="8" t="s">
        <v>27</v>
      </c>
      <c r="D57" s="354"/>
      <c r="E57" s="1460"/>
      <c r="F57" s="1684" t="s">
        <v>994</v>
      </c>
      <c r="G57" s="1685"/>
      <c r="H57" s="1686"/>
      <c r="I57" s="1687"/>
      <c r="J57" s="1688"/>
      <c r="L57" s="460"/>
      <c r="M57" s="1693" t="s">
        <v>1704</v>
      </c>
      <c r="N57" s="1693" t="s">
        <v>1734</v>
      </c>
      <c r="O57" s="1693" t="s">
        <v>2090</v>
      </c>
      <c r="P57" s="1693" t="s">
        <v>1735</v>
      </c>
      <c r="Q57" s="1693" t="s">
        <v>1735</v>
      </c>
      <c r="R57" s="1693"/>
      <c r="S57" s="1693"/>
      <c r="T57" s="1693"/>
      <c r="U57" s="1693"/>
      <c r="V57" s="1687"/>
      <c r="W57" s="1693"/>
      <c r="X57" s="1693"/>
      <c r="Y57" s="1693"/>
      <c r="Z57" s="1693"/>
      <c r="AA57" s="1693"/>
      <c r="AB57" s="1693"/>
      <c r="AC57" s="1687"/>
      <c r="AE57">
        <f>+Summary!B47</f>
        <v>40</v>
      </c>
      <c r="AF57" s="834">
        <f>+ORP!AF104</f>
        <v>101</v>
      </c>
      <c r="AG57" s="31">
        <f t="shared" si="15"/>
        <v>0</v>
      </c>
      <c r="AH57">
        <f t="shared" si="1"/>
        <v>0</v>
      </c>
      <c r="AI57" s="31">
        <f t="shared" si="16"/>
        <v>0</v>
      </c>
      <c r="AK57" s="31">
        <f t="shared" si="17"/>
        <v>0</v>
      </c>
      <c r="AL57">
        <f t="shared" si="2"/>
        <v>0</v>
      </c>
      <c r="AM57" s="31">
        <f t="shared" si="18"/>
        <v>0</v>
      </c>
      <c r="AO57" s="31">
        <f t="shared" si="19"/>
        <v>0</v>
      </c>
      <c r="AP57">
        <f t="shared" si="3"/>
        <v>0</v>
      </c>
      <c r="AQ57" s="31">
        <f t="shared" si="20"/>
        <v>0</v>
      </c>
      <c r="AS57" s="31">
        <f t="shared" si="21"/>
        <v>0</v>
      </c>
      <c r="AT57">
        <f t="shared" si="4"/>
        <v>0</v>
      </c>
      <c r="AU57" s="31">
        <f t="shared" si="22"/>
        <v>0</v>
      </c>
      <c r="AW57" s="38">
        <f t="shared" si="5"/>
        <v>0</v>
      </c>
      <c r="AX57" s="139">
        <f t="shared" si="6"/>
        <v>0</v>
      </c>
      <c r="AY57" s="38">
        <f t="shared" si="23"/>
        <v>0</v>
      </c>
      <c r="BA57" s="38">
        <f t="shared" si="7"/>
        <v>0</v>
      </c>
      <c r="BB57" s="139">
        <f t="shared" si="8"/>
        <v>0</v>
      </c>
      <c r="BC57" s="38">
        <f t="shared" si="24"/>
        <v>0</v>
      </c>
      <c r="BE57" s="38">
        <f t="shared" si="25"/>
        <v>0</v>
      </c>
      <c r="BF57" s="139">
        <f t="shared" si="26"/>
        <v>0</v>
      </c>
      <c r="BG57" s="38">
        <f t="shared" si="9"/>
        <v>0</v>
      </c>
      <c r="BI57" s="38">
        <f t="shared" si="27"/>
        <v>0</v>
      </c>
      <c r="BJ57" s="139">
        <f t="shared" si="28"/>
        <v>0</v>
      </c>
      <c r="BK57" s="38">
        <f t="shared" si="29"/>
        <v>0</v>
      </c>
      <c r="BL57" s="1"/>
      <c r="BM57" s="1252">
        <f t="shared" si="30"/>
        <v>0</v>
      </c>
      <c r="BN57" s="139">
        <f t="shared" si="31"/>
        <v>0</v>
      </c>
      <c r="BO57" s="38">
        <f t="shared" si="32"/>
        <v>0</v>
      </c>
      <c r="BP57" s="1"/>
      <c r="BQ57" s="38">
        <f t="shared" si="33"/>
        <v>0</v>
      </c>
      <c r="BR57" s="139">
        <f t="shared" si="34"/>
        <v>0</v>
      </c>
      <c r="BS57" s="38">
        <f t="shared" si="35"/>
        <v>0</v>
      </c>
      <c r="BT57" s="1"/>
      <c r="BU57" s="38">
        <f t="shared" si="10"/>
        <v>0</v>
      </c>
      <c r="BV57" s="139">
        <f>ROUND(IF($AE57&gt;$AE$17,0,+AA61+AB61),0)</f>
        <v>0</v>
      </c>
      <c r="BW57" s="38">
        <f t="shared" si="12"/>
        <v>0</v>
      </c>
      <c r="BX57" s="1"/>
      <c r="BY57" s="38">
        <f t="shared" si="13"/>
        <v>0</v>
      </c>
      <c r="BZ57" s="139">
        <f>ROUND(IF($AE57&gt;$AE$17,0,+AC61),0)</f>
        <v>0</v>
      </c>
      <c r="CA57" s="31">
        <f t="shared" si="37"/>
        <v>0</v>
      </c>
      <c r="CC57" s="834">
        <f t="shared" si="36"/>
        <v>101</v>
      </c>
      <c r="CD57">
        <f t="shared" si="38"/>
        <v>40</v>
      </c>
    </row>
    <row r="58" spans="3:98" ht="16.8">
      <c r="C58" s="8" t="s">
        <v>27</v>
      </c>
      <c r="F58" s="1684" t="s">
        <v>2063</v>
      </c>
      <c r="G58" s="1685"/>
      <c r="H58" s="1686"/>
      <c r="I58" s="1687"/>
      <c r="J58" s="1688"/>
      <c r="L58" s="460"/>
      <c r="M58" s="1693"/>
      <c r="N58" s="1693"/>
      <c r="O58" s="1693" t="s">
        <v>1736</v>
      </c>
      <c r="P58" s="1693" t="s">
        <v>1736</v>
      </c>
      <c r="Q58" s="1693" t="s">
        <v>643</v>
      </c>
      <c r="R58" s="1693"/>
      <c r="S58" s="1693"/>
      <c r="T58" s="1693"/>
      <c r="U58" s="1693"/>
      <c r="V58" s="1687"/>
      <c r="W58" s="1693"/>
      <c r="X58" s="1693"/>
      <c r="Y58" s="1693"/>
      <c r="Z58" s="1693"/>
      <c r="AA58" s="1693"/>
      <c r="AB58" s="1693"/>
      <c r="AC58" s="1687"/>
      <c r="AF58" s="86" t="s">
        <v>836</v>
      </c>
      <c r="AW58" s="31">
        <f>SUM(AW18:AW57)</f>
        <v>80</v>
      </c>
      <c r="AX58" s="31">
        <f>SUM(AX18:AX57)</f>
        <v>564</v>
      </c>
      <c r="AY58" s="31">
        <f>SUM(AY18:AY57)</f>
        <v>-484</v>
      </c>
      <c r="BA58" s="31">
        <f>SUM(BA18:BA57)</f>
        <v>972</v>
      </c>
      <c r="BB58" s="31">
        <f>SUM(BB18:BB57)</f>
        <v>1802</v>
      </c>
      <c r="BC58" s="31">
        <f>SUM(BC18:BC57)</f>
        <v>-830</v>
      </c>
      <c r="BE58" s="31">
        <f>SUM(BE18:BE57)</f>
        <v>218</v>
      </c>
      <c r="BF58" s="31">
        <f>SUM(BF18:BF57)</f>
        <v>441</v>
      </c>
      <c r="BG58" s="31">
        <f>SUM(BG18:BG57)</f>
        <v>-223</v>
      </c>
      <c r="BI58" s="31">
        <f>SUM(BI18:BI57)</f>
        <v>2080</v>
      </c>
      <c r="BJ58" s="31">
        <f>SUM(BJ18:BJ57)</f>
        <v>1725</v>
      </c>
      <c r="BK58" s="31">
        <f>SUM(BK18:BK57)</f>
        <v>355</v>
      </c>
      <c r="BM58" s="31">
        <f>SUM(BM18:BM57)</f>
        <v>401</v>
      </c>
      <c r="BN58" s="31">
        <f>SUM(BN18:BN57)</f>
        <v>404</v>
      </c>
      <c r="BO58" s="31">
        <f>SUM(BO18:BO57)</f>
        <v>-3</v>
      </c>
      <c r="BQ58" s="31">
        <f>SUM(BQ18:BQ57)</f>
        <v>460</v>
      </c>
      <c r="BR58" s="31">
        <f>SUM(BR18:BR57)</f>
        <v>1118</v>
      </c>
      <c r="BS58" s="31">
        <f>SUM(BS18:BS57)</f>
        <v>-658</v>
      </c>
      <c r="BU58" s="31">
        <f>SUM(BU18:BU57)</f>
        <v>295</v>
      </c>
      <c r="BV58" s="31">
        <f>SUM(BV18:BV57)</f>
        <v>371</v>
      </c>
      <c r="BW58" s="31">
        <f>SUM(BW18:BW57)</f>
        <v>-76</v>
      </c>
      <c r="BY58" s="31">
        <f>SUM(BY18:BY57)</f>
        <v>4267</v>
      </c>
      <c r="BZ58" s="31">
        <f>SUM(BZ18:BZ57)</f>
        <v>4242</v>
      </c>
      <c r="CA58" s="31">
        <f>SUM(CA18:CA57)</f>
        <v>25</v>
      </c>
    </row>
    <row r="59" spans="3:98" ht="16.8">
      <c r="C59" s="8" t="s">
        <v>27</v>
      </c>
      <c r="F59" s="1684" t="s">
        <v>2064</v>
      </c>
      <c r="G59" s="1685"/>
      <c r="H59" s="1686"/>
      <c r="I59" s="1687"/>
      <c r="J59" s="1688"/>
      <c r="L59" s="460"/>
      <c r="M59" s="1693">
        <v>62</v>
      </c>
      <c r="N59" s="1693">
        <v>4.8372599999999997</v>
      </c>
      <c r="O59" s="1693">
        <v>10</v>
      </c>
      <c r="P59" s="1693"/>
      <c r="Q59" s="1693"/>
      <c r="R59" s="1693"/>
      <c r="S59" s="1693"/>
      <c r="T59" s="1693"/>
      <c r="U59" s="1693"/>
      <c r="V59" s="1693"/>
      <c r="W59" s="1693"/>
      <c r="X59" s="1693"/>
      <c r="Y59" s="1693"/>
      <c r="Z59" s="1693"/>
      <c r="AA59" s="1693"/>
      <c r="AB59" s="1694"/>
      <c r="AC59" s="1694"/>
      <c r="CA59" s="1094"/>
      <c r="CB59" s="1094"/>
      <c r="CC59" s="1094"/>
      <c r="CD59" s="1094"/>
      <c r="CE59" s="1094"/>
      <c r="CF59" s="1094"/>
      <c r="CG59" s="1094"/>
      <c r="CH59" s="1094"/>
      <c r="CI59" s="1094"/>
      <c r="CJ59" s="1094"/>
      <c r="CK59" s="1094"/>
      <c r="CL59" s="1094"/>
      <c r="CM59" s="1094"/>
      <c r="CN59" s="1094"/>
      <c r="CO59" s="1094"/>
      <c r="CP59" s="1094"/>
      <c r="CQ59" s="1094"/>
      <c r="CR59" s="1094"/>
      <c r="CS59" s="89"/>
    </row>
    <row r="60" spans="3:98" ht="16.8">
      <c r="C60" s="11" t="s">
        <v>1721</v>
      </c>
      <c r="D60" s="354">
        <f>+Start_OInc_Long</f>
        <v>50</v>
      </c>
      <c r="E60" s="1460">
        <v>62</v>
      </c>
      <c r="F60" s="1684" t="s">
        <v>2065</v>
      </c>
      <c r="G60" s="1685"/>
      <c r="H60" s="1686"/>
      <c r="I60" s="1687"/>
      <c r="J60" s="1688"/>
      <c r="L60" s="460"/>
      <c r="M60" s="1693">
        <v>63</v>
      </c>
      <c r="N60" s="1693">
        <v>3.81074</v>
      </c>
      <c r="O60" s="1693">
        <v>10.199999999999999</v>
      </c>
      <c r="P60" s="1693"/>
      <c r="Q60" s="1693"/>
      <c r="R60" s="1693"/>
      <c r="S60" s="1693"/>
      <c r="T60" s="1693"/>
      <c r="U60" s="1693"/>
      <c r="V60" s="1693"/>
      <c r="W60" s="1693"/>
      <c r="X60" s="1693"/>
      <c r="Y60" s="1693"/>
      <c r="Z60" s="1693"/>
      <c r="AA60" s="1693"/>
      <c r="AB60" s="1694"/>
      <c r="AC60" s="1694"/>
      <c r="CA60" s="1095"/>
      <c r="CB60" s="1095"/>
      <c r="CC60" s="1095"/>
      <c r="CD60" s="1095"/>
      <c r="CE60" s="1095"/>
      <c r="CF60" s="1095"/>
      <c r="CG60" s="1095"/>
      <c r="CH60" s="1095"/>
      <c r="CI60" s="1095"/>
      <c r="CJ60" s="1095"/>
      <c r="CK60" s="1095"/>
      <c r="CL60" s="1096"/>
      <c r="CM60" s="1096"/>
      <c r="CN60" s="1095"/>
      <c r="CO60" s="1095"/>
      <c r="CP60" s="1096"/>
      <c r="CQ60" s="1096"/>
      <c r="CR60" s="1096"/>
      <c r="CS60" s="89"/>
    </row>
    <row r="61" spans="3:98" ht="16.8">
      <c r="C61" s="11" t="s">
        <v>1722</v>
      </c>
      <c r="D61" s="354">
        <f>+Start_OInc_Long2</f>
        <v>50</v>
      </c>
      <c r="E61" s="1460">
        <v>0</v>
      </c>
      <c r="F61" s="1684" t="s">
        <v>2066</v>
      </c>
      <c r="G61" s="1685"/>
      <c r="H61" s="1686"/>
      <c r="I61" s="1687"/>
      <c r="J61" s="1688"/>
      <c r="L61" s="460"/>
      <c r="M61" s="1693">
        <v>64</v>
      </c>
      <c r="N61" s="1693">
        <v>2.6578900000000001</v>
      </c>
      <c r="O61" s="1693">
        <v>10.404</v>
      </c>
      <c r="P61" s="1693"/>
      <c r="Q61" s="1693"/>
      <c r="R61" s="1693"/>
      <c r="S61" s="1693"/>
      <c r="T61" s="1693"/>
      <c r="U61" s="1693"/>
      <c r="V61" s="1693"/>
      <c r="W61" s="1693"/>
      <c r="X61" s="1693"/>
      <c r="Y61" s="1693"/>
      <c r="Z61" s="1693"/>
      <c r="AA61" s="1693"/>
      <c r="AB61" s="1694"/>
      <c r="AC61" s="1694"/>
      <c r="AE61" s="1682" t="s">
        <v>2193</v>
      </c>
      <c r="AF61" s="271"/>
      <c r="AG61" s="271"/>
      <c r="AH61" s="540"/>
      <c r="AI61" s="539"/>
      <c r="AJ61" s="539"/>
      <c r="AK61" s="539"/>
      <c r="AL61" s="539"/>
      <c r="AM61" s="539"/>
      <c r="AN61" s="539"/>
      <c r="AO61" s="539"/>
      <c r="AP61" s="539"/>
      <c r="AQ61" s="539"/>
      <c r="AR61" s="539"/>
      <c r="AS61" s="539"/>
      <c r="AT61" s="539"/>
      <c r="AU61" s="539"/>
      <c r="AV61" s="539"/>
      <c r="AW61" s="539"/>
      <c r="AX61" s="539"/>
      <c r="AY61" s="539"/>
      <c r="AZ61" s="539"/>
      <c r="BA61" s="539"/>
      <c r="BB61" s="539"/>
      <c r="BC61" s="539"/>
      <c r="BD61" s="539"/>
      <c r="BE61" s="539"/>
      <c r="BF61" s="539"/>
      <c r="BG61" s="539"/>
      <c r="BH61" s="539"/>
      <c r="BI61" s="539"/>
      <c r="BJ61" s="539"/>
      <c r="BK61" s="539"/>
      <c r="BL61" s="539"/>
      <c r="BM61" s="539"/>
      <c r="BN61" s="539"/>
      <c r="BO61" s="80" t="s">
        <v>474</v>
      </c>
      <c r="BP61" s="539"/>
      <c r="BQ61" s="539"/>
      <c r="BR61" s="539"/>
      <c r="BS61" s="539"/>
      <c r="BT61" s="539"/>
      <c r="BU61" s="539"/>
      <c r="BV61" s="539"/>
      <c r="BW61" s="539"/>
      <c r="BX61" s="539"/>
      <c r="BY61" s="539"/>
      <c r="BZ61" s="539"/>
      <c r="CA61" s="1096"/>
      <c r="CB61" s="1096"/>
      <c r="CC61" s="1096"/>
      <c r="CD61" s="1096"/>
      <c r="CE61" s="1096"/>
      <c r="CF61" s="1096"/>
      <c r="CG61" s="1096"/>
      <c r="CH61" s="1096"/>
      <c r="CI61" s="1096"/>
      <c r="CJ61" s="1096"/>
      <c r="CK61" s="1096"/>
      <c r="CL61" s="1096"/>
      <c r="CM61" s="1096"/>
      <c r="CN61" s="1096"/>
      <c r="CO61" s="1096"/>
      <c r="CP61" s="1096"/>
      <c r="CQ61" s="1097"/>
      <c r="CR61" s="1096"/>
      <c r="CS61" s="89"/>
    </row>
    <row r="62" spans="3:98" ht="16.8">
      <c r="C62" s="8" t="s">
        <v>27</v>
      </c>
      <c r="D62" s="354"/>
      <c r="F62" s="1684" t="s">
        <v>1070</v>
      </c>
      <c r="G62" s="1685"/>
      <c r="H62" s="1686"/>
      <c r="I62" s="1687"/>
      <c r="J62" s="1688"/>
      <c r="L62" s="460"/>
      <c r="M62" s="1693">
        <v>65</v>
      </c>
      <c r="N62" s="1693">
        <v>1.5690299999999999</v>
      </c>
      <c r="O62" s="1693">
        <v>10.6121</v>
      </c>
      <c r="P62" s="1693"/>
      <c r="Q62" s="1693"/>
      <c r="R62" s="1693"/>
      <c r="S62" s="1693"/>
      <c r="T62" s="1693"/>
      <c r="U62" s="1693"/>
      <c r="V62" s="1693"/>
      <c r="W62" s="1693"/>
      <c r="X62" s="1693"/>
      <c r="Y62" s="1693"/>
      <c r="Z62" s="1693"/>
      <c r="AA62" s="1693"/>
      <c r="AB62" s="1694"/>
      <c r="AC62" s="1694"/>
      <c r="AE62" s="539"/>
      <c r="AF62" s="571"/>
      <c r="AG62" s="1255" t="s">
        <v>1676</v>
      </c>
      <c r="AH62" s="653">
        <v>1000</v>
      </c>
      <c r="AI62" s="1829" t="s">
        <v>143</v>
      </c>
      <c r="AJ62" s="1829"/>
      <c r="AK62" s="1829"/>
      <c r="AL62" s="1829"/>
      <c r="AM62" s="1829"/>
      <c r="AN62" s="1829"/>
      <c r="AO62" s="573"/>
      <c r="AP62" s="1822" t="s">
        <v>448</v>
      </c>
      <c r="AQ62" s="1822"/>
      <c r="AR62" s="1822"/>
      <c r="AS62" s="1822"/>
      <c r="AT62" s="1822"/>
      <c r="AU62" s="1822"/>
      <c r="AV62" s="1822"/>
      <c r="AW62" s="1822"/>
      <c r="AX62" s="1822"/>
      <c r="AY62" s="1822"/>
      <c r="AZ62" s="1822"/>
      <c r="BA62" s="573"/>
      <c r="BB62" s="774" t="s">
        <v>1131</v>
      </c>
      <c r="BC62" s="774"/>
      <c r="BD62" s="774"/>
      <c r="BE62" s="774"/>
      <c r="BF62" s="774"/>
      <c r="BG62" s="774"/>
      <c r="BH62" s="774"/>
      <c r="BI62" s="774"/>
      <c r="BJ62" s="774"/>
      <c r="BK62" s="774"/>
      <c r="BL62" s="774"/>
      <c r="BM62" s="774"/>
      <c r="BN62" s="574"/>
      <c r="BO62" s="587" t="s">
        <v>1320</v>
      </c>
      <c r="BP62" s="539"/>
      <c r="BQ62" s="789" t="s">
        <v>364</v>
      </c>
      <c r="BR62" s="789"/>
      <c r="BS62" s="789"/>
      <c r="BT62" s="789"/>
      <c r="BU62" s="789"/>
      <c r="BV62" s="789"/>
      <c r="BW62" s="789"/>
      <c r="BX62" s="789"/>
      <c r="BY62" s="789"/>
      <c r="BZ62" s="789"/>
      <c r="CA62" s="789"/>
      <c r="CB62" s="789"/>
      <c r="CD62" s="789"/>
      <c r="CE62" s="789"/>
      <c r="CF62" s="789"/>
      <c r="CG62" s="789"/>
      <c r="CH62" s="789"/>
      <c r="CI62" s="789"/>
      <c r="CJ62" s="789"/>
      <c r="CK62" s="789"/>
      <c r="CL62" s="789"/>
      <c r="CM62" s="789"/>
      <c r="CN62" s="789"/>
      <c r="CO62" s="789"/>
      <c r="CP62" s="789"/>
      <c r="CQ62" s="789"/>
      <c r="CR62" s="789"/>
      <c r="CS62" s="789"/>
      <c r="CT62" s="789"/>
    </row>
    <row r="63" spans="3:98" ht="16.8">
      <c r="C63" s="8" t="s">
        <v>27</v>
      </c>
      <c r="D63" s="1459"/>
      <c r="F63" s="1684" t="s">
        <v>1265</v>
      </c>
      <c r="G63" s="1685"/>
      <c r="H63" s="1686"/>
      <c r="I63" s="1687"/>
      <c r="J63" s="1688"/>
      <c r="L63" s="460"/>
      <c r="M63" s="1693">
        <v>66</v>
      </c>
      <c r="N63" s="1693">
        <v>1.62771</v>
      </c>
      <c r="O63" s="1693">
        <v>10.824299999999999</v>
      </c>
      <c r="P63" s="1693"/>
      <c r="Q63" s="1693"/>
      <c r="R63" s="1693"/>
      <c r="S63" s="1693"/>
      <c r="T63" s="1693"/>
      <c r="U63" s="1693"/>
      <c r="V63" s="1693"/>
      <c r="W63" s="1693"/>
      <c r="X63" s="1693"/>
      <c r="Y63" s="1693"/>
      <c r="Z63" s="1693"/>
      <c r="AA63" s="1693"/>
      <c r="AB63" s="1694"/>
      <c r="AC63" s="1694"/>
      <c r="AE63" s="539"/>
      <c r="AF63" s="1829" t="s">
        <v>1078</v>
      </c>
      <c r="AG63" s="1829"/>
      <c r="AH63" s="572"/>
      <c r="AI63" s="291"/>
      <c r="AJ63" s="575"/>
      <c r="AK63" s="575" t="s">
        <v>330</v>
      </c>
      <c r="AL63" s="575"/>
      <c r="AM63" s="575" t="s">
        <v>1134</v>
      </c>
      <c r="AN63" s="575"/>
      <c r="AO63" s="573"/>
      <c r="AP63" s="291"/>
      <c r="AQ63" s="575"/>
      <c r="AR63" s="575" t="s">
        <v>330</v>
      </c>
      <c r="AS63" s="575"/>
      <c r="AT63" s="575" t="s">
        <v>1134</v>
      </c>
      <c r="AU63" s="1830" t="s">
        <v>1306</v>
      </c>
      <c r="AV63" s="1830"/>
      <c r="AW63" s="575"/>
      <c r="AX63" s="575"/>
      <c r="AY63" s="575"/>
      <c r="AZ63" s="573"/>
      <c r="BA63" s="573"/>
      <c r="BB63" s="575"/>
      <c r="BC63" s="575"/>
      <c r="BD63" s="575" t="s">
        <v>330</v>
      </c>
      <c r="BE63" s="575" t="s">
        <v>1321</v>
      </c>
      <c r="BF63" s="575" t="s">
        <v>1321</v>
      </c>
      <c r="BG63" s="575" t="s">
        <v>88</v>
      </c>
      <c r="BH63" s="575" t="s">
        <v>88</v>
      </c>
      <c r="BI63" s="575" t="s">
        <v>177</v>
      </c>
      <c r="BJ63" s="575" t="s">
        <v>88</v>
      </c>
      <c r="BK63" s="1228"/>
      <c r="BL63" s="575" t="s">
        <v>614</v>
      </c>
      <c r="BM63" s="575"/>
      <c r="BN63" s="573"/>
      <c r="BO63" s="575" t="s">
        <v>326</v>
      </c>
      <c r="BP63" s="539"/>
      <c r="BQ63" s="1014" t="s">
        <v>1535</v>
      </c>
      <c r="BR63" s="1014"/>
      <c r="BS63" s="1014"/>
      <c r="BT63" s="1014"/>
      <c r="BU63" s="1014"/>
      <c r="BV63" s="1014"/>
      <c r="BW63" s="1015"/>
      <c r="BX63" s="1016" t="s">
        <v>1536</v>
      </c>
      <c r="BY63" s="1014"/>
      <c r="BZ63" s="1014"/>
      <c r="CA63" s="1014"/>
      <c r="CB63" s="1015"/>
      <c r="CC63" s="1016" t="s">
        <v>472</v>
      </c>
      <c r="CD63" s="1014"/>
      <c r="CE63" s="1014"/>
      <c r="CF63" s="1015"/>
      <c r="CG63" s="1016" t="s">
        <v>473</v>
      </c>
      <c r="CH63" s="1014"/>
      <c r="CI63" s="1014"/>
      <c r="CJ63" s="1015"/>
      <c r="CK63" s="793" t="s">
        <v>760</v>
      </c>
      <c r="CL63" s="794"/>
      <c r="CM63" s="794"/>
      <c r="CN63" s="796"/>
      <c r="CO63" s="792" t="s">
        <v>761</v>
      </c>
      <c r="CP63" s="793" t="s">
        <v>1504</v>
      </c>
      <c r="CQ63" s="794"/>
      <c r="CR63" s="794"/>
      <c r="CS63" s="627" t="s">
        <v>618</v>
      </c>
      <c r="CT63" s="627" t="s">
        <v>1129</v>
      </c>
    </row>
    <row r="64" spans="3:98" ht="16.8">
      <c r="C64" s="11" t="s">
        <v>1723</v>
      </c>
      <c r="D64" s="354">
        <f>+Income_OInc_Temp</f>
        <v>10000</v>
      </c>
      <c r="E64" s="1678">
        <v>0</v>
      </c>
      <c r="F64" s="1684" t="s">
        <v>626</v>
      </c>
      <c r="G64" s="1685"/>
      <c r="H64" s="1686"/>
      <c r="I64" s="1687"/>
      <c r="J64" s="1688"/>
      <c r="L64" s="460"/>
      <c r="M64" s="1693">
        <v>67</v>
      </c>
      <c r="N64" s="1693">
        <v>1.68859</v>
      </c>
      <c r="O64" s="1693">
        <v>11.040800000000001</v>
      </c>
      <c r="P64" s="1693"/>
      <c r="Q64" s="1693"/>
      <c r="R64" s="1693"/>
      <c r="S64" s="1693"/>
      <c r="T64" s="1693"/>
      <c r="U64" s="1693"/>
      <c r="V64" s="1693"/>
      <c r="W64" s="1693"/>
      <c r="X64" s="1693"/>
      <c r="Y64" s="1693"/>
      <c r="Z64" s="1693"/>
      <c r="AA64" s="1693"/>
      <c r="AB64" s="1694"/>
      <c r="AC64" s="1694"/>
      <c r="AE64" s="564" t="s">
        <v>204</v>
      </c>
      <c r="AF64" s="564" t="s">
        <v>538</v>
      </c>
      <c r="AG64" s="564" t="s">
        <v>714</v>
      </c>
      <c r="AH64" s="576" t="s">
        <v>204</v>
      </c>
      <c r="AI64" s="565" t="s">
        <v>328</v>
      </c>
      <c r="AJ64" s="565" t="s">
        <v>981</v>
      </c>
      <c r="AK64" s="565" t="s">
        <v>981</v>
      </c>
      <c r="AL64" s="565" t="s">
        <v>1134</v>
      </c>
      <c r="AM64" s="565" t="s">
        <v>1165</v>
      </c>
      <c r="AN64" s="565" t="s">
        <v>635</v>
      </c>
      <c r="AO64" s="573"/>
      <c r="AP64" s="565" t="s">
        <v>328</v>
      </c>
      <c r="AQ64" s="565" t="s">
        <v>981</v>
      </c>
      <c r="AR64" s="565" t="s">
        <v>981</v>
      </c>
      <c r="AS64" s="565" t="s">
        <v>1134</v>
      </c>
      <c r="AT64" s="565" t="s">
        <v>1165</v>
      </c>
      <c r="AU64" s="565" t="s">
        <v>538</v>
      </c>
      <c r="AV64" s="565" t="s">
        <v>643</v>
      </c>
      <c r="AW64" s="565" t="s">
        <v>88</v>
      </c>
      <c r="AX64" s="565" t="s">
        <v>1488</v>
      </c>
      <c r="AY64" s="565" t="s">
        <v>614</v>
      </c>
      <c r="AZ64" s="565" t="s">
        <v>635</v>
      </c>
      <c r="BA64" s="573"/>
      <c r="BB64" s="565" t="s">
        <v>205</v>
      </c>
      <c r="BC64" s="565" t="s">
        <v>1505</v>
      </c>
      <c r="BD64" s="775" t="s">
        <v>178</v>
      </c>
      <c r="BE64" s="775" t="s">
        <v>179</v>
      </c>
      <c r="BF64" s="775" t="s">
        <v>329</v>
      </c>
      <c r="BG64" s="775" t="s">
        <v>178</v>
      </c>
      <c r="BH64" s="775" t="s">
        <v>981</v>
      </c>
      <c r="BI64" s="775" t="s">
        <v>981</v>
      </c>
      <c r="BJ64" s="775" t="s">
        <v>1134</v>
      </c>
      <c r="BK64" s="1230" t="s">
        <v>409</v>
      </c>
      <c r="BL64" s="565" t="s">
        <v>329</v>
      </c>
      <c r="BM64" s="565" t="s">
        <v>635</v>
      </c>
      <c r="BN64" s="577"/>
      <c r="BO64" s="565" t="s">
        <v>204</v>
      </c>
      <c r="BP64" s="539"/>
      <c r="BQ64" s="790" t="s">
        <v>469</v>
      </c>
      <c r="BR64" s="790" t="s">
        <v>1165</v>
      </c>
      <c r="BS64" s="795" t="s">
        <v>470</v>
      </c>
      <c r="BT64" s="795" t="s">
        <v>470</v>
      </c>
      <c r="BU64" s="795" t="s">
        <v>88</v>
      </c>
      <c r="BV64" s="1099" t="s">
        <v>1827</v>
      </c>
      <c r="BW64" s="790" t="s">
        <v>470</v>
      </c>
      <c r="BX64" s="790" t="s">
        <v>469</v>
      </c>
      <c r="BY64" s="795" t="s">
        <v>470</v>
      </c>
      <c r="BZ64" s="795" t="s">
        <v>470</v>
      </c>
      <c r="CA64" s="1099" t="s">
        <v>1827</v>
      </c>
      <c r="CB64" s="790" t="s">
        <v>470</v>
      </c>
      <c r="CC64" s="790" t="s">
        <v>469</v>
      </c>
      <c r="CD64" s="795" t="s">
        <v>470</v>
      </c>
      <c r="CE64" s="795" t="s">
        <v>470</v>
      </c>
      <c r="CF64" s="790" t="s">
        <v>470</v>
      </c>
      <c r="CG64" s="790" t="s">
        <v>469</v>
      </c>
      <c r="CH64" s="795" t="s">
        <v>470</v>
      </c>
      <c r="CI64" s="795" t="s">
        <v>470</v>
      </c>
      <c r="CJ64" s="790" t="s">
        <v>470</v>
      </c>
      <c r="CK64" s="795" t="s">
        <v>470</v>
      </c>
      <c r="CL64" s="795" t="s">
        <v>470</v>
      </c>
      <c r="CM64" s="795" t="s">
        <v>88</v>
      </c>
      <c r="CN64" s="790" t="s">
        <v>470</v>
      </c>
      <c r="CO64" s="790" t="s">
        <v>470</v>
      </c>
      <c r="CP64" s="795" t="s">
        <v>470</v>
      </c>
      <c r="CQ64" s="795" t="s">
        <v>470</v>
      </c>
      <c r="CR64" s="790" t="s">
        <v>470</v>
      </c>
      <c r="CS64" s="565" t="s">
        <v>617</v>
      </c>
      <c r="CT64" s="791" t="s">
        <v>178</v>
      </c>
    </row>
    <row r="65" spans="3:98" ht="16.8">
      <c r="C65" s="11" t="s">
        <v>1724</v>
      </c>
      <c r="D65" s="354">
        <f>+Income_OInc_Temp2</f>
        <v>15000</v>
      </c>
      <c r="E65" s="1678">
        <v>0</v>
      </c>
      <c r="F65" s="1684" t="s">
        <v>627</v>
      </c>
      <c r="G65" s="1685"/>
      <c r="H65" s="1686"/>
      <c r="I65" s="1687"/>
      <c r="J65" s="1688"/>
      <c r="L65" s="460"/>
      <c r="M65" s="1693">
        <v>68</v>
      </c>
      <c r="N65" s="1693">
        <v>1.7517400000000001</v>
      </c>
      <c r="O65" s="1693">
        <v>11.2616</v>
      </c>
      <c r="P65" s="1693"/>
      <c r="Q65" s="1693"/>
      <c r="R65" s="1693"/>
      <c r="S65" s="1693"/>
      <c r="T65" s="1693"/>
      <c r="U65" s="1693"/>
      <c r="V65" s="1693"/>
      <c r="W65" s="1693"/>
      <c r="X65" s="1693"/>
      <c r="Y65" s="1693"/>
      <c r="Z65" s="1693"/>
      <c r="AA65" s="1693"/>
      <c r="AB65" s="1694"/>
      <c r="AC65" s="1694"/>
      <c r="AE65" s="222">
        <v>1</v>
      </c>
      <c r="AF65" s="847">
        <v>62</v>
      </c>
      <c r="AG65" s="847">
        <v>61</v>
      </c>
      <c r="AH65" s="848">
        <v>2018</v>
      </c>
      <c r="AI65" s="975">
        <v>200</v>
      </c>
      <c r="AJ65" s="975">
        <v>700</v>
      </c>
      <c r="AK65" s="975">
        <v>0</v>
      </c>
      <c r="AL65" s="975">
        <v>100</v>
      </c>
      <c r="AM65" s="975">
        <v>0</v>
      </c>
      <c r="AN65" s="975">
        <v>1000</v>
      </c>
      <c r="AO65" s="849"/>
      <c r="AP65" s="975">
        <v>10</v>
      </c>
      <c r="AQ65" s="975">
        <v>37</v>
      </c>
      <c r="AR65" s="975">
        <v>0</v>
      </c>
      <c r="AS65" s="975">
        <v>5</v>
      </c>
      <c r="AT65" s="975">
        <v>0</v>
      </c>
      <c r="AU65" s="975">
        <v>0</v>
      </c>
      <c r="AV65" s="975">
        <v>0</v>
      </c>
      <c r="AW65" s="975">
        <v>0</v>
      </c>
      <c r="AX65" s="975">
        <v>10</v>
      </c>
      <c r="AY65" s="975">
        <v>0</v>
      </c>
      <c r="AZ65" s="850">
        <v>62</v>
      </c>
      <c r="BA65" s="850"/>
      <c r="BB65" s="975">
        <v>76</v>
      </c>
      <c r="BC65" s="975">
        <v>7</v>
      </c>
      <c r="BD65" s="975">
        <v>0</v>
      </c>
      <c r="BE65" s="975">
        <v>0</v>
      </c>
      <c r="BF65" s="975">
        <v>0</v>
      </c>
      <c r="BG65" s="975">
        <v>0</v>
      </c>
      <c r="BH65" s="975">
        <v>0</v>
      </c>
      <c r="BI65" s="975">
        <v>0</v>
      </c>
      <c r="BJ65" s="975">
        <v>0</v>
      </c>
      <c r="BK65" s="975">
        <v>0</v>
      </c>
      <c r="BL65" s="975">
        <v>0</v>
      </c>
      <c r="BM65" s="850">
        <v>83</v>
      </c>
      <c r="BN65" s="850"/>
      <c r="BO65" s="850">
        <v>1145</v>
      </c>
      <c r="BP65" s="975"/>
      <c r="BQ65" s="975">
        <v>0</v>
      </c>
      <c r="BR65" s="975">
        <v>0</v>
      </c>
      <c r="BS65" s="975">
        <v>50</v>
      </c>
      <c r="BT65" s="975">
        <v>0</v>
      </c>
      <c r="BU65" s="975">
        <v>0</v>
      </c>
      <c r="BV65" s="975">
        <v>0</v>
      </c>
      <c r="BW65" s="975">
        <v>50</v>
      </c>
      <c r="BX65" s="212">
        <v>0</v>
      </c>
      <c r="BY65" s="975">
        <v>0</v>
      </c>
      <c r="BZ65" s="975">
        <v>0</v>
      </c>
      <c r="CA65" s="975">
        <v>0</v>
      </c>
      <c r="CB65" s="975">
        <v>0</v>
      </c>
      <c r="CC65" s="975">
        <v>0</v>
      </c>
      <c r="CD65" s="975">
        <v>0</v>
      </c>
      <c r="CE65" s="212">
        <v>0</v>
      </c>
      <c r="CF65" s="975">
        <v>0</v>
      </c>
      <c r="CG65" s="975">
        <v>0</v>
      </c>
      <c r="CH65" s="975">
        <v>0</v>
      </c>
      <c r="CI65" s="975">
        <v>0</v>
      </c>
      <c r="CJ65" s="975">
        <v>0</v>
      </c>
      <c r="CK65" s="975">
        <v>0</v>
      </c>
      <c r="CL65" s="975">
        <v>0</v>
      </c>
      <c r="CM65" s="975">
        <v>0</v>
      </c>
      <c r="CN65" s="975">
        <v>0</v>
      </c>
      <c r="CO65" s="975">
        <v>0</v>
      </c>
      <c r="CP65" s="975">
        <v>0</v>
      </c>
      <c r="CQ65" s="215">
        <v>0</v>
      </c>
      <c r="CR65" s="212">
        <v>0</v>
      </c>
      <c r="CS65" s="212">
        <v>0</v>
      </c>
      <c r="CT65" s="212">
        <v>50</v>
      </c>
    </row>
    <row r="66" spans="3:98" ht="16.8">
      <c r="C66" s="11" t="s">
        <v>1524</v>
      </c>
      <c r="D66" s="354">
        <f>+End_OInc_Temp</f>
        <v>70</v>
      </c>
      <c r="E66" s="1678">
        <v>0</v>
      </c>
      <c r="F66" s="1684" t="s">
        <v>628</v>
      </c>
      <c r="G66" s="1685"/>
      <c r="H66" s="1686"/>
      <c r="I66" s="1687"/>
      <c r="J66" s="1688"/>
      <c r="L66" s="460"/>
      <c r="M66" s="1693">
        <v>69</v>
      </c>
      <c r="N66" s="1693">
        <v>0</v>
      </c>
      <c r="O66" s="1693">
        <v>11.4869</v>
      </c>
      <c r="P66" s="1693"/>
      <c r="Q66" s="1693"/>
      <c r="R66" s="1693"/>
      <c r="S66" s="1693"/>
      <c r="T66" s="1693"/>
      <c r="U66" s="1693"/>
      <c r="V66" s="1693"/>
      <c r="W66" s="1693"/>
      <c r="X66" s="1693"/>
      <c r="Y66" s="1693"/>
      <c r="Z66" s="1693"/>
      <c r="AA66" s="1693"/>
      <c r="AB66" s="1694"/>
      <c r="AC66" s="1694"/>
      <c r="AE66" s="222">
        <v>2</v>
      </c>
      <c r="AF66" s="847">
        <v>63</v>
      </c>
      <c r="AG66" s="847">
        <v>62</v>
      </c>
      <c r="AH66" s="848">
        <v>2019</v>
      </c>
      <c r="AI66" s="975">
        <v>188</v>
      </c>
      <c r="AJ66" s="975">
        <v>687</v>
      </c>
      <c r="AK66" s="975">
        <v>0</v>
      </c>
      <c r="AL66" s="975">
        <v>105</v>
      </c>
      <c r="AM66" s="975">
        <v>0</v>
      </c>
      <c r="AN66" s="975">
        <v>980</v>
      </c>
      <c r="AO66" s="849"/>
      <c r="AP66" s="975">
        <v>10</v>
      </c>
      <c r="AQ66" s="975">
        <v>36</v>
      </c>
      <c r="AR66" s="975">
        <v>0</v>
      </c>
      <c r="AS66" s="975">
        <v>6</v>
      </c>
      <c r="AT66" s="975">
        <v>0</v>
      </c>
      <c r="AU66" s="975">
        <v>0</v>
      </c>
      <c r="AV66" s="975">
        <v>0</v>
      </c>
      <c r="AW66" s="975">
        <v>0</v>
      </c>
      <c r="AX66" s="975">
        <v>10</v>
      </c>
      <c r="AY66" s="975">
        <v>0</v>
      </c>
      <c r="AZ66" s="850">
        <v>62</v>
      </c>
      <c r="BA66" s="850"/>
      <c r="BB66" s="975">
        <v>79</v>
      </c>
      <c r="BC66" s="975">
        <v>7</v>
      </c>
      <c r="BD66" s="975">
        <v>0</v>
      </c>
      <c r="BE66" s="975">
        <v>0</v>
      </c>
      <c r="BF66" s="975">
        <v>0</v>
      </c>
      <c r="BG66" s="975">
        <v>0</v>
      </c>
      <c r="BH66" s="975">
        <v>0</v>
      </c>
      <c r="BI66" s="975">
        <v>0</v>
      </c>
      <c r="BJ66" s="975">
        <v>0</v>
      </c>
      <c r="BK66" s="975">
        <v>0</v>
      </c>
      <c r="BL66" s="975">
        <v>0</v>
      </c>
      <c r="BM66" s="850">
        <v>86</v>
      </c>
      <c r="BN66" s="850"/>
      <c r="BO66" s="850">
        <v>1128</v>
      </c>
      <c r="BP66" s="975"/>
      <c r="BQ66" s="975">
        <v>0</v>
      </c>
      <c r="BR66" s="975">
        <v>0</v>
      </c>
      <c r="BS66" s="975">
        <v>52</v>
      </c>
      <c r="BT66" s="975">
        <v>0</v>
      </c>
      <c r="BU66" s="975">
        <v>0</v>
      </c>
      <c r="BV66" s="975">
        <v>0</v>
      </c>
      <c r="BW66" s="975">
        <v>52</v>
      </c>
      <c r="BX66" s="212">
        <v>0</v>
      </c>
      <c r="BY66" s="975">
        <v>0</v>
      </c>
      <c r="BZ66" s="975">
        <v>0</v>
      </c>
      <c r="CA66" s="975">
        <v>0</v>
      </c>
      <c r="CB66" s="975">
        <v>0</v>
      </c>
      <c r="CC66" s="975">
        <v>0</v>
      </c>
      <c r="CD66" s="975">
        <v>0</v>
      </c>
      <c r="CE66" s="212">
        <v>0</v>
      </c>
      <c r="CF66" s="975">
        <v>0</v>
      </c>
      <c r="CG66" s="975">
        <v>0</v>
      </c>
      <c r="CH66" s="975">
        <v>0</v>
      </c>
      <c r="CI66" s="975">
        <v>0</v>
      </c>
      <c r="CJ66" s="975">
        <v>0</v>
      </c>
      <c r="CK66" s="975">
        <v>0</v>
      </c>
      <c r="CL66" s="975">
        <v>0</v>
      </c>
      <c r="CM66" s="975">
        <v>0</v>
      </c>
      <c r="CN66" s="975">
        <v>0</v>
      </c>
      <c r="CO66" s="975">
        <v>0</v>
      </c>
      <c r="CP66" s="975">
        <v>0</v>
      </c>
      <c r="CQ66" s="215">
        <v>0</v>
      </c>
      <c r="CR66" s="212">
        <v>0</v>
      </c>
      <c r="CS66" s="212">
        <v>0</v>
      </c>
      <c r="CT66" s="212">
        <v>52</v>
      </c>
    </row>
    <row r="67" spans="3:98" ht="16.8">
      <c r="C67" s="11" t="s">
        <v>1525</v>
      </c>
      <c r="D67" s="354">
        <f>+End_OInc_Temp2</f>
        <v>63</v>
      </c>
      <c r="E67" s="1678">
        <v>0</v>
      </c>
      <c r="F67" s="1684" t="s">
        <v>629</v>
      </c>
      <c r="G67" s="1685"/>
      <c r="H67" s="1686"/>
      <c r="I67" s="1687"/>
      <c r="J67" s="1688"/>
      <c r="L67" s="460"/>
      <c r="M67" s="1693">
        <v>70</v>
      </c>
      <c r="N67" s="1693">
        <v>0</v>
      </c>
      <c r="O67" s="1693">
        <v>11.7166</v>
      </c>
      <c r="P67" s="1693">
        <v>45.459200000000003</v>
      </c>
      <c r="Q67" s="1693"/>
      <c r="R67" s="1693"/>
      <c r="S67" s="1693"/>
      <c r="T67" s="1693"/>
      <c r="U67" s="1693"/>
      <c r="V67" s="1693"/>
      <c r="W67" s="1693"/>
      <c r="X67" s="1693"/>
      <c r="Y67" s="1693"/>
      <c r="Z67" s="1693"/>
      <c r="AA67" s="1693"/>
      <c r="AB67" s="1694"/>
      <c r="AC67" s="1694"/>
      <c r="AE67" s="222">
        <v>3</v>
      </c>
      <c r="AF67" s="847">
        <v>64</v>
      </c>
      <c r="AG67" s="847">
        <v>63</v>
      </c>
      <c r="AH67" s="848">
        <v>2020</v>
      </c>
      <c r="AI67" s="975">
        <v>174</v>
      </c>
      <c r="AJ67" s="975">
        <v>670</v>
      </c>
      <c r="AK67" s="975">
        <v>0</v>
      </c>
      <c r="AL67" s="975">
        <v>111</v>
      </c>
      <c r="AM67" s="975">
        <v>0</v>
      </c>
      <c r="AN67" s="975">
        <v>955</v>
      </c>
      <c r="AO67" s="849"/>
      <c r="AP67" s="975">
        <v>9</v>
      </c>
      <c r="AQ67" s="975">
        <v>35</v>
      </c>
      <c r="AR67" s="975">
        <v>0</v>
      </c>
      <c r="AS67" s="975">
        <v>6</v>
      </c>
      <c r="AT67" s="975">
        <v>0</v>
      </c>
      <c r="AU67" s="975">
        <v>0</v>
      </c>
      <c r="AV67" s="975">
        <v>0</v>
      </c>
      <c r="AW67" s="975">
        <v>0</v>
      </c>
      <c r="AX67" s="975">
        <v>10</v>
      </c>
      <c r="AY67" s="975">
        <v>0</v>
      </c>
      <c r="AZ67" s="850">
        <v>60</v>
      </c>
      <c r="BA67" s="850"/>
      <c r="BB67" s="975">
        <v>82</v>
      </c>
      <c r="BC67" s="975">
        <v>7</v>
      </c>
      <c r="BD67" s="975">
        <v>0</v>
      </c>
      <c r="BE67" s="975">
        <v>0</v>
      </c>
      <c r="BF67" s="975">
        <v>0</v>
      </c>
      <c r="BG67" s="975">
        <v>0</v>
      </c>
      <c r="BH67" s="975">
        <v>0</v>
      </c>
      <c r="BI67" s="975">
        <v>0</v>
      </c>
      <c r="BJ67" s="975">
        <v>0</v>
      </c>
      <c r="BK67" s="975">
        <v>0</v>
      </c>
      <c r="BL67" s="975">
        <v>0</v>
      </c>
      <c r="BM67" s="850">
        <v>89</v>
      </c>
      <c r="BN67" s="850"/>
      <c r="BO67" s="850">
        <v>1104</v>
      </c>
      <c r="BP67" s="975"/>
      <c r="BQ67" s="975">
        <v>0</v>
      </c>
      <c r="BR67" s="975">
        <v>0</v>
      </c>
      <c r="BS67" s="975">
        <v>54</v>
      </c>
      <c r="BT67" s="975">
        <v>0</v>
      </c>
      <c r="BU67" s="975">
        <v>0</v>
      </c>
      <c r="BV67" s="975">
        <v>0</v>
      </c>
      <c r="BW67" s="975">
        <v>54</v>
      </c>
      <c r="BX67" s="212">
        <v>0</v>
      </c>
      <c r="BY67" s="975">
        <v>0</v>
      </c>
      <c r="BZ67" s="975">
        <v>0</v>
      </c>
      <c r="CA67" s="975">
        <v>0</v>
      </c>
      <c r="CB67" s="975">
        <v>0</v>
      </c>
      <c r="CC67" s="975">
        <v>0</v>
      </c>
      <c r="CD67" s="975">
        <v>0</v>
      </c>
      <c r="CE67" s="212">
        <v>0</v>
      </c>
      <c r="CF67" s="975">
        <v>0</v>
      </c>
      <c r="CG67" s="975">
        <v>0</v>
      </c>
      <c r="CH67" s="975">
        <v>0</v>
      </c>
      <c r="CI67" s="975">
        <v>0</v>
      </c>
      <c r="CJ67" s="975">
        <v>0</v>
      </c>
      <c r="CK67" s="975">
        <v>0</v>
      </c>
      <c r="CL67" s="975">
        <v>0</v>
      </c>
      <c r="CM67" s="975">
        <v>0</v>
      </c>
      <c r="CN67" s="975">
        <v>0</v>
      </c>
      <c r="CO67" s="975">
        <v>0</v>
      </c>
      <c r="CP67" s="975">
        <v>0</v>
      </c>
      <c r="CQ67" s="215">
        <v>0</v>
      </c>
      <c r="CR67" s="212">
        <v>0</v>
      </c>
      <c r="CS67" s="212">
        <v>0</v>
      </c>
      <c r="CT67" s="212">
        <v>54</v>
      </c>
    </row>
    <row r="68" spans="3:98" ht="16.8">
      <c r="C68" s="1683" t="s">
        <v>2186</v>
      </c>
      <c r="D68" s="354">
        <f>SPIA_Income</f>
        <v>9000</v>
      </c>
      <c r="E68" s="1678">
        <v>0</v>
      </c>
      <c r="F68" s="1684" t="s">
        <v>1356</v>
      </c>
      <c r="G68" s="1685"/>
      <c r="H68" s="1686"/>
      <c r="I68" s="1687"/>
      <c r="J68" s="1688"/>
      <c r="L68" s="460"/>
      <c r="M68" s="1693">
        <v>71</v>
      </c>
      <c r="N68" s="1693">
        <v>0</v>
      </c>
      <c r="O68" s="1693">
        <v>11.950900000000001</v>
      </c>
      <c r="P68" s="1693">
        <v>46.368400000000001</v>
      </c>
      <c r="Q68" s="1693">
        <v>30.5944</v>
      </c>
      <c r="R68" s="1693"/>
      <c r="S68" s="1693"/>
      <c r="T68" s="1693"/>
      <c r="U68" s="1693"/>
      <c r="V68" s="1693"/>
      <c r="W68" s="1693"/>
      <c r="X68" s="1693"/>
      <c r="Y68" s="1693"/>
      <c r="Z68" s="1693"/>
      <c r="AA68" s="1693"/>
      <c r="AB68" s="1694"/>
      <c r="AC68" s="1694"/>
      <c r="AE68" s="222">
        <v>4</v>
      </c>
      <c r="AF68" s="847">
        <v>65</v>
      </c>
      <c r="AG68" s="847">
        <v>64</v>
      </c>
      <c r="AH68" s="848">
        <v>2021</v>
      </c>
      <c r="AI68" s="975">
        <v>158</v>
      </c>
      <c r="AJ68" s="975">
        <v>651</v>
      </c>
      <c r="AK68" s="975">
        <v>0</v>
      </c>
      <c r="AL68" s="975">
        <v>117</v>
      </c>
      <c r="AM68" s="975">
        <v>0</v>
      </c>
      <c r="AN68" s="975">
        <v>926</v>
      </c>
      <c r="AO68" s="849"/>
      <c r="AP68" s="975">
        <v>8</v>
      </c>
      <c r="AQ68" s="975">
        <v>34</v>
      </c>
      <c r="AR68" s="975">
        <v>0</v>
      </c>
      <c r="AS68" s="975">
        <v>6</v>
      </c>
      <c r="AT68" s="975">
        <v>0</v>
      </c>
      <c r="AU68" s="975">
        <v>0</v>
      </c>
      <c r="AV68" s="975">
        <v>0</v>
      </c>
      <c r="AW68" s="975">
        <v>0</v>
      </c>
      <c r="AX68" s="975">
        <v>11</v>
      </c>
      <c r="AY68" s="975">
        <v>0</v>
      </c>
      <c r="AZ68" s="850">
        <v>59</v>
      </c>
      <c r="BA68" s="850"/>
      <c r="BB68" s="975">
        <v>86</v>
      </c>
      <c r="BC68" s="975">
        <v>7</v>
      </c>
      <c r="BD68" s="975">
        <v>0</v>
      </c>
      <c r="BE68" s="975">
        <v>0</v>
      </c>
      <c r="BF68" s="975">
        <v>0</v>
      </c>
      <c r="BG68" s="975">
        <v>0</v>
      </c>
      <c r="BH68" s="975">
        <v>0</v>
      </c>
      <c r="BI68" s="975">
        <v>0</v>
      </c>
      <c r="BJ68" s="975">
        <v>0</v>
      </c>
      <c r="BK68" s="975">
        <v>0</v>
      </c>
      <c r="BL68" s="975">
        <v>0</v>
      </c>
      <c r="BM68" s="850">
        <v>93</v>
      </c>
      <c r="BN68" s="850"/>
      <c r="BO68" s="850">
        <v>1078</v>
      </c>
      <c r="BP68" s="975"/>
      <c r="BQ68" s="975">
        <v>0</v>
      </c>
      <c r="BR68" s="975">
        <v>0</v>
      </c>
      <c r="BS68" s="975">
        <v>56</v>
      </c>
      <c r="BT68" s="975">
        <v>0</v>
      </c>
      <c r="BU68" s="975">
        <v>0</v>
      </c>
      <c r="BV68" s="975">
        <v>0</v>
      </c>
      <c r="BW68" s="975">
        <v>56</v>
      </c>
      <c r="BX68" s="212">
        <v>0</v>
      </c>
      <c r="BY68" s="975">
        <v>0</v>
      </c>
      <c r="BZ68" s="975">
        <v>0</v>
      </c>
      <c r="CA68" s="975">
        <v>0</v>
      </c>
      <c r="CB68" s="975">
        <v>0</v>
      </c>
      <c r="CC68" s="975">
        <v>0</v>
      </c>
      <c r="CD68" s="975">
        <v>0</v>
      </c>
      <c r="CE68" s="212">
        <v>0</v>
      </c>
      <c r="CF68" s="975">
        <v>0</v>
      </c>
      <c r="CG68" s="975">
        <v>0</v>
      </c>
      <c r="CH68" s="975">
        <v>0</v>
      </c>
      <c r="CI68" s="975">
        <v>0</v>
      </c>
      <c r="CJ68" s="975">
        <v>0</v>
      </c>
      <c r="CK68" s="975">
        <v>0</v>
      </c>
      <c r="CL68" s="975">
        <v>0</v>
      </c>
      <c r="CM68" s="975">
        <v>0</v>
      </c>
      <c r="CN68" s="975">
        <v>0</v>
      </c>
      <c r="CO68" s="975">
        <v>0</v>
      </c>
      <c r="CP68" s="975">
        <v>0</v>
      </c>
      <c r="CQ68" s="215">
        <v>0</v>
      </c>
      <c r="CR68" s="212">
        <v>0</v>
      </c>
      <c r="CS68" s="212">
        <v>0</v>
      </c>
      <c r="CT68" s="212">
        <v>56</v>
      </c>
    </row>
    <row r="69" spans="3:98" ht="16.8">
      <c r="C69" s="8" t="s">
        <v>27</v>
      </c>
      <c r="D69" s="354"/>
      <c r="E69" s="1678"/>
      <c r="F69" s="1684" t="s">
        <v>1357</v>
      </c>
      <c r="G69" s="1685"/>
      <c r="H69" s="1686"/>
      <c r="I69" s="1687"/>
      <c r="J69" s="1688"/>
      <c r="L69" s="460"/>
      <c r="M69" s="1693">
        <v>72</v>
      </c>
      <c r="N69" s="1693">
        <v>0</v>
      </c>
      <c r="O69" s="1693">
        <v>12.1899</v>
      </c>
      <c r="P69" s="1693">
        <v>47.2958</v>
      </c>
      <c r="Q69" s="1693">
        <v>31.206299999999999</v>
      </c>
      <c r="R69" s="1693"/>
      <c r="S69" s="1693"/>
      <c r="T69" s="1693"/>
      <c r="U69" s="1693"/>
      <c r="V69" s="1693"/>
      <c r="W69" s="1693"/>
      <c r="X69" s="1693"/>
      <c r="Y69" s="1693"/>
      <c r="Z69" s="1693"/>
      <c r="AA69" s="1693"/>
      <c r="AB69" s="1694"/>
      <c r="AC69" s="1694"/>
      <c r="AE69" s="222">
        <v>5</v>
      </c>
      <c r="AF69" s="847">
        <v>66</v>
      </c>
      <c r="AG69" s="847">
        <v>65</v>
      </c>
      <c r="AH69" s="848">
        <v>2022</v>
      </c>
      <c r="AI69" s="975">
        <v>140</v>
      </c>
      <c r="AJ69" s="975">
        <v>628</v>
      </c>
      <c r="AK69" s="975">
        <v>0</v>
      </c>
      <c r="AL69" s="975">
        <v>123</v>
      </c>
      <c r="AM69" s="975">
        <v>0</v>
      </c>
      <c r="AN69" s="975">
        <v>891</v>
      </c>
      <c r="AO69" s="849"/>
      <c r="AP69" s="975">
        <v>7</v>
      </c>
      <c r="AQ69" s="975">
        <v>32</v>
      </c>
      <c r="AR69" s="975">
        <v>0</v>
      </c>
      <c r="AS69" s="975">
        <v>7</v>
      </c>
      <c r="AT69" s="975">
        <v>0</v>
      </c>
      <c r="AU69" s="975">
        <v>0</v>
      </c>
      <c r="AV69" s="975">
        <v>0</v>
      </c>
      <c r="AW69" s="975">
        <v>0</v>
      </c>
      <c r="AX69" s="975">
        <v>11</v>
      </c>
      <c r="AY69" s="975">
        <v>0</v>
      </c>
      <c r="AZ69" s="850">
        <v>57</v>
      </c>
      <c r="BA69" s="850"/>
      <c r="BB69" s="975">
        <v>89</v>
      </c>
      <c r="BC69" s="975">
        <v>8</v>
      </c>
      <c r="BD69" s="975">
        <v>0</v>
      </c>
      <c r="BE69" s="975">
        <v>0</v>
      </c>
      <c r="BF69" s="975">
        <v>0</v>
      </c>
      <c r="BG69" s="975">
        <v>0</v>
      </c>
      <c r="BH69" s="975">
        <v>0</v>
      </c>
      <c r="BI69" s="975">
        <v>0</v>
      </c>
      <c r="BJ69" s="975">
        <v>0</v>
      </c>
      <c r="BK69" s="975">
        <v>0</v>
      </c>
      <c r="BL69" s="975">
        <v>0</v>
      </c>
      <c r="BM69" s="850">
        <v>97</v>
      </c>
      <c r="BN69" s="850"/>
      <c r="BO69" s="850">
        <v>1045</v>
      </c>
      <c r="BP69" s="975"/>
      <c r="BQ69" s="975">
        <v>0</v>
      </c>
      <c r="BR69" s="975">
        <v>0</v>
      </c>
      <c r="BS69" s="975">
        <v>59</v>
      </c>
      <c r="BT69" s="975">
        <v>0</v>
      </c>
      <c r="BU69" s="975">
        <v>0</v>
      </c>
      <c r="BV69" s="975">
        <v>0</v>
      </c>
      <c r="BW69" s="975">
        <v>59</v>
      </c>
      <c r="BX69" s="212">
        <v>0</v>
      </c>
      <c r="BY69" s="975">
        <v>0</v>
      </c>
      <c r="BZ69" s="975">
        <v>0</v>
      </c>
      <c r="CA69" s="975">
        <v>0</v>
      </c>
      <c r="CB69" s="975">
        <v>0</v>
      </c>
      <c r="CC69" s="975">
        <v>0</v>
      </c>
      <c r="CD69" s="975">
        <v>0</v>
      </c>
      <c r="CE69" s="212">
        <v>0</v>
      </c>
      <c r="CF69" s="975">
        <v>0</v>
      </c>
      <c r="CG69" s="975">
        <v>0</v>
      </c>
      <c r="CH69" s="975">
        <v>0</v>
      </c>
      <c r="CI69" s="975">
        <v>0</v>
      </c>
      <c r="CJ69" s="975">
        <v>0</v>
      </c>
      <c r="CK69" s="975">
        <v>0</v>
      </c>
      <c r="CL69" s="975">
        <v>0</v>
      </c>
      <c r="CM69" s="975">
        <v>0</v>
      </c>
      <c r="CN69" s="975">
        <v>0</v>
      </c>
      <c r="CO69" s="975">
        <v>0</v>
      </c>
      <c r="CP69" s="975">
        <v>0</v>
      </c>
      <c r="CQ69" s="215">
        <v>0</v>
      </c>
      <c r="CR69" s="212">
        <v>0</v>
      </c>
      <c r="CS69" s="212">
        <v>0</v>
      </c>
      <c r="CT69" s="212">
        <v>59</v>
      </c>
    </row>
    <row r="70" spans="3:98" ht="16.8">
      <c r="C70" s="8" t="s">
        <v>27</v>
      </c>
      <c r="D70" s="354"/>
      <c r="F70" s="1684" t="s">
        <v>2067</v>
      </c>
      <c r="G70" s="1685"/>
      <c r="H70" s="1686"/>
      <c r="I70" s="1687"/>
      <c r="J70" s="1688"/>
      <c r="L70" s="460"/>
      <c r="M70" s="1693">
        <v>73</v>
      </c>
      <c r="N70" s="1693">
        <v>0</v>
      </c>
      <c r="O70" s="1693">
        <v>12.4337</v>
      </c>
      <c r="P70" s="1693">
        <v>48.241700000000002</v>
      </c>
      <c r="Q70" s="1693">
        <v>31.830400000000001</v>
      </c>
      <c r="R70" s="1693"/>
      <c r="S70" s="1693"/>
      <c r="T70" s="1693"/>
      <c r="U70" s="1693"/>
      <c r="V70" s="1693"/>
      <c r="W70" s="1693"/>
      <c r="X70" s="1693"/>
      <c r="Y70" s="1693"/>
      <c r="Z70" s="1693"/>
      <c r="AA70" s="1693"/>
      <c r="AB70" s="1694"/>
      <c r="AC70" s="1694"/>
      <c r="AE70" s="222">
        <v>6</v>
      </c>
      <c r="AF70" s="847">
        <v>67</v>
      </c>
      <c r="AG70" s="847">
        <v>66</v>
      </c>
      <c r="AH70" s="848">
        <v>2023</v>
      </c>
      <c r="AI70" s="975">
        <v>120</v>
      </c>
      <c r="AJ70" s="975">
        <v>602</v>
      </c>
      <c r="AK70" s="975">
        <v>0</v>
      </c>
      <c r="AL70" s="975">
        <v>130</v>
      </c>
      <c r="AM70" s="975">
        <v>0</v>
      </c>
      <c r="AN70" s="975">
        <v>852</v>
      </c>
      <c r="AO70" s="849"/>
      <c r="AP70" s="975">
        <v>6</v>
      </c>
      <c r="AQ70" s="975">
        <v>31</v>
      </c>
      <c r="AR70" s="975">
        <v>0</v>
      </c>
      <c r="AS70" s="975">
        <v>7</v>
      </c>
      <c r="AT70" s="975">
        <v>0</v>
      </c>
      <c r="AU70" s="975">
        <v>0</v>
      </c>
      <c r="AV70" s="975">
        <v>0</v>
      </c>
      <c r="AW70" s="975">
        <v>0</v>
      </c>
      <c r="AX70" s="975">
        <v>11</v>
      </c>
      <c r="AY70" s="975">
        <v>0</v>
      </c>
      <c r="AZ70" s="850">
        <v>55</v>
      </c>
      <c r="BA70" s="850"/>
      <c r="BB70" s="975">
        <v>93</v>
      </c>
      <c r="BC70" s="975">
        <v>8</v>
      </c>
      <c r="BD70" s="975">
        <v>0</v>
      </c>
      <c r="BE70" s="975">
        <v>0</v>
      </c>
      <c r="BF70" s="975">
        <v>0</v>
      </c>
      <c r="BG70" s="975">
        <v>0</v>
      </c>
      <c r="BH70" s="975">
        <v>0</v>
      </c>
      <c r="BI70" s="975">
        <v>0</v>
      </c>
      <c r="BJ70" s="975">
        <v>0</v>
      </c>
      <c r="BK70" s="975">
        <v>0</v>
      </c>
      <c r="BL70" s="975">
        <v>0</v>
      </c>
      <c r="BM70" s="850">
        <v>101</v>
      </c>
      <c r="BN70" s="850"/>
      <c r="BO70" s="850">
        <v>1008</v>
      </c>
      <c r="BP70" s="975"/>
      <c r="BQ70" s="975">
        <v>0</v>
      </c>
      <c r="BR70" s="975">
        <v>0</v>
      </c>
      <c r="BS70" s="975">
        <v>61</v>
      </c>
      <c r="BT70" s="975">
        <v>0</v>
      </c>
      <c r="BU70" s="975">
        <v>0</v>
      </c>
      <c r="BV70" s="975">
        <v>0</v>
      </c>
      <c r="BW70" s="975">
        <v>61</v>
      </c>
      <c r="BX70" s="212">
        <v>0</v>
      </c>
      <c r="BY70" s="975">
        <v>0</v>
      </c>
      <c r="BZ70" s="975">
        <v>0</v>
      </c>
      <c r="CA70" s="975">
        <v>0</v>
      </c>
      <c r="CB70" s="975">
        <v>0</v>
      </c>
      <c r="CC70" s="975">
        <v>0</v>
      </c>
      <c r="CD70" s="975">
        <v>0</v>
      </c>
      <c r="CE70" s="212">
        <v>0</v>
      </c>
      <c r="CF70" s="975">
        <v>0</v>
      </c>
      <c r="CG70" s="975">
        <v>0</v>
      </c>
      <c r="CH70" s="975">
        <v>0</v>
      </c>
      <c r="CI70" s="975">
        <v>0</v>
      </c>
      <c r="CJ70" s="975">
        <v>0</v>
      </c>
      <c r="CK70" s="975">
        <v>0</v>
      </c>
      <c r="CL70" s="975">
        <v>0</v>
      </c>
      <c r="CM70" s="975">
        <v>0</v>
      </c>
      <c r="CN70" s="975">
        <v>0</v>
      </c>
      <c r="CO70" s="975">
        <v>0</v>
      </c>
      <c r="CP70" s="975">
        <v>0</v>
      </c>
      <c r="CQ70" s="215">
        <v>0</v>
      </c>
      <c r="CR70" s="212">
        <v>0</v>
      </c>
      <c r="CS70" s="212">
        <v>0</v>
      </c>
      <c r="CT70" s="212">
        <v>61</v>
      </c>
    </row>
    <row r="71" spans="3:98" ht="16.8">
      <c r="C71" s="8" t="s">
        <v>27</v>
      </c>
      <c r="D71" s="354"/>
      <c r="E71" s="1678"/>
      <c r="F71" s="1684" t="s">
        <v>2068</v>
      </c>
      <c r="G71" s="1685"/>
      <c r="H71" s="1686"/>
      <c r="I71" s="1687"/>
      <c r="J71" s="1688"/>
      <c r="L71" s="460"/>
      <c r="M71" s="1693">
        <v>74</v>
      </c>
      <c r="N71" s="1693">
        <v>0</v>
      </c>
      <c r="O71" s="1693">
        <v>12.682399999999999</v>
      </c>
      <c r="P71" s="1693">
        <v>49.206499999999998</v>
      </c>
      <c r="Q71" s="1693">
        <v>32.466999999999999</v>
      </c>
      <c r="R71" s="1693"/>
      <c r="S71" s="1693"/>
      <c r="T71" s="1693"/>
      <c r="U71" s="1693"/>
      <c r="V71" s="1693"/>
      <c r="W71" s="1693"/>
      <c r="X71" s="1693"/>
      <c r="Y71" s="1693"/>
      <c r="Z71" s="1693"/>
      <c r="AA71" s="1693"/>
      <c r="AB71" s="1694"/>
      <c r="AC71" s="1694"/>
      <c r="AE71" s="222">
        <v>7</v>
      </c>
      <c r="AF71" s="847">
        <v>68</v>
      </c>
      <c r="AG71" s="847">
        <v>67</v>
      </c>
      <c r="AH71" s="848">
        <v>2024</v>
      </c>
      <c r="AI71" s="975">
        <v>97</v>
      </c>
      <c r="AJ71" s="975">
        <v>572</v>
      </c>
      <c r="AK71" s="975">
        <v>0</v>
      </c>
      <c r="AL71" s="975">
        <v>137</v>
      </c>
      <c r="AM71" s="975">
        <v>0</v>
      </c>
      <c r="AN71" s="975">
        <v>806</v>
      </c>
      <c r="AO71" s="849"/>
      <c r="AP71" s="975">
        <v>5</v>
      </c>
      <c r="AQ71" s="975">
        <v>29</v>
      </c>
      <c r="AR71" s="975">
        <v>0</v>
      </c>
      <c r="AS71" s="975">
        <v>7</v>
      </c>
      <c r="AT71" s="975">
        <v>0</v>
      </c>
      <c r="AU71" s="975">
        <v>0</v>
      </c>
      <c r="AV71" s="975">
        <v>0</v>
      </c>
      <c r="AW71" s="975">
        <v>0</v>
      </c>
      <c r="AX71" s="975">
        <v>11</v>
      </c>
      <c r="AY71" s="975">
        <v>0</v>
      </c>
      <c r="AZ71" s="850">
        <v>52</v>
      </c>
      <c r="BA71" s="850"/>
      <c r="BB71" s="975">
        <v>96</v>
      </c>
      <c r="BC71" s="975">
        <v>8</v>
      </c>
      <c r="BD71" s="975">
        <v>0</v>
      </c>
      <c r="BE71" s="975">
        <v>0</v>
      </c>
      <c r="BF71" s="975">
        <v>0</v>
      </c>
      <c r="BG71" s="975">
        <v>0</v>
      </c>
      <c r="BH71" s="975">
        <v>0</v>
      </c>
      <c r="BI71" s="975">
        <v>0</v>
      </c>
      <c r="BJ71" s="975">
        <v>0</v>
      </c>
      <c r="BK71" s="975">
        <v>0</v>
      </c>
      <c r="BL71" s="975">
        <v>0</v>
      </c>
      <c r="BM71" s="850">
        <v>104</v>
      </c>
      <c r="BN71" s="850"/>
      <c r="BO71" s="850">
        <v>962</v>
      </c>
      <c r="BP71" s="975"/>
      <c r="BQ71" s="975">
        <v>0</v>
      </c>
      <c r="BR71" s="975">
        <v>0</v>
      </c>
      <c r="BS71" s="975">
        <v>63</v>
      </c>
      <c r="BT71" s="975">
        <v>0</v>
      </c>
      <c r="BU71" s="975">
        <v>0</v>
      </c>
      <c r="BV71" s="975">
        <v>0</v>
      </c>
      <c r="BW71" s="975">
        <v>63</v>
      </c>
      <c r="BX71" s="212">
        <v>0</v>
      </c>
      <c r="BY71" s="975">
        <v>0</v>
      </c>
      <c r="BZ71" s="975">
        <v>0</v>
      </c>
      <c r="CA71" s="975">
        <v>0</v>
      </c>
      <c r="CB71" s="975">
        <v>0</v>
      </c>
      <c r="CC71" s="975">
        <v>0</v>
      </c>
      <c r="CD71" s="975">
        <v>0</v>
      </c>
      <c r="CE71" s="212">
        <v>0</v>
      </c>
      <c r="CF71" s="975">
        <v>0</v>
      </c>
      <c r="CG71" s="975">
        <v>0</v>
      </c>
      <c r="CH71" s="975">
        <v>0</v>
      </c>
      <c r="CI71" s="975">
        <v>0</v>
      </c>
      <c r="CJ71" s="975">
        <v>0</v>
      </c>
      <c r="CK71" s="975">
        <v>0</v>
      </c>
      <c r="CL71" s="975">
        <v>0</v>
      </c>
      <c r="CM71" s="975">
        <v>0</v>
      </c>
      <c r="CN71" s="975">
        <v>0</v>
      </c>
      <c r="CO71" s="975">
        <v>0</v>
      </c>
      <c r="CP71" s="975">
        <v>0</v>
      </c>
      <c r="CQ71" s="215">
        <v>0</v>
      </c>
      <c r="CR71" s="212">
        <v>0</v>
      </c>
      <c r="CS71" s="212">
        <v>0</v>
      </c>
      <c r="CT71" s="212">
        <v>63</v>
      </c>
    </row>
    <row r="72" spans="3:98" ht="16.8">
      <c r="F72" s="1684" t="s">
        <v>1430</v>
      </c>
      <c r="G72" s="1685"/>
      <c r="H72" s="1686"/>
      <c r="I72" s="1687"/>
      <c r="J72" s="1688"/>
      <c r="L72" s="460"/>
      <c r="M72" s="1693">
        <v>75</v>
      </c>
      <c r="N72" s="1693">
        <v>0</v>
      </c>
      <c r="O72" s="1693">
        <v>12.9361</v>
      </c>
      <c r="P72" s="1693">
        <v>50.190600000000003</v>
      </c>
      <c r="Q72" s="1693">
        <v>33.116300000000003</v>
      </c>
      <c r="R72" s="1693"/>
      <c r="S72" s="1693"/>
      <c r="T72" s="1693"/>
      <c r="U72" s="1693"/>
      <c r="V72" s="1693"/>
      <c r="W72" s="1693"/>
      <c r="X72" s="1693"/>
      <c r="Y72" s="1693"/>
      <c r="Z72" s="1693"/>
      <c r="AA72" s="1693"/>
      <c r="AB72" s="1694"/>
      <c r="AC72" s="1694"/>
      <c r="AE72" s="222">
        <v>8</v>
      </c>
      <c r="AF72" s="847">
        <v>69</v>
      </c>
      <c r="AG72" s="847">
        <v>68</v>
      </c>
      <c r="AH72" s="848">
        <v>2025</v>
      </c>
      <c r="AI72" s="975">
        <v>72</v>
      </c>
      <c r="AJ72" s="975">
        <v>538</v>
      </c>
      <c r="AK72" s="975">
        <v>0</v>
      </c>
      <c r="AL72" s="975">
        <v>145</v>
      </c>
      <c r="AM72" s="975">
        <v>0</v>
      </c>
      <c r="AN72" s="975">
        <v>755</v>
      </c>
      <c r="AO72" s="849"/>
      <c r="AP72" s="975">
        <v>3</v>
      </c>
      <c r="AQ72" s="975">
        <v>27</v>
      </c>
      <c r="AR72" s="975">
        <v>0</v>
      </c>
      <c r="AS72" s="975">
        <v>8</v>
      </c>
      <c r="AT72" s="975">
        <v>0</v>
      </c>
      <c r="AU72" s="975">
        <v>0</v>
      </c>
      <c r="AV72" s="975">
        <v>0</v>
      </c>
      <c r="AW72" s="975">
        <v>0</v>
      </c>
      <c r="AX72" s="975">
        <v>11</v>
      </c>
      <c r="AY72" s="975">
        <v>0</v>
      </c>
      <c r="AZ72" s="850">
        <v>49</v>
      </c>
      <c r="BA72" s="850"/>
      <c r="BB72" s="975">
        <v>100</v>
      </c>
      <c r="BC72" s="975">
        <v>9</v>
      </c>
      <c r="BD72" s="975">
        <v>0</v>
      </c>
      <c r="BE72" s="975">
        <v>0</v>
      </c>
      <c r="BF72" s="975">
        <v>0</v>
      </c>
      <c r="BG72" s="975">
        <v>0</v>
      </c>
      <c r="BH72" s="975">
        <v>0</v>
      </c>
      <c r="BI72" s="975">
        <v>0</v>
      </c>
      <c r="BJ72" s="975">
        <v>0</v>
      </c>
      <c r="BK72" s="975">
        <v>0</v>
      </c>
      <c r="BL72" s="975">
        <v>0</v>
      </c>
      <c r="BM72" s="850">
        <v>109</v>
      </c>
      <c r="BN72" s="850"/>
      <c r="BO72" s="850">
        <v>913</v>
      </c>
      <c r="BP72" s="975"/>
      <c r="BQ72" s="975">
        <v>0</v>
      </c>
      <c r="BR72" s="975">
        <v>0</v>
      </c>
      <c r="BS72" s="975">
        <v>66</v>
      </c>
      <c r="BT72" s="975">
        <v>0</v>
      </c>
      <c r="BU72" s="975">
        <v>0</v>
      </c>
      <c r="BV72" s="975">
        <v>0</v>
      </c>
      <c r="BW72" s="975">
        <v>66</v>
      </c>
      <c r="BX72" s="212">
        <v>0</v>
      </c>
      <c r="BY72" s="975">
        <v>0</v>
      </c>
      <c r="BZ72" s="975">
        <v>0</v>
      </c>
      <c r="CA72" s="975">
        <v>0</v>
      </c>
      <c r="CB72" s="975">
        <v>0</v>
      </c>
      <c r="CC72" s="975">
        <v>0</v>
      </c>
      <c r="CD72" s="975">
        <v>0</v>
      </c>
      <c r="CE72" s="212">
        <v>0</v>
      </c>
      <c r="CF72" s="975">
        <v>0</v>
      </c>
      <c r="CG72" s="975">
        <v>0</v>
      </c>
      <c r="CH72" s="975">
        <v>0</v>
      </c>
      <c r="CI72" s="975">
        <v>0</v>
      </c>
      <c r="CJ72" s="975">
        <v>0</v>
      </c>
      <c r="CK72" s="975">
        <v>0</v>
      </c>
      <c r="CL72" s="975">
        <v>0</v>
      </c>
      <c r="CM72" s="975">
        <v>0</v>
      </c>
      <c r="CN72" s="975">
        <v>0</v>
      </c>
      <c r="CO72" s="975">
        <v>0</v>
      </c>
      <c r="CP72" s="975">
        <v>0</v>
      </c>
      <c r="CQ72" s="215">
        <v>0</v>
      </c>
      <c r="CR72" s="212">
        <v>0</v>
      </c>
      <c r="CS72" s="212">
        <v>0</v>
      </c>
      <c r="CT72" s="212">
        <v>66</v>
      </c>
    </row>
    <row r="73" spans="3:98" ht="16.8">
      <c r="C73" s="8" t="s">
        <v>27</v>
      </c>
      <c r="E73" s="1673"/>
      <c r="F73" s="1684" t="s">
        <v>1454</v>
      </c>
      <c r="G73" s="1685"/>
      <c r="H73" s="1686"/>
      <c r="I73" s="1687"/>
      <c r="J73" s="1688"/>
      <c r="L73" s="460"/>
      <c r="M73" s="1693">
        <v>76</v>
      </c>
      <c r="N73" s="1693">
        <v>0</v>
      </c>
      <c r="O73" s="1693">
        <v>13.194800000000001</v>
      </c>
      <c r="P73" s="1693">
        <v>51.194499999999998</v>
      </c>
      <c r="Q73" s="1693">
        <v>33.778700000000001</v>
      </c>
      <c r="R73" s="1693"/>
      <c r="S73" s="1693"/>
      <c r="T73" s="1693"/>
      <c r="U73" s="1693"/>
      <c r="V73" s="1693"/>
      <c r="W73" s="1693"/>
      <c r="X73" s="1693"/>
      <c r="Y73" s="1693"/>
      <c r="Z73" s="1693"/>
      <c r="AA73" s="1693"/>
      <c r="AB73" s="1694"/>
      <c r="AC73" s="1694"/>
      <c r="AE73" s="222">
        <v>9</v>
      </c>
      <c r="AF73" s="847">
        <v>70</v>
      </c>
      <c r="AG73" s="847">
        <v>69</v>
      </c>
      <c r="AH73" s="848">
        <v>2026</v>
      </c>
      <c r="AI73" s="975">
        <v>44</v>
      </c>
      <c r="AJ73" s="975">
        <v>499</v>
      </c>
      <c r="AK73" s="975">
        <v>0</v>
      </c>
      <c r="AL73" s="975">
        <v>152</v>
      </c>
      <c r="AM73" s="975">
        <v>0</v>
      </c>
      <c r="AN73" s="975">
        <v>695</v>
      </c>
      <c r="AO73" s="849"/>
      <c r="AP73" s="975">
        <v>4</v>
      </c>
      <c r="AQ73" s="975">
        <v>25</v>
      </c>
      <c r="AR73" s="975">
        <v>0</v>
      </c>
      <c r="AS73" s="975">
        <v>8</v>
      </c>
      <c r="AT73" s="975">
        <v>0</v>
      </c>
      <c r="AU73" s="975">
        <v>46</v>
      </c>
      <c r="AV73" s="975">
        <v>0</v>
      </c>
      <c r="AW73" s="975">
        <v>0</v>
      </c>
      <c r="AX73" s="975">
        <v>12</v>
      </c>
      <c r="AY73" s="975">
        <v>0</v>
      </c>
      <c r="AZ73" s="850">
        <v>95</v>
      </c>
      <c r="BA73" s="850"/>
      <c r="BB73" s="975">
        <v>104</v>
      </c>
      <c r="BC73" s="975">
        <v>22</v>
      </c>
      <c r="BD73" s="975">
        <v>0</v>
      </c>
      <c r="BE73" s="975">
        <v>0</v>
      </c>
      <c r="BF73" s="975">
        <v>0</v>
      </c>
      <c r="BG73" s="975">
        <v>0</v>
      </c>
      <c r="BH73" s="975">
        <v>0</v>
      </c>
      <c r="BI73" s="975">
        <v>0</v>
      </c>
      <c r="BJ73" s="975">
        <v>0</v>
      </c>
      <c r="BK73" s="975">
        <v>0</v>
      </c>
      <c r="BL73" s="975">
        <v>0</v>
      </c>
      <c r="BM73" s="850">
        <v>126</v>
      </c>
      <c r="BN73" s="850"/>
      <c r="BO73" s="850">
        <v>916</v>
      </c>
      <c r="BP73" s="975"/>
      <c r="BQ73" s="975">
        <v>18</v>
      </c>
      <c r="BR73" s="975">
        <v>0</v>
      </c>
      <c r="BS73" s="975">
        <v>68</v>
      </c>
      <c r="BT73" s="975">
        <v>0</v>
      </c>
      <c r="BU73" s="975">
        <v>0</v>
      </c>
      <c r="BV73" s="975">
        <v>0</v>
      </c>
      <c r="BW73" s="975">
        <v>68</v>
      </c>
      <c r="BX73" s="212">
        <v>0</v>
      </c>
      <c r="BY73" s="975">
        <v>0</v>
      </c>
      <c r="BZ73" s="975">
        <v>0</v>
      </c>
      <c r="CA73" s="975">
        <v>0</v>
      </c>
      <c r="CB73" s="975">
        <v>0</v>
      </c>
      <c r="CC73" s="975">
        <v>0</v>
      </c>
      <c r="CD73" s="975">
        <v>0</v>
      </c>
      <c r="CE73" s="212">
        <v>0</v>
      </c>
      <c r="CF73" s="975">
        <v>0</v>
      </c>
      <c r="CG73" s="975">
        <v>0</v>
      </c>
      <c r="CH73" s="975">
        <v>0</v>
      </c>
      <c r="CI73" s="975">
        <v>0</v>
      </c>
      <c r="CJ73" s="975">
        <v>0</v>
      </c>
      <c r="CK73" s="975">
        <v>15</v>
      </c>
      <c r="CL73" s="975">
        <v>0</v>
      </c>
      <c r="CM73" s="975">
        <v>0</v>
      </c>
      <c r="CN73" s="975">
        <v>15</v>
      </c>
      <c r="CO73" s="975">
        <v>0</v>
      </c>
      <c r="CP73" s="975">
        <v>0</v>
      </c>
      <c r="CQ73" s="215">
        <v>0</v>
      </c>
      <c r="CR73" s="212">
        <v>0</v>
      </c>
      <c r="CS73" s="212">
        <v>0</v>
      </c>
      <c r="CT73" s="212">
        <v>101</v>
      </c>
    </row>
    <row r="74" spans="3:98" ht="16.8">
      <c r="C74" s="1461" t="s">
        <v>2187</v>
      </c>
      <c r="D74" s="354">
        <f>+SPIA_Start</f>
        <v>76</v>
      </c>
      <c r="E74" s="1678">
        <v>0</v>
      </c>
      <c r="F74" s="1684" t="s">
        <v>1373</v>
      </c>
      <c r="G74" s="1685"/>
      <c r="H74" s="1686"/>
      <c r="I74" s="1687"/>
      <c r="J74" s="1688"/>
      <c r="L74" s="460"/>
      <c r="M74" s="1693">
        <v>77</v>
      </c>
      <c r="N74" s="1693">
        <v>0</v>
      </c>
      <c r="O74" s="1693">
        <v>13.4587</v>
      </c>
      <c r="P74" s="1693">
        <v>52.218299999999999</v>
      </c>
      <c r="Q74" s="1693">
        <v>34.4542</v>
      </c>
      <c r="R74" s="1693"/>
      <c r="S74" s="1693"/>
      <c r="T74" s="1693"/>
      <c r="U74" s="1693"/>
      <c r="V74" s="1693"/>
      <c r="W74" s="1693"/>
      <c r="X74" s="1693"/>
      <c r="Y74" s="1693"/>
      <c r="Z74" s="1693"/>
      <c r="AA74" s="1693"/>
      <c r="AB74" s="1694"/>
      <c r="AC74" s="1694"/>
      <c r="AE74" s="222">
        <v>10</v>
      </c>
      <c r="AF74" s="847">
        <v>71</v>
      </c>
      <c r="AG74" s="847">
        <v>70</v>
      </c>
      <c r="AH74" s="848">
        <v>2027</v>
      </c>
      <c r="AI74" s="975">
        <v>81</v>
      </c>
      <c r="AJ74" s="975">
        <v>437</v>
      </c>
      <c r="AK74" s="975">
        <v>0</v>
      </c>
      <c r="AL74" s="975">
        <v>145</v>
      </c>
      <c r="AM74" s="975">
        <v>0</v>
      </c>
      <c r="AN74" s="975">
        <v>663</v>
      </c>
      <c r="AO74" s="849"/>
      <c r="AP74" s="975">
        <v>7</v>
      </c>
      <c r="AQ74" s="975">
        <v>21</v>
      </c>
      <c r="AR74" s="975">
        <v>0</v>
      </c>
      <c r="AS74" s="975">
        <v>7</v>
      </c>
      <c r="AT74" s="975">
        <v>0</v>
      </c>
      <c r="AU74" s="975">
        <v>47</v>
      </c>
      <c r="AV74" s="975">
        <v>32</v>
      </c>
      <c r="AW74" s="975">
        <v>0</v>
      </c>
      <c r="AX74" s="975">
        <v>12</v>
      </c>
      <c r="AY74" s="975">
        <v>0</v>
      </c>
      <c r="AZ74" s="850">
        <v>126</v>
      </c>
      <c r="BA74" s="850"/>
      <c r="BB74" s="975">
        <v>108</v>
      </c>
      <c r="BC74" s="975">
        <v>29</v>
      </c>
      <c r="BD74" s="975">
        <v>0</v>
      </c>
      <c r="BE74" s="975">
        <v>0</v>
      </c>
      <c r="BF74" s="975">
        <v>0</v>
      </c>
      <c r="BG74" s="975">
        <v>0</v>
      </c>
      <c r="BH74" s="975">
        <v>0</v>
      </c>
      <c r="BI74" s="975">
        <v>0</v>
      </c>
      <c r="BJ74" s="975">
        <v>0</v>
      </c>
      <c r="BK74" s="975">
        <v>0</v>
      </c>
      <c r="BL74" s="975">
        <v>0</v>
      </c>
      <c r="BM74" s="850">
        <v>137</v>
      </c>
      <c r="BN74" s="850"/>
      <c r="BO74" s="850">
        <v>926</v>
      </c>
      <c r="BP74" s="975"/>
      <c r="BQ74" s="975">
        <v>17</v>
      </c>
      <c r="BR74" s="975">
        <v>0</v>
      </c>
      <c r="BS74" s="975">
        <v>71</v>
      </c>
      <c r="BT74" s="975">
        <v>0</v>
      </c>
      <c r="BU74" s="975">
        <v>0</v>
      </c>
      <c r="BV74" s="975">
        <v>0</v>
      </c>
      <c r="BW74" s="975">
        <v>71</v>
      </c>
      <c r="BX74" s="212">
        <v>0</v>
      </c>
      <c r="BY74" s="975">
        <v>0</v>
      </c>
      <c r="BZ74" s="975">
        <v>0</v>
      </c>
      <c r="CA74" s="975">
        <v>0</v>
      </c>
      <c r="CB74" s="975">
        <v>0</v>
      </c>
      <c r="CC74" s="975">
        <v>0</v>
      </c>
      <c r="CD74" s="975">
        <v>0</v>
      </c>
      <c r="CE74" s="212">
        <v>0</v>
      </c>
      <c r="CF74" s="975">
        <v>0</v>
      </c>
      <c r="CG74" s="975">
        <v>0</v>
      </c>
      <c r="CH74" s="975">
        <v>0</v>
      </c>
      <c r="CI74" s="975">
        <v>0</v>
      </c>
      <c r="CJ74" s="975">
        <v>0</v>
      </c>
      <c r="CK74" s="975">
        <v>15</v>
      </c>
      <c r="CL74" s="975">
        <v>0</v>
      </c>
      <c r="CM74" s="975">
        <v>0</v>
      </c>
      <c r="CN74" s="975">
        <v>15</v>
      </c>
      <c r="CO74" s="975">
        <v>0</v>
      </c>
      <c r="CP74" s="975">
        <v>0</v>
      </c>
      <c r="CQ74" s="215">
        <v>0</v>
      </c>
      <c r="CR74" s="212">
        <v>0</v>
      </c>
      <c r="CS74" s="212">
        <v>0</v>
      </c>
      <c r="CT74" s="212">
        <v>103</v>
      </c>
    </row>
    <row r="75" spans="3:98" ht="16.8">
      <c r="C75" s="8" t="s">
        <v>27</v>
      </c>
      <c r="E75" s="1460"/>
      <c r="F75" s="1684" t="s">
        <v>1374</v>
      </c>
      <c r="G75" s="1685"/>
      <c r="H75" s="1686"/>
      <c r="I75" s="1687"/>
      <c r="J75" s="1688"/>
      <c r="L75" s="460"/>
      <c r="M75" s="1693">
        <v>78</v>
      </c>
      <c r="N75" s="1693">
        <v>0</v>
      </c>
      <c r="O75" s="1693">
        <v>13.7279</v>
      </c>
      <c r="P75" s="1693">
        <v>53.262700000000002</v>
      </c>
      <c r="Q75" s="1693">
        <v>35.143300000000004</v>
      </c>
      <c r="R75" s="1693"/>
      <c r="S75" s="1693"/>
      <c r="T75" s="1693"/>
      <c r="U75" s="1693"/>
      <c r="V75" s="1693"/>
      <c r="W75" s="1693"/>
      <c r="X75" s="1693"/>
      <c r="Y75" s="1693"/>
      <c r="Z75" s="1693"/>
      <c r="AA75" s="1693"/>
      <c r="AB75" s="1694"/>
      <c r="AC75" s="1694"/>
      <c r="AE75" s="222">
        <v>11</v>
      </c>
      <c r="AF75" s="847">
        <v>72</v>
      </c>
      <c r="AG75" s="847">
        <v>71</v>
      </c>
      <c r="AH75" s="848">
        <v>2028</v>
      </c>
      <c r="AI75" s="975">
        <v>144</v>
      </c>
      <c r="AJ75" s="975">
        <v>371</v>
      </c>
      <c r="AK75" s="975">
        <v>0</v>
      </c>
      <c r="AL75" s="975">
        <v>138</v>
      </c>
      <c r="AM75" s="975">
        <v>0</v>
      </c>
      <c r="AN75" s="975">
        <v>653</v>
      </c>
      <c r="AO75" s="849"/>
      <c r="AP75" s="975">
        <v>10</v>
      </c>
      <c r="AQ75" s="975">
        <v>18</v>
      </c>
      <c r="AR75" s="975">
        <v>0</v>
      </c>
      <c r="AS75" s="975">
        <v>7</v>
      </c>
      <c r="AT75" s="975">
        <v>0</v>
      </c>
      <c r="AU75" s="975">
        <v>48</v>
      </c>
      <c r="AV75" s="975">
        <v>32</v>
      </c>
      <c r="AW75" s="975">
        <v>0</v>
      </c>
      <c r="AX75" s="975">
        <v>12</v>
      </c>
      <c r="AY75" s="975">
        <v>0</v>
      </c>
      <c r="AZ75" s="850">
        <v>127</v>
      </c>
      <c r="BA75" s="850"/>
      <c r="BB75" s="975">
        <v>113</v>
      </c>
      <c r="BC75" s="975">
        <v>29</v>
      </c>
      <c r="BD75" s="975">
        <v>0</v>
      </c>
      <c r="BE75" s="975">
        <v>0</v>
      </c>
      <c r="BF75" s="975">
        <v>0</v>
      </c>
      <c r="BG75" s="975">
        <v>0</v>
      </c>
      <c r="BH75" s="975">
        <v>0</v>
      </c>
      <c r="BI75" s="975">
        <v>0</v>
      </c>
      <c r="BJ75" s="975">
        <v>0</v>
      </c>
      <c r="BK75" s="975">
        <v>0</v>
      </c>
      <c r="BL75" s="975">
        <v>0</v>
      </c>
      <c r="BM75" s="850">
        <v>142</v>
      </c>
      <c r="BN75" s="850"/>
      <c r="BO75" s="850">
        <v>922</v>
      </c>
      <c r="BP75" s="975"/>
      <c r="BQ75" s="975">
        <v>15</v>
      </c>
      <c r="BR75" s="975">
        <v>0</v>
      </c>
      <c r="BS75" s="975">
        <v>74</v>
      </c>
      <c r="BT75" s="975">
        <v>0</v>
      </c>
      <c r="BU75" s="975">
        <v>0</v>
      </c>
      <c r="BV75" s="975">
        <v>0</v>
      </c>
      <c r="BW75" s="975">
        <v>74</v>
      </c>
      <c r="BX75" s="212">
        <v>0</v>
      </c>
      <c r="BY75" s="975">
        <v>0</v>
      </c>
      <c r="BZ75" s="975">
        <v>0</v>
      </c>
      <c r="CA75" s="975">
        <v>0</v>
      </c>
      <c r="CB75" s="975">
        <v>0</v>
      </c>
      <c r="CC75" s="975">
        <v>0</v>
      </c>
      <c r="CD75" s="975">
        <v>0</v>
      </c>
      <c r="CE75" s="212">
        <v>0</v>
      </c>
      <c r="CF75" s="975">
        <v>0</v>
      </c>
      <c r="CG75" s="975">
        <v>0</v>
      </c>
      <c r="CH75" s="975">
        <v>0</v>
      </c>
      <c r="CI75" s="975">
        <v>0</v>
      </c>
      <c r="CJ75" s="975">
        <v>0</v>
      </c>
      <c r="CK75" s="975">
        <v>15</v>
      </c>
      <c r="CL75" s="975">
        <v>0</v>
      </c>
      <c r="CM75" s="975">
        <v>0</v>
      </c>
      <c r="CN75" s="975">
        <v>15</v>
      </c>
      <c r="CO75" s="975">
        <v>0</v>
      </c>
      <c r="CP75" s="975">
        <v>0</v>
      </c>
      <c r="CQ75" s="215">
        <v>0</v>
      </c>
      <c r="CR75" s="212">
        <v>0</v>
      </c>
      <c r="CS75" s="212">
        <v>0</v>
      </c>
      <c r="CT75" s="212">
        <v>104</v>
      </c>
    </row>
    <row r="76" spans="3:98" ht="16.8">
      <c r="C76" s="8" t="s">
        <v>27</v>
      </c>
      <c r="E76" s="1460"/>
      <c r="F76" s="1684" t="s">
        <v>1352</v>
      </c>
      <c r="G76" s="1685"/>
      <c r="H76" s="1686"/>
      <c r="I76" s="1687"/>
      <c r="J76" s="1688"/>
      <c r="L76" s="460"/>
      <c r="M76" s="1693">
        <v>79</v>
      </c>
      <c r="N76" s="1693">
        <v>0</v>
      </c>
      <c r="O76" s="1693">
        <v>14.0024</v>
      </c>
      <c r="P76" s="1693">
        <v>41.832500000000003</v>
      </c>
      <c r="Q76" s="1693">
        <v>27.601600000000001</v>
      </c>
      <c r="R76" s="1693"/>
      <c r="S76" s="1693"/>
      <c r="T76" s="1693"/>
      <c r="U76" s="1693"/>
      <c r="V76" s="1693"/>
      <c r="W76" s="1693"/>
      <c r="X76" s="1693"/>
      <c r="Y76" s="1693"/>
      <c r="Z76" s="1693"/>
      <c r="AA76" s="1693"/>
      <c r="AB76" s="1694"/>
      <c r="AC76" s="1694"/>
      <c r="AE76" s="222">
        <v>12</v>
      </c>
      <c r="AF76" s="847">
        <v>73</v>
      </c>
      <c r="AG76" s="847">
        <v>72</v>
      </c>
      <c r="AH76" s="848">
        <v>2029</v>
      </c>
      <c r="AI76" s="975">
        <v>208</v>
      </c>
      <c r="AJ76" s="975">
        <v>300</v>
      </c>
      <c r="AK76" s="975">
        <v>0</v>
      </c>
      <c r="AL76" s="975">
        <v>130</v>
      </c>
      <c r="AM76" s="975">
        <v>0</v>
      </c>
      <c r="AN76" s="975">
        <v>638</v>
      </c>
      <c r="AO76" s="849"/>
      <c r="AP76" s="975">
        <v>13</v>
      </c>
      <c r="AQ76" s="975">
        <v>14</v>
      </c>
      <c r="AR76" s="975">
        <v>0</v>
      </c>
      <c r="AS76" s="975">
        <v>7</v>
      </c>
      <c r="AT76" s="975">
        <v>0</v>
      </c>
      <c r="AU76" s="975">
        <v>49</v>
      </c>
      <c r="AV76" s="975">
        <v>33</v>
      </c>
      <c r="AW76" s="975">
        <v>0</v>
      </c>
      <c r="AX76" s="975">
        <v>12</v>
      </c>
      <c r="AY76" s="975">
        <v>0</v>
      </c>
      <c r="AZ76" s="850">
        <v>128</v>
      </c>
      <c r="BA76" s="850"/>
      <c r="BB76" s="975">
        <v>117</v>
      </c>
      <c r="BC76" s="975">
        <v>30</v>
      </c>
      <c r="BD76" s="975">
        <v>0</v>
      </c>
      <c r="BE76" s="975">
        <v>0</v>
      </c>
      <c r="BF76" s="975">
        <v>0</v>
      </c>
      <c r="BG76" s="975">
        <v>0</v>
      </c>
      <c r="BH76" s="975">
        <v>0</v>
      </c>
      <c r="BI76" s="975">
        <v>0</v>
      </c>
      <c r="BJ76" s="975">
        <v>0</v>
      </c>
      <c r="BK76" s="975">
        <v>0</v>
      </c>
      <c r="BL76" s="975">
        <v>0</v>
      </c>
      <c r="BM76" s="850">
        <v>147</v>
      </c>
      <c r="BN76" s="850"/>
      <c r="BO76" s="850">
        <v>913</v>
      </c>
      <c r="BP76" s="975"/>
      <c r="BQ76" s="975">
        <v>12</v>
      </c>
      <c r="BR76" s="975">
        <v>0</v>
      </c>
      <c r="BS76" s="975">
        <v>77</v>
      </c>
      <c r="BT76" s="975">
        <v>0</v>
      </c>
      <c r="BU76" s="975">
        <v>0</v>
      </c>
      <c r="BV76" s="975">
        <v>0</v>
      </c>
      <c r="BW76" s="975">
        <v>77</v>
      </c>
      <c r="BX76" s="212">
        <v>0</v>
      </c>
      <c r="BY76" s="975">
        <v>0</v>
      </c>
      <c r="BZ76" s="975">
        <v>0</v>
      </c>
      <c r="CA76" s="975">
        <v>0</v>
      </c>
      <c r="CB76" s="975">
        <v>0</v>
      </c>
      <c r="CC76" s="975">
        <v>0</v>
      </c>
      <c r="CD76" s="975">
        <v>0</v>
      </c>
      <c r="CE76" s="212">
        <v>0</v>
      </c>
      <c r="CF76" s="975">
        <v>0</v>
      </c>
      <c r="CG76" s="975">
        <v>0</v>
      </c>
      <c r="CH76" s="975">
        <v>0</v>
      </c>
      <c r="CI76" s="975">
        <v>0</v>
      </c>
      <c r="CJ76" s="975">
        <v>0</v>
      </c>
      <c r="CK76" s="975">
        <v>15</v>
      </c>
      <c r="CL76" s="975">
        <v>0</v>
      </c>
      <c r="CM76" s="975">
        <v>0</v>
      </c>
      <c r="CN76" s="975">
        <v>15</v>
      </c>
      <c r="CO76" s="975">
        <v>0</v>
      </c>
      <c r="CP76" s="975">
        <v>0</v>
      </c>
      <c r="CQ76" s="215">
        <v>0</v>
      </c>
      <c r="CR76" s="212">
        <v>0</v>
      </c>
      <c r="CS76" s="212">
        <v>0</v>
      </c>
      <c r="CT76" s="212">
        <v>104</v>
      </c>
    </row>
    <row r="77" spans="3:98" ht="16.8">
      <c r="C77" s="8" t="s">
        <v>27</v>
      </c>
      <c r="E77" s="1460"/>
      <c r="F77" s="1684" t="s">
        <v>1353</v>
      </c>
      <c r="G77" s="1685"/>
      <c r="H77" s="1686"/>
      <c r="I77" s="1687"/>
      <c r="J77" s="1688"/>
      <c r="L77" s="460"/>
      <c r="M77" s="1693">
        <v>80</v>
      </c>
      <c r="N77" s="1693">
        <v>0</v>
      </c>
      <c r="O77" s="1693">
        <v>14.282500000000001</v>
      </c>
      <c r="P77" s="1693">
        <v>42.669199999999996</v>
      </c>
      <c r="Q77" s="1693">
        <v>28.153600000000001</v>
      </c>
      <c r="R77" s="1693"/>
      <c r="S77" s="1693"/>
      <c r="T77" s="1693"/>
      <c r="U77" s="1693"/>
      <c r="V77" s="1693"/>
      <c r="W77" s="1693"/>
      <c r="X77" s="1693"/>
      <c r="Y77" s="1693"/>
      <c r="Z77" s="1693"/>
      <c r="AA77" s="1693"/>
      <c r="AB77" s="1694"/>
      <c r="AC77" s="1694"/>
      <c r="AE77" s="222">
        <v>13</v>
      </c>
      <c r="AF77" s="847">
        <v>74</v>
      </c>
      <c r="AG77" s="847">
        <v>73</v>
      </c>
      <c r="AH77" s="848">
        <v>2030</v>
      </c>
      <c r="AI77" s="975">
        <v>273</v>
      </c>
      <c r="AJ77" s="975">
        <v>225</v>
      </c>
      <c r="AK77" s="975">
        <v>0</v>
      </c>
      <c r="AL77" s="975">
        <v>121</v>
      </c>
      <c r="AM77" s="975">
        <v>0</v>
      </c>
      <c r="AN77" s="975">
        <v>619</v>
      </c>
      <c r="AO77" s="849"/>
      <c r="AP77" s="975">
        <v>17</v>
      </c>
      <c r="AQ77" s="975">
        <v>10</v>
      </c>
      <c r="AR77" s="975">
        <v>0</v>
      </c>
      <c r="AS77" s="975">
        <v>6</v>
      </c>
      <c r="AT77" s="975">
        <v>0</v>
      </c>
      <c r="AU77" s="975">
        <v>50</v>
      </c>
      <c r="AV77" s="975">
        <v>34</v>
      </c>
      <c r="AW77" s="975">
        <v>0</v>
      </c>
      <c r="AX77" s="975">
        <v>12</v>
      </c>
      <c r="AY77" s="975">
        <v>0</v>
      </c>
      <c r="AZ77" s="850">
        <v>129</v>
      </c>
      <c r="BA77" s="850"/>
      <c r="BB77" s="975">
        <v>122</v>
      </c>
      <c r="BC77" s="975">
        <v>30</v>
      </c>
      <c r="BD77" s="975">
        <v>0</v>
      </c>
      <c r="BE77" s="975">
        <v>0</v>
      </c>
      <c r="BF77" s="975">
        <v>0</v>
      </c>
      <c r="BG77" s="975">
        <v>0</v>
      </c>
      <c r="BH77" s="975">
        <v>0</v>
      </c>
      <c r="BI77" s="975">
        <v>0</v>
      </c>
      <c r="BJ77" s="975">
        <v>0</v>
      </c>
      <c r="BK77" s="975">
        <v>0</v>
      </c>
      <c r="BL77" s="975">
        <v>0</v>
      </c>
      <c r="BM77" s="850">
        <v>152</v>
      </c>
      <c r="BN77" s="850"/>
      <c r="BO77" s="850">
        <v>900</v>
      </c>
      <c r="BP77" s="975"/>
      <c r="BQ77" s="975">
        <v>9</v>
      </c>
      <c r="BR77" s="975">
        <v>0</v>
      </c>
      <c r="BS77" s="975">
        <v>80</v>
      </c>
      <c r="BT77" s="975">
        <v>0</v>
      </c>
      <c r="BU77" s="975">
        <v>0</v>
      </c>
      <c r="BV77" s="975">
        <v>0</v>
      </c>
      <c r="BW77" s="975">
        <v>80</v>
      </c>
      <c r="BX77" s="212">
        <v>0</v>
      </c>
      <c r="BY77" s="975">
        <v>0</v>
      </c>
      <c r="BZ77" s="975">
        <v>0</v>
      </c>
      <c r="CA77" s="975">
        <v>0</v>
      </c>
      <c r="CB77" s="975">
        <v>0</v>
      </c>
      <c r="CC77" s="975">
        <v>0</v>
      </c>
      <c r="CD77" s="975">
        <v>0</v>
      </c>
      <c r="CE77" s="212">
        <v>0</v>
      </c>
      <c r="CF77" s="975">
        <v>0</v>
      </c>
      <c r="CG77" s="975">
        <v>0</v>
      </c>
      <c r="CH77" s="975">
        <v>0</v>
      </c>
      <c r="CI77" s="975">
        <v>0</v>
      </c>
      <c r="CJ77" s="975">
        <v>0</v>
      </c>
      <c r="CK77" s="975">
        <v>15</v>
      </c>
      <c r="CL77" s="975">
        <v>0</v>
      </c>
      <c r="CM77" s="975">
        <v>0</v>
      </c>
      <c r="CN77" s="975">
        <v>15</v>
      </c>
      <c r="CO77" s="975">
        <v>0</v>
      </c>
      <c r="CP77" s="975">
        <v>0</v>
      </c>
      <c r="CQ77" s="215">
        <v>0</v>
      </c>
      <c r="CR77" s="212">
        <v>0</v>
      </c>
      <c r="CS77" s="212">
        <v>0</v>
      </c>
      <c r="CT77" s="212">
        <v>104</v>
      </c>
    </row>
    <row r="78" spans="3:98" ht="16.8">
      <c r="C78" s="1461" t="s">
        <v>2188</v>
      </c>
      <c r="D78" s="354">
        <f>SPIA_Amt</f>
        <v>100000</v>
      </c>
      <c r="E78" s="1678">
        <v>0</v>
      </c>
      <c r="F78" s="1684" t="s">
        <v>1354</v>
      </c>
      <c r="G78" s="1685"/>
      <c r="H78" s="1686"/>
      <c r="I78" s="1687"/>
      <c r="J78" s="1688"/>
      <c r="L78" s="460"/>
      <c r="M78" s="1693">
        <v>81</v>
      </c>
      <c r="N78" s="1693">
        <v>0</v>
      </c>
      <c r="O78" s="1693">
        <v>14.568099999999999</v>
      </c>
      <c r="P78" s="1693">
        <v>43.522599999999997</v>
      </c>
      <c r="Q78" s="1693">
        <v>28.716699999999999</v>
      </c>
      <c r="R78" s="1693"/>
      <c r="S78" s="1693"/>
      <c r="T78" s="1693"/>
      <c r="U78" s="1693"/>
      <c r="V78" s="1693"/>
      <c r="W78" s="1693"/>
      <c r="X78" s="1693"/>
      <c r="Y78" s="1693"/>
      <c r="Z78" s="1693"/>
      <c r="AA78" s="1693"/>
      <c r="AB78" s="1694"/>
      <c r="AC78" s="1694"/>
      <c r="AE78" s="222">
        <v>14</v>
      </c>
      <c r="AF78" s="847">
        <v>75</v>
      </c>
      <c r="AG78" s="847">
        <v>74</v>
      </c>
      <c r="AH78" s="848">
        <v>2031</v>
      </c>
      <c r="AI78" s="975">
        <v>339</v>
      </c>
      <c r="AJ78" s="975">
        <v>145</v>
      </c>
      <c r="AK78" s="975">
        <v>0</v>
      </c>
      <c r="AL78" s="975">
        <v>112</v>
      </c>
      <c r="AM78" s="975">
        <v>0</v>
      </c>
      <c r="AN78" s="975">
        <v>596</v>
      </c>
      <c r="AO78" s="849"/>
      <c r="AP78" s="975">
        <v>20</v>
      </c>
      <c r="AQ78" s="975">
        <v>5</v>
      </c>
      <c r="AR78" s="975">
        <v>0</v>
      </c>
      <c r="AS78" s="975">
        <v>6</v>
      </c>
      <c r="AT78" s="975">
        <v>0</v>
      </c>
      <c r="AU78" s="975">
        <v>51</v>
      </c>
      <c r="AV78" s="975">
        <v>34</v>
      </c>
      <c r="AW78" s="975">
        <v>0</v>
      </c>
      <c r="AX78" s="975">
        <v>13</v>
      </c>
      <c r="AY78" s="975">
        <v>0</v>
      </c>
      <c r="AZ78" s="850">
        <v>129</v>
      </c>
      <c r="BA78" s="850"/>
      <c r="BB78" s="975">
        <v>127</v>
      </c>
      <c r="BC78" s="975">
        <v>30</v>
      </c>
      <c r="BD78" s="975">
        <v>0</v>
      </c>
      <c r="BE78" s="975">
        <v>0</v>
      </c>
      <c r="BF78" s="975">
        <v>0</v>
      </c>
      <c r="BG78" s="975">
        <v>0</v>
      </c>
      <c r="BH78" s="975">
        <v>0</v>
      </c>
      <c r="BI78" s="975">
        <v>0</v>
      </c>
      <c r="BJ78" s="975">
        <v>0</v>
      </c>
      <c r="BK78" s="975">
        <v>0</v>
      </c>
      <c r="BL78" s="975">
        <v>0</v>
      </c>
      <c r="BM78" s="850">
        <v>157</v>
      </c>
      <c r="BN78" s="850"/>
      <c r="BO78" s="850">
        <v>882</v>
      </c>
      <c r="BP78" s="975"/>
      <c r="BQ78" s="975">
        <v>6</v>
      </c>
      <c r="BR78" s="975">
        <v>0</v>
      </c>
      <c r="BS78" s="975">
        <v>83</v>
      </c>
      <c r="BT78" s="975">
        <v>0</v>
      </c>
      <c r="BU78" s="975">
        <v>0</v>
      </c>
      <c r="BV78" s="975">
        <v>0</v>
      </c>
      <c r="BW78" s="975">
        <v>83</v>
      </c>
      <c r="BX78" s="212">
        <v>0</v>
      </c>
      <c r="BY78" s="975">
        <v>0</v>
      </c>
      <c r="BZ78" s="975">
        <v>0</v>
      </c>
      <c r="CA78" s="975">
        <v>0</v>
      </c>
      <c r="CB78" s="975">
        <v>0</v>
      </c>
      <c r="CC78" s="975">
        <v>0</v>
      </c>
      <c r="CD78" s="975">
        <v>0</v>
      </c>
      <c r="CE78" s="212">
        <v>0</v>
      </c>
      <c r="CF78" s="975">
        <v>0</v>
      </c>
      <c r="CG78" s="975">
        <v>0</v>
      </c>
      <c r="CH78" s="975">
        <v>0</v>
      </c>
      <c r="CI78" s="975">
        <v>0</v>
      </c>
      <c r="CJ78" s="975">
        <v>0</v>
      </c>
      <c r="CK78" s="975">
        <v>15</v>
      </c>
      <c r="CL78" s="975">
        <v>0</v>
      </c>
      <c r="CM78" s="975">
        <v>0</v>
      </c>
      <c r="CN78" s="975">
        <v>15</v>
      </c>
      <c r="CO78" s="975">
        <v>0</v>
      </c>
      <c r="CP78" s="975">
        <v>0</v>
      </c>
      <c r="CQ78" s="215">
        <v>0</v>
      </c>
      <c r="CR78" s="212">
        <v>0</v>
      </c>
      <c r="CS78" s="212">
        <v>0</v>
      </c>
      <c r="CT78" s="212">
        <v>104</v>
      </c>
    </row>
    <row r="79" spans="3:98" ht="16.8">
      <c r="C79" s="8" t="s">
        <v>27</v>
      </c>
      <c r="E79" s="1460"/>
      <c r="F79" s="1684" t="s">
        <v>1355</v>
      </c>
      <c r="G79" s="1685"/>
      <c r="H79" s="1686"/>
      <c r="I79" s="1687"/>
      <c r="J79" s="1688"/>
      <c r="L79" s="460"/>
      <c r="M79" s="1693">
        <v>82</v>
      </c>
      <c r="N79" s="1693">
        <v>0</v>
      </c>
      <c r="O79" s="1693">
        <v>14.859500000000001</v>
      </c>
      <c r="P79" s="1693">
        <v>44.393000000000001</v>
      </c>
      <c r="Q79" s="1693">
        <v>29.291</v>
      </c>
      <c r="R79" s="1693"/>
      <c r="S79" s="1693"/>
      <c r="T79" s="1693"/>
      <c r="U79" s="1693"/>
      <c r="V79" s="1693"/>
      <c r="W79" s="1693"/>
      <c r="X79" s="1693"/>
      <c r="Y79" s="1693"/>
      <c r="Z79" s="1693"/>
      <c r="AA79" s="1693"/>
      <c r="AB79" s="1694"/>
      <c r="AC79" s="1694"/>
      <c r="AE79" s="222">
        <v>15</v>
      </c>
      <c r="AF79" s="847">
        <v>76</v>
      </c>
      <c r="AG79" s="847">
        <v>75</v>
      </c>
      <c r="AH79" s="848">
        <v>2032</v>
      </c>
      <c r="AI79" s="975">
        <v>405</v>
      </c>
      <c r="AJ79" s="975">
        <v>61</v>
      </c>
      <c r="AK79" s="975">
        <v>0</v>
      </c>
      <c r="AL79" s="975">
        <v>103</v>
      </c>
      <c r="AM79" s="975">
        <v>0</v>
      </c>
      <c r="AN79" s="975">
        <v>569</v>
      </c>
      <c r="AO79" s="849"/>
      <c r="AP79" s="975">
        <v>23</v>
      </c>
      <c r="AQ79" s="975">
        <v>0</v>
      </c>
      <c r="AR79" s="975">
        <v>0</v>
      </c>
      <c r="AS79" s="975">
        <v>5</v>
      </c>
      <c r="AT79" s="975">
        <v>0</v>
      </c>
      <c r="AU79" s="975">
        <v>52</v>
      </c>
      <c r="AV79" s="975">
        <v>35</v>
      </c>
      <c r="AW79" s="975">
        <v>0</v>
      </c>
      <c r="AX79" s="975">
        <v>13</v>
      </c>
      <c r="AY79" s="975">
        <v>0</v>
      </c>
      <c r="AZ79" s="850">
        <v>128</v>
      </c>
      <c r="BA79" s="850"/>
      <c r="BB79" s="975">
        <v>132</v>
      </c>
      <c r="BC79" s="975">
        <v>23</v>
      </c>
      <c r="BD79" s="975">
        <v>0</v>
      </c>
      <c r="BE79" s="975">
        <v>0</v>
      </c>
      <c r="BF79" s="975">
        <v>0</v>
      </c>
      <c r="BG79" s="975">
        <v>0</v>
      </c>
      <c r="BH79" s="975">
        <v>0</v>
      </c>
      <c r="BI79" s="975">
        <v>0</v>
      </c>
      <c r="BJ79" s="975">
        <v>0</v>
      </c>
      <c r="BK79" s="975">
        <v>0</v>
      </c>
      <c r="BL79" s="975">
        <v>0</v>
      </c>
      <c r="BM79" s="850">
        <v>155</v>
      </c>
      <c r="BN79" s="850"/>
      <c r="BO79" s="850">
        <v>852</v>
      </c>
      <c r="BP79" s="975"/>
      <c r="BQ79" s="975">
        <v>3</v>
      </c>
      <c r="BR79" s="975">
        <v>0</v>
      </c>
      <c r="BS79" s="975">
        <v>58</v>
      </c>
      <c r="BT79" s="975">
        <v>0</v>
      </c>
      <c r="BU79" s="975">
        <v>0</v>
      </c>
      <c r="BV79" s="975">
        <v>0</v>
      </c>
      <c r="BW79" s="975">
        <v>58</v>
      </c>
      <c r="BX79" s="212">
        <v>0</v>
      </c>
      <c r="BY79" s="975">
        <v>0</v>
      </c>
      <c r="BZ79" s="975">
        <v>0</v>
      </c>
      <c r="CA79" s="975">
        <v>0</v>
      </c>
      <c r="CB79" s="975">
        <v>0</v>
      </c>
      <c r="CC79" s="975">
        <v>0</v>
      </c>
      <c r="CD79" s="975">
        <v>0</v>
      </c>
      <c r="CE79" s="212">
        <v>0</v>
      </c>
      <c r="CF79" s="975">
        <v>0</v>
      </c>
      <c r="CG79" s="975">
        <v>0</v>
      </c>
      <c r="CH79" s="975">
        <v>0</v>
      </c>
      <c r="CI79" s="975">
        <v>0</v>
      </c>
      <c r="CJ79" s="975">
        <v>0</v>
      </c>
      <c r="CK79" s="975">
        <v>15</v>
      </c>
      <c r="CL79" s="975">
        <v>0</v>
      </c>
      <c r="CM79" s="975">
        <v>0</v>
      </c>
      <c r="CN79" s="975">
        <v>15</v>
      </c>
      <c r="CO79" s="975">
        <v>0</v>
      </c>
      <c r="CP79" s="975">
        <v>0</v>
      </c>
      <c r="CQ79" s="215">
        <v>0</v>
      </c>
      <c r="CR79" s="212">
        <v>0</v>
      </c>
      <c r="CS79" s="212">
        <v>0</v>
      </c>
      <c r="CT79" s="212">
        <v>76</v>
      </c>
    </row>
    <row r="80" spans="3:98" ht="16.8">
      <c r="C80" s="8" t="s">
        <v>27</v>
      </c>
      <c r="E80" s="1460"/>
      <c r="F80" s="1684" t="s">
        <v>2069</v>
      </c>
      <c r="G80" s="1685"/>
      <c r="H80" s="1686"/>
      <c r="I80" s="1687"/>
      <c r="J80" s="1688"/>
      <c r="L80" s="460"/>
      <c r="M80" s="1693">
        <v>83</v>
      </c>
      <c r="N80" s="1693">
        <v>0</v>
      </c>
      <c r="O80" s="1693">
        <v>15.156700000000001</v>
      </c>
      <c r="P80" s="1693">
        <v>45.280900000000003</v>
      </c>
      <c r="Q80" s="1693">
        <v>29.876799999999999</v>
      </c>
      <c r="R80" s="1693"/>
      <c r="S80" s="1693"/>
      <c r="T80" s="1693"/>
      <c r="U80" s="1693"/>
      <c r="V80" s="1693"/>
      <c r="W80" s="1693"/>
      <c r="X80" s="1693"/>
      <c r="Y80" s="1693"/>
      <c r="Z80" s="1693"/>
      <c r="AA80" s="1693"/>
      <c r="AB80" s="1694"/>
      <c r="AC80" s="1694"/>
      <c r="AE80" s="222">
        <v>16</v>
      </c>
      <c r="AF80" s="847">
        <v>77</v>
      </c>
      <c r="AG80" s="847">
        <v>76</v>
      </c>
      <c r="AH80" s="848">
        <v>2033</v>
      </c>
      <c r="AI80" s="975">
        <v>449</v>
      </c>
      <c r="AJ80" s="975">
        <v>0</v>
      </c>
      <c r="AK80" s="975">
        <v>0</v>
      </c>
      <c r="AL80" s="975">
        <v>93</v>
      </c>
      <c r="AM80" s="975">
        <v>0</v>
      </c>
      <c r="AN80" s="975">
        <v>542</v>
      </c>
      <c r="AO80" s="849"/>
      <c r="AP80" s="975">
        <v>24</v>
      </c>
      <c r="AQ80" s="975">
        <v>0</v>
      </c>
      <c r="AR80" s="975">
        <v>0</v>
      </c>
      <c r="AS80" s="975">
        <v>5</v>
      </c>
      <c r="AT80" s="975">
        <v>0</v>
      </c>
      <c r="AU80" s="975">
        <v>53</v>
      </c>
      <c r="AV80" s="975">
        <v>36</v>
      </c>
      <c r="AW80" s="975">
        <v>0</v>
      </c>
      <c r="AX80" s="975">
        <v>13</v>
      </c>
      <c r="AY80" s="975">
        <v>0</v>
      </c>
      <c r="AZ80" s="850">
        <v>131</v>
      </c>
      <c r="BA80" s="850"/>
      <c r="BB80" s="975">
        <v>137</v>
      </c>
      <c r="BC80" s="975">
        <v>2</v>
      </c>
      <c r="BD80" s="975">
        <v>0</v>
      </c>
      <c r="BE80" s="975">
        <v>0</v>
      </c>
      <c r="BF80" s="975">
        <v>0</v>
      </c>
      <c r="BG80" s="975">
        <v>0</v>
      </c>
      <c r="BH80" s="975">
        <v>0</v>
      </c>
      <c r="BI80" s="975">
        <v>0</v>
      </c>
      <c r="BJ80" s="975">
        <v>0</v>
      </c>
      <c r="BK80" s="975">
        <v>0</v>
      </c>
      <c r="BL80" s="975">
        <v>0</v>
      </c>
      <c r="BM80" s="850">
        <v>139</v>
      </c>
      <c r="BN80" s="850"/>
      <c r="BO80" s="850">
        <v>812</v>
      </c>
      <c r="BP80" s="975"/>
      <c r="BQ80" s="975">
        <v>0</v>
      </c>
      <c r="BR80" s="975">
        <v>0</v>
      </c>
      <c r="BS80" s="975">
        <v>0</v>
      </c>
      <c r="BT80" s="975">
        <v>0</v>
      </c>
      <c r="BU80" s="975">
        <v>0</v>
      </c>
      <c r="BV80" s="975">
        <v>0</v>
      </c>
      <c r="BW80" s="975">
        <v>0</v>
      </c>
      <c r="BX80" s="212">
        <v>0</v>
      </c>
      <c r="BY80" s="975">
        <v>0</v>
      </c>
      <c r="BZ80" s="975">
        <v>0</v>
      </c>
      <c r="CA80" s="975">
        <v>0</v>
      </c>
      <c r="CB80" s="975">
        <v>0</v>
      </c>
      <c r="CC80" s="975">
        <v>0</v>
      </c>
      <c r="CD80" s="975">
        <v>0</v>
      </c>
      <c r="CE80" s="212">
        <v>0</v>
      </c>
      <c r="CF80" s="975">
        <v>0</v>
      </c>
      <c r="CG80" s="975">
        <v>0</v>
      </c>
      <c r="CH80" s="975">
        <v>0</v>
      </c>
      <c r="CI80" s="975">
        <v>0</v>
      </c>
      <c r="CJ80" s="975">
        <v>0</v>
      </c>
      <c r="CK80" s="975">
        <v>15</v>
      </c>
      <c r="CL80" s="975">
        <v>0</v>
      </c>
      <c r="CM80" s="975">
        <v>0</v>
      </c>
      <c r="CN80" s="975">
        <v>15</v>
      </c>
      <c r="CO80" s="975">
        <v>0</v>
      </c>
      <c r="CP80" s="975">
        <v>0</v>
      </c>
      <c r="CQ80" s="215">
        <v>0</v>
      </c>
      <c r="CR80" s="212">
        <v>0</v>
      </c>
      <c r="CS80" s="212">
        <v>0</v>
      </c>
      <c r="CT80" s="212">
        <v>15</v>
      </c>
    </row>
    <row r="81" spans="3:98" ht="16.8">
      <c r="C81" s="8" t="s">
        <v>27</v>
      </c>
      <c r="E81" s="1460"/>
      <c r="F81" s="1684" t="s">
        <v>1503</v>
      </c>
      <c r="G81" s="1685"/>
      <c r="H81" s="1686"/>
      <c r="I81" s="1687"/>
      <c r="J81" s="1688"/>
      <c r="L81" s="460"/>
      <c r="M81" s="1693">
        <v>84</v>
      </c>
      <c r="N81" s="1693">
        <v>0</v>
      </c>
      <c r="O81" s="1693">
        <v>15.4598</v>
      </c>
      <c r="P81" s="1693">
        <v>46.186500000000002</v>
      </c>
      <c r="Q81" s="1693">
        <v>30.474399999999999</v>
      </c>
      <c r="R81" s="1693"/>
      <c r="S81" s="1693"/>
      <c r="T81" s="1693"/>
      <c r="U81" s="1693"/>
      <c r="V81" s="1693"/>
      <c r="W81" s="1693"/>
      <c r="X81" s="1693"/>
      <c r="Y81" s="1693"/>
      <c r="Z81" s="1693"/>
      <c r="AA81" s="1693"/>
      <c r="AB81" s="1694"/>
      <c r="AC81" s="1694"/>
      <c r="AE81" s="222">
        <v>17</v>
      </c>
      <c r="AF81" s="847">
        <v>78</v>
      </c>
      <c r="AG81" s="847">
        <v>77</v>
      </c>
      <c r="AH81" s="848">
        <v>2034</v>
      </c>
      <c r="AI81" s="975">
        <v>451</v>
      </c>
      <c r="AJ81" s="975">
        <v>0</v>
      </c>
      <c r="AK81" s="975">
        <v>0</v>
      </c>
      <c r="AL81" s="975">
        <v>83</v>
      </c>
      <c r="AM81" s="975">
        <v>0</v>
      </c>
      <c r="AN81" s="975">
        <v>534</v>
      </c>
      <c r="AO81" s="849"/>
      <c r="AP81" s="975">
        <v>24</v>
      </c>
      <c r="AQ81" s="975">
        <v>0</v>
      </c>
      <c r="AR81" s="975">
        <v>0</v>
      </c>
      <c r="AS81" s="975">
        <v>4</v>
      </c>
      <c r="AT81" s="975">
        <v>0</v>
      </c>
      <c r="AU81" s="975">
        <v>54</v>
      </c>
      <c r="AV81" s="975">
        <v>36</v>
      </c>
      <c r="AW81" s="975">
        <v>0</v>
      </c>
      <c r="AX81" s="975">
        <v>14</v>
      </c>
      <c r="AY81" s="975">
        <v>0</v>
      </c>
      <c r="AZ81" s="850">
        <v>132</v>
      </c>
      <c r="BA81" s="850"/>
      <c r="BB81" s="975">
        <v>143</v>
      </c>
      <c r="BC81" s="975">
        <v>2</v>
      </c>
      <c r="BD81" s="975">
        <v>0</v>
      </c>
      <c r="BE81" s="975">
        <v>0</v>
      </c>
      <c r="BF81" s="975">
        <v>0</v>
      </c>
      <c r="BG81" s="975">
        <v>0</v>
      </c>
      <c r="BH81" s="975">
        <v>0</v>
      </c>
      <c r="BI81" s="975">
        <v>0</v>
      </c>
      <c r="BJ81" s="975">
        <v>0</v>
      </c>
      <c r="BK81" s="975">
        <v>0</v>
      </c>
      <c r="BL81" s="975">
        <v>0</v>
      </c>
      <c r="BM81" s="850">
        <v>145</v>
      </c>
      <c r="BN81" s="850"/>
      <c r="BO81" s="850">
        <v>811</v>
      </c>
      <c r="BP81" s="975"/>
      <c r="BQ81" s="975">
        <v>0</v>
      </c>
      <c r="BR81" s="975">
        <v>0</v>
      </c>
      <c r="BS81" s="975">
        <v>0</v>
      </c>
      <c r="BT81" s="975">
        <v>0</v>
      </c>
      <c r="BU81" s="975">
        <v>0</v>
      </c>
      <c r="BV81" s="975">
        <v>0</v>
      </c>
      <c r="BW81" s="975">
        <v>0</v>
      </c>
      <c r="BX81" s="212">
        <v>0</v>
      </c>
      <c r="BY81" s="975">
        <v>0</v>
      </c>
      <c r="BZ81" s="975">
        <v>0</v>
      </c>
      <c r="CA81" s="975">
        <v>0</v>
      </c>
      <c r="CB81" s="975">
        <v>0</v>
      </c>
      <c r="CC81" s="975">
        <v>0</v>
      </c>
      <c r="CD81" s="975">
        <v>0</v>
      </c>
      <c r="CE81" s="212">
        <v>0</v>
      </c>
      <c r="CF81" s="975">
        <v>0</v>
      </c>
      <c r="CG81" s="975">
        <v>0</v>
      </c>
      <c r="CH81" s="975">
        <v>0</v>
      </c>
      <c r="CI81" s="975">
        <v>0</v>
      </c>
      <c r="CJ81" s="975">
        <v>0</v>
      </c>
      <c r="CK81" s="975">
        <v>15</v>
      </c>
      <c r="CL81" s="975">
        <v>0</v>
      </c>
      <c r="CM81" s="975">
        <v>0</v>
      </c>
      <c r="CN81" s="975">
        <v>15</v>
      </c>
      <c r="CO81" s="975">
        <v>0</v>
      </c>
      <c r="CP81" s="975">
        <v>0</v>
      </c>
      <c r="CQ81" s="215">
        <v>0</v>
      </c>
      <c r="CR81" s="212">
        <v>0</v>
      </c>
      <c r="CS81" s="212">
        <v>0</v>
      </c>
      <c r="CT81" s="212">
        <v>15</v>
      </c>
    </row>
    <row r="82" spans="3:98" ht="16.8">
      <c r="C82" s="8" t="s">
        <v>27</v>
      </c>
      <c r="E82" s="1460"/>
      <c r="F82" s="1684" t="s">
        <v>1375</v>
      </c>
      <c r="G82" s="1685"/>
      <c r="H82" s="1686"/>
      <c r="I82" s="1687"/>
      <c r="J82" s="1688"/>
      <c r="L82" s="460"/>
      <c r="M82" s="1693">
        <v>85</v>
      </c>
      <c r="N82" s="1693">
        <v>0</v>
      </c>
      <c r="O82" s="1693">
        <v>15.769</v>
      </c>
      <c r="P82" s="1693">
        <v>47.110199999999999</v>
      </c>
      <c r="Q82" s="1693">
        <v>31.0838</v>
      </c>
      <c r="R82" s="1693"/>
      <c r="S82" s="1693"/>
      <c r="T82" s="1693"/>
      <c r="U82" s="1693"/>
      <c r="V82" s="1693"/>
      <c r="W82" s="1693"/>
      <c r="X82" s="1693"/>
      <c r="Y82" s="1693"/>
      <c r="Z82" s="1693"/>
      <c r="AA82" s="1693"/>
      <c r="AB82" s="1694"/>
      <c r="AC82" s="1694"/>
      <c r="AE82" s="222">
        <v>18</v>
      </c>
      <c r="AF82" s="847">
        <v>79</v>
      </c>
      <c r="AG82" s="847">
        <v>78</v>
      </c>
      <c r="AH82" s="848">
        <v>2035</v>
      </c>
      <c r="AI82" s="975">
        <v>449</v>
      </c>
      <c r="AJ82" s="975">
        <v>0</v>
      </c>
      <c r="AK82" s="975">
        <v>0</v>
      </c>
      <c r="AL82" s="975">
        <v>72</v>
      </c>
      <c r="AM82" s="975">
        <v>0</v>
      </c>
      <c r="AN82" s="975">
        <v>521</v>
      </c>
      <c r="AO82" s="849"/>
      <c r="AP82" s="975">
        <v>24</v>
      </c>
      <c r="AQ82" s="975">
        <v>0</v>
      </c>
      <c r="AR82" s="975">
        <v>0</v>
      </c>
      <c r="AS82" s="975">
        <v>4</v>
      </c>
      <c r="AT82" s="975">
        <v>0</v>
      </c>
      <c r="AU82" s="975">
        <v>55</v>
      </c>
      <c r="AV82" s="975">
        <v>37</v>
      </c>
      <c r="AW82" s="975">
        <v>0</v>
      </c>
      <c r="AX82" s="975">
        <v>14</v>
      </c>
      <c r="AY82" s="975">
        <v>0</v>
      </c>
      <c r="AZ82" s="850">
        <v>134</v>
      </c>
      <c r="BA82" s="850"/>
      <c r="BB82" s="975">
        <v>148</v>
      </c>
      <c r="BC82" s="975">
        <v>2</v>
      </c>
      <c r="BD82" s="975">
        <v>0</v>
      </c>
      <c r="BE82" s="975">
        <v>0</v>
      </c>
      <c r="BF82" s="975">
        <v>0</v>
      </c>
      <c r="BG82" s="975">
        <v>0</v>
      </c>
      <c r="BH82" s="975">
        <v>0</v>
      </c>
      <c r="BI82" s="975">
        <v>0</v>
      </c>
      <c r="BJ82" s="975">
        <v>0</v>
      </c>
      <c r="BK82" s="975">
        <v>0</v>
      </c>
      <c r="BL82" s="975">
        <v>0</v>
      </c>
      <c r="BM82" s="850">
        <v>150</v>
      </c>
      <c r="BN82" s="850"/>
      <c r="BO82" s="850">
        <v>805</v>
      </c>
      <c r="BP82" s="975"/>
      <c r="BQ82" s="975">
        <v>0</v>
      </c>
      <c r="BR82" s="975">
        <v>0</v>
      </c>
      <c r="BS82" s="975">
        <v>0</v>
      </c>
      <c r="BT82" s="975">
        <v>0</v>
      </c>
      <c r="BU82" s="975">
        <v>0</v>
      </c>
      <c r="BV82" s="975">
        <v>0</v>
      </c>
      <c r="BW82" s="975">
        <v>0</v>
      </c>
      <c r="BX82" s="212">
        <v>0</v>
      </c>
      <c r="BY82" s="975">
        <v>0</v>
      </c>
      <c r="BZ82" s="975">
        <v>0</v>
      </c>
      <c r="CA82" s="975">
        <v>0</v>
      </c>
      <c r="CB82" s="975">
        <v>0</v>
      </c>
      <c r="CC82" s="975">
        <v>0</v>
      </c>
      <c r="CD82" s="975">
        <v>0</v>
      </c>
      <c r="CE82" s="212">
        <v>0</v>
      </c>
      <c r="CF82" s="975">
        <v>0</v>
      </c>
      <c r="CG82" s="975">
        <v>0</v>
      </c>
      <c r="CH82" s="975">
        <v>0</v>
      </c>
      <c r="CI82" s="975">
        <v>0</v>
      </c>
      <c r="CJ82" s="975">
        <v>0</v>
      </c>
      <c r="CK82" s="975">
        <v>15</v>
      </c>
      <c r="CL82" s="975">
        <v>0</v>
      </c>
      <c r="CM82" s="975">
        <v>0</v>
      </c>
      <c r="CN82" s="975">
        <v>15</v>
      </c>
      <c r="CO82" s="975">
        <v>0</v>
      </c>
      <c r="CP82" s="975">
        <v>0</v>
      </c>
      <c r="CQ82" s="215">
        <v>0</v>
      </c>
      <c r="CR82" s="212">
        <v>0</v>
      </c>
      <c r="CS82" s="212">
        <v>0</v>
      </c>
      <c r="CT82" s="212">
        <v>15</v>
      </c>
    </row>
    <row r="83" spans="3:98" ht="16.8">
      <c r="C83" s="1681" t="s">
        <v>1547</v>
      </c>
      <c r="D83" s="354">
        <f>+Your_Age</f>
        <v>62</v>
      </c>
      <c r="E83" s="1460">
        <v>62</v>
      </c>
      <c r="F83" s="1684" t="s">
        <v>1188</v>
      </c>
      <c r="G83" s="1685"/>
      <c r="H83" s="1689"/>
      <c r="I83" s="1687"/>
      <c r="J83" s="1688"/>
      <c r="L83" s="460"/>
      <c r="M83" s="1693">
        <v>86</v>
      </c>
      <c r="N83" s="1693">
        <v>0</v>
      </c>
      <c r="O83" s="1693">
        <v>16.084399999999999</v>
      </c>
      <c r="P83" s="1693">
        <v>48.052399999999999</v>
      </c>
      <c r="Q83" s="1693">
        <v>31.705500000000001</v>
      </c>
      <c r="R83" s="1693"/>
      <c r="S83" s="1693"/>
      <c r="T83" s="1693"/>
      <c r="U83" s="1693"/>
      <c r="V83" s="1693"/>
      <c r="W83" s="1693"/>
      <c r="X83" s="1693"/>
      <c r="Y83" s="1693"/>
      <c r="Z83" s="1693"/>
      <c r="AA83" s="1693"/>
      <c r="AB83" s="1694"/>
      <c r="AC83" s="1694"/>
      <c r="AE83" s="222">
        <v>19</v>
      </c>
      <c r="AF83" s="847">
        <v>80</v>
      </c>
      <c r="AG83" s="847">
        <v>79</v>
      </c>
      <c r="AH83" s="848">
        <v>2036</v>
      </c>
      <c r="AI83" s="975">
        <v>443</v>
      </c>
      <c r="AJ83" s="975">
        <v>0</v>
      </c>
      <c r="AK83" s="975">
        <v>0</v>
      </c>
      <c r="AL83" s="975">
        <v>60</v>
      </c>
      <c r="AM83" s="975">
        <v>0</v>
      </c>
      <c r="AN83" s="975">
        <v>503</v>
      </c>
      <c r="AO83" s="849"/>
      <c r="AP83" s="975">
        <v>23</v>
      </c>
      <c r="AQ83" s="975">
        <v>0</v>
      </c>
      <c r="AR83" s="975">
        <v>0</v>
      </c>
      <c r="AS83" s="975">
        <v>3</v>
      </c>
      <c r="AT83" s="975">
        <v>0</v>
      </c>
      <c r="AU83" s="975">
        <v>57</v>
      </c>
      <c r="AV83" s="975">
        <v>38</v>
      </c>
      <c r="AW83" s="975">
        <v>0</v>
      </c>
      <c r="AX83" s="975">
        <v>14</v>
      </c>
      <c r="AY83" s="975">
        <v>0</v>
      </c>
      <c r="AZ83" s="850">
        <v>135</v>
      </c>
      <c r="BA83" s="850"/>
      <c r="BB83" s="975">
        <v>154</v>
      </c>
      <c r="BC83" s="975">
        <v>2</v>
      </c>
      <c r="BD83" s="975">
        <v>0</v>
      </c>
      <c r="BE83" s="975">
        <v>0</v>
      </c>
      <c r="BF83" s="975">
        <v>0</v>
      </c>
      <c r="BG83" s="975">
        <v>0</v>
      </c>
      <c r="BH83" s="975">
        <v>0</v>
      </c>
      <c r="BI83" s="975">
        <v>0</v>
      </c>
      <c r="BJ83" s="975">
        <v>0</v>
      </c>
      <c r="BK83" s="975">
        <v>0</v>
      </c>
      <c r="BL83" s="975">
        <v>0</v>
      </c>
      <c r="BM83" s="850">
        <v>156</v>
      </c>
      <c r="BN83" s="850"/>
      <c r="BO83" s="850">
        <v>794</v>
      </c>
      <c r="BP83" s="975"/>
      <c r="BQ83" s="975">
        <v>0</v>
      </c>
      <c r="BR83" s="975">
        <v>0</v>
      </c>
      <c r="BS83" s="975">
        <v>0</v>
      </c>
      <c r="BT83" s="975">
        <v>0</v>
      </c>
      <c r="BU83" s="975">
        <v>0</v>
      </c>
      <c r="BV83" s="975">
        <v>0</v>
      </c>
      <c r="BW83" s="975">
        <v>0</v>
      </c>
      <c r="BX83" s="212">
        <v>0</v>
      </c>
      <c r="BY83" s="975">
        <v>0</v>
      </c>
      <c r="BZ83" s="975">
        <v>0</v>
      </c>
      <c r="CA83" s="975">
        <v>0</v>
      </c>
      <c r="CB83" s="975">
        <v>0</v>
      </c>
      <c r="CC83" s="975">
        <v>0</v>
      </c>
      <c r="CD83" s="975">
        <v>0</v>
      </c>
      <c r="CE83" s="212">
        <v>0</v>
      </c>
      <c r="CF83" s="975">
        <v>0</v>
      </c>
      <c r="CG83" s="975">
        <v>0</v>
      </c>
      <c r="CH83" s="975">
        <v>0</v>
      </c>
      <c r="CI83" s="975">
        <v>0</v>
      </c>
      <c r="CJ83" s="975">
        <v>0</v>
      </c>
      <c r="CK83" s="975">
        <v>15</v>
      </c>
      <c r="CL83" s="975">
        <v>0</v>
      </c>
      <c r="CM83" s="975">
        <v>0</v>
      </c>
      <c r="CN83" s="975">
        <v>15</v>
      </c>
      <c r="CO83" s="975">
        <v>0</v>
      </c>
      <c r="CP83" s="975">
        <v>0</v>
      </c>
      <c r="CQ83" s="215">
        <v>0</v>
      </c>
      <c r="CR83" s="212">
        <v>0</v>
      </c>
      <c r="CS83" s="212">
        <v>0</v>
      </c>
      <c r="CT83" s="212">
        <v>15</v>
      </c>
    </row>
    <row r="84" spans="3:98" ht="16.8">
      <c r="C84" s="1681" t="s">
        <v>1548</v>
      </c>
      <c r="D84" s="354">
        <f>+Spouse_Age</f>
        <v>61</v>
      </c>
      <c r="E84" s="1460">
        <v>61</v>
      </c>
      <c r="F84" s="1684" t="s">
        <v>53</v>
      </c>
      <c r="G84" s="1690"/>
      <c r="H84" s="1690"/>
      <c r="I84" s="1687"/>
      <c r="J84" s="1687"/>
      <c r="K84" s="3"/>
      <c r="L84" s="460"/>
      <c r="M84" s="1693">
        <v>87</v>
      </c>
      <c r="N84" s="1693">
        <v>0</v>
      </c>
      <c r="O84" s="1693">
        <v>16.406099999999999</v>
      </c>
      <c r="P84" s="1693">
        <v>49.013500000000001</v>
      </c>
      <c r="Q84" s="1693">
        <v>32.339599999999997</v>
      </c>
      <c r="R84" s="1693"/>
      <c r="S84" s="1693"/>
      <c r="T84" s="1693"/>
      <c r="U84" s="1693"/>
      <c r="V84" s="1693"/>
      <c r="W84" s="1693"/>
      <c r="X84" s="1693"/>
      <c r="Y84" s="1693"/>
      <c r="Z84" s="1693"/>
      <c r="AA84" s="1693"/>
      <c r="AB84" s="1694"/>
      <c r="AC84" s="1694"/>
      <c r="AE84" s="222">
        <v>20</v>
      </c>
      <c r="AF84" s="847">
        <v>81</v>
      </c>
      <c r="AG84" s="847">
        <v>80</v>
      </c>
      <c r="AH84" s="848">
        <v>2037</v>
      </c>
      <c r="AI84" s="975">
        <v>433</v>
      </c>
      <c r="AJ84" s="975">
        <v>0</v>
      </c>
      <c r="AK84" s="975">
        <v>0</v>
      </c>
      <c r="AL84" s="975">
        <v>48</v>
      </c>
      <c r="AM84" s="975">
        <v>0</v>
      </c>
      <c r="AN84" s="975">
        <v>481</v>
      </c>
      <c r="AO84" s="849"/>
      <c r="AP84" s="975">
        <v>22</v>
      </c>
      <c r="AQ84" s="975">
        <v>0</v>
      </c>
      <c r="AR84" s="975">
        <v>0</v>
      </c>
      <c r="AS84" s="975">
        <v>2</v>
      </c>
      <c r="AT84" s="975">
        <v>0</v>
      </c>
      <c r="AU84" s="975">
        <v>58</v>
      </c>
      <c r="AV84" s="975">
        <v>39</v>
      </c>
      <c r="AW84" s="975">
        <v>0</v>
      </c>
      <c r="AX84" s="975">
        <v>14</v>
      </c>
      <c r="AY84" s="975">
        <v>0</v>
      </c>
      <c r="AZ84" s="850">
        <v>135</v>
      </c>
      <c r="BA84" s="850"/>
      <c r="BB84" s="975">
        <v>160</v>
      </c>
      <c r="BC84" s="975">
        <v>2</v>
      </c>
      <c r="BD84" s="975">
        <v>0</v>
      </c>
      <c r="BE84" s="975">
        <v>0</v>
      </c>
      <c r="BF84" s="975">
        <v>0</v>
      </c>
      <c r="BG84" s="975">
        <v>0</v>
      </c>
      <c r="BH84" s="975">
        <v>0</v>
      </c>
      <c r="BI84" s="975">
        <v>0</v>
      </c>
      <c r="BJ84" s="975">
        <v>0</v>
      </c>
      <c r="BK84" s="975">
        <v>0</v>
      </c>
      <c r="BL84" s="975">
        <v>0</v>
      </c>
      <c r="BM84" s="850">
        <v>162</v>
      </c>
      <c r="BN84" s="850"/>
      <c r="BO84" s="850">
        <v>778</v>
      </c>
      <c r="BP84" s="975"/>
      <c r="BQ84" s="975">
        <v>0</v>
      </c>
      <c r="BR84" s="975">
        <v>0</v>
      </c>
      <c r="BS84" s="975">
        <v>0</v>
      </c>
      <c r="BT84" s="975">
        <v>0</v>
      </c>
      <c r="BU84" s="975">
        <v>0</v>
      </c>
      <c r="BV84" s="975">
        <v>0</v>
      </c>
      <c r="BW84" s="975">
        <v>0</v>
      </c>
      <c r="BX84" s="212">
        <v>0</v>
      </c>
      <c r="BY84" s="975">
        <v>0</v>
      </c>
      <c r="BZ84" s="975">
        <v>0</v>
      </c>
      <c r="CA84" s="975">
        <v>0</v>
      </c>
      <c r="CB84" s="975">
        <v>0</v>
      </c>
      <c r="CC84" s="975">
        <v>0</v>
      </c>
      <c r="CD84" s="975">
        <v>0</v>
      </c>
      <c r="CE84" s="212">
        <v>0</v>
      </c>
      <c r="CF84" s="975">
        <v>0</v>
      </c>
      <c r="CG84" s="975">
        <v>0</v>
      </c>
      <c r="CH84" s="975">
        <v>0</v>
      </c>
      <c r="CI84" s="975">
        <v>0</v>
      </c>
      <c r="CJ84" s="975">
        <v>0</v>
      </c>
      <c r="CK84" s="975">
        <v>15</v>
      </c>
      <c r="CL84" s="975">
        <v>0</v>
      </c>
      <c r="CM84" s="975">
        <v>0</v>
      </c>
      <c r="CN84" s="975">
        <v>15</v>
      </c>
      <c r="CO84" s="975">
        <v>0</v>
      </c>
      <c r="CP84" s="975">
        <v>0</v>
      </c>
      <c r="CQ84" s="215">
        <v>0</v>
      </c>
      <c r="CR84" s="212">
        <v>0</v>
      </c>
      <c r="CS84" s="212">
        <v>0</v>
      </c>
      <c r="CT84" s="212">
        <v>15</v>
      </c>
    </row>
    <row r="85" spans="3:98" ht="16.8">
      <c r="C85" s="11" t="s">
        <v>872</v>
      </c>
      <c r="D85" s="354">
        <f>+Your_End_Input</f>
        <v>85</v>
      </c>
      <c r="E85" s="1460">
        <v>0</v>
      </c>
      <c r="F85" s="1684" t="s">
        <v>3</v>
      </c>
      <c r="G85" s="1690"/>
      <c r="H85" s="1690"/>
      <c r="I85" s="1687"/>
      <c r="J85" s="1687"/>
      <c r="L85" s="460"/>
      <c r="M85" s="1693">
        <v>88</v>
      </c>
      <c r="N85" s="1693">
        <v>0</v>
      </c>
      <c r="O85" s="1693">
        <v>16.734200000000001</v>
      </c>
      <c r="P85" s="1693">
        <v>49.9938</v>
      </c>
      <c r="Q85" s="1693">
        <v>32.986400000000003</v>
      </c>
      <c r="R85" s="1693"/>
      <c r="S85" s="1693"/>
      <c r="T85" s="1693"/>
      <c r="U85" s="1693"/>
      <c r="V85" s="1693"/>
      <c r="W85" s="1693"/>
      <c r="X85" s="1693"/>
      <c r="Y85" s="1693"/>
      <c r="Z85" s="1693"/>
      <c r="AA85" s="1693"/>
      <c r="AB85" s="1694"/>
      <c r="AC85" s="1694"/>
      <c r="AE85" s="222">
        <v>21</v>
      </c>
      <c r="AF85" s="847">
        <v>82</v>
      </c>
      <c r="AG85" s="847">
        <v>81</v>
      </c>
      <c r="AH85" s="848">
        <v>2038</v>
      </c>
      <c r="AI85" s="975">
        <v>418</v>
      </c>
      <c r="AJ85" s="975">
        <v>0</v>
      </c>
      <c r="AK85" s="975">
        <v>0</v>
      </c>
      <c r="AL85" s="975">
        <v>35</v>
      </c>
      <c r="AM85" s="975">
        <v>0</v>
      </c>
      <c r="AN85" s="975">
        <v>453</v>
      </c>
      <c r="AO85" s="849"/>
      <c r="AP85" s="975">
        <v>22</v>
      </c>
      <c r="AQ85" s="975">
        <v>0</v>
      </c>
      <c r="AR85" s="975">
        <v>0</v>
      </c>
      <c r="AS85" s="975">
        <v>2</v>
      </c>
      <c r="AT85" s="975">
        <v>0</v>
      </c>
      <c r="AU85" s="975">
        <v>59</v>
      </c>
      <c r="AV85" s="975">
        <v>39</v>
      </c>
      <c r="AW85" s="975">
        <v>0</v>
      </c>
      <c r="AX85" s="975">
        <v>15</v>
      </c>
      <c r="AY85" s="975">
        <v>0</v>
      </c>
      <c r="AZ85" s="850">
        <v>137</v>
      </c>
      <c r="BA85" s="850"/>
      <c r="BB85" s="975">
        <v>167</v>
      </c>
      <c r="BC85" s="975">
        <v>3</v>
      </c>
      <c r="BD85" s="975">
        <v>0</v>
      </c>
      <c r="BE85" s="975">
        <v>0</v>
      </c>
      <c r="BF85" s="975">
        <v>0</v>
      </c>
      <c r="BG85" s="975">
        <v>0</v>
      </c>
      <c r="BH85" s="975">
        <v>0</v>
      </c>
      <c r="BI85" s="975">
        <v>0</v>
      </c>
      <c r="BJ85" s="975">
        <v>0</v>
      </c>
      <c r="BK85" s="975">
        <v>0</v>
      </c>
      <c r="BL85" s="975">
        <v>0</v>
      </c>
      <c r="BM85" s="850">
        <v>170</v>
      </c>
      <c r="BN85" s="850"/>
      <c r="BO85" s="850">
        <v>760</v>
      </c>
      <c r="BP85" s="975"/>
      <c r="BQ85" s="975">
        <v>0</v>
      </c>
      <c r="BR85" s="975">
        <v>0</v>
      </c>
      <c r="BS85" s="975">
        <v>0</v>
      </c>
      <c r="BT85" s="975">
        <v>0</v>
      </c>
      <c r="BU85" s="975">
        <v>0</v>
      </c>
      <c r="BV85" s="975">
        <v>0</v>
      </c>
      <c r="BW85" s="975">
        <v>0</v>
      </c>
      <c r="BX85" s="212">
        <v>0</v>
      </c>
      <c r="BY85" s="975">
        <v>0</v>
      </c>
      <c r="BZ85" s="975">
        <v>0</v>
      </c>
      <c r="CA85" s="975">
        <v>0</v>
      </c>
      <c r="CB85" s="975">
        <v>0</v>
      </c>
      <c r="CC85" s="975">
        <v>0</v>
      </c>
      <c r="CD85" s="975">
        <v>0</v>
      </c>
      <c r="CE85" s="212">
        <v>0</v>
      </c>
      <c r="CF85" s="975">
        <v>0</v>
      </c>
      <c r="CG85" s="975">
        <v>0</v>
      </c>
      <c r="CH85" s="975">
        <v>0</v>
      </c>
      <c r="CI85" s="975">
        <v>0</v>
      </c>
      <c r="CJ85" s="975">
        <v>0</v>
      </c>
      <c r="CK85" s="975">
        <v>15</v>
      </c>
      <c r="CL85" s="975">
        <v>0</v>
      </c>
      <c r="CM85" s="975">
        <v>0</v>
      </c>
      <c r="CN85" s="975">
        <v>15</v>
      </c>
      <c r="CO85" s="975">
        <v>0</v>
      </c>
      <c r="CP85" s="975">
        <v>0</v>
      </c>
      <c r="CQ85" s="215">
        <v>0</v>
      </c>
      <c r="CR85" s="212">
        <v>0</v>
      </c>
      <c r="CS85" s="212">
        <v>0</v>
      </c>
      <c r="CT85" s="212">
        <v>15</v>
      </c>
    </row>
    <row r="86" spans="3:98" ht="16.8">
      <c r="C86" s="11" t="s">
        <v>873</v>
      </c>
      <c r="D86" s="354">
        <f>+Spouse_Age_End</f>
        <v>90</v>
      </c>
      <c r="E86" s="1460">
        <v>90</v>
      </c>
      <c r="F86" s="1684" t="s">
        <v>4</v>
      </c>
      <c r="G86" s="1690"/>
      <c r="H86" s="1690"/>
      <c r="I86" s="1687"/>
      <c r="J86" s="1687"/>
      <c r="L86" s="460"/>
      <c r="M86" s="1693">
        <v>89</v>
      </c>
      <c r="N86" s="1693">
        <v>0</v>
      </c>
      <c r="O86" s="1693">
        <v>17.068899999999999</v>
      </c>
      <c r="P86" s="1693">
        <v>50.993600000000001</v>
      </c>
      <c r="Q86" s="1693">
        <v>33.646099999999997</v>
      </c>
      <c r="R86" s="1693"/>
      <c r="S86" s="1693"/>
      <c r="T86" s="1693"/>
      <c r="U86" s="1693"/>
      <c r="V86" s="1693"/>
      <c r="W86" s="1693"/>
      <c r="X86" s="1693"/>
      <c r="Y86" s="1693"/>
      <c r="Z86" s="1693"/>
      <c r="AA86" s="1693"/>
      <c r="AB86" s="1694"/>
      <c r="AC86" s="1694"/>
      <c r="AE86" s="222">
        <v>22</v>
      </c>
      <c r="AF86" s="847">
        <v>83</v>
      </c>
      <c r="AG86" s="847">
        <v>82</v>
      </c>
      <c r="AH86" s="848">
        <v>2039</v>
      </c>
      <c r="AI86" s="975">
        <v>398</v>
      </c>
      <c r="AJ86" s="975">
        <v>0</v>
      </c>
      <c r="AK86" s="975">
        <v>0</v>
      </c>
      <c r="AL86" s="975">
        <v>22</v>
      </c>
      <c r="AM86" s="975">
        <v>0</v>
      </c>
      <c r="AN86" s="975">
        <v>420</v>
      </c>
      <c r="AO86" s="849"/>
      <c r="AP86" s="975">
        <v>20</v>
      </c>
      <c r="AQ86" s="975">
        <v>0</v>
      </c>
      <c r="AR86" s="975">
        <v>0</v>
      </c>
      <c r="AS86" s="975">
        <v>1</v>
      </c>
      <c r="AT86" s="975">
        <v>0</v>
      </c>
      <c r="AU86" s="975">
        <v>60</v>
      </c>
      <c r="AV86" s="975">
        <v>40</v>
      </c>
      <c r="AW86" s="975">
        <v>0</v>
      </c>
      <c r="AX86" s="975">
        <v>15</v>
      </c>
      <c r="AY86" s="975">
        <v>0</v>
      </c>
      <c r="AZ86" s="850">
        <v>136</v>
      </c>
      <c r="BA86" s="850"/>
      <c r="BB86" s="975">
        <v>173</v>
      </c>
      <c r="BC86" s="975">
        <v>3</v>
      </c>
      <c r="BD86" s="975">
        <v>0</v>
      </c>
      <c r="BE86" s="975">
        <v>0</v>
      </c>
      <c r="BF86" s="975">
        <v>0</v>
      </c>
      <c r="BG86" s="975">
        <v>0</v>
      </c>
      <c r="BH86" s="975">
        <v>0</v>
      </c>
      <c r="BI86" s="975">
        <v>0</v>
      </c>
      <c r="BJ86" s="975">
        <v>0</v>
      </c>
      <c r="BK86" s="975">
        <v>0</v>
      </c>
      <c r="BL86" s="975">
        <v>0</v>
      </c>
      <c r="BM86" s="850">
        <v>176</v>
      </c>
      <c r="BN86" s="850"/>
      <c r="BO86" s="850">
        <v>732</v>
      </c>
      <c r="BP86" s="975"/>
      <c r="BQ86" s="975">
        <v>0</v>
      </c>
      <c r="BR86" s="975">
        <v>0</v>
      </c>
      <c r="BS86" s="975">
        <v>0</v>
      </c>
      <c r="BT86" s="975">
        <v>0</v>
      </c>
      <c r="BU86" s="975">
        <v>0</v>
      </c>
      <c r="BV86" s="975">
        <v>0</v>
      </c>
      <c r="BW86" s="975">
        <v>0</v>
      </c>
      <c r="BX86" s="212">
        <v>0</v>
      </c>
      <c r="BY86" s="975">
        <v>0</v>
      </c>
      <c r="BZ86" s="975">
        <v>0</v>
      </c>
      <c r="CA86" s="975">
        <v>0</v>
      </c>
      <c r="CB86" s="975">
        <v>0</v>
      </c>
      <c r="CC86" s="975">
        <v>0</v>
      </c>
      <c r="CD86" s="975">
        <v>0</v>
      </c>
      <c r="CE86" s="212">
        <v>0</v>
      </c>
      <c r="CF86" s="975">
        <v>0</v>
      </c>
      <c r="CG86" s="975">
        <v>0</v>
      </c>
      <c r="CH86" s="975">
        <v>0</v>
      </c>
      <c r="CI86" s="975">
        <v>0</v>
      </c>
      <c r="CJ86" s="975">
        <v>0</v>
      </c>
      <c r="CK86" s="975">
        <v>15</v>
      </c>
      <c r="CL86" s="975">
        <v>0</v>
      </c>
      <c r="CM86" s="975">
        <v>0</v>
      </c>
      <c r="CN86" s="975">
        <v>15</v>
      </c>
      <c r="CO86" s="975">
        <v>0</v>
      </c>
      <c r="CP86" s="975">
        <v>0</v>
      </c>
      <c r="CQ86" s="215">
        <v>0</v>
      </c>
      <c r="CR86" s="212">
        <v>0</v>
      </c>
      <c r="CS86" s="212">
        <v>0</v>
      </c>
      <c r="CT86" s="212">
        <v>15</v>
      </c>
    </row>
    <row r="87" spans="3:98" ht="16.8">
      <c r="C87" s="8" t="s">
        <v>27</v>
      </c>
      <c r="E87" s="1460"/>
      <c r="F87" s="1684" t="s">
        <v>54</v>
      </c>
      <c r="G87" s="1690"/>
      <c r="H87" s="1690"/>
      <c r="I87" s="1687"/>
      <c r="J87" s="1687"/>
      <c r="L87" s="460"/>
      <c r="M87" s="1693">
        <v>90</v>
      </c>
      <c r="N87" s="1693">
        <v>0</v>
      </c>
      <c r="O87" s="1693">
        <v>17.4102</v>
      </c>
      <c r="P87" s="1693">
        <v>52.013500000000001</v>
      </c>
      <c r="Q87" s="1693">
        <v>34.319099999999999</v>
      </c>
      <c r="R87" s="1693"/>
      <c r="S87" s="1693"/>
      <c r="T87" s="1693"/>
      <c r="U87" s="1693"/>
      <c r="V87" s="1693"/>
      <c r="W87" s="1693"/>
      <c r="X87" s="1693"/>
      <c r="Y87" s="1693"/>
      <c r="Z87" s="1693"/>
      <c r="AA87" s="1693"/>
      <c r="AB87" s="1694"/>
      <c r="AC87" s="1694"/>
      <c r="AE87" s="222">
        <v>23</v>
      </c>
      <c r="AF87" s="847">
        <v>84</v>
      </c>
      <c r="AG87" s="847">
        <v>83</v>
      </c>
      <c r="AH87" s="848">
        <v>2040</v>
      </c>
      <c r="AI87" s="975">
        <v>372</v>
      </c>
      <c r="AJ87" s="975">
        <v>0</v>
      </c>
      <c r="AK87" s="975">
        <v>0</v>
      </c>
      <c r="AL87" s="975">
        <v>8</v>
      </c>
      <c r="AM87" s="975">
        <v>0</v>
      </c>
      <c r="AN87" s="975">
        <v>380</v>
      </c>
      <c r="AO87" s="849"/>
      <c r="AP87" s="975">
        <v>19</v>
      </c>
      <c r="AQ87" s="975">
        <v>0</v>
      </c>
      <c r="AR87" s="975">
        <v>0</v>
      </c>
      <c r="AS87" s="975">
        <v>0</v>
      </c>
      <c r="AT87" s="975">
        <v>0</v>
      </c>
      <c r="AU87" s="975">
        <v>61</v>
      </c>
      <c r="AV87" s="975">
        <v>41</v>
      </c>
      <c r="AW87" s="975">
        <v>0</v>
      </c>
      <c r="AX87" s="975">
        <v>15</v>
      </c>
      <c r="AY87" s="975">
        <v>0</v>
      </c>
      <c r="AZ87" s="850">
        <v>136</v>
      </c>
      <c r="BA87" s="850"/>
      <c r="BB87" s="975">
        <v>180</v>
      </c>
      <c r="BC87" s="975">
        <v>3</v>
      </c>
      <c r="BD87" s="975">
        <v>0</v>
      </c>
      <c r="BE87" s="975">
        <v>0</v>
      </c>
      <c r="BF87" s="975">
        <v>0</v>
      </c>
      <c r="BG87" s="975">
        <v>0</v>
      </c>
      <c r="BH87" s="975">
        <v>0</v>
      </c>
      <c r="BI87" s="975">
        <v>0</v>
      </c>
      <c r="BJ87" s="975">
        <v>0</v>
      </c>
      <c r="BK87" s="975">
        <v>0</v>
      </c>
      <c r="BL87" s="975">
        <v>0</v>
      </c>
      <c r="BM87" s="850">
        <v>183</v>
      </c>
      <c r="BN87" s="850"/>
      <c r="BO87" s="850">
        <v>699</v>
      </c>
      <c r="BP87" s="975"/>
      <c r="BQ87" s="975">
        <v>0</v>
      </c>
      <c r="BR87" s="975">
        <v>0</v>
      </c>
      <c r="BS87" s="975">
        <v>0</v>
      </c>
      <c r="BT87" s="975">
        <v>0</v>
      </c>
      <c r="BU87" s="975">
        <v>0</v>
      </c>
      <c r="BV87" s="975">
        <v>0</v>
      </c>
      <c r="BW87" s="975">
        <v>0</v>
      </c>
      <c r="BX87" s="212">
        <v>0</v>
      </c>
      <c r="BY87" s="975">
        <v>0</v>
      </c>
      <c r="BZ87" s="975">
        <v>0</v>
      </c>
      <c r="CA87" s="975">
        <v>0</v>
      </c>
      <c r="CB87" s="975">
        <v>0</v>
      </c>
      <c r="CC87" s="975">
        <v>0</v>
      </c>
      <c r="CD87" s="975">
        <v>0</v>
      </c>
      <c r="CE87" s="212">
        <v>0</v>
      </c>
      <c r="CF87" s="975">
        <v>0</v>
      </c>
      <c r="CG87" s="975">
        <v>0</v>
      </c>
      <c r="CH87" s="975">
        <v>0</v>
      </c>
      <c r="CI87" s="975">
        <v>0</v>
      </c>
      <c r="CJ87" s="975">
        <v>0</v>
      </c>
      <c r="CK87" s="975">
        <v>8</v>
      </c>
      <c r="CL87" s="975">
        <v>0</v>
      </c>
      <c r="CM87" s="975">
        <v>0</v>
      </c>
      <c r="CN87" s="975">
        <v>8</v>
      </c>
      <c r="CO87" s="975">
        <v>0</v>
      </c>
      <c r="CP87" s="975">
        <v>0</v>
      </c>
      <c r="CQ87" s="215">
        <v>0</v>
      </c>
      <c r="CR87" s="212">
        <v>0</v>
      </c>
      <c r="CS87" s="212">
        <v>0</v>
      </c>
      <c r="CT87" s="212">
        <v>8</v>
      </c>
    </row>
    <row r="88" spans="3:98" ht="16.8">
      <c r="C88" s="8" t="s">
        <v>27</v>
      </c>
      <c r="E88" s="1460"/>
      <c r="F88" s="1684" t="s">
        <v>907</v>
      </c>
      <c r="G88" s="1690"/>
      <c r="H88" s="1690"/>
      <c r="I88" s="1687"/>
      <c r="J88" s="1687"/>
      <c r="L88" s="460"/>
      <c r="M88" s="1693">
        <v>91</v>
      </c>
      <c r="N88" s="1693">
        <v>0</v>
      </c>
      <c r="O88" s="1693">
        <v>17.758400000000002</v>
      </c>
      <c r="P88" s="1693">
        <v>53.053800000000003</v>
      </c>
      <c r="Q88" s="1693">
        <v>35.005499999999998</v>
      </c>
      <c r="R88" s="1693"/>
      <c r="S88" s="1693"/>
      <c r="T88" s="1693"/>
      <c r="U88" s="1693"/>
      <c r="V88" s="1693"/>
      <c r="W88" s="1693"/>
      <c r="X88" s="1693"/>
      <c r="Y88" s="1693"/>
      <c r="Z88" s="1693"/>
      <c r="AA88" s="1693"/>
      <c r="AB88" s="1694"/>
      <c r="AC88" s="1694"/>
      <c r="AE88" s="222">
        <v>24</v>
      </c>
      <c r="AF88" s="847">
        <v>85</v>
      </c>
      <c r="AG88" s="847">
        <v>84</v>
      </c>
      <c r="AH88" s="848">
        <v>2041</v>
      </c>
      <c r="AI88" s="975">
        <v>333</v>
      </c>
      <c r="AJ88" s="975">
        <v>0</v>
      </c>
      <c r="AK88" s="975">
        <v>0</v>
      </c>
      <c r="AL88" s="975">
        <v>0</v>
      </c>
      <c r="AM88" s="975">
        <v>0</v>
      </c>
      <c r="AN88" s="975">
        <v>333</v>
      </c>
      <c r="AO88" s="849"/>
      <c r="AP88" s="975">
        <v>33</v>
      </c>
      <c r="AQ88" s="975">
        <v>0</v>
      </c>
      <c r="AR88" s="975">
        <v>0</v>
      </c>
      <c r="AS88" s="975">
        <v>0</v>
      </c>
      <c r="AT88" s="975">
        <v>0</v>
      </c>
      <c r="AU88" s="975">
        <v>62</v>
      </c>
      <c r="AV88" s="975">
        <v>42</v>
      </c>
      <c r="AW88" s="975">
        <v>0</v>
      </c>
      <c r="AX88" s="975">
        <v>16</v>
      </c>
      <c r="AY88" s="975">
        <v>0</v>
      </c>
      <c r="AZ88" s="850">
        <v>153</v>
      </c>
      <c r="BA88" s="850"/>
      <c r="BB88" s="975">
        <v>188</v>
      </c>
      <c r="BC88" s="975">
        <v>3</v>
      </c>
      <c r="BD88" s="975">
        <v>0</v>
      </c>
      <c r="BE88" s="975">
        <v>-631</v>
      </c>
      <c r="BF88" s="975">
        <v>0</v>
      </c>
      <c r="BG88" s="975">
        <v>0</v>
      </c>
      <c r="BH88" s="975">
        <v>0</v>
      </c>
      <c r="BI88" s="975">
        <v>0</v>
      </c>
      <c r="BJ88" s="975">
        <v>0</v>
      </c>
      <c r="BK88" s="975">
        <v>0</v>
      </c>
      <c r="BL88" s="975">
        <v>-631</v>
      </c>
      <c r="BM88" s="850">
        <v>-440</v>
      </c>
      <c r="BN88" s="850"/>
      <c r="BO88" s="850">
        <v>46</v>
      </c>
      <c r="BP88" s="975"/>
      <c r="BQ88" s="975">
        <v>0</v>
      </c>
      <c r="BR88" s="975">
        <v>0</v>
      </c>
      <c r="BS88" s="975">
        <v>0</v>
      </c>
      <c r="BT88" s="975">
        <v>0</v>
      </c>
      <c r="BU88" s="975">
        <v>0</v>
      </c>
      <c r="BV88" s="975">
        <v>0</v>
      </c>
      <c r="BW88" s="975">
        <v>0</v>
      </c>
      <c r="BX88" s="212">
        <v>0</v>
      </c>
      <c r="BY88" s="975">
        <v>0</v>
      </c>
      <c r="BZ88" s="975">
        <v>0</v>
      </c>
      <c r="CA88" s="975">
        <v>0</v>
      </c>
      <c r="CB88" s="975">
        <v>0</v>
      </c>
      <c r="CC88" s="975">
        <v>0</v>
      </c>
      <c r="CD88" s="975">
        <v>0</v>
      </c>
      <c r="CE88" s="212">
        <v>0</v>
      </c>
      <c r="CF88" s="975">
        <v>0</v>
      </c>
      <c r="CG88" s="975">
        <v>0</v>
      </c>
      <c r="CH88" s="975">
        <v>0</v>
      </c>
      <c r="CI88" s="975">
        <v>0</v>
      </c>
      <c r="CJ88" s="975">
        <v>0</v>
      </c>
      <c r="CK88" s="975">
        <v>0</v>
      </c>
      <c r="CL88" s="975">
        <v>0</v>
      </c>
      <c r="CM88" s="975">
        <v>0</v>
      </c>
      <c r="CN88" s="975">
        <v>0</v>
      </c>
      <c r="CO88" s="975">
        <v>0</v>
      </c>
      <c r="CP88" s="975">
        <v>0</v>
      </c>
      <c r="CQ88" s="215">
        <v>0</v>
      </c>
      <c r="CR88" s="212">
        <v>0</v>
      </c>
      <c r="CS88" s="212">
        <v>0</v>
      </c>
      <c r="CT88" s="212">
        <v>0</v>
      </c>
    </row>
    <row r="89" spans="3:98" ht="16.8">
      <c r="C89" s="8" t="s">
        <v>27</v>
      </c>
      <c r="F89" s="1684" t="s">
        <v>951</v>
      </c>
      <c r="G89" s="1690"/>
      <c r="H89" s="1690"/>
      <c r="I89" s="1687"/>
      <c r="J89" s="1687"/>
      <c r="L89" s="460"/>
      <c r="M89" s="1693">
        <v>92</v>
      </c>
      <c r="N89" s="1693">
        <v>0</v>
      </c>
      <c r="O89" s="1693">
        <v>18.113600000000002</v>
      </c>
      <c r="P89" s="1693">
        <v>54.114800000000002</v>
      </c>
      <c r="Q89" s="1693">
        <v>35.705599999999997</v>
      </c>
      <c r="R89" s="1693"/>
      <c r="S89" s="1693"/>
      <c r="T89" s="1693"/>
      <c r="U89" s="1693"/>
      <c r="V89" s="1693"/>
      <c r="W89" s="1693"/>
      <c r="X89" s="1693"/>
      <c r="Y89" s="1693"/>
      <c r="Z89" s="1693"/>
      <c r="AA89" s="1693"/>
      <c r="AB89" s="1694"/>
      <c r="AC89" s="1694"/>
      <c r="AE89" s="222">
        <v>25</v>
      </c>
      <c r="AF89" s="847">
        <v>86</v>
      </c>
      <c r="AG89" s="847">
        <v>85</v>
      </c>
      <c r="AH89" s="848">
        <v>2042</v>
      </c>
      <c r="AI89" s="975">
        <v>927</v>
      </c>
      <c r="AJ89" s="975">
        <v>0</v>
      </c>
      <c r="AK89" s="975">
        <v>0</v>
      </c>
      <c r="AL89" s="975">
        <v>0</v>
      </c>
      <c r="AM89" s="975">
        <v>0</v>
      </c>
      <c r="AN89" s="975">
        <v>927</v>
      </c>
      <c r="AO89" s="849"/>
      <c r="AP89" s="975">
        <v>48</v>
      </c>
      <c r="AQ89" s="975">
        <v>0</v>
      </c>
      <c r="AR89" s="975">
        <v>0</v>
      </c>
      <c r="AS89" s="975">
        <v>0</v>
      </c>
      <c r="AT89" s="975">
        <v>0</v>
      </c>
      <c r="AU89" s="975">
        <v>64</v>
      </c>
      <c r="AV89" s="975">
        <v>43</v>
      </c>
      <c r="AW89" s="975">
        <v>0</v>
      </c>
      <c r="AX89" s="975">
        <v>16</v>
      </c>
      <c r="AY89" s="975">
        <v>0</v>
      </c>
      <c r="AZ89" s="850">
        <v>171</v>
      </c>
      <c r="BA89" s="850"/>
      <c r="BB89" s="975">
        <v>195</v>
      </c>
      <c r="BC89" s="975">
        <v>3</v>
      </c>
      <c r="BD89" s="975">
        <v>0</v>
      </c>
      <c r="BE89" s="975">
        <v>0</v>
      </c>
      <c r="BF89" s="975">
        <v>0</v>
      </c>
      <c r="BG89" s="975">
        <v>0</v>
      </c>
      <c r="BH89" s="975">
        <v>0</v>
      </c>
      <c r="BI89" s="975">
        <v>0</v>
      </c>
      <c r="BJ89" s="975">
        <v>0</v>
      </c>
      <c r="BK89" s="975">
        <v>0</v>
      </c>
      <c r="BL89" s="975">
        <v>0</v>
      </c>
      <c r="BM89" s="850">
        <v>198</v>
      </c>
      <c r="BN89" s="850"/>
      <c r="BO89" s="850">
        <v>1296</v>
      </c>
      <c r="BP89" s="975"/>
      <c r="BQ89" s="975">
        <v>0</v>
      </c>
      <c r="BR89" s="975">
        <v>0</v>
      </c>
      <c r="BS89" s="975">
        <v>0</v>
      </c>
      <c r="BT89" s="975">
        <v>0</v>
      </c>
      <c r="BU89" s="975">
        <v>0</v>
      </c>
      <c r="BV89" s="975">
        <v>0</v>
      </c>
      <c r="BW89" s="975">
        <v>0</v>
      </c>
      <c r="BX89" s="212">
        <v>0</v>
      </c>
      <c r="BY89" s="975">
        <v>0</v>
      </c>
      <c r="BZ89" s="975">
        <v>0</v>
      </c>
      <c r="CA89" s="975">
        <v>0</v>
      </c>
      <c r="CB89" s="975">
        <v>0</v>
      </c>
      <c r="CC89" s="975">
        <v>0</v>
      </c>
      <c r="CD89" s="975">
        <v>0</v>
      </c>
      <c r="CE89" s="212">
        <v>0</v>
      </c>
      <c r="CF89" s="975">
        <v>0</v>
      </c>
      <c r="CG89" s="975">
        <v>0</v>
      </c>
      <c r="CH89" s="975">
        <v>0</v>
      </c>
      <c r="CI89" s="975">
        <v>0</v>
      </c>
      <c r="CJ89" s="975">
        <v>0</v>
      </c>
      <c r="CK89" s="975">
        <v>0</v>
      </c>
      <c r="CL89" s="975">
        <v>0</v>
      </c>
      <c r="CM89" s="975">
        <v>0</v>
      </c>
      <c r="CN89" s="975">
        <v>0</v>
      </c>
      <c r="CO89" s="975">
        <v>0</v>
      </c>
      <c r="CP89" s="975">
        <v>0</v>
      </c>
      <c r="CQ89" s="215">
        <v>0</v>
      </c>
      <c r="CR89" s="212">
        <v>0</v>
      </c>
      <c r="CS89" s="212">
        <v>0</v>
      </c>
      <c r="CT89" s="212">
        <v>0</v>
      </c>
    </row>
    <row r="90" spans="3:98" ht="16.8">
      <c r="C90" s="454" t="s">
        <v>2176</v>
      </c>
      <c r="D90" s="354">
        <f>Roth_Convert</f>
        <v>15000</v>
      </c>
      <c r="E90" s="1460">
        <v>0</v>
      </c>
      <c r="F90" s="1684" t="s">
        <v>1189</v>
      </c>
      <c r="G90" s="1690"/>
      <c r="H90" s="1690"/>
      <c r="I90" s="1687"/>
      <c r="J90" s="1687"/>
      <c r="L90" s="460"/>
      <c r="M90" s="1693" t="s">
        <v>1733</v>
      </c>
      <c r="N90" s="1693">
        <v>19.582000000000001</v>
      </c>
      <c r="O90" s="1693"/>
      <c r="P90" s="1693"/>
      <c r="Q90" s="1693">
        <v>55.197099999999999</v>
      </c>
      <c r="R90" s="1693"/>
      <c r="S90" s="1693"/>
      <c r="T90" s="1693"/>
      <c r="U90" s="1693"/>
      <c r="V90" s="1693"/>
      <c r="W90" s="1693"/>
      <c r="X90" s="1693"/>
      <c r="Y90" s="1693"/>
      <c r="Z90" s="1693"/>
      <c r="AA90" s="1693"/>
      <c r="AB90" s="1694"/>
      <c r="AC90" s="1694"/>
      <c r="AE90" s="222">
        <v>26</v>
      </c>
      <c r="AF90" s="847">
        <v>87</v>
      </c>
      <c r="AG90" s="847">
        <v>86</v>
      </c>
      <c r="AH90" s="848">
        <v>2043</v>
      </c>
      <c r="AI90" s="975">
        <v>899</v>
      </c>
      <c r="AJ90" s="975">
        <v>0</v>
      </c>
      <c r="AK90" s="975">
        <v>0</v>
      </c>
      <c r="AL90" s="975">
        <v>0</v>
      </c>
      <c r="AM90" s="975">
        <v>0</v>
      </c>
      <c r="AN90" s="975">
        <v>899</v>
      </c>
      <c r="AO90" s="849"/>
      <c r="AP90" s="975">
        <v>46</v>
      </c>
      <c r="AQ90" s="975">
        <v>0</v>
      </c>
      <c r="AR90" s="975">
        <v>0</v>
      </c>
      <c r="AS90" s="975">
        <v>0</v>
      </c>
      <c r="AT90" s="975">
        <v>0</v>
      </c>
      <c r="AU90" s="975">
        <v>65</v>
      </c>
      <c r="AV90" s="975">
        <v>43</v>
      </c>
      <c r="AW90" s="975">
        <v>0</v>
      </c>
      <c r="AX90" s="975">
        <v>16</v>
      </c>
      <c r="AY90" s="975">
        <v>0</v>
      </c>
      <c r="AZ90" s="850">
        <v>170</v>
      </c>
      <c r="BA90" s="850"/>
      <c r="BB90" s="975">
        <v>203</v>
      </c>
      <c r="BC90" s="975">
        <v>3</v>
      </c>
      <c r="BD90" s="975">
        <v>0</v>
      </c>
      <c r="BE90" s="975">
        <v>0</v>
      </c>
      <c r="BF90" s="975">
        <v>0</v>
      </c>
      <c r="BG90" s="975">
        <v>0</v>
      </c>
      <c r="BH90" s="975">
        <v>0</v>
      </c>
      <c r="BI90" s="975">
        <v>0</v>
      </c>
      <c r="BJ90" s="975">
        <v>0</v>
      </c>
      <c r="BK90" s="975">
        <v>0</v>
      </c>
      <c r="BL90" s="975">
        <v>0</v>
      </c>
      <c r="BM90" s="850">
        <v>206</v>
      </c>
      <c r="BN90" s="850"/>
      <c r="BO90" s="850">
        <v>1275</v>
      </c>
      <c r="BP90" s="975"/>
      <c r="BQ90" s="975">
        <v>0</v>
      </c>
      <c r="BR90" s="975">
        <v>0</v>
      </c>
      <c r="BS90" s="975">
        <v>0</v>
      </c>
      <c r="BT90" s="975">
        <v>0</v>
      </c>
      <c r="BU90" s="975">
        <v>0</v>
      </c>
      <c r="BV90" s="975">
        <v>0</v>
      </c>
      <c r="BW90" s="975">
        <v>0</v>
      </c>
      <c r="BX90" s="212">
        <v>0</v>
      </c>
      <c r="BY90" s="975">
        <v>0</v>
      </c>
      <c r="BZ90" s="975">
        <v>0</v>
      </c>
      <c r="CA90" s="975">
        <v>0</v>
      </c>
      <c r="CB90" s="975">
        <v>0</v>
      </c>
      <c r="CC90" s="975">
        <v>0</v>
      </c>
      <c r="CD90" s="975">
        <v>0</v>
      </c>
      <c r="CE90" s="212">
        <v>0</v>
      </c>
      <c r="CF90" s="975">
        <v>0</v>
      </c>
      <c r="CG90" s="975">
        <v>0</v>
      </c>
      <c r="CH90" s="975">
        <v>0</v>
      </c>
      <c r="CI90" s="975">
        <v>0</v>
      </c>
      <c r="CJ90" s="975">
        <v>0</v>
      </c>
      <c r="CK90" s="975">
        <v>0</v>
      </c>
      <c r="CL90" s="975">
        <v>0</v>
      </c>
      <c r="CM90" s="975">
        <v>0</v>
      </c>
      <c r="CN90" s="975">
        <v>0</v>
      </c>
      <c r="CO90" s="975">
        <v>0</v>
      </c>
      <c r="CP90" s="975">
        <v>0</v>
      </c>
      <c r="CQ90" s="215">
        <v>0</v>
      </c>
      <c r="CR90" s="212">
        <v>0</v>
      </c>
      <c r="CS90" s="212">
        <v>0</v>
      </c>
      <c r="CT90" s="212">
        <v>0</v>
      </c>
    </row>
    <row r="91" spans="3:98" ht="16.8">
      <c r="C91" s="454" t="s">
        <v>2178</v>
      </c>
      <c r="D91" s="1024">
        <f>+Stock_tIRA1</f>
        <v>0.65</v>
      </c>
      <c r="E91" s="1679">
        <v>0.6</v>
      </c>
      <c r="F91" s="1684" t="s">
        <v>2070</v>
      </c>
      <c r="G91" s="1690"/>
      <c r="H91" s="1690"/>
      <c r="I91" s="1687"/>
      <c r="J91" s="1687"/>
      <c r="L91" s="460"/>
      <c r="M91" s="1687"/>
      <c r="N91" s="1687"/>
      <c r="O91" s="1687"/>
      <c r="P91" s="1687"/>
      <c r="Q91" s="1687"/>
      <c r="R91" s="1687"/>
      <c r="S91" s="1687"/>
      <c r="T91" s="1687"/>
      <c r="U91" s="1687"/>
      <c r="V91" s="1687"/>
      <c r="W91" s="1687"/>
      <c r="X91" s="1687"/>
      <c r="Y91" s="1687"/>
      <c r="Z91" s="1687"/>
      <c r="AA91" s="1687"/>
      <c r="AB91" s="1692"/>
      <c r="AC91" s="1694"/>
      <c r="AE91" s="222">
        <v>27</v>
      </c>
      <c r="AF91" s="847">
        <v>88</v>
      </c>
      <c r="AG91" s="847">
        <v>87</v>
      </c>
      <c r="AH91" s="848">
        <v>2044</v>
      </c>
      <c r="AI91" s="975">
        <v>864</v>
      </c>
      <c r="AJ91" s="975">
        <v>0</v>
      </c>
      <c r="AK91" s="975">
        <v>0</v>
      </c>
      <c r="AL91" s="975">
        <v>0</v>
      </c>
      <c r="AM91" s="975">
        <v>0</v>
      </c>
      <c r="AN91" s="975">
        <v>864</v>
      </c>
      <c r="AO91" s="849"/>
      <c r="AP91" s="975">
        <v>44</v>
      </c>
      <c r="AQ91" s="975">
        <v>0</v>
      </c>
      <c r="AR91" s="975">
        <v>0</v>
      </c>
      <c r="AS91" s="975">
        <v>0</v>
      </c>
      <c r="AT91" s="975">
        <v>0</v>
      </c>
      <c r="AU91" s="975">
        <v>66</v>
      </c>
      <c r="AV91" s="975">
        <v>44</v>
      </c>
      <c r="AW91" s="975">
        <v>0</v>
      </c>
      <c r="AX91" s="975">
        <v>17</v>
      </c>
      <c r="AY91" s="975">
        <v>0</v>
      </c>
      <c r="AZ91" s="850">
        <v>171</v>
      </c>
      <c r="BA91" s="850"/>
      <c r="BB91" s="975">
        <v>211</v>
      </c>
      <c r="BC91" s="975">
        <v>3</v>
      </c>
      <c r="BD91" s="975">
        <v>0</v>
      </c>
      <c r="BE91" s="975">
        <v>0</v>
      </c>
      <c r="BF91" s="975">
        <v>0</v>
      </c>
      <c r="BG91" s="975">
        <v>0</v>
      </c>
      <c r="BH91" s="975">
        <v>0</v>
      </c>
      <c r="BI91" s="975">
        <v>0</v>
      </c>
      <c r="BJ91" s="975">
        <v>0</v>
      </c>
      <c r="BK91" s="975">
        <v>0</v>
      </c>
      <c r="BL91" s="975">
        <v>0</v>
      </c>
      <c r="BM91" s="850">
        <v>214</v>
      </c>
      <c r="BN91" s="850"/>
      <c r="BO91" s="850">
        <v>1249</v>
      </c>
      <c r="BP91" s="975"/>
      <c r="BQ91" s="975">
        <v>0</v>
      </c>
      <c r="BR91" s="975">
        <v>0</v>
      </c>
      <c r="BS91" s="975">
        <v>0</v>
      </c>
      <c r="BT91" s="975">
        <v>0</v>
      </c>
      <c r="BU91" s="975">
        <v>0</v>
      </c>
      <c r="BV91" s="975">
        <v>0</v>
      </c>
      <c r="BW91" s="975">
        <v>0</v>
      </c>
      <c r="BX91" s="212">
        <v>0</v>
      </c>
      <c r="BY91" s="975">
        <v>0</v>
      </c>
      <c r="BZ91" s="975">
        <v>0</v>
      </c>
      <c r="CA91" s="975">
        <v>0</v>
      </c>
      <c r="CB91" s="975">
        <v>0</v>
      </c>
      <c r="CC91" s="975">
        <v>0</v>
      </c>
      <c r="CD91" s="975">
        <v>0</v>
      </c>
      <c r="CE91" s="212">
        <v>0</v>
      </c>
      <c r="CF91" s="975">
        <v>0</v>
      </c>
      <c r="CG91" s="975">
        <v>0</v>
      </c>
      <c r="CH91" s="975">
        <v>0</v>
      </c>
      <c r="CI91" s="975">
        <v>0</v>
      </c>
      <c r="CJ91" s="975">
        <v>0</v>
      </c>
      <c r="CK91" s="975">
        <v>0</v>
      </c>
      <c r="CL91" s="975">
        <v>0</v>
      </c>
      <c r="CM91" s="975">
        <v>0</v>
      </c>
      <c r="CN91" s="975">
        <v>0</v>
      </c>
      <c r="CO91" s="975">
        <v>0</v>
      </c>
      <c r="CP91" s="975">
        <v>0</v>
      </c>
      <c r="CQ91" s="215">
        <v>0</v>
      </c>
      <c r="CR91" s="212">
        <v>0</v>
      </c>
      <c r="CS91" s="212">
        <v>0</v>
      </c>
      <c r="CT91" s="212">
        <v>0</v>
      </c>
    </row>
    <row r="92" spans="3:98" ht="16.8">
      <c r="C92" s="8" t="s">
        <v>471</v>
      </c>
      <c r="D92" s="1024">
        <f>+Stock_Roth</f>
        <v>0.6</v>
      </c>
      <c r="E92" s="1680">
        <v>0.6</v>
      </c>
      <c r="F92" s="1684" t="s">
        <v>748</v>
      </c>
      <c r="G92" s="1690"/>
      <c r="H92" s="1690"/>
      <c r="I92" s="1687"/>
      <c r="J92" s="1687"/>
      <c r="L92" s="460"/>
      <c r="M92" s="1687"/>
      <c r="N92" s="1687"/>
      <c r="O92" s="1687"/>
      <c r="P92" s="1687"/>
      <c r="Q92" s="1687"/>
      <c r="R92" s="1687"/>
      <c r="S92" s="1687"/>
      <c r="T92" s="1687"/>
      <c r="U92" s="1687"/>
      <c r="V92" s="1687"/>
      <c r="W92" s="1687"/>
      <c r="X92" s="1687"/>
      <c r="Y92" s="1687"/>
      <c r="Z92" s="1687"/>
      <c r="AA92" s="1687"/>
      <c r="AB92" s="1692"/>
      <c r="AC92" s="1694"/>
      <c r="AE92" s="222">
        <v>28</v>
      </c>
      <c r="AF92" s="847">
        <v>89</v>
      </c>
      <c r="AG92" s="847">
        <v>88</v>
      </c>
      <c r="AH92" s="848">
        <v>2045</v>
      </c>
      <c r="AI92" s="975">
        <v>821</v>
      </c>
      <c r="AJ92" s="975">
        <v>0</v>
      </c>
      <c r="AK92" s="975">
        <v>0</v>
      </c>
      <c r="AL92" s="975">
        <v>0</v>
      </c>
      <c r="AM92" s="975">
        <v>0</v>
      </c>
      <c r="AN92" s="975">
        <v>821</v>
      </c>
      <c r="AO92" s="849"/>
      <c r="AP92" s="975">
        <v>42</v>
      </c>
      <c r="AQ92" s="975">
        <v>0</v>
      </c>
      <c r="AR92" s="975">
        <v>0</v>
      </c>
      <c r="AS92" s="975">
        <v>0</v>
      </c>
      <c r="AT92" s="975">
        <v>0</v>
      </c>
      <c r="AU92" s="975">
        <v>68</v>
      </c>
      <c r="AV92" s="975">
        <v>45</v>
      </c>
      <c r="AW92" s="975">
        <v>0</v>
      </c>
      <c r="AX92" s="975">
        <v>17</v>
      </c>
      <c r="AY92" s="975">
        <v>0</v>
      </c>
      <c r="AZ92" s="850">
        <v>172</v>
      </c>
      <c r="BA92" s="850"/>
      <c r="BB92" s="975">
        <v>219</v>
      </c>
      <c r="BC92" s="975">
        <v>3</v>
      </c>
      <c r="BD92" s="975">
        <v>0</v>
      </c>
      <c r="BE92" s="975">
        <v>0</v>
      </c>
      <c r="BF92" s="975">
        <v>0</v>
      </c>
      <c r="BG92" s="975">
        <v>0</v>
      </c>
      <c r="BH92" s="975">
        <v>0</v>
      </c>
      <c r="BI92" s="975">
        <v>0</v>
      </c>
      <c r="BJ92" s="975">
        <v>0</v>
      </c>
      <c r="BK92" s="975">
        <v>0</v>
      </c>
      <c r="BL92" s="975">
        <v>0</v>
      </c>
      <c r="BM92" s="850">
        <v>222</v>
      </c>
      <c r="BN92" s="850"/>
      <c r="BO92" s="850">
        <v>1215</v>
      </c>
      <c r="BP92" s="975"/>
      <c r="BQ92" s="975">
        <v>0</v>
      </c>
      <c r="BR92" s="975">
        <v>0</v>
      </c>
      <c r="BS92" s="975">
        <v>0</v>
      </c>
      <c r="BT92" s="975">
        <v>0</v>
      </c>
      <c r="BU92" s="975">
        <v>0</v>
      </c>
      <c r="BV92" s="975">
        <v>0</v>
      </c>
      <c r="BW92" s="975">
        <v>0</v>
      </c>
      <c r="BX92" s="212">
        <v>0</v>
      </c>
      <c r="BY92" s="975">
        <v>0</v>
      </c>
      <c r="BZ92" s="975">
        <v>0</v>
      </c>
      <c r="CA92" s="975">
        <v>0</v>
      </c>
      <c r="CB92" s="975">
        <v>0</v>
      </c>
      <c r="CC92" s="975">
        <v>0</v>
      </c>
      <c r="CD92" s="975">
        <v>0</v>
      </c>
      <c r="CE92" s="212">
        <v>0</v>
      </c>
      <c r="CF92" s="975">
        <v>0</v>
      </c>
      <c r="CG92" s="975">
        <v>0</v>
      </c>
      <c r="CH92" s="975">
        <v>0</v>
      </c>
      <c r="CI92" s="975">
        <v>0</v>
      </c>
      <c r="CJ92" s="975">
        <v>0</v>
      </c>
      <c r="CK92" s="975">
        <v>0</v>
      </c>
      <c r="CL92" s="975">
        <v>0</v>
      </c>
      <c r="CM92" s="975">
        <v>0</v>
      </c>
      <c r="CN92" s="975">
        <v>0</v>
      </c>
      <c r="CO92" s="975">
        <v>0</v>
      </c>
      <c r="CP92" s="975">
        <v>0</v>
      </c>
      <c r="CQ92" s="215">
        <v>0</v>
      </c>
      <c r="CR92" s="212">
        <v>0</v>
      </c>
      <c r="CS92" s="212">
        <v>0</v>
      </c>
      <c r="CT92" s="212">
        <v>0</v>
      </c>
    </row>
    <row r="93" spans="3:98" ht="16.8">
      <c r="C93" s="629" t="s">
        <v>979</v>
      </c>
      <c r="D93" s="1024">
        <f>+Stock_Taxable</f>
        <v>0.45</v>
      </c>
      <c r="E93" s="1680">
        <v>0.6</v>
      </c>
      <c r="F93" s="1684" t="s">
        <v>2071</v>
      </c>
      <c r="G93" s="1690"/>
      <c r="H93" s="1690"/>
      <c r="I93" s="1687"/>
      <c r="J93" s="1687"/>
      <c r="L93" s="460"/>
      <c r="AB93" s="849"/>
      <c r="AC93" s="212"/>
      <c r="AE93" s="222">
        <v>29</v>
      </c>
      <c r="AF93" s="847">
        <v>90</v>
      </c>
      <c r="AG93" s="847">
        <v>89</v>
      </c>
      <c r="AH93" s="848">
        <v>2046</v>
      </c>
      <c r="AI93" s="975">
        <v>770</v>
      </c>
      <c r="AJ93" s="975">
        <v>0</v>
      </c>
      <c r="AK93" s="975">
        <v>0</v>
      </c>
      <c r="AL93" s="975">
        <v>0</v>
      </c>
      <c r="AM93" s="975">
        <v>0</v>
      </c>
      <c r="AN93" s="975">
        <v>770</v>
      </c>
      <c r="AO93" s="849"/>
      <c r="AP93" s="975">
        <v>39</v>
      </c>
      <c r="AQ93" s="975">
        <v>0</v>
      </c>
      <c r="AR93" s="975">
        <v>0</v>
      </c>
      <c r="AS93" s="975">
        <v>0</v>
      </c>
      <c r="AT93" s="975">
        <v>0</v>
      </c>
      <c r="AU93" s="975">
        <v>69</v>
      </c>
      <c r="AV93" s="975">
        <v>46</v>
      </c>
      <c r="AW93" s="975">
        <v>0</v>
      </c>
      <c r="AX93" s="975">
        <v>17</v>
      </c>
      <c r="AY93" s="975">
        <v>0</v>
      </c>
      <c r="AZ93" s="850">
        <v>171</v>
      </c>
      <c r="BA93" s="850"/>
      <c r="BB93" s="975">
        <v>228</v>
      </c>
      <c r="BC93" s="975">
        <v>3</v>
      </c>
      <c r="BD93" s="975">
        <v>0</v>
      </c>
      <c r="BE93" s="975">
        <v>0</v>
      </c>
      <c r="BF93" s="975">
        <v>0</v>
      </c>
      <c r="BG93" s="975">
        <v>0</v>
      </c>
      <c r="BH93" s="975">
        <v>0</v>
      </c>
      <c r="BI93" s="975">
        <v>0</v>
      </c>
      <c r="BJ93" s="975">
        <v>0</v>
      </c>
      <c r="BK93" s="975">
        <v>0</v>
      </c>
      <c r="BL93" s="975">
        <v>0</v>
      </c>
      <c r="BM93" s="850">
        <v>231</v>
      </c>
      <c r="BN93" s="850"/>
      <c r="BO93" s="850">
        <v>1172</v>
      </c>
      <c r="BP93" s="975"/>
      <c r="BQ93" s="975">
        <v>0</v>
      </c>
      <c r="BR93" s="975">
        <v>0</v>
      </c>
      <c r="BS93" s="975">
        <v>0</v>
      </c>
      <c r="BT93" s="975">
        <v>0</v>
      </c>
      <c r="BU93" s="975">
        <v>0</v>
      </c>
      <c r="BV93" s="975">
        <v>0</v>
      </c>
      <c r="BW93" s="975">
        <v>0</v>
      </c>
      <c r="BX93" s="212">
        <v>0</v>
      </c>
      <c r="BY93" s="975">
        <v>0</v>
      </c>
      <c r="BZ93" s="975">
        <v>0</v>
      </c>
      <c r="CA93" s="975">
        <v>0</v>
      </c>
      <c r="CB93" s="975">
        <v>0</v>
      </c>
      <c r="CC93" s="975">
        <v>0</v>
      </c>
      <c r="CD93" s="975">
        <v>0</v>
      </c>
      <c r="CE93" s="212">
        <v>0</v>
      </c>
      <c r="CF93" s="975">
        <v>0</v>
      </c>
      <c r="CG93" s="975">
        <v>0</v>
      </c>
      <c r="CH93" s="975">
        <v>0</v>
      </c>
      <c r="CI93" s="975">
        <v>0</v>
      </c>
      <c r="CJ93" s="975">
        <v>0</v>
      </c>
      <c r="CK93" s="975">
        <v>0</v>
      </c>
      <c r="CL93" s="975">
        <v>0</v>
      </c>
      <c r="CM93" s="975">
        <v>0</v>
      </c>
      <c r="CN93" s="975">
        <v>0</v>
      </c>
      <c r="CO93" s="975">
        <v>0</v>
      </c>
      <c r="CP93" s="975">
        <v>0</v>
      </c>
      <c r="CQ93" s="215">
        <v>0</v>
      </c>
      <c r="CR93" s="212">
        <v>0</v>
      </c>
      <c r="CS93" s="212">
        <v>0</v>
      </c>
      <c r="CT93" s="212">
        <v>0</v>
      </c>
    </row>
    <row r="94" spans="3:98" ht="16.8">
      <c r="C94" s="454" t="s">
        <v>2177</v>
      </c>
      <c r="D94" s="1024">
        <f>IF(Change_Age&gt;0,+Stock_tIRA12,0)</f>
        <v>0.35</v>
      </c>
      <c r="E94" s="1680">
        <v>0</v>
      </c>
      <c r="F94" s="1684" t="s">
        <v>2072</v>
      </c>
      <c r="G94" s="1690"/>
      <c r="H94" s="1690"/>
      <c r="I94" s="1687"/>
      <c r="J94" s="1687"/>
      <c r="L94" s="460"/>
      <c r="AB94" s="849"/>
      <c r="AC94" s="212"/>
      <c r="AE94" s="222">
        <v>30</v>
      </c>
      <c r="AF94" s="847">
        <v>91</v>
      </c>
      <c r="AG94" s="847">
        <v>90</v>
      </c>
      <c r="AH94" s="848">
        <v>2047</v>
      </c>
      <c r="AI94" s="975">
        <v>710</v>
      </c>
      <c r="AJ94" s="975">
        <v>0</v>
      </c>
      <c r="AK94" s="975">
        <v>0</v>
      </c>
      <c r="AL94" s="975">
        <v>0</v>
      </c>
      <c r="AM94" s="975">
        <v>0</v>
      </c>
      <c r="AN94" s="975">
        <v>710</v>
      </c>
      <c r="AO94" s="849"/>
      <c r="AP94" s="975">
        <v>36</v>
      </c>
      <c r="AQ94" s="975">
        <v>0</v>
      </c>
      <c r="AR94" s="975">
        <v>0</v>
      </c>
      <c r="AS94" s="975">
        <v>0</v>
      </c>
      <c r="AT94" s="975">
        <v>0</v>
      </c>
      <c r="AU94" s="975">
        <v>70</v>
      </c>
      <c r="AV94" s="975">
        <v>47</v>
      </c>
      <c r="AW94" s="975">
        <v>0</v>
      </c>
      <c r="AX94" s="975">
        <v>17</v>
      </c>
      <c r="AY94" s="975">
        <v>0</v>
      </c>
      <c r="AZ94" s="850">
        <v>170</v>
      </c>
      <c r="BA94" s="850"/>
      <c r="BB94" s="975">
        <v>237</v>
      </c>
      <c r="BC94" s="975">
        <v>4</v>
      </c>
      <c r="BD94" s="975">
        <v>0</v>
      </c>
      <c r="BE94" s="975">
        <v>0</v>
      </c>
      <c r="BF94" s="975">
        <v>0</v>
      </c>
      <c r="BG94" s="975">
        <v>0</v>
      </c>
      <c r="BH94" s="975">
        <v>0</v>
      </c>
      <c r="BI94" s="975">
        <v>0</v>
      </c>
      <c r="BJ94" s="975">
        <v>0</v>
      </c>
      <c r="BK94" s="975">
        <v>0</v>
      </c>
      <c r="BL94" s="975">
        <v>0</v>
      </c>
      <c r="BM94" s="850">
        <v>241</v>
      </c>
      <c r="BN94" s="850"/>
      <c r="BO94" s="850">
        <v>1121</v>
      </c>
      <c r="BP94" s="975"/>
      <c r="BQ94" s="975">
        <v>0</v>
      </c>
      <c r="BR94" s="975">
        <v>0</v>
      </c>
      <c r="BS94" s="975">
        <v>0</v>
      </c>
      <c r="BT94" s="975">
        <v>0</v>
      </c>
      <c r="BU94" s="975">
        <v>0</v>
      </c>
      <c r="BV94" s="975">
        <v>0</v>
      </c>
      <c r="BW94" s="975">
        <v>0</v>
      </c>
      <c r="BX94" s="212">
        <v>0</v>
      </c>
      <c r="BY94" s="975">
        <v>0</v>
      </c>
      <c r="BZ94" s="975">
        <v>0</v>
      </c>
      <c r="CA94" s="975">
        <v>0</v>
      </c>
      <c r="CB94" s="975">
        <v>0</v>
      </c>
      <c r="CC94" s="975">
        <v>0</v>
      </c>
      <c r="CD94" s="975">
        <v>0</v>
      </c>
      <c r="CE94" s="212">
        <v>0</v>
      </c>
      <c r="CF94" s="975">
        <v>0</v>
      </c>
      <c r="CG94" s="975">
        <v>0</v>
      </c>
      <c r="CH94" s="975">
        <v>0</v>
      </c>
      <c r="CI94" s="975">
        <v>0</v>
      </c>
      <c r="CJ94" s="975">
        <v>0</v>
      </c>
      <c r="CK94" s="975">
        <v>0</v>
      </c>
      <c r="CL94" s="975">
        <v>0</v>
      </c>
      <c r="CM94" s="975">
        <v>0</v>
      </c>
      <c r="CN94" s="975">
        <v>0</v>
      </c>
      <c r="CO94" s="975">
        <v>0</v>
      </c>
      <c r="CP94" s="975">
        <v>0</v>
      </c>
      <c r="CQ94" s="215">
        <v>0</v>
      </c>
      <c r="CR94" s="212">
        <v>0</v>
      </c>
      <c r="CS94" s="212">
        <v>0</v>
      </c>
      <c r="CT94" s="212">
        <v>0</v>
      </c>
    </row>
    <row r="95" spans="3:98" ht="16.8">
      <c r="C95" s="8" t="s">
        <v>471</v>
      </c>
      <c r="D95" s="1024">
        <f>IF(Change_Age&gt;0,+Stock_Roth2,0)</f>
        <v>0.3</v>
      </c>
      <c r="E95" s="1680">
        <v>0</v>
      </c>
      <c r="F95" s="1684" t="s">
        <v>2073</v>
      </c>
      <c r="G95" s="1690"/>
      <c r="H95" s="1690"/>
      <c r="I95" s="1687"/>
      <c r="J95" s="1687"/>
      <c r="L95" s="460"/>
      <c r="AB95" s="212"/>
      <c r="AC95" s="212"/>
      <c r="AE95" s="222">
        <v>31</v>
      </c>
      <c r="AF95" s="847">
        <v>92</v>
      </c>
      <c r="AG95" s="847">
        <v>91</v>
      </c>
      <c r="AH95" s="848">
        <v>2048</v>
      </c>
      <c r="AI95" s="975">
        <v>0</v>
      </c>
      <c r="AJ95" s="975">
        <v>0</v>
      </c>
      <c r="AK95" s="975">
        <v>0</v>
      </c>
      <c r="AL95" s="975">
        <v>0</v>
      </c>
      <c r="AM95" s="975">
        <v>0</v>
      </c>
      <c r="AN95" s="975">
        <v>0</v>
      </c>
      <c r="AO95" s="849"/>
      <c r="AP95" s="975">
        <v>0</v>
      </c>
      <c r="AQ95" s="975">
        <v>0</v>
      </c>
      <c r="AR95" s="975">
        <v>0</v>
      </c>
      <c r="AS95" s="975">
        <v>0</v>
      </c>
      <c r="AT95" s="975">
        <v>0</v>
      </c>
      <c r="AU95" s="975">
        <v>0</v>
      </c>
      <c r="AV95" s="975">
        <v>0</v>
      </c>
      <c r="AW95" s="975">
        <v>0</v>
      </c>
      <c r="AX95" s="975">
        <v>0</v>
      </c>
      <c r="AY95" s="975">
        <v>0</v>
      </c>
      <c r="AZ95" s="850">
        <v>0</v>
      </c>
      <c r="BA95" s="850"/>
      <c r="BB95" s="975">
        <v>0</v>
      </c>
      <c r="BC95" s="975">
        <v>0</v>
      </c>
      <c r="BD95" s="975">
        <v>0</v>
      </c>
      <c r="BE95" s="975">
        <v>0</v>
      </c>
      <c r="BF95" s="975">
        <v>0</v>
      </c>
      <c r="BG95" s="975">
        <v>0</v>
      </c>
      <c r="BH95" s="975">
        <v>0</v>
      </c>
      <c r="BI95" s="975">
        <v>0</v>
      </c>
      <c r="BJ95" s="975">
        <v>0</v>
      </c>
      <c r="BK95" s="975">
        <v>0</v>
      </c>
      <c r="BL95" s="975">
        <v>0</v>
      </c>
      <c r="BM95" s="850">
        <v>0</v>
      </c>
      <c r="BN95" s="850"/>
      <c r="BO95" s="850">
        <v>0</v>
      </c>
      <c r="BP95" s="975"/>
      <c r="BQ95" s="975">
        <v>0</v>
      </c>
      <c r="BR95" s="975">
        <v>0</v>
      </c>
      <c r="BS95" s="975">
        <v>0</v>
      </c>
      <c r="BT95" s="975">
        <v>0</v>
      </c>
      <c r="BU95" s="975">
        <v>0</v>
      </c>
      <c r="BV95" s="975">
        <v>0</v>
      </c>
      <c r="BW95" s="975">
        <v>0</v>
      </c>
      <c r="BX95" s="212">
        <v>0</v>
      </c>
      <c r="BY95" s="975">
        <v>0</v>
      </c>
      <c r="BZ95" s="975">
        <v>0</v>
      </c>
      <c r="CA95" s="975">
        <v>0</v>
      </c>
      <c r="CB95" s="975">
        <v>0</v>
      </c>
      <c r="CC95" s="975">
        <v>0</v>
      </c>
      <c r="CD95" s="975">
        <v>0</v>
      </c>
      <c r="CE95" s="212">
        <v>0</v>
      </c>
      <c r="CF95" s="975">
        <v>0</v>
      </c>
      <c r="CG95" s="975">
        <v>0</v>
      </c>
      <c r="CH95" s="975">
        <v>0</v>
      </c>
      <c r="CI95" s="975">
        <v>0</v>
      </c>
      <c r="CJ95" s="975">
        <v>0</v>
      </c>
      <c r="CK95" s="975">
        <v>0</v>
      </c>
      <c r="CL95" s="975">
        <v>0</v>
      </c>
      <c r="CM95" s="975">
        <v>0</v>
      </c>
      <c r="CN95" s="975">
        <v>0</v>
      </c>
      <c r="CO95" s="975">
        <v>0</v>
      </c>
      <c r="CP95" s="975">
        <v>0</v>
      </c>
      <c r="CQ95" s="215">
        <v>0</v>
      </c>
      <c r="CR95" s="212">
        <v>0</v>
      </c>
      <c r="CS95" s="212">
        <v>0</v>
      </c>
      <c r="CT95" s="212">
        <v>0</v>
      </c>
    </row>
    <row r="96" spans="3:98" ht="16.8">
      <c r="C96" s="629" t="s">
        <v>979</v>
      </c>
      <c r="D96" s="1024">
        <f>IF(Change_Age&gt;0,+Stock_Taxable2,0)</f>
        <v>0.25</v>
      </c>
      <c r="E96" s="1680">
        <v>0</v>
      </c>
      <c r="F96" s="1684" t="s">
        <v>2074</v>
      </c>
      <c r="G96" s="1690"/>
      <c r="H96" s="1690"/>
      <c r="I96" s="1687"/>
      <c r="J96" s="1687"/>
      <c r="L96" s="460"/>
      <c r="AB96" s="212"/>
      <c r="AC96" s="212"/>
      <c r="AE96" s="222">
        <v>32</v>
      </c>
      <c r="AF96" s="847">
        <v>93</v>
      </c>
      <c r="AG96" s="847">
        <v>92</v>
      </c>
      <c r="AH96" s="848">
        <v>2049</v>
      </c>
      <c r="AI96" s="975">
        <v>0</v>
      </c>
      <c r="AJ96" s="975">
        <v>0</v>
      </c>
      <c r="AK96" s="975">
        <v>0</v>
      </c>
      <c r="AL96" s="975">
        <v>0</v>
      </c>
      <c r="AM96" s="975">
        <v>0</v>
      </c>
      <c r="AN96" s="975">
        <v>0</v>
      </c>
      <c r="AO96" s="849"/>
      <c r="AP96" s="975">
        <v>0</v>
      </c>
      <c r="AQ96" s="975">
        <v>0</v>
      </c>
      <c r="AR96" s="975">
        <v>0</v>
      </c>
      <c r="AS96" s="975">
        <v>0</v>
      </c>
      <c r="AT96" s="975">
        <v>0</v>
      </c>
      <c r="AU96" s="975">
        <v>0</v>
      </c>
      <c r="AV96" s="975">
        <v>0</v>
      </c>
      <c r="AW96" s="975">
        <v>0</v>
      </c>
      <c r="AX96" s="975">
        <v>0</v>
      </c>
      <c r="AY96" s="975">
        <v>0</v>
      </c>
      <c r="AZ96" s="850">
        <v>0</v>
      </c>
      <c r="BA96" s="850"/>
      <c r="BB96" s="975">
        <v>0</v>
      </c>
      <c r="BC96" s="975">
        <v>0</v>
      </c>
      <c r="BD96" s="975">
        <v>0</v>
      </c>
      <c r="BE96" s="975">
        <v>0</v>
      </c>
      <c r="BF96" s="975">
        <v>0</v>
      </c>
      <c r="BG96" s="975">
        <v>0</v>
      </c>
      <c r="BH96" s="975">
        <v>0</v>
      </c>
      <c r="BI96" s="975">
        <v>0</v>
      </c>
      <c r="BJ96" s="975">
        <v>0</v>
      </c>
      <c r="BK96" s="975">
        <v>0</v>
      </c>
      <c r="BL96" s="975">
        <v>0</v>
      </c>
      <c r="BM96" s="850">
        <v>0</v>
      </c>
      <c r="BN96" s="850"/>
      <c r="BO96" s="850">
        <v>0</v>
      </c>
      <c r="BP96" s="975"/>
      <c r="BQ96" s="975">
        <v>0</v>
      </c>
      <c r="BR96" s="975">
        <v>0</v>
      </c>
      <c r="BS96" s="975">
        <v>0</v>
      </c>
      <c r="BT96" s="975">
        <v>0</v>
      </c>
      <c r="BU96" s="975">
        <v>0</v>
      </c>
      <c r="BV96" s="975">
        <v>0</v>
      </c>
      <c r="BW96" s="975">
        <v>0</v>
      </c>
      <c r="BX96" s="212">
        <v>0</v>
      </c>
      <c r="BY96" s="975">
        <v>0</v>
      </c>
      <c r="BZ96" s="975">
        <v>0</v>
      </c>
      <c r="CA96" s="975">
        <v>0</v>
      </c>
      <c r="CB96" s="975">
        <v>0</v>
      </c>
      <c r="CC96" s="975">
        <v>0</v>
      </c>
      <c r="CD96" s="975">
        <v>0</v>
      </c>
      <c r="CE96" s="212">
        <v>0</v>
      </c>
      <c r="CF96" s="975">
        <v>0</v>
      </c>
      <c r="CG96" s="975">
        <v>0</v>
      </c>
      <c r="CH96" s="975">
        <v>0</v>
      </c>
      <c r="CI96" s="975">
        <v>0</v>
      </c>
      <c r="CJ96" s="975">
        <v>0</v>
      </c>
      <c r="CK96" s="975">
        <v>0</v>
      </c>
      <c r="CL96" s="975">
        <v>0</v>
      </c>
      <c r="CM96" s="975">
        <v>0</v>
      </c>
      <c r="CN96" s="975">
        <v>0</v>
      </c>
      <c r="CO96" s="975">
        <v>0</v>
      </c>
      <c r="CP96" s="975">
        <v>0</v>
      </c>
      <c r="CQ96" s="215">
        <v>0</v>
      </c>
      <c r="CR96" s="212">
        <v>0</v>
      </c>
      <c r="CS96" s="212">
        <v>0</v>
      </c>
      <c r="CT96" s="212">
        <v>0</v>
      </c>
    </row>
    <row r="97" spans="3:98" ht="16.8">
      <c r="C97" s="8" t="s">
        <v>1726</v>
      </c>
      <c r="D97" s="1024">
        <f>+Stock_Rate</f>
        <v>7.4999999999999997E-2</v>
      </c>
      <c r="E97" s="1679">
        <v>7.0000000000000007E-2</v>
      </c>
      <c r="F97" s="1684" t="s">
        <v>2075</v>
      </c>
      <c r="G97" s="1690"/>
      <c r="H97" s="1690"/>
      <c r="I97" s="1687"/>
      <c r="J97" s="1687"/>
      <c r="L97" s="460"/>
      <c r="M97" s="212"/>
      <c r="N97" s="212"/>
      <c r="P97" s="212"/>
      <c r="Q97" s="212"/>
      <c r="R97" s="212"/>
      <c r="S97" s="212"/>
      <c r="T97" s="212"/>
      <c r="U97" s="212"/>
      <c r="V97" s="212"/>
      <c r="W97" s="212"/>
      <c r="X97" s="212"/>
      <c r="Y97" s="212"/>
      <c r="Z97" s="212"/>
      <c r="AA97" s="212"/>
      <c r="AB97" s="212"/>
      <c r="AC97" s="212"/>
      <c r="AE97" s="222">
        <v>33</v>
      </c>
      <c r="AF97" s="847">
        <v>94</v>
      </c>
      <c r="AG97" s="847">
        <v>93</v>
      </c>
      <c r="AH97" s="848">
        <v>2050</v>
      </c>
      <c r="AI97" s="975">
        <v>0</v>
      </c>
      <c r="AJ97" s="975">
        <v>0</v>
      </c>
      <c r="AK97" s="975">
        <v>0</v>
      </c>
      <c r="AL97" s="975">
        <v>0</v>
      </c>
      <c r="AM97" s="975">
        <v>0</v>
      </c>
      <c r="AN97" s="975">
        <v>0</v>
      </c>
      <c r="AO97" s="849"/>
      <c r="AP97" s="975">
        <v>0</v>
      </c>
      <c r="AQ97" s="975">
        <v>0</v>
      </c>
      <c r="AR97" s="975">
        <v>0</v>
      </c>
      <c r="AS97" s="975">
        <v>0</v>
      </c>
      <c r="AT97" s="975">
        <v>0</v>
      </c>
      <c r="AU97" s="975">
        <v>0</v>
      </c>
      <c r="AV97" s="975">
        <v>0</v>
      </c>
      <c r="AW97" s="975">
        <v>0</v>
      </c>
      <c r="AX97" s="975">
        <v>0</v>
      </c>
      <c r="AY97" s="975">
        <v>0</v>
      </c>
      <c r="AZ97" s="850">
        <v>0</v>
      </c>
      <c r="BA97" s="850"/>
      <c r="BB97" s="975">
        <v>0</v>
      </c>
      <c r="BC97" s="975">
        <v>0</v>
      </c>
      <c r="BD97" s="975">
        <v>0</v>
      </c>
      <c r="BE97" s="975">
        <v>0</v>
      </c>
      <c r="BF97" s="975">
        <v>0</v>
      </c>
      <c r="BG97" s="975">
        <v>0</v>
      </c>
      <c r="BH97" s="975">
        <v>0</v>
      </c>
      <c r="BI97" s="975">
        <v>0</v>
      </c>
      <c r="BJ97" s="975">
        <v>0</v>
      </c>
      <c r="BK97" s="975">
        <v>0</v>
      </c>
      <c r="BL97" s="975">
        <v>0</v>
      </c>
      <c r="BM97" s="850">
        <v>0</v>
      </c>
      <c r="BN97" s="850"/>
      <c r="BO97" s="850">
        <v>0</v>
      </c>
      <c r="BP97" s="975"/>
      <c r="BQ97" s="975">
        <v>0</v>
      </c>
      <c r="BR97" s="975">
        <v>0</v>
      </c>
      <c r="BS97" s="975">
        <v>0</v>
      </c>
      <c r="BT97" s="975">
        <v>0</v>
      </c>
      <c r="BU97" s="975">
        <v>0</v>
      </c>
      <c r="BV97" s="975">
        <v>0</v>
      </c>
      <c r="BW97" s="975">
        <v>0</v>
      </c>
      <c r="BX97" s="212">
        <v>0</v>
      </c>
      <c r="BY97" s="975">
        <v>0</v>
      </c>
      <c r="BZ97" s="975">
        <v>0</v>
      </c>
      <c r="CA97" s="975">
        <v>0</v>
      </c>
      <c r="CB97" s="975">
        <v>0</v>
      </c>
      <c r="CC97" s="975">
        <v>0</v>
      </c>
      <c r="CD97" s="975">
        <v>0</v>
      </c>
      <c r="CE97" s="212">
        <v>0</v>
      </c>
      <c r="CF97" s="975">
        <v>0</v>
      </c>
      <c r="CG97" s="975">
        <v>0</v>
      </c>
      <c r="CH97" s="975">
        <v>0</v>
      </c>
      <c r="CI97" s="975">
        <v>0</v>
      </c>
      <c r="CJ97" s="975">
        <v>0</v>
      </c>
      <c r="CK97" s="975">
        <v>0</v>
      </c>
      <c r="CL97" s="975">
        <v>0</v>
      </c>
      <c r="CM97" s="975">
        <v>0</v>
      </c>
      <c r="CN97" s="975">
        <v>0</v>
      </c>
      <c r="CO97" s="975">
        <v>0</v>
      </c>
      <c r="CP97" s="975">
        <v>0</v>
      </c>
      <c r="CQ97" s="215">
        <v>0</v>
      </c>
      <c r="CR97" s="212">
        <v>0</v>
      </c>
      <c r="CS97" s="212">
        <v>0</v>
      </c>
      <c r="CT97" s="212">
        <v>0</v>
      </c>
    </row>
    <row r="98" spans="3:98" ht="16.8">
      <c r="C98" s="8" t="s">
        <v>1041</v>
      </c>
      <c r="D98" s="1024">
        <f>+Stock_Rate</f>
        <v>7.4999999999999997E-2</v>
      </c>
      <c r="E98" s="1679">
        <v>7.0000000000000007E-2</v>
      </c>
      <c r="F98" s="1684" t="s">
        <v>2076</v>
      </c>
      <c r="G98" s="1690"/>
      <c r="H98" s="1690"/>
      <c r="I98" s="1687"/>
      <c r="J98" s="1687"/>
      <c r="L98" s="460"/>
      <c r="M98" s="212"/>
      <c r="N98" s="212"/>
      <c r="O98" s="212"/>
      <c r="P98" s="212"/>
      <c r="Q98" s="212"/>
      <c r="R98" s="212"/>
      <c r="S98" s="212"/>
      <c r="T98" s="212"/>
      <c r="U98" s="212"/>
      <c r="V98" s="212"/>
      <c r="W98" s="212"/>
      <c r="X98" s="212"/>
      <c r="Y98" s="212"/>
      <c r="Z98" s="212"/>
      <c r="AA98" s="212"/>
      <c r="AB98" s="212"/>
      <c r="AC98" s="212"/>
      <c r="AE98" s="222">
        <v>34</v>
      </c>
      <c r="AF98" s="847">
        <v>95</v>
      </c>
      <c r="AG98" s="847">
        <v>94</v>
      </c>
      <c r="AH98" s="848">
        <v>2051</v>
      </c>
      <c r="AI98" s="975">
        <v>0</v>
      </c>
      <c r="AJ98" s="975">
        <v>0</v>
      </c>
      <c r="AK98" s="975">
        <v>0</v>
      </c>
      <c r="AL98" s="975">
        <v>0</v>
      </c>
      <c r="AM98" s="975">
        <v>0</v>
      </c>
      <c r="AN98" s="975">
        <v>0</v>
      </c>
      <c r="AO98" s="849"/>
      <c r="AP98" s="975">
        <v>0</v>
      </c>
      <c r="AQ98" s="975">
        <v>0</v>
      </c>
      <c r="AR98" s="975">
        <v>0</v>
      </c>
      <c r="AS98" s="975">
        <v>0</v>
      </c>
      <c r="AT98" s="975">
        <v>0</v>
      </c>
      <c r="AU98" s="975">
        <v>0</v>
      </c>
      <c r="AV98" s="975">
        <v>0</v>
      </c>
      <c r="AW98" s="975">
        <v>0</v>
      </c>
      <c r="AX98" s="975">
        <v>0</v>
      </c>
      <c r="AY98" s="975">
        <v>0</v>
      </c>
      <c r="AZ98" s="850">
        <v>0</v>
      </c>
      <c r="BA98" s="850"/>
      <c r="BB98" s="975">
        <v>0</v>
      </c>
      <c r="BC98" s="975">
        <v>0</v>
      </c>
      <c r="BD98" s="975">
        <v>0</v>
      </c>
      <c r="BE98" s="975">
        <v>0</v>
      </c>
      <c r="BF98" s="975">
        <v>0</v>
      </c>
      <c r="BG98" s="975">
        <v>0</v>
      </c>
      <c r="BH98" s="975">
        <v>0</v>
      </c>
      <c r="BI98" s="975">
        <v>0</v>
      </c>
      <c r="BJ98" s="975">
        <v>0</v>
      </c>
      <c r="BK98" s="975">
        <v>0</v>
      </c>
      <c r="BL98" s="975">
        <v>0</v>
      </c>
      <c r="BM98" s="850">
        <v>0</v>
      </c>
      <c r="BN98" s="850"/>
      <c r="BO98" s="850">
        <v>0</v>
      </c>
      <c r="BP98" s="975"/>
      <c r="BQ98" s="975">
        <v>0</v>
      </c>
      <c r="BR98" s="975">
        <v>0</v>
      </c>
      <c r="BS98" s="975">
        <v>0</v>
      </c>
      <c r="BT98" s="975">
        <v>0</v>
      </c>
      <c r="BU98" s="975">
        <v>0</v>
      </c>
      <c r="BV98" s="975">
        <v>0</v>
      </c>
      <c r="BW98" s="975">
        <v>0</v>
      </c>
      <c r="BX98" s="212">
        <v>0</v>
      </c>
      <c r="BY98" s="975">
        <v>0</v>
      </c>
      <c r="BZ98" s="975">
        <v>0</v>
      </c>
      <c r="CA98" s="975">
        <v>0</v>
      </c>
      <c r="CB98" s="975">
        <v>0</v>
      </c>
      <c r="CC98" s="975">
        <v>0</v>
      </c>
      <c r="CD98" s="975">
        <v>0</v>
      </c>
      <c r="CE98" s="212">
        <v>0</v>
      </c>
      <c r="CF98" s="975">
        <v>0</v>
      </c>
      <c r="CG98" s="975">
        <v>0</v>
      </c>
      <c r="CH98" s="975">
        <v>0</v>
      </c>
      <c r="CI98" s="975">
        <v>0</v>
      </c>
      <c r="CJ98" s="975">
        <v>0</v>
      </c>
      <c r="CK98" s="975">
        <v>0</v>
      </c>
      <c r="CL98" s="975">
        <v>0</v>
      </c>
      <c r="CM98" s="975">
        <v>0</v>
      </c>
      <c r="CN98" s="975">
        <v>0</v>
      </c>
      <c r="CO98" s="975">
        <v>0</v>
      </c>
      <c r="CP98" s="975">
        <v>0</v>
      </c>
      <c r="CQ98" s="215">
        <v>0</v>
      </c>
      <c r="CR98" s="212">
        <v>0</v>
      </c>
      <c r="CS98" s="212">
        <v>0</v>
      </c>
      <c r="CT98" s="212">
        <v>0</v>
      </c>
    </row>
    <row r="99" spans="3:98" ht="16.8">
      <c r="C99" s="8" t="s">
        <v>1041</v>
      </c>
      <c r="D99" s="1024">
        <f>+Stock_Rate</f>
        <v>7.4999999999999997E-2</v>
      </c>
      <c r="E99" s="1679">
        <v>7.0000000000000007E-2</v>
      </c>
      <c r="F99" s="1684" t="s">
        <v>2077</v>
      </c>
      <c r="G99" s="1690"/>
      <c r="H99" s="1690"/>
      <c r="I99" s="1687"/>
      <c r="J99" s="1687"/>
      <c r="L99" s="460"/>
      <c r="M99" s="212"/>
      <c r="AE99" s="222">
        <v>35</v>
      </c>
      <c r="AF99" s="847">
        <v>96</v>
      </c>
      <c r="AG99" s="847">
        <v>95</v>
      </c>
      <c r="AH99" s="848">
        <v>2052</v>
      </c>
      <c r="AI99" s="975">
        <v>0</v>
      </c>
      <c r="AJ99" s="975">
        <v>0</v>
      </c>
      <c r="AK99" s="975">
        <v>0</v>
      </c>
      <c r="AL99" s="975">
        <v>0</v>
      </c>
      <c r="AM99" s="975">
        <v>0</v>
      </c>
      <c r="AN99" s="975">
        <v>0</v>
      </c>
      <c r="AO99" s="849"/>
      <c r="AP99" s="975">
        <v>0</v>
      </c>
      <c r="AQ99" s="975">
        <v>0</v>
      </c>
      <c r="AR99" s="975">
        <v>0</v>
      </c>
      <c r="AS99" s="975">
        <v>0</v>
      </c>
      <c r="AT99" s="975">
        <v>0</v>
      </c>
      <c r="AU99" s="975">
        <v>0</v>
      </c>
      <c r="AV99" s="975">
        <v>0</v>
      </c>
      <c r="AW99" s="975">
        <v>0</v>
      </c>
      <c r="AX99" s="975">
        <v>0</v>
      </c>
      <c r="AY99" s="975">
        <v>0</v>
      </c>
      <c r="AZ99" s="850">
        <v>0</v>
      </c>
      <c r="BA99" s="850"/>
      <c r="BB99" s="975">
        <v>0</v>
      </c>
      <c r="BC99" s="975">
        <v>0</v>
      </c>
      <c r="BD99" s="975">
        <v>0</v>
      </c>
      <c r="BE99" s="975">
        <v>0</v>
      </c>
      <c r="BF99" s="975">
        <v>0</v>
      </c>
      <c r="BG99" s="975">
        <v>0</v>
      </c>
      <c r="BH99" s="975">
        <v>0</v>
      </c>
      <c r="BI99" s="975">
        <v>0</v>
      </c>
      <c r="BJ99" s="975">
        <v>0</v>
      </c>
      <c r="BK99" s="975">
        <v>0</v>
      </c>
      <c r="BL99" s="975">
        <v>0</v>
      </c>
      <c r="BM99" s="850">
        <v>0</v>
      </c>
      <c r="BN99" s="850"/>
      <c r="BO99" s="850">
        <v>0</v>
      </c>
      <c r="BP99" s="975"/>
      <c r="BQ99" s="975">
        <v>0</v>
      </c>
      <c r="BR99" s="975">
        <v>0</v>
      </c>
      <c r="BS99" s="975">
        <v>0</v>
      </c>
      <c r="BT99" s="975">
        <v>0</v>
      </c>
      <c r="BU99" s="975">
        <v>0</v>
      </c>
      <c r="BV99" s="975">
        <v>0</v>
      </c>
      <c r="BW99" s="975">
        <v>0</v>
      </c>
      <c r="BX99" s="212">
        <v>0</v>
      </c>
      <c r="BY99" s="975">
        <v>0</v>
      </c>
      <c r="BZ99" s="975">
        <v>0</v>
      </c>
      <c r="CA99" s="975">
        <v>0</v>
      </c>
      <c r="CB99" s="975">
        <v>0</v>
      </c>
      <c r="CC99" s="975">
        <v>0</v>
      </c>
      <c r="CD99" s="975">
        <v>0</v>
      </c>
      <c r="CE99" s="212">
        <v>0</v>
      </c>
      <c r="CF99" s="975">
        <v>0</v>
      </c>
      <c r="CG99" s="975">
        <v>0</v>
      </c>
      <c r="CH99" s="975">
        <v>0</v>
      </c>
      <c r="CI99" s="975">
        <v>0</v>
      </c>
      <c r="CJ99" s="975">
        <v>0</v>
      </c>
      <c r="CK99" s="975">
        <v>0</v>
      </c>
      <c r="CL99" s="975">
        <v>0</v>
      </c>
      <c r="CM99" s="975">
        <v>0</v>
      </c>
      <c r="CN99" s="975">
        <v>0</v>
      </c>
      <c r="CO99" s="975">
        <v>0</v>
      </c>
      <c r="CP99" s="975">
        <v>0</v>
      </c>
      <c r="CQ99" s="215">
        <v>0</v>
      </c>
      <c r="CR99" s="212">
        <v>0</v>
      </c>
      <c r="CS99" s="212">
        <v>0</v>
      </c>
      <c r="CT99" s="212">
        <v>0</v>
      </c>
    </row>
    <row r="100" spans="3:98" ht="16.8">
      <c r="C100" s="8" t="s">
        <v>27</v>
      </c>
      <c r="F100" s="1684" t="s">
        <v>2078</v>
      </c>
      <c r="G100" s="1690"/>
      <c r="H100" s="1690"/>
      <c r="I100" s="1687"/>
      <c r="J100" s="1687"/>
      <c r="L100" s="460"/>
      <c r="M100" s="212"/>
      <c r="AE100" s="222">
        <v>36</v>
      </c>
      <c r="AF100" s="847">
        <v>97</v>
      </c>
      <c r="AG100" s="847">
        <v>96</v>
      </c>
      <c r="AH100" s="848">
        <v>2053</v>
      </c>
      <c r="AI100" s="975">
        <v>0</v>
      </c>
      <c r="AJ100" s="975">
        <v>0</v>
      </c>
      <c r="AK100" s="975">
        <v>0</v>
      </c>
      <c r="AL100" s="975">
        <v>0</v>
      </c>
      <c r="AM100" s="975">
        <v>0</v>
      </c>
      <c r="AN100" s="975">
        <v>0</v>
      </c>
      <c r="AO100" s="849"/>
      <c r="AP100" s="975">
        <v>0</v>
      </c>
      <c r="AQ100" s="975">
        <v>0</v>
      </c>
      <c r="AR100" s="975">
        <v>0</v>
      </c>
      <c r="AS100" s="975">
        <v>0</v>
      </c>
      <c r="AT100" s="975">
        <v>0</v>
      </c>
      <c r="AU100" s="975">
        <v>0</v>
      </c>
      <c r="AV100" s="975">
        <v>0</v>
      </c>
      <c r="AW100" s="975">
        <v>0</v>
      </c>
      <c r="AX100" s="975">
        <v>0</v>
      </c>
      <c r="AY100" s="975">
        <v>0</v>
      </c>
      <c r="AZ100" s="850">
        <v>0</v>
      </c>
      <c r="BA100" s="850"/>
      <c r="BB100" s="975">
        <v>0</v>
      </c>
      <c r="BC100" s="975">
        <v>0</v>
      </c>
      <c r="BD100" s="975">
        <v>0</v>
      </c>
      <c r="BE100" s="975">
        <v>0</v>
      </c>
      <c r="BF100" s="975">
        <v>0</v>
      </c>
      <c r="BG100" s="975">
        <v>0</v>
      </c>
      <c r="BH100" s="975">
        <v>0</v>
      </c>
      <c r="BI100" s="975">
        <v>0</v>
      </c>
      <c r="BJ100" s="975">
        <v>0</v>
      </c>
      <c r="BK100" s="975">
        <v>0</v>
      </c>
      <c r="BL100" s="975">
        <v>0</v>
      </c>
      <c r="BM100" s="850">
        <v>0</v>
      </c>
      <c r="BN100" s="850"/>
      <c r="BO100" s="850">
        <v>0</v>
      </c>
      <c r="BP100" s="975"/>
      <c r="BQ100" s="975">
        <v>0</v>
      </c>
      <c r="BR100" s="975">
        <v>0</v>
      </c>
      <c r="BS100" s="975">
        <v>0</v>
      </c>
      <c r="BT100" s="975">
        <v>0</v>
      </c>
      <c r="BU100" s="975">
        <v>0</v>
      </c>
      <c r="BV100" s="975">
        <v>0</v>
      </c>
      <c r="BW100" s="975">
        <v>0</v>
      </c>
      <c r="BX100" s="212">
        <v>0</v>
      </c>
      <c r="BY100" s="975">
        <v>0</v>
      </c>
      <c r="BZ100" s="975">
        <v>0</v>
      </c>
      <c r="CA100" s="975">
        <v>0</v>
      </c>
      <c r="CB100" s="975">
        <v>0</v>
      </c>
      <c r="CC100" s="975">
        <v>0</v>
      </c>
      <c r="CD100" s="975">
        <v>0</v>
      </c>
      <c r="CE100" s="212">
        <v>0</v>
      </c>
      <c r="CF100" s="975">
        <v>0</v>
      </c>
      <c r="CG100" s="975">
        <v>0</v>
      </c>
      <c r="CH100" s="975">
        <v>0</v>
      </c>
      <c r="CI100" s="975">
        <v>0</v>
      </c>
      <c r="CJ100" s="975">
        <v>0</v>
      </c>
      <c r="CK100" s="975">
        <v>0</v>
      </c>
      <c r="CL100" s="975">
        <v>0</v>
      </c>
      <c r="CM100" s="975">
        <v>0</v>
      </c>
      <c r="CN100" s="975">
        <v>0</v>
      </c>
      <c r="CO100" s="975">
        <v>0</v>
      </c>
      <c r="CP100" s="975">
        <v>0</v>
      </c>
      <c r="CQ100" s="215">
        <v>0</v>
      </c>
      <c r="CR100" s="212">
        <v>0</v>
      </c>
      <c r="CS100" s="212">
        <v>0</v>
      </c>
      <c r="CT100" s="212">
        <v>0</v>
      </c>
    </row>
    <row r="101" spans="3:98" ht="16.8">
      <c r="C101" s="8" t="s">
        <v>27</v>
      </c>
      <c r="F101" s="1684" t="s">
        <v>2079</v>
      </c>
      <c r="G101" s="1690"/>
      <c r="H101" s="1690"/>
      <c r="I101" s="1687"/>
      <c r="J101" s="1687"/>
      <c r="L101" s="460"/>
      <c r="M101" s="212"/>
      <c r="AE101" s="222">
        <v>37</v>
      </c>
      <c r="AF101" s="847">
        <v>98</v>
      </c>
      <c r="AG101" s="847">
        <v>97</v>
      </c>
      <c r="AH101" s="848">
        <v>2054</v>
      </c>
      <c r="AI101" s="975">
        <v>0</v>
      </c>
      <c r="AJ101" s="975">
        <v>0</v>
      </c>
      <c r="AK101" s="975">
        <v>0</v>
      </c>
      <c r="AL101" s="975">
        <v>0</v>
      </c>
      <c r="AM101" s="975">
        <v>0</v>
      </c>
      <c r="AN101" s="975">
        <v>0</v>
      </c>
      <c r="AO101" s="849"/>
      <c r="AP101" s="975">
        <v>0</v>
      </c>
      <c r="AQ101" s="975">
        <v>0</v>
      </c>
      <c r="AR101" s="975">
        <v>0</v>
      </c>
      <c r="AS101" s="975">
        <v>0</v>
      </c>
      <c r="AT101" s="975">
        <v>0</v>
      </c>
      <c r="AU101" s="975">
        <v>0</v>
      </c>
      <c r="AV101" s="975">
        <v>0</v>
      </c>
      <c r="AW101" s="975">
        <v>0</v>
      </c>
      <c r="AX101" s="975">
        <v>0</v>
      </c>
      <c r="AY101" s="975">
        <v>0</v>
      </c>
      <c r="AZ101" s="850">
        <v>0</v>
      </c>
      <c r="BA101" s="850"/>
      <c r="BB101" s="975">
        <v>0</v>
      </c>
      <c r="BC101" s="975">
        <v>0</v>
      </c>
      <c r="BD101" s="975">
        <v>0</v>
      </c>
      <c r="BE101" s="975">
        <v>0</v>
      </c>
      <c r="BF101" s="975">
        <v>0</v>
      </c>
      <c r="BG101" s="975">
        <v>0</v>
      </c>
      <c r="BH101" s="975">
        <v>0</v>
      </c>
      <c r="BI101" s="975">
        <v>0</v>
      </c>
      <c r="BJ101" s="975">
        <v>0</v>
      </c>
      <c r="BK101" s="975">
        <v>0</v>
      </c>
      <c r="BL101" s="975">
        <v>0</v>
      </c>
      <c r="BM101" s="850">
        <v>0</v>
      </c>
      <c r="BN101" s="850"/>
      <c r="BO101" s="850">
        <v>0</v>
      </c>
      <c r="BP101" s="975"/>
      <c r="BQ101" s="975">
        <v>0</v>
      </c>
      <c r="BR101" s="975">
        <v>0</v>
      </c>
      <c r="BS101" s="975">
        <v>0</v>
      </c>
      <c r="BT101" s="975">
        <v>0</v>
      </c>
      <c r="BU101" s="975">
        <v>0</v>
      </c>
      <c r="BV101" s="975">
        <v>0</v>
      </c>
      <c r="BW101" s="975">
        <v>0</v>
      </c>
      <c r="BX101" s="212">
        <v>0</v>
      </c>
      <c r="BY101" s="975">
        <v>0</v>
      </c>
      <c r="BZ101" s="975">
        <v>0</v>
      </c>
      <c r="CA101" s="975">
        <v>0</v>
      </c>
      <c r="CB101" s="975">
        <v>0</v>
      </c>
      <c r="CC101" s="975">
        <v>0</v>
      </c>
      <c r="CD101" s="975">
        <v>0</v>
      </c>
      <c r="CE101" s="212">
        <v>0</v>
      </c>
      <c r="CF101" s="975">
        <v>0</v>
      </c>
      <c r="CG101" s="975">
        <v>0</v>
      </c>
      <c r="CH101" s="975">
        <v>0</v>
      </c>
      <c r="CI101" s="975">
        <v>0</v>
      </c>
      <c r="CJ101" s="975">
        <v>0</v>
      </c>
      <c r="CK101" s="975">
        <v>0</v>
      </c>
      <c r="CL101" s="975">
        <v>0</v>
      </c>
      <c r="CM101" s="975">
        <v>0</v>
      </c>
      <c r="CN101" s="975">
        <v>0</v>
      </c>
      <c r="CO101" s="975">
        <v>0</v>
      </c>
      <c r="CP101" s="975">
        <v>0</v>
      </c>
      <c r="CQ101" s="215">
        <v>0</v>
      </c>
      <c r="CR101" s="212">
        <v>0</v>
      </c>
      <c r="CS101" s="212">
        <v>0</v>
      </c>
      <c r="CT101" s="212">
        <v>0</v>
      </c>
    </row>
    <row r="102" spans="3:98" ht="16.8">
      <c r="C102" s="8" t="s">
        <v>27</v>
      </c>
      <c r="F102" s="1684" t="s">
        <v>2080</v>
      </c>
      <c r="G102" s="1690"/>
      <c r="H102" s="1690"/>
      <c r="I102" s="1687"/>
      <c r="J102" s="1687"/>
      <c r="L102" s="460"/>
      <c r="M102" s="212"/>
      <c r="AE102" s="222">
        <v>38</v>
      </c>
      <c r="AF102" s="847">
        <v>99</v>
      </c>
      <c r="AG102" s="847">
        <v>98</v>
      </c>
      <c r="AH102" s="848">
        <v>2055</v>
      </c>
      <c r="AI102" s="975">
        <v>0</v>
      </c>
      <c r="AJ102" s="975">
        <v>0</v>
      </c>
      <c r="AK102" s="975">
        <v>0</v>
      </c>
      <c r="AL102" s="975">
        <v>0</v>
      </c>
      <c r="AM102" s="975">
        <v>0</v>
      </c>
      <c r="AN102" s="975">
        <v>0</v>
      </c>
      <c r="AO102" s="849"/>
      <c r="AP102" s="975">
        <v>0</v>
      </c>
      <c r="AQ102" s="975">
        <v>0</v>
      </c>
      <c r="AR102" s="975">
        <v>0</v>
      </c>
      <c r="AS102" s="975">
        <v>0</v>
      </c>
      <c r="AT102" s="975">
        <v>0</v>
      </c>
      <c r="AU102" s="975">
        <v>0</v>
      </c>
      <c r="AV102" s="975">
        <v>0</v>
      </c>
      <c r="AW102" s="975">
        <v>0</v>
      </c>
      <c r="AX102" s="975">
        <v>0</v>
      </c>
      <c r="AY102" s="975">
        <v>0</v>
      </c>
      <c r="AZ102" s="850">
        <v>0</v>
      </c>
      <c r="BA102" s="850"/>
      <c r="BB102" s="975">
        <v>0</v>
      </c>
      <c r="BC102" s="975">
        <v>0</v>
      </c>
      <c r="BD102" s="975">
        <v>0</v>
      </c>
      <c r="BE102" s="975">
        <v>0</v>
      </c>
      <c r="BF102" s="975">
        <v>0</v>
      </c>
      <c r="BG102" s="975">
        <v>0</v>
      </c>
      <c r="BH102" s="975">
        <v>0</v>
      </c>
      <c r="BI102" s="975">
        <v>0</v>
      </c>
      <c r="BJ102" s="975">
        <v>0</v>
      </c>
      <c r="BK102" s="975">
        <v>0</v>
      </c>
      <c r="BL102" s="975">
        <v>0</v>
      </c>
      <c r="BM102" s="850">
        <v>0</v>
      </c>
      <c r="BN102" s="850"/>
      <c r="BO102" s="850">
        <v>0</v>
      </c>
      <c r="BP102" s="975"/>
      <c r="BQ102" s="975">
        <v>0</v>
      </c>
      <c r="BR102" s="975">
        <v>0</v>
      </c>
      <c r="BS102" s="975">
        <v>0</v>
      </c>
      <c r="BT102" s="975">
        <v>0</v>
      </c>
      <c r="BU102" s="975">
        <v>0</v>
      </c>
      <c r="BV102" s="975">
        <v>0</v>
      </c>
      <c r="BW102" s="975">
        <v>0</v>
      </c>
      <c r="BX102" s="212">
        <v>0</v>
      </c>
      <c r="BY102" s="975">
        <v>0</v>
      </c>
      <c r="BZ102" s="975">
        <v>0</v>
      </c>
      <c r="CA102" s="975">
        <v>0</v>
      </c>
      <c r="CB102" s="975">
        <v>0</v>
      </c>
      <c r="CC102" s="975">
        <v>0</v>
      </c>
      <c r="CD102" s="975">
        <v>0</v>
      </c>
      <c r="CE102" s="212">
        <v>0</v>
      </c>
      <c r="CF102" s="975">
        <v>0</v>
      </c>
      <c r="CG102" s="975">
        <v>0</v>
      </c>
      <c r="CH102" s="975">
        <v>0</v>
      </c>
      <c r="CI102" s="975">
        <v>0</v>
      </c>
      <c r="CJ102" s="975">
        <v>0</v>
      </c>
      <c r="CK102" s="975">
        <v>0</v>
      </c>
      <c r="CL102" s="975">
        <v>0</v>
      </c>
      <c r="CM102" s="975">
        <v>0</v>
      </c>
      <c r="CN102" s="975">
        <v>0</v>
      </c>
      <c r="CO102" s="975">
        <v>0</v>
      </c>
      <c r="CP102" s="975">
        <v>0</v>
      </c>
      <c r="CQ102" s="215">
        <v>0</v>
      </c>
      <c r="CR102" s="212">
        <v>0</v>
      </c>
      <c r="CS102" s="212">
        <v>0</v>
      </c>
      <c r="CT102" s="212">
        <v>0</v>
      </c>
    </row>
    <row r="103" spans="3:98" ht="16.8">
      <c r="C103" s="8" t="s">
        <v>1725</v>
      </c>
      <c r="D103" s="1024">
        <f>+Bond_Rate</f>
        <v>4.4999999999999998E-2</v>
      </c>
      <c r="E103" s="1679">
        <v>0.03</v>
      </c>
      <c r="F103" s="1684" t="s">
        <v>2081</v>
      </c>
      <c r="G103" s="1690"/>
      <c r="H103" s="1690"/>
      <c r="I103" s="1687"/>
      <c r="J103" s="1687"/>
      <c r="L103" s="460"/>
      <c r="M103" s="212"/>
      <c r="AE103" s="222">
        <v>39</v>
      </c>
      <c r="AF103" s="847">
        <v>100</v>
      </c>
      <c r="AG103" s="847">
        <v>99</v>
      </c>
      <c r="AH103" s="848">
        <v>2056</v>
      </c>
      <c r="AI103" s="975">
        <v>0</v>
      </c>
      <c r="AJ103" s="975">
        <v>0</v>
      </c>
      <c r="AK103" s="975">
        <v>0</v>
      </c>
      <c r="AL103" s="975">
        <v>0</v>
      </c>
      <c r="AM103" s="975">
        <v>0</v>
      </c>
      <c r="AN103" s="975">
        <v>0</v>
      </c>
      <c r="AO103" s="849"/>
      <c r="AP103" s="975">
        <v>0</v>
      </c>
      <c r="AQ103" s="975">
        <v>0</v>
      </c>
      <c r="AR103" s="975">
        <v>0</v>
      </c>
      <c r="AS103" s="975">
        <v>0</v>
      </c>
      <c r="AT103" s="975">
        <v>0</v>
      </c>
      <c r="AU103" s="975">
        <v>0</v>
      </c>
      <c r="AV103" s="975">
        <v>0</v>
      </c>
      <c r="AW103" s="975">
        <v>0</v>
      </c>
      <c r="AX103" s="975">
        <v>0</v>
      </c>
      <c r="AY103" s="975">
        <v>0</v>
      </c>
      <c r="AZ103" s="850">
        <v>0</v>
      </c>
      <c r="BA103" s="850"/>
      <c r="BB103" s="975">
        <v>0</v>
      </c>
      <c r="BC103" s="975">
        <v>0</v>
      </c>
      <c r="BD103" s="975">
        <v>0</v>
      </c>
      <c r="BE103" s="975">
        <v>0</v>
      </c>
      <c r="BF103" s="975">
        <v>0</v>
      </c>
      <c r="BG103" s="975">
        <v>0</v>
      </c>
      <c r="BH103" s="975">
        <v>0</v>
      </c>
      <c r="BI103" s="975">
        <v>0</v>
      </c>
      <c r="BJ103" s="975">
        <v>0</v>
      </c>
      <c r="BK103" s="975">
        <v>0</v>
      </c>
      <c r="BL103" s="975">
        <v>0</v>
      </c>
      <c r="BM103" s="850">
        <v>0</v>
      </c>
      <c r="BN103" s="850"/>
      <c r="BO103" s="850">
        <v>0</v>
      </c>
      <c r="BP103" s="975"/>
      <c r="BQ103" s="975">
        <v>0</v>
      </c>
      <c r="BR103" s="975">
        <v>0</v>
      </c>
      <c r="BS103" s="975">
        <v>0</v>
      </c>
      <c r="BT103" s="975">
        <v>0</v>
      </c>
      <c r="BU103" s="975">
        <v>0</v>
      </c>
      <c r="BV103" s="975">
        <v>0</v>
      </c>
      <c r="BW103" s="975">
        <v>0</v>
      </c>
      <c r="BX103" s="212">
        <v>0</v>
      </c>
      <c r="BY103" s="975">
        <v>0</v>
      </c>
      <c r="BZ103" s="975">
        <v>0</v>
      </c>
      <c r="CA103" s="975">
        <v>0</v>
      </c>
      <c r="CB103" s="975">
        <v>0</v>
      </c>
      <c r="CC103" s="975">
        <v>0</v>
      </c>
      <c r="CD103" s="975">
        <v>0</v>
      </c>
      <c r="CE103" s="212">
        <v>0</v>
      </c>
      <c r="CF103" s="975">
        <v>0</v>
      </c>
      <c r="CG103" s="975">
        <v>0</v>
      </c>
      <c r="CH103" s="975">
        <v>0</v>
      </c>
      <c r="CI103" s="975">
        <v>0</v>
      </c>
      <c r="CJ103" s="975">
        <v>0</v>
      </c>
      <c r="CK103" s="975">
        <v>0</v>
      </c>
      <c r="CL103" s="975">
        <v>0</v>
      </c>
      <c r="CM103" s="975">
        <v>0</v>
      </c>
      <c r="CN103" s="975">
        <v>0</v>
      </c>
      <c r="CO103" s="975">
        <v>0</v>
      </c>
      <c r="CP103" s="975">
        <v>0</v>
      </c>
      <c r="CQ103" s="215">
        <v>0</v>
      </c>
      <c r="CR103" s="212">
        <v>0</v>
      </c>
      <c r="CS103" s="212">
        <v>0</v>
      </c>
      <c r="CT103" s="212">
        <v>0</v>
      </c>
    </row>
    <row r="104" spans="3:98" ht="16.8">
      <c r="C104" s="8" t="s">
        <v>1041</v>
      </c>
      <c r="D104" s="1024">
        <f>+Bond_Rate</f>
        <v>4.4999999999999998E-2</v>
      </c>
      <c r="E104" s="1679">
        <v>0.03</v>
      </c>
      <c r="F104" s="1684" t="s">
        <v>2082</v>
      </c>
      <c r="G104" s="1690"/>
      <c r="H104" s="1690"/>
      <c r="I104" s="1687"/>
      <c r="J104" s="1687"/>
      <c r="L104" s="460"/>
      <c r="M104" s="212"/>
      <c r="AE104" s="222">
        <v>40</v>
      </c>
      <c r="AF104" s="847">
        <v>101</v>
      </c>
      <c r="AG104" s="847">
        <v>100</v>
      </c>
      <c r="AH104" s="848">
        <v>2057</v>
      </c>
      <c r="AI104" s="1257">
        <v>0</v>
      </c>
      <c r="AJ104" s="1257">
        <v>0</v>
      </c>
      <c r="AK104" s="1257">
        <v>0</v>
      </c>
      <c r="AL104" s="1257">
        <v>0</v>
      </c>
      <c r="AM104" s="1257">
        <v>0</v>
      </c>
      <c r="AN104" s="1257">
        <v>0</v>
      </c>
      <c r="AO104" s="974"/>
      <c r="AP104" s="976">
        <v>0</v>
      </c>
      <c r="AQ104" s="976">
        <v>0</v>
      </c>
      <c r="AR104" s="976">
        <v>0</v>
      </c>
      <c r="AS104" s="976">
        <v>0</v>
      </c>
      <c r="AT104" s="976">
        <v>0</v>
      </c>
      <c r="AU104" s="976">
        <v>0</v>
      </c>
      <c r="AV104" s="976">
        <v>0</v>
      </c>
      <c r="AW104" s="976">
        <v>0</v>
      </c>
      <c r="AX104" s="976">
        <v>0</v>
      </c>
      <c r="AY104" s="976">
        <v>0</v>
      </c>
      <c r="AZ104" s="977">
        <v>0</v>
      </c>
      <c r="BA104" s="430"/>
      <c r="BB104" s="976">
        <v>0</v>
      </c>
      <c r="BC104" s="976">
        <v>0</v>
      </c>
      <c r="BD104" s="976">
        <v>0</v>
      </c>
      <c r="BE104" s="976">
        <v>0</v>
      </c>
      <c r="BF104" s="976">
        <v>0</v>
      </c>
      <c r="BG104" s="976">
        <v>0</v>
      </c>
      <c r="BH104" s="976">
        <v>0</v>
      </c>
      <c r="BI104" s="976">
        <v>0</v>
      </c>
      <c r="BJ104" s="976">
        <v>0</v>
      </c>
      <c r="BK104" s="976">
        <v>0</v>
      </c>
      <c r="BL104" s="976">
        <v>0</v>
      </c>
      <c r="BM104" s="430">
        <v>0</v>
      </c>
      <c r="BN104" s="430"/>
      <c r="BO104" s="430">
        <v>0</v>
      </c>
      <c r="BP104" s="976"/>
      <c r="BQ104" s="976">
        <v>0</v>
      </c>
      <c r="BR104" s="976">
        <v>0</v>
      </c>
      <c r="BS104" s="976">
        <v>0</v>
      </c>
      <c r="BT104" s="976">
        <v>0</v>
      </c>
      <c r="BU104" s="976">
        <v>0</v>
      </c>
      <c r="BV104" s="976">
        <v>0</v>
      </c>
      <c r="BW104" s="976">
        <v>0</v>
      </c>
      <c r="BX104" s="978">
        <v>0</v>
      </c>
      <c r="BY104" s="976">
        <v>0</v>
      </c>
      <c r="BZ104" s="976">
        <v>0</v>
      </c>
      <c r="CA104" s="976">
        <v>0</v>
      </c>
      <c r="CB104" s="976">
        <v>0</v>
      </c>
      <c r="CC104" s="976">
        <v>0</v>
      </c>
      <c r="CD104" s="976">
        <v>0</v>
      </c>
      <c r="CE104" s="978">
        <v>0</v>
      </c>
      <c r="CF104" s="976">
        <v>0</v>
      </c>
      <c r="CG104" s="976">
        <v>0</v>
      </c>
      <c r="CH104" s="976">
        <v>0</v>
      </c>
      <c r="CI104" s="976">
        <v>0</v>
      </c>
      <c r="CJ104" s="976">
        <v>0</v>
      </c>
      <c r="CK104" s="976">
        <v>0</v>
      </c>
      <c r="CL104" s="976">
        <v>0</v>
      </c>
      <c r="CM104" s="976">
        <v>0</v>
      </c>
      <c r="CN104" s="976">
        <v>0</v>
      </c>
      <c r="CO104" s="976">
        <v>0</v>
      </c>
      <c r="CP104" s="976">
        <v>0</v>
      </c>
      <c r="CQ104" s="978">
        <v>0</v>
      </c>
      <c r="CR104" s="978">
        <v>0</v>
      </c>
      <c r="CS104" s="978">
        <v>0</v>
      </c>
      <c r="CT104" s="978">
        <v>0</v>
      </c>
    </row>
    <row r="105" spans="3:98" ht="16.8">
      <c r="C105" s="8" t="s">
        <v>1041</v>
      </c>
      <c r="D105" s="1024">
        <f>+Bond_Rate</f>
        <v>4.4999999999999998E-2</v>
      </c>
      <c r="E105" s="1679">
        <v>0.03</v>
      </c>
      <c r="F105" s="1684" t="s">
        <v>2083</v>
      </c>
      <c r="G105" s="1691"/>
      <c r="H105" s="1690"/>
      <c r="I105" s="1687"/>
      <c r="J105" s="1687"/>
      <c r="L105" s="460"/>
      <c r="M105" s="212"/>
      <c r="AE105" s="212"/>
      <c r="AF105" s="979"/>
      <c r="AG105" s="847"/>
      <c r="AH105" s="212"/>
      <c r="AI105" s="975">
        <v>216</v>
      </c>
      <c r="AJ105" s="975">
        <v>0</v>
      </c>
      <c r="AK105" s="975">
        <v>0</v>
      </c>
      <c r="AL105" s="975">
        <v>114</v>
      </c>
      <c r="AM105" s="975">
        <v>0</v>
      </c>
      <c r="AN105" s="975">
        <v>330</v>
      </c>
      <c r="AO105" s="979"/>
      <c r="AP105" s="850">
        <v>193</v>
      </c>
      <c r="AQ105" s="850">
        <v>296</v>
      </c>
      <c r="AR105" s="850">
        <v>0</v>
      </c>
      <c r="AS105" s="850">
        <v>280</v>
      </c>
      <c r="AT105" s="850">
        <v>0</v>
      </c>
      <c r="AU105" s="850">
        <v>1264</v>
      </c>
      <c r="AV105" s="850">
        <v>816</v>
      </c>
      <c r="AW105" s="850">
        <v>0</v>
      </c>
      <c r="AX105" s="850">
        <v>0</v>
      </c>
      <c r="AY105" s="850">
        <v>0</v>
      </c>
      <c r="AZ105" s="850">
        <v>2849</v>
      </c>
      <c r="BA105" s="850"/>
      <c r="BB105" s="850">
        <v>3368</v>
      </c>
      <c r="BC105" s="850">
        <v>154</v>
      </c>
      <c r="BD105" s="850">
        <v>0</v>
      </c>
      <c r="BE105" s="850">
        <v>0</v>
      </c>
      <c r="BF105" s="850">
        <v>0</v>
      </c>
      <c r="BG105" s="850">
        <v>0</v>
      </c>
      <c r="BH105" s="850">
        <v>0</v>
      </c>
      <c r="BI105" s="850">
        <v>0</v>
      </c>
      <c r="BJ105" s="850">
        <v>0</v>
      </c>
      <c r="BK105" s="850">
        <v>0</v>
      </c>
      <c r="BL105" s="975">
        <v>0</v>
      </c>
      <c r="BM105" s="850">
        <v>3522</v>
      </c>
      <c r="BN105" s="850"/>
      <c r="BO105" s="850"/>
      <c r="BP105" s="850"/>
      <c r="BQ105" s="850">
        <v>70</v>
      </c>
      <c r="BR105" s="850">
        <v>0</v>
      </c>
      <c r="BS105" s="850">
        <v>926</v>
      </c>
      <c r="BT105" s="850">
        <v>0</v>
      </c>
      <c r="BU105" s="850">
        <v>0</v>
      </c>
      <c r="BV105" s="850"/>
      <c r="BW105" s="850">
        <v>926</v>
      </c>
      <c r="BX105" s="212">
        <v>0</v>
      </c>
      <c r="BY105" s="850">
        <v>0</v>
      </c>
      <c r="BZ105" s="850">
        <v>0</v>
      </c>
      <c r="CA105" s="850"/>
      <c r="CB105" s="850">
        <v>0</v>
      </c>
      <c r="CC105" s="850">
        <v>0</v>
      </c>
      <c r="CD105" s="850">
        <v>0</v>
      </c>
      <c r="CE105" s="212">
        <v>0</v>
      </c>
      <c r="CF105" s="850">
        <v>0</v>
      </c>
      <c r="CG105" s="850">
        <v>0</v>
      </c>
      <c r="CH105" s="850">
        <v>0</v>
      </c>
      <c r="CI105" s="850">
        <v>0</v>
      </c>
      <c r="CJ105" s="850">
        <v>0</v>
      </c>
      <c r="CK105" s="850">
        <v>267</v>
      </c>
      <c r="CL105" s="850">
        <v>0</v>
      </c>
      <c r="CM105" s="850">
        <v>0</v>
      </c>
      <c r="CN105" s="850">
        <v>267</v>
      </c>
      <c r="CO105" s="850">
        <v>0</v>
      </c>
      <c r="CP105" s="850">
        <v>0</v>
      </c>
      <c r="CQ105" s="215">
        <v>0</v>
      </c>
      <c r="CR105" s="212">
        <v>0</v>
      </c>
      <c r="CS105" s="212">
        <v>0</v>
      </c>
      <c r="CT105" s="212">
        <v>1263</v>
      </c>
    </row>
    <row r="106" spans="3:98" ht="16.8">
      <c r="C106" s="78" t="s">
        <v>1148</v>
      </c>
      <c r="D106" s="1024">
        <f>+SS_COLA</f>
        <v>0.02</v>
      </c>
      <c r="E106" s="1674">
        <v>0.02</v>
      </c>
      <c r="F106" s="1684" t="s">
        <v>2</v>
      </c>
      <c r="G106" s="1691"/>
      <c r="H106" s="1690"/>
      <c r="I106" s="1687"/>
      <c r="J106" s="1687"/>
      <c r="L106" s="460"/>
      <c r="M106" s="212"/>
      <c r="AI106" s="980" t="s">
        <v>692</v>
      </c>
      <c r="AP106" s="980" t="s">
        <v>693</v>
      </c>
    </row>
    <row r="107" spans="3:98" ht="16.8">
      <c r="C107" s="8" t="s">
        <v>1727</v>
      </c>
      <c r="D107" s="1024">
        <f>+Inflation</f>
        <v>0.02</v>
      </c>
      <c r="E107" s="1674">
        <v>0.02</v>
      </c>
      <c r="F107" s="1684" t="s">
        <v>2084</v>
      </c>
      <c r="G107" s="1691"/>
      <c r="H107" s="1690"/>
      <c r="I107" s="1687"/>
      <c r="J107" s="1687"/>
      <c r="L107" s="460"/>
      <c r="M107" s="212"/>
    </row>
    <row r="108" spans="3:98" ht="16.8">
      <c r="C108" s="8" t="s">
        <v>525</v>
      </c>
      <c r="D108" s="354"/>
      <c r="F108" s="1684" t="s">
        <v>908</v>
      </c>
      <c r="G108" s="1687"/>
      <c r="H108" s="1690"/>
      <c r="I108" s="1687"/>
      <c r="J108" s="1687"/>
      <c r="L108" s="460"/>
      <c r="M108" s="212"/>
    </row>
    <row r="109" spans="3:98" ht="16.8">
      <c r="C109" s="8" t="s">
        <v>525</v>
      </c>
      <c r="D109" s="354"/>
      <c r="F109" s="1684" t="s">
        <v>2085</v>
      </c>
      <c r="G109" s="1687"/>
      <c r="H109" s="1690"/>
      <c r="I109" s="1687"/>
      <c r="J109" s="1687"/>
      <c r="L109" s="460"/>
      <c r="M109" s="212"/>
    </row>
    <row r="110" spans="3:98" ht="16.8">
      <c r="C110" s="8" t="s">
        <v>794</v>
      </c>
      <c r="D110" s="354">
        <f>IF(State_Method="bracket",+State_SD+State_PE,0)</f>
        <v>7000</v>
      </c>
      <c r="E110" s="1460">
        <v>0</v>
      </c>
      <c r="F110" s="1684" t="s">
        <v>1195</v>
      </c>
      <c r="G110" s="1687"/>
      <c r="H110" s="1690"/>
      <c r="I110" s="1687"/>
      <c r="J110" s="1687"/>
      <c r="M110" s="212"/>
    </row>
    <row r="111" spans="3:98" ht="16.8">
      <c r="C111" s="18" t="s">
        <v>1513</v>
      </c>
      <c r="D111" s="1024">
        <f>+State_Rate</f>
        <v>0.01</v>
      </c>
      <c r="E111" s="1674">
        <v>0</v>
      </c>
      <c r="F111" s="1684" t="s">
        <v>1196</v>
      </c>
      <c r="G111" s="1687"/>
      <c r="H111" s="1687"/>
      <c r="I111" s="1687"/>
      <c r="J111" s="1687"/>
      <c r="M111" s="212"/>
    </row>
    <row r="112" spans="3:98" ht="16.8">
      <c r="C112" s="8" t="s">
        <v>1512</v>
      </c>
      <c r="D112" s="8" t="str">
        <f>+SS_Tax_State</f>
        <v>n</v>
      </c>
      <c r="E112" s="1675" t="s">
        <v>1133</v>
      </c>
      <c r="F112" s="1684" t="s">
        <v>859</v>
      </c>
      <c r="G112" s="1687"/>
      <c r="H112" s="1687"/>
      <c r="I112" s="1687"/>
      <c r="J112" s="1687"/>
      <c r="M112" s="212"/>
    </row>
    <row r="113" spans="3:13" ht="16.8">
      <c r="C113" s="8" t="s">
        <v>1511</v>
      </c>
      <c r="D113" s="1024">
        <f>+Pen_Tax_State</f>
        <v>1</v>
      </c>
      <c r="E113" s="1674">
        <v>0</v>
      </c>
      <c r="F113" s="1684" t="s">
        <v>856</v>
      </c>
      <c r="G113" s="1687"/>
      <c r="H113" s="1687"/>
      <c r="I113" s="1687"/>
      <c r="J113" s="1687"/>
      <c r="M113" s="212"/>
    </row>
    <row r="114" spans="3:13" ht="16.8">
      <c r="C114" s="8" t="s">
        <v>176</v>
      </c>
      <c r="D114" s="354">
        <f>Inherit_Age</f>
        <v>77</v>
      </c>
      <c r="E114" s="1460">
        <v>0</v>
      </c>
      <c r="F114" s="1684" t="s">
        <v>1190</v>
      </c>
      <c r="G114" s="1687"/>
      <c r="H114" s="1687"/>
      <c r="I114" s="1687"/>
      <c r="J114" s="1687"/>
      <c r="M114" s="212"/>
    </row>
    <row r="115" spans="3:13" ht="16.8">
      <c r="C115" s="8" t="s">
        <v>1323</v>
      </c>
      <c r="D115" s="354">
        <f>Inherit_Age2</f>
        <v>72</v>
      </c>
      <c r="E115" s="1460">
        <v>0</v>
      </c>
      <c r="F115" s="1684" t="s">
        <v>1192</v>
      </c>
      <c r="G115" s="1687"/>
      <c r="H115" s="1687"/>
      <c r="I115" s="1687"/>
      <c r="J115" s="1687"/>
      <c r="M115" s="212"/>
    </row>
    <row r="116" spans="3:13" ht="16.8">
      <c r="C116" s="454" t="s">
        <v>2179</v>
      </c>
      <c r="D116" s="354">
        <f>Asset_Sale_Age</f>
        <v>86</v>
      </c>
      <c r="E116" s="1460">
        <v>0</v>
      </c>
      <c r="F116" s="1684" t="s">
        <v>1194</v>
      </c>
      <c r="G116" s="1687"/>
      <c r="H116" s="1687"/>
      <c r="I116" s="1687"/>
      <c r="J116" s="1687"/>
      <c r="M116" s="212"/>
    </row>
    <row r="117" spans="3:13" ht="16.8">
      <c r="C117" s="454" t="s">
        <v>2180</v>
      </c>
      <c r="D117" s="354">
        <f>Asset_Sale_Age2</f>
        <v>84</v>
      </c>
      <c r="E117" s="1460">
        <v>0</v>
      </c>
      <c r="F117" s="1684" t="s">
        <v>14</v>
      </c>
      <c r="G117" s="1687"/>
      <c r="H117" s="1687"/>
      <c r="I117" s="1687"/>
      <c r="J117" s="1687"/>
      <c r="M117" s="212"/>
    </row>
    <row r="118" spans="3:13" ht="16.8">
      <c r="C118" s="8" t="s">
        <v>913</v>
      </c>
      <c r="D118" s="354">
        <f>Expenditure_Age</f>
        <v>72</v>
      </c>
      <c r="E118" s="1460">
        <v>0</v>
      </c>
      <c r="F118" s="1684" t="s">
        <v>16</v>
      </c>
      <c r="G118" s="1687"/>
      <c r="H118" s="1687"/>
      <c r="I118" s="1687"/>
      <c r="J118" s="1687"/>
      <c r="M118" s="212"/>
    </row>
    <row r="119" spans="3:13" ht="16.8">
      <c r="C119" s="8" t="s">
        <v>914</v>
      </c>
      <c r="D119" s="354">
        <f>Expenditure_Age2</f>
        <v>74</v>
      </c>
      <c r="E119" s="1460">
        <v>0</v>
      </c>
      <c r="F119" s="1684" t="s">
        <v>18</v>
      </c>
      <c r="G119" s="1687"/>
      <c r="H119" s="1687"/>
      <c r="I119" s="1687"/>
      <c r="J119" s="1687"/>
      <c r="M119" s="212"/>
    </row>
    <row r="120" spans="3:13" ht="16.8">
      <c r="C120" s="454" t="s">
        <v>2181</v>
      </c>
      <c r="D120" s="354">
        <f>Inherit_Taxable+Inherit_tIRA</f>
        <v>100000</v>
      </c>
      <c r="E120" s="1460">
        <v>0</v>
      </c>
      <c r="F120" s="1684" t="s">
        <v>1191</v>
      </c>
      <c r="G120" s="1687"/>
      <c r="H120" s="1687"/>
      <c r="I120" s="1687"/>
      <c r="J120" s="1687"/>
      <c r="M120" s="212"/>
    </row>
    <row r="121" spans="3:13" ht="16.8">
      <c r="C121" s="454" t="s">
        <v>2182</v>
      </c>
      <c r="D121" s="354">
        <f>Inherit_Taxable2+Inherit_tIRA2</f>
        <v>100000</v>
      </c>
      <c r="E121" s="1460">
        <v>0</v>
      </c>
      <c r="F121" s="1684" t="s">
        <v>1193</v>
      </c>
      <c r="G121" s="1687"/>
      <c r="H121" s="1687"/>
      <c r="I121" s="1687"/>
      <c r="J121" s="1687"/>
      <c r="M121" s="212"/>
    </row>
    <row r="122" spans="3:13" ht="16.8">
      <c r="C122" s="454" t="s">
        <v>2189</v>
      </c>
      <c r="D122" s="354"/>
      <c r="E122" s="1460"/>
      <c r="F122" s="1684" t="s">
        <v>1519</v>
      </c>
      <c r="G122" s="1687"/>
      <c r="H122" s="1687"/>
      <c r="I122" s="1687"/>
      <c r="J122" s="1687"/>
      <c r="M122" s="212"/>
    </row>
    <row r="123" spans="3:13" ht="16.8">
      <c r="C123" s="454" t="s">
        <v>2189</v>
      </c>
      <c r="D123" s="354"/>
      <c r="E123" s="1460"/>
      <c r="F123" s="1684" t="s">
        <v>1520</v>
      </c>
      <c r="G123" s="1687"/>
      <c r="H123" s="1687"/>
      <c r="I123" s="1687"/>
      <c r="J123" s="1687"/>
      <c r="M123" s="212"/>
    </row>
    <row r="124" spans="3:13" ht="16.8">
      <c r="C124" s="454" t="s">
        <v>2183</v>
      </c>
      <c r="D124" s="354">
        <f>Expenditure_Amt</f>
        <v>80000</v>
      </c>
      <c r="E124" s="1460">
        <v>0</v>
      </c>
      <c r="F124" s="1684" t="s">
        <v>1521</v>
      </c>
      <c r="G124" s="1687"/>
      <c r="H124" s="1687"/>
      <c r="I124" s="1687"/>
      <c r="J124" s="1687"/>
    </row>
    <row r="125" spans="3:13" ht="16.8">
      <c r="C125" s="454" t="s">
        <v>2184</v>
      </c>
      <c r="D125" s="354">
        <f>Expenditure_Amt2</f>
        <v>20000</v>
      </c>
      <c r="E125" s="1460">
        <v>0</v>
      </c>
      <c r="F125" s="1684" t="s">
        <v>1522</v>
      </c>
      <c r="G125" s="1687"/>
      <c r="H125" s="1687"/>
      <c r="I125" s="1687"/>
      <c r="J125" s="1687"/>
    </row>
    <row r="126" spans="3:13" ht="16.8">
      <c r="C126" s="8" t="s">
        <v>27</v>
      </c>
      <c r="F126" s="1684" t="s">
        <v>12</v>
      </c>
      <c r="G126" s="1687"/>
      <c r="H126" s="1687"/>
      <c r="I126" s="1687"/>
      <c r="J126" s="1687"/>
    </row>
    <row r="127" spans="3:13" ht="16.8">
      <c r="C127" s="8" t="s">
        <v>27</v>
      </c>
      <c r="E127" s="1460"/>
      <c r="F127" s="1684" t="s">
        <v>870</v>
      </c>
      <c r="G127" s="1687"/>
      <c r="H127" s="1687"/>
      <c r="I127" s="1687"/>
      <c r="J127" s="1687"/>
    </row>
    <row r="128" spans="3:13" ht="16.8">
      <c r="C128" s="8" t="s">
        <v>27</v>
      </c>
      <c r="F128" s="1684" t="s">
        <v>1430</v>
      </c>
      <c r="G128" s="1687"/>
      <c r="H128" s="1687"/>
      <c r="I128" s="1687"/>
      <c r="J128" s="1687"/>
    </row>
    <row r="129" spans="3:11" ht="16.8">
      <c r="C129" s="8" t="s">
        <v>27</v>
      </c>
      <c r="E129" s="1672"/>
      <c r="F129" s="1684" t="s">
        <v>1454</v>
      </c>
      <c r="G129" s="1687"/>
      <c r="H129" s="1687"/>
      <c r="I129" s="1687"/>
      <c r="J129" s="1687"/>
    </row>
    <row r="130" spans="3:11" ht="16.8">
      <c r="C130" s="8" t="s">
        <v>27</v>
      </c>
      <c r="E130" s="1672"/>
      <c r="F130" s="1684" t="s">
        <v>13</v>
      </c>
      <c r="G130" s="1687"/>
      <c r="H130" s="1687"/>
      <c r="I130" s="1687"/>
      <c r="J130" s="1687"/>
    </row>
    <row r="131" spans="3:11" ht="16.8">
      <c r="C131" s="8" t="s">
        <v>27</v>
      </c>
      <c r="E131" s="212"/>
      <c r="F131" s="1684" t="s">
        <v>15</v>
      </c>
      <c r="G131" s="1687"/>
      <c r="H131" s="1687"/>
      <c r="I131" s="1687"/>
      <c r="J131" s="1687"/>
    </row>
    <row r="132" spans="3:11" ht="16.8">
      <c r="C132" s="8" t="s">
        <v>27</v>
      </c>
      <c r="E132" s="212"/>
      <c r="F132" s="1684" t="s">
        <v>17</v>
      </c>
      <c r="G132" s="1687"/>
      <c r="H132" s="1687"/>
      <c r="I132" s="1687"/>
      <c r="J132" s="1687"/>
    </row>
    <row r="133" spans="3:11" ht="16.8">
      <c r="C133" s="8" t="s">
        <v>27</v>
      </c>
      <c r="E133" s="212"/>
      <c r="F133" s="1684" t="s">
        <v>19</v>
      </c>
      <c r="G133" s="1687"/>
      <c r="H133" s="1687"/>
      <c r="I133" s="1687"/>
      <c r="J133" s="1687"/>
    </row>
    <row r="134" spans="3:11" ht="16.8">
      <c r="C134" s="8" t="s">
        <v>27</v>
      </c>
      <c r="E134" s="212"/>
      <c r="F134" s="1684" t="s">
        <v>909</v>
      </c>
      <c r="G134" s="1687"/>
      <c r="H134" s="1687"/>
      <c r="I134" s="1687"/>
      <c r="J134" s="1687"/>
    </row>
    <row r="135" spans="3:11" ht="16.8">
      <c r="C135" s="8" t="s">
        <v>27</v>
      </c>
      <c r="E135" s="212"/>
      <c r="F135" s="1684" t="s">
        <v>2086</v>
      </c>
      <c r="G135" s="1687"/>
      <c r="H135" s="1687"/>
      <c r="I135" s="1687"/>
      <c r="J135" s="1687"/>
    </row>
    <row r="136" spans="3:11" ht="16.8">
      <c r="C136" s="8" t="s">
        <v>27</v>
      </c>
      <c r="E136" s="212"/>
      <c r="F136" s="1684" t="s">
        <v>1022</v>
      </c>
      <c r="G136" s="1687"/>
      <c r="H136" s="1687"/>
      <c r="I136" s="1687"/>
      <c r="J136" s="1687"/>
    </row>
    <row r="137" spans="3:11">
      <c r="E137" s="212"/>
      <c r="F137" s="1692"/>
      <c r="G137" s="1687"/>
      <c r="H137" s="1687"/>
      <c r="I137" s="1687"/>
      <c r="J137" s="1687"/>
    </row>
    <row r="138" spans="3:11">
      <c r="E138" s="212"/>
      <c r="F138" s="849"/>
    </row>
    <row r="139" spans="3:11">
      <c r="E139" s="1672"/>
      <c r="F139" s="849"/>
      <c r="G139" s="776"/>
      <c r="H139" s="776"/>
      <c r="I139" s="776"/>
      <c r="J139" s="776"/>
      <c r="K139" s="776"/>
    </row>
    <row r="140" spans="3:11" ht="15.6">
      <c r="C140" s="17" t="s">
        <v>335</v>
      </c>
      <c r="E140" s="1676"/>
      <c r="F140" s="849"/>
      <c r="G140" s="776"/>
      <c r="H140" s="776"/>
      <c r="I140" s="776"/>
      <c r="J140" s="776"/>
      <c r="K140" s="776"/>
    </row>
    <row r="141" spans="3:11">
      <c r="C141" s="454" t="s">
        <v>2185</v>
      </c>
      <c r="E141" s="1460"/>
      <c r="F141" s="849"/>
      <c r="G141" s="776"/>
      <c r="H141" s="776"/>
      <c r="I141" s="776"/>
      <c r="J141" s="776"/>
      <c r="K141" s="776"/>
    </row>
    <row r="142" spans="3:11">
      <c r="C142" s="8" t="s">
        <v>1319</v>
      </c>
      <c r="D142" s="354">
        <f>+Living_Expenses</f>
        <v>70000</v>
      </c>
      <c r="E142" s="1460">
        <v>76000</v>
      </c>
      <c r="F142" s="849"/>
      <c r="G142" s="776"/>
      <c r="H142" s="776"/>
      <c r="I142" s="776"/>
      <c r="J142" s="776"/>
      <c r="K142" s="776"/>
    </row>
    <row r="143" spans="3:11">
      <c r="C143" s="8" t="s">
        <v>334</v>
      </c>
      <c r="D143" s="354">
        <f>+Expense_Chg_Year</f>
        <v>80</v>
      </c>
      <c r="E143" s="1460">
        <v>0</v>
      </c>
      <c r="F143" s="849"/>
      <c r="G143" s="776"/>
      <c r="H143" s="776"/>
      <c r="I143" s="776"/>
      <c r="J143" s="776"/>
      <c r="K143" s="776"/>
    </row>
    <row r="144" spans="3:11">
      <c r="C144" s="8" t="s">
        <v>336</v>
      </c>
      <c r="D144" s="8" t="str">
        <f>IF(State_Method="bracket","using","n/a")</f>
        <v>using</v>
      </c>
      <c r="E144" s="1677" t="s">
        <v>27</v>
      </c>
      <c r="F144" s="849"/>
      <c r="G144" s="776"/>
      <c r="H144" s="776"/>
      <c r="I144" s="776"/>
      <c r="J144" s="776"/>
      <c r="K144" s="776"/>
    </row>
    <row r="145" spans="2:11">
      <c r="C145" s="1461" t="s">
        <v>1837</v>
      </c>
      <c r="D145" s="354">
        <f>+SPIA_Amt</f>
        <v>100000</v>
      </c>
      <c r="E145" s="1678">
        <v>0</v>
      </c>
      <c r="F145" s="849"/>
      <c r="G145" s="776"/>
      <c r="H145" s="776"/>
      <c r="I145" s="776"/>
      <c r="J145" s="776"/>
      <c r="K145" s="776"/>
    </row>
    <row r="146" spans="2:11">
      <c r="F146" s="849"/>
      <c r="G146" s="776"/>
      <c r="H146" s="776"/>
      <c r="I146" s="776"/>
      <c r="J146" s="776"/>
      <c r="K146" s="776"/>
    </row>
    <row r="147" spans="2:11">
      <c r="C147" s="8" t="s">
        <v>954</v>
      </c>
      <c r="D147" s="354">
        <f>+Your_End_Input</f>
        <v>85</v>
      </c>
      <c r="E147" s="1460">
        <v>0</v>
      </c>
      <c r="F147" s="212"/>
      <c r="G147" s="776"/>
      <c r="H147" s="776"/>
      <c r="I147" s="776"/>
      <c r="J147" s="776"/>
      <c r="K147" s="776"/>
    </row>
    <row r="148" spans="2:11">
      <c r="B148" s="49"/>
      <c r="C148" s="8" t="s">
        <v>955</v>
      </c>
      <c r="D148" s="354">
        <f>+Spouse_Age_End</f>
        <v>90</v>
      </c>
      <c r="E148" s="1460">
        <v>90</v>
      </c>
      <c r="F148" s="212"/>
      <c r="G148" s="776"/>
      <c r="H148" s="776"/>
      <c r="I148" s="776"/>
      <c r="J148" s="776"/>
      <c r="K148" s="776"/>
    </row>
    <row r="149" spans="2:11">
      <c r="B149" s="49"/>
      <c r="E149" s="1460"/>
      <c r="G149" s="776"/>
      <c r="H149" s="776"/>
      <c r="I149" s="776"/>
      <c r="J149" s="776"/>
      <c r="K149" s="776"/>
    </row>
    <row r="150" spans="2:11">
      <c r="F150" s="212"/>
      <c r="G150" s="776"/>
      <c r="H150" s="776"/>
      <c r="I150" s="776"/>
      <c r="J150" s="776"/>
      <c r="K150" s="776"/>
    </row>
    <row r="151" spans="2:11">
      <c r="D151" s="354"/>
      <c r="F151" s="212"/>
      <c r="G151" s="776"/>
      <c r="H151" s="776"/>
      <c r="I151" s="776"/>
      <c r="J151" s="776"/>
      <c r="K151" s="776"/>
    </row>
    <row r="152" spans="2:11">
      <c r="D152" s="354"/>
      <c r="F152" s="212"/>
      <c r="G152" s="776"/>
      <c r="H152" s="776"/>
      <c r="I152" s="776"/>
      <c r="J152" s="776"/>
      <c r="K152" s="776"/>
    </row>
    <row r="153" spans="2:11">
      <c r="D153" s="8"/>
      <c r="F153" s="212"/>
      <c r="G153" s="776"/>
      <c r="H153" s="776"/>
      <c r="I153" s="776"/>
      <c r="J153" s="776"/>
      <c r="K153" s="776"/>
    </row>
    <row r="154" spans="2:11">
      <c r="F154" s="212"/>
      <c r="G154" s="776"/>
      <c r="H154" s="776"/>
      <c r="I154" s="776"/>
      <c r="J154" s="776"/>
      <c r="K154" s="776"/>
    </row>
    <row r="155" spans="2:11">
      <c r="F155" s="776"/>
      <c r="G155" s="776"/>
      <c r="H155" s="776"/>
      <c r="I155" s="776"/>
      <c r="J155" s="776"/>
      <c r="K155" s="776"/>
    </row>
    <row r="156" spans="2:11">
      <c r="F156" s="776"/>
      <c r="G156" s="776"/>
      <c r="H156" s="776"/>
      <c r="I156" s="776"/>
      <c r="J156" s="776"/>
      <c r="K156" s="776"/>
    </row>
    <row r="157" spans="2:11">
      <c r="F157" s="776"/>
      <c r="G157" s="776"/>
      <c r="H157" s="776"/>
      <c r="I157" s="776"/>
      <c r="J157" s="776"/>
      <c r="K157" s="776"/>
    </row>
    <row r="158" spans="2:11">
      <c r="F158" s="776"/>
      <c r="G158" s="776"/>
      <c r="H158" s="776"/>
      <c r="I158" s="776"/>
      <c r="J158" s="776"/>
      <c r="K158" s="776"/>
    </row>
    <row r="159" spans="2:11">
      <c r="F159" s="776"/>
      <c r="G159" s="776"/>
      <c r="H159" s="776"/>
      <c r="I159" s="776"/>
      <c r="J159" s="776"/>
      <c r="K159" s="776"/>
    </row>
    <row r="160" spans="2:11">
      <c r="F160" s="776"/>
      <c r="G160" s="776"/>
      <c r="H160" s="776"/>
      <c r="I160" s="776"/>
      <c r="J160" s="776"/>
      <c r="K160" s="776"/>
    </row>
    <row r="161" spans="4:11">
      <c r="D161" s="29"/>
      <c r="F161" s="776"/>
      <c r="G161" s="776"/>
      <c r="H161" s="776"/>
      <c r="I161" s="776"/>
      <c r="J161" s="776"/>
      <c r="K161" s="776"/>
    </row>
    <row r="162" spans="4:11">
      <c r="D162" s="29"/>
      <c r="F162" s="776"/>
      <c r="G162" s="776"/>
      <c r="H162" s="776"/>
      <c r="I162" s="776"/>
      <c r="J162" s="776"/>
      <c r="K162" s="776"/>
    </row>
    <row r="163" spans="4:11">
      <c r="D163" s="29"/>
      <c r="F163" s="776"/>
      <c r="G163" s="776"/>
      <c r="H163" s="776"/>
      <c r="I163" s="776"/>
      <c r="J163" s="776"/>
      <c r="K163" s="776"/>
    </row>
    <row r="164" spans="4:11">
      <c r="D164" s="8"/>
      <c r="F164" s="776"/>
      <c r="G164" s="776"/>
      <c r="H164" s="776"/>
      <c r="I164" s="776"/>
      <c r="J164" s="776"/>
      <c r="K164" s="776"/>
    </row>
    <row r="165" spans="4:11">
      <c r="D165" s="29"/>
      <c r="F165" s="776"/>
      <c r="G165" s="776"/>
      <c r="H165" s="776"/>
      <c r="I165" s="776"/>
      <c r="J165" s="776"/>
      <c r="K165" s="776"/>
    </row>
    <row r="166" spans="4:11">
      <c r="D166" s="29"/>
      <c r="F166" s="776"/>
      <c r="G166" s="776"/>
      <c r="H166" s="776"/>
      <c r="I166" s="776"/>
      <c r="J166" s="776"/>
      <c r="K166" s="776"/>
    </row>
    <row r="167" spans="4:11">
      <c r="D167" s="29"/>
      <c r="F167" s="776"/>
      <c r="G167" s="776"/>
      <c r="H167" s="776"/>
      <c r="I167" s="776"/>
      <c r="J167" s="776"/>
      <c r="K167" s="776"/>
    </row>
    <row r="168" spans="4:11">
      <c r="D168" s="29"/>
      <c r="F168" s="776"/>
      <c r="G168" s="776"/>
      <c r="H168" s="776"/>
      <c r="I168" s="776"/>
      <c r="J168" s="776"/>
      <c r="K168" s="776"/>
    </row>
    <row r="169" spans="4:11">
      <c r="F169" s="776"/>
      <c r="G169" s="776"/>
      <c r="H169" s="776"/>
      <c r="I169" s="776"/>
      <c r="J169" s="776"/>
      <c r="K169" s="776"/>
    </row>
    <row r="170" spans="4:11">
      <c r="F170" s="776"/>
      <c r="G170" s="776"/>
      <c r="H170" s="776"/>
      <c r="I170" s="776"/>
      <c r="J170" s="776"/>
      <c r="K170" s="776"/>
    </row>
    <row r="171" spans="4:11">
      <c r="F171" s="776"/>
      <c r="G171" s="776"/>
      <c r="H171" s="776"/>
      <c r="I171" s="776"/>
      <c r="J171" s="776"/>
      <c r="K171" s="776"/>
    </row>
    <row r="172" spans="4:11">
      <c r="F172" s="776"/>
      <c r="G172" s="776"/>
      <c r="H172" s="776"/>
      <c r="I172" s="776"/>
      <c r="J172" s="776"/>
      <c r="K172" s="776"/>
    </row>
    <row r="173" spans="4:11">
      <c r="F173" s="776"/>
      <c r="G173" s="776"/>
      <c r="H173" s="776"/>
      <c r="I173" s="776"/>
      <c r="J173" s="776"/>
      <c r="K173" s="776"/>
    </row>
    <row r="174" spans="4:11">
      <c r="F174" s="776"/>
      <c r="G174" s="776"/>
      <c r="H174" s="776"/>
      <c r="I174" s="776"/>
      <c r="J174" s="776"/>
      <c r="K174" s="776"/>
    </row>
    <row r="175" spans="4:11">
      <c r="F175" s="776"/>
      <c r="G175" s="776"/>
      <c r="H175" s="776"/>
      <c r="I175" s="776"/>
      <c r="J175" s="776"/>
      <c r="K175" s="776"/>
    </row>
    <row r="176" spans="4:11">
      <c r="F176" s="776"/>
      <c r="G176" s="776"/>
      <c r="H176" s="776"/>
      <c r="I176" s="776"/>
      <c r="J176" s="776"/>
      <c r="K176" s="776"/>
    </row>
    <row r="177" spans="6:11">
      <c r="F177" s="776"/>
      <c r="G177" s="776"/>
      <c r="H177" s="776"/>
      <c r="I177" s="776"/>
      <c r="J177" s="776"/>
      <c r="K177" s="776"/>
    </row>
    <row r="178" spans="6:11">
      <c r="F178" s="776"/>
      <c r="G178" s="776"/>
      <c r="H178" s="776"/>
      <c r="I178" s="776"/>
      <c r="J178" s="776"/>
      <c r="K178" s="776"/>
    </row>
    <row r="179" spans="6:11">
      <c r="F179" s="776"/>
      <c r="G179" s="776"/>
      <c r="H179" s="776"/>
      <c r="I179" s="776"/>
      <c r="J179" s="776"/>
      <c r="K179" s="776"/>
    </row>
  </sheetData>
  <sheetProtection sheet="1" objects="1" scenarios="1" formatCells="0" formatColumns="0" formatRows="0"/>
  <mergeCells count="17">
    <mergeCell ref="D13:E13"/>
    <mergeCell ref="AG16:AI16"/>
    <mergeCell ref="AK16:AM16"/>
    <mergeCell ref="AO16:AQ16"/>
    <mergeCell ref="BY16:CA16"/>
    <mergeCell ref="BE16:BG16"/>
    <mergeCell ref="BI16:BK16"/>
    <mergeCell ref="BM16:BO16"/>
    <mergeCell ref="BQ16:BS16"/>
    <mergeCell ref="BU16:BW16"/>
    <mergeCell ref="BA16:BC16"/>
    <mergeCell ref="AI62:AN62"/>
    <mergeCell ref="AP62:AZ62"/>
    <mergeCell ref="AS16:AU16"/>
    <mergeCell ref="AF63:AG63"/>
    <mergeCell ref="AU63:AV63"/>
    <mergeCell ref="AW16:AY16"/>
  </mergeCells>
  <phoneticPr fontId="13" type="noConversion"/>
  <hyperlinks>
    <hyperlink ref="I2" r:id="rId1" display="ORP - Optimal Retirement Planner.  An excellent retirement financial planning tool"/>
  </hyperlinks>
  <pageMargins left="0.75" right="0.75" top="1" bottom="1" header="0.5" footer="0.5"/>
  <pageSetup orientation="portrait" r:id="rId2"/>
  <headerFooter alignWithMargins="0"/>
  <drawing r:id="rId3"/>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810</vt:i4>
      </vt:variant>
    </vt:vector>
  </HeadingPairs>
  <TitlesOfParts>
    <vt:vector size="818" baseType="lpstr">
      <vt:lpstr>Readme</vt:lpstr>
      <vt:lpstr>Setup</vt:lpstr>
      <vt:lpstr>Summary</vt:lpstr>
      <vt:lpstr>Results</vt:lpstr>
      <vt:lpstr>Details</vt:lpstr>
      <vt:lpstr>Base</vt:lpstr>
      <vt:lpstr>Tax Tables</vt:lpstr>
      <vt:lpstr>ORP</vt:lpstr>
      <vt:lpstr>Activity_End</vt:lpstr>
      <vt:lpstr>Activity_Start</vt:lpstr>
      <vt:lpstr>Adj_Expenses</vt:lpstr>
      <vt:lpstr>Asset_Sale</vt:lpstr>
      <vt:lpstr>Asset_Sale_Age</vt:lpstr>
      <vt:lpstr>Asset_Sale_Age2</vt:lpstr>
      <vt:lpstr>Asset_Sale_Amt</vt:lpstr>
      <vt:lpstr>Asset_Sale_Amt2</vt:lpstr>
      <vt:lpstr>Asset_Sale2</vt:lpstr>
      <vt:lpstr>Auto_Spousal</vt:lpstr>
      <vt:lpstr>Auto_Spousal_Alt</vt:lpstr>
      <vt:lpstr>Automate</vt:lpstr>
      <vt:lpstr>Base_AGI</vt:lpstr>
      <vt:lpstr>Base_MAGI</vt:lpstr>
      <vt:lpstr>Base_Off</vt:lpstr>
      <vt:lpstr>BaseBalances</vt:lpstr>
      <vt:lpstr>BaseCase</vt:lpstr>
      <vt:lpstr>BaseChanges</vt:lpstr>
      <vt:lpstr>BaseEarnings</vt:lpstr>
      <vt:lpstr>BaseExpenses</vt:lpstr>
      <vt:lpstr>BaseSummary</vt:lpstr>
      <vt:lpstr>Bond_Alloc_Beg</vt:lpstr>
      <vt:lpstr>Bond_Alloc_BegTar</vt:lpstr>
      <vt:lpstr>Bond_Alloc_Chg</vt:lpstr>
      <vt:lpstr>Bond_Alloc_ChgTar</vt:lpstr>
      <vt:lpstr>Bond_Rate</vt:lpstr>
      <vt:lpstr>Bond_Roth</vt:lpstr>
      <vt:lpstr>Bond_Roth_2</vt:lpstr>
      <vt:lpstr>Bond_Roth2</vt:lpstr>
      <vt:lpstr>Bond_Roth22</vt:lpstr>
      <vt:lpstr>Bond_RothConv</vt:lpstr>
      <vt:lpstr>Bond_RothConv2</vt:lpstr>
      <vt:lpstr>Bond_Taxable</vt:lpstr>
      <vt:lpstr>Bond_Taxable2</vt:lpstr>
      <vt:lpstr>Bond_tIRA1</vt:lpstr>
      <vt:lpstr>Bond_tIRA12</vt:lpstr>
      <vt:lpstr>Bond_tIRA2</vt:lpstr>
      <vt:lpstr>Bond_tIRA22</vt:lpstr>
      <vt:lpstr>CaseData</vt:lpstr>
      <vt:lpstr>CaseResults</vt:lpstr>
      <vt:lpstr>Cash_Rate</vt:lpstr>
      <vt:lpstr>Cash_Roth</vt:lpstr>
      <vt:lpstr>Cash_Roth_2</vt:lpstr>
      <vt:lpstr>Cash_Roth_22</vt:lpstr>
      <vt:lpstr>Cash_Roth2</vt:lpstr>
      <vt:lpstr>Cash_RothConv</vt:lpstr>
      <vt:lpstr>Cash_RothConv2</vt:lpstr>
      <vt:lpstr>Cash_Taxable</vt:lpstr>
      <vt:lpstr>Cash_Taxable2</vt:lpstr>
      <vt:lpstr>Cash_tIRA1</vt:lpstr>
      <vt:lpstr>Cash_tIRA12</vt:lpstr>
      <vt:lpstr>Cash_tIRA2</vt:lpstr>
      <vt:lpstr>Cash_tIRA22</vt:lpstr>
      <vt:lpstr>Change_Age</vt:lpstr>
      <vt:lpstr>Change_year</vt:lpstr>
      <vt:lpstr>CompBalances</vt:lpstr>
      <vt:lpstr>CompChanges</vt:lpstr>
      <vt:lpstr>CompEarnings</vt:lpstr>
      <vt:lpstr>CompExpenses</vt:lpstr>
      <vt:lpstr>CompSummary</vt:lpstr>
      <vt:lpstr>Conv_10</vt:lpstr>
      <vt:lpstr>Conv_11</vt:lpstr>
      <vt:lpstr>Conv_12</vt:lpstr>
      <vt:lpstr>Conv_13</vt:lpstr>
      <vt:lpstr>Conv_14</vt:lpstr>
      <vt:lpstr>Conv_15</vt:lpstr>
      <vt:lpstr>Conv_16</vt:lpstr>
      <vt:lpstr>Conv_17</vt:lpstr>
      <vt:lpstr>Conv_18</vt:lpstr>
      <vt:lpstr>Conv_19</vt:lpstr>
      <vt:lpstr>Conv_2</vt:lpstr>
      <vt:lpstr>Conv_20</vt:lpstr>
      <vt:lpstr>Conv_21</vt:lpstr>
      <vt:lpstr>Conv_22</vt:lpstr>
      <vt:lpstr>Conv_23</vt:lpstr>
      <vt:lpstr>Conv_24</vt:lpstr>
      <vt:lpstr>Conv_25</vt:lpstr>
      <vt:lpstr>Conv_26</vt:lpstr>
      <vt:lpstr>Conv_27</vt:lpstr>
      <vt:lpstr>Conv_28</vt:lpstr>
      <vt:lpstr>Conv_29</vt:lpstr>
      <vt:lpstr>Conv_3</vt:lpstr>
      <vt:lpstr>Conv_30</vt:lpstr>
      <vt:lpstr>Conv_31</vt:lpstr>
      <vt:lpstr>Conv_32</vt:lpstr>
      <vt:lpstr>Conv_33</vt:lpstr>
      <vt:lpstr>Conv_34</vt:lpstr>
      <vt:lpstr>Conv_35</vt:lpstr>
      <vt:lpstr>Conv_36</vt:lpstr>
      <vt:lpstr>Conv_37</vt:lpstr>
      <vt:lpstr>Conv_38</vt:lpstr>
      <vt:lpstr>Conv_39</vt:lpstr>
      <vt:lpstr>Conv_4</vt:lpstr>
      <vt:lpstr>Conv_5</vt:lpstr>
      <vt:lpstr>Conv_6</vt:lpstr>
      <vt:lpstr>Conv_7</vt:lpstr>
      <vt:lpstr>Conv_8</vt:lpstr>
      <vt:lpstr>Conv_9</vt:lpstr>
      <vt:lpstr>Conv_End_Amt</vt:lpstr>
      <vt:lpstr>Conv_Start_Amt</vt:lpstr>
      <vt:lpstr>Conversions</vt:lpstr>
      <vt:lpstr>Correct_Start</vt:lpstr>
      <vt:lpstr>Current_Results</vt:lpstr>
      <vt:lpstr>Description</vt:lpstr>
      <vt:lpstr>Discount_Rate</vt:lpstr>
      <vt:lpstr>ED_Rounding</vt:lpstr>
      <vt:lpstr>End_Base1</vt:lpstr>
      <vt:lpstr>End_Base2</vt:lpstr>
      <vt:lpstr>End_Base3</vt:lpstr>
      <vt:lpstr>End_Compare1</vt:lpstr>
      <vt:lpstr>End_Compare2</vt:lpstr>
      <vt:lpstr>End_Compare3</vt:lpstr>
      <vt:lpstr>End_ExRoth</vt:lpstr>
      <vt:lpstr>End_ExRoth1_2</vt:lpstr>
      <vt:lpstr>End_ExRoth2</vt:lpstr>
      <vt:lpstr>End_InhIRA</vt:lpstr>
      <vt:lpstr>End_InhIRA2</vt:lpstr>
      <vt:lpstr>End_Itemized</vt:lpstr>
      <vt:lpstr>End_OInc_Long</vt:lpstr>
      <vt:lpstr>End_OInc_Long2</vt:lpstr>
      <vt:lpstr>End_OInc_Temp</vt:lpstr>
      <vt:lpstr>End_OInc_Temp2</vt:lpstr>
      <vt:lpstr>Error_Check</vt:lpstr>
      <vt:lpstr>Esc_Base1</vt:lpstr>
      <vt:lpstr>Esc_Base2</vt:lpstr>
      <vt:lpstr>Esc_Base3</vt:lpstr>
      <vt:lpstr>Esc_Compare1</vt:lpstr>
      <vt:lpstr>Esc_Compare2</vt:lpstr>
      <vt:lpstr>Esc_Compare3</vt:lpstr>
      <vt:lpstr>Esc_ExRoth</vt:lpstr>
      <vt:lpstr>Esc_ExRoth1_2</vt:lpstr>
      <vt:lpstr>Esc_ExRoth2</vt:lpstr>
      <vt:lpstr>Esc_Fed_Ded</vt:lpstr>
      <vt:lpstr>Esc_InhIRA</vt:lpstr>
      <vt:lpstr>Esc_InhIRA2</vt:lpstr>
      <vt:lpstr>Esc_Itemized</vt:lpstr>
      <vt:lpstr>Esc_OInc_Long</vt:lpstr>
      <vt:lpstr>Esc_OInc_Long2</vt:lpstr>
      <vt:lpstr>Esc_OInc_Temp</vt:lpstr>
      <vt:lpstr>Esc_OInc_Temp2</vt:lpstr>
      <vt:lpstr>Exclude_Taxes</vt:lpstr>
      <vt:lpstr>Exemptions_Add</vt:lpstr>
      <vt:lpstr>Exemptions_End</vt:lpstr>
      <vt:lpstr>Exemptions_Start</vt:lpstr>
      <vt:lpstr>Expenditure</vt:lpstr>
      <vt:lpstr>Expenditure_Age</vt:lpstr>
      <vt:lpstr>Expenditure_Age2</vt:lpstr>
      <vt:lpstr>Expenditure_Amt</vt:lpstr>
      <vt:lpstr>Expenditure_Amt2</vt:lpstr>
      <vt:lpstr>Expenditure2</vt:lpstr>
      <vt:lpstr>Expense_Change</vt:lpstr>
      <vt:lpstr>Expense_Chg_Year</vt:lpstr>
      <vt:lpstr>Expense_Total</vt:lpstr>
      <vt:lpstr>Filing_Status</vt:lpstr>
      <vt:lpstr>FilingJoint</vt:lpstr>
      <vt:lpstr>FilingSingle</vt:lpstr>
      <vt:lpstr>Final_Year</vt:lpstr>
      <vt:lpstr>First_Year</vt:lpstr>
      <vt:lpstr>FRA_PIA</vt:lpstr>
      <vt:lpstr>FRA_Spouse</vt:lpstr>
      <vt:lpstr>FRA_Spouse_Alt</vt:lpstr>
      <vt:lpstr>FRA_You</vt:lpstr>
      <vt:lpstr>FRA_You_Alt</vt:lpstr>
      <vt:lpstr>Full_AGI</vt:lpstr>
      <vt:lpstr>Full_MAGI</vt:lpstr>
      <vt:lpstr>FullBalances</vt:lpstr>
      <vt:lpstr>FullChanges</vt:lpstr>
      <vt:lpstr>FullEarnings</vt:lpstr>
      <vt:lpstr>FullExpenses</vt:lpstr>
      <vt:lpstr>FullSummary</vt:lpstr>
      <vt:lpstr>FullvsBase</vt:lpstr>
      <vt:lpstr>Heir_benefit</vt:lpstr>
      <vt:lpstr>iIRA_RMD_Age</vt:lpstr>
      <vt:lpstr>iIRA_RMD_Age2</vt:lpstr>
      <vt:lpstr>Include_Roth</vt:lpstr>
      <vt:lpstr>Income_OInc_Long</vt:lpstr>
      <vt:lpstr>Income_OInc_Long2</vt:lpstr>
      <vt:lpstr>Income_OInc_Temp</vt:lpstr>
      <vt:lpstr>Income_OInc_Temp2</vt:lpstr>
      <vt:lpstr>Inflation</vt:lpstr>
      <vt:lpstr>Inherit_Age</vt:lpstr>
      <vt:lpstr>Inherit_Age2</vt:lpstr>
      <vt:lpstr>Inherit_Taxable</vt:lpstr>
      <vt:lpstr>Inherit_Taxable2</vt:lpstr>
      <vt:lpstr>Inherit_tIRA</vt:lpstr>
      <vt:lpstr>Inherit_tIRA2</vt:lpstr>
      <vt:lpstr>Inheritance</vt:lpstr>
      <vt:lpstr>Inheritance2</vt:lpstr>
      <vt:lpstr>Inheritor</vt:lpstr>
      <vt:lpstr>Inheritor2</vt:lpstr>
      <vt:lpstr>IRA_RMD_Age</vt:lpstr>
      <vt:lpstr>IRA_RMD_Age2</vt:lpstr>
      <vt:lpstr>IRA1_Owner</vt:lpstr>
      <vt:lpstr>IRA2_Owner</vt:lpstr>
      <vt:lpstr>IRMAA</vt:lpstr>
      <vt:lpstr>Itemized</vt:lpstr>
      <vt:lpstr>Link1</vt:lpstr>
      <vt:lpstr>Link2</vt:lpstr>
      <vt:lpstr>Link3</vt:lpstr>
      <vt:lpstr>Link4</vt:lpstr>
      <vt:lpstr>Link5</vt:lpstr>
      <vt:lpstr>Link6</vt:lpstr>
      <vt:lpstr>Link7</vt:lpstr>
      <vt:lpstr>Links</vt:lpstr>
      <vt:lpstr>Living_Expenses</vt:lpstr>
      <vt:lpstr>M_Tax_1</vt:lpstr>
      <vt:lpstr>M_Tax_2</vt:lpstr>
      <vt:lpstr>M_Tax_3</vt:lpstr>
      <vt:lpstr>M_Tax_4</vt:lpstr>
      <vt:lpstr>M_Tax_5</vt:lpstr>
      <vt:lpstr>M_Tax_6</vt:lpstr>
      <vt:lpstr>M_Tax_7</vt:lpstr>
      <vt:lpstr>M_Tax_8</vt:lpstr>
      <vt:lpstr>MCapGain_B1</vt:lpstr>
      <vt:lpstr>MCapGain_B1_P</vt:lpstr>
      <vt:lpstr>MCapGain_B2</vt:lpstr>
      <vt:lpstr>MCapGain_B2_P</vt:lpstr>
      <vt:lpstr>MCapGain_R1</vt:lpstr>
      <vt:lpstr>MCapGain_R1_P</vt:lpstr>
      <vt:lpstr>MCapGain_R2</vt:lpstr>
      <vt:lpstr>MCapGain_R2_P</vt:lpstr>
      <vt:lpstr>MCapGain_R3</vt:lpstr>
      <vt:lpstr>MCapGain_R3_P</vt:lpstr>
      <vt:lpstr>Medicare_B</vt:lpstr>
      <vt:lpstr>Medicare_D</vt:lpstr>
      <vt:lpstr>Medicare_MAGI_1</vt:lpstr>
      <vt:lpstr>Medicare_MAGI_2</vt:lpstr>
      <vt:lpstr>MM_Alloc_Beg</vt:lpstr>
      <vt:lpstr>MM_Alloc_BegTar</vt:lpstr>
      <vt:lpstr>MM_Alloc_Chg</vt:lpstr>
      <vt:lpstr>MM_Alloc_ChgTar</vt:lpstr>
      <vt:lpstr>negative_base</vt:lpstr>
      <vt:lpstr>Negative_Full</vt:lpstr>
      <vt:lpstr>OtherDataTables</vt:lpstr>
      <vt:lpstr>P1_S</vt:lpstr>
      <vt:lpstr>P1_Top</vt:lpstr>
      <vt:lpstr>P2_S</vt:lpstr>
      <vt:lpstr>P2_Top</vt:lpstr>
      <vt:lpstr>P3_S</vt:lpstr>
      <vt:lpstr>P3_Top</vt:lpstr>
      <vt:lpstr>P4_E</vt:lpstr>
      <vt:lpstr>P4_S</vt:lpstr>
      <vt:lpstr>P4_Top</vt:lpstr>
      <vt:lpstr>P6_S</vt:lpstr>
      <vt:lpstr>Pen_Tax_State</vt:lpstr>
      <vt:lpstr>Pen_Tax_State2</vt:lpstr>
      <vt:lpstr>PortfolioActivity</vt:lpstr>
      <vt:lpstr>Base!Print_Area</vt:lpstr>
      <vt:lpstr>Details!Print_Area</vt:lpstr>
      <vt:lpstr>Readme!Print_Area</vt:lpstr>
      <vt:lpstr>Results!Print_Area</vt:lpstr>
      <vt:lpstr>Setup!Print_Area</vt:lpstr>
      <vt:lpstr>Summary!Print_Area</vt:lpstr>
      <vt:lpstr>QCD_Age1</vt:lpstr>
      <vt:lpstr>QCD_Age2</vt:lpstr>
      <vt:lpstr>QCD_Amt1</vt:lpstr>
      <vt:lpstr>QCD_Amt2</vt:lpstr>
      <vt:lpstr>QCD_Src1</vt:lpstr>
      <vt:lpstr>QCD_Src2</vt:lpstr>
      <vt:lpstr>QCD_Tot1</vt:lpstr>
      <vt:lpstr>QCD_Tot2</vt:lpstr>
      <vt:lpstr>QCD1_Cnt</vt:lpstr>
      <vt:lpstr>QCD1_Name</vt:lpstr>
      <vt:lpstr>QCD2_Cnt</vt:lpstr>
      <vt:lpstr>QCD2_Name</vt:lpstr>
      <vt:lpstr>QR_1</vt:lpstr>
      <vt:lpstr>QR_2</vt:lpstr>
      <vt:lpstr>QR_3</vt:lpstr>
      <vt:lpstr>Qual1</vt:lpstr>
      <vt:lpstr>Quick_End</vt:lpstr>
      <vt:lpstr>Quick_Start</vt:lpstr>
      <vt:lpstr>Result1</vt:lpstr>
      <vt:lpstr>Result1a</vt:lpstr>
      <vt:lpstr>Result1b</vt:lpstr>
      <vt:lpstr>Result1e</vt:lpstr>
      <vt:lpstr>Result2</vt:lpstr>
      <vt:lpstr>Result2a</vt:lpstr>
      <vt:lpstr>Result2b</vt:lpstr>
      <vt:lpstr>Result2e</vt:lpstr>
      <vt:lpstr>Result3</vt:lpstr>
      <vt:lpstr>Result3a</vt:lpstr>
      <vt:lpstr>Result3b</vt:lpstr>
      <vt:lpstr>Result3e</vt:lpstr>
      <vt:lpstr>Results_End</vt:lpstr>
      <vt:lpstr>Results_Start</vt:lpstr>
      <vt:lpstr>RM_Change</vt:lpstr>
      <vt:lpstr>RM_Disclaimer</vt:lpstr>
      <vt:lpstr>RM_Feat</vt:lpstr>
      <vt:lpstr>RM_Key</vt:lpstr>
      <vt:lpstr>RM_Links</vt:lpstr>
      <vt:lpstr>RM_Macros</vt:lpstr>
      <vt:lpstr>RM_Quick</vt:lpstr>
      <vt:lpstr>RM_Sheets</vt:lpstr>
      <vt:lpstr>RMD_Est</vt:lpstr>
      <vt:lpstr>RMD_Table</vt:lpstr>
      <vt:lpstr>Roth_Begin</vt:lpstr>
      <vt:lpstr>Roth_Conversion</vt:lpstr>
      <vt:lpstr>Roth_Convert</vt:lpstr>
      <vt:lpstr>Roth_End</vt:lpstr>
      <vt:lpstr>Roth_Esc</vt:lpstr>
      <vt:lpstr>Roth_Method</vt:lpstr>
      <vt:lpstr>Roth_Rate</vt:lpstr>
      <vt:lpstr>Roth_Return</vt:lpstr>
      <vt:lpstr>Roth_Return2</vt:lpstr>
      <vt:lpstr>Roth_Start</vt:lpstr>
      <vt:lpstr>Roth_Total</vt:lpstr>
      <vt:lpstr>Roth_W_End</vt:lpstr>
      <vt:lpstr>Roth_W_Esc</vt:lpstr>
      <vt:lpstr>Roth_W_Start</vt:lpstr>
      <vt:lpstr>Roth_With</vt:lpstr>
      <vt:lpstr>Roth_With_Total</vt:lpstr>
      <vt:lpstr>Roth1_Add</vt:lpstr>
      <vt:lpstr>Roth1_End</vt:lpstr>
      <vt:lpstr>Roth1_Esc</vt:lpstr>
      <vt:lpstr>Roth1_Start</vt:lpstr>
      <vt:lpstr>Roth2_Begin</vt:lpstr>
      <vt:lpstr>Roth2_Rate</vt:lpstr>
      <vt:lpstr>Roth2_Return</vt:lpstr>
      <vt:lpstr>Roth2_Return2</vt:lpstr>
      <vt:lpstr>RothAnalysis</vt:lpstr>
      <vt:lpstr>RothConv_Rate</vt:lpstr>
      <vt:lpstr>RothConv_Return</vt:lpstr>
      <vt:lpstr>RothConv_Return2</vt:lpstr>
      <vt:lpstr>RothSum_End</vt:lpstr>
      <vt:lpstr>RothSum_Start</vt:lpstr>
      <vt:lpstr>Round_To</vt:lpstr>
      <vt:lpstr>S_Tax_1</vt:lpstr>
      <vt:lpstr>S_Tax_2</vt:lpstr>
      <vt:lpstr>S_Tax_3</vt:lpstr>
      <vt:lpstr>S_Tax_4</vt:lpstr>
      <vt:lpstr>S_Tax_5</vt:lpstr>
      <vt:lpstr>S_Tax_6</vt:lpstr>
      <vt:lpstr>S_Tax_7</vt:lpstr>
      <vt:lpstr>S_Tax_8</vt:lpstr>
      <vt:lpstr>SCapGain_B1</vt:lpstr>
      <vt:lpstr>SCapGain_B1_P</vt:lpstr>
      <vt:lpstr>SCapGain_B2</vt:lpstr>
      <vt:lpstr>SCapGain_B2_P</vt:lpstr>
      <vt:lpstr>SCapGain_R1</vt:lpstr>
      <vt:lpstr>SCapGain_R1_P</vt:lpstr>
      <vt:lpstr>SCapGain_R2</vt:lpstr>
      <vt:lpstr>SCapGain_R2_P</vt:lpstr>
      <vt:lpstr>SCapGain_R3</vt:lpstr>
      <vt:lpstr>SCapGain_R3_P</vt:lpstr>
      <vt:lpstr>SE_Text1</vt:lpstr>
      <vt:lpstr>SE_Text2</vt:lpstr>
      <vt:lpstr>SE_Text3</vt:lpstr>
      <vt:lpstr>SE_Text4</vt:lpstr>
      <vt:lpstr>Setup_0</vt:lpstr>
      <vt:lpstr>Setup_1</vt:lpstr>
      <vt:lpstr>Setup_10</vt:lpstr>
      <vt:lpstr>Setup_2</vt:lpstr>
      <vt:lpstr>Setup_3</vt:lpstr>
      <vt:lpstr>Setup_4</vt:lpstr>
      <vt:lpstr>Setup_5</vt:lpstr>
      <vt:lpstr>Setup_6</vt:lpstr>
      <vt:lpstr>Setup_7</vt:lpstr>
      <vt:lpstr>Setup_8</vt:lpstr>
      <vt:lpstr>Setup_9</vt:lpstr>
      <vt:lpstr>Setup_Brackets</vt:lpstr>
      <vt:lpstr>Shape_Expenses</vt:lpstr>
      <vt:lpstr>Shape_IRA_Conv</vt:lpstr>
      <vt:lpstr>Shape_IRA_E</vt:lpstr>
      <vt:lpstr>Shape_IRA_F</vt:lpstr>
      <vt:lpstr>Shape_IRA_Inh</vt:lpstr>
      <vt:lpstr>Shape_IRA_RMD</vt:lpstr>
      <vt:lpstr>Shape_IRA_S</vt:lpstr>
      <vt:lpstr>Shape_IRA_W</vt:lpstr>
      <vt:lpstr>Shape_Other</vt:lpstr>
      <vt:lpstr>Shape_Portfolio</vt:lpstr>
      <vt:lpstr>Shape_Portfolio_S</vt:lpstr>
      <vt:lpstr>Shape_Roth_E</vt:lpstr>
      <vt:lpstr>Shape_Roth_F</vt:lpstr>
      <vt:lpstr>Shape_Roth_S</vt:lpstr>
      <vt:lpstr>Shape_Roth_W</vt:lpstr>
      <vt:lpstr>Shape_Special</vt:lpstr>
      <vt:lpstr>Shape_SS</vt:lpstr>
      <vt:lpstr>Shape_Taxable_E</vt:lpstr>
      <vt:lpstr>Shape_Taxable_F</vt:lpstr>
      <vt:lpstr>Shape_Taxable_S</vt:lpstr>
      <vt:lpstr>Shape_Taxes</vt:lpstr>
      <vt:lpstr>Single_Rate_Start</vt:lpstr>
      <vt:lpstr>SPIA_Age</vt:lpstr>
      <vt:lpstr>SPIA_Amt</vt:lpstr>
      <vt:lpstr>SPIA_End</vt:lpstr>
      <vt:lpstr>SPIA_Esc</vt:lpstr>
      <vt:lpstr>SPIA_Excl</vt:lpstr>
      <vt:lpstr>SPIA_From</vt:lpstr>
      <vt:lpstr>SPIA_Income</vt:lpstr>
      <vt:lpstr>SPIA_Start</vt:lpstr>
      <vt:lpstr>Spousal_CA</vt:lpstr>
      <vt:lpstr>Spousal_CA_Alt</vt:lpstr>
      <vt:lpstr>Spousal_SS</vt:lpstr>
      <vt:lpstr>Spousal_SS_Alt</vt:lpstr>
      <vt:lpstr>Spouse_Age</vt:lpstr>
      <vt:lpstr>Spouse_Age_End</vt:lpstr>
      <vt:lpstr>Spouse_End</vt:lpstr>
      <vt:lpstr>Spouse_End_Input</vt:lpstr>
      <vt:lpstr>Spouse_SB</vt:lpstr>
      <vt:lpstr>Spouse_SB_Alt</vt:lpstr>
      <vt:lpstr>Spouse_Spousal</vt:lpstr>
      <vt:lpstr>Spouse_Spousal_Alt</vt:lpstr>
      <vt:lpstr>Spouse_SS</vt:lpstr>
      <vt:lpstr>Spouse_SS_Add</vt:lpstr>
      <vt:lpstr>Spouse_SS_Add_Alt</vt:lpstr>
      <vt:lpstr>Spouse_SS_Alt</vt:lpstr>
      <vt:lpstr>Spouse_SS_Benefits</vt:lpstr>
      <vt:lpstr>Spouse_SS_CA</vt:lpstr>
      <vt:lpstr>Spouse_SS_CA_Alt</vt:lpstr>
      <vt:lpstr>Spouse_SS_Calc</vt:lpstr>
      <vt:lpstr>Spouse_SS_Calc_Alt</vt:lpstr>
      <vt:lpstr>Spouse_SS_End</vt:lpstr>
      <vt:lpstr>Spouse_SS_End_Alt</vt:lpstr>
      <vt:lpstr>Spouse_SS_Start</vt:lpstr>
      <vt:lpstr>Spouse_SS_Start_Alt</vt:lpstr>
      <vt:lpstr>Spouse_SS_Year</vt:lpstr>
      <vt:lpstr>Spouse_SSAlt_Year</vt:lpstr>
      <vt:lpstr>SS_Add</vt:lpstr>
      <vt:lpstr>SS_Add_Alt</vt:lpstr>
      <vt:lpstr>SS_Add_Alt_Sp</vt:lpstr>
      <vt:lpstr>SS_Add_End</vt:lpstr>
      <vt:lpstr>SS_Add_End_Alt</vt:lpstr>
      <vt:lpstr>SS_Add_End_Alt_Sp</vt:lpstr>
      <vt:lpstr>SS_Add_End_Sp</vt:lpstr>
      <vt:lpstr>SS_Add_Sp</vt:lpstr>
      <vt:lpstr>SS_Add_Start</vt:lpstr>
      <vt:lpstr>SS_Add_Start_Alt</vt:lpstr>
      <vt:lpstr>SS_Add_Start_Alt_Sp</vt:lpstr>
      <vt:lpstr>SS_Add_Start_Sp</vt:lpstr>
      <vt:lpstr>SS_COLA</vt:lpstr>
      <vt:lpstr>SS_COLA_Alt</vt:lpstr>
      <vt:lpstr>SS_Comparison</vt:lpstr>
      <vt:lpstr>SS_re_pc</vt:lpstr>
      <vt:lpstr>SS_re_pc_alt</vt:lpstr>
      <vt:lpstr>SS_re_yr</vt:lpstr>
      <vt:lpstr>SS_re_yr_alt</vt:lpstr>
      <vt:lpstr>SS_Started</vt:lpstr>
      <vt:lpstr>SS_Started_Alt</vt:lpstr>
      <vt:lpstr>SS_Tax_State</vt:lpstr>
      <vt:lpstr>SS_Tax_State2</vt:lpstr>
      <vt:lpstr>SSAnalysis</vt:lpstr>
      <vt:lpstr>Start_Base1</vt:lpstr>
      <vt:lpstr>Start_Base2</vt:lpstr>
      <vt:lpstr>Start_Base3</vt:lpstr>
      <vt:lpstr>Start_Compare1</vt:lpstr>
      <vt:lpstr>Start_Compare2</vt:lpstr>
      <vt:lpstr>Start_Compare3</vt:lpstr>
      <vt:lpstr>Start_ExRoth</vt:lpstr>
      <vt:lpstr>Start_ExRoth1_2</vt:lpstr>
      <vt:lpstr>Start_ExRoth2</vt:lpstr>
      <vt:lpstr>Start_InhIRA</vt:lpstr>
      <vt:lpstr>Start_InhIRA2</vt:lpstr>
      <vt:lpstr>Start_OInc_Long</vt:lpstr>
      <vt:lpstr>Start_OInc_Long2</vt:lpstr>
      <vt:lpstr>Start_OInc_Temp</vt:lpstr>
      <vt:lpstr>Start_OInc_Temp2</vt:lpstr>
      <vt:lpstr>State_AGI</vt:lpstr>
      <vt:lpstr>State_Br_Amt1</vt:lpstr>
      <vt:lpstr>State_Br_Amt2</vt:lpstr>
      <vt:lpstr>State_Br_Per1</vt:lpstr>
      <vt:lpstr>State_Br_Per2</vt:lpstr>
      <vt:lpstr>State_Br_Per3</vt:lpstr>
      <vt:lpstr>State_Deduct</vt:lpstr>
      <vt:lpstr>State_Method</vt:lpstr>
      <vt:lpstr>State_Move_Age</vt:lpstr>
      <vt:lpstr>State_PE</vt:lpstr>
      <vt:lpstr>State_Rate</vt:lpstr>
      <vt:lpstr>State_Rate2</vt:lpstr>
      <vt:lpstr>State_SD</vt:lpstr>
      <vt:lpstr>State2_Br_Amt1</vt:lpstr>
      <vt:lpstr>State2_Br_Amt2</vt:lpstr>
      <vt:lpstr>State2_Br_Amt3</vt:lpstr>
      <vt:lpstr>State2_Br_Per1</vt:lpstr>
      <vt:lpstr>State2_Br_Per2</vt:lpstr>
      <vt:lpstr>State2_Br_Per3</vt:lpstr>
      <vt:lpstr>State2_Deduct</vt:lpstr>
      <vt:lpstr>State2_PE</vt:lpstr>
      <vt:lpstr>State2_SD</vt:lpstr>
      <vt:lpstr>Status_ORP</vt:lpstr>
      <vt:lpstr>Status_Readme</vt:lpstr>
      <vt:lpstr>Status_Tax</vt:lpstr>
      <vt:lpstr>Stock_Alloc_Beg</vt:lpstr>
      <vt:lpstr>Stock_Alloc_BegTar</vt:lpstr>
      <vt:lpstr>Stock_Alloc_Chg</vt:lpstr>
      <vt:lpstr>Stock_Alloc_ChgTar</vt:lpstr>
      <vt:lpstr>Stock_Rate</vt:lpstr>
      <vt:lpstr>Stock_Roth</vt:lpstr>
      <vt:lpstr>Stock_Roth_2</vt:lpstr>
      <vt:lpstr>Stock_Roth2</vt:lpstr>
      <vt:lpstr>Stock_Roth22</vt:lpstr>
      <vt:lpstr>Stock_RothConv</vt:lpstr>
      <vt:lpstr>Stock_RothConv2</vt:lpstr>
      <vt:lpstr>Stock_Taxable</vt:lpstr>
      <vt:lpstr>Stock_Taxable2</vt:lpstr>
      <vt:lpstr>Stock_tIRA1</vt:lpstr>
      <vt:lpstr>Stock_tIRA12</vt:lpstr>
      <vt:lpstr>Stock_tIRA2</vt:lpstr>
      <vt:lpstr>Stock_tIRA22</vt:lpstr>
      <vt:lpstr>Store_10</vt:lpstr>
      <vt:lpstr>Store_11</vt:lpstr>
      <vt:lpstr>Store_12</vt:lpstr>
      <vt:lpstr>Store_13</vt:lpstr>
      <vt:lpstr>Store_14</vt:lpstr>
      <vt:lpstr>Store_15</vt:lpstr>
      <vt:lpstr>Store_16</vt:lpstr>
      <vt:lpstr>Store_17</vt:lpstr>
      <vt:lpstr>Store_18</vt:lpstr>
      <vt:lpstr>Store_19</vt:lpstr>
      <vt:lpstr>Store_2</vt:lpstr>
      <vt:lpstr>Store_20</vt:lpstr>
      <vt:lpstr>Store_21</vt:lpstr>
      <vt:lpstr>Store_22</vt:lpstr>
      <vt:lpstr>Store_23</vt:lpstr>
      <vt:lpstr>Store_24</vt:lpstr>
      <vt:lpstr>Store_25</vt:lpstr>
      <vt:lpstr>Store_26</vt:lpstr>
      <vt:lpstr>Store_27</vt:lpstr>
      <vt:lpstr>Store_28</vt:lpstr>
      <vt:lpstr>Store_29</vt:lpstr>
      <vt:lpstr>Store_3</vt:lpstr>
      <vt:lpstr>Store_30</vt:lpstr>
      <vt:lpstr>Store_31</vt:lpstr>
      <vt:lpstr>Store_32</vt:lpstr>
      <vt:lpstr>Store_33</vt:lpstr>
      <vt:lpstr>Store_34</vt:lpstr>
      <vt:lpstr>Store_35</vt:lpstr>
      <vt:lpstr>Store_36</vt:lpstr>
      <vt:lpstr>Store_37</vt:lpstr>
      <vt:lpstr>Store_38</vt:lpstr>
      <vt:lpstr>Store_39</vt:lpstr>
      <vt:lpstr>Store_4</vt:lpstr>
      <vt:lpstr>Store_5</vt:lpstr>
      <vt:lpstr>Store_6</vt:lpstr>
      <vt:lpstr>Store_7</vt:lpstr>
      <vt:lpstr>Store_8</vt:lpstr>
      <vt:lpstr>Store_9</vt:lpstr>
      <vt:lpstr>Store_End_Amt</vt:lpstr>
      <vt:lpstr>Store_Start_Amt</vt:lpstr>
      <vt:lpstr>Store1</vt:lpstr>
      <vt:lpstr>Store2</vt:lpstr>
      <vt:lpstr>Store3</vt:lpstr>
      <vt:lpstr>Store4</vt:lpstr>
      <vt:lpstr>Sum_Rnd</vt:lpstr>
      <vt:lpstr>Summary_End</vt:lpstr>
      <vt:lpstr>Summary_SH</vt:lpstr>
      <vt:lpstr>Summary_Start</vt:lpstr>
      <vt:lpstr>Tax_Calc_1</vt:lpstr>
      <vt:lpstr>Tax_Calc_10</vt:lpstr>
      <vt:lpstr>Tax_Calc_11</vt:lpstr>
      <vt:lpstr>Tax_Calc_12</vt:lpstr>
      <vt:lpstr>Tax_Calc_13</vt:lpstr>
      <vt:lpstr>Tax_Calc_14</vt:lpstr>
      <vt:lpstr>Tax_Calc_15</vt:lpstr>
      <vt:lpstr>Tax_Calc_16</vt:lpstr>
      <vt:lpstr>Tax_Calc_17</vt:lpstr>
      <vt:lpstr>Tax_Calc_18</vt:lpstr>
      <vt:lpstr>Tax_Calc_2</vt:lpstr>
      <vt:lpstr>Tax_Calc_3</vt:lpstr>
      <vt:lpstr>Tax_Calc_4</vt:lpstr>
      <vt:lpstr>Tax_Calc_5</vt:lpstr>
      <vt:lpstr>Tax_Calc_6</vt:lpstr>
      <vt:lpstr>Tax_Calc_7</vt:lpstr>
      <vt:lpstr>Tax_Calc_8</vt:lpstr>
      <vt:lpstr>Tax_Calc_9</vt:lpstr>
      <vt:lpstr>Tax_Calc_Year</vt:lpstr>
      <vt:lpstr>Tax_Calc9</vt:lpstr>
      <vt:lpstr>Tax_Esc</vt:lpstr>
      <vt:lpstr>Tax_Esc_Input</vt:lpstr>
      <vt:lpstr>Tax_Est</vt:lpstr>
      <vt:lpstr>Tax_Rates_Alt</vt:lpstr>
      <vt:lpstr>Tax_Rates_Year</vt:lpstr>
      <vt:lpstr>Tax_Rounding</vt:lpstr>
      <vt:lpstr>Tax_View</vt:lpstr>
      <vt:lpstr>Tax_Year</vt:lpstr>
      <vt:lpstr>Tax_Yr_C</vt:lpstr>
      <vt:lpstr>Tax_Yr_P</vt:lpstr>
      <vt:lpstr>Taxable_Adj1</vt:lpstr>
      <vt:lpstr>Taxable_Adj2</vt:lpstr>
      <vt:lpstr>Taxable_Adj3</vt:lpstr>
      <vt:lpstr>Taxable_Adj4</vt:lpstr>
      <vt:lpstr>Taxable_Begin</vt:lpstr>
      <vt:lpstr>Taxable_LTCG_Adj</vt:lpstr>
      <vt:lpstr>Taxable_Min</vt:lpstr>
      <vt:lpstr>Taxable_Rate</vt:lpstr>
      <vt:lpstr>Taxable_Return</vt:lpstr>
      <vt:lpstr>Taxable_Return2</vt:lpstr>
      <vt:lpstr>Taxable_Tax_Rate</vt:lpstr>
      <vt:lpstr>TaxC_M_1A</vt:lpstr>
      <vt:lpstr>TaxC_M_1E</vt:lpstr>
      <vt:lpstr>TaxC_M_1R</vt:lpstr>
      <vt:lpstr>TaxC_M_1S</vt:lpstr>
      <vt:lpstr>TaxC_M_2A</vt:lpstr>
      <vt:lpstr>TaxC_M_2E</vt:lpstr>
      <vt:lpstr>TaxC_M_2R</vt:lpstr>
      <vt:lpstr>TaxC_M_2S</vt:lpstr>
      <vt:lpstr>TaxC_M_3A</vt:lpstr>
      <vt:lpstr>TaxC_M_3E</vt:lpstr>
      <vt:lpstr>TaxC_M_3R</vt:lpstr>
      <vt:lpstr>TaxC_M_3S</vt:lpstr>
      <vt:lpstr>TaxC_M_4A</vt:lpstr>
      <vt:lpstr>TaxC_M_4E</vt:lpstr>
      <vt:lpstr>TaxC_M_4R</vt:lpstr>
      <vt:lpstr>TaxC_M_4S</vt:lpstr>
      <vt:lpstr>TaxC_M_5A</vt:lpstr>
      <vt:lpstr>TaxC_M_5E</vt:lpstr>
      <vt:lpstr>TaxC_M_5R</vt:lpstr>
      <vt:lpstr>TaxC_M_5S</vt:lpstr>
      <vt:lpstr>TaxC_M_6A</vt:lpstr>
      <vt:lpstr>TaxC_M_6E</vt:lpstr>
      <vt:lpstr>TaxC_M_6R</vt:lpstr>
      <vt:lpstr>TaxC_M_6S</vt:lpstr>
      <vt:lpstr>TaxC_M_7R</vt:lpstr>
      <vt:lpstr>TaxC_M_7S</vt:lpstr>
      <vt:lpstr>TaxC_S_1A</vt:lpstr>
      <vt:lpstr>TaxC_S_1E</vt:lpstr>
      <vt:lpstr>TaxC_S_1R</vt:lpstr>
      <vt:lpstr>TaxC_S_1S</vt:lpstr>
      <vt:lpstr>TaxC_S_2A</vt:lpstr>
      <vt:lpstr>TaxC_S_2E</vt:lpstr>
      <vt:lpstr>TaxC_S_2R</vt:lpstr>
      <vt:lpstr>TaxC_S_2S</vt:lpstr>
      <vt:lpstr>TaxC_S_3A</vt:lpstr>
      <vt:lpstr>TaxC_S_3E</vt:lpstr>
      <vt:lpstr>TaxC_S_3R</vt:lpstr>
      <vt:lpstr>TaxC_S_3S</vt:lpstr>
      <vt:lpstr>TaxC_S_4A</vt:lpstr>
      <vt:lpstr>TaxC_S_4E</vt:lpstr>
      <vt:lpstr>TaxC_S_4R</vt:lpstr>
      <vt:lpstr>TaxC_S_4S</vt:lpstr>
      <vt:lpstr>TaxC_S_5A</vt:lpstr>
      <vt:lpstr>TaxC_S_5E</vt:lpstr>
      <vt:lpstr>TaxC_S_5R</vt:lpstr>
      <vt:lpstr>TaxC_S_5S</vt:lpstr>
      <vt:lpstr>TaxC_S_6A</vt:lpstr>
      <vt:lpstr>TaxC_S_6E</vt:lpstr>
      <vt:lpstr>TaxC_S_6R</vt:lpstr>
      <vt:lpstr>TaxC_S_6S</vt:lpstr>
      <vt:lpstr>TaxC_S_7R</vt:lpstr>
      <vt:lpstr>TaxC_S_7S</vt:lpstr>
      <vt:lpstr>TaxCalc_Status</vt:lpstr>
      <vt:lpstr>TaxCalc_Year</vt:lpstr>
      <vt:lpstr>Taxes</vt:lpstr>
      <vt:lpstr>Taxes_End</vt:lpstr>
      <vt:lpstr>Taxes_Start</vt:lpstr>
      <vt:lpstr>TaxEx_Alloc_Beg</vt:lpstr>
      <vt:lpstr>TaxEx_Alloc_BegTar</vt:lpstr>
      <vt:lpstr>TaxEx_Alloc_Chg</vt:lpstr>
      <vt:lpstr>TaxEx_Alloc_ChgTar</vt:lpstr>
      <vt:lpstr>TaxEx_Rate</vt:lpstr>
      <vt:lpstr>TaxEx_State</vt:lpstr>
      <vt:lpstr>TaxEx_State2</vt:lpstr>
      <vt:lpstr>TaxEx_Taxable</vt:lpstr>
      <vt:lpstr>TaxEx_Taxable2</vt:lpstr>
      <vt:lpstr>TaxFactors</vt:lpstr>
      <vt:lpstr>TaxP_M_1A</vt:lpstr>
      <vt:lpstr>TaxP_M_1E</vt:lpstr>
      <vt:lpstr>TaxP_M_1R</vt:lpstr>
      <vt:lpstr>TaxP_M_1S</vt:lpstr>
      <vt:lpstr>TaxP_M_2A</vt:lpstr>
      <vt:lpstr>TaxP_M_2E</vt:lpstr>
      <vt:lpstr>TaxP_M_2R</vt:lpstr>
      <vt:lpstr>TaxP_M_2S</vt:lpstr>
      <vt:lpstr>TaxP_M_3A</vt:lpstr>
      <vt:lpstr>TaxP_M_3E</vt:lpstr>
      <vt:lpstr>TaxP_M_3R</vt:lpstr>
      <vt:lpstr>TaxP_M_3S</vt:lpstr>
      <vt:lpstr>TaxP_M_4A</vt:lpstr>
      <vt:lpstr>TaxP_M_4E</vt:lpstr>
      <vt:lpstr>TaxP_M_4R</vt:lpstr>
      <vt:lpstr>TaxP_M_4S</vt:lpstr>
      <vt:lpstr>TaxP_M_5A</vt:lpstr>
      <vt:lpstr>TaxP_M_5E</vt:lpstr>
      <vt:lpstr>TaxP_M_5R</vt:lpstr>
      <vt:lpstr>TaxP_M_5S</vt:lpstr>
      <vt:lpstr>TaxP_M_6A</vt:lpstr>
      <vt:lpstr>TaxP_M_6E</vt:lpstr>
      <vt:lpstr>TaxP_M_6R</vt:lpstr>
      <vt:lpstr>TaxP_M_6S</vt:lpstr>
      <vt:lpstr>TaxP_M_7R</vt:lpstr>
      <vt:lpstr>TaxP_M_7S</vt:lpstr>
      <vt:lpstr>TaxP_S_1A</vt:lpstr>
      <vt:lpstr>TaxP_S_1E</vt:lpstr>
      <vt:lpstr>TaxP_S_1R</vt:lpstr>
      <vt:lpstr>TaxP_S_1S</vt:lpstr>
      <vt:lpstr>TaxP_S_2A</vt:lpstr>
      <vt:lpstr>TaxP_S_2E</vt:lpstr>
      <vt:lpstr>TaxP_S_2R</vt:lpstr>
      <vt:lpstr>TaxP_S_2S</vt:lpstr>
      <vt:lpstr>TaxP_S_3A</vt:lpstr>
      <vt:lpstr>TaxP_S_3E</vt:lpstr>
      <vt:lpstr>TaxP_S_3R</vt:lpstr>
      <vt:lpstr>TaxP_S_3S</vt:lpstr>
      <vt:lpstr>TaxP_S_4A</vt:lpstr>
      <vt:lpstr>TaxP_S_4E</vt:lpstr>
      <vt:lpstr>TaxP_S_4R</vt:lpstr>
      <vt:lpstr>TaxP_S_4S</vt:lpstr>
      <vt:lpstr>TaxP_S_5A</vt:lpstr>
      <vt:lpstr>TaxP_S_5E</vt:lpstr>
      <vt:lpstr>TaxP_S_5R</vt:lpstr>
      <vt:lpstr>TaxP_S_5S</vt:lpstr>
      <vt:lpstr>TaxP_S_6A</vt:lpstr>
      <vt:lpstr>TaxP_S_6E</vt:lpstr>
      <vt:lpstr>TaxP_S_6R</vt:lpstr>
      <vt:lpstr>TaxP_S_6S</vt:lpstr>
      <vt:lpstr>TaxP_S_7R</vt:lpstr>
      <vt:lpstr>TaxP_S_7S</vt:lpstr>
      <vt:lpstr>Test_Age_S</vt:lpstr>
      <vt:lpstr>Test_Age_Y</vt:lpstr>
      <vt:lpstr>Test_COLA</vt:lpstr>
      <vt:lpstr>Test_FRA_S</vt:lpstr>
      <vt:lpstr>Test_FRA_Y</vt:lpstr>
      <vt:lpstr>Test_PIA_S</vt:lpstr>
      <vt:lpstr>Test_PIA_Y</vt:lpstr>
      <vt:lpstr>tIRA_Begin</vt:lpstr>
      <vt:lpstr>tIRA_Begin2</vt:lpstr>
      <vt:lpstr>tIRA_Return</vt:lpstr>
      <vt:lpstr>tIRA_Return2</vt:lpstr>
      <vt:lpstr>tIRA_Withdr_Base1</vt:lpstr>
      <vt:lpstr>tIRA_Withdr_Base2</vt:lpstr>
      <vt:lpstr>tIRA_Withdr_Base3</vt:lpstr>
      <vt:lpstr>tIRA_Withdr_Compare1</vt:lpstr>
      <vt:lpstr>tIRA_Withdr_Compare2</vt:lpstr>
      <vt:lpstr>tIRA_Withdr_Compare3</vt:lpstr>
      <vt:lpstr>tIRA_Withdr_Roth1</vt:lpstr>
      <vt:lpstr>tIRA_Withdr_Roth2</vt:lpstr>
      <vt:lpstr>tIRA_Withdr_Special_Compare</vt:lpstr>
      <vt:lpstr>tIRA1_Add</vt:lpstr>
      <vt:lpstr>tIRA1_End</vt:lpstr>
      <vt:lpstr>tIRA1_Esc</vt:lpstr>
      <vt:lpstr>tIRA1_Rate</vt:lpstr>
      <vt:lpstr>tIRA1_Start</vt:lpstr>
      <vt:lpstr>tIRA2_Add</vt:lpstr>
      <vt:lpstr>tIRA2_End</vt:lpstr>
      <vt:lpstr>tIRA2_Esc</vt:lpstr>
      <vt:lpstr>tIRA2_Rate</vt:lpstr>
      <vt:lpstr>tIRA2_Return</vt:lpstr>
      <vt:lpstr>tIRA2_Return2</vt:lpstr>
      <vt:lpstr>tIRA2_Start</vt:lpstr>
      <vt:lpstr>Total_Years</vt:lpstr>
      <vt:lpstr>Use_Class</vt:lpstr>
      <vt:lpstr>Version</vt:lpstr>
      <vt:lpstr>With_10</vt:lpstr>
      <vt:lpstr>With_11</vt:lpstr>
      <vt:lpstr>With_12</vt:lpstr>
      <vt:lpstr>With_13</vt:lpstr>
      <vt:lpstr>With_14</vt:lpstr>
      <vt:lpstr>With_15</vt:lpstr>
      <vt:lpstr>With_16</vt:lpstr>
      <vt:lpstr>With_17</vt:lpstr>
      <vt:lpstr>With_18</vt:lpstr>
      <vt:lpstr>With_19</vt:lpstr>
      <vt:lpstr>With_2</vt:lpstr>
      <vt:lpstr>With_20</vt:lpstr>
      <vt:lpstr>With_21</vt:lpstr>
      <vt:lpstr>With_22</vt:lpstr>
      <vt:lpstr>With_23</vt:lpstr>
      <vt:lpstr>With_24</vt:lpstr>
      <vt:lpstr>With_25</vt:lpstr>
      <vt:lpstr>With_26</vt:lpstr>
      <vt:lpstr>With_27</vt:lpstr>
      <vt:lpstr>With_28</vt:lpstr>
      <vt:lpstr>With_29</vt:lpstr>
      <vt:lpstr>With_3</vt:lpstr>
      <vt:lpstr>With_30</vt:lpstr>
      <vt:lpstr>With_31</vt:lpstr>
      <vt:lpstr>With_32</vt:lpstr>
      <vt:lpstr>With_33</vt:lpstr>
      <vt:lpstr>With_34</vt:lpstr>
      <vt:lpstr>With_35</vt:lpstr>
      <vt:lpstr>With_36</vt:lpstr>
      <vt:lpstr>With_37</vt:lpstr>
      <vt:lpstr>With_38</vt:lpstr>
      <vt:lpstr>With_39</vt:lpstr>
      <vt:lpstr>With_4</vt:lpstr>
      <vt:lpstr>With_5</vt:lpstr>
      <vt:lpstr>With_6</vt:lpstr>
      <vt:lpstr>With_7</vt:lpstr>
      <vt:lpstr>With_8</vt:lpstr>
      <vt:lpstr>With_9</vt:lpstr>
      <vt:lpstr>With_End_Amt</vt:lpstr>
      <vt:lpstr>With_ExRoth</vt:lpstr>
      <vt:lpstr>With_ExRoth1_2</vt:lpstr>
      <vt:lpstr>With_ExRoth2</vt:lpstr>
      <vt:lpstr>With_InhIRA</vt:lpstr>
      <vt:lpstr>With_InhIRA2</vt:lpstr>
      <vt:lpstr>With_Start_Amt</vt:lpstr>
      <vt:lpstr>YearlyTaxRates</vt:lpstr>
      <vt:lpstr>Your_Age</vt:lpstr>
      <vt:lpstr>Your_Age_End</vt:lpstr>
      <vt:lpstr>Your_End</vt:lpstr>
      <vt:lpstr>Your_End_Input</vt:lpstr>
      <vt:lpstr>Your_SB</vt:lpstr>
      <vt:lpstr>Your_SB_Alt</vt:lpstr>
      <vt:lpstr>Your_Spousal</vt:lpstr>
      <vt:lpstr>Your_Spousal_Alt</vt:lpstr>
      <vt:lpstr>Your_SS</vt:lpstr>
      <vt:lpstr>Your_SS_Add</vt:lpstr>
      <vt:lpstr>Your_SS_Add_Alt</vt:lpstr>
      <vt:lpstr>Your_SS_Alt</vt:lpstr>
      <vt:lpstr>Your_SS_Benefits</vt:lpstr>
      <vt:lpstr>Your_SS_CA</vt:lpstr>
      <vt:lpstr>Your_SS_CA_Alt</vt:lpstr>
      <vt:lpstr>Your_SS_Calc</vt:lpstr>
      <vt:lpstr>Your_SS_Calc_Alt</vt:lpstr>
      <vt:lpstr>Your_SS_End</vt:lpstr>
      <vt:lpstr>Your_SS_End_Alt</vt:lpstr>
      <vt:lpstr>Your_SS_Start</vt:lpstr>
      <vt:lpstr>Your_SS_Start_Alt</vt:lpstr>
      <vt:lpstr>Your_SS_Year</vt:lpstr>
      <vt:lpstr>Your_SSAlt_Year</vt:lpstr>
    </vt:vector>
  </TitlesOfParts>
  <Manager>BigFoot48</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Retiree Portfolio Model - RPM</dc:title>
  <dc:subject>Portfolio forecasting model</dc:subject>
  <dc:creator>BigFoot48</dc:creator>
  <cp:lastModifiedBy>BigFoot48</cp:lastModifiedBy>
  <cp:lastPrinted>2018-04-14T21:25:32Z</cp:lastPrinted>
  <dcterms:created xsi:type="dcterms:W3CDTF">2017-12-16T15:10:55Z</dcterms:created>
  <dcterms:modified xsi:type="dcterms:W3CDTF">2019-06-07T13:06:43Z</dcterms:modified>
</cp:coreProperties>
</file>